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8acdaac795322cf/桌面/"/>
    </mc:Choice>
  </mc:AlternateContent>
  <xr:revisionPtr revIDLastSave="3" documentId="11_16C60FE6FF4BDF3DF644666D0B22015927D13A95" xr6:coauthVersionLast="47" xr6:coauthVersionMax="47" xr10:uidLastSave="{22892D8C-0F55-4DAB-9EC9-957A01E3B2D3}"/>
  <bookViews>
    <workbookView minimized="1" xWindow="343" yWindow="2271" windowWidth="16457" windowHeight="9455" firstSheet="3" activeTab="4" xr2:uid="{00000000-000D-0000-FFFF-FFFF00000000}"/>
  </bookViews>
  <sheets>
    <sheet name="X「2023訂單資訊含入庫日」含阿爾卑斯" sheetId="1" r:id="rId1"/>
    <sheet name="X2023訂單資訊含入庫日" sheetId="2" state="hidden" r:id="rId2"/>
    <sheet name="機器限制" sheetId="3" r:id="rId3"/>
    <sheet name="時間線" sheetId="4" r:id="rId4"/>
    <sheet name="2023訂單資訊" sheetId="5" r:id="rId5"/>
    <sheet name="BOM" sheetId="6" r:id="rId6"/>
    <sheet name="製造效能" sheetId="7" r:id="rId7"/>
    <sheet name="2025訂單" sheetId="8" state="hidden" r:id="rId8"/>
    <sheet name="加班計算" sheetId="9" state="hidden" r:id="rId9"/>
    <sheet name="充填效能" sheetId="10" r:id="rId10"/>
    <sheet name="排程摘要Cat4" sheetId="12" state="hidden" r:id="rId11"/>
    <sheet name="排程摘要Cat43" sheetId="13" state="hidden" r:id="rId12"/>
    <sheet name="排程摘要 CAT2(有誤)" sheetId="14" state="hidden" r:id="rId13"/>
    <sheet name="排程摘要" sheetId="15" state="hidden" r:id="rId14"/>
    <sheet name="排程摘要V1 CAT1(修正)" sheetId="16" state="hidden" r:id="rId15"/>
    <sheet name="時間準備表V1" sheetId="17" state="hidden" r:id="rId16"/>
    <sheet name="JSOL" sheetId="18" state="hidden" r:id="rId17"/>
    <sheet name="欄位說明" sheetId="19" state="hidden" r:id="rId18"/>
    <sheet name="排程摘要example" sheetId="20" state="hidden" r:id="rId19"/>
    <sheet name="充填機" sheetId="21" state="hidden" r:id="rId20"/>
    <sheet name="清BOMlist" sheetId="22" state="hidden" r:id="rId21"/>
    <sheet name="充填機_OT" sheetId="23" state="hidden" r:id="rId22"/>
  </sheets>
  <definedNames>
    <definedName name="_xlnm._FilterDatabase" localSheetId="4" hidden="1">'2023訂單資訊'!$B$1:$AR$116</definedName>
    <definedName name="_xlnm._FilterDatabase" localSheetId="5" hidden="1">BOM!$A$1:$O$1589</definedName>
    <definedName name="_xlnm._FilterDatabase" localSheetId="9" hidden="1">充填效能!$A$1:$AA$1017</definedName>
    <definedName name="_xlnm._FilterDatabase" localSheetId="19" hidden="1">充填機!$A$1:$Z$229</definedName>
    <definedName name="_xlnm._FilterDatabase" localSheetId="21" hidden="1">充填機_OT!$A$1:$Z$229</definedName>
    <definedName name="_xlnm._FilterDatabase" localSheetId="15" hidden="1">時間準備表V1!$A$1:$Z$744</definedName>
    <definedName name="_xlnm._FilterDatabase" localSheetId="13" hidden="1">排程摘要!$A$1:$Z$406</definedName>
    <definedName name="_xlnm._FilterDatabase" localSheetId="12" hidden="1">'排程摘要 CAT2(有誤)'!$A$1:$Z$406</definedName>
    <definedName name="_xlnm._FilterDatabase" localSheetId="10" hidden="1">排程摘要Cat4!$A$1:$Z$229</definedName>
    <definedName name="_xlnm._FilterDatabase" localSheetId="11" hidden="1">排程摘要Cat43!$A$1:$Z$406</definedName>
    <definedName name="_xlnm._FilterDatabase" localSheetId="18" hidden="1">排程摘要example!$A$1:$AA$10</definedName>
    <definedName name="_xlnm._FilterDatabase" localSheetId="20" hidden="1">清BOMlist!$A$1:$E$350</definedName>
    <definedName name="_xlnm._FilterDatabase" localSheetId="6" hidden="1">製造效能!$A$1:$Z$1068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he8sYZap6CayfTn4egsJZR+MbYj5qdB+EcrN5r+fhKE="/>
    </ext>
  </extLst>
</workbook>
</file>

<file path=xl/calcChain.xml><?xml version="1.0" encoding="utf-8"?>
<calcChain xmlns="http://schemas.openxmlformats.org/spreadsheetml/2006/main">
  <c r="D350" i="22" l="1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S10" i="20"/>
  <c r="P10" i="20"/>
  <c r="S9" i="20"/>
  <c r="Q9" i="20"/>
  <c r="P9" i="20"/>
  <c r="S8" i="20"/>
  <c r="P8" i="20"/>
  <c r="S7" i="20"/>
  <c r="P7" i="20"/>
  <c r="K7" i="20"/>
  <c r="Q7" i="20" s="1"/>
  <c r="Q8" i="20" s="1"/>
  <c r="S6" i="20"/>
  <c r="P6" i="20"/>
  <c r="N5" i="20"/>
  <c r="Q6" i="20" s="1"/>
  <c r="S4" i="20"/>
  <c r="P4" i="20"/>
  <c r="N3" i="20"/>
  <c r="S3" i="20" s="1"/>
  <c r="N2" i="20"/>
  <c r="Q3" i="20" s="1"/>
  <c r="Q4" i="20" s="1"/>
  <c r="Q234" i="12"/>
  <c r="Q235" i="12" s="1"/>
  <c r="Q232" i="12"/>
  <c r="T229" i="12"/>
  <c r="T228" i="12"/>
  <c r="T227" i="12"/>
  <c r="T226" i="12"/>
  <c r="T225" i="12"/>
  <c r="T224" i="12"/>
  <c r="T223" i="12"/>
  <c r="T222" i="12"/>
  <c r="T221" i="12"/>
  <c r="T220" i="12"/>
  <c r="T219" i="12"/>
  <c r="T218" i="12"/>
  <c r="T217" i="12"/>
  <c r="T216" i="12"/>
  <c r="T215" i="12"/>
  <c r="T214" i="12"/>
  <c r="T213" i="12"/>
  <c r="T212" i="12"/>
  <c r="T211" i="12"/>
  <c r="T210" i="12"/>
  <c r="T209" i="12"/>
  <c r="T208" i="12"/>
  <c r="T207" i="12"/>
  <c r="T206" i="12"/>
  <c r="T205" i="12"/>
  <c r="T204" i="12"/>
  <c r="T203" i="12"/>
  <c r="T202" i="12"/>
  <c r="T201" i="12"/>
  <c r="T200" i="12"/>
  <c r="T199" i="12"/>
  <c r="T198" i="12"/>
  <c r="T197" i="12"/>
  <c r="T196" i="12"/>
  <c r="T195" i="12"/>
  <c r="T194" i="12"/>
  <c r="T193" i="12"/>
  <c r="T192" i="12"/>
  <c r="T191" i="12"/>
  <c r="T190" i="12"/>
  <c r="T189" i="12"/>
  <c r="T188" i="12"/>
  <c r="T187" i="12"/>
  <c r="T186" i="12"/>
  <c r="T185" i="12"/>
  <c r="T184" i="12"/>
  <c r="T183" i="12"/>
  <c r="T182" i="12"/>
  <c r="T181" i="12"/>
  <c r="T180" i="12"/>
  <c r="T179" i="12"/>
  <c r="T178" i="12"/>
  <c r="T177" i="12"/>
  <c r="T176" i="12"/>
  <c r="T175" i="12"/>
  <c r="T174" i="12"/>
  <c r="T173" i="12"/>
  <c r="T172" i="12"/>
  <c r="T171" i="12"/>
  <c r="T170" i="12"/>
  <c r="T169" i="12"/>
  <c r="T168" i="12"/>
  <c r="T167" i="12"/>
  <c r="T166" i="12"/>
  <c r="T165" i="12"/>
  <c r="T164" i="12"/>
  <c r="T163" i="12"/>
  <c r="T162" i="12"/>
  <c r="T161" i="12"/>
  <c r="T160" i="12"/>
  <c r="T159" i="12"/>
  <c r="T158" i="12"/>
  <c r="T157" i="12"/>
  <c r="T156" i="12"/>
  <c r="T155" i="12"/>
  <c r="T154" i="12"/>
  <c r="T153" i="12"/>
  <c r="T152" i="12"/>
  <c r="T151" i="12"/>
  <c r="T150" i="12"/>
  <c r="T149" i="12"/>
  <c r="T148" i="12"/>
  <c r="T147" i="12"/>
  <c r="T146" i="12"/>
  <c r="T145" i="12"/>
  <c r="T144" i="12"/>
  <c r="T143" i="12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T4" i="12"/>
  <c r="T3" i="12"/>
  <c r="T2" i="12"/>
  <c r="H122" i="9"/>
  <c r="BF118" i="9"/>
  <c r="BG118" i="9" s="1"/>
  <c r="BE118" i="9"/>
  <c r="BD118" i="9"/>
  <c r="BF117" i="9"/>
  <c r="BG117" i="9" s="1"/>
  <c r="BD117" i="9"/>
  <c r="BE117" i="9" s="1"/>
  <c r="BG116" i="9"/>
  <c r="BF116" i="9"/>
  <c r="BD116" i="9"/>
  <c r="BE116" i="9" s="1"/>
  <c r="BG115" i="9"/>
  <c r="BF115" i="9"/>
  <c r="BD115" i="9"/>
  <c r="BE115" i="9" s="1"/>
  <c r="BG114" i="9"/>
  <c r="BF114" i="9"/>
  <c r="BD114" i="9"/>
  <c r="BE114" i="9" s="1"/>
  <c r="BG113" i="9"/>
  <c r="BF113" i="9"/>
  <c r="BD113" i="9"/>
  <c r="BE113" i="9" s="1"/>
  <c r="R113" i="9"/>
  <c r="BF112" i="9"/>
  <c r="BG112" i="9" s="1"/>
  <c r="BD112" i="9"/>
  <c r="BE112" i="9" s="1"/>
  <c r="BG111" i="9"/>
  <c r="BF111" i="9"/>
  <c r="BE111" i="9"/>
  <c r="BD111" i="9"/>
  <c r="BF110" i="9"/>
  <c r="BG110" i="9" s="1"/>
  <c r="BE110" i="9"/>
  <c r="BD110" i="9"/>
  <c r="BF109" i="9"/>
  <c r="BG109" i="9" s="1"/>
  <c r="BD109" i="9"/>
  <c r="BE109" i="9" s="1"/>
  <c r="BG108" i="9"/>
  <c r="BF108" i="9"/>
  <c r="BE108" i="9"/>
  <c r="BD108" i="9"/>
  <c r="BF107" i="9"/>
  <c r="BG107" i="9" s="1"/>
  <c r="BE107" i="9"/>
  <c r="BD107" i="9"/>
  <c r="BF106" i="9"/>
  <c r="BG106" i="9" s="1"/>
  <c r="BD106" i="9"/>
  <c r="BE106" i="9" s="1"/>
  <c r="BG105" i="9"/>
  <c r="BF105" i="9"/>
  <c r="BE105" i="9"/>
  <c r="BD105" i="9"/>
  <c r="BF104" i="9"/>
  <c r="BG104" i="9" s="1"/>
  <c r="BE104" i="9"/>
  <c r="BD104" i="9"/>
  <c r="BF103" i="9"/>
  <c r="BG103" i="9" s="1"/>
  <c r="BD103" i="9"/>
  <c r="BE103" i="9" s="1"/>
  <c r="BG102" i="9"/>
  <c r="BF102" i="9"/>
  <c r="BE102" i="9"/>
  <c r="BD102" i="9"/>
  <c r="BF101" i="9"/>
  <c r="BG101" i="9" s="1"/>
  <c r="BE101" i="9"/>
  <c r="BD101" i="9"/>
  <c r="BF100" i="9"/>
  <c r="BG100" i="9" s="1"/>
  <c r="BD100" i="9"/>
  <c r="BE100" i="9" s="1"/>
  <c r="BG99" i="9"/>
  <c r="BF99" i="9"/>
  <c r="BE99" i="9"/>
  <c r="BD99" i="9"/>
  <c r="BF98" i="9"/>
  <c r="BG98" i="9" s="1"/>
  <c r="BE98" i="9"/>
  <c r="BD98" i="9"/>
  <c r="BF97" i="9"/>
  <c r="BG97" i="9" s="1"/>
  <c r="BD97" i="9"/>
  <c r="BE97" i="9" s="1"/>
  <c r="BG96" i="9"/>
  <c r="BF96" i="9"/>
  <c r="BE96" i="9"/>
  <c r="BD96" i="9"/>
  <c r="BF95" i="9"/>
  <c r="BG95" i="9" s="1"/>
  <c r="BE95" i="9"/>
  <c r="BD95" i="9"/>
  <c r="BF94" i="9"/>
  <c r="BG94" i="9" s="1"/>
  <c r="BD94" i="9"/>
  <c r="BE94" i="9" s="1"/>
  <c r="BG93" i="9"/>
  <c r="BF93" i="9"/>
  <c r="BE93" i="9"/>
  <c r="BD93" i="9"/>
  <c r="BF92" i="9"/>
  <c r="BG92" i="9" s="1"/>
  <c r="BE92" i="9"/>
  <c r="BD92" i="9"/>
  <c r="BF91" i="9"/>
  <c r="BG91" i="9" s="1"/>
  <c r="BD91" i="9"/>
  <c r="BE91" i="9" s="1"/>
  <c r="BG90" i="9"/>
  <c r="BF90" i="9"/>
  <c r="BE90" i="9"/>
  <c r="BD90" i="9"/>
  <c r="BF89" i="9"/>
  <c r="BG89" i="9" s="1"/>
  <c r="BE89" i="9"/>
  <c r="BD89" i="9"/>
  <c r="BF88" i="9"/>
  <c r="BG88" i="9" s="1"/>
  <c r="BD88" i="9"/>
  <c r="BE88" i="9" s="1"/>
  <c r="BG87" i="9"/>
  <c r="BF87" i="9"/>
  <c r="BE87" i="9"/>
  <c r="BD87" i="9"/>
  <c r="BF86" i="9"/>
  <c r="BG86" i="9" s="1"/>
  <c r="BE86" i="9"/>
  <c r="BD86" i="9"/>
  <c r="BF85" i="9"/>
  <c r="BG85" i="9" s="1"/>
  <c r="BD85" i="9"/>
  <c r="BE85" i="9" s="1"/>
  <c r="BG84" i="9"/>
  <c r="BF84" i="9"/>
  <c r="BE84" i="9"/>
  <c r="BD84" i="9"/>
  <c r="BF83" i="9"/>
  <c r="BG83" i="9" s="1"/>
  <c r="BE83" i="9"/>
  <c r="BD83" i="9"/>
  <c r="BF82" i="9"/>
  <c r="BG82" i="9" s="1"/>
  <c r="BD82" i="9"/>
  <c r="BE82" i="9" s="1"/>
  <c r="BG81" i="9"/>
  <c r="BF81" i="9"/>
  <c r="BE81" i="9"/>
  <c r="BD81" i="9"/>
  <c r="BF80" i="9"/>
  <c r="BG80" i="9" s="1"/>
  <c r="BE80" i="9"/>
  <c r="BD80" i="9"/>
  <c r="BF79" i="9"/>
  <c r="BG79" i="9" s="1"/>
  <c r="BD79" i="9"/>
  <c r="BE79" i="9" s="1"/>
  <c r="BG78" i="9"/>
  <c r="BF78" i="9"/>
  <c r="BE78" i="9"/>
  <c r="BD78" i="9"/>
  <c r="BF77" i="9"/>
  <c r="BG77" i="9" s="1"/>
  <c r="BE77" i="9"/>
  <c r="BD77" i="9"/>
  <c r="BF76" i="9"/>
  <c r="BG76" i="9" s="1"/>
  <c r="BD76" i="9"/>
  <c r="BE76" i="9" s="1"/>
  <c r="BG75" i="9"/>
  <c r="BF75" i="9"/>
  <c r="BE75" i="9"/>
  <c r="BD75" i="9"/>
  <c r="BF74" i="9"/>
  <c r="BG74" i="9" s="1"/>
  <c r="BE74" i="9"/>
  <c r="BD74" i="9"/>
  <c r="BF73" i="9"/>
  <c r="BG73" i="9" s="1"/>
  <c r="BD73" i="9"/>
  <c r="BE73" i="9" s="1"/>
  <c r="BG72" i="9"/>
  <c r="BF72" i="9"/>
  <c r="BE72" i="9"/>
  <c r="BD72" i="9"/>
  <c r="BF71" i="9"/>
  <c r="BG71" i="9" s="1"/>
  <c r="BE71" i="9"/>
  <c r="BD71" i="9"/>
  <c r="BF70" i="9"/>
  <c r="BG70" i="9" s="1"/>
  <c r="BD70" i="9"/>
  <c r="BE70" i="9" s="1"/>
  <c r="BG69" i="9"/>
  <c r="BF69" i="9"/>
  <c r="BE69" i="9"/>
  <c r="BD69" i="9"/>
  <c r="BF68" i="9"/>
  <c r="BG68" i="9" s="1"/>
  <c r="BE68" i="9"/>
  <c r="BD68" i="9"/>
  <c r="BF67" i="9"/>
  <c r="BG67" i="9" s="1"/>
  <c r="BD67" i="9"/>
  <c r="BE67" i="9" s="1"/>
  <c r="BG66" i="9"/>
  <c r="BF66" i="9"/>
  <c r="BE66" i="9"/>
  <c r="BD66" i="9"/>
  <c r="BF65" i="9"/>
  <c r="BG65" i="9" s="1"/>
  <c r="BE65" i="9"/>
  <c r="BD65" i="9"/>
  <c r="BF64" i="9"/>
  <c r="BG64" i="9" s="1"/>
  <c r="BD64" i="9"/>
  <c r="BE64" i="9" s="1"/>
  <c r="BG63" i="9"/>
  <c r="BF63" i="9"/>
  <c r="BE63" i="9"/>
  <c r="BD63" i="9"/>
  <c r="BF62" i="9"/>
  <c r="BG62" i="9" s="1"/>
  <c r="BE62" i="9"/>
  <c r="BD62" i="9"/>
  <c r="BF61" i="9"/>
  <c r="BG61" i="9" s="1"/>
  <c r="BD61" i="9"/>
  <c r="BE61" i="9" s="1"/>
  <c r="BG60" i="9"/>
  <c r="BF60" i="9"/>
  <c r="BE60" i="9"/>
  <c r="BD60" i="9"/>
  <c r="BF59" i="9"/>
  <c r="BG59" i="9" s="1"/>
  <c r="BE59" i="9"/>
  <c r="BD59" i="9"/>
  <c r="BF58" i="9"/>
  <c r="BG58" i="9" s="1"/>
  <c r="BD58" i="9"/>
  <c r="BE58" i="9" s="1"/>
  <c r="BG57" i="9"/>
  <c r="BF57" i="9"/>
  <c r="BE57" i="9"/>
  <c r="BD57" i="9"/>
  <c r="BF56" i="9"/>
  <c r="BG56" i="9" s="1"/>
  <c r="BE56" i="9"/>
  <c r="BD56" i="9"/>
  <c r="BF55" i="9"/>
  <c r="BG55" i="9" s="1"/>
  <c r="BD55" i="9"/>
  <c r="BE55" i="9" s="1"/>
  <c r="BG54" i="9"/>
  <c r="BF54" i="9"/>
  <c r="BE54" i="9"/>
  <c r="BD54" i="9"/>
  <c r="BF53" i="9"/>
  <c r="BG53" i="9" s="1"/>
  <c r="BE53" i="9"/>
  <c r="BD53" i="9"/>
  <c r="BF52" i="9"/>
  <c r="BG52" i="9" s="1"/>
  <c r="BD52" i="9"/>
  <c r="BE52" i="9" s="1"/>
  <c r="BG51" i="9"/>
  <c r="BF51" i="9"/>
  <c r="BE51" i="9"/>
  <c r="BD51" i="9"/>
  <c r="BF50" i="9"/>
  <c r="BG50" i="9" s="1"/>
  <c r="BE50" i="9"/>
  <c r="BD50" i="9"/>
  <c r="BF49" i="9"/>
  <c r="BG49" i="9" s="1"/>
  <c r="BD49" i="9"/>
  <c r="BE49" i="9" s="1"/>
  <c r="BG48" i="9"/>
  <c r="BF48" i="9"/>
  <c r="BE48" i="9"/>
  <c r="BD48" i="9"/>
  <c r="BF47" i="9"/>
  <c r="BG47" i="9" s="1"/>
  <c r="BE47" i="9"/>
  <c r="BD47" i="9"/>
  <c r="BF46" i="9"/>
  <c r="BG46" i="9" s="1"/>
  <c r="BD46" i="9"/>
  <c r="BE46" i="9" s="1"/>
  <c r="BG45" i="9"/>
  <c r="BF45" i="9"/>
  <c r="BE45" i="9"/>
  <c r="BD45" i="9"/>
  <c r="BF44" i="9"/>
  <c r="BG44" i="9" s="1"/>
  <c r="BE44" i="9"/>
  <c r="BD44" i="9"/>
  <c r="BF43" i="9"/>
  <c r="BG43" i="9" s="1"/>
  <c r="BD43" i="9"/>
  <c r="BE43" i="9" s="1"/>
  <c r="BG42" i="9"/>
  <c r="BF42" i="9"/>
  <c r="BE42" i="9"/>
  <c r="BD42" i="9"/>
  <c r="BF41" i="9"/>
  <c r="BG41" i="9" s="1"/>
  <c r="BE41" i="9"/>
  <c r="BD41" i="9"/>
  <c r="BF40" i="9"/>
  <c r="BG40" i="9" s="1"/>
  <c r="BD40" i="9"/>
  <c r="BE40" i="9" s="1"/>
  <c r="BG39" i="9"/>
  <c r="BF39" i="9"/>
  <c r="BE39" i="9"/>
  <c r="BD39" i="9"/>
  <c r="BF38" i="9"/>
  <c r="BG38" i="9" s="1"/>
  <c r="BE38" i="9"/>
  <c r="BD38" i="9"/>
  <c r="BF37" i="9"/>
  <c r="BG37" i="9" s="1"/>
  <c r="BD37" i="9"/>
  <c r="BE37" i="9" s="1"/>
  <c r="BG36" i="9"/>
  <c r="BF36" i="9"/>
  <c r="BE36" i="9"/>
  <c r="BD36" i="9"/>
  <c r="BF35" i="9"/>
  <c r="BG35" i="9" s="1"/>
  <c r="BE35" i="9"/>
  <c r="BD35" i="9"/>
  <c r="BF34" i="9"/>
  <c r="BG34" i="9" s="1"/>
  <c r="BD34" i="9"/>
  <c r="BE34" i="9" s="1"/>
  <c r="BG33" i="9"/>
  <c r="BF33" i="9"/>
  <c r="BE33" i="9"/>
  <c r="BD33" i="9"/>
  <c r="BF32" i="9"/>
  <c r="BG32" i="9" s="1"/>
  <c r="BE32" i="9"/>
  <c r="BD32" i="9"/>
  <c r="BF31" i="9"/>
  <c r="BG31" i="9" s="1"/>
  <c r="BD31" i="9"/>
  <c r="BE31" i="9" s="1"/>
  <c r="BG30" i="9"/>
  <c r="BF30" i="9"/>
  <c r="BE30" i="9"/>
  <c r="BD30" i="9"/>
  <c r="BF29" i="9"/>
  <c r="BG29" i="9" s="1"/>
  <c r="BE29" i="9"/>
  <c r="BD29" i="9"/>
  <c r="BF28" i="9"/>
  <c r="BG28" i="9" s="1"/>
  <c r="BD28" i="9"/>
  <c r="BE28" i="9" s="1"/>
  <c r="BG27" i="9"/>
  <c r="BF27" i="9"/>
  <c r="BE27" i="9"/>
  <c r="BD27" i="9"/>
  <c r="BF26" i="9"/>
  <c r="BG26" i="9" s="1"/>
  <c r="BE26" i="9"/>
  <c r="BD26" i="9"/>
  <c r="BF25" i="9"/>
  <c r="BG25" i="9" s="1"/>
  <c r="BD25" i="9"/>
  <c r="BE25" i="9" s="1"/>
  <c r="BG24" i="9"/>
  <c r="BF24" i="9"/>
  <c r="BE24" i="9"/>
  <c r="BD24" i="9"/>
  <c r="BF23" i="9"/>
  <c r="BG23" i="9" s="1"/>
  <c r="BE23" i="9"/>
  <c r="BD23" i="9"/>
  <c r="BF22" i="9"/>
  <c r="BG22" i="9" s="1"/>
  <c r="BD22" i="9"/>
  <c r="BE22" i="9" s="1"/>
  <c r="BG21" i="9"/>
  <c r="BF21" i="9"/>
  <c r="BE21" i="9"/>
  <c r="BD21" i="9"/>
  <c r="BF20" i="9"/>
  <c r="BG20" i="9" s="1"/>
  <c r="BE20" i="9"/>
  <c r="BD20" i="9"/>
  <c r="BF19" i="9"/>
  <c r="BG19" i="9" s="1"/>
  <c r="BD19" i="9"/>
  <c r="BE19" i="9" s="1"/>
  <c r="BG18" i="9"/>
  <c r="BF18" i="9"/>
  <c r="BE18" i="9"/>
  <c r="BD18" i="9"/>
  <c r="BF17" i="9"/>
  <c r="BG17" i="9" s="1"/>
  <c r="BE17" i="9"/>
  <c r="BD17" i="9"/>
  <c r="BF16" i="9"/>
  <c r="BG16" i="9" s="1"/>
  <c r="BD16" i="9"/>
  <c r="BE16" i="9" s="1"/>
  <c r="BG15" i="9"/>
  <c r="BF15" i="9"/>
  <c r="BE15" i="9"/>
  <c r="BD15" i="9"/>
  <c r="BF14" i="9"/>
  <c r="BG14" i="9" s="1"/>
  <c r="BE14" i="9"/>
  <c r="BD14" i="9"/>
  <c r="BF13" i="9"/>
  <c r="BG13" i="9" s="1"/>
  <c r="BD13" i="9"/>
  <c r="BE13" i="9" s="1"/>
  <c r="BG12" i="9"/>
  <c r="BF12" i="9"/>
  <c r="BE12" i="9"/>
  <c r="BD12" i="9"/>
  <c r="BF11" i="9"/>
  <c r="BG11" i="9" s="1"/>
  <c r="BE11" i="9"/>
  <c r="BD11" i="9"/>
  <c r="BF10" i="9"/>
  <c r="BG10" i="9" s="1"/>
  <c r="BD10" i="9"/>
  <c r="BE10" i="9" s="1"/>
  <c r="BG9" i="9"/>
  <c r="BF9" i="9"/>
  <c r="BE9" i="9"/>
  <c r="BD9" i="9"/>
  <c r="BF8" i="9"/>
  <c r="BG8" i="9" s="1"/>
  <c r="BE8" i="9"/>
  <c r="BD8" i="9"/>
  <c r="BF7" i="9"/>
  <c r="BG7" i="9" s="1"/>
  <c r="BD7" i="9"/>
  <c r="BE7" i="9" s="1"/>
  <c r="BG6" i="9"/>
  <c r="BF6" i="9"/>
  <c r="BE6" i="9"/>
  <c r="BD6" i="9"/>
  <c r="BF5" i="9"/>
  <c r="BG5" i="9" s="1"/>
  <c r="BE5" i="9"/>
  <c r="BD5" i="9"/>
  <c r="BF4" i="9"/>
  <c r="BG4" i="9" s="1"/>
  <c r="BD4" i="9"/>
  <c r="BE4" i="9" s="1"/>
  <c r="O1731" i="7"/>
  <c r="N1731" i="7"/>
  <c r="O1730" i="7"/>
  <c r="N1730" i="7"/>
  <c r="O1729" i="7"/>
  <c r="N1729" i="7"/>
  <c r="O1728" i="7"/>
  <c r="N1728" i="7"/>
  <c r="O1727" i="7"/>
  <c r="N1727" i="7"/>
  <c r="O1726" i="7"/>
  <c r="N1726" i="7"/>
  <c r="O1725" i="7"/>
  <c r="N1725" i="7"/>
  <c r="O1724" i="7"/>
  <c r="N1724" i="7"/>
  <c r="O1723" i="7"/>
  <c r="N1723" i="7"/>
  <c r="O1722" i="7"/>
  <c r="N1722" i="7"/>
  <c r="O1721" i="7"/>
  <c r="N1721" i="7"/>
  <c r="O1720" i="7"/>
  <c r="N1720" i="7"/>
  <c r="O1719" i="7"/>
  <c r="N1719" i="7"/>
  <c r="O1718" i="7"/>
  <c r="N1718" i="7"/>
  <c r="O1717" i="7"/>
  <c r="N1717" i="7"/>
  <c r="O1716" i="7"/>
  <c r="N1716" i="7"/>
  <c r="O1715" i="7"/>
  <c r="N1715" i="7"/>
  <c r="O1714" i="7"/>
  <c r="N1714" i="7"/>
  <c r="O1713" i="7"/>
  <c r="N1713" i="7"/>
  <c r="O1712" i="7"/>
  <c r="N1712" i="7"/>
  <c r="O1711" i="7"/>
  <c r="N1711" i="7"/>
  <c r="O1710" i="7"/>
  <c r="N1710" i="7"/>
  <c r="O1709" i="7"/>
  <c r="N1709" i="7"/>
  <c r="O1708" i="7"/>
  <c r="N1708" i="7"/>
  <c r="O1707" i="7"/>
  <c r="N1707" i="7"/>
  <c r="O1706" i="7"/>
  <c r="N1706" i="7"/>
  <c r="O1705" i="7"/>
  <c r="N1705" i="7"/>
  <c r="O1704" i="7"/>
  <c r="N1704" i="7"/>
  <c r="O1703" i="7"/>
  <c r="N1703" i="7"/>
  <c r="O1702" i="7"/>
  <c r="N1702" i="7"/>
  <c r="O1701" i="7"/>
  <c r="N1701" i="7"/>
  <c r="O1700" i="7"/>
  <c r="N1700" i="7"/>
  <c r="O1699" i="7"/>
  <c r="N1699" i="7"/>
  <c r="V1698" i="7"/>
  <c r="U1698" i="7"/>
  <c r="T1698" i="7"/>
  <c r="S1698" i="7"/>
  <c r="R1698" i="7"/>
  <c r="Q1698" i="7"/>
  <c r="P1698" i="7"/>
  <c r="O1698" i="7"/>
  <c r="N1698" i="7"/>
  <c r="V1697" i="7"/>
  <c r="U1697" i="7"/>
  <c r="T1697" i="7"/>
  <c r="S1697" i="7"/>
  <c r="R1697" i="7"/>
  <c r="Q1697" i="7"/>
  <c r="P1697" i="7"/>
  <c r="O1697" i="7"/>
  <c r="N1697" i="7"/>
  <c r="V1696" i="7"/>
  <c r="U1696" i="7"/>
  <c r="T1696" i="7"/>
  <c r="S1696" i="7"/>
  <c r="R1696" i="7"/>
  <c r="Q1696" i="7"/>
  <c r="P1696" i="7"/>
  <c r="O1696" i="7"/>
  <c r="N1696" i="7"/>
  <c r="V1695" i="7"/>
  <c r="U1695" i="7"/>
  <c r="T1695" i="7"/>
  <c r="S1695" i="7"/>
  <c r="R1695" i="7"/>
  <c r="Q1695" i="7"/>
  <c r="P1695" i="7"/>
  <c r="O1695" i="7"/>
  <c r="N1695" i="7"/>
  <c r="V1694" i="7"/>
  <c r="U1694" i="7"/>
  <c r="T1694" i="7"/>
  <c r="S1694" i="7"/>
  <c r="R1694" i="7"/>
  <c r="Q1694" i="7"/>
  <c r="P1694" i="7"/>
  <c r="O1694" i="7"/>
  <c r="N1694" i="7"/>
  <c r="V1693" i="7"/>
  <c r="U1693" i="7"/>
  <c r="T1693" i="7"/>
  <c r="S1693" i="7"/>
  <c r="R1693" i="7"/>
  <c r="Q1693" i="7"/>
  <c r="P1693" i="7"/>
  <c r="O1693" i="7"/>
  <c r="N1693" i="7"/>
  <c r="V1692" i="7"/>
  <c r="U1692" i="7"/>
  <c r="T1692" i="7"/>
  <c r="S1692" i="7"/>
  <c r="R1692" i="7"/>
  <c r="Q1692" i="7"/>
  <c r="P1692" i="7"/>
  <c r="O1692" i="7"/>
  <c r="N1692" i="7"/>
  <c r="V1691" i="7"/>
  <c r="U1691" i="7"/>
  <c r="T1691" i="7"/>
  <c r="S1691" i="7"/>
  <c r="R1691" i="7"/>
  <c r="Q1691" i="7"/>
  <c r="P1691" i="7"/>
  <c r="O1691" i="7"/>
  <c r="N1691" i="7"/>
  <c r="V1690" i="7"/>
  <c r="U1690" i="7"/>
  <c r="T1690" i="7"/>
  <c r="S1690" i="7"/>
  <c r="R1690" i="7"/>
  <c r="Q1690" i="7"/>
  <c r="P1690" i="7"/>
  <c r="O1690" i="7"/>
  <c r="N1690" i="7"/>
  <c r="V1689" i="7"/>
  <c r="U1689" i="7"/>
  <c r="T1689" i="7"/>
  <c r="S1689" i="7"/>
  <c r="R1689" i="7"/>
  <c r="Q1689" i="7"/>
  <c r="P1689" i="7"/>
  <c r="O1689" i="7"/>
  <c r="N1689" i="7"/>
  <c r="V1688" i="7"/>
  <c r="U1688" i="7"/>
  <c r="T1688" i="7"/>
  <c r="S1688" i="7"/>
  <c r="R1688" i="7"/>
  <c r="Q1688" i="7"/>
  <c r="P1688" i="7"/>
  <c r="O1688" i="7"/>
  <c r="N1688" i="7"/>
  <c r="V1687" i="7"/>
  <c r="U1687" i="7"/>
  <c r="T1687" i="7"/>
  <c r="S1687" i="7"/>
  <c r="R1687" i="7"/>
  <c r="Q1687" i="7"/>
  <c r="P1687" i="7"/>
  <c r="O1687" i="7"/>
  <c r="N1687" i="7"/>
  <c r="V1686" i="7"/>
  <c r="U1686" i="7"/>
  <c r="T1686" i="7"/>
  <c r="S1686" i="7"/>
  <c r="R1686" i="7"/>
  <c r="Q1686" i="7"/>
  <c r="P1686" i="7"/>
  <c r="O1686" i="7"/>
  <c r="N1686" i="7"/>
  <c r="V1685" i="7"/>
  <c r="U1685" i="7"/>
  <c r="T1685" i="7"/>
  <c r="S1685" i="7"/>
  <c r="R1685" i="7"/>
  <c r="Q1685" i="7"/>
  <c r="P1685" i="7"/>
  <c r="O1685" i="7"/>
  <c r="N1685" i="7"/>
  <c r="V1684" i="7"/>
  <c r="U1684" i="7"/>
  <c r="T1684" i="7"/>
  <c r="S1684" i="7"/>
  <c r="R1684" i="7"/>
  <c r="Q1684" i="7"/>
  <c r="P1684" i="7"/>
  <c r="O1684" i="7"/>
  <c r="N1684" i="7"/>
  <c r="V1683" i="7"/>
  <c r="U1683" i="7"/>
  <c r="T1683" i="7"/>
  <c r="S1683" i="7"/>
  <c r="R1683" i="7"/>
  <c r="Q1683" i="7"/>
  <c r="P1683" i="7"/>
  <c r="O1683" i="7"/>
  <c r="N1683" i="7"/>
  <c r="V1682" i="7"/>
  <c r="U1682" i="7"/>
  <c r="T1682" i="7"/>
  <c r="S1682" i="7"/>
  <c r="R1682" i="7"/>
  <c r="Q1682" i="7"/>
  <c r="P1682" i="7"/>
  <c r="O1682" i="7"/>
  <c r="N1682" i="7"/>
  <c r="V1681" i="7"/>
  <c r="U1681" i="7"/>
  <c r="T1681" i="7"/>
  <c r="S1681" i="7"/>
  <c r="R1681" i="7"/>
  <c r="Q1681" i="7"/>
  <c r="P1681" i="7"/>
  <c r="O1681" i="7"/>
  <c r="N1681" i="7"/>
  <c r="V1680" i="7"/>
  <c r="U1680" i="7"/>
  <c r="T1680" i="7"/>
  <c r="S1680" i="7"/>
  <c r="R1680" i="7"/>
  <c r="Q1680" i="7"/>
  <c r="P1680" i="7"/>
  <c r="O1680" i="7"/>
  <c r="N1680" i="7"/>
  <c r="V1679" i="7"/>
  <c r="U1679" i="7"/>
  <c r="T1679" i="7"/>
  <c r="S1679" i="7"/>
  <c r="R1679" i="7"/>
  <c r="Q1679" i="7"/>
  <c r="P1679" i="7"/>
  <c r="O1679" i="7"/>
  <c r="N1679" i="7"/>
  <c r="V1678" i="7"/>
  <c r="U1678" i="7"/>
  <c r="T1678" i="7"/>
  <c r="S1678" i="7"/>
  <c r="R1678" i="7"/>
  <c r="Q1678" i="7"/>
  <c r="P1678" i="7"/>
  <c r="O1678" i="7"/>
  <c r="N1678" i="7"/>
  <c r="V1677" i="7"/>
  <c r="U1677" i="7"/>
  <c r="T1677" i="7"/>
  <c r="S1677" i="7"/>
  <c r="R1677" i="7"/>
  <c r="Q1677" i="7"/>
  <c r="P1677" i="7"/>
  <c r="O1677" i="7"/>
  <c r="N1677" i="7"/>
  <c r="V1676" i="7"/>
  <c r="U1676" i="7"/>
  <c r="T1676" i="7"/>
  <c r="S1676" i="7"/>
  <c r="R1676" i="7"/>
  <c r="Q1676" i="7"/>
  <c r="P1676" i="7"/>
  <c r="O1676" i="7"/>
  <c r="N1676" i="7"/>
  <c r="V1675" i="7"/>
  <c r="U1675" i="7"/>
  <c r="T1675" i="7"/>
  <c r="S1675" i="7"/>
  <c r="R1675" i="7"/>
  <c r="Q1675" i="7"/>
  <c r="P1675" i="7"/>
  <c r="O1675" i="7"/>
  <c r="N1675" i="7"/>
  <c r="V1674" i="7"/>
  <c r="U1674" i="7"/>
  <c r="T1674" i="7"/>
  <c r="S1674" i="7"/>
  <c r="R1674" i="7"/>
  <c r="Q1674" i="7"/>
  <c r="P1674" i="7"/>
  <c r="O1674" i="7"/>
  <c r="N1674" i="7"/>
  <c r="V1673" i="7"/>
  <c r="U1673" i="7"/>
  <c r="T1673" i="7"/>
  <c r="S1673" i="7"/>
  <c r="R1673" i="7"/>
  <c r="Q1673" i="7"/>
  <c r="P1673" i="7"/>
  <c r="O1673" i="7"/>
  <c r="N1673" i="7"/>
  <c r="V1672" i="7"/>
  <c r="U1672" i="7"/>
  <c r="T1672" i="7"/>
  <c r="S1672" i="7"/>
  <c r="R1672" i="7"/>
  <c r="Q1672" i="7"/>
  <c r="P1672" i="7"/>
  <c r="O1672" i="7"/>
  <c r="N1672" i="7"/>
  <c r="V1671" i="7"/>
  <c r="U1671" i="7"/>
  <c r="T1671" i="7"/>
  <c r="S1671" i="7"/>
  <c r="R1671" i="7"/>
  <c r="Q1671" i="7"/>
  <c r="P1671" i="7"/>
  <c r="O1671" i="7"/>
  <c r="N1671" i="7"/>
  <c r="V1670" i="7"/>
  <c r="U1670" i="7"/>
  <c r="T1670" i="7"/>
  <c r="S1670" i="7"/>
  <c r="R1670" i="7"/>
  <c r="Q1670" i="7"/>
  <c r="P1670" i="7"/>
  <c r="O1670" i="7"/>
  <c r="N1670" i="7"/>
  <c r="V1669" i="7"/>
  <c r="U1669" i="7"/>
  <c r="T1669" i="7"/>
  <c r="S1669" i="7"/>
  <c r="R1669" i="7"/>
  <c r="Q1669" i="7"/>
  <c r="P1669" i="7"/>
  <c r="O1669" i="7"/>
  <c r="N1669" i="7"/>
  <c r="V1668" i="7"/>
  <c r="U1668" i="7"/>
  <c r="T1668" i="7"/>
  <c r="S1668" i="7"/>
  <c r="R1668" i="7"/>
  <c r="Q1668" i="7"/>
  <c r="P1668" i="7"/>
  <c r="O1668" i="7"/>
  <c r="N1668" i="7"/>
  <c r="V1667" i="7"/>
  <c r="U1667" i="7"/>
  <c r="T1667" i="7"/>
  <c r="S1667" i="7"/>
  <c r="R1667" i="7"/>
  <c r="Q1667" i="7"/>
  <c r="P1667" i="7"/>
  <c r="O1667" i="7"/>
  <c r="N1667" i="7"/>
  <c r="V1666" i="7"/>
  <c r="U1666" i="7"/>
  <c r="T1666" i="7"/>
  <c r="S1666" i="7"/>
  <c r="R1666" i="7"/>
  <c r="Q1666" i="7"/>
  <c r="P1666" i="7"/>
  <c r="O1666" i="7"/>
  <c r="N1666" i="7"/>
  <c r="V1665" i="7"/>
  <c r="U1665" i="7"/>
  <c r="T1665" i="7"/>
  <c r="S1665" i="7"/>
  <c r="R1665" i="7"/>
  <c r="Q1665" i="7"/>
  <c r="P1665" i="7"/>
  <c r="O1665" i="7"/>
  <c r="N1665" i="7"/>
  <c r="V1664" i="7"/>
  <c r="U1664" i="7"/>
  <c r="T1664" i="7"/>
  <c r="S1664" i="7"/>
  <c r="R1664" i="7"/>
  <c r="Q1664" i="7"/>
  <c r="P1664" i="7"/>
  <c r="O1664" i="7"/>
  <c r="N1664" i="7"/>
  <c r="V1663" i="7"/>
  <c r="U1663" i="7"/>
  <c r="T1663" i="7"/>
  <c r="S1663" i="7"/>
  <c r="R1663" i="7"/>
  <c r="Q1663" i="7"/>
  <c r="P1663" i="7"/>
  <c r="O1663" i="7"/>
  <c r="N1663" i="7"/>
  <c r="V1662" i="7"/>
  <c r="U1662" i="7"/>
  <c r="T1662" i="7"/>
  <c r="S1662" i="7"/>
  <c r="R1662" i="7"/>
  <c r="Q1662" i="7"/>
  <c r="P1662" i="7"/>
  <c r="O1662" i="7"/>
  <c r="N1662" i="7"/>
  <c r="V1661" i="7"/>
  <c r="U1661" i="7"/>
  <c r="T1661" i="7"/>
  <c r="S1661" i="7"/>
  <c r="R1661" i="7"/>
  <c r="Q1661" i="7"/>
  <c r="P1661" i="7"/>
  <c r="O1661" i="7"/>
  <c r="N1661" i="7"/>
  <c r="V1660" i="7"/>
  <c r="U1660" i="7"/>
  <c r="T1660" i="7"/>
  <c r="S1660" i="7"/>
  <c r="R1660" i="7"/>
  <c r="Q1660" i="7"/>
  <c r="P1660" i="7"/>
  <c r="O1660" i="7"/>
  <c r="N1660" i="7"/>
  <c r="V1659" i="7"/>
  <c r="U1659" i="7"/>
  <c r="T1659" i="7"/>
  <c r="S1659" i="7"/>
  <c r="R1659" i="7"/>
  <c r="Q1659" i="7"/>
  <c r="P1659" i="7"/>
  <c r="O1659" i="7"/>
  <c r="N1659" i="7"/>
  <c r="V1658" i="7"/>
  <c r="U1658" i="7"/>
  <c r="T1658" i="7"/>
  <c r="S1658" i="7"/>
  <c r="R1658" i="7"/>
  <c r="Q1658" i="7"/>
  <c r="P1658" i="7"/>
  <c r="O1658" i="7"/>
  <c r="N1658" i="7"/>
  <c r="V1657" i="7"/>
  <c r="U1657" i="7"/>
  <c r="T1657" i="7"/>
  <c r="S1657" i="7"/>
  <c r="R1657" i="7"/>
  <c r="Q1657" i="7"/>
  <c r="P1657" i="7"/>
  <c r="O1657" i="7"/>
  <c r="N1657" i="7"/>
  <c r="V1656" i="7"/>
  <c r="U1656" i="7"/>
  <c r="T1656" i="7"/>
  <c r="S1656" i="7"/>
  <c r="R1656" i="7"/>
  <c r="Q1656" i="7"/>
  <c r="P1656" i="7"/>
  <c r="O1656" i="7"/>
  <c r="N1656" i="7"/>
  <c r="V1655" i="7"/>
  <c r="U1655" i="7"/>
  <c r="T1655" i="7"/>
  <c r="S1655" i="7"/>
  <c r="R1655" i="7"/>
  <c r="Q1655" i="7"/>
  <c r="P1655" i="7"/>
  <c r="O1655" i="7"/>
  <c r="N1655" i="7"/>
  <c r="V1654" i="7"/>
  <c r="U1654" i="7"/>
  <c r="T1654" i="7"/>
  <c r="S1654" i="7"/>
  <c r="R1654" i="7"/>
  <c r="Q1654" i="7"/>
  <c r="P1654" i="7"/>
  <c r="O1654" i="7"/>
  <c r="N1654" i="7"/>
  <c r="V1653" i="7"/>
  <c r="U1653" i="7"/>
  <c r="T1653" i="7"/>
  <c r="S1653" i="7"/>
  <c r="R1653" i="7"/>
  <c r="Q1653" i="7"/>
  <c r="P1653" i="7"/>
  <c r="O1653" i="7"/>
  <c r="N1653" i="7"/>
  <c r="V1652" i="7"/>
  <c r="U1652" i="7"/>
  <c r="T1652" i="7"/>
  <c r="S1652" i="7"/>
  <c r="R1652" i="7"/>
  <c r="Q1652" i="7"/>
  <c r="P1652" i="7"/>
  <c r="O1652" i="7"/>
  <c r="N1652" i="7"/>
  <c r="V1651" i="7"/>
  <c r="U1651" i="7"/>
  <c r="T1651" i="7"/>
  <c r="S1651" i="7"/>
  <c r="R1651" i="7"/>
  <c r="Q1651" i="7"/>
  <c r="P1651" i="7"/>
  <c r="O1651" i="7"/>
  <c r="N1651" i="7"/>
  <c r="V1650" i="7"/>
  <c r="U1650" i="7"/>
  <c r="T1650" i="7"/>
  <c r="S1650" i="7"/>
  <c r="R1650" i="7"/>
  <c r="Q1650" i="7"/>
  <c r="P1650" i="7"/>
  <c r="O1650" i="7"/>
  <c r="N1650" i="7"/>
  <c r="V1649" i="7"/>
  <c r="U1649" i="7"/>
  <c r="T1649" i="7"/>
  <c r="S1649" i="7"/>
  <c r="R1649" i="7"/>
  <c r="Q1649" i="7"/>
  <c r="P1649" i="7"/>
  <c r="O1649" i="7"/>
  <c r="N1649" i="7"/>
  <c r="V1648" i="7"/>
  <c r="U1648" i="7"/>
  <c r="T1648" i="7"/>
  <c r="S1648" i="7"/>
  <c r="R1648" i="7"/>
  <c r="Q1648" i="7"/>
  <c r="P1648" i="7"/>
  <c r="O1648" i="7"/>
  <c r="N1648" i="7"/>
  <c r="V1647" i="7"/>
  <c r="U1647" i="7"/>
  <c r="T1647" i="7"/>
  <c r="S1647" i="7"/>
  <c r="R1647" i="7"/>
  <c r="Q1647" i="7"/>
  <c r="P1647" i="7"/>
  <c r="O1647" i="7"/>
  <c r="N1647" i="7"/>
  <c r="V1646" i="7"/>
  <c r="U1646" i="7"/>
  <c r="T1646" i="7"/>
  <c r="S1646" i="7"/>
  <c r="R1646" i="7"/>
  <c r="Q1646" i="7"/>
  <c r="P1646" i="7"/>
  <c r="O1646" i="7"/>
  <c r="N1646" i="7"/>
  <c r="V1645" i="7"/>
  <c r="U1645" i="7"/>
  <c r="T1645" i="7"/>
  <c r="S1645" i="7"/>
  <c r="R1645" i="7"/>
  <c r="Q1645" i="7"/>
  <c r="P1645" i="7"/>
  <c r="O1645" i="7"/>
  <c r="N1645" i="7"/>
  <c r="V1644" i="7"/>
  <c r="U1644" i="7"/>
  <c r="T1644" i="7"/>
  <c r="S1644" i="7"/>
  <c r="R1644" i="7"/>
  <c r="Q1644" i="7"/>
  <c r="P1644" i="7"/>
  <c r="O1644" i="7"/>
  <c r="N1644" i="7"/>
  <c r="V1643" i="7"/>
  <c r="U1643" i="7"/>
  <c r="T1643" i="7"/>
  <c r="S1643" i="7"/>
  <c r="R1643" i="7"/>
  <c r="Q1643" i="7"/>
  <c r="P1643" i="7"/>
  <c r="O1643" i="7"/>
  <c r="N1643" i="7"/>
  <c r="V1642" i="7"/>
  <c r="U1642" i="7"/>
  <c r="T1642" i="7"/>
  <c r="S1642" i="7"/>
  <c r="R1642" i="7"/>
  <c r="Q1642" i="7"/>
  <c r="P1642" i="7"/>
  <c r="O1642" i="7"/>
  <c r="N1642" i="7"/>
  <c r="V1641" i="7"/>
  <c r="U1641" i="7"/>
  <c r="T1641" i="7"/>
  <c r="S1641" i="7"/>
  <c r="R1641" i="7"/>
  <c r="Q1641" i="7"/>
  <c r="P1641" i="7"/>
  <c r="O1641" i="7"/>
  <c r="N1641" i="7"/>
  <c r="V1640" i="7"/>
  <c r="U1640" i="7"/>
  <c r="T1640" i="7"/>
  <c r="S1640" i="7"/>
  <c r="R1640" i="7"/>
  <c r="Q1640" i="7"/>
  <c r="P1640" i="7"/>
  <c r="O1640" i="7"/>
  <c r="N1640" i="7"/>
  <c r="V1639" i="7"/>
  <c r="U1639" i="7"/>
  <c r="T1639" i="7"/>
  <c r="S1639" i="7"/>
  <c r="R1639" i="7"/>
  <c r="Q1639" i="7"/>
  <c r="P1639" i="7"/>
  <c r="O1639" i="7"/>
  <c r="N1639" i="7"/>
  <c r="V1638" i="7"/>
  <c r="U1638" i="7"/>
  <c r="T1638" i="7"/>
  <c r="S1638" i="7"/>
  <c r="R1638" i="7"/>
  <c r="Q1638" i="7"/>
  <c r="P1638" i="7"/>
  <c r="O1638" i="7"/>
  <c r="N1638" i="7"/>
  <c r="V1637" i="7"/>
  <c r="U1637" i="7"/>
  <c r="T1637" i="7"/>
  <c r="S1637" i="7"/>
  <c r="R1637" i="7"/>
  <c r="Q1637" i="7"/>
  <c r="P1637" i="7"/>
  <c r="O1637" i="7"/>
  <c r="N1637" i="7"/>
  <c r="V1636" i="7"/>
  <c r="U1636" i="7"/>
  <c r="T1636" i="7"/>
  <c r="S1636" i="7"/>
  <c r="R1636" i="7"/>
  <c r="Q1636" i="7"/>
  <c r="P1636" i="7"/>
  <c r="O1636" i="7"/>
  <c r="N1636" i="7"/>
  <c r="V1635" i="7"/>
  <c r="U1635" i="7"/>
  <c r="T1635" i="7"/>
  <c r="S1635" i="7"/>
  <c r="R1635" i="7"/>
  <c r="Q1635" i="7"/>
  <c r="P1635" i="7"/>
  <c r="O1635" i="7"/>
  <c r="N1635" i="7"/>
  <c r="V1634" i="7"/>
  <c r="U1634" i="7"/>
  <c r="T1634" i="7"/>
  <c r="S1634" i="7"/>
  <c r="R1634" i="7"/>
  <c r="Q1634" i="7"/>
  <c r="P1634" i="7"/>
  <c r="O1634" i="7"/>
  <c r="N1634" i="7"/>
  <c r="V1633" i="7"/>
  <c r="U1633" i="7"/>
  <c r="T1633" i="7"/>
  <c r="S1633" i="7"/>
  <c r="R1633" i="7"/>
  <c r="Q1633" i="7"/>
  <c r="P1633" i="7"/>
  <c r="O1633" i="7"/>
  <c r="N1633" i="7"/>
  <c r="V1632" i="7"/>
  <c r="U1632" i="7"/>
  <c r="T1632" i="7"/>
  <c r="S1632" i="7"/>
  <c r="R1632" i="7"/>
  <c r="Q1632" i="7"/>
  <c r="P1632" i="7"/>
  <c r="O1632" i="7"/>
  <c r="N1632" i="7"/>
  <c r="V1631" i="7"/>
  <c r="U1631" i="7"/>
  <c r="T1631" i="7"/>
  <c r="S1631" i="7"/>
  <c r="R1631" i="7"/>
  <c r="Q1631" i="7"/>
  <c r="P1631" i="7"/>
  <c r="O1631" i="7"/>
  <c r="N1631" i="7"/>
  <c r="V1630" i="7"/>
  <c r="U1630" i="7"/>
  <c r="T1630" i="7"/>
  <c r="S1630" i="7"/>
  <c r="R1630" i="7"/>
  <c r="Q1630" i="7"/>
  <c r="P1630" i="7"/>
  <c r="O1630" i="7"/>
  <c r="N1630" i="7"/>
  <c r="V1629" i="7"/>
  <c r="U1629" i="7"/>
  <c r="T1629" i="7"/>
  <c r="S1629" i="7"/>
  <c r="R1629" i="7"/>
  <c r="Q1629" i="7"/>
  <c r="P1629" i="7"/>
  <c r="O1629" i="7"/>
  <c r="N1629" i="7"/>
  <c r="V1628" i="7"/>
  <c r="U1628" i="7"/>
  <c r="T1628" i="7"/>
  <c r="S1628" i="7"/>
  <c r="R1628" i="7"/>
  <c r="Q1628" i="7"/>
  <c r="P1628" i="7"/>
  <c r="O1628" i="7"/>
  <c r="N1628" i="7"/>
  <c r="V1627" i="7"/>
  <c r="U1627" i="7"/>
  <c r="T1627" i="7"/>
  <c r="S1627" i="7"/>
  <c r="R1627" i="7"/>
  <c r="Q1627" i="7"/>
  <c r="P1627" i="7"/>
  <c r="O1627" i="7"/>
  <c r="N1627" i="7"/>
  <c r="V1626" i="7"/>
  <c r="U1626" i="7"/>
  <c r="T1626" i="7"/>
  <c r="S1626" i="7"/>
  <c r="R1626" i="7"/>
  <c r="Q1626" i="7"/>
  <c r="P1626" i="7"/>
  <c r="O1626" i="7"/>
  <c r="N1626" i="7"/>
  <c r="V1625" i="7"/>
  <c r="U1625" i="7"/>
  <c r="T1625" i="7"/>
  <c r="S1625" i="7"/>
  <c r="R1625" i="7"/>
  <c r="Q1625" i="7"/>
  <c r="P1625" i="7"/>
  <c r="O1625" i="7"/>
  <c r="N1625" i="7"/>
  <c r="V1624" i="7"/>
  <c r="U1624" i="7"/>
  <c r="T1624" i="7"/>
  <c r="S1624" i="7"/>
  <c r="R1624" i="7"/>
  <c r="Q1624" i="7"/>
  <c r="P1624" i="7"/>
  <c r="O1624" i="7"/>
  <c r="N1624" i="7"/>
  <c r="V1623" i="7"/>
  <c r="U1623" i="7"/>
  <c r="T1623" i="7"/>
  <c r="S1623" i="7"/>
  <c r="R1623" i="7"/>
  <c r="Q1623" i="7"/>
  <c r="P1623" i="7"/>
  <c r="O1623" i="7"/>
  <c r="N1623" i="7"/>
  <c r="V1622" i="7"/>
  <c r="U1622" i="7"/>
  <c r="T1622" i="7"/>
  <c r="S1622" i="7"/>
  <c r="R1622" i="7"/>
  <c r="Q1622" i="7"/>
  <c r="P1622" i="7"/>
  <c r="O1622" i="7"/>
  <c r="N1622" i="7"/>
  <c r="V1621" i="7"/>
  <c r="U1621" i="7"/>
  <c r="T1621" i="7"/>
  <c r="S1621" i="7"/>
  <c r="R1621" i="7"/>
  <c r="Q1621" i="7"/>
  <c r="P1621" i="7"/>
  <c r="O1621" i="7"/>
  <c r="N1621" i="7"/>
  <c r="V1620" i="7"/>
  <c r="U1620" i="7"/>
  <c r="T1620" i="7"/>
  <c r="S1620" i="7"/>
  <c r="R1620" i="7"/>
  <c r="Q1620" i="7"/>
  <c r="P1620" i="7"/>
  <c r="O1620" i="7"/>
  <c r="N1620" i="7"/>
  <c r="V1619" i="7"/>
  <c r="U1619" i="7"/>
  <c r="T1619" i="7"/>
  <c r="S1619" i="7"/>
  <c r="R1619" i="7"/>
  <c r="Q1619" i="7"/>
  <c r="P1619" i="7"/>
  <c r="O1619" i="7"/>
  <c r="N1619" i="7"/>
  <c r="V1618" i="7"/>
  <c r="U1618" i="7"/>
  <c r="T1618" i="7"/>
  <c r="S1618" i="7"/>
  <c r="R1618" i="7"/>
  <c r="Q1618" i="7"/>
  <c r="P1618" i="7"/>
  <c r="O1618" i="7"/>
  <c r="N1618" i="7"/>
  <c r="V1617" i="7"/>
  <c r="U1617" i="7"/>
  <c r="T1617" i="7"/>
  <c r="S1617" i="7"/>
  <c r="R1617" i="7"/>
  <c r="Q1617" i="7"/>
  <c r="P1617" i="7"/>
  <c r="O1617" i="7"/>
  <c r="N1617" i="7"/>
  <c r="V1616" i="7"/>
  <c r="U1616" i="7"/>
  <c r="T1616" i="7"/>
  <c r="S1616" i="7"/>
  <c r="R1616" i="7"/>
  <c r="Q1616" i="7"/>
  <c r="P1616" i="7"/>
  <c r="O1616" i="7"/>
  <c r="N1616" i="7"/>
  <c r="V1615" i="7"/>
  <c r="U1615" i="7"/>
  <c r="T1615" i="7"/>
  <c r="S1615" i="7"/>
  <c r="R1615" i="7"/>
  <c r="Q1615" i="7"/>
  <c r="P1615" i="7"/>
  <c r="O1615" i="7"/>
  <c r="N1615" i="7"/>
  <c r="V1614" i="7"/>
  <c r="U1614" i="7"/>
  <c r="T1614" i="7"/>
  <c r="S1614" i="7"/>
  <c r="R1614" i="7"/>
  <c r="Q1614" i="7"/>
  <c r="P1614" i="7"/>
  <c r="O1614" i="7"/>
  <c r="N1614" i="7"/>
  <c r="V1613" i="7"/>
  <c r="U1613" i="7"/>
  <c r="T1613" i="7"/>
  <c r="S1613" i="7"/>
  <c r="R1613" i="7"/>
  <c r="Q1613" i="7"/>
  <c r="P1613" i="7"/>
  <c r="O1613" i="7"/>
  <c r="N1613" i="7"/>
  <c r="V1612" i="7"/>
  <c r="U1612" i="7"/>
  <c r="T1612" i="7"/>
  <c r="S1612" i="7"/>
  <c r="R1612" i="7"/>
  <c r="Q1612" i="7"/>
  <c r="P1612" i="7"/>
  <c r="O1612" i="7"/>
  <c r="N1612" i="7"/>
  <c r="V1611" i="7"/>
  <c r="U1611" i="7"/>
  <c r="T1611" i="7"/>
  <c r="S1611" i="7"/>
  <c r="R1611" i="7"/>
  <c r="Q1611" i="7"/>
  <c r="P1611" i="7"/>
  <c r="O1611" i="7"/>
  <c r="N1611" i="7"/>
  <c r="V1610" i="7"/>
  <c r="U1610" i="7"/>
  <c r="T1610" i="7"/>
  <c r="S1610" i="7"/>
  <c r="R1610" i="7"/>
  <c r="Q1610" i="7"/>
  <c r="P1610" i="7"/>
  <c r="O1610" i="7"/>
  <c r="N1610" i="7"/>
  <c r="V1609" i="7"/>
  <c r="U1609" i="7"/>
  <c r="T1609" i="7"/>
  <c r="S1609" i="7"/>
  <c r="R1609" i="7"/>
  <c r="Q1609" i="7"/>
  <c r="P1609" i="7"/>
  <c r="O1609" i="7"/>
  <c r="N1609" i="7"/>
  <c r="V1608" i="7"/>
  <c r="U1608" i="7"/>
  <c r="T1608" i="7"/>
  <c r="S1608" i="7"/>
  <c r="R1608" i="7"/>
  <c r="Q1608" i="7"/>
  <c r="P1608" i="7"/>
  <c r="O1608" i="7"/>
  <c r="N1608" i="7"/>
  <c r="V1607" i="7"/>
  <c r="U1607" i="7"/>
  <c r="T1607" i="7"/>
  <c r="S1607" i="7"/>
  <c r="R1607" i="7"/>
  <c r="Q1607" i="7"/>
  <c r="P1607" i="7"/>
  <c r="O1607" i="7"/>
  <c r="N1607" i="7"/>
  <c r="V1606" i="7"/>
  <c r="U1606" i="7"/>
  <c r="T1606" i="7"/>
  <c r="S1606" i="7"/>
  <c r="R1606" i="7"/>
  <c r="Q1606" i="7"/>
  <c r="P1606" i="7"/>
  <c r="O1606" i="7"/>
  <c r="N1606" i="7"/>
  <c r="V1605" i="7"/>
  <c r="U1605" i="7"/>
  <c r="T1605" i="7"/>
  <c r="S1605" i="7"/>
  <c r="R1605" i="7"/>
  <c r="Q1605" i="7"/>
  <c r="P1605" i="7"/>
  <c r="O1605" i="7"/>
  <c r="N1605" i="7"/>
  <c r="V1604" i="7"/>
  <c r="U1604" i="7"/>
  <c r="T1604" i="7"/>
  <c r="S1604" i="7"/>
  <c r="R1604" i="7"/>
  <c r="Q1604" i="7"/>
  <c r="P1604" i="7"/>
  <c r="O1604" i="7"/>
  <c r="N1604" i="7"/>
  <c r="V1603" i="7"/>
  <c r="U1603" i="7"/>
  <c r="T1603" i="7"/>
  <c r="S1603" i="7"/>
  <c r="R1603" i="7"/>
  <c r="Q1603" i="7"/>
  <c r="P1603" i="7"/>
  <c r="O1603" i="7"/>
  <c r="N1603" i="7"/>
  <c r="V1602" i="7"/>
  <c r="U1602" i="7"/>
  <c r="T1602" i="7"/>
  <c r="S1602" i="7"/>
  <c r="R1602" i="7"/>
  <c r="Q1602" i="7"/>
  <c r="P1602" i="7"/>
  <c r="O1602" i="7"/>
  <c r="N1602" i="7"/>
  <c r="V1601" i="7"/>
  <c r="U1601" i="7"/>
  <c r="T1601" i="7"/>
  <c r="S1601" i="7"/>
  <c r="R1601" i="7"/>
  <c r="Q1601" i="7"/>
  <c r="P1601" i="7"/>
  <c r="O1601" i="7"/>
  <c r="N1601" i="7"/>
  <c r="V1600" i="7"/>
  <c r="U1600" i="7"/>
  <c r="T1600" i="7"/>
  <c r="S1600" i="7"/>
  <c r="R1600" i="7"/>
  <c r="Q1600" i="7"/>
  <c r="P1600" i="7"/>
  <c r="O1600" i="7"/>
  <c r="N1600" i="7"/>
  <c r="V1599" i="7"/>
  <c r="U1599" i="7"/>
  <c r="T1599" i="7"/>
  <c r="S1599" i="7"/>
  <c r="R1599" i="7"/>
  <c r="Q1599" i="7"/>
  <c r="P1599" i="7"/>
  <c r="O1599" i="7"/>
  <c r="N1599" i="7"/>
  <c r="V1598" i="7"/>
  <c r="U1598" i="7"/>
  <c r="T1598" i="7"/>
  <c r="S1598" i="7"/>
  <c r="R1598" i="7"/>
  <c r="Q1598" i="7"/>
  <c r="P1598" i="7"/>
  <c r="O1598" i="7"/>
  <c r="N1598" i="7"/>
  <c r="V1597" i="7"/>
  <c r="U1597" i="7"/>
  <c r="T1597" i="7"/>
  <c r="S1597" i="7"/>
  <c r="R1597" i="7"/>
  <c r="Q1597" i="7"/>
  <c r="P1597" i="7"/>
  <c r="O1597" i="7"/>
  <c r="N1597" i="7"/>
  <c r="V1596" i="7"/>
  <c r="U1596" i="7"/>
  <c r="T1596" i="7"/>
  <c r="S1596" i="7"/>
  <c r="R1596" i="7"/>
  <c r="Q1596" i="7"/>
  <c r="P1596" i="7"/>
  <c r="O1596" i="7"/>
  <c r="N1596" i="7"/>
  <c r="V1595" i="7"/>
  <c r="U1595" i="7"/>
  <c r="T1595" i="7"/>
  <c r="S1595" i="7"/>
  <c r="R1595" i="7"/>
  <c r="Q1595" i="7"/>
  <c r="P1595" i="7"/>
  <c r="O1595" i="7"/>
  <c r="N1595" i="7"/>
  <c r="V1594" i="7"/>
  <c r="U1594" i="7"/>
  <c r="T1594" i="7"/>
  <c r="S1594" i="7"/>
  <c r="R1594" i="7"/>
  <c r="Q1594" i="7"/>
  <c r="P1594" i="7"/>
  <c r="O1594" i="7"/>
  <c r="N1594" i="7"/>
  <c r="V1593" i="7"/>
  <c r="U1593" i="7"/>
  <c r="T1593" i="7"/>
  <c r="S1593" i="7"/>
  <c r="R1593" i="7"/>
  <c r="Q1593" i="7"/>
  <c r="P1593" i="7"/>
  <c r="O1593" i="7"/>
  <c r="N1593" i="7"/>
  <c r="V1592" i="7"/>
  <c r="U1592" i="7"/>
  <c r="T1592" i="7"/>
  <c r="S1592" i="7"/>
  <c r="R1592" i="7"/>
  <c r="Q1592" i="7"/>
  <c r="P1592" i="7"/>
  <c r="O1592" i="7"/>
  <c r="N1592" i="7"/>
  <c r="V1591" i="7"/>
  <c r="U1591" i="7"/>
  <c r="T1591" i="7"/>
  <c r="S1591" i="7"/>
  <c r="R1591" i="7"/>
  <c r="Q1591" i="7"/>
  <c r="P1591" i="7"/>
  <c r="O1591" i="7"/>
  <c r="N1591" i="7"/>
  <c r="V1590" i="7"/>
  <c r="U1590" i="7"/>
  <c r="T1590" i="7"/>
  <c r="S1590" i="7"/>
  <c r="R1590" i="7"/>
  <c r="Q1590" i="7"/>
  <c r="P1590" i="7"/>
  <c r="O1590" i="7"/>
  <c r="N1590" i="7"/>
  <c r="V1589" i="7"/>
  <c r="U1589" i="7"/>
  <c r="T1589" i="7"/>
  <c r="S1589" i="7"/>
  <c r="R1589" i="7"/>
  <c r="Q1589" i="7"/>
  <c r="P1589" i="7"/>
  <c r="O1589" i="7"/>
  <c r="N1589" i="7"/>
  <c r="V1588" i="7"/>
  <c r="U1588" i="7"/>
  <c r="T1588" i="7"/>
  <c r="S1588" i="7"/>
  <c r="R1588" i="7"/>
  <c r="Q1588" i="7"/>
  <c r="P1588" i="7"/>
  <c r="O1588" i="7"/>
  <c r="N1588" i="7"/>
  <c r="V1587" i="7"/>
  <c r="U1587" i="7"/>
  <c r="T1587" i="7"/>
  <c r="S1587" i="7"/>
  <c r="R1587" i="7"/>
  <c r="Q1587" i="7"/>
  <c r="P1587" i="7"/>
  <c r="O1587" i="7"/>
  <c r="N1587" i="7"/>
  <c r="V1586" i="7"/>
  <c r="U1586" i="7"/>
  <c r="T1586" i="7"/>
  <c r="S1586" i="7"/>
  <c r="R1586" i="7"/>
  <c r="Q1586" i="7"/>
  <c r="P1586" i="7"/>
  <c r="O1586" i="7"/>
  <c r="N1586" i="7"/>
  <c r="V1585" i="7"/>
  <c r="U1585" i="7"/>
  <c r="T1585" i="7"/>
  <c r="S1585" i="7"/>
  <c r="R1585" i="7"/>
  <c r="Q1585" i="7"/>
  <c r="P1585" i="7"/>
  <c r="O1585" i="7"/>
  <c r="N1585" i="7"/>
  <c r="V1584" i="7"/>
  <c r="U1584" i="7"/>
  <c r="T1584" i="7"/>
  <c r="S1584" i="7"/>
  <c r="R1584" i="7"/>
  <c r="Q1584" i="7"/>
  <c r="P1584" i="7"/>
  <c r="O1584" i="7"/>
  <c r="N1584" i="7"/>
  <c r="V1583" i="7"/>
  <c r="U1583" i="7"/>
  <c r="T1583" i="7"/>
  <c r="S1583" i="7"/>
  <c r="R1583" i="7"/>
  <c r="Q1583" i="7"/>
  <c r="P1583" i="7"/>
  <c r="O1583" i="7"/>
  <c r="N1583" i="7"/>
  <c r="V1582" i="7"/>
  <c r="U1582" i="7"/>
  <c r="T1582" i="7"/>
  <c r="S1582" i="7"/>
  <c r="R1582" i="7"/>
  <c r="Q1582" i="7"/>
  <c r="P1582" i="7"/>
  <c r="O1582" i="7"/>
  <c r="N1582" i="7"/>
  <c r="V1581" i="7"/>
  <c r="U1581" i="7"/>
  <c r="T1581" i="7"/>
  <c r="S1581" i="7"/>
  <c r="R1581" i="7"/>
  <c r="Q1581" i="7"/>
  <c r="P1581" i="7"/>
  <c r="O1581" i="7"/>
  <c r="N1581" i="7"/>
  <c r="V1580" i="7"/>
  <c r="U1580" i="7"/>
  <c r="T1580" i="7"/>
  <c r="S1580" i="7"/>
  <c r="R1580" i="7"/>
  <c r="Q1580" i="7"/>
  <c r="P1580" i="7"/>
  <c r="O1580" i="7"/>
  <c r="N1580" i="7"/>
  <c r="V1579" i="7"/>
  <c r="U1579" i="7"/>
  <c r="T1579" i="7"/>
  <c r="S1579" i="7"/>
  <c r="R1579" i="7"/>
  <c r="Q1579" i="7"/>
  <c r="P1579" i="7"/>
  <c r="O1579" i="7"/>
  <c r="N1579" i="7"/>
  <c r="V1578" i="7"/>
  <c r="U1578" i="7"/>
  <c r="T1578" i="7"/>
  <c r="S1578" i="7"/>
  <c r="R1578" i="7"/>
  <c r="Q1578" i="7"/>
  <c r="P1578" i="7"/>
  <c r="O1578" i="7"/>
  <c r="N1578" i="7"/>
  <c r="V1577" i="7"/>
  <c r="U1577" i="7"/>
  <c r="T1577" i="7"/>
  <c r="S1577" i="7"/>
  <c r="R1577" i="7"/>
  <c r="Q1577" i="7"/>
  <c r="P1577" i="7"/>
  <c r="O1577" i="7"/>
  <c r="N1577" i="7"/>
  <c r="V1576" i="7"/>
  <c r="U1576" i="7"/>
  <c r="T1576" i="7"/>
  <c r="S1576" i="7"/>
  <c r="R1576" i="7"/>
  <c r="Q1576" i="7"/>
  <c r="P1576" i="7"/>
  <c r="O1576" i="7"/>
  <c r="N1576" i="7"/>
  <c r="V1575" i="7"/>
  <c r="U1575" i="7"/>
  <c r="T1575" i="7"/>
  <c r="S1575" i="7"/>
  <c r="R1575" i="7"/>
  <c r="Q1575" i="7"/>
  <c r="P1575" i="7"/>
  <c r="O1575" i="7"/>
  <c r="N1575" i="7"/>
  <c r="V1574" i="7"/>
  <c r="U1574" i="7"/>
  <c r="T1574" i="7"/>
  <c r="S1574" i="7"/>
  <c r="R1574" i="7"/>
  <c r="Q1574" i="7"/>
  <c r="P1574" i="7"/>
  <c r="O1574" i="7"/>
  <c r="N1574" i="7"/>
  <c r="V1573" i="7"/>
  <c r="U1573" i="7"/>
  <c r="T1573" i="7"/>
  <c r="S1573" i="7"/>
  <c r="R1573" i="7"/>
  <c r="Q1573" i="7"/>
  <c r="P1573" i="7"/>
  <c r="O1573" i="7"/>
  <c r="N1573" i="7"/>
  <c r="V1572" i="7"/>
  <c r="U1572" i="7"/>
  <c r="T1572" i="7"/>
  <c r="S1572" i="7"/>
  <c r="R1572" i="7"/>
  <c r="Q1572" i="7"/>
  <c r="P1572" i="7"/>
  <c r="O1572" i="7"/>
  <c r="N1572" i="7"/>
  <c r="V1571" i="7"/>
  <c r="U1571" i="7"/>
  <c r="T1571" i="7"/>
  <c r="S1571" i="7"/>
  <c r="R1571" i="7"/>
  <c r="Q1571" i="7"/>
  <c r="P1571" i="7"/>
  <c r="O1571" i="7"/>
  <c r="N1571" i="7"/>
  <c r="V1570" i="7"/>
  <c r="U1570" i="7"/>
  <c r="T1570" i="7"/>
  <c r="S1570" i="7"/>
  <c r="R1570" i="7"/>
  <c r="Q1570" i="7"/>
  <c r="P1570" i="7"/>
  <c r="O1570" i="7"/>
  <c r="N1570" i="7"/>
  <c r="V1569" i="7"/>
  <c r="U1569" i="7"/>
  <c r="T1569" i="7"/>
  <c r="S1569" i="7"/>
  <c r="R1569" i="7"/>
  <c r="Q1569" i="7"/>
  <c r="P1569" i="7"/>
  <c r="O1569" i="7"/>
  <c r="N1569" i="7"/>
  <c r="V1568" i="7"/>
  <c r="U1568" i="7"/>
  <c r="T1568" i="7"/>
  <c r="S1568" i="7"/>
  <c r="R1568" i="7"/>
  <c r="Q1568" i="7"/>
  <c r="P1568" i="7"/>
  <c r="O1568" i="7"/>
  <c r="N1568" i="7"/>
  <c r="V1567" i="7"/>
  <c r="U1567" i="7"/>
  <c r="T1567" i="7"/>
  <c r="S1567" i="7"/>
  <c r="R1567" i="7"/>
  <c r="Q1567" i="7"/>
  <c r="P1567" i="7"/>
  <c r="O1567" i="7"/>
  <c r="N1567" i="7"/>
  <c r="V1566" i="7"/>
  <c r="U1566" i="7"/>
  <c r="T1566" i="7"/>
  <c r="S1566" i="7"/>
  <c r="R1566" i="7"/>
  <c r="Q1566" i="7"/>
  <c r="P1566" i="7"/>
  <c r="O1566" i="7"/>
  <c r="N1566" i="7"/>
  <c r="V1565" i="7"/>
  <c r="U1565" i="7"/>
  <c r="T1565" i="7"/>
  <c r="S1565" i="7"/>
  <c r="R1565" i="7"/>
  <c r="Q1565" i="7"/>
  <c r="P1565" i="7"/>
  <c r="O1565" i="7"/>
  <c r="N1565" i="7"/>
  <c r="V1564" i="7"/>
  <c r="U1564" i="7"/>
  <c r="T1564" i="7"/>
  <c r="S1564" i="7"/>
  <c r="R1564" i="7"/>
  <c r="Q1564" i="7"/>
  <c r="P1564" i="7"/>
  <c r="O1564" i="7"/>
  <c r="N1564" i="7"/>
  <c r="V1563" i="7"/>
  <c r="U1563" i="7"/>
  <c r="T1563" i="7"/>
  <c r="S1563" i="7"/>
  <c r="R1563" i="7"/>
  <c r="Q1563" i="7"/>
  <c r="P1563" i="7"/>
  <c r="O1563" i="7"/>
  <c r="N1563" i="7"/>
  <c r="V1562" i="7"/>
  <c r="U1562" i="7"/>
  <c r="T1562" i="7"/>
  <c r="S1562" i="7"/>
  <c r="R1562" i="7"/>
  <c r="Q1562" i="7"/>
  <c r="P1562" i="7"/>
  <c r="O1562" i="7"/>
  <c r="N1562" i="7"/>
  <c r="V1561" i="7"/>
  <c r="U1561" i="7"/>
  <c r="T1561" i="7"/>
  <c r="S1561" i="7"/>
  <c r="R1561" i="7"/>
  <c r="Q1561" i="7"/>
  <c r="P1561" i="7"/>
  <c r="O1561" i="7"/>
  <c r="N1561" i="7"/>
  <c r="V1560" i="7"/>
  <c r="U1560" i="7"/>
  <c r="T1560" i="7"/>
  <c r="S1560" i="7"/>
  <c r="R1560" i="7"/>
  <c r="Q1560" i="7"/>
  <c r="P1560" i="7"/>
  <c r="O1560" i="7"/>
  <c r="N1560" i="7"/>
  <c r="V1559" i="7"/>
  <c r="U1559" i="7"/>
  <c r="T1559" i="7"/>
  <c r="S1559" i="7"/>
  <c r="R1559" i="7"/>
  <c r="Q1559" i="7"/>
  <c r="P1559" i="7"/>
  <c r="O1559" i="7"/>
  <c r="N1559" i="7"/>
  <c r="V1558" i="7"/>
  <c r="U1558" i="7"/>
  <c r="T1558" i="7"/>
  <c r="S1558" i="7"/>
  <c r="R1558" i="7"/>
  <c r="Q1558" i="7"/>
  <c r="P1558" i="7"/>
  <c r="O1558" i="7"/>
  <c r="N1558" i="7"/>
  <c r="V1557" i="7"/>
  <c r="U1557" i="7"/>
  <c r="T1557" i="7"/>
  <c r="S1557" i="7"/>
  <c r="R1557" i="7"/>
  <c r="Q1557" i="7"/>
  <c r="P1557" i="7"/>
  <c r="O1557" i="7"/>
  <c r="N1557" i="7"/>
  <c r="V1556" i="7"/>
  <c r="U1556" i="7"/>
  <c r="T1556" i="7"/>
  <c r="S1556" i="7"/>
  <c r="R1556" i="7"/>
  <c r="Q1556" i="7"/>
  <c r="P1556" i="7"/>
  <c r="O1556" i="7"/>
  <c r="N1556" i="7"/>
  <c r="V1555" i="7"/>
  <c r="U1555" i="7"/>
  <c r="T1555" i="7"/>
  <c r="S1555" i="7"/>
  <c r="R1555" i="7"/>
  <c r="Q1555" i="7"/>
  <c r="P1555" i="7"/>
  <c r="O1555" i="7"/>
  <c r="N1555" i="7"/>
  <c r="V1554" i="7"/>
  <c r="U1554" i="7"/>
  <c r="T1554" i="7"/>
  <c r="S1554" i="7"/>
  <c r="R1554" i="7"/>
  <c r="Q1554" i="7"/>
  <c r="P1554" i="7"/>
  <c r="O1554" i="7"/>
  <c r="N1554" i="7"/>
  <c r="V1553" i="7"/>
  <c r="U1553" i="7"/>
  <c r="T1553" i="7"/>
  <c r="S1553" i="7"/>
  <c r="R1553" i="7"/>
  <c r="Q1553" i="7"/>
  <c r="P1553" i="7"/>
  <c r="O1553" i="7"/>
  <c r="N1553" i="7"/>
  <c r="V1552" i="7"/>
  <c r="U1552" i="7"/>
  <c r="T1552" i="7"/>
  <c r="S1552" i="7"/>
  <c r="R1552" i="7"/>
  <c r="Q1552" i="7"/>
  <c r="P1552" i="7"/>
  <c r="O1552" i="7"/>
  <c r="N1552" i="7"/>
  <c r="V1551" i="7"/>
  <c r="U1551" i="7"/>
  <c r="T1551" i="7"/>
  <c r="S1551" i="7"/>
  <c r="R1551" i="7"/>
  <c r="Q1551" i="7"/>
  <c r="P1551" i="7"/>
  <c r="O1551" i="7"/>
  <c r="N1551" i="7"/>
  <c r="V1550" i="7"/>
  <c r="U1550" i="7"/>
  <c r="T1550" i="7"/>
  <c r="S1550" i="7"/>
  <c r="R1550" i="7"/>
  <c r="Q1550" i="7"/>
  <c r="P1550" i="7"/>
  <c r="O1550" i="7"/>
  <c r="N1550" i="7"/>
  <c r="V1549" i="7"/>
  <c r="U1549" i="7"/>
  <c r="T1549" i="7"/>
  <c r="S1549" i="7"/>
  <c r="R1549" i="7"/>
  <c r="Q1549" i="7"/>
  <c r="P1549" i="7"/>
  <c r="O1549" i="7"/>
  <c r="N1549" i="7"/>
  <c r="V1548" i="7"/>
  <c r="U1548" i="7"/>
  <c r="T1548" i="7"/>
  <c r="S1548" i="7"/>
  <c r="R1548" i="7"/>
  <c r="Q1548" i="7"/>
  <c r="P1548" i="7"/>
  <c r="O1548" i="7"/>
  <c r="N1548" i="7"/>
  <c r="V1547" i="7"/>
  <c r="U1547" i="7"/>
  <c r="T1547" i="7"/>
  <c r="S1547" i="7"/>
  <c r="R1547" i="7"/>
  <c r="Q1547" i="7"/>
  <c r="P1547" i="7"/>
  <c r="O1547" i="7"/>
  <c r="N1547" i="7"/>
  <c r="V1546" i="7"/>
  <c r="U1546" i="7"/>
  <c r="T1546" i="7"/>
  <c r="S1546" i="7"/>
  <c r="R1546" i="7"/>
  <c r="Q1546" i="7"/>
  <c r="P1546" i="7"/>
  <c r="O1546" i="7"/>
  <c r="N1546" i="7"/>
  <c r="V1545" i="7"/>
  <c r="U1545" i="7"/>
  <c r="T1545" i="7"/>
  <c r="S1545" i="7"/>
  <c r="R1545" i="7"/>
  <c r="Q1545" i="7"/>
  <c r="P1545" i="7"/>
  <c r="O1545" i="7"/>
  <c r="N1545" i="7"/>
  <c r="V1544" i="7"/>
  <c r="U1544" i="7"/>
  <c r="T1544" i="7"/>
  <c r="S1544" i="7"/>
  <c r="R1544" i="7"/>
  <c r="Q1544" i="7"/>
  <c r="P1544" i="7"/>
  <c r="O1544" i="7"/>
  <c r="N1544" i="7"/>
  <c r="V1543" i="7"/>
  <c r="U1543" i="7"/>
  <c r="T1543" i="7"/>
  <c r="S1543" i="7"/>
  <c r="R1543" i="7"/>
  <c r="Q1543" i="7"/>
  <c r="P1543" i="7"/>
  <c r="O1543" i="7"/>
  <c r="N1543" i="7"/>
  <c r="V1542" i="7"/>
  <c r="U1542" i="7"/>
  <c r="T1542" i="7"/>
  <c r="S1542" i="7"/>
  <c r="R1542" i="7"/>
  <c r="Q1542" i="7"/>
  <c r="P1542" i="7"/>
  <c r="O1542" i="7"/>
  <c r="N1542" i="7"/>
  <c r="V1541" i="7"/>
  <c r="U1541" i="7"/>
  <c r="T1541" i="7"/>
  <c r="S1541" i="7"/>
  <c r="R1541" i="7"/>
  <c r="Q1541" i="7"/>
  <c r="P1541" i="7"/>
  <c r="O1541" i="7"/>
  <c r="N1541" i="7"/>
  <c r="V1540" i="7"/>
  <c r="U1540" i="7"/>
  <c r="T1540" i="7"/>
  <c r="S1540" i="7"/>
  <c r="R1540" i="7"/>
  <c r="Q1540" i="7"/>
  <c r="P1540" i="7"/>
  <c r="O1540" i="7"/>
  <c r="N1540" i="7"/>
  <c r="V1539" i="7"/>
  <c r="U1539" i="7"/>
  <c r="T1539" i="7"/>
  <c r="S1539" i="7"/>
  <c r="R1539" i="7"/>
  <c r="Q1539" i="7"/>
  <c r="P1539" i="7"/>
  <c r="O1539" i="7"/>
  <c r="N1539" i="7"/>
  <c r="V1538" i="7"/>
  <c r="U1538" i="7"/>
  <c r="T1538" i="7"/>
  <c r="S1538" i="7"/>
  <c r="R1538" i="7"/>
  <c r="Q1538" i="7"/>
  <c r="P1538" i="7"/>
  <c r="O1538" i="7"/>
  <c r="N1538" i="7"/>
  <c r="V1537" i="7"/>
  <c r="U1537" i="7"/>
  <c r="T1537" i="7"/>
  <c r="S1537" i="7"/>
  <c r="R1537" i="7"/>
  <c r="Q1537" i="7"/>
  <c r="P1537" i="7"/>
  <c r="O1537" i="7"/>
  <c r="N1537" i="7"/>
  <c r="V1536" i="7"/>
  <c r="U1536" i="7"/>
  <c r="T1536" i="7"/>
  <c r="S1536" i="7"/>
  <c r="R1536" i="7"/>
  <c r="Q1536" i="7"/>
  <c r="P1536" i="7"/>
  <c r="O1536" i="7"/>
  <c r="N1536" i="7"/>
  <c r="V1535" i="7"/>
  <c r="U1535" i="7"/>
  <c r="T1535" i="7"/>
  <c r="S1535" i="7"/>
  <c r="R1535" i="7"/>
  <c r="Q1535" i="7"/>
  <c r="P1535" i="7"/>
  <c r="O1535" i="7"/>
  <c r="N1535" i="7"/>
  <c r="V1534" i="7"/>
  <c r="U1534" i="7"/>
  <c r="T1534" i="7"/>
  <c r="S1534" i="7"/>
  <c r="R1534" i="7"/>
  <c r="Q1534" i="7"/>
  <c r="P1534" i="7"/>
  <c r="O1534" i="7"/>
  <c r="N1534" i="7"/>
  <c r="V1533" i="7"/>
  <c r="U1533" i="7"/>
  <c r="T1533" i="7"/>
  <c r="S1533" i="7"/>
  <c r="R1533" i="7"/>
  <c r="Q1533" i="7"/>
  <c r="P1533" i="7"/>
  <c r="O1533" i="7"/>
  <c r="N1533" i="7"/>
  <c r="V1532" i="7"/>
  <c r="U1532" i="7"/>
  <c r="T1532" i="7"/>
  <c r="S1532" i="7"/>
  <c r="R1532" i="7"/>
  <c r="Q1532" i="7"/>
  <c r="P1532" i="7"/>
  <c r="O1532" i="7"/>
  <c r="N1532" i="7"/>
  <c r="V1531" i="7"/>
  <c r="U1531" i="7"/>
  <c r="T1531" i="7"/>
  <c r="S1531" i="7"/>
  <c r="R1531" i="7"/>
  <c r="Q1531" i="7"/>
  <c r="P1531" i="7"/>
  <c r="O1531" i="7"/>
  <c r="N1531" i="7"/>
  <c r="V1530" i="7"/>
  <c r="U1530" i="7"/>
  <c r="T1530" i="7"/>
  <c r="S1530" i="7"/>
  <c r="R1530" i="7"/>
  <c r="Q1530" i="7"/>
  <c r="P1530" i="7"/>
  <c r="O1530" i="7"/>
  <c r="N1530" i="7"/>
  <c r="V1529" i="7"/>
  <c r="U1529" i="7"/>
  <c r="T1529" i="7"/>
  <c r="S1529" i="7"/>
  <c r="R1529" i="7"/>
  <c r="Q1529" i="7"/>
  <c r="P1529" i="7"/>
  <c r="O1529" i="7"/>
  <c r="N1529" i="7"/>
  <c r="V1528" i="7"/>
  <c r="U1528" i="7"/>
  <c r="T1528" i="7"/>
  <c r="S1528" i="7"/>
  <c r="R1528" i="7"/>
  <c r="Q1528" i="7"/>
  <c r="P1528" i="7"/>
  <c r="O1528" i="7"/>
  <c r="N1528" i="7"/>
  <c r="V1527" i="7"/>
  <c r="U1527" i="7"/>
  <c r="T1527" i="7"/>
  <c r="S1527" i="7"/>
  <c r="R1527" i="7"/>
  <c r="Q1527" i="7"/>
  <c r="P1527" i="7"/>
  <c r="O1527" i="7"/>
  <c r="N1527" i="7"/>
  <c r="V1526" i="7"/>
  <c r="U1526" i="7"/>
  <c r="T1526" i="7"/>
  <c r="S1526" i="7"/>
  <c r="R1526" i="7"/>
  <c r="Q1526" i="7"/>
  <c r="P1526" i="7"/>
  <c r="O1526" i="7"/>
  <c r="N1526" i="7"/>
  <c r="V1525" i="7"/>
  <c r="U1525" i="7"/>
  <c r="T1525" i="7"/>
  <c r="S1525" i="7"/>
  <c r="R1525" i="7"/>
  <c r="Q1525" i="7"/>
  <c r="P1525" i="7"/>
  <c r="O1525" i="7"/>
  <c r="N1525" i="7"/>
  <c r="V1524" i="7"/>
  <c r="U1524" i="7"/>
  <c r="T1524" i="7"/>
  <c r="S1524" i="7"/>
  <c r="R1524" i="7"/>
  <c r="Q1524" i="7"/>
  <c r="P1524" i="7"/>
  <c r="O1524" i="7"/>
  <c r="N1524" i="7"/>
  <c r="V1523" i="7"/>
  <c r="U1523" i="7"/>
  <c r="T1523" i="7"/>
  <c r="S1523" i="7"/>
  <c r="R1523" i="7"/>
  <c r="Q1523" i="7"/>
  <c r="P1523" i="7"/>
  <c r="O1523" i="7"/>
  <c r="N1523" i="7"/>
  <c r="V1522" i="7"/>
  <c r="U1522" i="7"/>
  <c r="T1522" i="7"/>
  <c r="S1522" i="7"/>
  <c r="R1522" i="7"/>
  <c r="Q1522" i="7"/>
  <c r="P1522" i="7"/>
  <c r="O1522" i="7"/>
  <c r="N1522" i="7"/>
  <c r="V1521" i="7"/>
  <c r="U1521" i="7"/>
  <c r="T1521" i="7"/>
  <c r="S1521" i="7"/>
  <c r="R1521" i="7"/>
  <c r="Q1521" i="7"/>
  <c r="P1521" i="7"/>
  <c r="O1521" i="7"/>
  <c r="N1521" i="7"/>
  <c r="V1520" i="7"/>
  <c r="U1520" i="7"/>
  <c r="T1520" i="7"/>
  <c r="S1520" i="7"/>
  <c r="R1520" i="7"/>
  <c r="Q1520" i="7"/>
  <c r="P1520" i="7"/>
  <c r="O1520" i="7"/>
  <c r="N1520" i="7"/>
  <c r="V1519" i="7"/>
  <c r="U1519" i="7"/>
  <c r="T1519" i="7"/>
  <c r="S1519" i="7"/>
  <c r="R1519" i="7"/>
  <c r="Q1519" i="7"/>
  <c r="P1519" i="7"/>
  <c r="O1519" i="7"/>
  <c r="N1519" i="7"/>
  <c r="V1518" i="7"/>
  <c r="U1518" i="7"/>
  <c r="T1518" i="7"/>
  <c r="S1518" i="7"/>
  <c r="R1518" i="7"/>
  <c r="Q1518" i="7"/>
  <c r="P1518" i="7"/>
  <c r="O1518" i="7"/>
  <c r="N1518" i="7"/>
  <c r="V1517" i="7"/>
  <c r="U1517" i="7"/>
  <c r="T1517" i="7"/>
  <c r="S1517" i="7"/>
  <c r="R1517" i="7"/>
  <c r="Q1517" i="7"/>
  <c r="P1517" i="7"/>
  <c r="O1517" i="7"/>
  <c r="N1517" i="7"/>
  <c r="V1516" i="7"/>
  <c r="U1516" i="7"/>
  <c r="T1516" i="7"/>
  <c r="S1516" i="7"/>
  <c r="R1516" i="7"/>
  <c r="Q1516" i="7"/>
  <c r="P1516" i="7"/>
  <c r="O1516" i="7"/>
  <c r="N1516" i="7"/>
  <c r="V1515" i="7"/>
  <c r="U1515" i="7"/>
  <c r="T1515" i="7"/>
  <c r="S1515" i="7"/>
  <c r="R1515" i="7"/>
  <c r="Q1515" i="7"/>
  <c r="P1515" i="7"/>
  <c r="O1515" i="7"/>
  <c r="N1515" i="7"/>
  <c r="V1514" i="7"/>
  <c r="U1514" i="7"/>
  <c r="T1514" i="7"/>
  <c r="S1514" i="7"/>
  <c r="R1514" i="7"/>
  <c r="Q1514" i="7"/>
  <c r="P1514" i="7"/>
  <c r="O1514" i="7"/>
  <c r="N1514" i="7"/>
  <c r="V1513" i="7"/>
  <c r="U1513" i="7"/>
  <c r="T1513" i="7"/>
  <c r="S1513" i="7"/>
  <c r="R1513" i="7"/>
  <c r="Q1513" i="7"/>
  <c r="P1513" i="7"/>
  <c r="O1513" i="7"/>
  <c r="N1513" i="7"/>
  <c r="V1512" i="7"/>
  <c r="U1512" i="7"/>
  <c r="T1512" i="7"/>
  <c r="S1512" i="7"/>
  <c r="R1512" i="7"/>
  <c r="Q1512" i="7"/>
  <c r="P1512" i="7"/>
  <c r="O1512" i="7"/>
  <c r="N1512" i="7"/>
  <c r="V1511" i="7"/>
  <c r="U1511" i="7"/>
  <c r="T1511" i="7"/>
  <c r="S1511" i="7"/>
  <c r="R1511" i="7"/>
  <c r="Q1511" i="7"/>
  <c r="P1511" i="7"/>
  <c r="O1511" i="7"/>
  <c r="N1511" i="7"/>
  <c r="V1510" i="7"/>
  <c r="U1510" i="7"/>
  <c r="T1510" i="7"/>
  <c r="S1510" i="7"/>
  <c r="R1510" i="7"/>
  <c r="Q1510" i="7"/>
  <c r="P1510" i="7"/>
  <c r="O1510" i="7"/>
  <c r="N1510" i="7"/>
  <c r="V1509" i="7"/>
  <c r="U1509" i="7"/>
  <c r="T1509" i="7"/>
  <c r="S1509" i="7"/>
  <c r="R1509" i="7"/>
  <c r="Q1509" i="7"/>
  <c r="P1509" i="7"/>
  <c r="O1509" i="7"/>
  <c r="N1509" i="7"/>
  <c r="V1508" i="7"/>
  <c r="U1508" i="7"/>
  <c r="T1508" i="7"/>
  <c r="S1508" i="7"/>
  <c r="R1508" i="7"/>
  <c r="Q1508" i="7"/>
  <c r="P1508" i="7"/>
  <c r="O1508" i="7"/>
  <c r="N1508" i="7"/>
  <c r="V1507" i="7"/>
  <c r="U1507" i="7"/>
  <c r="T1507" i="7"/>
  <c r="S1507" i="7"/>
  <c r="R1507" i="7"/>
  <c r="Q1507" i="7"/>
  <c r="P1507" i="7"/>
  <c r="O1507" i="7"/>
  <c r="N1507" i="7"/>
  <c r="V1506" i="7"/>
  <c r="U1506" i="7"/>
  <c r="T1506" i="7"/>
  <c r="S1506" i="7"/>
  <c r="R1506" i="7"/>
  <c r="Q1506" i="7"/>
  <c r="P1506" i="7"/>
  <c r="O1506" i="7"/>
  <c r="N1506" i="7"/>
  <c r="V1505" i="7"/>
  <c r="U1505" i="7"/>
  <c r="T1505" i="7"/>
  <c r="S1505" i="7"/>
  <c r="R1505" i="7"/>
  <c r="Q1505" i="7"/>
  <c r="P1505" i="7"/>
  <c r="O1505" i="7"/>
  <c r="N1505" i="7"/>
  <c r="V1504" i="7"/>
  <c r="U1504" i="7"/>
  <c r="T1504" i="7"/>
  <c r="S1504" i="7"/>
  <c r="R1504" i="7"/>
  <c r="Q1504" i="7"/>
  <c r="P1504" i="7"/>
  <c r="O1504" i="7"/>
  <c r="N1504" i="7"/>
  <c r="V1503" i="7"/>
  <c r="U1503" i="7"/>
  <c r="T1503" i="7"/>
  <c r="S1503" i="7"/>
  <c r="R1503" i="7"/>
  <c r="Q1503" i="7"/>
  <c r="P1503" i="7"/>
  <c r="O1503" i="7"/>
  <c r="N1503" i="7"/>
  <c r="V1502" i="7"/>
  <c r="U1502" i="7"/>
  <c r="T1502" i="7"/>
  <c r="S1502" i="7"/>
  <c r="R1502" i="7"/>
  <c r="Q1502" i="7"/>
  <c r="P1502" i="7"/>
  <c r="O1502" i="7"/>
  <c r="N1502" i="7"/>
  <c r="V1501" i="7"/>
  <c r="U1501" i="7"/>
  <c r="T1501" i="7"/>
  <c r="S1501" i="7"/>
  <c r="R1501" i="7"/>
  <c r="Q1501" i="7"/>
  <c r="P1501" i="7"/>
  <c r="O1501" i="7"/>
  <c r="N1501" i="7"/>
  <c r="V1500" i="7"/>
  <c r="U1500" i="7"/>
  <c r="T1500" i="7"/>
  <c r="S1500" i="7"/>
  <c r="R1500" i="7"/>
  <c r="Q1500" i="7"/>
  <c r="P1500" i="7"/>
  <c r="O1500" i="7"/>
  <c r="N1500" i="7"/>
  <c r="V1499" i="7"/>
  <c r="U1499" i="7"/>
  <c r="T1499" i="7"/>
  <c r="S1499" i="7"/>
  <c r="R1499" i="7"/>
  <c r="Q1499" i="7"/>
  <c r="P1499" i="7"/>
  <c r="O1499" i="7"/>
  <c r="N1499" i="7"/>
  <c r="V1498" i="7"/>
  <c r="U1498" i="7"/>
  <c r="T1498" i="7"/>
  <c r="S1498" i="7"/>
  <c r="R1498" i="7"/>
  <c r="Q1498" i="7"/>
  <c r="P1498" i="7"/>
  <c r="O1498" i="7"/>
  <c r="N1498" i="7"/>
  <c r="V1497" i="7"/>
  <c r="U1497" i="7"/>
  <c r="T1497" i="7"/>
  <c r="S1497" i="7"/>
  <c r="R1497" i="7"/>
  <c r="Q1497" i="7"/>
  <c r="P1497" i="7"/>
  <c r="O1497" i="7"/>
  <c r="N1497" i="7"/>
  <c r="V1496" i="7"/>
  <c r="U1496" i="7"/>
  <c r="T1496" i="7"/>
  <c r="S1496" i="7"/>
  <c r="R1496" i="7"/>
  <c r="Q1496" i="7"/>
  <c r="P1496" i="7"/>
  <c r="O1496" i="7"/>
  <c r="N1496" i="7"/>
  <c r="V1495" i="7"/>
  <c r="U1495" i="7"/>
  <c r="T1495" i="7"/>
  <c r="S1495" i="7"/>
  <c r="R1495" i="7"/>
  <c r="Q1495" i="7"/>
  <c r="P1495" i="7"/>
  <c r="O1495" i="7"/>
  <c r="N1495" i="7"/>
  <c r="V1494" i="7"/>
  <c r="U1494" i="7"/>
  <c r="T1494" i="7"/>
  <c r="S1494" i="7"/>
  <c r="R1494" i="7"/>
  <c r="Q1494" i="7"/>
  <c r="P1494" i="7"/>
  <c r="O1494" i="7"/>
  <c r="N1494" i="7"/>
  <c r="V1493" i="7"/>
  <c r="U1493" i="7"/>
  <c r="T1493" i="7"/>
  <c r="S1493" i="7"/>
  <c r="R1493" i="7"/>
  <c r="Q1493" i="7"/>
  <c r="P1493" i="7"/>
  <c r="O1493" i="7"/>
  <c r="N1493" i="7"/>
  <c r="V1492" i="7"/>
  <c r="U1492" i="7"/>
  <c r="T1492" i="7"/>
  <c r="S1492" i="7"/>
  <c r="R1492" i="7"/>
  <c r="Q1492" i="7"/>
  <c r="P1492" i="7"/>
  <c r="O1492" i="7"/>
  <c r="N1492" i="7"/>
  <c r="V1491" i="7"/>
  <c r="U1491" i="7"/>
  <c r="T1491" i="7"/>
  <c r="S1491" i="7"/>
  <c r="R1491" i="7"/>
  <c r="Q1491" i="7"/>
  <c r="P1491" i="7"/>
  <c r="O1491" i="7"/>
  <c r="N1491" i="7"/>
  <c r="V1490" i="7"/>
  <c r="U1490" i="7"/>
  <c r="T1490" i="7"/>
  <c r="S1490" i="7"/>
  <c r="R1490" i="7"/>
  <c r="Q1490" i="7"/>
  <c r="P1490" i="7"/>
  <c r="O1490" i="7"/>
  <c r="N1490" i="7"/>
  <c r="V1489" i="7"/>
  <c r="U1489" i="7"/>
  <c r="T1489" i="7"/>
  <c r="S1489" i="7"/>
  <c r="R1489" i="7"/>
  <c r="Q1489" i="7"/>
  <c r="P1489" i="7"/>
  <c r="O1489" i="7"/>
  <c r="N1489" i="7"/>
  <c r="V1488" i="7"/>
  <c r="U1488" i="7"/>
  <c r="T1488" i="7"/>
  <c r="S1488" i="7"/>
  <c r="R1488" i="7"/>
  <c r="Q1488" i="7"/>
  <c r="P1488" i="7"/>
  <c r="O1488" i="7"/>
  <c r="N1488" i="7"/>
  <c r="V1487" i="7"/>
  <c r="U1487" i="7"/>
  <c r="T1487" i="7"/>
  <c r="S1487" i="7"/>
  <c r="R1487" i="7"/>
  <c r="Q1487" i="7"/>
  <c r="P1487" i="7"/>
  <c r="O1487" i="7"/>
  <c r="N1487" i="7"/>
  <c r="V1486" i="7"/>
  <c r="U1486" i="7"/>
  <c r="T1486" i="7"/>
  <c r="S1486" i="7"/>
  <c r="R1486" i="7"/>
  <c r="Q1486" i="7"/>
  <c r="P1486" i="7"/>
  <c r="O1486" i="7"/>
  <c r="N1486" i="7"/>
  <c r="V1485" i="7"/>
  <c r="U1485" i="7"/>
  <c r="T1485" i="7"/>
  <c r="S1485" i="7"/>
  <c r="R1485" i="7"/>
  <c r="Q1485" i="7"/>
  <c r="P1485" i="7"/>
  <c r="O1485" i="7"/>
  <c r="N1485" i="7"/>
  <c r="V1484" i="7"/>
  <c r="U1484" i="7"/>
  <c r="T1484" i="7"/>
  <c r="S1484" i="7"/>
  <c r="R1484" i="7"/>
  <c r="Q1484" i="7"/>
  <c r="P1484" i="7"/>
  <c r="O1484" i="7"/>
  <c r="N1484" i="7"/>
  <c r="V1483" i="7"/>
  <c r="U1483" i="7"/>
  <c r="T1483" i="7"/>
  <c r="S1483" i="7"/>
  <c r="R1483" i="7"/>
  <c r="Q1483" i="7"/>
  <c r="P1483" i="7"/>
  <c r="O1483" i="7"/>
  <c r="N1483" i="7"/>
  <c r="V1482" i="7"/>
  <c r="U1482" i="7"/>
  <c r="T1482" i="7"/>
  <c r="S1482" i="7"/>
  <c r="R1482" i="7"/>
  <c r="Q1482" i="7"/>
  <c r="P1482" i="7"/>
  <c r="O1482" i="7"/>
  <c r="N1482" i="7"/>
  <c r="V1481" i="7"/>
  <c r="U1481" i="7"/>
  <c r="T1481" i="7"/>
  <c r="S1481" i="7"/>
  <c r="R1481" i="7"/>
  <c r="Q1481" i="7"/>
  <c r="P1481" i="7"/>
  <c r="O1481" i="7"/>
  <c r="N1481" i="7"/>
  <c r="V1480" i="7"/>
  <c r="U1480" i="7"/>
  <c r="T1480" i="7"/>
  <c r="S1480" i="7"/>
  <c r="R1480" i="7"/>
  <c r="Q1480" i="7"/>
  <c r="P1480" i="7"/>
  <c r="O1480" i="7"/>
  <c r="N1480" i="7"/>
  <c r="V1479" i="7"/>
  <c r="U1479" i="7"/>
  <c r="T1479" i="7"/>
  <c r="S1479" i="7"/>
  <c r="R1479" i="7"/>
  <c r="Q1479" i="7"/>
  <c r="P1479" i="7"/>
  <c r="O1479" i="7"/>
  <c r="N1479" i="7"/>
  <c r="V1478" i="7"/>
  <c r="U1478" i="7"/>
  <c r="T1478" i="7"/>
  <c r="S1478" i="7"/>
  <c r="R1478" i="7"/>
  <c r="Q1478" i="7"/>
  <c r="P1478" i="7"/>
  <c r="O1478" i="7"/>
  <c r="N1478" i="7"/>
  <c r="V1477" i="7"/>
  <c r="U1477" i="7"/>
  <c r="T1477" i="7"/>
  <c r="S1477" i="7"/>
  <c r="R1477" i="7"/>
  <c r="Q1477" i="7"/>
  <c r="P1477" i="7"/>
  <c r="O1477" i="7"/>
  <c r="N1477" i="7"/>
  <c r="V1476" i="7"/>
  <c r="U1476" i="7"/>
  <c r="T1476" i="7"/>
  <c r="S1476" i="7"/>
  <c r="R1476" i="7"/>
  <c r="Q1476" i="7"/>
  <c r="P1476" i="7"/>
  <c r="O1476" i="7"/>
  <c r="N1476" i="7"/>
  <c r="V1475" i="7"/>
  <c r="U1475" i="7"/>
  <c r="T1475" i="7"/>
  <c r="S1475" i="7"/>
  <c r="R1475" i="7"/>
  <c r="Q1475" i="7"/>
  <c r="P1475" i="7"/>
  <c r="O1475" i="7"/>
  <c r="N1475" i="7"/>
  <c r="V1474" i="7"/>
  <c r="U1474" i="7"/>
  <c r="T1474" i="7"/>
  <c r="S1474" i="7"/>
  <c r="R1474" i="7"/>
  <c r="Q1474" i="7"/>
  <c r="P1474" i="7"/>
  <c r="O1474" i="7"/>
  <c r="N1474" i="7"/>
  <c r="V1473" i="7"/>
  <c r="U1473" i="7"/>
  <c r="T1473" i="7"/>
  <c r="S1473" i="7"/>
  <c r="R1473" i="7"/>
  <c r="Q1473" i="7"/>
  <c r="P1473" i="7"/>
  <c r="O1473" i="7"/>
  <c r="N1473" i="7"/>
  <c r="V1472" i="7"/>
  <c r="U1472" i="7"/>
  <c r="T1472" i="7"/>
  <c r="S1472" i="7"/>
  <c r="R1472" i="7"/>
  <c r="Q1472" i="7"/>
  <c r="P1472" i="7"/>
  <c r="O1472" i="7"/>
  <c r="N1472" i="7"/>
  <c r="V1471" i="7"/>
  <c r="U1471" i="7"/>
  <c r="T1471" i="7"/>
  <c r="S1471" i="7"/>
  <c r="R1471" i="7"/>
  <c r="Q1471" i="7"/>
  <c r="P1471" i="7"/>
  <c r="O1471" i="7"/>
  <c r="N1471" i="7"/>
  <c r="V1470" i="7"/>
  <c r="U1470" i="7"/>
  <c r="T1470" i="7"/>
  <c r="S1470" i="7"/>
  <c r="R1470" i="7"/>
  <c r="Q1470" i="7"/>
  <c r="P1470" i="7"/>
  <c r="O1470" i="7"/>
  <c r="N1470" i="7"/>
  <c r="V1469" i="7"/>
  <c r="U1469" i="7"/>
  <c r="T1469" i="7"/>
  <c r="S1469" i="7"/>
  <c r="R1469" i="7"/>
  <c r="Q1469" i="7"/>
  <c r="P1469" i="7"/>
  <c r="O1469" i="7"/>
  <c r="N1469" i="7"/>
  <c r="V1468" i="7"/>
  <c r="U1468" i="7"/>
  <c r="T1468" i="7"/>
  <c r="S1468" i="7"/>
  <c r="R1468" i="7"/>
  <c r="Q1468" i="7"/>
  <c r="P1468" i="7"/>
  <c r="O1468" i="7"/>
  <c r="N1468" i="7"/>
  <c r="V1467" i="7"/>
  <c r="U1467" i="7"/>
  <c r="T1467" i="7"/>
  <c r="S1467" i="7"/>
  <c r="R1467" i="7"/>
  <c r="Q1467" i="7"/>
  <c r="P1467" i="7"/>
  <c r="O1467" i="7"/>
  <c r="N1467" i="7"/>
  <c r="V1466" i="7"/>
  <c r="U1466" i="7"/>
  <c r="T1466" i="7"/>
  <c r="S1466" i="7"/>
  <c r="R1466" i="7"/>
  <c r="Q1466" i="7"/>
  <c r="P1466" i="7"/>
  <c r="O1466" i="7"/>
  <c r="N1466" i="7"/>
  <c r="V1465" i="7"/>
  <c r="U1465" i="7"/>
  <c r="T1465" i="7"/>
  <c r="S1465" i="7"/>
  <c r="R1465" i="7"/>
  <c r="Q1465" i="7"/>
  <c r="P1465" i="7"/>
  <c r="O1465" i="7"/>
  <c r="N1465" i="7"/>
  <c r="V1464" i="7"/>
  <c r="U1464" i="7"/>
  <c r="T1464" i="7"/>
  <c r="S1464" i="7"/>
  <c r="R1464" i="7"/>
  <c r="Q1464" i="7"/>
  <c r="P1464" i="7"/>
  <c r="O1464" i="7"/>
  <c r="N1464" i="7"/>
  <c r="V1463" i="7"/>
  <c r="U1463" i="7"/>
  <c r="T1463" i="7"/>
  <c r="S1463" i="7"/>
  <c r="R1463" i="7"/>
  <c r="Q1463" i="7"/>
  <c r="P1463" i="7"/>
  <c r="O1463" i="7"/>
  <c r="N1463" i="7"/>
  <c r="V1462" i="7"/>
  <c r="U1462" i="7"/>
  <c r="T1462" i="7"/>
  <c r="S1462" i="7"/>
  <c r="R1462" i="7"/>
  <c r="Q1462" i="7"/>
  <c r="P1462" i="7"/>
  <c r="O1462" i="7"/>
  <c r="N1462" i="7"/>
  <c r="V1461" i="7"/>
  <c r="U1461" i="7"/>
  <c r="T1461" i="7"/>
  <c r="S1461" i="7"/>
  <c r="R1461" i="7"/>
  <c r="Q1461" i="7"/>
  <c r="P1461" i="7"/>
  <c r="O1461" i="7"/>
  <c r="N1461" i="7"/>
  <c r="V1460" i="7"/>
  <c r="U1460" i="7"/>
  <c r="T1460" i="7"/>
  <c r="S1460" i="7"/>
  <c r="R1460" i="7"/>
  <c r="Q1460" i="7"/>
  <c r="P1460" i="7"/>
  <c r="O1460" i="7"/>
  <c r="N1460" i="7"/>
  <c r="V1459" i="7"/>
  <c r="U1459" i="7"/>
  <c r="T1459" i="7"/>
  <c r="S1459" i="7"/>
  <c r="R1459" i="7"/>
  <c r="Q1459" i="7"/>
  <c r="P1459" i="7"/>
  <c r="O1459" i="7"/>
  <c r="N1459" i="7"/>
  <c r="V1458" i="7"/>
  <c r="U1458" i="7"/>
  <c r="T1458" i="7"/>
  <c r="S1458" i="7"/>
  <c r="R1458" i="7"/>
  <c r="Q1458" i="7"/>
  <c r="P1458" i="7"/>
  <c r="O1458" i="7"/>
  <c r="N1458" i="7"/>
  <c r="V1457" i="7"/>
  <c r="U1457" i="7"/>
  <c r="T1457" i="7"/>
  <c r="S1457" i="7"/>
  <c r="R1457" i="7"/>
  <c r="Q1457" i="7"/>
  <c r="P1457" i="7"/>
  <c r="O1457" i="7"/>
  <c r="N1457" i="7"/>
  <c r="V1456" i="7"/>
  <c r="U1456" i="7"/>
  <c r="T1456" i="7"/>
  <c r="S1456" i="7"/>
  <c r="R1456" i="7"/>
  <c r="Q1456" i="7"/>
  <c r="P1456" i="7"/>
  <c r="O1456" i="7"/>
  <c r="N1456" i="7"/>
  <c r="V1455" i="7"/>
  <c r="U1455" i="7"/>
  <c r="T1455" i="7"/>
  <c r="S1455" i="7"/>
  <c r="R1455" i="7"/>
  <c r="Q1455" i="7"/>
  <c r="P1455" i="7"/>
  <c r="O1455" i="7"/>
  <c r="N1455" i="7"/>
  <c r="V1454" i="7"/>
  <c r="U1454" i="7"/>
  <c r="T1454" i="7"/>
  <c r="S1454" i="7"/>
  <c r="R1454" i="7"/>
  <c r="Q1454" i="7"/>
  <c r="P1454" i="7"/>
  <c r="O1454" i="7"/>
  <c r="N1454" i="7"/>
  <c r="V1453" i="7"/>
  <c r="U1453" i="7"/>
  <c r="T1453" i="7"/>
  <c r="S1453" i="7"/>
  <c r="R1453" i="7"/>
  <c r="Q1453" i="7"/>
  <c r="P1453" i="7"/>
  <c r="O1453" i="7"/>
  <c r="N1453" i="7"/>
  <c r="V1452" i="7"/>
  <c r="U1452" i="7"/>
  <c r="T1452" i="7"/>
  <c r="S1452" i="7"/>
  <c r="R1452" i="7"/>
  <c r="Q1452" i="7"/>
  <c r="P1452" i="7"/>
  <c r="O1452" i="7"/>
  <c r="N1452" i="7"/>
  <c r="V1451" i="7"/>
  <c r="U1451" i="7"/>
  <c r="T1451" i="7"/>
  <c r="S1451" i="7"/>
  <c r="R1451" i="7"/>
  <c r="Q1451" i="7"/>
  <c r="P1451" i="7"/>
  <c r="O1451" i="7"/>
  <c r="N1451" i="7"/>
  <c r="V1450" i="7"/>
  <c r="U1450" i="7"/>
  <c r="T1450" i="7"/>
  <c r="S1450" i="7"/>
  <c r="R1450" i="7"/>
  <c r="Q1450" i="7"/>
  <c r="P1450" i="7"/>
  <c r="O1450" i="7"/>
  <c r="N1450" i="7"/>
  <c r="V1449" i="7"/>
  <c r="U1449" i="7"/>
  <c r="T1449" i="7"/>
  <c r="S1449" i="7"/>
  <c r="R1449" i="7"/>
  <c r="Q1449" i="7"/>
  <c r="P1449" i="7"/>
  <c r="O1449" i="7"/>
  <c r="N1449" i="7"/>
  <c r="V1448" i="7"/>
  <c r="U1448" i="7"/>
  <c r="T1448" i="7"/>
  <c r="S1448" i="7"/>
  <c r="R1448" i="7"/>
  <c r="Q1448" i="7"/>
  <c r="P1448" i="7"/>
  <c r="O1448" i="7"/>
  <c r="N1448" i="7"/>
  <c r="V1447" i="7"/>
  <c r="U1447" i="7"/>
  <c r="T1447" i="7"/>
  <c r="S1447" i="7"/>
  <c r="R1447" i="7"/>
  <c r="Q1447" i="7"/>
  <c r="P1447" i="7"/>
  <c r="O1447" i="7"/>
  <c r="N1447" i="7"/>
  <c r="V1446" i="7"/>
  <c r="U1446" i="7"/>
  <c r="T1446" i="7"/>
  <c r="S1446" i="7"/>
  <c r="R1446" i="7"/>
  <c r="Q1446" i="7"/>
  <c r="P1446" i="7"/>
  <c r="O1446" i="7"/>
  <c r="N1446" i="7"/>
  <c r="V1445" i="7"/>
  <c r="U1445" i="7"/>
  <c r="T1445" i="7"/>
  <c r="S1445" i="7"/>
  <c r="R1445" i="7"/>
  <c r="Q1445" i="7"/>
  <c r="P1445" i="7"/>
  <c r="O1445" i="7"/>
  <c r="N1445" i="7"/>
  <c r="V1444" i="7"/>
  <c r="U1444" i="7"/>
  <c r="T1444" i="7"/>
  <c r="S1444" i="7"/>
  <c r="R1444" i="7"/>
  <c r="Q1444" i="7"/>
  <c r="P1444" i="7"/>
  <c r="O1444" i="7"/>
  <c r="N1444" i="7"/>
  <c r="V1443" i="7"/>
  <c r="U1443" i="7"/>
  <c r="T1443" i="7"/>
  <c r="S1443" i="7"/>
  <c r="R1443" i="7"/>
  <c r="Q1443" i="7"/>
  <c r="P1443" i="7"/>
  <c r="O1443" i="7"/>
  <c r="N1443" i="7"/>
  <c r="V1442" i="7"/>
  <c r="U1442" i="7"/>
  <c r="T1442" i="7"/>
  <c r="S1442" i="7"/>
  <c r="R1442" i="7"/>
  <c r="Q1442" i="7"/>
  <c r="P1442" i="7"/>
  <c r="O1442" i="7"/>
  <c r="N1442" i="7"/>
  <c r="V1441" i="7"/>
  <c r="U1441" i="7"/>
  <c r="T1441" i="7"/>
  <c r="S1441" i="7"/>
  <c r="R1441" i="7"/>
  <c r="Q1441" i="7"/>
  <c r="P1441" i="7"/>
  <c r="O1441" i="7"/>
  <c r="N1441" i="7"/>
  <c r="V1440" i="7"/>
  <c r="U1440" i="7"/>
  <c r="T1440" i="7"/>
  <c r="S1440" i="7"/>
  <c r="R1440" i="7"/>
  <c r="Q1440" i="7"/>
  <c r="P1440" i="7"/>
  <c r="O1440" i="7"/>
  <c r="N1440" i="7"/>
  <c r="V1439" i="7"/>
  <c r="U1439" i="7"/>
  <c r="T1439" i="7"/>
  <c r="S1439" i="7"/>
  <c r="R1439" i="7"/>
  <c r="Q1439" i="7"/>
  <c r="P1439" i="7"/>
  <c r="O1439" i="7"/>
  <c r="N1439" i="7"/>
  <c r="V1438" i="7"/>
  <c r="U1438" i="7"/>
  <c r="T1438" i="7"/>
  <c r="S1438" i="7"/>
  <c r="R1438" i="7"/>
  <c r="Q1438" i="7"/>
  <c r="P1438" i="7"/>
  <c r="O1438" i="7"/>
  <c r="N1438" i="7"/>
  <c r="V1437" i="7"/>
  <c r="U1437" i="7"/>
  <c r="T1437" i="7"/>
  <c r="S1437" i="7"/>
  <c r="R1437" i="7"/>
  <c r="Q1437" i="7"/>
  <c r="P1437" i="7"/>
  <c r="O1437" i="7"/>
  <c r="N1437" i="7"/>
  <c r="V1436" i="7"/>
  <c r="U1436" i="7"/>
  <c r="T1436" i="7"/>
  <c r="S1436" i="7"/>
  <c r="R1436" i="7"/>
  <c r="Q1436" i="7"/>
  <c r="P1436" i="7"/>
  <c r="O1436" i="7"/>
  <c r="N1436" i="7"/>
  <c r="V1435" i="7"/>
  <c r="U1435" i="7"/>
  <c r="T1435" i="7"/>
  <c r="S1435" i="7"/>
  <c r="R1435" i="7"/>
  <c r="Q1435" i="7"/>
  <c r="P1435" i="7"/>
  <c r="O1435" i="7"/>
  <c r="N1435" i="7"/>
  <c r="V1434" i="7"/>
  <c r="U1434" i="7"/>
  <c r="T1434" i="7"/>
  <c r="S1434" i="7"/>
  <c r="R1434" i="7"/>
  <c r="Q1434" i="7"/>
  <c r="P1434" i="7"/>
  <c r="O1434" i="7"/>
  <c r="N1434" i="7"/>
  <c r="V1433" i="7"/>
  <c r="U1433" i="7"/>
  <c r="T1433" i="7"/>
  <c r="S1433" i="7"/>
  <c r="R1433" i="7"/>
  <c r="Q1433" i="7"/>
  <c r="P1433" i="7"/>
  <c r="O1433" i="7"/>
  <c r="N1433" i="7"/>
  <c r="V1432" i="7"/>
  <c r="U1432" i="7"/>
  <c r="T1432" i="7"/>
  <c r="S1432" i="7"/>
  <c r="R1432" i="7"/>
  <c r="Q1432" i="7"/>
  <c r="P1432" i="7"/>
  <c r="O1432" i="7"/>
  <c r="N1432" i="7"/>
  <c r="V1431" i="7"/>
  <c r="U1431" i="7"/>
  <c r="T1431" i="7"/>
  <c r="S1431" i="7"/>
  <c r="R1431" i="7"/>
  <c r="Q1431" i="7"/>
  <c r="P1431" i="7"/>
  <c r="O1431" i="7"/>
  <c r="N1431" i="7"/>
  <c r="V1430" i="7"/>
  <c r="U1430" i="7"/>
  <c r="T1430" i="7"/>
  <c r="S1430" i="7"/>
  <c r="R1430" i="7"/>
  <c r="Q1430" i="7"/>
  <c r="P1430" i="7"/>
  <c r="O1430" i="7"/>
  <c r="N1430" i="7"/>
  <c r="V1429" i="7"/>
  <c r="U1429" i="7"/>
  <c r="T1429" i="7"/>
  <c r="S1429" i="7"/>
  <c r="R1429" i="7"/>
  <c r="Q1429" i="7"/>
  <c r="P1429" i="7"/>
  <c r="O1429" i="7"/>
  <c r="N1429" i="7"/>
  <c r="V1428" i="7"/>
  <c r="U1428" i="7"/>
  <c r="T1428" i="7"/>
  <c r="S1428" i="7"/>
  <c r="R1428" i="7"/>
  <c r="Q1428" i="7"/>
  <c r="P1428" i="7"/>
  <c r="O1428" i="7"/>
  <c r="N1428" i="7"/>
  <c r="V1427" i="7"/>
  <c r="U1427" i="7"/>
  <c r="T1427" i="7"/>
  <c r="S1427" i="7"/>
  <c r="R1427" i="7"/>
  <c r="Q1427" i="7"/>
  <c r="P1427" i="7"/>
  <c r="O1427" i="7"/>
  <c r="N1427" i="7"/>
  <c r="V1426" i="7"/>
  <c r="U1426" i="7"/>
  <c r="T1426" i="7"/>
  <c r="S1426" i="7"/>
  <c r="R1426" i="7"/>
  <c r="Q1426" i="7"/>
  <c r="P1426" i="7"/>
  <c r="O1426" i="7"/>
  <c r="N1426" i="7"/>
  <c r="V1425" i="7"/>
  <c r="U1425" i="7"/>
  <c r="T1425" i="7"/>
  <c r="S1425" i="7"/>
  <c r="R1425" i="7"/>
  <c r="Q1425" i="7"/>
  <c r="P1425" i="7"/>
  <c r="O1425" i="7"/>
  <c r="N1425" i="7"/>
  <c r="V1424" i="7"/>
  <c r="U1424" i="7"/>
  <c r="T1424" i="7"/>
  <c r="S1424" i="7"/>
  <c r="R1424" i="7"/>
  <c r="Q1424" i="7"/>
  <c r="P1424" i="7"/>
  <c r="O1424" i="7"/>
  <c r="N1424" i="7"/>
  <c r="V1423" i="7"/>
  <c r="U1423" i="7"/>
  <c r="T1423" i="7"/>
  <c r="S1423" i="7"/>
  <c r="R1423" i="7"/>
  <c r="Q1423" i="7"/>
  <c r="P1423" i="7"/>
  <c r="O1423" i="7"/>
  <c r="N1423" i="7"/>
  <c r="V1422" i="7"/>
  <c r="U1422" i="7"/>
  <c r="T1422" i="7"/>
  <c r="S1422" i="7"/>
  <c r="R1422" i="7"/>
  <c r="Q1422" i="7"/>
  <c r="P1422" i="7"/>
  <c r="O1422" i="7"/>
  <c r="N1422" i="7"/>
  <c r="V1421" i="7"/>
  <c r="U1421" i="7"/>
  <c r="T1421" i="7"/>
  <c r="S1421" i="7"/>
  <c r="R1421" i="7"/>
  <c r="Q1421" i="7"/>
  <c r="P1421" i="7"/>
  <c r="O1421" i="7"/>
  <c r="N1421" i="7"/>
  <c r="V1420" i="7"/>
  <c r="U1420" i="7"/>
  <c r="T1420" i="7"/>
  <c r="S1420" i="7"/>
  <c r="R1420" i="7"/>
  <c r="Q1420" i="7"/>
  <c r="P1420" i="7"/>
  <c r="O1420" i="7"/>
  <c r="N1420" i="7"/>
  <c r="V1419" i="7"/>
  <c r="U1419" i="7"/>
  <c r="T1419" i="7"/>
  <c r="S1419" i="7"/>
  <c r="R1419" i="7"/>
  <c r="Q1419" i="7"/>
  <c r="P1419" i="7"/>
  <c r="O1419" i="7"/>
  <c r="N1419" i="7"/>
  <c r="V1418" i="7"/>
  <c r="U1418" i="7"/>
  <c r="T1418" i="7"/>
  <c r="S1418" i="7"/>
  <c r="R1418" i="7"/>
  <c r="Q1418" i="7"/>
  <c r="P1418" i="7"/>
  <c r="O1418" i="7"/>
  <c r="N1418" i="7"/>
  <c r="V1417" i="7"/>
  <c r="U1417" i="7"/>
  <c r="T1417" i="7"/>
  <c r="S1417" i="7"/>
  <c r="R1417" i="7"/>
  <c r="Q1417" i="7"/>
  <c r="P1417" i="7"/>
  <c r="O1417" i="7"/>
  <c r="N1417" i="7"/>
  <c r="V1416" i="7"/>
  <c r="U1416" i="7"/>
  <c r="T1416" i="7"/>
  <c r="S1416" i="7"/>
  <c r="R1416" i="7"/>
  <c r="Q1416" i="7"/>
  <c r="P1416" i="7"/>
  <c r="O1416" i="7"/>
  <c r="N1416" i="7"/>
  <c r="V1415" i="7"/>
  <c r="U1415" i="7"/>
  <c r="T1415" i="7"/>
  <c r="S1415" i="7"/>
  <c r="R1415" i="7"/>
  <c r="Q1415" i="7"/>
  <c r="P1415" i="7"/>
  <c r="O1415" i="7"/>
  <c r="N1415" i="7"/>
  <c r="V1414" i="7"/>
  <c r="U1414" i="7"/>
  <c r="T1414" i="7"/>
  <c r="S1414" i="7"/>
  <c r="R1414" i="7"/>
  <c r="Q1414" i="7"/>
  <c r="P1414" i="7"/>
  <c r="O1414" i="7"/>
  <c r="N1414" i="7"/>
  <c r="V1413" i="7"/>
  <c r="U1413" i="7"/>
  <c r="T1413" i="7"/>
  <c r="S1413" i="7"/>
  <c r="R1413" i="7"/>
  <c r="Q1413" i="7"/>
  <c r="P1413" i="7"/>
  <c r="O1413" i="7"/>
  <c r="N1413" i="7"/>
  <c r="V1412" i="7"/>
  <c r="U1412" i="7"/>
  <c r="T1412" i="7"/>
  <c r="S1412" i="7"/>
  <c r="R1412" i="7"/>
  <c r="Q1412" i="7"/>
  <c r="P1412" i="7"/>
  <c r="O1412" i="7"/>
  <c r="N1412" i="7"/>
  <c r="V1411" i="7"/>
  <c r="U1411" i="7"/>
  <c r="T1411" i="7"/>
  <c r="S1411" i="7"/>
  <c r="R1411" i="7"/>
  <c r="Q1411" i="7"/>
  <c r="P1411" i="7"/>
  <c r="O1411" i="7"/>
  <c r="N1411" i="7"/>
  <c r="V1410" i="7"/>
  <c r="U1410" i="7"/>
  <c r="T1410" i="7"/>
  <c r="S1410" i="7"/>
  <c r="R1410" i="7"/>
  <c r="Q1410" i="7"/>
  <c r="P1410" i="7"/>
  <c r="O1410" i="7"/>
  <c r="N1410" i="7"/>
  <c r="V1409" i="7"/>
  <c r="U1409" i="7"/>
  <c r="T1409" i="7"/>
  <c r="S1409" i="7"/>
  <c r="R1409" i="7"/>
  <c r="Q1409" i="7"/>
  <c r="P1409" i="7"/>
  <c r="O1409" i="7"/>
  <c r="N1409" i="7"/>
  <c r="V1408" i="7"/>
  <c r="U1408" i="7"/>
  <c r="T1408" i="7"/>
  <c r="S1408" i="7"/>
  <c r="R1408" i="7"/>
  <c r="Q1408" i="7"/>
  <c r="P1408" i="7"/>
  <c r="O1408" i="7"/>
  <c r="N1408" i="7"/>
  <c r="V1407" i="7"/>
  <c r="U1407" i="7"/>
  <c r="T1407" i="7"/>
  <c r="S1407" i="7"/>
  <c r="R1407" i="7"/>
  <c r="Q1407" i="7"/>
  <c r="P1407" i="7"/>
  <c r="O1407" i="7"/>
  <c r="N1407" i="7"/>
  <c r="V1406" i="7"/>
  <c r="U1406" i="7"/>
  <c r="T1406" i="7"/>
  <c r="S1406" i="7"/>
  <c r="R1406" i="7"/>
  <c r="Q1406" i="7"/>
  <c r="P1406" i="7"/>
  <c r="O1406" i="7"/>
  <c r="N1406" i="7"/>
  <c r="V1405" i="7"/>
  <c r="U1405" i="7"/>
  <c r="T1405" i="7"/>
  <c r="S1405" i="7"/>
  <c r="R1405" i="7"/>
  <c r="Q1405" i="7"/>
  <c r="P1405" i="7"/>
  <c r="O1405" i="7"/>
  <c r="N1405" i="7"/>
  <c r="V1404" i="7"/>
  <c r="U1404" i="7"/>
  <c r="T1404" i="7"/>
  <c r="S1404" i="7"/>
  <c r="R1404" i="7"/>
  <c r="Q1404" i="7"/>
  <c r="P1404" i="7"/>
  <c r="O1404" i="7"/>
  <c r="N1404" i="7"/>
  <c r="V1403" i="7"/>
  <c r="U1403" i="7"/>
  <c r="T1403" i="7"/>
  <c r="S1403" i="7"/>
  <c r="R1403" i="7"/>
  <c r="Q1403" i="7"/>
  <c r="P1403" i="7"/>
  <c r="O1403" i="7"/>
  <c r="N1403" i="7"/>
  <c r="V1402" i="7"/>
  <c r="U1402" i="7"/>
  <c r="T1402" i="7"/>
  <c r="S1402" i="7"/>
  <c r="R1402" i="7"/>
  <c r="Q1402" i="7"/>
  <c r="P1402" i="7"/>
  <c r="O1402" i="7"/>
  <c r="N1402" i="7"/>
  <c r="V1401" i="7"/>
  <c r="U1401" i="7"/>
  <c r="T1401" i="7"/>
  <c r="S1401" i="7"/>
  <c r="R1401" i="7"/>
  <c r="Q1401" i="7"/>
  <c r="P1401" i="7"/>
  <c r="O1401" i="7"/>
  <c r="N1401" i="7"/>
  <c r="V1400" i="7"/>
  <c r="U1400" i="7"/>
  <c r="T1400" i="7"/>
  <c r="S1400" i="7"/>
  <c r="R1400" i="7"/>
  <c r="Q1400" i="7"/>
  <c r="P1400" i="7"/>
  <c r="O1400" i="7"/>
  <c r="N1400" i="7"/>
  <c r="V1399" i="7"/>
  <c r="U1399" i="7"/>
  <c r="T1399" i="7"/>
  <c r="S1399" i="7"/>
  <c r="R1399" i="7"/>
  <c r="Q1399" i="7"/>
  <c r="P1399" i="7"/>
  <c r="O1399" i="7"/>
  <c r="N1399" i="7"/>
  <c r="V1398" i="7"/>
  <c r="U1398" i="7"/>
  <c r="T1398" i="7"/>
  <c r="S1398" i="7"/>
  <c r="R1398" i="7"/>
  <c r="Q1398" i="7"/>
  <c r="P1398" i="7"/>
  <c r="O1398" i="7"/>
  <c r="N1398" i="7"/>
  <c r="V1397" i="7"/>
  <c r="U1397" i="7"/>
  <c r="T1397" i="7"/>
  <c r="S1397" i="7"/>
  <c r="R1397" i="7"/>
  <c r="Q1397" i="7"/>
  <c r="P1397" i="7"/>
  <c r="O1397" i="7"/>
  <c r="N1397" i="7"/>
  <c r="V1396" i="7"/>
  <c r="U1396" i="7"/>
  <c r="T1396" i="7"/>
  <c r="S1396" i="7"/>
  <c r="R1396" i="7"/>
  <c r="Q1396" i="7"/>
  <c r="P1396" i="7"/>
  <c r="O1396" i="7"/>
  <c r="N1396" i="7"/>
  <c r="V1395" i="7"/>
  <c r="U1395" i="7"/>
  <c r="T1395" i="7"/>
  <c r="S1395" i="7"/>
  <c r="R1395" i="7"/>
  <c r="Q1395" i="7"/>
  <c r="P1395" i="7"/>
  <c r="O1395" i="7"/>
  <c r="N1395" i="7"/>
  <c r="V1394" i="7"/>
  <c r="U1394" i="7"/>
  <c r="T1394" i="7"/>
  <c r="S1394" i="7"/>
  <c r="R1394" i="7"/>
  <c r="Q1394" i="7"/>
  <c r="P1394" i="7"/>
  <c r="O1394" i="7"/>
  <c r="N1394" i="7"/>
  <c r="V1393" i="7"/>
  <c r="U1393" i="7"/>
  <c r="T1393" i="7"/>
  <c r="S1393" i="7"/>
  <c r="R1393" i="7"/>
  <c r="Q1393" i="7"/>
  <c r="P1393" i="7"/>
  <c r="O1393" i="7"/>
  <c r="N1393" i="7"/>
  <c r="V1392" i="7"/>
  <c r="U1392" i="7"/>
  <c r="T1392" i="7"/>
  <c r="S1392" i="7"/>
  <c r="R1392" i="7"/>
  <c r="Q1392" i="7"/>
  <c r="P1392" i="7"/>
  <c r="O1392" i="7"/>
  <c r="N1392" i="7"/>
  <c r="V1391" i="7"/>
  <c r="U1391" i="7"/>
  <c r="T1391" i="7"/>
  <c r="S1391" i="7"/>
  <c r="R1391" i="7"/>
  <c r="Q1391" i="7"/>
  <c r="P1391" i="7"/>
  <c r="O1391" i="7"/>
  <c r="N1391" i="7"/>
  <c r="V1390" i="7"/>
  <c r="U1390" i="7"/>
  <c r="T1390" i="7"/>
  <c r="S1390" i="7"/>
  <c r="R1390" i="7"/>
  <c r="Q1390" i="7"/>
  <c r="P1390" i="7"/>
  <c r="O1390" i="7"/>
  <c r="N1390" i="7"/>
  <c r="V1389" i="7"/>
  <c r="U1389" i="7"/>
  <c r="T1389" i="7"/>
  <c r="S1389" i="7"/>
  <c r="R1389" i="7"/>
  <c r="Q1389" i="7"/>
  <c r="P1389" i="7"/>
  <c r="O1389" i="7"/>
  <c r="N1389" i="7"/>
  <c r="V1388" i="7"/>
  <c r="U1388" i="7"/>
  <c r="T1388" i="7"/>
  <c r="S1388" i="7"/>
  <c r="R1388" i="7"/>
  <c r="Q1388" i="7"/>
  <c r="P1388" i="7"/>
  <c r="O1388" i="7"/>
  <c r="N1388" i="7"/>
  <c r="V1387" i="7"/>
  <c r="U1387" i="7"/>
  <c r="T1387" i="7"/>
  <c r="S1387" i="7"/>
  <c r="R1387" i="7"/>
  <c r="Q1387" i="7"/>
  <c r="P1387" i="7"/>
  <c r="O1387" i="7"/>
  <c r="N1387" i="7"/>
  <c r="V1386" i="7"/>
  <c r="U1386" i="7"/>
  <c r="T1386" i="7"/>
  <c r="S1386" i="7"/>
  <c r="R1386" i="7"/>
  <c r="Q1386" i="7"/>
  <c r="P1386" i="7"/>
  <c r="O1386" i="7"/>
  <c r="N1386" i="7"/>
  <c r="V1385" i="7"/>
  <c r="U1385" i="7"/>
  <c r="T1385" i="7"/>
  <c r="S1385" i="7"/>
  <c r="R1385" i="7"/>
  <c r="Q1385" i="7"/>
  <c r="P1385" i="7"/>
  <c r="O1385" i="7"/>
  <c r="N1385" i="7"/>
  <c r="V1384" i="7"/>
  <c r="U1384" i="7"/>
  <c r="T1384" i="7"/>
  <c r="S1384" i="7"/>
  <c r="R1384" i="7"/>
  <c r="Q1384" i="7"/>
  <c r="P1384" i="7"/>
  <c r="O1384" i="7"/>
  <c r="N1384" i="7"/>
  <c r="V1383" i="7"/>
  <c r="U1383" i="7"/>
  <c r="T1383" i="7"/>
  <c r="S1383" i="7"/>
  <c r="R1383" i="7"/>
  <c r="Q1383" i="7"/>
  <c r="P1383" i="7"/>
  <c r="O1383" i="7"/>
  <c r="N1383" i="7"/>
  <c r="V1382" i="7"/>
  <c r="U1382" i="7"/>
  <c r="T1382" i="7"/>
  <c r="S1382" i="7"/>
  <c r="R1382" i="7"/>
  <c r="Q1382" i="7"/>
  <c r="P1382" i="7"/>
  <c r="O1382" i="7"/>
  <c r="N1382" i="7"/>
  <c r="V1381" i="7"/>
  <c r="U1381" i="7"/>
  <c r="T1381" i="7"/>
  <c r="S1381" i="7"/>
  <c r="R1381" i="7"/>
  <c r="Q1381" i="7"/>
  <c r="P1381" i="7"/>
  <c r="O1381" i="7"/>
  <c r="N1381" i="7"/>
  <c r="V1380" i="7"/>
  <c r="U1380" i="7"/>
  <c r="T1380" i="7"/>
  <c r="S1380" i="7"/>
  <c r="R1380" i="7"/>
  <c r="Q1380" i="7"/>
  <c r="P1380" i="7"/>
  <c r="O1380" i="7"/>
  <c r="N1380" i="7"/>
  <c r="V1379" i="7"/>
  <c r="U1379" i="7"/>
  <c r="T1379" i="7"/>
  <c r="S1379" i="7"/>
  <c r="R1379" i="7"/>
  <c r="Q1379" i="7"/>
  <c r="P1379" i="7"/>
  <c r="O1379" i="7"/>
  <c r="N1379" i="7"/>
  <c r="V1378" i="7"/>
  <c r="U1378" i="7"/>
  <c r="T1378" i="7"/>
  <c r="S1378" i="7"/>
  <c r="R1378" i="7"/>
  <c r="Q1378" i="7"/>
  <c r="P1378" i="7"/>
  <c r="O1378" i="7"/>
  <c r="N1378" i="7"/>
  <c r="V1377" i="7"/>
  <c r="U1377" i="7"/>
  <c r="T1377" i="7"/>
  <c r="S1377" i="7"/>
  <c r="R1377" i="7"/>
  <c r="Q1377" i="7"/>
  <c r="P1377" i="7"/>
  <c r="O1377" i="7"/>
  <c r="N1377" i="7"/>
  <c r="V1376" i="7"/>
  <c r="U1376" i="7"/>
  <c r="T1376" i="7"/>
  <c r="S1376" i="7"/>
  <c r="R1376" i="7"/>
  <c r="Q1376" i="7"/>
  <c r="P1376" i="7"/>
  <c r="O1376" i="7"/>
  <c r="N1376" i="7"/>
  <c r="V1375" i="7"/>
  <c r="U1375" i="7"/>
  <c r="T1375" i="7"/>
  <c r="S1375" i="7"/>
  <c r="R1375" i="7"/>
  <c r="Q1375" i="7"/>
  <c r="P1375" i="7"/>
  <c r="O1375" i="7"/>
  <c r="N1375" i="7"/>
  <c r="V1374" i="7"/>
  <c r="U1374" i="7"/>
  <c r="T1374" i="7"/>
  <c r="S1374" i="7"/>
  <c r="R1374" i="7"/>
  <c r="Q1374" i="7"/>
  <c r="P1374" i="7"/>
  <c r="O1374" i="7"/>
  <c r="N1374" i="7"/>
  <c r="V1373" i="7"/>
  <c r="U1373" i="7"/>
  <c r="T1373" i="7"/>
  <c r="S1373" i="7"/>
  <c r="R1373" i="7"/>
  <c r="Q1373" i="7"/>
  <c r="P1373" i="7"/>
  <c r="O1373" i="7"/>
  <c r="N1373" i="7"/>
  <c r="V1372" i="7"/>
  <c r="U1372" i="7"/>
  <c r="T1372" i="7"/>
  <c r="S1372" i="7"/>
  <c r="R1372" i="7"/>
  <c r="Q1372" i="7"/>
  <c r="P1372" i="7"/>
  <c r="O1372" i="7"/>
  <c r="N1372" i="7"/>
  <c r="V1371" i="7"/>
  <c r="U1371" i="7"/>
  <c r="T1371" i="7"/>
  <c r="S1371" i="7"/>
  <c r="R1371" i="7"/>
  <c r="Q1371" i="7"/>
  <c r="P1371" i="7"/>
  <c r="O1371" i="7"/>
  <c r="N1371" i="7"/>
  <c r="V1370" i="7"/>
  <c r="U1370" i="7"/>
  <c r="T1370" i="7"/>
  <c r="S1370" i="7"/>
  <c r="R1370" i="7"/>
  <c r="Q1370" i="7"/>
  <c r="P1370" i="7"/>
  <c r="O1370" i="7"/>
  <c r="N1370" i="7"/>
  <c r="V1369" i="7"/>
  <c r="U1369" i="7"/>
  <c r="T1369" i="7"/>
  <c r="S1369" i="7"/>
  <c r="R1369" i="7"/>
  <c r="Q1369" i="7"/>
  <c r="P1369" i="7"/>
  <c r="O1369" i="7"/>
  <c r="N1369" i="7"/>
  <c r="V1368" i="7"/>
  <c r="U1368" i="7"/>
  <c r="T1368" i="7"/>
  <c r="S1368" i="7"/>
  <c r="R1368" i="7"/>
  <c r="Q1368" i="7"/>
  <c r="P1368" i="7"/>
  <c r="O1368" i="7"/>
  <c r="N1368" i="7"/>
  <c r="V1367" i="7"/>
  <c r="U1367" i="7"/>
  <c r="T1367" i="7"/>
  <c r="S1367" i="7"/>
  <c r="R1367" i="7"/>
  <c r="Q1367" i="7"/>
  <c r="P1367" i="7"/>
  <c r="O1367" i="7"/>
  <c r="N1367" i="7"/>
  <c r="V1366" i="7"/>
  <c r="U1366" i="7"/>
  <c r="T1366" i="7"/>
  <c r="S1366" i="7"/>
  <c r="R1366" i="7"/>
  <c r="Q1366" i="7"/>
  <c r="P1366" i="7"/>
  <c r="O1366" i="7"/>
  <c r="N1366" i="7"/>
  <c r="V1365" i="7"/>
  <c r="U1365" i="7"/>
  <c r="T1365" i="7"/>
  <c r="S1365" i="7"/>
  <c r="R1365" i="7"/>
  <c r="Q1365" i="7"/>
  <c r="P1365" i="7"/>
  <c r="O1365" i="7"/>
  <c r="N1365" i="7"/>
  <c r="V1364" i="7"/>
  <c r="U1364" i="7"/>
  <c r="T1364" i="7"/>
  <c r="S1364" i="7"/>
  <c r="R1364" i="7"/>
  <c r="Q1364" i="7"/>
  <c r="P1364" i="7"/>
  <c r="O1364" i="7"/>
  <c r="N1364" i="7"/>
  <c r="V1363" i="7"/>
  <c r="U1363" i="7"/>
  <c r="T1363" i="7"/>
  <c r="S1363" i="7"/>
  <c r="R1363" i="7"/>
  <c r="Q1363" i="7"/>
  <c r="P1363" i="7"/>
  <c r="O1363" i="7"/>
  <c r="N1363" i="7"/>
  <c r="V1362" i="7"/>
  <c r="U1362" i="7"/>
  <c r="T1362" i="7"/>
  <c r="S1362" i="7"/>
  <c r="R1362" i="7"/>
  <c r="Q1362" i="7"/>
  <c r="P1362" i="7"/>
  <c r="O1362" i="7"/>
  <c r="N1362" i="7"/>
  <c r="V1361" i="7"/>
  <c r="U1361" i="7"/>
  <c r="T1361" i="7"/>
  <c r="S1361" i="7"/>
  <c r="R1361" i="7"/>
  <c r="Q1361" i="7"/>
  <c r="P1361" i="7"/>
  <c r="O1361" i="7"/>
  <c r="N1361" i="7"/>
  <c r="V1360" i="7"/>
  <c r="U1360" i="7"/>
  <c r="T1360" i="7"/>
  <c r="S1360" i="7"/>
  <c r="R1360" i="7"/>
  <c r="Q1360" i="7"/>
  <c r="P1360" i="7"/>
  <c r="O1360" i="7"/>
  <c r="N1360" i="7"/>
  <c r="V1359" i="7"/>
  <c r="U1359" i="7"/>
  <c r="T1359" i="7"/>
  <c r="S1359" i="7"/>
  <c r="R1359" i="7"/>
  <c r="Q1359" i="7"/>
  <c r="P1359" i="7"/>
  <c r="O1359" i="7"/>
  <c r="N1359" i="7"/>
  <c r="V1358" i="7"/>
  <c r="U1358" i="7"/>
  <c r="T1358" i="7"/>
  <c r="S1358" i="7"/>
  <c r="R1358" i="7"/>
  <c r="Q1358" i="7"/>
  <c r="P1358" i="7"/>
  <c r="O1358" i="7"/>
  <c r="N1358" i="7"/>
  <c r="V1357" i="7"/>
  <c r="U1357" i="7"/>
  <c r="T1357" i="7"/>
  <c r="S1357" i="7"/>
  <c r="R1357" i="7"/>
  <c r="Q1357" i="7"/>
  <c r="P1357" i="7"/>
  <c r="O1357" i="7"/>
  <c r="N1357" i="7"/>
  <c r="V1356" i="7"/>
  <c r="U1356" i="7"/>
  <c r="T1356" i="7"/>
  <c r="S1356" i="7"/>
  <c r="R1356" i="7"/>
  <c r="Q1356" i="7"/>
  <c r="P1356" i="7"/>
  <c r="O1356" i="7"/>
  <c r="N1356" i="7"/>
  <c r="V1355" i="7"/>
  <c r="U1355" i="7"/>
  <c r="T1355" i="7"/>
  <c r="S1355" i="7"/>
  <c r="R1355" i="7"/>
  <c r="Q1355" i="7"/>
  <c r="P1355" i="7"/>
  <c r="O1355" i="7"/>
  <c r="N1355" i="7"/>
  <c r="V1354" i="7"/>
  <c r="U1354" i="7"/>
  <c r="T1354" i="7"/>
  <c r="S1354" i="7"/>
  <c r="R1354" i="7"/>
  <c r="Q1354" i="7"/>
  <c r="P1354" i="7"/>
  <c r="O1354" i="7"/>
  <c r="N1354" i="7"/>
  <c r="V1353" i="7"/>
  <c r="U1353" i="7"/>
  <c r="T1353" i="7"/>
  <c r="S1353" i="7"/>
  <c r="R1353" i="7"/>
  <c r="Q1353" i="7"/>
  <c r="P1353" i="7"/>
  <c r="O1353" i="7"/>
  <c r="N1353" i="7"/>
  <c r="V1352" i="7"/>
  <c r="U1352" i="7"/>
  <c r="T1352" i="7"/>
  <c r="S1352" i="7"/>
  <c r="R1352" i="7"/>
  <c r="Q1352" i="7"/>
  <c r="P1352" i="7"/>
  <c r="O1352" i="7"/>
  <c r="N1352" i="7"/>
  <c r="V1351" i="7"/>
  <c r="U1351" i="7"/>
  <c r="T1351" i="7"/>
  <c r="S1351" i="7"/>
  <c r="R1351" i="7"/>
  <c r="Q1351" i="7"/>
  <c r="P1351" i="7"/>
  <c r="O1351" i="7"/>
  <c r="N1351" i="7"/>
  <c r="V1350" i="7"/>
  <c r="U1350" i="7"/>
  <c r="T1350" i="7"/>
  <c r="S1350" i="7"/>
  <c r="R1350" i="7"/>
  <c r="Q1350" i="7"/>
  <c r="P1350" i="7"/>
  <c r="O1350" i="7"/>
  <c r="N1350" i="7"/>
  <c r="V1349" i="7"/>
  <c r="U1349" i="7"/>
  <c r="T1349" i="7"/>
  <c r="S1349" i="7"/>
  <c r="R1349" i="7"/>
  <c r="Q1349" i="7"/>
  <c r="P1349" i="7"/>
  <c r="O1349" i="7"/>
  <c r="N1349" i="7"/>
  <c r="V1348" i="7"/>
  <c r="U1348" i="7"/>
  <c r="T1348" i="7"/>
  <c r="S1348" i="7"/>
  <c r="R1348" i="7"/>
  <c r="Q1348" i="7"/>
  <c r="P1348" i="7"/>
  <c r="O1348" i="7"/>
  <c r="N1348" i="7"/>
  <c r="V1347" i="7"/>
  <c r="U1347" i="7"/>
  <c r="T1347" i="7"/>
  <c r="S1347" i="7"/>
  <c r="R1347" i="7"/>
  <c r="Q1347" i="7"/>
  <c r="P1347" i="7"/>
  <c r="O1347" i="7"/>
  <c r="N1347" i="7"/>
  <c r="V1346" i="7"/>
  <c r="U1346" i="7"/>
  <c r="T1346" i="7"/>
  <c r="S1346" i="7"/>
  <c r="R1346" i="7"/>
  <c r="Q1346" i="7"/>
  <c r="P1346" i="7"/>
  <c r="O1346" i="7"/>
  <c r="N1346" i="7"/>
  <c r="V1345" i="7"/>
  <c r="U1345" i="7"/>
  <c r="T1345" i="7"/>
  <c r="S1345" i="7"/>
  <c r="R1345" i="7"/>
  <c r="Q1345" i="7"/>
  <c r="P1345" i="7"/>
  <c r="O1345" i="7"/>
  <c r="N1345" i="7"/>
  <c r="V1344" i="7"/>
  <c r="U1344" i="7"/>
  <c r="T1344" i="7"/>
  <c r="S1344" i="7"/>
  <c r="R1344" i="7"/>
  <c r="Q1344" i="7"/>
  <c r="P1344" i="7"/>
  <c r="O1344" i="7"/>
  <c r="N1344" i="7"/>
  <c r="V1343" i="7"/>
  <c r="U1343" i="7"/>
  <c r="T1343" i="7"/>
  <c r="S1343" i="7"/>
  <c r="R1343" i="7"/>
  <c r="Q1343" i="7"/>
  <c r="P1343" i="7"/>
  <c r="O1343" i="7"/>
  <c r="N1343" i="7"/>
  <c r="V1342" i="7"/>
  <c r="U1342" i="7"/>
  <c r="T1342" i="7"/>
  <c r="S1342" i="7"/>
  <c r="R1342" i="7"/>
  <c r="Q1342" i="7"/>
  <c r="P1342" i="7"/>
  <c r="O1342" i="7"/>
  <c r="N1342" i="7"/>
  <c r="V1341" i="7"/>
  <c r="U1341" i="7"/>
  <c r="T1341" i="7"/>
  <c r="S1341" i="7"/>
  <c r="R1341" i="7"/>
  <c r="Q1341" i="7"/>
  <c r="P1341" i="7"/>
  <c r="O1341" i="7"/>
  <c r="N1341" i="7"/>
  <c r="V1340" i="7"/>
  <c r="U1340" i="7"/>
  <c r="T1340" i="7"/>
  <c r="S1340" i="7"/>
  <c r="R1340" i="7"/>
  <c r="Q1340" i="7"/>
  <c r="P1340" i="7"/>
  <c r="O1340" i="7"/>
  <c r="N1340" i="7"/>
  <c r="V1339" i="7"/>
  <c r="U1339" i="7"/>
  <c r="T1339" i="7"/>
  <c r="S1339" i="7"/>
  <c r="R1339" i="7"/>
  <c r="Q1339" i="7"/>
  <c r="P1339" i="7"/>
  <c r="O1339" i="7"/>
  <c r="N1339" i="7"/>
  <c r="V1338" i="7"/>
  <c r="U1338" i="7"/>
  <c r="T1338" i="7"/>
  <c r="S1338" i="7"/>
  <c r="R1338" i="7"/>
  <c r="Q1338" i="7"/>
  <c r="P1338" i="7"/>
  <c r="O1338" i="7"/>
  <c r="N1338" i="7"/>
  <c r="V1337" i="7"/>
  <c r="U1337" i="7"/>
  <c r="T1337" i="7"/>
  <c r="S1337" i="7"/>
  <c r="R1337" i="7"/>
  <c r="Q1337" i="7"/>
  <c r="P1337" i="7"/>
  <c r="O1337" i="7"/>
  <c r="N1337" i="7"/>
  <c r="V1336" i="7"/>
  <c r="U1336" i="7"/>
  <c r="T1336" i="7"/>
  <c r="S1336" i="7"/>
  <c r="R1336" i="7"/>
  <c r="Q1336" i="7"/>
  <c r="P1336" i="7"/>
  <c r="O1336" i="7"/>
  <c r="N1336" i="7"/>
  <c r="V1335" i="7"/>
  <c r="U1335" i="7"/>
  <c r="T1335" i="7"/>
  <c r="S1335" i="7"/>
  <c r="R1335" i="7"/>
  <c r="Q1335" i="7"/>
  <c r="P1335" i="7"/>
  <c r="O1335" i="7"/>
  <c r="N1335" i="7"/>
  <c r="V1334" i="7"/>
  <c r="U1334" i="7"/>
  <c r="T1334" i="7"/>
  <c r="S1334" i="7"/>
  <c r="R1334" i="7"/>
  <c r="Q1334" i="7"/>
  <c r="P1334" i="7"/>
  <c r="O1334" i="7"/>
  <c r="N1334" i="7"/>
  <c r="V1333" i="7"/>
  <c r="U1333" i="7"/>
  <c r="T1333" i="7"/>
  <c r="S1333" i="7"/>
  <c r="R1333" i="7"/>
  <c r="Q1333" i="7"/>
  <c r="P1333" i="7"/>
  <c r="O1333" i="7"/>
  <c r="N1333" i="7"/>
  <c r="V1332" i="7"/>
  <c r="U1332" i="7"/>
  <c r="T1332" i="7"/>
  <c r="S1332" i="7"/>
  <c r="R1332" i="7"/>
  <c r="Q1332" i="7"/>
  <c r="P1332" i="7"/>
  <c r="O1332" i="7"/>
  <c r="N1332" i="7"/>
  <c r="V1331" i="7"/>
  <c r="U1331" i="7"/>
  <c r="T1331" i="7"/>
  <c r="S1331" i="7"/>
  <c r="R1331" i="7"/>
  <c r="Q1331" i="7"/>
  <c r="P1331" i="7"/>
  <c r="O1331" i="7"/>
  <c r="N1331" i="7"/>
  <c r="V1330" i="7"/>
  <c r="U1330" i="7"/>
  <c r="T1330" i="7"/>
  <c r="S1330" i="7"/>
  <c r="R1330" i="7"/>
  <c r="Q1330" i="7"/>
  <c r="P1330" i="7"/>
  <c r="O1330" i="7"/>
  <c r="N1330" i="7"/>
  <c r="V1329" i="7"/>
  <c r="U1329" i="7"/>
  <c r="T1329" i="7"/>
  <c r="S1329" i="7"/>
  <c r="R1329" i="7"/>
  <c r="Q1329" i="7"/>
  <c r="P1329" i="7"/>
  <c r="O1329" i="7"/>
  <c r="N1329" i="7"/>
  <c r="V1328" i="7"/>
  <c r="U1328" i="7"/>
  <c r="T1328" i="7"/>
  <c r="S1328" i="7"/>
  <c r="R1328" i="7"/>
  <c r="Q1328" i="7"/>
  <c r="P1328" i="7"/>
  <c r="O1328" i="7"/>
  <c r="N1328" i="7"/>
  <c r="V1327" i="7"/>
  <c r="U1327" i="7"/>
  <c r="T1327" i="7"/>
  <c r="S1327" i="7"/>
  <c r="R1327" i="7"/>
  <c r="Q1327" i="7"/>
  <c r="P1327" i="7"/>
  <c r="O1327" i="7"/>
  <c r="N1327" i="7"/>
  <c r="V1326" i="7"/>
  <c r="U1326" i="7"/>
  <c r="T1326" i="7"/>
  <c r="S1326" i="7"/>
  <c r="R1326" i="7"/>
  <c r="Q1326" i="7"/>
  <c r="P1326" i="7"/>
  <c r="O1326" i="7"/>
  <c r="N1326" i="7"/>
  <c r="V1325" i="7"/>
  <c r="U1325" i="7"/>
  <c r="T1325" i="7"/>
  <c r="S1325" i="7"/>
  <c r="R1325" i="7"/>
  <c r="Q1325" i="7"/>
  <c r="P1325" i="7"/>
  <c r="O1325" i="7"/>
  <c r="N1325" i="7"/>
  <c r="V1324" i="7"/>
  <c r="U1324" i="7"/>
  <c r="T1324" i="7"/>
  <c r="S1324" i="7"/>
  <c r="R1324" i="7"/>
  <c r="Q1324" i="7"/>
  <c r="P1324" i="7"/>
  <c r="O1324" i="7"/>
  <c r="N1324" i="7"/>
  <c r="V1323" i="7"/>
  <c r="U1323" i="7"/>
  <c r="T1323" i="7"/>
  <c r="S1323" i="7"/>
  <c r="R1323" i="7"/>
  <c r="Q1323" i="7"/>
  <c r="P1323" i="7"/>
  <c r="O1323" i="7"/>
  <c r="N1323" i="7"/>
  <c r="V1322" i="7"/>
  <c r="U1322" i="7"/>
  <c r="T1322" i="7"/>
  <c r="S1322" i="7"/>
  <c r="R1322" i="7"/>
  <c r="Q1322" i="7"/>
  <c r="P1322" i="7"/>
  <c r="O1322" i="7"/>
  <c r="N1322" i="7"/>
  <c r="V1321" i="7"/>
  <c r="U1321" i="7"/>
  <c r="T1321" i="7"/>
  <c r="S1321" i="7"/>
  <c r="R1321" i="7"/>
  <c r="Q1321" i="7"/>
  <c r="P1321" i="7"/>
  <c r="O1321" i="7"/>
  <c r="N1321" i="7"/>
  <c r="V1320" i="7"/>
  <c r="U1320" i="7"/>
  <c r="T1320" i="7"/>
  <c r="S1320" i="7"/>
  <c r="R1320" i="7"/>
  <c r="Q1320" i="7"/>
  <c r="P1320" i="7"/>
  <c r="O1320" i="7"/>
  <c r="N1320" i="7"/>
  <c r="V1319" i="7"/>
  <c r="U1319" i="7"/>
  <c r="T1319" i="7"/>
  <c r="S1319" i="7"/>
  <c r="R1319" i="7"/>
  <c r="Q1319" i="7"/>
  <c r="P1319" i="7"/>
  <c r="O1319" i="7"/>
  <c r="N1319" i="7"/>
  <c r="V1318" i="7"/>
  <c r="U1318" i="7"/>
  <c r="T1318" i="7"/>
  <c r="S1318" i="7"/>
  <c r="R1318" i="7"/>
  <c r="Q1318" i="7"/>
  <c r="P1318" i="7"/>
  <c r="O1318" i="7"/>
  <c r="N1318" i="7"/>
  <c r="V1317" i="7"/>
  <c r="U1317" i="7"/>
  <c r="T1317" i="7"/>
  <c r="S1317" i="7"/>
  <c r="R1317" i="7"/>
  <c r="Q1317" i="7"/>
  <c r="P1317" i="7"/>
  <c r="O1317" i="7"/>
  <c r="N1317" i="7"/>
  <c r="V1316" i="7"/>
  <c r="U1316" i="7"/>
  <c r="T1316" i="7"/>
  <c r="S1316" i="7"/>
  <c r="R1316" i="7"/>
  <c r="Q1316" i="7"/>
  <c r="P1316" i="7"/>
  <c r="O1316" i="7"/>
  <c r="N1316" i="7"/>
  <c r="V1315" i="7"/>
  <c r="U1315" i="7"/>
  <c r="T1315" i="7"/>
  <c r="S1315" i="7"/>
  <c r="R1315" i="7"/>
  <c r="Q1315" i="7"/>
  <c r="P1315" i="7"/>
  <c r="O1315" i="7"/>
  <c r="N1315" i="7"/>
  <c r="V1314" i="7"/>
  <c r="U1314" i="7"/>
  <c r="T1314" i="7"/>
  <c r="S1314" i="7"/>
  <c r="R1314" i="7"/>
  <c r="Q1314" i="7"/>
  <c r="P1314" i="7"/>
  <c r="O1314" i="7"/>
  <c r="N1314" i="7"/>
  <c r="V1313" i="7"/>
  <c r="U1313" i="7"/>
  <c r="T1313" i="7"/>
  <c r="S1313" i="7"/>
  <c r="R1313" i="7"/>
  <c r="Q1313" i="7"/>
  <c r="P1313" i="7"/>
  <c r="O1313" i="7"/>
  <c r="N1313" i="7"/>
  <c r="V1312" i="7"/>
  <c r="U1312" i="7"/>
  <c r="T1312" i="7"/>
  <c r="S1312" i="7"/>
  <c r="R1312" i="7"/>
  <c r="Q1312" i="7"/>
  <c r="P1312" i="7"/>
  <c r="O1312" i="7"/>
  <c r="N1312" i="7"/>
  <c r="V1311" i="7"/>
  <c r="U1311" i="7"/>
  <c r="T1311" i="7"/>
  <c r="S1311" i="7"/>
  <c r="R1311" i="7"/>
  <c r="Q1311" i="7"/>
  <c r="P1311" i="7"/>
  <c r="O1311" i="7"/>
  <c r="N1311" i="7"/>
  <c r="V1310" i="7"/>
  <c r="U1310" i="7"/>
  <c r="T1310" i="7"/>
  <c r="S1310" i="7"/>
  <c r="R1310" i="7"/>
  <c r="Q1310" i="7"/>
  <c r="P1310" i="7"/>
  <c r="O1310" i="7"/>
  <c r="N1310" i="7"/>
  <c r="V1309" i="7"/>
  <c r="U1309" i="7"/>
  <c r="T1309" i="7"/>
  <c r="S1309" i="7"/>
  <c r="R1309" i="7"/>
  <c r="Q1309" i="7"/>
  <c r="P1309" i="7"/>
  <c r="O1309" i="7"/>
  <c r="N1309" i="7"/>
  <c r="V1308" i="7"/>
  <c r="U1308" i="7"/>
  <c r="T1308" i="7"/>
  <c r="S1308" i="7"/>
  <c r="R1308" i="7"/>
  <c r="Q1308" i="7"/>
  <c r="P1308" i="7"/>
  <c r="O1308" i="7"/>
  <c r="N1308" i="7"/>
  <c r="V1307" i="7"/>
  <c r="U1307" i="7"/>
  <c r="T1307" i="7"/>
  <c r="S1307" i="7"/>
  <c r="R1307" i="7"/>
  <c r="Q1307" i="7"/>
  <c r="P1307" i="7"/>
  <c r="O1307" i="7"/>
  <c r="N1307" i="7"/>
  <c r="V1306" i="7"/>
  <c r="U1306" i="7"/>
  <c r="T1306" i="7"/>
  <c r="S1306" i="7"/>
  <c r="R1306" i="7"/>
  <c r="Q1306" i="7"/>
  <c r="P1306" i="7"/>
  <c r="O1306" i="7"/>
  <c r="N1306" i="7"/>
  <c r="V1305" i="7"/>
  <c r="U1305" i="7"/>
  <c r="T1305" i="7"/>
  <c r="S1305" i="7"/>
  <c r="R1305" i="7"/>
  <c r="Q1305" i="7"/>
  <c r="P1305" i="7"/>
  <c r="O1305" i="7"/>
  <c r="N1305" i="7"/>
  <c r="V1304" i="7"/>
  <c r="U1304" i="7"/>
  <c r="T1304" i="7"/>
  <c r="S1304" i="7"/>
  <c r="R1304" i="7"/>
  <c r="Q1304" i="7"/>
  <c r="P1304" i="7"/>
  <c r="O1304" i="7"/>
  <c r="N1304" i="7"/>
  <c r="V1303" i="7"/>
  <c r="U1303" i="7"/>
  <c r="T1303" i="7"/>
  <c r="S1303" i="7"/>
  <c r="R1303" i="7"/>
  <c r="Q1303" i="7"/>
  <c r="P1303" i="7"/>
  <c r="O1303" i="7"/>
  <c r="N1303" i="7"/>
  <c r="V1302" i="7"/>
  <c r="U1302" i="7"/>
  <c r="T1302" i="7"/>
  <c r="S1302" i="7"/>
  <c r="R1302" i="7"/>
  <c r="Q1302" i="7"/>
  <c r="P1302" i="7"/>
  <c r="O1302" i="7"/>
  <c r="N1302" i="7"/>
  <c r="V1301" i="7"/>
  <c r="U1301" i="7"/>
  <c r="T1301" i="7"/>
  <c r="S1301" i="7"/>
  <c r="R1301" i="7"/>
  <c r="Q1301" i="7"/>
  <c r="P1301" i="7"/>
  <c r="O1301" i="7"/>
  <c r="N1301" i="7"/>
  <c r="V1300" i="7"/>
  <c r="U1300" i="7"/>
  <c r="T1300" i="7"/>
  <c r="S1300" i="7"/>
  <c r="R1300" i="7"/>
  <c r="Q1300" i="7"/>
  <c r="P1300" i="7"/>
  <c r="O1300" i="7"/>
  <c r="N1300" i="7"/>
  <c r="V1299" i="7"/>
  <c r="U1299" i="7"/>
  <c r="T1299" i="7"/>
  <c r="S1299" i="7"/>
  <c r="R1299" i="7"/>
  <c r="Q1299" i="7"/>
  <c r="P1299" i="7"/>
  <c r="O1299" i="7"/>
  <c r="N1299" i="7"/>
  <c r="V1298" i="7"/>
  <c r="U1298" i="7"/>
  <c r="T1298" i="7"/>
  <c r="S1298" i="7"/>
  <c r="R1298" i="7"/>
  <c r="Q1298" i="7"/>
  <c r="P1298" i="7"/>
  <c r="O1298" i="7"/>
  <c r="N1298" i="7"/>
  <c r="V1297" i="7"/>
  <c r="U1297" i="7"/>
  <c r="T1297" i="7"/>
  <c r="S1297" i="7"/>
  <c r="R1297" i="7"/>
  <c r="Q1297" i="7"/>
  <c r="P1297" i="7"/>
  <c r="O1297" i="7"/>
  <c r="N1297" i="7"/>
  <c r="V1296" i="7"/>
  <c r="U1296" i="7"/>
  <c r="T1296" i="7"/>
  <c r="S1296" i="7"/>
  <c r="R1296" i="7"/>
  <c r="Q1296" i="7"/>
  <c r="P1296" i="7"/>
  <c r="O1296" i="7"/>
  <c r="N1296" i="7"/>
  <c r="V1295" i="7"/>
  <c r="U1295" i="7"/>
  <c r="T1295" i="7"/>
  <c r="S1295" i="7"/>
  <c r="R1295" i="7"/>
  <c r="Q1295" i="7"/>
  <c r="P1295" i="7"/>
  <c r="O1295" i="7"/>
  <c r="N1295" i="7"/>
  <c r="V1294" i="7"/>
  <c r="U1294" i="7"/>
  <c r="T1294" i="7"/>
  <c r="S1294" i="7"/>
  <c r="R1294" i="7"/>
  <c r="Q1294" i="7"/>
  <c r="P1294" i="7"/>
  <c r="O1294" i="7"/>
  <c r="N1294" i="7"/>
  <c r="V1293" i="7"/>
  <c r="U1293" i="7"/>
  <c r="T1293" i="7"/>
  <c r="S1293" i="7"/>
  <c r="R1293" i="7"/>
  <c r="Q1293" i="7"/>
  <c r="P1293" i="7"/>
  <c r="O1293" i="7"/>
  <c r="N1293" i="7"/>
  <c r="V1292" i="7"/>
  <c r="U1292" i="7"/>
  <c r="T1292" i="7"/>
  <c r="S1292" i="7"/>
  <c r="R1292" i="7"/>
  <c r="Q1292" i="7"/>
  <c r="P1292" i="7"/>
  <c r="O1292" i="7"/>
  <c r="N1292" i="7"/>
  <c r="V1291" i="7"/>
  <c r="U1291" i="7"/>
  <c r="T1291" i="7"/>
  <c r="S1291" i="7"/>
  <c r="R1291" i="7"/>
  <c r="Q1291" i="7"/>
  <c r="P1291" i="7"/>
  <c r="O1291" i="7"/>
  <c r="N1291" i="7"/>
  <c r="V1290" i="7"/>
  <c r="U1290" i="7"/>
  <c r="T1290" i="7"/>
  <c r="S1290" i="7"/>
  <c r="R1290" i="7"/>
  <c r="Q1290" i="7"/>
  <c r="P1290" i="7"/>
  <c r="O1290" i="7"/>
  <c r="N1290" i="7"/>
  <c r="V1289" i="7"/>
  <c r="U1289" i="7"/>
  <c r="T1289" i="7"/>
  <c r="S1289" i="7"/>
  <c r="R1289" i="7"/>
  <c r="Q1289" i="7"/>
  <c r="P1289" i="7"/>
  <c r="O1289" i="7"/>
  <c r="N1289" i="7"/>
  <c r="V1288" i="7"/>
  <c r="U1288" i="7"/>
  <c r="T1288" i="7"/>
  <c r="S1288" i="7"/>
  <c r="R1288" i="7"/>
  <c r="Q1288" i="7"/>
  <c r="P1288" i="7"/>
  <c r="O1288" i="7"/>
  <c r="N1288" i="7"/>
  <c r="V1287" i="7"/>
  <c r="U1287" i="7"/>
  <c r="T1287" i="7"/>
  <c r="S1287" i="7"/>
  <c r="R1287" i="7"/>
  <c r="Q1287" i="7"/>
  <c r="P1287" i="7"/>
  <c r="O1287" i="7"/>
  <c r="N1287" i="7"/>
  <c r="V1286" i="7"/>
  <c r="U1286" i="7"/>
  <c r="T1286" i="7"/>
  <c r="S1286" i="7"/>
  <c r="R1286" i="7"/>
  <c r="Q1286" i="7"/>
  <c r="P1286" i="7"/>
  <c r="O1286" i="7"/>
  <c r="N1286" i="7"/>
  <c r="V1285" i="7"/>
  <c r="U1285" i="7"/>
  <c r="T1285" i="7"/>
  <c r="S1285" i="7"/>
  <c r="R1285" i="7"/>
  <c r="Q1285" i="7"/>
  <c r="P1285" i="7"/>
  <c r="O1285" i="7"/>
  <c r="N1285" i="7"/>
  <c r="V1284" i="7"/>
  <c r="U1284" i="7"/>
  <c r="T1284" i="7"/>
  <c r="S1284" i="7"/>
  <c r="R1284" i="7"/>
  <c r="Q1284" i="7"/>
  <c r="P1284" i="7"/>
  <c r="O1284" i="7"/>
  <c r="N1284" i="7"/>
  <c r="V1283" i="7"/>
  <c r="U1283" i="7"/>
  <c r="T1283" i="7"/>
  <c r="S1283" i="7"/>
  <c r="R1283" i="7"/>
  <c r="Q1283" i="7"/>
  <c r="P1283" i="7"/>
  <c r="O1283" i="7"/>
  <c r="N1283" i="7"/>
  <c r="V1282" i="7"/>
  <c r="U1282" i="7"/>
  <c r="T1282" i="7"/>
  <c r="S1282" i="7"/>
  <c r="R1282" i="7"/>
  <c r="Q1282" i="7"/>
  <c r="P1282" i="7"/>
  <c r="O1282" i="7"/>
  <c r="N1282" i="7"/>
  <c r="V1281" i="7"/>
  <c r="U1281" i="7"/>
  <c r="T1281" i="7"/>
  <c r="S1281" i="7"/>
  <c r="R1281" i="7"/>
  <c r="Q1281" i="7"/>
  <c r="P1281" i="7"/>
  <c r="O1281" i="7"/>
  <c r="N1281" i="7"/>
  <c r="V1280" i="7"/>
  <c r="U1280" i="7"/>
  <c r="T1280" i="7"/>
  <c r="S1280" i="7"/>
  <c r="R1280" i="7"/>
  <c r="Q1280" i="7"/>
  <c r="P1280" i="7"/>
  <c r="O1280" i="7"/>
  <c r="N1280" i="7"/>
  <c r="V1279" i="7"/>
  <c r="U1279" i="7"/>
  <c r="T1279" i="7"/>
  <c r="S1279" i="7"/>
  <c r="R1279" i="7"/>
  <c r="Q1279" i="7"/>
  <c r="P1279" i="7"/>
  <c r="O1279" i="7"/>
  <c r="N1279" i="7"/>
  <c r="V1278" i="7"/>
  <c r="U1278" i="7"/>
  <c r="T1278" i="7"/>
  <c r="S1278" i="7"/>
  <c r="R1278" i="7"/>
  <c r="Q1278" i="7"/>
  <c r="P1278" i="7"/>
  <c r="O1278" i="7"/>
  <c r="N1278" i="7"/>
  <c r="V1277" i="7"/>
  <c r="U1277" i="7"/>
  <c r="T1277" i="7"/>
  <c r="S1277" i="7"/>
  <c r="R1277" i="7"/>
  <c r="Q1277" i="7"/>
  <c r="P1277" i="7"/>
  <c r="O1277" i="7"/>
  <c r="N1277" i="7"/>
  <c r="V1276" i="7"/>
  <c r="U1276" i="7"/>
  <c r="T1276" i="7"/>
  <c r="S1276" i="7"/>
  <c r="R1276" i="7"/>
  <c r="Q1276" i="7"/>
  <c r="P1276" i="7"/>
  <c r="O1276" i="7"/>
  <c r="N1276" i="7"/>
  <c r="V1275" i="7"/>
  <c r="U1275" i="7"/>
  <c r="T1275" i="7"/>
  <c r="S1275" i="7"/>
  <c r="R1275" i="7"/>
  <c r="Q1275" i="7"/>
  <c r="P1275" i="7"/>
  <c r="O1275" i="7"/>
  <c r="N1275" i="7"/>
  <c r="V1274" i="7"/>
  <c r="U1274" i="7"/>
  <c r="T1274" i="7"/>
  <c r="S1274" i="7"/>
  <c r="R1274" i="7"/>
  <c r="Q1274" i="7"/>
  <c r="P1274" i="7"/>
  <c r="O1274" i="7"/>
  <c r="N1274" i="7"/>
  <c r="V1273" i="7"/>
  <c r="U1273" i="7"/>
  <c r="T1273" i="7"/>
  <c r="S1273" i="7"/>
  <c r="R1273" i="7"/>
  <c r="Q1273" i="7"/>
  <c r="P1273" i="7"/>
  <c r="O1273" i="7"/>
  <c r="N1273" i="7"/>
  <c r="V1272" i="7"/>
  <c r="U1272" i="7"/>
  <c r="T1272" i="7"/>
  <c r="S1272" i="7"/>
  <c r="R1272" i="7"/>
  <c r="Q1272" i="7"/>
  <c r="P1272" i="7"/>
  <c r="O1272" i="7"/>
  <c r="N1272" i="7"/>
  <c r="V1271" i="7"/>
  <c r="U1271" i="7"/>
  <c r="T1271" i="7"/>
  <c r="S1271" i="7"/>
  <c r="R1271" i="7"/>
  <c r="Q1271" i="7"/>
  <c r="P1271" i="7"/>
  <c r="O1271" i="7"/>
  <c r="N1271" i="7"/>
  <c r="V1270" i="7"/>
  <c r="U1270" i="7"/>
  <c r="T1270" i="7"/>
  <c r="S1270" i="7"/>
  <c r="R1270" i="7"/>
  <c r="Q1270" i="7"/>
  <c r="P1270" i="7"/>
  <c r="O1270" i="7"/>
  <c r="N1270" i="7"/>
  <c r="V1269" i="7"/>
  <c r="U1269" i="7"/>
  <c r="T1269" i="7"/>
  <c r="S1269" i="7"/>
  <c r="R1269" i="7"/>
  <c r="Q1269" i="7"/>
  <c r="P1269" i="7"/>
  <c r="O1269" i="7"/>
  <c r="N1269" i="7"/>
  <c r="V1268" i="7"/>
  <c r="U1268" i="7"/>
  <c r="T1268" i="7"/>
  <c r="S1268" i="7"/>
  <c r="R1268" i="7"/>
  <c r="Q1268" i="7"/>
  <c r="P1268" i="7"/>
  <c r="O1268" i="7"/>
  <c r="N1268" i="7"/>
  <c r="V1267" i="7"/>
  <c r="U1267" i="7"/>
  <c r="T1267" i="7"/>
  <c r="S1267" i="7"/>
  <c r="R1267" i="7"/>
  <c r="Q1267" i="7"/>
  <c r="P1267" i="7"/>
  <c r="O1267" i="7"/>
  <c r="N1267" i="7"/>
  <c r="V1266" i="7"/>
  <c r="U1266" i="7"/>
  <c r="T1266" i="7"/>
  <c r="S1266" i="7"/>
  <c r="R1266" i="7"/>
  <c r="Q1266" i="7"/>
  <c r="P1266" i="7"/>
  <c r="O1266" i="7"/>
  <c r="N1266" i="7"/>
  <c r="V1265" i="7"/>
  <c r="U1265" i="7"/>
  <c r="T1265" i="7"/>
  <c r="S1265" i="7"/>
  <c r="R1265" i="7"/>
  <c r="Q1265" i="7"/>
  <c r="P1265" i="7"/>
  <c r="O1265" i="7"/>
  <c r="N1265" i="7"/>
  <c r="V1264" i="7"/>
  <c r="U1264" i="7"/>
  <c r="T1264" i="7"/>
  <c r="S1264" i="7"/>
  <c r="R1264" i="7"/>
  <c r="Q1264" i="7"/>
  <c r="P1264" i="7"/>
  <c r="O1264" i="7"/>
  <c r="N1264" i="7"/>
  <c r="V1263" i="7"/>
  <c r="U1263" i="7"/>
  <c r="T1263" i="7"/>
  <c r="S1263" i="7"/>
  <c r="R1263" i="7"/>
  <c r="Q1263" i="7"/>
  <c r="P1263" i="7"/>
  <c r="O1263" i="7"/>
  <c r="N1263" i="7"/>
  <c r="V1262" i="7"/>
  <c r="U1262" i="7"/>
  <c r="T1262" i="7"/>
  <c r="S1262" i="7"/>
  <c r="R1262" i="7"/>
  <c r="Q1262" i="7"/>
  <c r="P1262" i="7"/>
  <c r="O1262" i="7"/>
  <c r="N1262" i="7"/>
  <c r="V1261" i="7"/>
  <c r="U1261" i="7"/>
  <c r="T1261" i="7"/>
  <c r="S1261" i="7"/>
  <c r="R1261" i="7"/>
  <c r="Q1261" i="7"/>
  <c r="P1261" i="7"/>
  <c r="O1261" i="7"/>
  <c r="N1261" i="7"/>
  <c r="V1260" i="7"/>
  <c r="U1260" i="7"/>
  <c r="T1260" i="7"/>
  <c r="S1260" i="7"/>
  <c r="R1260" i="7"/>
  <c r="Q1260" i="7"/>
  <c r="P1260" i="7"/>
  <c r="O1260" i="7"/>
  <c r="N1260" i="7"/>
  <c r="V1259" i="7"/>
  <c r="U1259" i="7"/>
  <c r="T1259" i="7"/>
  <c r="S1259" i="7"/>
  <c r="R1259" i="7"/>
  <c r="Q1259" i="7"/>
  <c r="P1259" i="7"/>
  <c r="O1259" i="7"/>
  <c r="N1259" i="7"/>
  <c r="V1258" i="7"/>
  <c r="U1258" i="7"/>
  <c r="T1258" i="7"/>
  <c r="S1258" i="7"/>
  <c r="R1258" i="7"/>
  <c r="Q1258" i="7"/>
  <c r="P1258" i="7"/>
  <c r="O1258" i="7"/>
  <c r="N1258" i="7"/>
  <c r="V1257" i="7"/>
  <c r="U1257" i="7"/>
  <c r="T1257" i="7"/>
  <c r="S1257" i="7"/>
  <c r="R1257" i="7"/>
  <c r="Q1257" i="7"/>
  <c r="P1257" i="7"/>
  <c r="O1257" i="7"/>
  <c r="N1257" i="7"/>
  <c r="V1256" i="7"/>
  <c r="U1256" i="7"/>
  <c r="T1256" i="7"/>
  <c r="S1256" i="7"/>
  <c r="R1256" i="7"/>
  <c r="Q1256" i="7"/>
  <c r="P1256" i="7"/>
  <c r="O1256" i="7"/>
  <c r="N1256" i="7"/>
  <c r="V1255" i="7"/>
  <c r="U1255" i="7"/>
  <c r="T1255" i="7"/>
  <c r="S1255" i="7"/>
  <c r="R1255" i="7"/>
  <c r="Q1255" i="7"/>
  <c r="P1255" i="7"/>
  <c r="O1255" i="7"/>
  <c r="N1255" i="7"/>
  <c r="V1254" i="7"/>
  <c r="U1254" i="7"/>
  <c r="T1254" i="7"/>
  <c r="S1254" i="7"/>
  <c r="R1254" i="7"/>
  <c r="Q1254" i="7"/>
  <c r="P1254" i="7"/>
  <c r="O1254" i="7"/>
  <c r="N1254" i="7"/>
  <c r="V1253" i="7"/>
  <c r="U1253" i="7"/>
  <c r="T1253" i="7"/>
  <c r="S1253" i="7"/>
  <c r="R1253" i="7"/>
  <c r="Q1253" i="7"/>
  <c r="P1253" i="7"/>
  <c r="O1253" i="7"/>
  <c r="N1253" i="7"/>
  <c r="V1252" i="7"/>
  <c r="U1252" i="7"/>
  <c r="T1252" i="7"/>
  <c r="S1252" i="7"/>
  <c r="R1252" i="7"/>
  <c r="Q1252" i="7"/>
  <c r="P1252" i="7"/>
  <c r="O1252" i="7"/>
  <c r="N1252" i="7"/>
  <c r="V1251" i="7"/>
  <c r="U1251" i="7"/>
  <c r="T1251" i="7"/>
  <c r="S1251" i="7"/>
  <c r="R1251" i="7"/>
  <c r="Q1251" i="7"/>
  <c r="P1251" i="7"/>
  <c r="O1251" i="7"/>
  <c r="N1251" i="7"/>
  <c r="V1250" i="7"/>
  <c r="U1250" i="7"/>
  <c r="T1250" i="7"/>
  <c r="S1250" i="7"/>
  <c r="R1250" i="7"/>
  <c r="Q1250" i="7"/>
  <c r="P1250" i="7"/>
  <c r="O1250" i="7"/>
  <c r="N1250" i="7"/>
  <c r="V1249" i="7"/>
  <c r="U1249" i="7"/>
  <c r="T1249" i="7"/>
  <c r="S1249" i="7"/>
  <c r="R1249" i="7"/>
  <c r="Q1249" i="7"/>
  <c r="P1249" i="7"/>
  <c r="O1249" i="7"/>
  <c r="N1249" i="7"/>
  <c r="V1248" i="7"/>
  <c r="U1248" i="7"/>
  <c r="T1248" i="7"/>
  <c r="S1248" i="7"/>
  <c r="R1248" i="7"/>
  <c r="Q1248" i="7"/>
  <c r="P1248" i="7"/>
  <c r="O1248" i="7"/>
  <c r="N1248" i="7"/>
  <c r="V1247" i="7"/>
  <c r="U1247" i="7"/>
  <c r="T1247" i="7"/>
  <c r="S1247" i="7"/>
  <c r="R1247" i="7"/>
  <c r="Q1247" i="7"/>
  <c r="P1247" i="7"/>
  <c r="O1247" i="7"/>
  <c r="N1247" i="7"/>
  <c r="V1246" i="7"/>
  <c r="U1246" i="7"/>
  <c r="T1246" i="7"/>
  <c r="S1246" i="7"/>
  <c r="R1246" i="7"/>
  <c r="Q1246" i="7"/>
  <c r="P1246" i="7"/>
  <c r="O1246" i="7"/>
  <c r="N1246" i="7"/>
  <c r="V1245" i="7"/>
  <c r="U1245" i="7"/>
  <c r="T1245" i="7"/>
  <c r="S1245" i="7"/>
  <c r="R1245" i="7"/>
  <c r="Q1245" i="7"/>
  <c r="P1245" i="7"/>
  <c r="O1245" i="7"/>
  <c r="N1245" i="7"/>
  <c r="V1244" i="7"/>
  <c r="U1244" i="7"/>
  <c r="T1244" i="7"/>
  <c r="S1244" i="7"/>
  <c r="R1244" i="7"/>
  <c r="Q1244" i="7"/>
  <c r="P1244" i="7"/>
  <c r="O1244" i="7"/>
  <c r="N1244" i="7"/>
  <c r="V1243" i="7"/>
  <c r="U1243" i="7"/>
  <c r="T1243" i="7"/>
  <c r="S1243" i="7"/>
  <c r="R1243" i="7"/>
  <c r="Q1243" i="7"/>
  <c r="P1243" i="7"/>
  <c r="O1243" i="7"/>
  <c r="N1243" i="7"/>
  <c r="V1242" i="7"/>
  <c r="U1242" i="7"/>
  <c r="T1242" i="7"/>
  <c r="S1242" i="7"/>
  <c r="R1242" i="7"/>
  <c r="Q1242" i="7"/>
  <c r="P1242" i="7"/>
  <c r="O1242" i="7"/>
  <c r="N1242" i="7"/>
  <c r="V1241" i="7"/>
  <c r="U1241" i="7"/>
  <c r="T1241" i="7"/>
  <c r="S1241" i="7"/>
  <c r="R1241" i="7"/>
  <c r="Q1241" i="7"/>
  <c r="P1241" i="7"/>
  <c r="O1241" i="7"/>
  <c r="N1241" i="7"/>
  <c r="V1240" i="7"/>
  <c r="U1240" i="7"/>
  <c r="T1240" i="7"/>
  <c r="S1240" i="7"/>
  <c r="R1240" i="7"/>
  <c r="Q1240" i="7"/>
  <c r="P1240" i="7"/>
  <c r="O1240" i="7"/>
  <c r="N1240" i="7"/>
  <c r="V1239" i="7"/>
  <c r="U1239" i="7"/>
  <c r="T1239" i="7"/>
  <c r="S1239" i="7"/>
  <c r="R1239" i="7"/>
  <c r="Q1239" i="7"/>
  <c r="P1239" i="7"/>
  <c r="O1239" i="7"/>
  <c r="N1239" i="7"/>
  <c r="V1238" i="7"/>
  <c r="U1238" i="7"/>
  <c r="T1238" i="7"/>
  <c r="S1238" i="7"/>
  <c r="R1238" i="7"/>
  <c r="Q1238" i="7"/>
  <c r="P1238" i="7"/>
  <c r="O1238" i="7"/>
  <c r="N1238" i="7"/>
  <c r="V1237" i="7"/>
  <c r="U1237" i="7"/>
  <c r="T1237" i="7"/>
  <c r="S1237" i="7"/>
  <c r="R1237" i="7"/>
  <c r="Q1237" i="7"/>
  <c r="P1237" i="7"/>
  <c r="O1237" i="7"/>
  <c r="N1237" i="7"/>
  <c r="V1236" i="7"/>
  <c r="U1236" i="7"/>
  <c r="T1236" i="7"/>
  <c r="S1236" i="7"/>
  <c r="R1236" i="7"/>
  <c r="Q1236" i="7"/>
  <c r="P1236" i="7"/>
  <c r="O1236" i="7"/>
  <c r="N1236" i="7"/>
  <c r="V1235" i="7"/>
  <c r="U1235" i="7"/>
  <c r="T1235" i="7"/>
  <c r="S1235" i="7"/>
  <c r="R1235" i="7"/>
  <c r="Q1235" i="7"/>
  <c r="P1235" i="7"/>
  <c r="O1235" i="7"/>
  <c r="N1235" i="7"/>
  <c r="V1234" i="7"/>
  <c r="U1234" i="7"/>
  <c r="T1234" i="7"/>
  <c r="S1234" i="7"/>
  <c r="R1234" i="7"/>
  <c r="Q1234" i="7"/>
  <c r="P1234" i="7"/>
  <c r="O1234" i="7"/>
  <c r="N1234" i="7"/>
  <c r="V1233" i="7"/>
  <c r="U1233" i="7"/>
  <c r="T1233" i="7"/>
  <c r="S1233" i="7"/>
  <c r="R1233" i="7"/>
  <c r="Q1233" i="7"/>
  <c r="P1233" i="7"/>
  <c r="O1233" i="7"/>
  <c r="N1233" i="7"/>
  <c r="V1232" i="7"/>
  <c r="U1232" i="7"/>
  <c r="T1232" i="7"/>
  <c r="S1232" i="7"/>
  <c r="R1232" i="7"/>
  <c r="Q1232" i="7"/>
  <c r="P1232" i="7"/>
  <c r="O1232" i="7"/>
  <c r="N1232" i="7"/>
  <c r="V1231" i="7"/>
  <c r="U1231" i="7"/>
  <c r="T1231" i="7"/>
  <c r="S1231" i="7"/>
  <c r="R1231" i="7"/>
  <c r="Q1231" i="7"/>
  <c r="P1231" i="7"/>
  <c r="O1231" i="7"/>
  <c r="N1231" i="7"/>
  <c r="V1230" i="7"/>
  <c r="U1230" i="7"/>
  <c r="T1230" i="7"/>
  <c r="S1230" i="7"/>
  <c r="R1230" i="7"/>
  <c r="Q1230" i="7"/>
  <c r="P1230" i="7"/>
  <c r="O1230" i="7"/>
  <c r="N1230" i="7"/>
  <c r="V1229" i="7"/>
  <c r="U1229" i="7"/>
  <c r="T1229" i="7"/>
  <c r="S1229" i="7"/>
  <c r="R1229" i="7"/>
  <c r="Q1229" i="7"/>
  <c r="P1229" i="7"/>
  <c r="O1229" i="7"/>
  <c r="N1229" i="7"/>
  <c r="V1228" i="7"/>
  <c r="U1228" i="7"/>
  <c r="T1228" i="7"/>
  <c r="S1228" i="7"/>
  <c r="R1228" i="7"/>
  <c r="Q1228" i="7"/>
  <c r="P1228" i="7"/>
  <c r="O1228" i="7"/>
  <c r="N1228" i="7"/>
  <c r="V1227" i="7"/>
  <c r="U1227" i="7"/>
  <c r="T1227" i="7"/>
  <c r="S1227" i="7"/>
  <c r="R1227" i="7"/>
  <c r="Q1227" i="7"/>
  <c r="P1227" i="7"/>
  <c r="O1227" i="7"/>
  <c r="N1227" i="7"/>
  <c r="V1226" i="7"/>
  <c r="U1226" i="7"/>
  <c r="T1226" i="7"/>
  <c r="S1226" i="7"/>
  <c r="R1226" i="7"/>
  <c r="Q1226" i="7"/>
  <c r="P1226" i="7"/>
  <c r="O1226" i="7"/>
  <c r="N1226" i="7"/>
  <c r="V1225" i="7"/>
  <c r="U1225" i="7"/>
  <c r="T1225" i="7"/>
  <c r="S1225" i="7"/>
  <c r="R1225" i="7"/>
  <c r="Q1225" i="7"/>
  <c r="P1225" i="7"/>
  <c r="O1225" i="7"/>
  <c r="N1225" i="7"/>
  <c r="V1224" i="7"/>
  <c r="U1224" i="7"/>
  <c r="T1224" i="7"/>
  <c r="S1224" i="7"/>
  <c r="R1224" i="7"/>
  <c r="Q1224" i="7"/>
  <c r="P1224" i="7"/>
  <c r="O1224" i="7"/>
  <c r="N1224" i="7"/>
  <c r="V1223" i="7"/>
  <c r="U1223" i="7"/>
  <c r="T1223" i="7"/>
  <c r="S1223" i="7"/>
  <c r="R1223" i="7"/>
  <c r="Q1223" i="7"/>
  <c r="P1223" i="7"/>
  <c r="O1223" i="7"/>
  <c r="N1223" i="7"/>
  <c r="V1222" i="7"/>
  <c r="U1222" i="7"/>
  <c r="T1222" i="7"/>
  <c r="S1222" i="7"/>
  <c r="R1222" i="7"/>
  <c r="Q1222" i="7"/>
  <c r="P1222" i="7"/>
  <c r="O1222" i="7"/>
  <c r="N1222" i="7"/>
  <c r="V1221" i="7"/>
  <c r="U1221" i="7"/>
  <c r="T1221" i="7"/>
  <c r="S1221" i="7"/>
  <c r="R1221" i="7"/>
  <c r="Q1221" i="7"/>
  <c r="P1221" i="7"/>
  <c r="O1221" i="7"/>
  <c r="N1221" i="7"/>
  <c r="V1220" i="7"/>
  <c r="U1220" i="7"/>
  <c r="T1220" i="7"/>
  <c r="S1220" i="7"/>
  <c r="R1220" i="7"/>
  <c r="Q1220" i="7"/>
  <c r="P1220" i="7"/>
  <c r="O1220" i="7"/>
  <c r="N1220" i="7"/>
  <c r="V1219" i="7"/>
  <c r="U1219" i="7"/>
  <c r="T1219" i="7"/>
  <c r="S1219" i="7"/>
  <c r="R1219" i="7"/>
  <c r="Q1219" i="7"/>
  <c r="P1219" i="7"/>
  <c r="O1219" i="7"/>
  <c r="N1219" i="7"/>
  <c r="V1218" i="7"/>
  <c r="U1218" i="7"/>
  <c r="T1218" i="7"/>
  <c r="S1218" i="7"/>
  <c r="R1218" i="7"/>
  <c r="Q1218" i="7"/>
  <c r="P1218" i="7"/>
  <c r="O1218" i="7"/>
  <c r="N1218" i="7"/>
  <c r="V1217" i="7"/>
  <c r="U1217" i="7"/>
  <c r="T1217" i="7"/>
  <c r="S1217" i="7"/>
  <c r="R1217" i="7"/>
  <c r="Q1217" i="7"/>
  <c r="P1217" i="7"/>
  <c r="O1217" i="7"/>
  <c r="N1217" i="7"/>
  <c r="V1216" i="7"/>
  <c r="U1216" i="7"/>
  <c r="T1216" i="7"/>
  <c r="S1216" i="7"/>
  <c r="R1216" i="7"/>
  <c r="Q1216" i="7"/>
  <c r="P1216" i="7"/>
  <c r="O1216" i="7"/>
  <c r="N1216" i="7"/>
  <c r="V1215" i="7"/>
  <c r="U1215" i="7"/>
  <c r="T1215" i="7"/>
  <c r="S1215" i="7"/>
  <c r="R1215" i="7"/>
  <c r="Q1215" i="7"/>
  <c r="P1215" i="7"/>
  <c r="O1215" i="7"/>
  <c r="N1215" i="7"/>
  <c r="V1214" i="7"/>
  <c r="U1214" i="7"/>
  <c r="T1214" i="7"/>
  <c r="S1214" i="7"/>
  <c r="R1214" i="7"/>
  <c r="Q1214" i="7"/>
  <c r="P1214" i="7"/>
  <c r="O1214" i="7"/>
  <c r="N1214" i="7"/>
  <c r="V1213" i="7"/>
  <c r="U1213" i="7"/>
  <c r="T1213" i="7"/>
  <c r="S1213" i="7"/>
  <c r="R1213" i="7"/>
  <c r="Q1213" i="7"/>
  <c r="P1213" i="7"/>
  <c r="O1213" i="7"/>
  <c r="N1213" i="7"/>
  <c r="V1212" i="7"/>
  <c r="U1212" i="7"/>
  <c r="T1212" i="7"/>
  <c r="S1212" i="7"/>
  <c r="R1212" i="7"/>
  <c r="Q1212" i="7"/>
  <c r="P1212" i="7"/>
  <c r="O1212" i="7"/>
  <c r="N1212" i="7"/>
  <c r="V1211" i="7"/>
  <c r="U1211" i="7"/>
  <c r="T1211" i="7"/>
  <c r="S1211" i="7"/>
  <c r="R1211" i="7"/>
  <c r="Q1211" i="7"/>
  <c r="P1211" i="7"/>
  <c r="O1211" i="7"/>
  <c r="N1211" i="7"/>
  <c r="V1210" i="7"/>
  <c r="U1210" i="7"/>
  <c r="T1210" i="7"/>
  <c r="S1210" i="7"/>
  <c r="R1210" i="7"/>
  <c r="Q1210" i="7"/>
  <c r="P1210" i="7"/>
  <c r="O1210" i="7"/>
  <c r="N1210" i="7"/>
  <c r="V1209" i="7"/>
  <c r="U1209" i="7"/>
  <c r="T1209" i="7"/>
  <c r="S1209" i="7"/>
  <c r="R1209" i="7"/>
  <c r="Q1209" i="7"/>
  <c r="P1209" i="7"/>
  <c r="O1209" i="7"/>
  <c r="N1209" i="7"/>
  <c r="V1208" i="7"/>
  <c r="U1208" i="7"/>
  <c r="T1208" i="7"/>
  <c r="S1208" i="7"/>
  <c r="R1208" i="7"/>
  <c r="Q1208" i="7"/>
  <c r="P1208" i="7"/>
  <c r="O1208" i="7"/>
  <c r="N1208" i="7"/>
  <c r="V1207" i="7"/>
  <c r="U1207" i="7"/>
  <c r="T1207" i="7"/>
  <c r="S1207" i="7"/>
  <c r="R1207" i="7"/>
  <c r="Q1207" i="7"/>
  <c r="P1207" i="7"/>
  <c r="O1207" i="7"/>
  <c r="N1207" i="7"/>
  <c r="V1206" i="7"/>
  <c r="U1206" i="7"/>
  <c r="T1206" i="7"/>
  <c r="S1206" i="7"/>
  <c r="R1206" i="7"/>
  <c r="Q1206" i="7"/>
  <c r="P1206" i="7"/>
  <c r="O1206" i="7"/>
  <c r="N1206" i="7"/>
  <c r="V1205" i="7"/>
  <c r="U1205" i="7"/>
  <c r="T1205" i="7"/>
  <c r="S1205" i="7"/>
  <c r="R1205" i="7"/>
  <c r="Q1205" i="7"/>
  <c r="P1205" i="7"/>
  <c r="O1205" i="7"/>
  <c r="N1205" i="7"/>
  <c r="V1204" i="7"/>
  <c r="U1204" i="7"/>
  <c r="T1204" i="7"/>
  <c r="S1204" i="7"/>
  <c r="R1204" i="7"/>
  <c r="Q1204" i="7"/>
  <c r="P1204" i="7"/>
  <c r="O1204" i="7"/>
  <c r="N1204" i="7"/>
  <c r="V1203" i="7"/>
  <c r="U1203" i="7"/>
  <c r="T1203" i="7"/>
  <c r="S1203" i="7"/>
  <c r="R1203" i="7"/>
  <c r="Q1203" i="7"/>
  <c r="P1203" i="7"/>
  <c r="O1203" i="7"/>
  <c r="N1203" i="7"/>
  <c r="V1202" i="7"/>
  <c r="U1202" i="7"/>
  <c r="T1202" i="7"/>
  <c r="S1202" i="7"/>
  <c r="R1202" i="7"/>
  <c r="Q1202" i="7"/>
  <c r="P1202" i="7"/>
  <c r="O1202" i="7"/>
  <c r="N1202" i="7"/>
  <c r="V1201" i="7"/>
  <c r="U1201" i="7"/>
  <c r="T1201" i="7"/>
  <c r="S1201" i="7"/>
  <c r="R1201" i="7"/>
  <c r="Q1201" i="7"/>
  <c r="P1201" i="7"/>
  <c r="O1201" i="7"/>
  <c r="N1201" i="7"/>
  <c r="V1200" i="7"/>
  <c r="U1200" i="7"/>
  <c r="T1200" i="7"/>
  <c r="S1200" i="7"/>
  <c r="R1200" i="7"/>
  <c r="Q1200" i="7"/>
  <c r="P1200" i="7"/>
  <c r="O1200" i="7"/>
  <c r="N1200" i="7"/>
  <c r="V1199" i="7"/>
  <c r="U1199" i="7"/>
  <c r="T1199" i="7"/>
  <c r="S1199" i="7"/>
  <c r="R1199" i="7"/>
  <c r="Q1199" i="7"/>
  <c r="P1199" i="7"/>
  <c r="O1199" i="7"/>
  <c r="N1199" i="7"/>
  <c r="V1198" i="7"/>
  <c r="U1198" i="7"/>
  <c r="T1198" i="7"/>
  <c r="S1198" i="7"/>
  <c r="R1198" i="7"/>
  <c r="Q1198" i="7"/>
  <c r="P1198" i="7"/>
  <c r="O1198" i="7"/>
  <c r="N1198" i="7"/>
  <c r="V1197" i="7"/>
  <c r="U1197" i="7"/>
  <c r="T1197" i="7"/>
  <c r="S1197" i="7"/>
  <c r="R1197" i="7"/>
  <c r="Q1197" i="7"/>
  <c r="P1197" i="7"/>
  <c r="O1197" i="7"/>
  <c r="N1197" i="7"/>
  <c r="V1196" i="7"/>
  <c r="U1196" i="7"/>
  <c r="T1196" i="7"/>
  <c r="S1196" i="7"/>
  <c r="R1196" i="7"/>
  <c r="Q1196" i="7"/>
  <c r="P1196" i="7"/>
  <c r="O1196" i="7"/>
  <c r="N1196" i="7"/>
  <c r="V1195" i="7"/>
  <c r="U1195" i="7"/>
  <c r="T1195" i="7"/>
  <c r="S1195" i="7"/>
  <c r="R1195" i="7"/>
  <c r="Q1195" i="7"/>
  <c r="P1195" i="7"/>
  <c r="O1195" i="7"/>
  <c r="N1195" i="7"/>
  <c r="V1194" i="7"/>
  <c r="U1194" i="7"/>
  <c r="T1194" i="7"/>
  <c r="S1194" i="7"/>
  <c r="R1194" i="7"/>
  <c r="Q1194" i="7"/>
  <c r="P1194" i="7"/>
  <c r="O1194" i="7"/>
  <c r="N1194" i="7"/>
  <c r="V1193" i="7"/>
  <c r="U1193" i="7"/>
  <c r="T1193" i="7"/>
  <c r="S1193" i="7"/>
  <c r="R1193" i="7"/>
  <c r="Q1193" i="7"/>
  <c r="P1193" i="7"/>
  <c r="O1193" i="7"/>
  <c r="N1193" i="7"/>
  <c r="V1192" i="7"/>
  <c r="U1192" i="7"/>
  <c r="T1192" i="7"/>
  <c r="S1192" i="7"/>
  <c r="R1192" i="7"/>
  <c r="Q1192" i="7"/>
  <c r="P1192" i="7"/>
  <c r="O1192" i="7"/>
  <c r="N1192" i="7"/>
  <c r="V1191" i="7"/>
  <c r="U1191" i="7"/>
  <c r="T1191" i="7"/>
  <c r="S1191" i="7"/>
  <c r="R1191" i="7"/>
  <c r="Q1191" i="7"/>
  <c r="P1191" i="7"/>
  <c r="O1191" i="7"/>
  <c r="N1191" i="7"/>
  <c r="V1190" i="7"/>
  <c r="U1190" i="7"/>
  <c r="T1190" i="7"/>
  <c r="S1190" i="7"/>
  <c r="R1190" i="7"/>
  <c r="Q1190" i="7"/>
  <c r="P1190" i="7"/>
  <c r="O1190" i="7"/>
  <c r="N1190" i="7"/>
  <c r="V1189" i="7"/>
  <c r="U1189" i="7"/>
  <c r="T1189" i="7"/>
  <c r="S1189" i="7"/>
  <c r="R1189" i="7"/>
  <c r="Q1189" i="7"/>
  <c r="P1189" i="7"/>
  <c r="O1189" i="7"/>
  <c r="N1189" i="7"/>
  <c r="V1188" i="7"/>
  <c r="U1188" i="7"/>
  <c r="T1188" i="7"/>
  <c r="S1188" i="7"/>
  <c r="R1188" i="7"/>
  <c r="Q1188" i="7"/>
  <c r="P1188" i="7"/>
  <c r="O1188" i="7"/>
  <c r="N1188" i="7"/>
  <c r="V1187" i="7"/>
  <c r="U1187" i="7"/>
  <c r="T1187" i="7"/>
  <c r="S1187" i="7"/>
  <c r="R1187" i="7"/>
  <c r="Q1187" i="7"/>
  <c r="P1187" i="7"/>
  <c r="O1187" i="7"/>
  <c r="N1187" i="7"/>
  <c r="V1186" i="7"/>
  <c r="U1186" i="7"/>
  <c r="T1186" i="7"/>
  <c r="S1186" i="7"/>
  <c r="R1186" i="7"/>
  <c r="Q1186" i="7"/>
  <c r="P1186" i="7"/>
  <c r="O1186" i="7"/>
  <c r="N1186" i="7"/>
  <c r="V1185" i="7"/>
  <c r="U1185" i="7"/>
  <c r="T1185" i="7"/>
  <c r="S1185" i="7"/>
  <c r="R1185" i="7"/>
  <c r="Q1185" i="7"/>
  <c r="P1185" i="7"/>
  <c r="O1185" i="7"/>
  <c r="N1185" i="7"/>
  <c r="V1184" i="7"/>
  <c r="U1184" i="7"/>
  <c r="T1184" i="7"/>
  <c r="S1184" i="7"/>
  <c r="R1184" i="7"/>
  <c r="Q1184" i="7"/>
  <c r="P1184" i="7"/>
  <c r="O1184" i="7"/>
  <c r="N1184" i="7"/>
  <c r="V1183" i="7"/>
  <c r="U1183" i="7"/>
  <c r="T1183" i="7"/>
  <c r="S1183" i="7"/>
  <c r="R1183" i="7"/>
  <c r="Q1183" i="7"/>
  <c r="P1183" i="7"/>
  <c r="O1183" i="7"/>
  <c r="N1183" i="7"/>
  <c r="V1182" i="7"/>
  <c r="U1182" i="7"/>
  <c r="T1182" i="7"/>
  <c r="S1182" i="7"/>
  <c r="R1182" i="7"/>
  <c r="Q1182" i="7"/>
  <c r="P1182" i="7"/>
  <c r="O1182" i="7"/>
  <c r="N1182" i="7"/>
  <c r="V1181" i="7"/>
  <c r="U1181" i="7"/>
  <c r="T1181" i="7"/>
  <c r="S1181" i="7"/>
  <c r="R1181" i="7"/>
  <c r="Q1181" i="7"/>
  <c r="P1181" i="7"/>
  <c r="O1181" i="7"/>
  <c r="N1181" i="7"/>
  <c r="V1180" i="7"/>
  <c r="U1180" i="7"/>
  <c r="T1180" i="7"/>
  <c r="S1180" i="7"/>
  <c r="R1180" i="7"/>
  <c r="Q1180" i="7"/>
  <c r="P1180" i="7"/>
  <c r="O1180" i="7"/>
  <c r="N1180" i="7"/>
  <c r="V1179" i="7"/>
  <c r="U1179" i="7"/>
  <c r="T1179" i="7"/>
  <c r="S1179" i="7"/>
  <c r="R1179" i="7"/>
  <c r="Q1179" i="7"/>
  <c r="P1179" i="7"/>
  <c r="O1179" i="7"/>
  <c r="N1179" i="7"/>
  <c r="V1178" i="7"/>
  <c r="U1178" i="7"/>
  <c r="T1178" i="7"/>
  <c r="S1178" i="7"/>
  <c r="R1178" i="7"/>
  <c r="Q1178" i="7"/>
  <c r="P1178" i="7"/>
  <c r="O1178" i="7"/>
  <c r="N1178" i="7"/>
  <c r="V1177" i="7"/>
  <c r="U1177" i="7"/>
  <c r="T1177" i="7"/>
  <c r="S1177" i="7"/>
  <c r="R1177" i="7"/>
  <c r="Q1177" i="7"/>
  <c r="P1177" i="7"/>
  <c r="O1177" i="7"/>
  <c r="N1177" i="7"/>
  <c r="V1176" i="7"/>
  <c r="U1176" i="7"/>
  <c r="T1176" i="7"/>
  <c r="S1176" i="7"/>
  <c r="R1176" i="7"/>
  <c r="Q1176" i="7"/>
  <c r="P1176" i="7"/>
  <c r="O1176" i="7"/>
  <c r="N1176" i="7"/>
  <c r="V1175" i="7"/>
  <c r="U1175" i="7"/>
  <c r="T1175" i="7"/>
  <c r="S1175" i="7"/>
  <c r="R1175" i="7"/>
  <c r="Q1175" i="7"/>
  <c r="P1175" i="7"/>
  <c r="O1175" i="7"/>
  <c r="N1175" i="7"/>
  <c r="V1174" i="7"/>
  <c r="U1174" i="7"/>
  <c r="T1174" i="7"/>
  <c r="S1174" i="7"/>
  <c r="R1174" i="7"/>
  <c r="Q1174" i="7"/>
  <c r="P1174" i="7"/>
  <c r="O1174" i="7"/>
  <c r="N1174" i="7"/>
  <c r="V1173" i="7"/>
  <c r="U1173" i="7"/>
  <c r="T1173" i="7"/>
  <c r="S1173" i="7"/>
  <c r="R1173" i="7"/>
  <c r="Q1173" i="7"/>
  <c r="P1173" i="7"/>
  <c r="O1173" i="7"/>
  <c r="N1173" i="7"/>
  <c r="V1172" i="7"/>
  <c r="U1172" i="7"/>
  <c r="T1172" i="7"/>
  <c r="S1172" i="7"/>
  <c r="R1172" i="7"/>
  <c r="Q1172" i="7"/>
  <c r="P1172" i="7"/>
  <c r="O1172" i="7"/>
  <c r="N1172" i="7"/>
  <c r="V1171" i="7"/>
  <c r="U1171" i="7"/>
  <c r="T1171" i="7"/>
  <c r="S1171" i="7"/>
  <c r="R1171" i="7"/>
  <c r="Q1171" i="7"/>
  <c r="P1171" i="7"/>
  <c r="O1171" i="7"/>
  <c r="N1171" i="7"/>
  <c r="V1170" i="7"/>
  <c r="U1170" i="7"/>
  <c r="T1170" i="7"/>
  <c r="S1170" i="7"/>
  <c r="R1170" i="7"/>
  <c r="Q1170" i="7"/>
  <c r="P1170" i="7"/>
  <c r="O1170" i="7"/>
  <c r="N1170" i="7"/>
  <c r="V1169" i="7"/>
  <c r="U1169" i="7"/>
  <c r="T1169" i="7"/>
  <c r="S1169" i="7"/>
  <c r="R1169" i="7"/>
  <c r="Q1169" i="7"/>
  <c r="P1169" i="7"/>
  <c r="O1169" i="7"/>
  <c r="N1169" i="7"/>
  <c r="V1168" i="7"/>
  <c r="U1168" i="7"/>
  <c r="T1168" i="7"/>
  <c r="S1168" i="7"/>
  <c r="R1168" i="7"/>
  <c r="Q1168" i="7"/>
  <c r="P1168" i="7"/>
  <c r="O1168" i="7"/>
  <c r="N1168" i="7"/>
  <c r="V1167" i="7"/>
  <c r="U1167" i="7"/>
  <c r="T1167" i="7"/>
  <c r="S1167" i="7"/>
  <c r="R1167" i="7"/>
  <c r="Q1167" i="7"/>
  <c r="P1167" i="7"/>
  <c r="O1167" i="7"/>
  <c r="N1167" i="7"/>
  <c r="V1166" i="7"/>
  <c r="U1166" i="7"/>
  <c r="T1166" i="7"/>
  <c r="S1166" i="7"/>
  <c r="R1166" i="7"/>
  <c r="Q1166" i="7"/>
  <c r="P1166" i="7"/>
  <c r="O1166" i="7"/>
  <c r="N1166" i="7"/>
  <c r="V1165" i="7"/>
  <c r="U1165" i="7"/>
  <c r="T1165" i="7"/>
  <c r="S1165" i="7"/>
  <c r="R1165" i="7"/>
  <c r="Q1165" i="7"/>
  <c r="P1165" i="7"/>
  <c r="O1165" i="7"/>
  <c r="N1165" i="7"/>
  <c r="V1164" i="7"/>
  <c r="U1164" i="7"/>
  <c r="T1164" i="7"/>
  <c r="S1164" i="7"/>
  <c r="R1164" i="7"/>
  <c r="Q1164" i="7"/>
  <c r="P1164" i="7"/>
  <c r="O1164" i="7"/>
  <c r="N1164" i="7"/>
  <c r="V1163" i="7"/>
  <c r="U1163" i="7"/>
  <c r="T1163" i="7"/>
  <c r="S1163" i="7"/>
  <c r="R1163" i="7"/>
  <c r="Q1163" i="7"/>
  <c r="P1163" i="7"/>
  <c r="O1163" i="7"/>
  <c r="N1163" i="7"/>
  <c r="V1162" i="7"/>
  <c r="U1162" i="7"/>
  <c r="T1162" i="7"/>
  <c r="S1162" i="7"/>
  <c r="R1162" i="7"/>
  <c r="Q1162" i="7"/>
  <c r="P1162" i="7"/>
  <c r="O1162" i="7"/>
  <c r="N1162" i="7"/>
  <c r="V1161" i="7"/>
  <c r="U1161" i="7"/>
  <c r="T1161" i="7"/>
  <c r="S1161" i="7"/>
  <c r="R1161" i="7"/>
  <c r="Q1161" i="7"/>
  <c r="P1161" i="7"/>
  <c r="O1161" i="7"/>
  <c r="N1161" i="7"/>
  <c r="V1160" i="7"/>
  <c r="U1160" i="7"/>
  <c r="T1160" i="7"/>
  <c r="S1160" i="7"/>
  <c r="R1160" i="7"/>
  <c r="Q1160" i="7"/>
  <c r="P1160" i="7"/>
  <c r="O1160" i="7"/>
  <c r="N1160" i="7"/>
  <c r="V1159" i="7"/>
  <c r="U1159" i="7"/>
  <c r="T1159" i="7"/>
  <c r="S1159" i="7"/>
  <c r="R1159" i="7"/>
  <c r="Q1159" i="7"/>
  <c r="P1159" i="7"/>
  <c r="O1159" i="7"/>
  <c r="N1159" i="7"/>
  <c r="V1158" i="7"/>
  <c r="U1158" i="7"/>
  <c r="T1158" i="7"/>
  <c r="S1158" i="7"/>
  <c r="R1158" i="7"/>
  <c r="Q1158" i="7"/>
  <c r="P1158" i="7"/>
  <c r="O1158" i="7"/>
  <c r="N1158" i="7"/>
  <c r="V1157" i="7"/>
  <c r="U1157" i="7"/>
  <c r="T1157" i="7"/>
  <c r="S1157" i="7"/>
  <c r="R1157" i="7"/>
  <c r="Q1157" i="7"/>
  <c r="P1157" i="7"/>
  <c r="O1157" i="7"/>
  <c r="N1157" i="7"/>
  <c r="V1156" i="7"/>
  <c r="U1156" i="7"/>
  <c r="T1156" i="7"/>
  <c r="S1156" i="7"/>
  <c r="R1156" i="7"/>
  <c r="Q1156" i="7"/>
  <c r="P1156" i="7"/>
  <c r="O1156" i="7"/>
  <c r="N1156" i="7"/>
  <c r="V1155" i="7"/>
  <c r="U1155" i="7"/>
  <c r="T1155" i="7"/>
  <c r="S1155" i="7"/>
  <c r="R1155" i="7"/>
  <c r="Q1155" i="7"/>
  <c r="P1155" i="7"/>
  <c r="O1155" i="7"/>
  <c r="N1155" i="7"/>
  <c r="V1154" i="7"/>
  <c r="U1154" i="7"/>
  <c r="T1154" i="7"/>
  <c r="S1154" i="7"/>
  <c r="R1154" i="7"/>
  <c r="Q1154" i="7"/>
  <c r="P1154" i="7"/>
  <c r="O1154" i="7"/>
  <c r="N1154" i="7"/>
  <c r="V1153" i="7"/>
  <c r="U1153" i="7"/>
  <c r="T1153" i="7"/>
  <c r="S1153" i="7"/>
  <c r="R1153" i="7"/>
  <c r="Q1153" i="7"/>
  <c r="P1153" i="7"/>
  <c r="O1153" i="7"/>
  <c r="N1153" i="7"/>
  <c r="V1152" i="7"/>
  <c r="U1152" i="7"/>
  <c r="T1152" i="7"/>
  <c r="S1152" i="7"/>
  <c r="R1152" i="7"/>
  <c r="Q1152" i="7"/>
  <c r="P1152" i="7"/>
  <c r="O1152" i="7"/>
  <c r="N1152" i="7"/>
  <c r="V1151" i="7"/>
  <c r="U1151" i="7"/>
  <c r="T1151" i="7"/>
  <c r="S1151" i="7"/>
  <c r="R1151" i="7"/>
  <c r="Q1151" i="7"/>
  <c r="P1151" i="7"/>
  <c r="O1151" i="7"/>
  <c r="N1151" i="7"/>
  <c r="V1150" i="7"/>
  <c r="U1150" i="7"/>
  <c r="T1150" i="7"/>
  <c r="S1150" i="7"/>
  <c r="R1150" i="7"/>
  <c r="Q1150" i="7"/>
  <c r="P1150" i="7"/>
  <c r="O1150" i="7"/>
  <c r="N1150" i="7"/>
  <c r="V1149" i="7"/>
  <c r="U1149" i="7"/>
  <c r="T1149" i="7"/>
  <c r="S1149" i="7"/>
  <c r="R1149" i="7"/>
  <c r="Q1149" i="7"/>
  <c r="P1149" i="7"/>
  <c r="O1149" i="7"/>
  <c r="N1149" i="7"/>
  <c r="V1148" i="7"/>
  <c r="U1148" i="7"/>
  <c r="T1148" i="7"/>
  <c r="S1148" i="7"/>
  <c r="R1148" i="7"/>
  <c r="Q1148" i="7"/>
  <c r="P1148" i="7"/>
  <c r="O1148" i="7"/>
  <c r="N1148" i="7"/>
  <c r="V1147" i="7"/>
  <c r="U1147" i="7"/>
  <c r="T1147" i="7"/>
  <c r="S1147" i="7"/>
  <c r="R1147" i="7"/>
  <c r="Q1147" i="7"/>
  <c r="P1147" i="7"/>
  <c r="O1147" i="7"/>
  <c r="N1147" i="7"/>
  <c r="V1146" i="7"/>
  <c r="U1146" i="7"/>
  <c r="T1146" i="7"/>
  <c r="S1146" i="7"/>
  <c r="R1146" i="7"/>
  <c r="Q1146" i="7"/>
  <c r="P1146" i="7"/>
  <c r="O1146" i="7"/>
  <c r="N1146" i="7"/>
  <c r="V1145" i="7"/>
  <c r="U1145" i="7"/>
  <c r="T1145" i="7"/>
  <c r="S1145" i="7"/>
  <c r="R1145" i="7"/>
  <c r="Q1145" i="7"/>
  <c r="P1145" i="7"/>
  <c r="O1145" i="7"/>
  <c r="N1145" i="7"/>
  <c r="V1144" i="7"/>
  <c r="U1144" i="7"/>
  <c r="T1144" i="7"/>
  <c r="S1144" i="7"/>
  <c r="R1144" i="7"/>
  <c r="Q1144" i="7"/>
  <c r="P1144" i="7"/>
  <c r="O1144" i="7"/>
  <c r="N1144" i="7"/>
  <c r="V1143" i="7"/>
  <c r="U1143" i="7"/>
  <c r="T1143" i="7"/>
  <c r="S1143" i="7"/>
  <c r="R1143" i="7"/>
  <c r="Q1143" i="7"/>
  <c r="P1143" i="7"/>
  <c r="O1143" i="7"/>
  <c r="N1143" i="7"/>
  <c r="V1142" i="7"/>
  <c r="U1142" i="7"/>
  <c r="T1142" i="7"/>
  <c r="S1142" i="7"/>
  <c r="R1142" i="7"/>
  <c r="Q1142" i="7"/>
  <c r="P1142" i="7"/>
  <c r="O1142" i="7"/>
  <c r="N1142" i="7"/>
  <c r="V1141" i="7"/>
  <c r="U1141" i="7"/>
  <c r="T1141" i="7"/>
  <c r="S1141" i="7"/>
  <c r="R1141" i="7"/>
  <c r="Q1141" i="7"/>
  <c r="P1141" i="7"/>
  <c r="O1141" i="7"/>
  <c r="N1141" i="7"/>
  <c r="V1140" i="7"/>
  <c r="U1140" i="7"/>
  <c r="T1140" i="7"/>
  <c r="S1140" i="7"/>
  <c r="R1140" i="7"/>
  <c r="Q1140" i="7"/>
  <c r="P1140" i="7"/>
  <c r="O1140" i="7"/>
  <c r="N1140" i="7"/>
  <c r="V1139" i="7"/>
  <c r="U1139" i="7"/>
  <c r="T1139" i="7"/>
  <c r="S1139" i="7"/>
  <c r="R1139" i="7"/>
  <c r="Q1139" i="7"/>
  <c r="P1139" i="7"/>
  <c r="O1139" i="7"/>
  <c r="N1139" i="7"/>
  <c r="V1138" i="7"/>
  <c r="U1138" i="7"/>
  <c r="T1138" i="7"/>
  <c r="S1138" i="7"/>
  <c r="R1138" i="7"/>
  <c r="Q1138" i="7"/>
  <c r="P1138" i="7"/>
  <c r="O1138" i="7"/>
  <c r="N1138" i="7"/>
  <c r="V1137" i="7"/>
  <c r="U1137" i="7"/>
  <c r="T1137" i="7"/>
  <c r="S1137" i="7"/>
  <c r="R1137" i="7"/>
  <c r="Q1137" i="7"/>
  <c r="P1137" i="7"/>
  <c r="O1137" i="7"/>
  <c r="N1137" i="7"/>
  <c r="V1136" i="7"/>
  <c r="U1136" i="7"/>
  <c r="T1136" i="7"/>
  <c r="S1136" i="7"/>
  <c r="R1136" i="7"/>
  <c r="Q1136" i="7"/>
  <c r="P1136" i="7"/>
  <c r="O1136" i="7"/>
  <c r="N1136" i="7"/>
  <c r="V1135" i="7"/>
  <c r="U1135" i="7"/>
  <c r="T1135" i="7"/>
  <c r="S1135" i="7"/>
  <c r="R1135" i="7"/>
  <c r="Q1135" i="7"/>
  <c r="P1135" i="7"/>
  <c r="O1135" i="7"/>
  <c r="N1135" i="7"/>
  <c r="V1134" i="7"/>
  <c r="U1134" i="7"/>
  <c r="T1134" i="7"/>
  <c r="S1134" i="7"/>
  <c r="R1134" i="7"/>
  <c r="Q1134" i="7"/>
  <c r="P1134" i="7"/>
  <c r="O1134" i="7"/>
  <c r="N1134" i="7"/>
  <c r="V1133" i="7"/>
  <c r="U1133" i="7"/>
  <c r="T1133" i="7"/>
  <c r="S1133" i="7"/>
  <c r="R1133" i="7"/>
  <c r="Q1133" i="7"/>
  <c r="P1133" i="7"/>
  <c r="O1133" i="7"/>
  <c r="N1133" i="7"/>
  <c r="V1132" i="7"/>
  <c r="U1132" i="7"/>
  <c r="T1132" i="7"/>
  <c r="S1132" i="7"/>
  <c r="R1132" i="7"/>
  <c r="Q1132" i="7"/>
  <c r="P1132" i="7"/>
  <c r="O1132" i="7"/>
  <c r="N1132" i="7"/>
  <c r="V1131" i="7"/>
  <c r="U1131" i="7"/>
  <c r="T1131" i="7"/>
  <c r="S1131" i="7"/>
  <c r="R1131" i="7"/>
  <c r="Q1131" i="7"/>
  <c r="P1131" i="7"/>
  <c r="O1131" i="7"/>
  <c r="N1131" i="7"/>
  <c r="V1130" i="7"/>
  <c r="U1130" i="7"/>
  <c r="T1130" i="7"/>
  <c r="S1130" i="7"/>
  <c r="R1130" i="7"/>
  <c r="Q1130" i="7"/>
  <c r="P1130" i="7"/>
  <c r="O1130" i="7"/>
  <c r="N1130" i="7"/>
  <c r="V1129" i="7"/>
  <c r="U1129" i="7"/>
  <c r="T1129" i="7"/>
  <c r="S1129" i="7"/>
  <c r="R1129" i="7"/>
  <c r="Q1129" i="7"/>
  <c r="P1129" i="7"/>
  <c r="O1129" i="7"/>
  <c r="N1129" i="7"/>
  <c r="V1128" i="7"/>
  <c r="U1128" i="7"/>
  <c r="T1128" i="7"/>
  <c r="S1128" i="7"/>
  <c r="R1128" i="7"/>
  <c r="Q1128" i="7"/>
  <c r="P1128" i="7"/>
  <c r="O1128" i="7"/>
  <c r="N1128" i="7"/>
  <c r="V1127" i="7"/>
  <c r="U1127" i="7"/>
  <c r="T1127" i="7"/>
  <c r="S1127" i="7"/>
  <c r="R1127" i="7"/>
  <c r="Q1127" i="7"/>
  <c r="P1127" i="7"/>
  <c r="O1127" i="7"/>
  <c r="N1127" i="7"/>
  <c r="V1126" i="7"/>
  <c r="U1126" i="7"/>
  <c r="T1126" i="7"/>
  <c r="S1126" i="7"/>
  <c r="R1126" i="7"/>
  <c r="Q1126" i="7"/>
  <c r="P1126" i="7"/>
  <c r="O1126" i="7"/>
  <c r="N1126" i="7"/>
  <c r="V1125" i="7"/>
  <c r="U1125" i="7"/>
  <c r="T1125" i="7"/>
  <c r="S1125" i="7"/>
  <c r="R1125" i="7"/>
  <c r="Q1125" i="7"/>
  <c r="P1125" i="7"/>
  <c r="O1125" i="7"/>
  <c r="N1125" i="7"/>
  <c r="V1124" i="7"/>
  <c r="U1124" i="7"/>
  <c r="T1124" i="7"/>
  <c r="S1124" i="7"/>
  <c r="R1124" i="7"/>
  <c r="Q1124" i="7"/>
  <c r="P1124" i="7"/>
  <c r="O1124" i="7"/>
  <c r="N1124" i="7"/>
  <c r="V1123" i="7"/>
  <c r="U1123" i="7"/>
  <c r="T1123" i="7"/>
  <c r="S1123" i="7"/>
  <c r="R1123" i="7"/>
  <c r="Q1123" i="7"/>
  <c r="P1123" i="7"/>
  <c r="O1123" i="7"/>
  <c r="N1123" i="7"/>
  <c r="V1122" i="7"/>
  <c r="U1122" i="7"/>
  <c r="T1122" i="7"/>
  <c r="S1122" i="7"/>
  <c r="R1122" i="7"/>
  <c r="Q1122" i="7"/>
  <c r="P1122" i="7"/>
  <c r="O1122" i="7"/>
  <c r="N1122" i="7"/>
  <c r="V1121" i="7"/>
  <c r="U1121" i="7"/>
  <c r="T1121" i="7"/>
  <c r="S1121" i="7"/>
  <c r="R1121" i="7"/>
  <c r="Q1121" i="7"/>
  <c r="P1121" i="7"/>
  <c r="O1121" i="7"/>
  <c r="N1121" i="7"/>
  <c r="V1120" i="7"/>
  <c r="U1120" i="7"/>
  <c r="T1120" i="7"/>
  <c r="S1120" i="7"/>
  <c r="R1120" i="7"/>
  <c r="Q1120" i="7"/>
  <c r="P1120" i="7"/>
  <c r="O1120" i="7"/>
  <c r="N1120" i="7"/>
  <c r="V1119" i="7"/>
  <c r="U1119" i="7"/>
  <c r="T1119" i="7"/>
  <c r="S1119" i="7"/>
  <c r="R1119" i="7"/>
  <c r="Q1119" i="7"/>
  <c r="P1119" i="7"/>
  <c r="O1119" i="7"/>
  <c r="N1119" i="7"/>
  <c r="V1118" i="7"/>
  <c r="U1118" i="7"/>
  <c r="T1118" i="7"/>
  <c r="S1118" i="7"/>
  <c r="R1118" i="7"/>
  <c r="Q1118" i="7"/>
  <c r="P1118" i="7"/>
  <c r="O1118" i="7"/>
  <c r="N1118" i="7"/>
  <c r="V1117" i="7"/>
  <c r="U1117" i="7"/>
  <c r="T1117" i="7"/>
  <c r="S1117" i="7"/>
  <c r="R1117" i="7"/>
  <c r="Q1117" i="7"/>
  <c r="P1117" i="7"/>
  <c r="O1117" i="7"/>
  <c r="N1117" i="7"/>
  <c r="V1116" i="7"/>
  <c r="U1116" i="7"/>
  <c r="T1116" i="7"/>
  <c r="S1116" i="7"/>
  <c r="R1116" i="7"/>
  <c r="Q1116" i="7"/>
  <c r="P1116" i="7"/>
  <c r="O1116" i="7"/>
  <c r="N1116" i="7"/>
  <c r="V1115" i="7"/>
  <c r="U1115" i="7"/>
  <c r="T1115" i="7"/>
  <c r="S1115" i="7"/>
  <c r="R1115" i="7"/>
  <c r="Q1115" i="7"/>
  <c r="P1115" i="7"/>
  <c r="O1115" i="7"/>
  <c r="N1115" i="7"/>
  <c r="V1114" i="7"/>
  <c r="U1114" i="7"/>
  <c r="T1114" i="7"/>
  <c r="S1114" i="7"/>
  <c r="R1114" i="7"/>
  <c r="Q1114" i="7"/>
  <c r="P1114" i="7"/>
  <c r="O1114" i="7"/>
  <c r="N1114" i="7"/>
  <c r="V1113" i="7"/>
  <c r="U1113" i="7"/>
  <c r="T1113" i="7"/>
  <c r="S1113" i="7"/>
  <c r="R1113" i="7"/>
  <c r="Q1113" i="7"/>
  <c r="P1113" i="7"/>
  <c r="O1113" i="7"/>
  <c r="N1113" i="7"/>
  <c r="V1112" i="7"/>
  <c r="U1112" i="7"/>
  <c r="T1112" i="7"/>
  <c r="S1112" i="7"/>
  <c r="R1112" i="7"/>
  <c r="Q1112" i="7"/>
  <c r="P1112" i="7"/>
  <c r="O1112" i="7"/>
  <c r="N1112" i="7"/>
  <c r="V1111" i="7"/>
  <c r="U1111" i="7"/>
  <c r="T1111" i="7"/>
  <c r="S1111" i="7"/>
  <c r="R1111" i="7"/>
  <c r="Q1111" i="7"/>
  <c r="P1111" i="7"/>
  <c r="O1111" i="7"/>
  <c r="N1111" i="7"/>
  <c r="V1110" i="7"/>
  <c r="U1110" i="7"/>
  <c r="T1110" i="7"/>
  <c r="S1110" i="7"/>
  <c r="R1110" i="7"/>
  <c r="Q1110" i="7"/>
  <c r="P1110" i="7"/>
  <c r="O1110" i="7"/>
  <c r="N1110" i="7"/>
  <c r="V1109" i="7"/>
  <c r="U1109" i="7"/>
  <c r="T1109" i="7"/>
  <c r="S1109" i="7"/>
  <c r="R1109" i="7"/>
  <c r="Q1109" i="7"/>
  <c r="P1109" i="7"/>
  <c r="O1109" i="7"/>
  <c r="N1109" i="7"/>
  <c r="V1108" i="7"/>
  <c r="U1108" i="7"/>
  <c r="T1108" i="7"/>
  <c r="S1108" i="7"/>
  <c r="R1108" i="7"/>
  <c r="Q1108" i="7"/>
  <c r="P1108" i="7"/>
  <c r="O1108" i="7"/>
  <c r="N1108" i="7"/>
  <c r="V1107" i="7"/>
  <c r="U1107" i="7"/>
  <c r="T1107" i="7"/>
  <c r="S1107" i="7"/>
  <c r="R1107" i="7"/>
  <c r="Q1107" i="7"/>
  <c r="P1107" i="7"/>
  <c r="O1107" i="7"/>
  <c r="N1107" i="7"/>
  <c r="V1106" i="7"/>
  <c r="U1106" i="7"/>
  <c r="T1106" i="7"/>
  <c r="S1106" i="7"/>
  <c r="R1106" i="7"/>
  <c r="Q1106" i="7"/>
  <c r="P1106" i="7"/>
  <c r="O1106" i="7"/>
  <c r="N1106" i="7"/>
  <c r="V1105" i="7"/>
  <c r="U1105" i="7"/>
  <c r="T1105" i="7"/>
  <c r="S1105" i="7"/>
  <c r="R1105" i="7"/>
  <c r="Q1105" i="7"/>
  <c r="P1105" i="7"/>
  <c r="O1105" i="7"/>
  <c r="N1105" i="7"/>
  <c r="V1104" i="7"/>
  <c r="U1104" i="7"/>
  <c r="T1104" i="7"/>
  <c r="S1104" i="7"/>
  <c r="R1104" i="7"/>
  <c r="Q1104" i="7"/>
  <c r="P1104" i="7"/>
  <c r="O1104" i="7"/>
  <c r="N1104" i="7"/>
  <c r="V1103" i="7"/>
  <c r="U1103" i="7"/>
  <c r="T1103" i="7"/>
  <c r="S1103" i="7"/>
  <c r="R1103" i="7"/>
  <c r="Q1103" i="7"/>
  <c r="P1103" i="7"/>
  <c r="O1103" i="7"/>
  <c r="N1103" i="7"/>
  <c r="V1102" i="7"/>
  <c r="U1102" i="7"/>
  <c r="T1102" i="7"/>
  <c r="S1102" i="7"/>
  <c r="R1102" i="7"/>
  <c r="Q1102" i="7"/>
  <c r="P1102" i="7"/>
  <c r="O1102" i="7"/>
  <c r="N1102" i="7"/>
  <c r="V1101" i="7"/>
  <c r="U1101" i="7"/>
  <c r="T1101" i="7"/>
  <c r="S1101" i="7"/>
  <c r="R1101" i="7"/>
  <c r="Q1101" i="7"/>
  <c r="P1101" i="7"/>
  <c r="O1101" i="7"/>
  <c r="N1101" i="7"/>
  <c r="V1100" i="7"/>
  <c r="U1100" i="7"/>
  <c r="T1100" i="7"/>
  <c r="S1100" i="7"/>
  <c r="R1100" i="7"/>
  <c r="Q1100" i="7"/>
  <c r="P1100" i="7"/>
  <c r="O1100" i="7"/>
  <c r="N1100" i="7"/>
  <c r="V1099" i="7"/>
  <c r="U1099" i="7"/>
  <c r="T1099" i="7"/>
  <c r="S1099" i="7"/>
  <c r="R1099" i="7"/>
  <c r="Q1099" i="7"/>
  <c r="P1099" i="7"/>
  <c r="O1099" i="7"/>
  <c r="N1099" i="7"/>
  <c r="V1098" i="7"/>
  <c r="U1098" i="7"/>
  <c r="T1098" i="7"/>
  <c r="S1098" i="7"/>
  <c r="R1098" i="7"/>
  <c r="Q1098" i="7"/>
  <c r="P1098" i="7"/>
  <c r="O1098" i="7"/>
  <c r="N1098" i="7"/>
  <c r="V1097" i="7"/>
  <c r="U1097" i="7"/>
  <c r="T1097" i="7"/>
  <c r="S1097" i="7"/>
  <c r="R1097" i="7"/>
  <c r="Q1097" i="7"/>
  <c r="P1097" i="7"/>
  <c r="O1097" i="7"/>
  <c r="N1097" i="7"/>
  <c r="V1096" i="7"/>
  <c r="U1096" i="7"/>
  <c r="T1096" i="7"/>
  <c r="S1096" i="7"/>
  <c r="R1096" i="7"/>
  <c r="Q1096" i="7"/>
  <c r="P1096" i="7"/>
  <c r="O1096" i="7"/>
  <c r="N1096" i="7"/>
  <c r="V1095" i="7"/>
  <c r="U1095" i="7"/>
  <c r="T1095" i="7"/>
  <c r="S1095" i="7"/>
  <c r="R1095" i="7"/>
  <c r="Q1095" i="7"/>
  <c r="P1095" i="7"/>
  <c r="O1095" i="7"/>
  <c r="N1095" i="7"/>
  <c r="V1094" i="7"/>
  <c r="U1094" i="7"/>
  <c r="T1094" i="7"/>
  <c r="S1094" i="7"/>
  <c r="R1094" i="7"/>
  <c r="Q1094" i="7"/>
  <c r="P1094" i="7"/>
  <c r="O1094" i="7"/>
  <c r="N1094" i="7"/>
  <c r="V1093" i="7"/>
  <c r="U1093" i="7"/>
  <c r="T1093" i="7"/>
  <c r="S1093" i="7"/>
  <c r="R1093" i="7"/>
  <c r="Q1093" i="7"/>
  <c r="P1093" i="7"/>
  <c r="O1093" i="7"/>
  <c r="N1093" i="7"/>
  <c r="V1092" i="7"/>
  <c r="U1092" i="7"/>
  <c r="T1092" i="7"/>
  <c r="S1092" i="7"/>
  <c r="R1092" i="7"/>
  <c r="Q1092" i="7"/>
  <c r="P1092" i="7"/>
  <c r="O1092" i="7"/>
  <c r="N1092" i="7"/>
  <c r="V1091" i="7"/>
  <c r="U1091" i="7"/>
  <c r="T1091" i="7"/>
  <c r="S1091" i="7"/>
  <c r="R1091" i="7"/>
  <c r="Q1091" i="7"/>
  <c r="P1091" i="7"/>
  <c r="O1091" i="7"/>
  <c r="N1091" i="7"/>
  <c r="V1090" i="7"/>
  <c r="U1090" i="7"/>
  <c r="T1090" i="7"/>
  <c r="S1090" i="7"/>
  <c r="R1090" i="7"/>
  <c r="Q1090" i="7"/>
  <c r="P1090" i="7"/>
  <c r="O1090" i="7"/>
  <c r="N1090" i="7"/>
  <c r="V1089" i="7"/>
  <c r="U1089" i="7"/>
  <c r="T1089" i="7"/>
  <c r="S1089" i="7"/>
  <c r="R1089" i="7"/>
  <c r="Q1089" i="7"/>
  <c r="P1089" i="7"/>
  <c r="O1089" i="7"/>
  <c r="N1089" i="7"/>
  <c r="V1088" i="7"/>
  <c r="U1088" i="7"/>
  <c r="T1088" i="7"/>
  <c r="S1088" i="7"/>
  <c r="R1088" i="7"/>
  <c r="Q1088" i="7"/>
  <c r="P1088" i="7"/>
  <c r="O1088" i="7"/>
  <c r="N1088" i="7"/>
  <c r="V1087" i="7"/>
  <c r="U1087" i="7"/>
  <c r="T1087" i="7"/>
  <c r="S1087" i="7"/>
  <c r="R1087" i="7"/>
  <c r="Q1087" i="7"/>
  <c r="P1087" i="7"/>
  <c r="O1087" i="7"/>
  <c r="N1087" i="7"/>
  <c r="V1086" i="7"/>
  <c r="U1086" i="7"/>
  <c r="T1086" i="7"/>
  <c r="S1086" i="7"/>
  <c r="R1086" i="7"/>
  <c r="Q1086" i="7"/>
  <c r="P1086" i="7"/>
  <c r="O1086" i="7"/>
  <c r="N1086" i="7"/>
  <c r="V1085" i="7"/>
  <c r="U1085" i="7"/>
  <c r="T1085" i="7"/>
  <c r="S1085" i="7"/>
  <c r="R1085" i="7"/>
  <c r="Q1085" i="7"/>
  <c r="P1085" i="7"/>
  <c r="O1085" i="7"/>
  <c r="N1085" i="7"/>
  <c r="V1084" i="7"/>
  <c r="U1084" i="7"/>
  <c r="T1084" i="7"/>
  <c r="S1084" i="7"/>
  <c r="R1084" i="7"/>
  <c r="Q1084" i="7"/>
  <c r="P1084" i="7"/>
  <c r="O1084" i="7"/>
  <c r="N1084" i="7"/>
  <c r="V1083" i="7"/>
  <c r="U1083" i="7"/>
  <c r="T1083" i="7"/>
  <c r="S1083" i="7"/>
  <c r="R1083" i="7"/>
  <c r="Q1083" i="7"/>
  <c r="P1083" i="7"/>
  <c r="O1083" i="7"/>
  <c r="N1083" i="7"/>
  <c r="V1082" i="7"/>
  <c r="U1082" i="7"/>
  <c r="T1082" i="7"/>
  <c r="S1082" i="7"/>
  <c r="R1082" i="7"/>
  <c r="Q1082" i="7"/>
  <c r="P1082" i="7"/>
  <c r="O1082" i="7"/>
  <c r="N1082" i="7"/>
  <c r="V1081" i="7"/>
  <c r="U1081" i="7"/>
  <c r="T1081" i="7"/>
  <c r="S1081" i="7"/>
  <c r="R1081" i="7"/>
  <c r="Q1081" i="7"/>
  <c r="P1081" i="7"/>
  <c r="O1081" i="7"/>
  <c r="N1081" i="7"/>
  <c r="V1080" i="7"/>
  <c r="U1080" i="7"/>
  <c r="T1080" i="7"/>
  <c r="S1080" i="7"/>
  <c r="R1080" i="7"/>
  <c r="Q1080" i="7"/>
  <c r="P1080" i="7"/>
  <c r="O1080" i="7"/>
  <c r="N1080" i="7"/>
  <c r="V1079" i="7"/>
  <c r="U1079" i="7"/>
  <c r="T1079" i="7"/>
  <c r="S1079" i="7"/>
  <c r="R1079" i="7"/>
  <c r="Q1079" i="7"/>
  <c r="P1079" i="7"/>
  <c r="O1079" i="7"/>
  <c r="N1079" i="7"/>
  <c r="V1078" i="7"/>
  <c r="U1078" i="7"/>
  <c r="T1078" i="7"/>
  <c r="S1078" i="7"/>
  <c r="R1078" i="7"/>
  <c r="Q1078" i="7"/>
  <c r="P1078" i="7"/>
  <c r="O1078" i="7"/>
  <c r="N1078" i="7"/>
  <c r="V1077" i="7"/>
  <c r="U1077" i="7"/>
  <c r="T1077" i="7"/>
  <c r="S1077" i="7"/>
  <c r="R1077" i="7"/>
  <c r="Q1077" i="7"/>
  <c r="P1077" i="7"/>
  <c r="O1077" i="7"/>
  <c r="N1077" i="7"/>
  <c r="V1076" i="7"/>
  <c r="U1076" i="7"/>
  <c r="T1076" i="7"/>
  <c r="S1076" i="7"/>
  <c r="R1076" i="7"/>
  <c r="Q1076" i="7"/>
  <c r="P1076" i="7"/>
  <c r="O1076" i="7"/>
  <c r="N1076" i="7"/>
  <c r="V1075" i="7"/>
  <c r="U1075" i="7"/>
  <c r="T1075" i="7"/>
  <c r="S1075" i="7"/>
  <c r="R1075" i="7"/>
  <c r="Q1075" i="7"/>
  <c r="P1075" i="7"/>
  <c r="O1075" i="7"/>
  <c r="N1075" i="7"/>
  <c r="V1074" i="7"/>
  <c r="U1074" i="7"/>
  <c r="T1074" i="7"/>
  <c r="S1074" i="7"/>
  <c r="R1074" i="7"/>
  <c r="Q1074" i="7"/>
  <c r="P1074" i="7"/>
  <c r="O1074" i="7"/>
  <c r="N1074" i="7"/>
  <c r="V1073" i="7"/>
  <c r="U1073" i="7"/>
  <c r="T1073" i="7"/>
  <c r="S1073" i="7"/>
  <c r="R1073" i="7"/>
  <c r="Q1073" i="7"/>
  <c r="P1073" i="7"/>
  <c r="O1073" i="7"/>
  <c r="N1073" i="7"/>
  <c r="V1072" i="7"/>
  <c r="U1072" i="7"/>
  <c r="T1072" i="7"/>
  <c r="S1072" i="7"/>
  <c r="R1072" i="7"/>
  <c r="Q1072" i="7"/>
  <c r="P1072" i="7"/>
  <c r="O1072" i="7"/>
  <c r="N1072" i="7"/>
  <c r="V1071" i="7"/>
  <c r="U1071" i="7"/>
  <c r="T1071" i="7"/>
  <c r="S1071" i="7"/>
  <c r="R1071" i="7"/>
  <c r="Q1071" i="7"/>
  <c r="P1071" i="7"/>
  <c r="O1071" i="7"/>
  <c r="N1071" i="7"/>
  <c r="V1070" i="7"/>
  <c r="U1070" i="7"/>
  <c r="T1070" i="7"/>
  <c r="S1070" i="7"/>
  <c r="R1070" i="7"/>
  <c r="Q1070" i="7"/>
  <c r="P1070" i="7"/>
  <c r="O1070" i="7"/>
  <c r="N1070" i="7"/>
  <c r="V1069" i="7"/>
  <c r="U1069" i="7"/>
  <c r="T1069" i="7"/>
  <c r="S1069" i="7"/>
  <c r="R1069" i="7"/>
  <c r="Q1069" i="7"/>
  <c r="P1069" i="7"/>
  <c r="O1069" i="7"/>
  <c r="N1069" i="7"/>
  <c r="V1068" i="7"/>
  <c r="U1068" i="7"/>
  <c r="T1068" i="7"/>
  <c r="S1068" i="7"/>
  <c r="R1068" i="7"/>
  <c r="Q1068" i="7"/>
  <c r="P1068" i="7"/>
  <c r="O1068" i="7"/>
  <c r="N1068" i="7"/>
  <c r="V1067" i="7"/>
  <c r="U1067" i="7"/>
  <c r="T1067" i="7"/>
  <c r="S1067" i="7"/>
  <c r="R1067" i="7"/>
  <c r="Q1067" i="7"/>
  <c r="P1067" i="7"/>
  <c r="O1067" i="7"/>
  <c r="N1067" i="7"/>
  <c r="V1066" i="7"/>
  <c r="U1066" i="7"/>
  <c r="T1066" i="7"/>
  <c r="S1066" i="7"/>
  <c r="R1066" i="7"/>
  <c r="Q1066" i="7"/>
  <c r="P1066" i="7"/>
  <c r="O1066" i="7"/>
  <c r="N1066" i="7"/>
  <c r="V1065" i="7"/>
  <c r="U1065" i="7"/>
  <c r="T1065" i="7"/>
  <c r="S1065" i="7"/>
  <c r="R1065" i="7"/>
  <c r="Q1065" i="7"/>
  <c r="P1065" i="7"/>
  <c r="O1065" i="7"/>
  <c r="N1065" i="7"/>
  <c r="V1064" i="7"/>
  <c r="U1064" i="7"/>
  <c r="T1064" i="7"/>
  <c r="S1064" i="7"/>
  <c r="R1064" i="7"/>
  <c r="Q1064" i="7"/>
  <c r="P1064" i="7"/>
  <c r="O1064" i="7"/>
  <c r="N1064" i="7"/>
  <c r="V1063" i="7"/>
  <c r="U1063" i="7"/>
  <c r="T1063" i="7"/>
  <c r="S1063" i="7"/>
  <c r="R1063" i="7"/>
  <c r="Q1063" i="7"/>
  <c r="P1063" i="7"/>
  <c r="O1063" i="7"/>
  <c r="N1063" i="7"/>
  <c r="V1062" i="7"/>
  <c r="U1062" i="7"/>
  <c r="T1062" i="7"/>
  <c r="S1062" i="7"/>
  <c r="R1062" i="7"/>
  <c r="Q1062" i="7"/>
  <c r="P1062" i="7"/>
  <c r="O1062" i="7"/>
  <c r="N1062" i="7"/>
  <c r="V1061" i="7"/>
  <c r="U1061" i="7"/>
  <c r="T1061" i="7"/>
  <c r="S1061" i="7"/>
  <c r="R1061" i="7"/>
  <c r="Q1061" i="7"/>
  <c r="P1061" i="7"/>
  <c r="O1061" i="7"/>
  <c r="N1061" i="7"/>
  <c r="V1060" i="7"/>
  <c r="U1060" i="7"/>
  <c r="T1060" i="7"/>
  <c r="S1060" i="7"/>
  <c r="R1060" i="7"/>
  <c r="Q1060" i="7"/>
  <c r="P1060" i="7"/>
  <c r="O1060" i="7"/>
  <c r="N1060" i="7"/>
  <c r="V1059" i="7"/>
  <c r="U1059" i="7"/>
  <c r="T1059" i="7"/>
  <c r="S1059" i="7"/>
  <c r="R1059" i="7"/>
  <c r="Q1059" i="7"/>
  <c r="P1059" i="7"/>
  <c r="O1059" i="7"/>
  <c r="N1059" i="7"/>
  <c r="V1058" i="7"/>
  <c r="U1058" i="7"/>
  <c r="T1058" i="7"/>
  <c r="S1058" i="7"/>
  <c r="R1058" i="7"/>
  <c r="Q1058" i="7"/>
  <c r="P1058" i="7"/>
  <c r="O1058" i="7"/>
  <c r="N1058" i="7"/>
  <c r="V1057" i="7"/>
  <c r="U1057" i="7"/>
  <c r="T1057" i="7"/>
  <c r="S1057" i="7"/>
  <c r="R1057" i="7"/>
  <c r="Q1057" i="7"/>
  <c r="P1057" i="7"/>
  <c r="O1057" i="7"/>
  <c r="N1057" i="7"/>
  <c r="V1056" i="7"/>
  <c r="U1056" i="7"/>
  <c r="T1056" i="7"/>
  <c r="S1056" i="7"/>
  <c r="R1056" i="7"/>
  <c r="Q1056" i="7"/>
  <c r="P1056" i="7"/>
  <c r="O1056" i="7"/>
  <c r="N1056" i="7"/>
  <c r="V1055" i="7"/>
  <c r="U1055" i="7"/>
  <c r="T1055" i="7"/>
  <c r="S1055" i="7"/>
  <c r="R1055" i="7"/>
  <c r="Q1055" i="7"/>
  <c r="P1055" i="7"/>
  <c r="O1055" i="7"/>
  <c r="N1055" i="7"/>
  <c r="V1054" i="7"/>
  <c r="U1054" i="7"/>
  <c r="T1054" i="7"/>
  <c r="S1054" i="7"/>
  <c r="R1054" i="7"/>
  <c r="Q1054" i="7"/>
  <c r="P1054" i="7"/>
  <c r="O1054" i="7"/>
  <c r="N1054" i="7"/>
  <c r="V1053" i="7"/>
  <c r="U1053" i="7"/>
  <c r="T1053" i="7"/>
  <c r="S1053" i="7"/>
  <c r="R1053" i="7"/>
  <c r="Q1053" i="7"/>
  <c r="P1053" i="7"/>
  <c r="O1053" i="7"/>
  <c r="N1053" i="7"/>
  <c r="V1052" i="7"/>
  <c r="U1052" i="7"/>
  <c r="T1052" i="7"/>
  <c r="S1052" i="7"/>
  <c r="R1052" i="7"/>
  <c r="Q1052" i="7"/>
  <c r="P1052" i="7"/>
  <c r="O1052" i="7"/>
  <c r="N1052" i="7"/>
  <c r="V1051" i="7"/>
  <c r="U1051" i="7"/>
  <c r="T1051" i="7"/>
  <c r="S1051" i="7"/>
  <c r="R1051" i="7"/>
  <c r="Q1051" i="7"/>
  <c r="P1051" i="7"/>
  <c r="O1051" i="7"/>
  <c r="N1051" i="7"/>
  <c r="V1050" i="7"/>
  <c r="U1050" i="7"/>
  <c r="T1050" i="7"/>
  <c r="S1050" i="7"/>
  <c r="R1050" i="7"/>
  <c r="Q1050" i="7"/>
  <c r="P1050" i="7"/>
  <c r="O1050" i="7"/>
  <c r="N1050" i="7"/>
  <c r="V1049" i="7"/>
  <c r="U1049" i="7"/>
  <c r="T1049" i="7"/>
  <c r="S1049" i="7"/>
  <c r="R1049" i="7"/>
  <c r="Q1049" i="7"/>
  <c r="P1049" i="7"/>
  <c r="O1049" i="7"/>
  <c r="N1049" i="7"/>
  <c r="V1048" i="7"/>
  <c r="U1048" i="7"/>
  <c r="T1048" i="7"/>
  <c r="S1048" i="7"/>
  <c r="R1048" i="7"/>
  <c r="Q1048" i="7"/>
  <c r="P1048" i="7"/>
  <c r="O1048" i="7"/>
  <c r="N1048" i="7"/>
  <c r="V1047" i="7"/>
  <c r="U1047" i="7"/>
  <c r="T1047" i="7"/>
  <c r="S1047" i="7"/>
  <c r="R1047" i="7"/>
  <c r="Q1047" i="7"/>
  <c r="P1047" i="7"/>
  <c r="O1047" i="7"/>
  <c r="N1047" i="7"/>
  <c r="V1046" i="7"/>
  <c r="U1046" i="7"/>
  <c r="T1046" i="7"/>
  <c r="S1046" i="7"/>
  <c r="R1046" i="7"/>
  <c r="Q1046" i="7"/>
  <c r="P1046" i="7"/>
  <c r="O1046" i="7"/>
  <c r="N1046" i="7"/>
  <c r="V1045" i="7"/>
  <c r="U1045" i="7"/>
  <c r="T1045" i="7"/>
  <c r="S1045" i="7"/>
  <c r="R1045" i="7"/>
  <c r="Q1045" i="7"/>
  <c r="P1045" i="7"/>
  <c r="O1045" i="7"/>
  <c r="N1045" i="7"/>
  <c r="V1044" i="7"/>
  <c r="U1044" i="7"/>
  <c r="T1044" i="7"/>
  <c r="S1044" i="7"/>
  <c r="R1044" i="7"/>
  <c r="Q1044" i="7"/>
  <c r="P1044" i="7"/>
  <c r="O1044" i="7"/>
  <c r="N1044" i="7"/>
  <c r="V1043" i="7"/>
  <c r="U1043" i="7"/>
  <c r="T1043" i="7"/>
  <c r="S1043" i="7"/>
  <c r="R1043" i="7"/>
  <c r="Q1043" i="7"/>
  <c r="P1043" i="7"/>
  <c r="O1043" i="7"/>
  <c r="N1043" i="7"/>
  <c r="V1042" i="7"/>
  <c r="U1042" i="7"/>
  <c r="T1042" i="7"/>
  <c r="S1042" i="7"/>
  <c r="R1042" i="7"/>
  <c r="Q1042" i="7"/>
  <c r="P1042" i="7"/>
  <c r="O1042" i="7"/>
  <c r="N1042" i="7"/>
  <c r="V1041" i="7"/>
  <c r="U1041" i="7"/>
  <c r="T1041" i="7"/>
  <c r="S1041" i="7"/>
  <c r="R1041" i="7"/>
  <c r="Q1041" i="7"/>
  <c r="P1041" i="7"/>
  <c r="O1041" i="7"/>
  <c r="N1041" i="7"/>
  <c r="V1040" i="7"/>
  <c r="U1040" i="7"/>
  <c r="T1040" i="7"/>
  <c r="S1040" i="7"/>
  <c r="R1040" i="7"/>
  <c r="Q1040" i="7"/>
  <c r="P1040" i="7"/>
  <c r="O1040" i="7"/>
  <c r="N1040" i="7"/>
  <c r="V1039" i="7"/>
  <c r="U1039" i="7"/>
  <c r="T1039" i="7"/>
  <c r="S1039" i="7"/>
  <c r="R1039" i="7"/>
  <c r="Q1039" i="7"/>
  <c r="P1039" i="7"/>
  <c r="O1039" i="7"/>
  <c r="N1039" i="7"/>
  <c r="V1038" i="7"/>
  <c r="U1038" i="7"/>
  <c r="T1038" i="7"/>
  <c r="S1038" i="7"/>
  <c r="R1038" i="7"/>
  <c r="Q1038" i="7"/>
  <c r="P1038" i="7"/>
  <c r="O1038" i="7"/>
  <c r="N1038" i="7"/>
  <c r="V1037" i="7"/>
  <c r="U1037" i="7"/>
  <c r="T1037" i="7"/>
  <c r="S1037" i="7"/>
  <c r="R1037" i="7"/>
  <c r="Q1037" i="7"/>
  <c r="P1037" i="7"/>
  <c r="O1037" i="7"/>
  <c r="N1037" i="7"/>
  <c r="V1036" i="7"/>
  <c r="U1036" i="7"/>
  <c r="T1036" i="7"/>
  <c r="S1036" i="7"/>
  <c r="R1036" i="7"/>
  <c r="Q1036" i="7"/>
  <c r="P1036" i="7"/>
  <c r="O1036" i="7"/>
  <c r="N1036" i="7"/>
  <c r="V1035" i="7"/>
  <c r="U1035" i="7"/>
  <c r="T1035" i="7"/>
  <c r="S1035" i="7"/>
  <c r="R1035" i="7"/>
  <c r="Q1035" i="7"/>
  <c r="P1035" i="7"/>
  <c r="O1035" i="7"/>
  <c r="N1035" i="7"/>
  <c r="V1034" i="7"/>
  <c r="U1034" i="7"/>
  <c r="T1034" i="7"/>
  <c r="S1034" i="7"/>
  <c r="R1034" i="7"/>
  <c r="Q1034" i="7"/>
  <c r="P1034" i="7"/>
  <c r="O1034" i="7"/>
  <c r="N1034" i="7"/>
  <c r="V1033" i="7"/>
  <c r="U1033" i="7"/>
  <c r="T1033" i="7"/>
  <c r="S1033" i="7"/>
  <c r="R1033" i="7"/>
  <c r="Q1033" i="7"/>
  <c r="P1033" i="7"/>
  <c r="O1033" i="7"/>
  <c r="N1033" i="7"/>
  <c r="V1032" i="7"/>
  <c r="U1032" i="7"/>
  <c r="T1032" i="7"/>
  <c r="S1032" i="7"/>
  <c r="R1032" i="7"/>
  <c r="Q1032" i="7"/>
  <c r="P1032" i="7"/>
  <c r="O1032" i="7"/>
  <c r="N1032" i="7"/>
  <c r="V1031" i="7"/>
  <c r="U1031" i="7"/>
  <c r="T1031" i="7"/>
  <c r="S1031" i="7"/>
  <c r="R1031" i="7"/>
  <c r="Q1031" i="7"/>
  <c r="P1031" i="7"/>
  <c r="O1031" i="7"/>
  <c r="N1031" i="7"/>
  <c r="V1030" i="7"/>
  <c r="U1030" i="7"/>
  <c r="T1030" i="7"/>
  <c r="S1030" i="7"/>
  <c r="R1030" i="7"/>
  <c r="Q1030" i="7"/>
  <c r="P1030" i="7"/>
  <c r="O1030" i="7"/>
  <c r="N1030" i="7"/>
  <c r="V1029" i="7"/>
  <c r="U1029" i="7"/>
  <c r="T1029" i="7"/>
  <c r="S1029" i="7"/>
  <c r="R1029" i="7"/>
  <c r="Q1029" i="7"/>
  <c r="P1029" i="7"/>
  <c r="O1029" i="7"/>
  <c r="N1029" i="7"/>
  <c r="V1028" i="7"/>
  <c r="U1028" i="7"/>
  <c r="T1028" i="7"/>
  <c r="S1028" i="7"/>
  <c r="R1028" i="7"/>
  <c r="Q1028" i="7"/>
  <c r="P1028" i="7"/>
  <c r="O1028" i="7"/>
  <c r="N1028" i="7"/>
  <c r="V1027" i="7"/>
  <c r="U1027" i="7"/>
  <c r="T1027" i="7"/>
  <c r="S1027" i="7"/>
  <c r="R1027" i="7"/>
  <c r="Q1027" i="7"/>
  <c r="P1027" i="7"/>
  <c r="O1027" i="7"/>
  <c r="N1027" i="7"/>
  <c r="V1026" i="7"/>
  <c r="U1026" i="7"/>
  <c r="T1026" i="7"/>
  <c r="S1026" i="7"/>
  <c r="R1026" i="7"/>
  <c r="Q1026" i="7"/>
  <c r="P1026" i="7"/>
  <c r="O1026" i="7"/>
  <c r="N1026" i="7"/>
  <c r="V1025" i="7"/>
  <c r="U1025" i="7"/>
  <c r="T1025" i="7"/>
  <c r="S1025" i="7"/>
  <c r="R1025" i="7"/>
  <c r="Q1025" i="7"/>
  <c r="P1025" i="7"/>
  <c r="O1025" i="7"/>
  <c r="N1025" i="7"/>
  <c r="V1024" i="7"/>
  <c r="U1024" i="7"/>
  <c r="T1024" i="7"/>
  <c r="S1024" i="7"/>
  <c r="R1024" i="7"/>
  <c r="Q1024" i="7"/>
  <c r="P1024" i="7"/>
  <c r="O1024" i="7"/>
  <c r="N1024" i="7"/>
  <c r="V1023" i="7"/>
  <c r="U1023" i="7"/>
  <c r="T1023" i="7"/>
  <c r="S1023" i="7"/>
  <c r="R1023" i="7"/>
  <c r="Q1023" i="7"/>
  <c r="P1023" i="7"/>
  <c r="O1023" i="7"/>
  <c r="N1023" i="7"/>
  <c r="V1022" i="7"/>
  <c r="U1022" i="7"/>
  <c r="T1022" i="7"/>
  <c r="S1022" i="7"/>
  <c r="R1022" i="7"/>
  <c r="Q1022" i="7"/>
  <c r="P1022" i="7"/>
  <c r="O1022" i="7"/>
  <c r="N1022" i="7"/>
  <c r="V1021" i="7"/>
  <c r="U1021" i="7"/>
  <c r="T1021" i="7"/>
  <c r="S1021" i="7"/>
  <c r="R1021" i="7"/>
  <c r="Q1021" i="7"/>
  <c r="P1021" i="7"/>
  <c r="O1021" i="7"/>
  <c r="N1021" i="7"/>
  <c r="V1020" i="7"/>
  <c r="U1020" i="7"/>
  <c r="T1020" i="7"/>
  <c r="S1020" i="7"/>
  <c r="R1020" i="7"/>
  <c r="Q1020" i="7"/>
  <c r="P1020" i="7"/>
  <c r="O1020" i="7"/>
  <c r="N1020" i="7"/>
  <c r="V1019" i="7"/>
  <c r="U1019" i="7"/>
  <c r="T1019" i="7"/>
  <c r="S1019" i="7"/>
  <c r="R1019" i="7"/>
  <c r="Q1019" i="7"/>
  <c r="P1019" i="7"/>
  <c r="O1019" i="7"/>
  <c r="N1019" i="7"/>
  <c r="V1018" i="7"/>
  <c r="U1018" i="7"/>
  <c r="T1018" i="7"/>
  <c r="S1018" i="7"/>
  <c r="R1018" i="7"/>
  <c r="Q1018" i="7"/>
  <c r="P1018" i="7"/>
  <c r="O1018" i="7"/>
  <c r="N1018" i="7"/>
  <c r="V1017" i="7"/>
  <c r="U1017" i="7"/>
  <c r="T1017" i="7"/>
  <c r="S1017" i="7"/>
  <c r="R1017" i="7"/>
  <c r="Q1017" i="7"/>
  <c r="P1017" i="7"/>
  <c r="O1017" i="7"/>
  <c r="N1017" i="7"/>
  <c r="V1016" i="7"/>
  <c r="U1016" i="7"/>
  <c r="T1016" i="7"/>
  <c r="S1016" i="7"/>
  <c r="R1016" i="7"/>
  <c r="Q1016" i="7"/>
  <c r="P1016" i="7"/>
  <c r="O1016" i="7"/>
  <c r="N1016" i="7"/>
  <c r="V1015" i="7"/>
  <c r="U1015" i="7"/>
  <c r="T1015" i="7"/>
  <c r="S1015" i="7"/>
  <c r="R1015" i="7"/>
  <c r="Q1015" i="7"/>
  <c r="P1015" i="7"/>
  <c r="O1015" i="7"/>
  <c r="N1015" i="7"/>
  <c r="V1014" i="7"/>
  <c r="U1014" i="7"/>
  <c r="T1014" i="7"/>
  <c r="S1014" i="7"/>
  <c r="R1014" i="7"/>
  <c r="Q1014" i="7"/>
  <c r="P1014" i="7"/>
  <c r="O1014" i="7"/>
  <c r="N1014" i="7"/>
  <c r="V1013" i="7"/>
  <c r="U1013" i="7"/>
  <c r="T1013" i="7"/>
  <c r="S1013" i="7"/>
  <c r="R1013" i="7"/>
  <c r="Q1013" i="7"/>
  <c r="P1013" i="7"/>
  <c r="O1013" i="7"/>
  <c r="N1013" i="7"/>
  <c r="V1012" i="7"/>
  <c r="U1012" i="7"/>
  <c r="T1012" i="7"/>
  <c r="S1012" i="7"/>
  <c r="R1012" i="7"/>
  <c r="Q1012" i="7"/>
  <c r="P1012" i="7"/>
  <c r="O1012" i="7"/>
  <c r="N1012" i="7"/>
  <c r="V1011" i="7"/>
  <c r="U1011" i="7"/>
  <c r="T1011" i="7"/>
  <c r="S1011" i="7"/>
  <c r="R1011" i="7"/>
  <c r="Q1011" i="7"/>
  <c r="P1011" i="7"/>
  <c r="O1011" i="7"/>
  <c r="N1011" i="7"/>
  <c r="V1010" i="7"/>
  <c r="U1010" i="7"/>
  <c r="T1010" i="7"/>
  <c r="S1010" i="7"/>
  <c r="R1010" i="7"/>
  <c r="Q1010" i="7"/>
  <c r="P1010" i="7"/>
  <c r="O1010" i="7"/>
  <c r="N1010" i="7"/>
  <c r="V1009" i="7"/>
  <c r="U1009" i="7"/>
  <c r="T1009" i="7"/>
  <c r="S1009" i="7"/>
  <c r="R1009" i="7"/>
  <c r="Q1009" i="7"/>
  <c r="P1009" i="7"/>
  <c r="O1009" i="7"/>
  <c r="N1009" i="7"/>
  <c r="V1008" i="7"/>
  <c r="U1008" i="7"/>
  <c r="T1008" i="7"/>
  <c r="S1008" i="7"/>
  <c r="R1008" i="7"/>
  <c r="Q1008" i="7"/>
  <c r="P1008" i="7"/>
  <c r="O1008" i="7"/>
  <c r="N1008" i="7"/>
  <c r="V1007" i="7"/>
  <c r="U1007" i="7"/>
  <c r="T1007" i="7"/>
  <c r="S1007" i="7"/>
  <c r="R1007" i="7"/>
  <c r="Q1007" i="7"/>
  <c r="P1007" i="7"/>
  <c r="O1007" i="7"/>
  <c r="N1007" i="7"/>
  <c r="V1006" i="7"/>
  <c r="U1006" i="7"/>
  <c r="T1006" i="7"/>
  <c r="S1006" i="7"/>
  <c r="R1006" i="7"/>
  <c r="Q1006" i="7"/>
  <c r="P1006" i="7"/>
  <c r="O1006" i="7"/>
  <c r="N1006" i="7"/>
  <c r="V1005" i="7"/>
  <c r="U1005" i="7"/>
  <c r="T1005" i="7"/>
  <c r="S1005" i="7"/>
  <c r="R1005" i="7"/>
  <c r="Q1005" i="7"/>
  <c r="P1005" i="7"/>
  <c r="O1005" i="7"/>
  <c r="N1005" i="7"/>
  <c r="V1004" i="7"/>
  <c r="U1004" i="7"/>
  <c r="T1004" i="7"/>
  <c r="S1004" i="7"/>
  <c r="R1004" i="7"/>
  <c r="Q1004" i="7"/>
  <c r="P1004" i="7"/>
  <c r="O1004" i="7"/>
  <c r="N1004" i="7"/>
  <c r="V1003" i="7"/>
  <c r="U1003" i="7"/>
  <c r="T1003" i="7"/>
  <c r="S1003" i="7"/>
  <c r="R1003" i="7"/>
  <c r="Q1003" i="7"/>
  <c r="P1003" i="7"/>
  <c r="O1003" i="7"/>
  <c r="N1003" i="7"/>
  <c r="V1002" i="7"/>
  <c r="U1002" i="7"/>
  <c r="T1002" i="7"/>
  <c r="S1002" i="7"/>
  <c r="R1002" i="7"/>
  <c r="Q1002" i="7"/>
  <c r="P1002" i="7"/>
  <c r="O1002" i="7"/>
  <c r="N1002" i="7"/>
  <c r="V1001" i="7"/>
  <c r="U1001" i="7"/>
  <c r="T1001" i="7"/>
  <c r="S1001" i="7"/>
  <c r="R1001" i="7"/>
  <c r="Q1001" i="7"/>
  <c r="P1001" i="7"/>
  <c r="O1001" i="7"/>
  <c r="N1001" i="7"/>
  <c r="V1000" i="7"/>
  <c r="U1000" i="7"/>
  <c r="T1000" i="7"/>
  <c r="S1000" i="7"/>
  <c r="R1000" i="7"/>
  <c r="Q1000" i="7"/>
  <c r="P1000" i="7"/>
  <c r="O1000" i="7"/>
  <c r="N1000" i="7"/>
  <c r="V999" i="7"/>
  <c r="U999" i="7"/>
  <c r="T999" i="7"/>
  <c r="S999" i="7"/>
  <c r="R999" i="7"/>
  <c r="Q999" i="7"/>
  <c r="P999" i="7"/>
  <c r="O999" i="7"/>
  <c r="N999" i="7"/>
  <c r="V998" i="7"/>
  <c r="U998" i="7"/>
  <c r="T998" i="7"/>
  <c r="S998" i="7"/>
  <c r="R998" i="7"/>
  <c r="Q998" i="7"/>
  <c r="P998" i="7"/>
  <c r="O998" i="7"/>
  <c r="N998" i="7"/>
  <c r="V997" i="7"/>
  <c r="U997" i="7"/>
  <c r="T997" i="7"/>
  <c r="S997" i="7"/>
  <c r="R997" i="7"/>
  <c r="Q997" i="7"/>
  <c r="P997" i="7"/>
  <c r="O997" i="7"/>
  <c r="N997" i="7"/>
  <c r="V996" i="7"/>
  <c r="U996" i="7"/>
  <c r="T996" i="7"/>
  <c r="S996" i="7"/>
  <c r="R996" i="7"/>
  <c r="Q996" i="7"/>
  <c r="P996" i="7"/>
  <c r="O996" i="7"/>
  <c r="N996" i="7"/>
  <c r="V995" i="7"/>
  <c r="U995" i="7"/>
  <c r="T995" i="7"/>
  <c r="S995" i="7"/>
  <c r="R995" i="7"/>
  <c r="Q995" i="7"/>
  <c r="P995" i="7"/>
  <c r="O995" i="7"/>
  <c r="N995" i="7"/>
  <c r="V994" i="7"/>
  <c r="U994" i="7"/>
  <c r="T994" i="7"/>
  <c r="S994" i="7"/>
  <c r="R994" i="7"/>
  <c r="Q994" i="7"/>
  <c r="P994" i="7"/>
  <c r="O994" i="7"/>
  <c r="N994" i="7"/>
  <c r="V993" i="7"/>
  <c r="U993" i="7"/>
  <c r="T993" i="7"/>
  <c r="S993" i="7"/>
  <c r="R993" i="7"/>
  <c r="Q993" i="7"/>
  <c r="P993" i="7"/>
  <c r="O993" i="7"/>
  <c r="N993" i="7"/>
  <c r="V992" i="7"/>
  <c r="U992" i="7"/>
  <c r="T992" i="7"/>
  <c r="S992" i="7"/>
  <c r="R992" i="7"/>
  <c r="Q992" i="7"/>
  <c r="P992" i="7"/>
  <c r="O992" i="7"/>
  <c r="N992" i="7"/>
  <c r="V991" i="7"/>
  <c r="U991" i="7"/>
  <c r="T991" i="7"/>
  <c r="S991" i="7"/>
  <c r="R991" i="7"/>
  <c r="Q991" i="7"/>
  <c r="P991" i="7"/>
  <c r="O991" i="7"/>
  <c r="N991" i="7"/>
  <c r="V990" i="7"/>
  <c r="U990" i="7"/>
  <c r="T990" i="7"/>
  <c r="S990" i="7"/>
  <c r="R990" i="7"/>
  <c r="Q990" i="7"/>
  <c r="P990" i="7"/>
  <c r="O990" i="7"/>
  <c r="N990" i="7"/>
  <c r="V989" i="7"/>
  <c r="U989" i="7"/>
  <c r="T989" i="7"/>
  <c r="S989" i="7"/>
  <c r="R989" i="7"/>
  <c r="Q989" i="7"/>
  <c r="P989" i="7"/>
  <c r="O989" i="7"/>
  <c r="N989" i="7"/>
  <c r="V988" i="7"/>
  <c r="U988" i="7"/>
  <c r="T988" i="7"/>
  <c r="S988" i="7"/>
  <c r="R988" i="7"/>
  <c r="Q988" i="7"/>
  <c r="P988" i="7"/>
  <c r="O988" i="7"/>
  <c r="N988" i="7"/>
  <c r="V987" i="7"/>
  <c r="U987" i="7"/>
  <c r="T987" i="7"/>
  <c r="S987" i="7"/>
  <c r="R987" i="7"/>
  <c r="Q987" i="7"/>
  <c r="P987" i="7"/>
  <c r="O987" i="7"/>
  <c r="N987" i="7"/>
  <c r="V986" i="7"/>
  <c r="U986" i="7"/>
  <c r="T986" i="7"/>
  <c r="S986" i="7"/>
  <c r="R986" i="7"/>
  <c r="Q986" i="7"/>
  <c r="P986" i="7"/>
  <c r="O986" i="7"/>
  <c r="N986" i="7"/>
  <c r="V985" i="7"/>
  <c r="U985" i="7"/>
  <c r="T985" i="7"/>
  <c r="S985" i="7"/>
  <c r="R985" i="7"/>
  <c r="Q985" i="7"/>
  <c r="P985" i="7"/>
  <c r="O985" i="7"/>
  <c r="N985" i="7"/>
  <c r="V984" i="7"/>
  <c r="U984" i="7"/>
  <c r="T984" i="7"/>
  <c r="S984" i="7"/>
  <c r="R984" i="7"/>
  <c r="Q984" i="7"/>
  <c r="P984" i="7"/>
  <c r="O984" i="7"/>
  <c r="N984" i="7"/>
  <c r="V983" i="7"/>
  <c r="U983" i="7"/>
  <c r="T983" i="7"/>
  <c r="S983" i="7"/>
  <c r="R983" i="7"/>
  <c r="Q983" i="7"/>
  <c r="P983" i="7"/>
  <c r="O983" i="7"/>
  <c r="N983" i="7"/>
  <c r="V982" i="7"/>
  <c r="U982" i="7"/>
  <c r="T982" i="7"/>
  <c r="S982" i="7"/>
  <c r="R982" i="7"/>
  <c r="Q982" i="7"/>
  <c r="P982" i="7"/>
  <c r="O982" i="7"/>
  <c r="N982" i="7"/>
  <c r="V981" i="7"/>
  <c r="U981" i="7"/>
  <c r="T981" i="7"/>
  <c r="S981" i="7"/>
  <c r="R981" i="7"/>
  <c r="Q981" i="7"/>
  <c r="P981" i="7"/>
  <c r="O981" i="7"/>
  <c r="N981" i="7"/>
  <c r="V980" i="7"/>
  <c r="U980" i="7"/>
  <c r="T980" i="7"/>
  <c r="S980" i="7"/>
  <c r="R980" i="7"/>
  <c r="Q980" i="7"/>
  <c r="P980" i="7"/>
  <c r="O980" i="7"/>
  <c r="N980" i="7"/>
  <c r="V979" i="7"/>
  <c r="U979" i="7"/>
  <c r="T979" i="7"/>
  <c r="S979" i="7"/>
  <c r="R979" i="7"/>
  <c r="Q979" i="7"/>
  <c r="P979" i="7"/>
  <c r="O979" i="7"/>
  <c r="N979" i="7"/>
  <c r="V978" i="7"/>
  <c r="U978" i="7"/>
  <c r="T978" i="7"/>
  <c r="S978" i="7"/>
  <c r="R978" i="7"/>
  <c r="Q978" i="7"/>
  <c r="P978" i="7"/>
  <c r="O978" i="7"/>
  <c r="N978" i="7"/>
  <c r="V977" i="7"/>
  <c r="U977" i="7"/>
  <c r="T977" i="7"/>
  <c r="S977" i="7"/>
  <c r="R977" i="7"/>
  <c r="Q977" i="7"/>
  <c r="P977" i="7"/>
  <c r="O977" i="7"/>
  <c r="N977" i="7"/>
  <c r="V976" i="7"/>
  <c r="U976" i="7"/>
  <c r="T976" i="7"/>
  <c r="S976" i="7"/>
  <c r="R976" i="7"/>
  <c r="Q976" i="7"/>
  <c r="P976" i="7"/>
  <c r="O976" i="7"/>
  <c r="N976" i="7"/>
  <c r="V975" i="7"/>
  <c r="U975" i="7"/>
  <c r="T975" i="7"/>
  <c r="S975" i="7"/>
  <c r="R975" i="7"/>
  <c r="Q975" i="7"/>
  <c r="P975" i="7"/>
  <c r="O975" i="7"/>
  <c r="N975" i="7"/>
  <c r="V974" i="7"/>
  <c r="U974" i="7"/>
  <c r="T974" i="7"/>
  <c r="S974" i="7"/>
  <c r="R974" i="7"/>
  <c r="Q974" i="7"/>
  <c r="P974" i="7"/>
  <c r="O974" i="7"/>
  <c r="N974" i="7"/>
  <c r="V973" i="7"/>
  <c r="U973" i="7"/>
  <c r="T973" i="7"/>
  <c r="S973" i="7"/>
  <c r="R973" i="7"/>
  <c r="Q973" i="7"/>
  <c r="P973" i="7"/>
  <c r="O973" i="7"/>
  <c r="N973" i="7"/>
  <c r="V972" i="7"/>
  <c r="U972" i="7"/>
  <c r="T972" i="7"/>
  <c r="S972" i="7"/>
  <c r="R972" i="7"/>
  <c r="Q972" i="7"/>
  <c r="P972" i="7"/>
  <c r="O972" i="7"/>
  <c r="N972" i="7"/>
  <c r="V971" i="7"/>
  <c r="U971" i="7"/>
  <c r="T971" i="7"/>
  <c r="S971" i="7"/>
  <c r="R971" i="7"/>
  <c r="Q971" i="7"/>
  <c r="P971" i="7"/>
  <c r="O971" i="7"/>
  <c r="N971" i="7"/>
  <c r="V970" i="7"/>
  <c r="U970" i="7"/>
  <c r="T970" i="7"/>
  <c r="S970" i="7"/>
  <c r="R970" i="7"/>
  <c r="Q970" i="7"/>
  <c r="P970" i="7"/>
  <c r="O970" i="7"/>
  <c r="N970" i="7"/>
  <c r="V969" i="7"/>
  <c r="U969" i="7"/>
  <c r="T969" i="7"/>
  <c r="S969" i="7"/>
  <c r="R969" i="7"/>
  <c r="Q969" i="7"/>
  <c r="P969" i="7"/>
  <c r="O969" i="7"/>
  <c r="N969" i="7"/>
  <c r="V968" i="7"/>
  <c r="U968" i="7"/>
  <c r="T968" i="7"/>
  <c r="S968" i="7"/>
  <c r="R968" i="7"/>
  <c r="Q968" i="7"/>
  <c r="P968" i="7"/>
  <c r="O968" i="7"/>
  <c r="N968" i="7"/>
  <c r="V967" i="7"/>
  <c r="U967" i="7"/>
  <c r="T967" i="7"/>
  <c r="S967" i="7"/>
  <c r="R967" i="7"/>
  <c r="Q967" i="7"/>
  <c r="P967" i="7"/>
  <c r="O967" i="7"/>
  <c r="N967" i="7"/>
  <c r="V966" i="7"/>
  <c r="U966" i="7"/>
  <c r="T966" i="7"/>
  <c r="S966" i="7"/>
  <c r="R966" i="7"/>
  <c r="Q966" i="7"/>
  <c r="P966" i="7"/>
  <c r="O966" i="7"/>
  <c r="N966" i="7"/>
  <c r="V965" i="7"/>
  <c r="U965" i="7"/>
  <c r="T965" i="7"/>
  <c r="S965" i="7"/>
  <c r="R965" i="7"/>
  <c r="Q965" i="7"/>
  <c r="P965" i="7"/>
  <c r="O965" i="7"/>
  <c r="N965" i="7"/>
  <c r="V964" i="7"/>
  <c r="U964" i="7"/>
  <c r="T964" i="7"/>
  <c r="S964" i="7"/>
  <c r="R964" i="7"/>
  <c r="Q964" i="7"/>
  <c r="P964" i="7"/>
  <c r="O964" i="7"/>
  <c r="N964" i="7"/>
  <c r="V963" i="7"/>
  <c r="U963" i="7"/>
  <c r="T963" i="7"/>
  <c r="S963" i="7"/>
  <c r="R963" i="7"/>
  <c r="Q963" i="7"/>
  <c r="P963" i="7"/>
  <c r="O963" i="7"/>
  <c r="N963" i="7"/>
  <c r="V962" i="7"/>
  <c r="U962" i="7"/>
  <c r="T962" i="7"/>
  <c r="S962" i="7"/>
  <c r="R962" i="7"/>
  <c r="Q962" i="7"/>
  <c r="P962" i="7"/>
  <c r="O962" i="7"/>
  <c r="N962" i="7"/>
  <c r="V961" i="7"/>
  <c r="U961" i="7"/>
  <c r="T961" i="7"/>
  <c r="S961" i="7"/>
  <c r="R961" i="7"/>
  <c r="Q961" i="7"/>
  <c r="P961" i="7"/>
  <c r="O961" i="7"/>
  <c r="N961" i="7"/>
  <c r="V960" i="7"/>
  <c r="U960" i="7"/>
  <c r="T960" i="7"/>
  <c r="S960" i="7"/>
  <c r="R960" i="7"/>
  <c r="Q960" i="7"/>
  <c r="P960" i="7"/>
  <c r="O960" i="7"/>
  <c r="N960" i="7"/>
  <c r="V959" i="7"/>
  <c r="U959" i="7"/>
  <c r="T959" i="7"/>
  <c r="S959" i="7"/>
  <c r="R959" i="7"/>
  <c r="Q959" i="7"/>
  <c r="P959" i="7"/>
  <c r="O959" i="7"/>
  <c r="N959" i="7"/>
  <c r="V958" i="7"/>
  <c r="U958" i="7"/>
  <c r="T958" i="7"/>
  <c r="S958" i="7"/>
  <c r="R958" i="7"/>
  <c r="Q958" i="7"/>
  <c r="P958" i="7"/>
  <c r="O958" i="7"/>
  <c r="N958" i="7"/>
  <c r="V957" i="7"/>
  <c r="U957" i="7"/>
  <c r="T957" i="7"/>
  <c r="S957" i="7"/>
  <c r="R957" i="7"/>
  <c r="Q957" i="7"/>
  <c r="P957" i="7"/>
  <c r="O957" i="7"/>
  <c r="N957" i="7"/>
  <c r="V956" i="7"/>
  <c r="U956" i="7"/>
  <c r="T956" i="7"/>
  <c r="S956" i="7"/>
  <c r="R956" i="7"/>
  <c r="Q956" i="7"/>
  <c r="P956" i="7"/>
  <c r="O956" i="7"/>
  <c r="N956" i="7"/>
  <c r="V955" i="7"/>
  <c r="U955" i="7"/>
  <c r="T955" i="7"/>
  <c r="S955" i="7"/>
  <c r="R955" i="7"/>
  <c r="Q955" i="7"/>
  <c r="P955" i="7"/>
  <c r="O955" i="7"/>
  <c r="N955" i="7"/>
  <c r="V954" i="7"/>
  <c r="U954" i="7"/>
  <c r="T954" i="7"/>
  <c r="S954" i="7"/>
  <c r="R954" i="7"/>
  <c r="Q954" i="7"/>
  <c r="P954" i="7"/>
  <c r="O954" i="7"/>
  <c r="N954" i="7"/>
  <c r="V953" i="7"/>
  <c r="U953" i="7"/>
  <c r="T953" i="7"/>
  <c r="S953" i="7"/>
  <c r="R953" i="7"/>
  <c r="Q953" i="7"/>
  <c r="P953" i="7"/>
  <c r="O953" i="7"/>
  <c r="N953" i="7"/>
  <c r="V952" i="7"/>
  <c r="U952" i="7"/>
  <c r="T952" i="7"/>
  <c r="S952" i="7"/>
  <c r="R952" i="7"/>
  <c r="Q952" i="7"/>
  <c r="P952" i="7"/>
  <c r="O952" i="7"/>
  <c r="N952" i="7"/>
  <c r="V951" i="7"/>
  <c r="U951" i="7"/>
  <c r="T951" i="7"/>
  <c r="S951" i="7"/>
  <c r="R951" i="7"/>
  <c r="Q951" i="7"/>
  <c r="P951" i="7"/>
  <c r="O951" i="7"/>
  <c r="N951" i="7"/>
  <c r="V950" i="7"/>
  <c r="U950" i="7"/>
  <c r="T950" i="7"/>
  <c r="S950" i="7"/>
  <c r="R950" i="7"/>
  <c r="Q950" i="7"/>
  <c r="P950" i="7"/>
  <c r="O950" i="7"/>
  <c r="N950" i="7"/>
  <c r="V949" i="7"/>
  <c r="U949" i="7"/>
  <c r="T949" i="7"/>
  <c r="S949" i="7"/>
  <c r="R949" i="7"/>
  <c r="Q949" i="7"/>
  <c r="P949" i="7"/>
  <c r="O949" i="7"/>
  <c r="N949" i="7"/>
  <c r="V948" i="7"/>
  <c r="U948" i="7"/>
  <c r="T948" i="7"/>
  <c r="S948" i="7"/>
  <c r="R948" i="7"/>
  <c r="Q948" i="7"/>
  <c r="P948" i="7"/>
  <c r="O948" i="7"/>
  <c r="N948" i="7"/>
  <c r="V947" i="7"/>
  <c r="U947" i="7"/>
  <c r="T947" i="7"/>
  <c r="S947" i="7"/>
  <c r="R947" i="7"/>
  <c r="Q947" i="7"/>
  <c r="P947" i="7"/>
  <c r="O947" i="7"/>
  <c r="N947" i="7"/>
  <c r="V946" i="7"/>
  <c r="U946" i="7"/>
  <c r="T946" i="7"/>
  <c r="S946" i="7"/>
  <c r="R946" i="7"/>
  <c r="Q946" i="7"/>
  <c r="P946" i="7"/>
  <c r="O946" i="7"/>
  <c r="N946" i="7"/>
  <c r="V945" i="7"/>
  <c r="U945" i="7"/>
  <c r="T945" i="7"/>
  <c r="S945" i="7"/>
  <c r="R945" i="7"/>
  <c r="Q945" i="7"/>
  <c r="P945" i="7"/>
  <c r="O945" i="7"/>
  <c r="N945" i="7"/>
  <c r="V944" i="7"/>
  <c r="U944" i="7"/>
  <c r="T944" i="7"/>
  <c r="S944" i="7"/>
  <c r="R944" i="7"/>
  <c r="Q944" i="7"/>
  <c r="P944" i="7"/>
  <c r="O944" i="7"/>
  <c r="N944" i="7"/>
  <c r="V943" i="7"/>
  <c r="U943" i="7"/>
  <c r="T943" i="7"/>
  <c r="S943" i="7"/>
  <c r="R943" i="7"/>
  <c r="Q943" i="7"/>
  <c r="P943" i="7"/>
  <c r="O943" i="7"/>
  <c r="N943" i="7"/>
  <c r="V942" i="7"/>
  <c r="U942" i="7"/>
  <c r="T942" i="7"/>
  <c r="S942" i="7"/>
  <c r="R942" i="7"/>
  <c r="Q942" i="7"/>
  <c r="P942" i="7"/>
  <c r="O942" i="7"/>
  <c r="N942" i="7"/>
  <c r="V941" i="7"/>
  <c r="U941" i="7"/>
  <c r="T941" i="7"/>
  <c r="S941" i="7"/>
  <c r="R941" i="7"/>
  <c r="Q941" i="7"/>
  <c r="P941" i="7"/>
  <c r="O941" i="7"/>
  <c r="N941" i="7"/>
  <c r="V940" i="7"/>
  <c r="U940" i="7"/>
  <c r="T940" i="7"/>
  <c r="S940" i="7"/>
  <c r="R940" i="7"/>
  <c r="Q940" i="7"/>
  <c r="P940" i="7"/>
  <c r="O940" i="7"/>
  <c r="N940" i="7"/>
  <c r="V939" i="7"/>
  <c r="U939" i="7"/>
  <c r="T939" i="7"/>
  <c r="S939" i="7"/>
  <c r="R939" i="7"/>
  <c r="Q939" i="7"/>
  <c r="P939" i="7"/>
  <c r="O939" i="7"/>
  <c r="N939" i="7"/>
  <c r="V938" i="7"/>
  <c r="U938" i="7"/>
  <c r="T938" i="7"/>
  <c r="S938" i="7"/>
  <c r="R938" i="7"/>
  <c r="Q938" i="7"/>
  <c r="P938" i="7"/>
  <c r="O938" i="7"/>
  <c r="N938" i="7"/>
  <c r="V937" i="7"/>
  <c r="U937" i="7"/>
  <c r="T937" i="7"/>
  <c r="S937" i="7"/>
  <c r="R937" i="7"/>
  <c r="Q937" i="7"/>
  <c r="P937" i="7"/>
  <c r="O937" i="7"/>
  <c r="N937" i="7"/>
  <c r="V936" i="7"/>
  <c r="U936" i="7"/>
  <c r="T936" i="7"/>
  <c r="S936" i="7"/>
  <c r="R936" i="7"/>
  <c r="Q936" i="7"/>
  <c r="P936" i="7"/>
  <c r="O936" i="7"/>
  <c r="N936" i="7"/>
  <c r="V935" i="7"/>
  <c r="U935" i="7"/>
  <c r="T935" i="7"/>
  <c r="S935" i="7"/>
  <c r="R935" i="7"/>
  <c r="Q935" i="7"/>
  <c r="P935" i="7"/>
  <c r="O935" i="7"/>
  <c r="N935" i="7"/>
  <c r="V934" i="7"/>
  <c r="U934" i="7"/>
  <c r="T934" i="7"/>
  <c r="S934" i="7"/>
  <c r="R934" i="7"/>
  <c r="Q934" i="7"/>
  <c r="P934" i="7"/>
  <c r="O934" i="7"/>
  <c r="N934" i="7"/>
  <c r="V933" i="7"/>
  <c r="U933" i="7"/>
  <c r="T933" i="7"/>
  <c r="S933" i="7"/>
  <c r="R933" i="7"/>
  <c r="Q933" i="7"/>
  <c r="P933" i="7"/>
  <c r="O933" i="7"/>
  <c r="N933" i="7"/>
  <c r="V932" i="7"/>
  <c r="U932" i="7"/>
  <c r="T932" i="7"/>
  <c r="S932" i="7"/>
  <c r="R932" i="7"/>
  <c r="Q932" i="7"/>
  <c r="P932" i="7"/>
  <c r="O932" i="7"/>
  <c r="N932" i="7"/>
  <c r="V931" i="7"/>
  <c r="U931" i="7"/>
  <c r="T931" i="7"/>
  <c r="S931" i="7"/>
  <c r="R931" i="7"/>
  <c r="Q931" i="7"/>
  <c r="P931" i="7"/>
  <c r="O931" i="7"/>
  <c r="N931" i="7"/>
  <c r="V930" i="7"/>
  <c r="U930" i="7"/>
  <c r="T930" i="7"/>
  <c r="S930" i="7"/>
  <c r="R930" i="7"/>
  <c r="Q930" i="7"/>
  <c r="P930" i="7"/>
  <c r="O930" i="7"/>
  <c r="N930" i="7"/>
  <c r="V929" i="7"/>
  <c r="U929" i="7"/>
  <c r="T929" i="7"/>
  <c r="S929" i="7"/>
  <c r="R929" i="7"/>
  <c r="Q929" i="7"/>
  <c r="P929" i="7"/>
  <c r="O929" i="7"/>
  <c r="N929" i="7"/>
  <c r="V928" i="7"/>
  <c r="U928" i="7"/>
  <c r="T928" i="7"/>
  <c r="S928" i="7"/>
  <c r="R928" i="7"/>
  <c r="Q928" i="7"/>
  <c r="P928" i="7"/>
  <c r="O928" i="7"/>
  <c r="N928" i="7"/>
  <c r="V927" i="7"/>
  <c r="U927" i="7"/>
  <c r="T927" i="7"/>
  <c r="S927" i="7"/>
  <c r="R927" i="7"/>
  <c r="Q927" i="7"/>
  <c r="P927" i="7"/>
  <c r="O927" i="7"/>
  <c r="N927" i="7"/>
  <c r="V926" i="7"/>
  <c r="U926" i="7"/>
  <c r="T926" i="7"/>
  <c r="S926" i="7"/>
  <c r="R926" i="7"/>
  <c r="Q926" i="7"/>
  <c r="P926" i="7"/>
  <c r="O926" i="7"/>
  <c r="N926" i="7"/>
  <c r="V925" i="7"/>
  <c r="U925" i="7"/>
  <c r="T925" i="7"/>
  <c r="S925" i="7"/>
  <c r="R925" i="7"/>
  <c r="Q925" i="7"/>
  <c r="P925" i="7"/>
  <c r="O925" i="7"/>
  <c r="N925" i="7"/>
  <c r="V924" i="7"/>
  <c r="U924" i="7"/>
  <c r="T924" i="7"/>
  <c r="S924" i="7"/>
  <c r="R924" i="7"/>
  <c r="Q924" i="7"/>
  <c r="P924" i="7"/>
  <c r="O924" i="7"/>
  <c r="N924" i="7"/>
  <c r="V923" i="7"/>
  <c r="U923" i="7"/>
  <c r="T923" i="7"/>
  <c r="S923" i="7"/>
  <c r="R923" i="7"/>
  <c r="Q923" i="7"/>
  <c r="P923" i="7"/>
  <c r="O923" i="7"/>
  <c r="N923" i="7"/>
  <c r="V922" i="7"/>
  <c r="U922" i="7"/>
  <c r="T922" i="7"/>
  <c r="S922" i="7"/>
  <c r="R922" i="7"/>
  <c r="Q922" i="7"/>
  <c r="P922" i="7"/>
  <c r="O922" i="7"/>
  <c r="N922" i="7"/>
  <c r="V921" i="7"/>
  <c r="U921" i="7"/>
  <c r="T921" i="7"/>
  <c r="S921" i="7"/>
  <c r="R921" i="7"/>
  <c r="Q921" i="7"/>
  <c r="P921" i="7"/>
  <c r="O921" i="7"/>
  <c r="N921" i="7"/>
  <c r="V920" i="7"/>
  <c r="U920" i="7"/>
  <c r="T920" i="7"/>
  <c r="S920" i="7"/>
  <c r="R920" i="7"/>
  <c r="Q920" i="7"/>
  <c r="P920" i="7"/>
  <c r="O920" i="7"/>
  <c r="N920" i="7"/>
  <c r="V919" i="7"/>
  <c r="U919" i="7"/>
  <c r="T919" i="7"/>
  <c r="S919" i="7"/>
  <c r="R919" i="7"/>
  <c r="Q919" i="7"/>
  <c r="P919" i="7"/>
  <c r="O919" i="7"/>
  <c r="N919" i="7"/>
  <c r="V918" i="7"/>
  <c r="U918" i="7"/>
  <c r="T918" i="7"/>
  <c r="S918" i="7"/>
  <c r="R918" i="7"/>
  <c r="Q918" i="7"/>
  <c r="P918" i="7"/>
  <c r="O918" i="7"/>
  <c r="N918" i="7"/>
  <c r="V917" i="7"/>
  <c r="U917" i="7"/>
  <c r="T917" i="7"/>
  <c r="S917" i="7"/>
  <c r="R917" i="7"/>
  <c r="Q917" i="7"/>
  <c r="P917" i="7"/>
  <c r="O917" i="7"/>
  <c r="N917" i="7"/>
  <c r="V916" i="7"/>
  <c r="U916" i="7"/>
  <c r="T916" i="7"/>
  <c r="S916" i="7"/>
  <c r="R916" i="7"/>
  <c r="Q916" i="7"/>
  <c r="P916" i="7"/>
  <c r="O916" i="7"/>
  <c r="N916" i="7"/>
  <c r="V915" i="7"/>
  <c r="U915" i="7"/>
  <c r="T915" i="7"/>
  <c r="S915" i="7"/>
  <c r="R915" i="7"/>
  <c r="Q915" i="7"/>
  <c r="P915" i="7"/>
  <c r="O915" i="7"/>
  <c r="N915" i="7"/>
  <c r="V914" i="7"/>
  <c r="U914" i="7"/>
  <c r="T914" i="7"/>
  <c r="S914" i="7"/>
  <c r="R914" i="7"/>
  <c r="Q914" i="7"/>
  <c r="P914" i="7"/>
  <c r="O914" i="7"/>
  <c r="N914" i="7"/>
  <c r="V913" i="7"/>
  <c r="U913" i="7"/>
  <c r="T913" i="7"/>
  <c r="S913" i="7"/>
  <c r="R913" i="7"/>
  <c r="Q913" i="7"/>
  <c r="P913" i="7"/>
  <c r="O913" i="7"/>
  <c r="N913" i="7"/>
  <c r="V912" i="7"/>
  <c r="U912" i="7"/>
  <c r="T912" i="7"/>
  <c r="S912" i="7"/>
  <c r="R912" i="7"/>
  <c r="Q912" i="7"/>
  <c r="P912" i="7"/>
  <c r="O912" i="7"/>
  <c r="N912" i="7"/>
  <c r="V911" i="7"/>
  <c r="U911" i="7"/>
  <c r="T911" i="7"/>
  <c r="S911" i="7"/>
  <c r="R911" i="7"/>
  <c r="Q911" i="7"/>
  <c r="P911" i="7"/>
  <c r="O911" i="7"/>
  <c r="N911" i="7"/>
  <c r="V910" i="7"/>
  <c r="U910" i="7"/>
  <c r="T910" i="7"/>
  <c r="S910" i="7"/>
  <c r="R910" i="7"/>
  <c r="Q910" i="7"/>
  <c r="P910" i="7"/>
  <c r="O910" i="7"/>
  <c r="N910" i="7"/>
  <c r="V909" i="7"/>
  <c r="U909" i="7"/>
  <c r="T909" i="7"/>
  <c r="S909" i="7"/>
  <c r="R909" i="7"/>
  <c r="Q909" i="7"/>
  <c r="P909" i="7"/>
  <c r="O909" i="7"/>
  <c r="N909" i="7"/>
  <c r="V908" i="7"/>
  <c r="U908" i="7"/>
  <c r="T908" i="7"/>
  <c r="S908" i="7"/>
  <c r="R908" i="7"/>
  <c r="Q908" i="7"/>
  <c r="P908" i="7"/>
  <c r="O908" i="7"/>
  <c r="N908" i="7"/>
  <c r="V907" i="7"/>
  <c r="U907" i="7"/>
  <c r="T907" i="7"/>
  <c r="S907" i="7"/>
  <c r="R907" i="7"/>
  <c r="Q907" i="7"/>
  <c r="P907" i="7"/>
  <c r="O907" i="7"/>
  <c r="N907" i="7"/>
  <c r="V906" i="7"/>
  <c r="U906" i="7"/>
  <c r="T906" i="7"/>
  <c r="S906" i="7"/>
  <c r="R906" i="7"/>
  <c r="Q906" i="7"/>
  <c r="P906" i="7"/>
  <c r="O906" i="7"/>
  <c r="N906" i="7"/>
  <c r="V905" i="7"/>
  <c r="U905" i="7"/>
  <c r="T905" i="7"/>
  <c r="S905" i="7"/>
  <c r="R905" i="7"/>
  <c r="Q905" i="7"/>
  <c r="P905" i="7"/>
  <c r="O905" i="7"/>
  <c r="N905" i="7"/>
  <c r="V904" i="7"/>
  <c r="U904" i="7"/>
  <c r="T904" i="7"/>
  <c r="S904" i="7"/>
  <c r="R904" i="7"/>
  <c r="Q904" i="7"/>
  <c r="P904" i="7"/>
  <c r="O904" i="7"/>
  <c r="N904" i="7"/>
  <c r="V903" i="7"/>
  <c r="U903" i="7"/>
  <c r="T903" i="7"/>
  <c r="S903" i="7"/>
  <c r="R903" i="7"/>
  <c r="Q903" i="7"/>
  <c r="P903" i="7"/>
  <c r="O903" i="7"/>
  <c r="N903" i="7"/>
  <c r="V902" i="7"/>
  <c r="U902" i="7"/>
  <c r="T902" i="7"/>
  <c r="S902" i="7"/>
  <c r="R902" i="7"/>
  <c r="Q902" i="7"/>
  <c r="P902" i="7"/>
  <c r="O902" i="7"/>
  <c r="N902" i="7"/>
  <c r="V901" i="7"/>
  <c r="U901" i="7"/>
  <c r="T901" i="7"/>
  <c r="S901" i="7"/>
  <c r="R901" i="7"/>
  <c r="Q901" i="7"/>
  <c r="P901" i="7"/>
  <c r="O901" i="7"/>
  <c r="N901" i="7"/>
  <c r="V900" i="7"/>
  <c r="U900" i="7"/>
  <c r="T900" i="7"/>
  <c r="S900" i="7"/>
  <c r="R900" i="7"/>
  <c r="Q900" i="7"/>
  <c r="P900" i="7"/>
  <c r="O900" i="7"/>
  <c r="N900" i="7"/>
  <c r="V899" i="7"/>
  <c r="U899" i="7"/>
  <c r="T899" i="7"/>
  <c r="S899" i="7"/>
  <c r="R899" i="7"/>
  <c r="Q899" i="7"/>
  <c r="P899" i="7"/>
  <c r="O899" i="7"/>
  <c r="N899" i="7"/>
  <c r="V898" i="7"/>
  <c r="U898" i="7"/>
  <c r="T898" i="7"/>
  <c r="S898" i="7"/>
  <c r="R898" i="7"/>
  <c r="Q898" i="7"/>
  <c r="P898" i="7"/>
  <c r="O898" i="7"/>
  <c r="N898" i="7"/>
  <c r="V897" i="7"/>
  <c r="U897" i="7"/>
  <c r="T897" i="7"/>
  <c r="S897" i="7"/>
  <c r="R897" i="7"/>
  <c r="Q897" i="7"/>
  <c r="P897" i="7"/>
  <c r="O897" i="7"/>
  <c r="N897" i="7"/>
  <c r="V896" i="7"/>
  <c r="U896" i="7"/>
  <c r="T896" i="7"/>
  <c r="S896" i="7"/>
  <c r="R896" i="7"/>
  <c r="Q896" i="7"/>
  <c r="P896" i="7"/>
  <c r="O896" i="7"/>
  <c r="N896" i="7"/>
  <c r="V895" i="7"/>
  <c r="U895" i="7"/>
  <c r="T895" i="7"/>
  <c r="S895" i="7"/>
  <c r="R895" i="7"/>
  <c r="Q895" i="7"/>
  <c r="P895" i="7"/>
  <c r="O895" i="7"/>
  <c r="N895" i="7"/>
  <c r="V894" i="7"/>
  <c r="U894" i="7"/>
  <c r="T894" i="7"/>
  <c r="S894" i="7"/>
  <c r="R894" i="7"/>
  <c r="Q894" i="7"/>
  <c r="P894" i="7"/>
  <c r="O894" i="7"/>
  <c r="N894" i="7"/>
  <c r="V893" i="7"/>
  <c r="U893" i="7"/>
  <c r="T893" i="7"/>
  <c r="S893" i="7"/>
  <c r="R893" i="7"/>
  <c r="Q893" i="7"/>
  <c r="P893" i="7"/>
  <c r="O893" i="7"/>
  <c r="N893" i="7"/>
  <c r="V892" i="7"/>
  <c r="U892" i="7"/>
  <c r="T892" i="7"/>
  <c r="S892" i="7"/>
  <c r="R892" i="7"/>
  <c r="Q892" i="7"/>
  <c r="P892" i="7"/>
  <c r="O892" i="7"/>
  <c r="N892" i="7"/>
  <c r="V891" i="7"/>
  <c r="U891" i="7"/>
  <c r="T891" i="7"/>
  <c r="S891" i="7"/>
  <c r="R891" i="7"/>
  <c r="Q891" i="7"/>
  <c r="P891" i="7"/>
  <c r="O891" i="7"/>
  <c r="N891" i="7"/>
  <c r="V890" i="7"/>
  <c r="U890" i="7"/>
  <c r="T890" i="7"/>
  <c r="S890" i="7"/>
  <c r="R890" i="7"/>
  <c r="Q890" i="7"/>
  <c r="P890" i="7"/>
  <c r="O890" i="7"/>
  <c r="N890" i="7"/>
  <c r="V889" i="7"/>
  <c r="U889" i="7"/>
  <c r="T889" i="7"/>
  <c r="S889" i="7"/>
  <c r="R889" i="7"/>
  <c r="Q889" i="7"/>
  <c r="P889" i="7"/>
  <c r="O889" i="7"/>
  <c r="N889" i="7"/>
  <c r="V888" i="7"/>
  <c r="U888" i="7"/>
  <c r="T888" i="7"/>
  <c r="S888" i="7"/>
  <c r="R888" i="7"/>
  <c r="Q888" i="7"/>
  <c r="P888" i="7"/>
  <c r="O888" i="7"/>
  <c r="N888" i="7"/>
  <c r="V887" i="7"/>
  <c r="U887" i="7"/>
  <c r="T887" i="7"/>
  <c r="S887" i="7"/>
  <c r="R887" i="7"/>
  <c r="Q887" i="7"/>
  <c r="P887" i="7"/>
  <c r="O887" i="7"/>
  <c r="N887" i="7"/>
  <c r="V886" i="7"/>
  <c r="U886" i="7"/>
  <c r="T886" i="7"/>
  <c r="S886" i="7"/>
  <c r="R886" i="7"/>
  <c r="Q886" i="7"/>
  <c r="P886" i="7"/>
  <c r="O886" i="7"/>
  <c r="N886" i="7"/>
  <c r="V885" i="7"/>
  <c r="U885" i="7"/>
  <c r="T885" i="7"/>
  <c r="S885" i="7"/>
  <c r="R885" i="7"/>
  <c r="Q885" i="7"/>
  <c r="P885" i="7"/>
  <c r="O885" i="7"/>
  <c r="N885" i="7"/>
  <c r="V884" i="7"/>
  <c r="U884" i="7"/>
  <c r="T884" i="7"/>
  <c r="S884" i="7"/>
  <c r="R884" i="7"/>
  <c r="Q884" i="7"/>
  <c r="P884" i="7"/>
  <c r="O884" i="7"/>
  <c r="N884" i="7"/>
  <c r="V883" i="7"/>
  <c r="U883" i="7"/>
  <c r="T883" i="7"/>
  <c r="S883" i="7"/>
  <c r="R883" i="7"/>
  <c r="Q883" i="7"/>
  <c r="P883" i="7"/>
  <c r="O883" i="7"/>
  <c r="N883" i="7"/>
  <c r="V882" i="7"/>
  <c r="U882" i="7"/>
  <c r="T882" i="7"/>
  <c r="S882" i="7"/>
  <c r="R882" i="7"/>
  <c r="Q882" i="7"/>
  <c r="P882" i="7"/>
  <c r="O882" i="7"/>
  <c r="N882" i="7"/>
  <c r="V881" i="7"/>
  <c r="U881" i="7"/>
  <c r="T881" i="7"/>
  <c r="S881" i="7"/>
  <c r="R881" i="7"/>
  <c r="Q881" i="7"/>
  <c r="P881" i="7"/>
  <c r="O881" i="7"/>
  <c r="N881" i="7"/>
  <c r="V880" i="7"/>
  <c r="U880" i="7"/>
  <c r="T880" i="7"/>
  <c r="S880" i="7"/>
  <c r="R880" i="7"/>
  <c r="Q880" i="7"/>
  <c r="P880" i="7"/>
  <c r="O880" i="7"/>
  <c r="N880" i="7"/>
  <c r="V879" i="7"/>
  <c r="U879" i="7"/>
  <c r="T879" i="7"/>
  <c r="S879" i="7"/>
  <c r="R879" i="7"/>
  <c r="Q879" i="7"/>
  <c r="P879" i="7"/>
  <c r="O879" i="7"/>
  <c r="N879" i="7"/>
  <c r="V878" i="7"/>
  <c r="U878" i="7"/>
  <c r="T878" i="7"/>
  <c r="S878" i="7"/>
  <c r="R878" i="7"/>
  <c r="Q878" i="7"/>
  <c r="P878" i="7"/>
  <c r="O878" i="7"/>
  <c r="N878" i="7"/>
  <c r="V877" i="7"/>
  <c r="U877" i="7"/>
  <c r="T877" i="7"/>
  <c r="S877" i="7"/>
  <c r="R877" i="7"/>
  <c r="Q877" i="7"/>
  <c r="P877" i="7"/>
  <c r="O877" i="7"/>
  <c r="N877" i="7"/>
  <c r="V876" i="7"/>
  <c r="U876" i="7"/>
  <c r="T876" i="7"/>
  <c r="S876" i="7"/>
  <c r="R876" i="7"/>
  <c r="Q876" i="7"/>
  <c r="P876" i="7"/>
  <c r="O876" i="7"/>
  <c r="N876" i="7"/>
  <c r="V875" i="7"/>
  <c r="U875" i="7"/>
  <c r="T875" i="7"/>
  <c r="S875" i="7"/>
  <c r="R875" i="7"/>
  <c r="Q875" i="7"/>
  <c r="P875" i="7"/>
  <c r="O875" i="7"/>
  <c r="N875" i="7"/>
  <c r="V874" i="7"/>
  <c r="U874" i="7"/>
  <c r="T874" i="7"/>
  <c r="S874" i="7"/>
  <c r="R874" i="7"/>
  <c r="Q874" i="7"/>
  <c r="P874" i="7"/>
  <c r="O874" i="7"/>
  <c r="N874" i="7"/>
  <c r="V873" i="7"/>
  <c r="U873" i="7"/>
  <c r="T873" i="7"/>
  <c r="S873" i="7"/>
  <c r="R873" i="7"/>
  <c r="Q873" i="7"/>
  <c r="P873" i="7"/>
  <c r="O873" i="7"/>
  <c r="N873" i="7"/>
  <c r="V872" i="7"/>
  <c r="U872" i="7"/>
  <c r="T872" i="7"/>
  <c r="S872" i="7"/>
  <c r="R872" i="7"/>
  <c r="Q872" i="7"/>
  <c r="P872" i="7"/>
  <c r="O872" i="7"/>
  <c r="N872" i="7"/>
  <c r="V871" i="7"/>
  <c r="U871" i="7"/>
  <c r="T871" i="7"/>
  <c r="S871" i="7"/>
  <c r="R871" i="7"/>
  <c r="Q871" i="7"/>
  <c r="P871" i="7"/>
  <c r="O871" i="7"/>
  <c r="N871" i="7"/>
  <c r="V870" i="7"/>
  <c r="U870" i="7"/>
  <c r="T870" i="7"/>
  <c r="S870" i="7"/>
  <c r="R870" i="7"/>
  <c r="Q870" i="7"/>
  <c r="P870" i="7"/>
  <c r="O870" i="7"/>
  <c r="N870" i="7"/>
  <c r="V869" i="7"/>
  <c r="U869" i="7"/>
  <c r="T869" i="7"/>
  <c r="S869" i="7"/>
  <c r="R869" i="7"/>
  <c r="Q869" i="7"/>
  <c r="P869" i="7"/>
  <c r="O869" i="7"/>
  <c r="N869" i="7"/>
  <c r="V868" i="7"/>
  <c r="U868" i="7"/>
  <c r="T868" i="7"/>
  <c r="S868" i="7"/>
  <c r="R868" i="7"/>
  <c r="Q868" i="7"/>
  <c r="P868" i="7"/>
  <c r="O868" i="7"/>
  <c r="N868" i="7"/>
  <c r="V867" i="7"/>
  <c r="U867" i="7"/>
  <c r="T867" i="7"/>
  <c r="S867" i="7"/>
  <c r="R867" i="7"/>
  <c r="Q867" i="7"/>
  <c r="P867" i="7"/>
  <c r="O867" i="7"/>
  <c r="N867" i="7"/>
  <c r="V866" i="7"/>
  <c r="U866" i="7"/>
  <c r="T866" i="7"/>
  <c r="S866" i="7"/>
  <c r="R866" i="7"/>
  <c r="Q866" i="7"/>
  <c r="P866" i="7"/>
  <c r="O866" i="7"/>
  <c r="N866" i="7"/>
  <c r="V865" i="7"/>
  <c r="U865" i="7"/>
  <c r="T865" i="7"/>
  <c r="S865" i="7"/>
  <c r="R865" i="7"/>
  <c r="Q865" i="7"/>
  <c r="P865" i="7"/>
  <c r="O865" i="7"/>
  <c r="N865" i="7"/>
  <c r="V864" i="7"/>
  <c r="U864" i="7"/>
  <c r="T864" i="7"/>
  <c r="S864" i="7"/>
  <c r="R864" i="7"/>
  <c r="Q864" i="7"/>
  <c r="P864" i="7"/>
  <c r="O864" i="7"/>
  <c r="N864" i="7"/>
  <c r="V863" i="7"/>
  <c r="U863" i="7"/>
  <c r="T863" i="7"/>
  <c r="S863" i="7"/>
  <c r="R863" i="7"/>
  <c r="Q863" i="7"/>
  <c r="P863" i="7"/>
  <c r="O863" i="7"/>
  <c r="N863" i="7"/>
  <c r="V862" i="7"/>
  <c r="U862" i="7"/>
  <c r="T862" i="7"/>
  <c r="S862" i="7"/>
  <c r="R862" i="7"/>
  <c r="Q862" i="7"/>
  <c r="P862" i="7"/>
  <c r="O862" i="7"/>
  <c r="N862" i="7"/>
  <c r="V861" i="7"/>
  <c r="U861" i="7"/>
  <c r="T861" i="7"/>
  <c r="S861" i="7"/>
  <c r="R861" i="7"/>
  <c r="Q861" i="7"/>
  <c r="P861" i="7"/>
  <c r="O861" i="7"/>
  <c r="N861" i="7"/>
  <c r="V860" i="7"/>
  <c r="U860" i="7"/>
  <c r="T860" i="7"/>
  <c r="S860" i="7"/>
  <c r="R860" i="7"/>
  <c r="Q860" i="7"/>
  <c r="P860" i="7"/>
  <c r="O860" i="7"/>
  <c r="N860" i="7"/>
  <c r="V859" i="7"/>
  <c r="U859" i="7"/>
  <c r="T859" i="7"/>
  <c r="S859" i="7"/>
  <c r="R859" i="7"/>
  <c r="Q859" i="7"/>
  <c r="P859" i="7"/>
  <c r="O859" i="7"/>
  <c r="N859" i="7"/>
  <c r="V858" i="7"/>
  <c r="U858" i="7"/>
  <c r="T858" i="7"/>
  <c r="S858" i="7"/>
  <c r="R858" i="7"/>
  <c r="Q858" i="7"/>
  <c r="P858" i="7"/>
  <c r="O858" i="7"/>
  <c r="N858" i="7"/>
  <c r="V857" i="7"/>
  <c r="U857" i="7"/>
  <c r="T857" i="7"/>
  <c r="S857" i="7"/>
  <c r="R857" i="7"/>
  <c r="Q857" i="7"/>
  <c r="P857" i="7"/>
  <c r="O857" i="7"/>
  <c r="N857" i="7"/>
  <c r="V856" i="7"/>
  <c r="U856" i="7"/>
  <c r="T856" i="7"/>
  <c r="S856" i="7"/>
  <c r="R856" i="7"/>
  <c r="Q856" i="7"/>
  <c r="P856" i="7"/>
  <c r="O856" i="7"/>
  <c r="N856" i="7"/>
  <c r="V855" i="7"/>
  <c r="U855" i="7"/>
  <c r="T855" i="7"/>
  <c r="S855" i="7"/>
  <c r="R855" i="7"/>
  <c r="Q855" i="7"/>
  <c r="P855" i="7"/>
  <c r="O855" i="7"/>
  <c r="N855" i="7"/>
  <c r="V854" i="7"/>
  <c r="U854" i="7"/>
  <c r="T854" i="7"/>
  <c r="S854" i="7"/>
  <c r="R854" i="7"/>
  <c r="Q854" i="7"/>
  <c r="P854" i="7"/>
  <c r="O854" i="7"/>
  <c r="N854" i="7"/>
  <c r="V853" i="7"/>
  <c r="U853" i="7"/>
  <c r="T853" i="7"/>
  <c r="S853" i="7"/>
  <c r="R853" i="7"/>
  <c r="Q853" i="7"/>
  <c r="P853" i="7"/>
  <c r="O853" i="7"/>
  <c r="N853" i="7"/>
  <c r="V852" i="7"/>
  <c r="U852" i="7"/>
  <c r="T852" i="7"/>
  <c r="S852" i="7"/>
  <c r="R852" i="7"/>
  <c r="Q852" i="7"/>
  <c r="P852" i="7"/>
  <c r="O852" i="7"/>
  <c r="N852" i="7"/>
  <c r="V851" i="7"/>
  <c r="U851" i="7"/>
  <c r="T851" i="7"/>
  <c r="S851" i="7"/>
  <c r="R851" i="7"/>
  <c r="Q851" i="7"/>
  <c r="P851" i="7"/>
  <c r="O851" i="7"/>
  <c r="N851" i="7"/>
  <c r="V850" i="7"/>
  <c r="U850" i="7"/>
  <c r="T850" i="7"/>
  <c r="S850" i="7"/>
  <c r="R850" i="7"/>
  <c r="Q850" i="7"/>
  <c r="P850" i="7"/>
  <c r="O850" i="7"/>
  <c r="N850" i="7"/>
  <c r="V849" i="7"/>
  <c r="U849" i="7"/>
  <c r="T849" i="7"/>
  <c r="S849" i="7"/>
  <c r="R849" i="7"/>
  <c r="Q849" i="7"/>
  <c r="P849" i="7"/>
  <c r="O849" i="7"/>
  <c r="N849" i="7"/>
  <c r="V848" i="7"/>
  <c r="U848" i="7"/>
  <c r="T848" i="7"/>
  <c r="S848" i="7"/>
  <c r="R848" i="7"/>
  <c r="Q848" i="7"/>
  <c r="P848" i="7"/>
  <c r="O848" i="7"/>
  <c r="N848" i="7"/>
  <c r="V847" i="7"/>
  <c r="U847" i="7"/>
  <c r="T847" i="7"/>
  <c r="S847" i="7"/>
  <c r="R847" i="7"/>
  <c r="Q847" i="7"/>
  <c r="P847" i="7"/>
  <c r="O847" i="7"/>
  <c r="N847" i="7"/>
  <c r="V846" i="7"/>
  <c r="U846" i="7"/>
  <c r="T846" i="7"/>
  <c r="S846" i="7"/>
  <c r="R846" i="7"/>
  <c r="Q846" i="7"/>
  <c r="P846" i="7"/>
  <c r="O846" i="7"/>
  <c r="N846" i="7"/>
  <c r="V845" i="7"/>
  <c r="U845" i="7"/>
  <c r="T845" i="7"/>
  <c r="S845" i="7"/>
  <c r="R845" i="7"/>
  <c r="Q845" i="7"/>
  <c r="P845" i="7"/>
  <c r="O845" i="7"/>
  <c r="N845" i="7"/>
  <c r="V844" i="7"/>
  <c r="U844" i="7"/>
  <c r="T844" i="7"/>
  <c r="S844" i="7"/>
  <c r="R844" i="7"/>
  <c r="Q844" i="7"/>
  <c r="P844" i="7"/>
  <c r="O844" i="7"/>
  <c r="N844" i="7"/>
  <c r="V843" i="7"/>
  <c r="U843" i="7"/>
  <c r="T843" i="7"/>
  <c r="S843" i="7"/>
  <c r="R843" i="7"/>
  <c r="Q843" i="7"/>
  <c r="P843" i="7"/>
  <c r="O843" i="7"/>
  <c r="N843" i="7"/>
  <c r="V842" i="7"/>
  <c r="U842" i="7"/>
  <c r="T842" i="7"/>
  <c r="S842" i="7"/>
  <c r="R842" i="7"/>
  <c r="Q842" i="7"/>
  <c r="P842" i="7"/>
  <c r="O842" i="7"/>
  <c r="N842" i="7"/>
  <c r="V841" i="7"/>
  <c r="U841" i="7"/>
  <c r="T841" i="7"/>
  <c r="S841" i="7"/>
  <c r="R841" i="7"/>
  <c r="Q841" i="7"/>
  <c r="P841" i="7"/>
  <c r="O841" i="7"/>
  <c r="N841" i="7"/>
  <c r="V840" i="7"/>
  <c r="U840" i="7"/>
  <c r="T840" i="7"/>
  <c r="S840" i="7"/>
  <c r="R840" i="7"/>
  <c r="Q840" i="7"/>
  <c r="P840" i="7"/>
  <c r="O840" i="7"/>
  <c r="N840" i="7"/>
  <c r="V839" i="7"/>
  <c r="U839" i="7"/>
  <c r="T839" i="7"/>
  <c r="S839" i="7"/>
  <c r="R839" i="7"/>
  <c r="Q839" i="7"/>
  <c r="P839" i="7"/>
  <c r="O839" i="7"/>
  <c r="N839" i="7"/>
  <c r="V838" i="7"/>
  <c r="U838" i="7"/>
  <c r="T838" i="7"/>
  <c r="S838" i="7"/>
  <c r="R838" i="7"/>
  <c r="Q838" i="7"/>
  <c r="P838" i="7"/>
  <c r="O838" i="7"/>
  <c r="N838" i="7"/>
  <c r="V837" i="7"/>
  <c r="U837" i="7"/>
  <c r="T837" i="7"/>
  <c r="S837" i="7"/>
  <c r="R837" i="7"/>
  <c r="Q837" i="7"/>
  <c r="P837" i="7"/>
  <c r="O837" i="7"/>
  <c r="N837" i="7"/>
  <c r="V836" i="7"/>
  <c r="U836" i="7"/>
  <c r="T836" i="7"/>
  <c r="S836" i="7"/>
  <c r="R836" i="7"/>
  <c r="Q836" i="7"/>
  <c r="P836" i="7"/>
  <c r="O836" i="7"/>
  <c r="N836" i="7"/>
  <c r="V835" i="7"/>
  <c r="U835" i="7"/>
  <c r="T835" i="7"/>
  <c r="S835" i="7"/>
  <c r="R835" i="7"/>
  <c r="Q835" i="7"/>
  <c r="P835" i="7"/>
  <c r="O835" i="7"/>
  <c r="N835" i="7"/>
  <c r="V834" i="7"/>
  <c r="U834" i="7"/>
  <c r="T834" i="7"/>
  <c r="S834" i="7"/>
  <c r="R834" i="7"/>
  <c r="Q834" i="7"/>
  <c r="P834" i="7"/>
  <c r="O834" i="7"/>
  <c r="N834" i="7"/>
  <c r="V833" i="7"/>
  <c r="U833" i="7"/>
  <c r="T833" i="7"/>
  <c r="S833" i="7"/>
  <c r="R833" i="7"/>
  <c r="Q833" i="7"/>
  <c r="P833" i="7"/>
  <c r="O833" i="7"/>
  <c r="N833" i="7"/>
  <c r="V832" i="7"/>
  <c r="U832" i="7"/>
  <c r="T832" i="7"/>
  <c r="S832" i="7"/>
  <c r="R832" i="7"/>
  <c r="Q832" i="7"/>
  <c r="P832" i="7"/>
  <c r="O832" i="7"/>
  <c r="N832" i="7"/>
  <c r="V831" i="7"/>
  <c r="U831" i="7"/>
  <c r="T831" i="7"/>
  <c r="S831" i="7"/>
  <c r="R831" i="7"/>
  <c r="Q831" i="7"/>
  <c r="P831" i="7"/>
  <c r="O831" i="7"/>
  <c r="N831" i="7"/>
  <c r="V830" i="7"/>
  <c r="U830" i="7"/>
  <c r="T830" i="7"/>
  <c r="S830" i="7"/>
  <c r="R830" i="7"/>
  <c r="Q830" i="7"/>
  <c r="P830" i="7"/>
  <c r="O830" i="7"/>
  <c r="N830" i="7"/>
  <c r="V829" i="7"/>
  <c r="U829" i="7"/>
  <c r="T829" i="7"/>
  <c r="S829" i="7"/>
  <c r="R829" i="7"/>
  <c r="Q829" i="7"/>
  <c r="P829" i="7"/>
  <c r="O829" i="7"/>
  <c r="N829" i="7"/>
  <c r="V828" i="7"/>
  <c r="U828" i="7"/>
  <c r="T828" i="7"/>
  <c r="S828" i="7"/>
  <c r="R828" i="7"/>
  <c r="Q828" i="7"/>
  <c r="P828" i="7"/>
  <c r="O828" i="7"/>
  <c r="N828" i="7"/>
  <c r="V827" i="7"/>
  <c r="U827" i="7"/>
  <c r="T827" i="7"/>
  <c r="S827" i="7"/>
  <c r="R827" i="7"/>
  <c r="Q827" i="7"/>
  <c r="P827" i="7"/>
  <c r="O827" i="7"/>
  <c r="N827" i="7"/>
  <c r="V826" i="7"/>
  <c r="U826" i="7"/>
  <c r="T826" i="7"/>
  <c r="S826" i="7"/>
  <c r="R826" i="7"/>
  <c r="Q826" i="7"/>
  <c r="P826" i="7"/>
  <c r="O826" i="7"/>
  <c r="N826" i="7"/>
  <c r="V825" i="7"/>
  <c r="U825" i="7"/>
  <c r="T825" i="7"/>
  <c r="S825" i="7"/>
  <c r="R825" i="7"/>
  <c r="Q825" i="7"/>
  <c r="P825" i="7"/>
  <c r="O825" i="7"/>
  <c r="N825" i="7"/>
  <c r="V824" i="7"/>
  <c r="U824" i="7"/>
  <c r="T824" i="7"/>
  <c r="S824" i="7"/>
  <c r="R824" i="7"/>
  <c r="Q824" i="7"/>
  <c r="P824" i="7"/>
  <c r="O824" i="7"/>
  <c r="N824" i="7"/>
  <c r="V823" i="7"/>
  <c r="U823" i="7"/>
  <c r="T823" i="7"/>
  <c r="S823" i="7"/>
  <c r="R823" i="7"/>
  <c r="Q823" i="7"/>
  <c r="P823" i="7"/>
  <c r="O823" i="7"/>
  <c r="N823" i="7"/>
  <c r="V822" i="7"/>
  <c r="U822" i="7"/>
  <c r="T822" i="7"/>
  <c r="S822" i="7"/>
  <c r="R822" i="7"/>
  <c r="Q822" i="7"/>
  <c r="P822" i="7"/>
  <c r="O822" i="7"/>
  <c r="N822" i="7"/>
  <c r="V821" i="7"/>
  <c r="U821" i="7"/>
  <c r="T821" i="7"/>
  <c r="S821" i="7"/>
  <c r="R821" i="7"/>
  <c r="Q821" i="7"/>
  <c r="P821" i="7"/>
  <c r="O821" i="7"/>
  <c r="N821" i="7"/>
  <c r="V820" i="7"/>
  <c r="U820" i="7"/>
  <c r="T820" i="7"/>
  <c r="S820" i="7"/>
  <c r="R820" i="7"/>
  <c r="Q820" i="7"/>
  <c r="P820" i="7"/>
  <c r="O820" i="7"/>
  <c r="N820" i="7"/>
  <c r="V819" i="7"/>
  <c r="U819" i="7"/>
  <c r="T819" i="7"/>
  <c r="S819" i="7"/>
  <c r="R819" i="7"/>
  <c r="Q819" i="7"/>
  <c r="P819" i="7"/>
  <c r="O819" i="7"/>
  <c r="N819" i="7"/>
  <c r="V818" i="7"/>
  <c r="U818" i="7"/>
  <c r="T818" i="7"/>
  <c r="S818" i="7"/>
  <c r="R818" i="7"/>
  <c r="Q818" i="7"/>
  <c r="P818" i="7"/>
  <c r="O818" i="7"/>
  <c r="N818" i="7"/>
  <c r="V817" i="7"/>
  <c r="U817" i="7"/>
  <c r="T817" i="7"/>
  <c r="S817" i="7"/>
  <c r="R817" i="7"/>
  <c r="Q817" i="7"/>
  <c r="P817" i="7"/>
  <c r="O817" i="7"/>
  <c r="N817" i="7"/>
  <c r="V816" i="7"/>
  <c r="U816" i="7"/>
  <c r="T816" i="7"/>
  <c r="S816" i="7"/>
  <c r="R816" i="7"/>
  <c r="Q816" i="7"/>
  <c r="P816" i="7"/>
  <c r="O816" i="7"/>
  <c r="N816" i="7"/>
  <c r="V815" i="7"/>
  <c r="U815" i="7"/>
  <c r="T815" i="7"/>
  <c r="S815" i="7"/>
  <c r="R815" i="7"/>
  <c r="Q815" i="7"/>
  <c r="P815" i="7"/>
  <c r="O815" i="7"/>
  <c r="N815" i="7"/>
  <c r="V814" i="7"/>
  <c r="U814" i="7"/>
  <c r="T814" i="7"/>
  <c r="S814" i="7"/>
  <c r="R814" i="7"/>
  <c r="Q814" i="7"/>
  <c r="P814" i="7"/>
  <c r="O814" i="7"/>
  <c r="N814" i="7"/>
  <c r="V813" i="7"/>
  <c r="U813" i="7"/>
  <c r="T813" i="7"/>
  <c r="S813" i="7"/>
  <c r="R813" i="7"/>
  <c r="Q813" i="7"/>
  <c r="P813" i="7"/>
  <c r="O813" i="7"/>
  <c r="N813" i="7"/>
  <c r="V812" i="7"/>
  <c r="U812" i="7"/>
  <c r="T812" i="7"/>
  <c r="S812" i="7"/>
  <c r="R812" i="7"/>
  <c r="Q812" i="7"/>
  <c r="P812" i="7"/>
  <c r="O812" i="7"/>
  <c r="N812" i="7"/>
  <c r="V811" i="7"/>
  <c r="U811" i="7"/>
  <c r="T811" i="7"/>
  <c r="S811" i="7"/>
  <c r="R811" i="7"/>
  <c r="Q811" i="7"/>
  <c r="P811" i="7"/>
  <c r="O811" i="7"/>
  <c r="N811" i="7"/>
  <c r="V810" i="7"/>
  <c r="U810" i="7"/>
  <c r="T810" i="7"/>
  <c r="S810" i="7"/>
  <c r="R810" i="7"/>
  <c r="Q810" i="7"/>
  <c r="P810" i="7"/>
  <c r="O810" i="7"/>
  <c r="N810" i="7"/>
  <c r="V809" i="7"/>
  <c r="U809" i="7"/>
  <c r="T809" i="7"/>
  <c r="S809" i="7"/>
  <c r="R809" i="7"/>
  <c r="Q809" i="7"/>
  <c r="P809" i="7"/>
  <c r="O809" i="7"/>
  <c r="N809" i="7"/>
  <c r="V808" i="7"/>
  <c r="U808" i="7"/>
  <c r="T808" i="7"/>
  <c r="S808" i="7"/>
  <c r="R808" i="7"/>
  <c r="Q808" i="7"/>
  <c r="P808" i="7"/>
  <c r="O808" i="7"/>
  <c r="N808" i="7"/>
  <c r="V807" i="7"/>
  <c r="U807" i="7"/>
  <c r="T807" i="7"/>
  <c r="S807" i="7"/>
  <c r="R807" i="7"/>
  <c r="Q807" i="7"/>
  <c r="P807" i="7"/>
  <c r="O807" i="7"/>
  <c r="N807" i="7"/>
  <c r="V806" i="7"/>
  <c r="U806" i="7"/>
  <c r="T806" i="7"/>
  <c r="S806" i="7"/>
  <c r="R806" i="7"/>
  <c r="Q806" i="7"/>
  <c r="P806" i="7"/>
  <c r="O806" i="7"/>
  <c r="N806" i="7"/>
  <c r="V805" i="7"/>
  <c r="U805" i="7"/>
  <c r="T805" i="7"/>
  <c r="S805" i="7"/>
  <c r="R805" i="7"/>
  <c r="Q805" i="7"/>
  <c r="P805" i="7"/>
  <c r="O805" i="7"/>
  <c r="N805" i="7"/>
  <c r="V804" i="7"/>
  <c r="U804" i="7"/>
  <c r="T804" i="7"/>
  <c r="S804" i="7"/>
  <c r="R804" i="7"/>
  <c r="Q804" i="7"/>
  <c r="P804" i="7"/>
  <c r="O804" i="7"/>
  <c r="N804" i="7"/>
  <c r="V803" i="7"/>
  <c r="U803" i="7"/>
  <c r="T803" i="7"/>
  <c r="S803" i="7"/>
  <c r="R803" i="7"/>
  <c r="Q803" i="7"/>
  <c r="P803" i="7"/>
  <c r="O803" i="7"/>
  <c r="N803" i="7"/>
  <c r="V802" i="7"/>
  <c r="U802" i="7"/>
  <c r="T802" i="7"/>
  <c r="S802" i="7"/>
  <c r="R802" i="7"/>
  <c r="Q802" i="7"/>
  <c r="P802" i="7"/>
  <c r="O802" i="7"/>
  <c r="N802" i="7"/>
  <c r="V801" i="7"/>
  <c r="U801" i="7"/>
  <c r="T801" i="7"/>
  <c r="S801" i="7"/>
  <c r="R801" i="7"/>
  <c r="Q801" i="7"/>
  <c r="P801" i="7"/>
  <c r="O801" i="7"/>
  <c r="N801" i="7"/>
  <c r="V800" i="7"/>
  <c r="U800" i="7"/>
  <c r="T800" i="7"/>
  <c r="S800" i="7"/>
  <c r="R800" i="7"/>
  <c r="Q800" i="7"/>
  <c r="P800" i="7"/>
  <c r="O800" i="7"/>
  <c r="N800" i="7"/>
  <c r="V799" i="7"/>
  <c r="U799" i="7"/>
  <c r="T799" i="7"/>
  <c r="S799" i="7"/>
  <c r="R799" i="7"/>
  <c r="Q799" i="7"/>
  <c r="P799" i="7"/>
  <c r="O799" i="7"/>
  <c r="N799" i="7"/>
  <c r="V798" i="7"/>
  <c r="U798" i="7"/>
  <c r="T798" i="7"/>
  <c r="S798" i="7"/>
  <c r="R798" i="7"/>
  <c r="Q798" i="7"/>
  <c r="P798" i="7"/>
  <c r="O798" i="7"/>
  <c r="N798" i="7"/>
  <c r="V797" i="7"/>
  <c r="U797" i="7"/>
  <c r="T797" i="7"/>
  <c r="S797" i="7"/>
  <c r="R797" i="7"/>
  <c r="Q797" i="7"/>
  <c r="P797" i="7"/>
  <c r="O797" i="7"/>
  <c r="N797" i="7"/>
  <c r="V796" i="7"/>
  <c r="U796" i="7"/>
  <c r="T796" i="7"/>
  <c r="S796" i="7"/>
  <c r="R796" i="7"/>
  <c r="Q796" i="7"/>
  <c r="P796" i="7"/>
  <c r="O796" i="7"/>
  <c r="N796" i="7"/>
  <c r="V795" i="7"/>
  <c r="U795" i="7"/>
  <c r="T795" i="7"/>
  <c r="S795" i="7"/>
  <c r="R795" i="7"/>
  <c r="Q795" i="7"/>
  <c r="P795" i="7"/>
  <c r="O795" i="7"/>
  <c r="N795" i="7"/>
  <c r="V794" i="7"/>
  <c r="U794" i="7"/>
  <c r="T794" i="7"/>
  <c r="S794" i="7"/>
  <c r="R794" i="7"/>
  <c r="Q794" i="7"/>
  <c r="P794" i="7"/>
  <c r="O794" i="7"/>
  <c r="N794" i="7"/>
  <c r="V793" i="7"/>
  <c r="U793" i="7"/>
  <c r="T793" i="7"/>
  <c r="S793" i="7"/>
  <c r="R793" i="7"/>
  <c r="Q793" i="7"/>
  <c r="P793" i="7"/>
  <c r="O793" i="7"/>
  <c r="N793" i="7"/>
  <c r="V792" i="7"/>
  <c r="U792" i="7"/>
  <c r="T792" i="7"/>
  <c r="S792" i="7"/>
  <c r="R792" i="7"/>
  <c r="Q792" i="7"/>
  <c r="P792" i="7"/>
  <c r="O792" i="7"/>
  <c r="N792" i="7"/>
  <c r="V791" i="7"/>
  <c r="U791" i="7"/>
  <c r="T791" i="7"/>
  <c r="S791" i="7"/>
  <c r="R791" i="7"/>
  <c r="Q791" i="7"/>
  <c r="P791" i="7"/>
  <c r="O791" i="7"/>
  <c r="N791" i="7"/>
  <c r="V790" i="7"/>
  <c r="U790" i="7"/>
  <c r="T790" i="7"/>
  <c r="S790" i="7"/>
  <c r="R790" i="7"/>
  <c r="Q790" i="7"/>
  <c r="P790" i="7"/>
  <c r="O790" i="7"/>
  <c r="N790" i="7"/>
  <c r="V789" i="7"/>
  <c r="U789" i="7"/>
  <c r="T789" i="7"/>
  <c r="S789" i="7"/>
  <c r="R789" i="7"/>
  <c r="Q789" i="7"/>
  <c r="P789" i="7"/>
  <c r="O789" i="7"/>
  <c r="N789" i="7"/>
  <c r="V788" i="7"/>
  <c r="U788" i="7"/>
  <c r="T788" i="7"/>
  <c r="S788" i="7"/>
  <c r="R788" i="7"/>
  <c r="Q788" i="7"/>
  <c r="P788" i="7"/>
  <c r="O788" i="7"/>
  <c r="N788" i="7"/>
  <c r="V787" i="7"/>
  <c r="U787" i="7"/>
  <c r="T787" i="7"/>
  <c r="S787" i="7"/>
  <c r="R787" i="7"/>
  <c r="Q787" i="7"/>
  <c r="P787" i="7"/>
  <c r="O787" i="7"/>
  <c r="N787" i="7"/>
  <c r="V786" i="7"/>
  <c r="U786" i="7"/>
  <c r="T786" i="7"/>
  <c r="S786" i="7"/>
  <c r="R786" i="7"/>
  <c r="Q786" i="7"/>
  <c r="P786" i="7"/>
  <c r="O786" i="7"/>
  <c r="N786" i="7"/>
  <c r="V785" i="7"/>
  <c r="U785" i="7"/>
  <c r="T785" i="7"/>
  <c r="S785" i="7"/>
  <c r="R785" i="7"/>
  <c r="Q785" i="7"/>
  <c r="P785" i="7"/>
  <c r="O785" i="7"/>
  <c r="N785" i="7"/>
  <c r="V784" i="7"/>
  <c r="U784" i="7"/>
  <c r="T784" i="7"/>
  <c r="S784" i="7"/>
  <c r="R784" i="7"/>
  <c r="Q784" i="7"/>
  <c r="P784" i="7"/>
  <c r="O784" i="7"/>
  <c r="N784" i="7"/>
  <c r="V783" i="7"/>
  <c r="U783" i="7"/>
  <c r="T783" i="7"/>
  <c r="S783" i="7"/>
  <c r="R783" i="7"/>
  <c r="Q783" i="7"/>
  <c r="P783" i="7"/>
  <c r="O783" i="7"/>
  <c r="N783" i="7"/>
  <c r="V782" i="7"/>
  <c r="U782" i="7"/>
  <c r="T782" i="7"/>
  <c r="S782" i="7"/>
  <c r="R782" i="7"/>
  <c r="Q782" i="7"/>
  <c r="P782" i="7"/>
  <c r="O782" i="7"/>
  <c r="N782" i="7"/>
  <c r="V781" i="7"/>
  <c r="U781" i="7"/>
  <c r="T781" i="7"/>
  <c r="S781" i="7"/>
  <c r="R781" i="7"/>
  <c r="Q781" i="7"/>
  <c r="P781" i="7"/>
  <c r="O781" i="7"/>
  <c r="N781" i="7"/>
  <c r="V780" i="7"/>
  <c r="U780" i="7"/>
  <c r="T780" i="7"/>
  <c r="S780" i="7"/>
  <c r="R780" i="7"/>
  <c r="Q780" i="7"/>
  <c r="P780" i="7"/>
  <c r="O780" i="7"/>
  <c r="N780" i="7"/>
  <c r="V779" i="7"/>
  <c r="U779" i="7"/>
  <c r="T779" i="7"/>
  <c r="S779" i="7"/>
  <c r="R779" i="7"/>
  <c r="Q779" i="7"/>
  <c r="P779" i="7"/>
  <c r="O779" i="7"/>
  <c r="N779" i="7"/>
  <c r="V778" i="7"/>
  <c r="U778" i="7"/>
  <c r="T778" i="7"/>
  <c r="S778" i="7"/>
  <c r="R778" i="7"/>
  <c r="Q778" i="7"/>
  <c r="P778" i="7"/>
  <c r="O778" i="7"/>
  <c r="N778" i="7"/>
  <c r="V777" i="7"/>
  <c r="U777" i="7"/>
  <c r="T777" i="7"/>
  <c r="S777" i="7"/>
  <c r="R777" i="7"/>
  <c r="Q777" i="7"/>
  <c r="P777" i="7"/>
  <c r="O777" i="7"/>
  <c r="N777" i="7"/>
  <c r="V776" i="7"/>
  <c r="U776" i="7"/>
  <c r="T776" i="7"/>
  <c r="S776" i="7"/>
  <c r="R776" i="7"/>
  <c r="Q776" i="7"/>
  <c r="P776" i="7"/>
  <c r="O776" i="7"/>
  <c r="N776" i="7"/>
  <c r="V775" i="7"/>
  <c r="U775" i="7"/>
  <c r="T775" i="7"/>
  <c r="S775" i="7"/>
  <c r="R775" i="7"/>
  <c r="Q775" i="7"/>
  <c r="P775" i="7"/>
  <c r="O775" i="7"/>
  <c r="N775" i="7"/>
  <c r="V774" i="7"/>
  <c r="U774" i="7"/>
  <c r="T774" i="7"/>
  <c r="S774" i="7"/>
  <c r="R774" i="7"/>
  <c r="Q774" i="7"/>
  <c r="P774" i="7"/>
  <c r="O774" i="7"/>
  <c r="N774" i="7"/>
  <c r="V773" i="7"/>
  <c r="U773" i="7"/>
  <c r="T773" i="7"/>
  <c r="S773" i="7"/>
  <c r="R773" i="7"/>
  <c r="Q773" i="7"/>
  <c r="P773" i="7"/>
  <c r="O773" i="7"/>
  <c r="N773" i="7"/>
  <c r="V772" i="7"/>
  <c r="U772" i="7"/>
  <c r="T772" i="7"/>
  <c r="S772" i="7"/>
  <c r="R772" i="7"/>
  <c r="Q772" i="7"/>
  <c r="P772" i="7"/>
  <c r="O772" i="7"/>
  <c r="N772" i="7"/>
  <c r="V771" i="7"/>
  <c r="U771" i="7"/>
  <c r="T771" i="7"/>
  <c r="S771" i="7"/>
  <c r="R771" i="7"/>
  <c r="Q771" i="7"/>
  <c r="P771" i="7"/>
  <c r="O771" i="7"/>
  <c r="N771" i="7"/>
  <c r="V770" i="7"/>
  <c r="U770" i="7"/>
  <c r="T770" i="7"/>
  <c r="S770" i="7"/>
  <c r="R770" i="7"/>
  <c r="Q770" i="7"/>
  <c r="P770" i="7"/>
  <c r="O770" i="7"/>
  <c r="N770" i="7"/>
  <c r="V769" i="7"/>
  <c r="U769" i="7"/>
  <c r="T769" i="7"/>
  <c r="S769" i="7"/>
  <c r="R769" i="7"/>
  <c r="Q769" i="7"/>
  <c r="P769" i="7"/>
  <c r="O769" i="7"/>
  <c r="N769" i="7"/>
  <c r="V768" i="7"/>
  <c r="U768" i="7"/>
  <c r="T768" i="7"/>
  <c r="S768" i="7"/>
  <c r="R768" i="7"/>
  <c r="Q768" i="7"/>
  <c r="P768" i="7"/>
  <c r="O768" i="7"/>
  <c r="N768" i="7"/>
  <c r="V767" i="7"/>
  <c r="U767" i="7"/>
  <c r="T767" i="7"/>
  <c r="S767" i="7"/>
  <c r="R767" i="7"/>
  <c r="Q767" i="7"/>
  <c r="P767" i="7"/>
  <c r="O767" i="7"/>
  <c r="N767" i="7"/>
  <c r="V766" i="7"/>
  <c r="U766" i="7"/>
  <c r="T766" i="7"/>
  <c r="S766" i="7"/>
  <c r="R766" i="7"/>
  <c r="Q766" i="7"/>
  <c r="P766" i="7"/>
  <c r="O766" i="7"/>
  <c r="N766" i="7"/>
  <c r="V765" i="7"/>
  <c r="U765" i="7"/>
  <c r="T765" i="7"/>
  <c r="S765" i="7"/>
  <c r="R765" i="7"/>
  <c r="Q765" i="7"/>
  <c r="P765" i="7"/>
  <c r="O765" i="7"/>
  <c r="N765" i="7"/>
  <c r="V764" i="7"/>
  <c r="U764" i="7"/>
  <c r="T764" i="7"/>
  <c r="S764" i="7"/>
  <c r="R764" i="7"/>
  <c r="Q764" i="7"/>
  <c r="P764" i="7"/>
  <c r="O764" i="7"/>
  <c r="N764" i="7"/>
  <c r="V763" i="7"/>
  <c r="U763" i="7"/>
  <c r="T763" i="7"/>
  <c r="S763" i="7"/>
  <c r="R763" i="7"/>
  <c r="Q763" i="7"/>
  <c r="P763" i="7"/>
  <c r="O763" i="7"/>
  <c r="N763" i="7"/>
  <c r="V762" i="7"/>
  <c r="U762" i="7"/>
  <c r="T762" i="7"/>
  <c r="S762" i="7"/>
  <c r="R762" i="7"/>
  <c r="Q762" i="7"/>
  <c r="P762" i="7"/>
  <c r="O762" i="7"/>
  <c r="N762" i="7"/>
  <c r="V761" i="7"/>
  <c r="U761" i="7"/>
  <c r="T761" i="7"/>
  <c r="S761" i="7"/>
  <c r="R761" i="7"/>
  <c r="Q761" i="7"/>
  <c r="P761" i="7"/>
  <c r="O761" i="7"/>
  <c r="N761" i="7"/>
  <c r="V760" i="7"/>
  <c r="U760" i="7"/>
  <c r="T760" i="7"/>
  <c r="S760" i="7"/>
  <c r="R760" i="7"/>
  <c r="Q760" i="7"/>
  <c r="P760" i="7"/>
  <c r="O760" i="7"/>
  <c r="N760" i="7"/>
  <c r="V759" i="7"/>
  <c r="U759" i="7"/>
  <c r="T759" i="7"/>
  <c r="S759" i="7"/>
  <c r="R759" i="7"/>
  <c r="Q759" i="7"/>
  <c r="P759" i="7"/>
  <c r="O759" i="7"/>
  <c r="N759" i="7"/>
  <c r="V758" i="7"/>
  <c r="U758" i="7"/>
  <c r="T758" i="7"/>
  <c r="S758" i="7"/>
  <c r="R758" i="7"/>
  <c r="Q758" i="7"/>
  <c r="P758" i="7"/>
  <c r="O758" i="7"/>
  <c r="N758" i="7"/>
  <c r="V757" i="7"/>
  <c r="U757" i="7"/>
  <c r="T757" i="7"/>
  <c r="S757" i="7"/>
  <c r="R757" i="7"/>
  <c r="Q757" i="7"/>
  <c r="P757" i="7"/>
  <c r="O757" i="7"/>
  <c r="N757" i="7"/>
  <c r="V756" i="7"/>
  <c r="U756" i="7"/>
  <c r="T756" i="7"/>
  <c r="S756" i="7"/>
  <c r="R756" i="7"/>
  <c r="Q756" i="7"/>
  <c r="P756" i="7"/>
  <c r="O756" i="7"/>
  <c r="N756" i="7"/>
  <c r="V755" i="7"/>
  <c r="U755" i="7"/>
  <c r="T755" i="7"/>
  <c r="S755" i="7"/>
  <c r="R755" i="7"/>
  <c r="Q755" i="7"/>
  <c r="P755" i="7"/>
  <c r="O755" i="7"/>
  <c r="N755" i="7"/>
  <c r="V754" i="7"/>
  <c r="U754" i="7"/>
  <c r="T754" i="7"/>
  <c r="S754" i="7"/>
  <c r="R754" i="7"/>
  <c r="Q754" i="7"/>
  <c r="P754" i="7"/>
  <c r="O754" i="7"/>
  <c r="N754" i="7"/>
  <c r="V753" i="7"/>
  <c r="U753" i="7"/>
  <c r="T753" i="7"/>
  <c r="S753" i="7"/>
  <c r="R753" i="7"/>
  <c r="Q753" i="7"/>
  <c r="P753" i="7"/>
  <c r="O753" i="7"/>
  <c r="N753" i="7"/>
  <c r="V752" i="7"/>
  <c r="U752" i="7"/>
  <c r="T752" i="7"/>
  <c r="S752" i="7"/>
  <c r="R752" i="7"/>
  <c r="Q752" i="7"/>
  <c r="P752" i="7"/>
  <c r="O752" i="7"/>
  <c r="N752" i="7"/>
  <c r="V751" i="7"/>
  <c r="U751" i="7"/>
  <c r="T751" i="7"/>
  <c r="S751" i="7"/>
  <c r="R751" i="7"/>
  <c r="Q751" i="7"/>
  <c r="P751" i="7"/>
  <c r="O751" i="7"/>
  <c r="N751" i="7"/>
  <c r="V750" i="7"/>
  <c r="U750" i="7"/>
  <c r="T750" i="7"/>
  <c r="S750" i="7"/>
  <c r="R750" i="7"/>
  <c r="Q750" i="7"/>
  <c r="P750" i="7"/>
  <c r="O750" i="7"/>
  <c r="N750" i="7"/>
  <c r="V749" i="7"/>
  <c r="U749" i="7"/>
  <c r="T749" i="7"/>
  <c r="S749" i="7"/>
  <c r="R749" i="7"/>
  <c r="Q749" i="7"/>
  <c r="P749" i="7"/>
  <c r="O749" i="7"/>
  <c r="N749" i="7"/>
  <c r="V748" i="7"/>
  <c r="U748" i="7"/>
  <c r="T748" i="7"/>
  <c r="S748" i="7"/>
  <c r="R748" i="7"/>
  <c r="Q748" i="7"/>
  <c r="P748" i="7"/>
  <c r="O748" i="7"/>
  <c r="N748" i="7"/>
  <c r="V747" i="7"/>
  <c r="U747" i="7"/>
  <c r="T747" i="7"/>
  <c r="S747" i="7"/>
  <c r="R747" i="7"/>
  <c r="Q747" i="7"/>
  <c r="P747" i="7"/>
  <c r="O747" i="7"/>
  <c r="N747" i="7"/>
  <c r="V746" i="7"/>
  <c r="U746" i="7"/>
  <c r="T746" i="7"/>
  <c r="S746" i="7"/>
  <c r="R746" i="7"/>
  <c r="Q746" i="7"/>
  <c r="P746" i="7"/>
  <c r="O746" i="7"/>
  <c r="N746" i="7"/>
  <c r="V745" i="7"/>
  <c r="U745" i="7"/>
  <c r="T745" i="7"/>
  <c r="S745" i="7"/>
  <c r="R745" i="7"/>
  <c r="Q745" i="7"/>
  <c r="P745" i="7"/>
  <c r="O745" i="7"/>
  <c r="N745" i="7"/>
  <c r="V744" i="7"/>
  <c r="U744" i="7"/>
  <c r="T744" i="7"/>
  <c r="S744" i="7"/>
  <c r="R744" i="7"/>
  <c r="Q744" i="7"/>
  <c r="P744" i="7"/>
  <c r="O744" i="7"/>
  <c r="N744" i="7"/>
  <c r="V743" i="7"/>
  <c r="U743" i="7"/>
  <c r="T743" i="7"/>
  <c r="S743" i="7"/>
  <c r="R743" i="7"/>
  <c r="Q743" i="7"/>
  <c r="P743" i="7"/>
  <c r="O743" i="7"/>
  <c r="N743" i="7"/>
  <c r="V742" i="7"/>
  <c r="U742" i="7"/>
  <c r="T742" i="7"/>
  <c r="S742" i="7"/>
  <c r="R742" i="7"/>
  <c r="Q742" i="7"/>
  <c r="P742" i="7"/>
  <c r="O742" i="7"/>
  <c r="N742" i="7"/>
  <c r="V741" i="7"/>
  <c r="U741" i="7"/>
  <c r="T741" i="7"/>
  <c r="S741" i="7"/>
  <c r="R741" i="7"/>
  <c r="Q741" i="7"/>
  <c r="P741" i="7"/>
  <c r="O741" i="7"/>
  <c r="N741" i="7"/>
  <c r="V740" i="7"/>
  <c r="U740" i="7"/>
  <c r="T740" i="7"/>
  <c r="S740" i="7"/>
  <c r="R740" i="7"/>
  <c r="Q740" i="7"/>
  <c r="P740" i="7"/>
  <c r="O740" i="7"/>
  <c r="N740" i="7"/>
  <c r="V739" i="7"/>
  <c r="U739" i="7"/>
  <c r="T739" i="7"/>
  <c r="S739" i="7"/>
  <c r="R739" i="7"/>
  <c r="Q739" i="7"/>
  <c r="P739" i="7"/>
  <c r="O739" i="7"/>
  <c r="N739" i="7"/>
  <c r="V738" i="7"/>
  <c r="U738" i="7"/>
  <c r="T738" i="7"/>
  <c r="S738" i="7"/>
  <c r="R738" i="7"/>
  <c r="Q738" i="7"/>
  <c r="P738" i="7"/>
  <c r="O738" i="7"/>
  <c r="N738" i="7"/>
  <c r="V737" i="7"/>
  <c r="U737" i="7"/>
  <c r="T737" i="7"/>
  <c r="S737" i="7"/>
  <c r="R737" i="7"/>
  <c r="Q737" i="7"/>
  <c r="P737" i="7"/>
  <c r="O737" i="7"/>
  <c r="N737" i="7"/>
  <c r="V736" i="7"/>
  <c r="U736" i="7"/>
  <c r="T736" i="7"/>
  <c r="S736" i="7"/>
  <c r="R736" i="7"/>
  <c r="Q736" i="7"/>
  <c r="P736" i="7"/>
  <c r="O736" i="7"/>
  <c r="N736" i="7"/>
  <c r="V735" i="7"/>
  <c r="U735" i="7"/>
  <c r="T735" i="7"/>
  <c r="S735" i="7"/>
  <c r="R735" i="7"/>
  <c r="Q735" i="7"/>
  <c r="P735" i="7"/>
  <c r="O735" i="7"/>
  <c r="N735" i="7"/>
  <c r="V734" i="7"/>
  <c r="U734" i="7"/>
  <c r="T734" i="7"/>
  <c r="S734" i="7"/>
  <c r="R734" i="7"/>
  <c r="Q734" i="7"/>
  <c r="P734" i="7"/>
  <c r="O734" i="7"/>
  <c r="N734" i="7"/>
  <c r="V733" i="7"/>
  <c r="U733" i="7"/>
  <c r="T733" i="7"/>
  <c r="S733" i="7"/>
  <c r="R733" i="7"/>
  <c r="Q733" i="7"/>
  <c r="P733" i="7"/>
  <c r="O733" i="7"/>
  <c r="N733" i="7"/>
  <c r="V732" i="7"/>
  <c r="U732" i="7"/>
  <c r="T732" i="7"/>
  <c r="S732" i="7"/>
  <c r="R732" i="7"/>
  <c r="Q732" i="7"/>
  <c r="P732" i="7"/>
  <c r="O732" i="7"/>
  <c r="N732" i="7"/>
  <c r="V731" i="7"/>
  <c r="U731" i="7"/>
  <c r="T731" i="7"/>
  <c r="S731" i="7"/>
  <c r="R731" i="7"/>
  <c r="Q731" i="7"/>
  <c r="P731" i="7"/>
  <c r="O731" i="7"/>
  <c r="N731" i="7"/>
  <c r="V730" i="7"/>
  <c r="U730" i="7"/>
  <c r="T730" i="7"/>
  <c r="S730" i="7"/>
  <c r="R730" i="7"/>
  <c r="Q730" i="7"/>
  <c r="P730" i="7"/>
  <c r="O730" i="7"/>
  <c r="N730" i="7"/>
  <c r="V729" i="7"/>
  <c r="U729" i="7"/>
  <c r="T729" i="7"/>
  <c r="S729" i="7"/>
  <c r="R729" i="7"/>
  <c r="Q729" i="7"/>
  <c r="P729" i="7"/>
  <c r="O729" i="7"/>
  <c r="N729" i="7"/>
  <c r="V728" i="7"/>
  <c r="U728" i="7"/>
  <c r="T728" i="7"/>
  <c r="S728" i="7"/>
  <c r="R728" i="7"/>
  <c r="Q728" i="7"/>
  <c r="P728" i="7"/>
  <c r="O728" i="7"/>
  <c r="N728" i="7"/>
  <c r="V727" i="7"/>
  <c r="U727" i="7"/>
  <c r="T727" i="7"/>
  <c r="S727" i="7"/>
  <c r="R727" i="7"/>
  <c r="Q727" i="7"/>
  <c r="P727" i="7"/>
  <c r="O727" i="7"/>
  <c r="N727" i="7"/>
  <c r="V726" i="7"/>
  <c r="U726" i="7"/>
  <c r="T726" i="7"/>
  <c r="S726" i="7"/>
  <c r="R726" i="7"/>
  <c r="Q726" i="7"/>
  <c r="P726" i="7"/>
  <c r="O726" i="7"/>
  <c r="N726" i="7"/>
  <c r="V725" i="7"/>
  <c r="U725" i="7"/>
  <c r="T725" i="7"/>
  <c r="S725" i="7"/>
  <c r="R725" i="7"/>
  <c r="Q725" i="7"/>
  <c r="P725" i="7"/>
  <c r="O725" i="7"/>
  <c r="N725" i="7"/>
  <c r="V724" i="7"/>
  <c r="U724" i="7"/>
  <c r="T724" i="7"/>
  <c r="S724" i="7"/>
  <c r="R724" i="7"/>
  <c r="Q724" i="7"/>
  <c r="P724" i="7"/>
  <c r="O724" i="7"/>
  <c r="N724" i="7"/>
  <c r="V723" i="7"/>
  <c r="U723" i="7"/>
  <c r="T723" i="7"/>
  <c r="S723" i="7"/>
  <c r="R723" i="7"/>
  <c r="Q723" i="7"/>
  <c r="P723" i="7"/>
  <c r="O723" i="7"/>
  <c r="N723" i="7"/>
  <c r="V722" i="7"/>
  <c r="U722" i="7"/>
  <c r="T722" i="7"/>
  <c r="S722" i="7"/>
  <c r="R722" i="7"/>
  <c r="Q722" i="7"/>
  <c r="P722" i="7"/>
  <c r="O722" i="7"/>
  <c r="N722" i="7"/>
  <c r="V721" i="7"/>
  <c r="U721" i="7"/>
  <c r="T721" i="7"/>
  <c r="S721" i="7"/>
  <c r="R721" i="7"/>
  <c r="Q721" i="7"/>
  <c r="P721" i="7"/>
  <c r="O721" i="7"/>
  <c r="N721" i="7"/>
  <c r="V720" i="7"/>
  <c r="U720" i="7"/>
  <c r="T720" i="7"/>
  <c r="S720" i="7"/>
  <c r="R720" i="7"/>
  <c r="Q720" i="7"/>
  <c r="P720" i="7"/>
  <c r="O720" i="7"/>
  <c r="N720" i="7"/>
  <c r="V719" i="7"/>
  <c r="U719" i="7"/>
  <c r="T719" i="7"/>
  <c r="S719" i="7"/>
  <c r="R719" i="7"/>
  <c r="Q719" i="7"/>
  <c r="P719" i="7"/>
  <c r="O719" i="7"/>
  <c r="N719" i="7"/>
  <c r="V718" i="7"/>
  <c r="U718" i="7"/>
  <c r="T718" i="7"/>
  <c r="S718" i="7"/>
  <c r="R718" i="7"/>
  <c r="Q718" i="7"/>
  <c r="P718" i="7"/>
  <c r="O718" i="7"/>
  <c r="N718" i="7"/>
  <c r="V717" i="7"/>
  <c r="U717" i="7"/>
  <c r="T717" i="7"/>
  <c r="S717" i="7"/>
  <c r="R717" i="7"/>
  <c r="Q717" i="7"/>
  <c r="P717" i="7"/>
  <c r="O717" i="7"/>
  <c r="N717" i="7"/>
  <c r="V716" i="7"/>
  <c r="U716" i="7"/>
  <c r="T716" i="7"/>
  <c r="S716" i="7"/>
  <c r="R716" i="7"/>
  <c r="Q716" i="7"/>
  <c r="P716" i="7"/>
  <c r="O716" i="7"/>
  <c r="N716" i="7"/>
  <c r="V715" i="7"/>
  <c r="U715" i="7"/>
  <c r="T715" i="7"/>
  <c r="S715" i="7"/>
  <c r="R715" i="7"/>
  <c r="Q715" i="7"/>
  <c r="P715" i="7"/>
  <c r="O715" i="7"/>
  <c r="N715" i="7"/>
  <c r="V714" i="7"/>
  <c r="U714" i="7"/>
  <c r="T714" i="7"/>
  <c r="S714" i="7"/>
  <c r="R714" i="7"/>
  <c r="Q714" i="7"/>
  <c r="P714" i="7"/>
  <c r="O714" i="7"/>
  <c r="N714" i="7"/>
  <c r="V713" i="7"/>
  <c r="U713" i="7"/>
  <c r="T713" i="7"/>
  <c r="S713" i="7"/>
  <c r="R713" i="7"/>
  <c r="Q713" i="7"/>
  <c r="P713" i="7"/>
  <c r="O713" i="7"/>
  <c r="N713" i="7"/>
  <c r="V712" i="7"/>
  <c r="U712" i="7"/>
  <c r="T712" i="7"/>
  <c r="S712" i="7"/>
  <c r="R712" i="7"/>
  <c r="Q712" i="7"/>
  <c r="P712" i="7"/>
  <c r="O712" i="7"/>
  <c r="N712" i="7"/>
  <c r="V711" i="7"/>
  <c r="U711" i="7"/>
  <c r="T711" i="7"/>
  <c r="S711" i="7"/>
  <c r="R711" i="7"/>
  <c r="Q711" i="7"/>
  <c r="P711" i="7"/>
  <c r="O711" i="7"/>
  <c r="N711" i="7"/>
  <c r="V710" i="7"/>
  <c r="U710" i="7"/>
  <c r="T710" i="7"/>
  <c r="S710" i="7"/>
  <c r="R710" i="7"/>
  <c r="Q710" i="7"/>
  <c r="P710" i="7"/>
  <c r="O710" i="7"/>
  <c r="N710" i="7"/>
  <c r="V709" i="7"/>
  <c r="U709" i="7"/>
  <c r="T709" i="7"/>
  <c r="S709" i="7"/>
  <c r="R709" i="7"/>
  <c r="Q709" i="7"/>
  <c r="P709" i="7"/>
  <c r="O709" i="7"/>
  <c r="N709" i="7"/>
  <c r="V708" i="7"/>
  <c r="U708" i="7"/>
  <c r="T708" i="7"/>
  <c r="S708" i="7"/>
  <c r="R708" i="7"/>
  <c r="Q708" i="7"/>
  <c r="P708" i="7"/>
  <c r="O708" i="7"/>
  <c r="N708" i="7"/>
  <c r="V707" i="7"/>
  <c r="U707" i="7"/>
  <c r="T707" i="7"/>
  <c r="S707" i="7"/>
  <c r="R707" i="7"/>
  <c r="Q707" i="7"/>
  <c r="P707" i="7"/>
  <c r="O707" i="7"/>
  <c r="N707" i="7"/>
  <c r="V706" i="7"/>
  <c r="U706" i="7"/>
  <c r="T706" i="7"/>
  <c r="S706" i="7"/>
  <c r="R706" i="7"/>
  <c r="Q706" i="7"/>
  <c r="P706" i="7"/>
  <c r="O706" i="7"/>
  <c r="N706" i="7"/>
  <c r="V705" i="7"/>
  <c r="U705" i="7"/>
  <c r="T705" i="7"/>
  <c r="S705" i="7"/>
  <c r="R705" i="7"/>
  <c r="Q705" i="7"/>
  <c r="P705" i="7"/>
  <c r="O705" i="7"/>
  <c r="N705" i="7"/>
  <c r="V704" i="7"/>
  <c r="U704" i="7"/>
  <c r="T704" i="7"/>
  <c r="S704" i="7"/>
  <c r="R704" i="7"/>
  <c r="Q704" i="7"/>
  <c r="P704" i="7"/>
  <c r="O704" i="7"/>
  <c r="N704" i="7"/>
  <c r="V703" i="7"/>
  <c r="U703" i="7"/>
  <c r="T703" i="7"/>
  <c r="S703" i="7"/>
  <c r="R703" i="7"/>
  <c r="Q703" i="7"/>
  <c r="P703" i="7"/>
  <c r="O703" i="7"/>
  <c r="N703" i="7"/>
  <c r="V702" i="7"/>
  <c r="U702" i="7"/>
  <c r="T702" i="7"/>
  <c r="S702" i="7"/>
  <c r="R702" i="7"/>
  <c r="Q702" i="7"/>
  <c r="P702" i="7"/>
  <c r="O702" i="7"/>
  <c r="N702" i="7"/>
  <c r="V701" i="7"/>
  <c r="U701" i="7"/>
  <c r="T701" i="7"/>
  <c r="S701" i="7"/>
  <c r="R701" i="7"/>
  <c r="Q701" i="7"/>
  <c r="P701" i="7"/>
  <c r="O701" i="7"/>
  <c r="N701" i="7"/>
  <c r="V700" i="7"/>
  <c r="U700" i="7"/>
  <c r="T700" i="7"/>
  <c r="S700" i="7"/>
  <c r="R700" i="7"/>
  <c r="Q700" i="7"/>
  <c r="P700" i="7"/>
  <c r="O700" i="7"/>
  <c r="N700" i="7"/>
  <c r="V699" i="7"/>
  <c r="U699" i="7"/>
  <c r="T699" i="7"/>
  <c r="S699" i="7"/>
  <c r="R699" i="7"/>
  <c r="Q699" i="7"/>
  <c r="P699" i="7"/>
  <c r="O699" i="7"/>
  <c r="N699" i="7"/>
  <c r="V698" i="7"/>
  <c r="U698" i="7"/>
  <c r="T698" i="7"/>
  <c r="S698" i="7"/>
  <c r="R698" i="7"/>
  <c r="Q698" i="7"/>
  <c r="P698" i="7"/>
  <c r="O698" i="7"/>
  <c r="N698" i="7"/>
  <c r="V697" i="7"/>
  <c r="U697" i="7"/>
  <c r="T697" i="7"/>
  <c r="S697" i="7"/>
  <c r="R697" i="7"/>
  <c r="Q697" i="7"/>
  <c r="P697" i="7"/>
  <c r="O697" i="7"/>
  <c r="N697" i="7"/>
  <c r="V696" i="7"/>
  <c r="U696" i="7"/>
  <c r="T696" i="7"/>
  <c r="S696" i="7"/>
  <c r="R696" i="7"/>
  <c r="Q696" i="7"/>
  <c r="P696" i="7"/>
  <c r="O696" i="7"/>
  <c r="N696" i="7"/>
  <c r="V695" i="7"/>
  <c r="U695" i="7"/>
  <c r="T695" i="7"/>
  <c r="S695" i="7"/>
  <c r="R695" i="7"/>
  <c r="Q695" i="7"/>
  <c r="P695" i="7"/>
  <c r="O695" i="7"/>
  <c r="N695" i="7"/>
  <c r="V694" i="7"/>
  <c r="U694" i="7"/>
  <c r="T694" i="7"/>
  <c r="S694" i="7"/>
  <c r="R694" i="7"/>
  <c r="Q694" i="7"/>
  <c r="P694" i="7"/>
  <c r="O694" i="7"/>
  <c r="N694" i="7"/>
  <c r="V693" i="7"/>
  <c r="U693" i="7"/>
  <c r="T693" i="7"/>
  <c r="S693" i="7"/>
  <c r="R693" i="7"/>
  <c r="Q693" i="7"/>
  <c r="P693" i="7"/>
  <c r="O693" i="7"/>
  <c r="N693" i="7"/>
  <c r="V692" i="7"/>
  <c r="U692" i="7"/>
  <c r="T692" i="7"/>
  <c r="S692" i="7"/>
  <c r="R692" i="7"/>
  <c r="Q692" i="7"/>
  <c r="P692" i="7"/>
  <c r="O692" i="7"/>
  <c r="N692" i="7"/>
  <c r="V691" i="7"/>
  <c r="U691" i="7"/>
  <c r="T691" i="7"/>
  <c r="S691" i="7"/>
  <c r="R691" i="7"/>
  <c r="Q691" i="7"/>
  <c r="P691" i="7"/>
  <c r="O691" i="7"/>
  <c r="N691" i="7"/>
  <c r="V690" i="7"/>
  <c r="U690" i="7"/>
  <c r="T690" i="7"/>
  <c r="S690" i="7"/>
  <c r="R690" i="7"/>
  <c r="Q690" i="7"/>
  <c r="P690" i="7"/>
  <c r="O690" i="7"/>
  <c r="N690" i="7"/>
  <c r="V689" i="7"/>
  <c r="U689" i="7"/>
  <c r="T689" i="7"/>
  <c r="S689" i="7"/>
  <c r="R689" i="7"/>
  <c r="Q689" i="7"/>
  <c r="P689" i="7"/>
  <c r="O689" i="7"/>
  <c r="N689" i="7"/>
  <c r="V688" i="7"/>
  <c r="U688" i="7"/>
  <c r="T688" i="7"/>
  <c r="S688" i="7"/>
  <c r="R688" i="7"/>
  <c r="Q688" i="7"/>
  <c r="P688" i="7"/>
  <c r="O688" i="7"/>
  <c r="N688" i="7"/>
  <c r="V687" i="7"/>
  <c r="U687" i="7"/>
  <c r="T687" i="7"/>
  <c r="S687" i="7"/>
  <c r="R687" i="7"/>
  <c r="Q687" i="7"/>
  <c r="P687" i="7"/>
  <c r="O687" i="7"/>
  <c r="N687" i="7"/>
  <c r="V686" i="7"/>
  <c r="U686" i="7"/>
  <c r="T686" i="7"/>
  <c r="S686" i="7"/>
  <c r="R686" i="7"/>
  <c r="Q686" i="7"/>
  <c r="P686" i="7"/>
  <c r="O686" i="7"/>
  <c r="N686" i="7"/>
  <c r="V685" i="7"/>
  <c r="U685" i="7"/>
  <c r="T685" i="7"/>
  <c r="S685" i="7"/>
  <c r="R685" i="7"/>
  <c r="Q685" i="7"/>
  <c r="P685" i="7"/>
  <c r="O685" i="7"/>
  <c r="N685" i="7"/>
  <c r="V684" i="7"/>
  <c r="U684" i="7"/>
  <c r="T684" i="7"/>
  <c r="S684" i="7"/>
  <c r="R684" i="7"/>
  <c r="Q684" i="7"/>
  <c r="P684" i="7"/>
  <c r="O684" i="7"/>
  <c r="N684" i="7"/>
  <c r="V683" i="7"/>
  <c r="U683" i="7"/>
  <c r="T683" i="7"/>
  <c r="S683" i="7"/>
  <c r="R683" i="7"/>
  <c r="Q683" i="7"/>
  <c r="P683" i="7"/>
  <c r="O683" i="7"/>
  <c r="N683" i="7"/>
  <c r="V682" i="7"/>
  <c r="U682" i="7"/>
  <c r="T682" i="7"/>
  <c r="S682" i="7"/>
  <c r="R682" i="7"/>
  <c r="Q682" i="7"/>
  <c r="P682" i="7"/>
  <c r="O682" i="7"/>
  <c r="N682" i="7"/>
  <c r="V681" i="7"/>
  <c r="U681" i="7"/>
  <c r="T681" i="7"/>
  <c r="S681" i="7"/>
  <c r="R681" i="7"/>
  <c r="Q681" i="7"/>
  <c r="P681" i="7"/>
  <c r="O681" i="7"/>
  <c r="N681" i="7"/>
  <c r="V680" i="7"/>
  <c r="U680" i="7"/>
  <c r="T680" i="7"/>
  <c r="S680" i="7"/>
  <c r="R680" i="7"/>
  <c r="Q680" i="7"/>
  <c r="P680" i="7"/>
  <c r="O680" i="7"/>
  <c r="N680" i="7"/>
  <c r="V679" i="7"/>
  <c r="U679" i="7"/>
  <c r="T679" i="7"/>
  <c r="S679" i="7"/>
  <c r="R679" i="7"/>
  <c r="Q679" i="7"/>
  <c r="P679" i="7"/>
  <c r="O679" i="7"/>
  <c r="N679" i="7"/>
  <c r="V678" i="7"/>
  <c r="U678" i="7"/>
  <c r="T678" i="7"/>
  <c r="S678" i="7"/>
  <c r="R678" i="7"/>
  <c r="Q678" i="7"/>
  <c r="P678" i="7"/>
  <c r="O678" i="7"/>
  <c r="N678" i="7"/>
  <c r="V677" i="7"/>
  <c r="U677" i="7"/>
  <c r="T677" i="7"/>
  <c r="S677" i="7"/>
  <c r="R677" i="7"/>
  <c r="Q677" i="7"/>
  <c r="P677" i="7"/>
  <c r="O677" i="7"/>
  <c r="N677" i="7"/>
  <c r="V676" i="7"/>
  <c r="U676" i="7"/>
  <c r="T676" i="7"/>
  <c r="S676" i="7"/>
  <c r="R676" i="7"/>
  <c r="Q676" i="7"/>
  <c r="P676" i="7"/>
  <c r="O676" i="7"/>
  <c r="N676" i="7"/>
  <c r="V675" i="7"/>
  <c r="U675" i="7"/>
  <c r="T675" i="7"/>
  <c r="S675" i="7"/>
  <c r="R675" i="7"/>
  <c r="Q675" i="7"/>
  <c r="P675" i="7"/>
  <c r="O675" i="7"/>
  <c r="N675" i="7"/>
  <c r="V674" i="7"/>
  <c r="U674" i="7"/>
  <c r="T674" i="7"/>
  <c r="S674" i="7"/>
  <c r="R674" i="7"/>
  <c r="Q674" i="7"/>
  <c r="P674" i="7"/>
  <c r="O674" i="7"/>
  <c r="N674" i="7"/>
  <c r="V673" i="7"/>
  <c r="U673" i="7"/>
  <c r="T673" i="7"/>
  <c r="S673" i="7"/>
  <c r="R673" i="7"/>
  <c r="Q673" i="7"/>
  <c r="P673" i="7"/>
  <c r="O673" i="7"/>
  <c r="N673" i="7"/>
  <c r="V672" i="7"/>
  <c r="U672" i="7"/>
  <c r="T672" i="7"/>
  <c r="S672" i="7"/>
  <c r="R672" i="7"/>
  <c r="Q672" i="7"/>
  <c r="P672" i="7"/>
  <c r="O672" i="7"/>
  <c r="N672" i="7"/>
  <c r="V671" i="7"/>
  <c r="U671" i="7"/>
  <c r="T671" i="7"/>
  <c r="S671" i="7"/>
  <c r="R671" i="7"/>
  <c r="Q671" i="7"/>
  <c r="P671" i="7"/>
  <c r="O671" i="7"/>
  <c r="N671" i="7"/>
  <c r="V670" i="7"/>
  <c r="U670" i="7"/>
  <c r="T670" i="7"/>
  <c r="S670" i="7"/>
  <c r="R670" i="7"/>
  <c r="Q670" i="7"/>
  <c r="P670" i="7"/>
  <c r="O670" i="7"/>
  <c r="N670" i="7"/>
  <c r="V669" i="7"/>
  <c r="U669" i="7"/>
  <c r="T669" i="7"/>
  <c r="S669" i="7"/>
  <c r="R669" i="7"/>
  <c r="Q669" i="7"/>
  <c r="P669" i="7"/>
  <c r="O669" i="7"/>
  <c r="N669" i="7"/>
  <c r="V668" i="7"/>
  <c r="U668" i="7"/>
  <c r="T668" i="7"/>
  <c r="S668" i="7"/>
  <c r="R668" i="7"/>
  <c r="Q668" i="7"/>
  <c r="P668" i="7"/>
  <c r="O668" i="7"/>
  <c r="N668" i="7"/>
  <c r="V667" i="7"/>
  <c r="U667" i="7"/>
  <c r="T667" i="7"/>
  <c r="S667" i="7"/>
  <c r="R667" i="7"/>
  <c r="Q667" i="7"/>
  <c r="P667" i="7"/>
  <c r="O667" i="7"/>
  <c r="N667" i="7"/>
  <c r="V666" i="7"/>
  <c r="U666" i="7"/>
  <c r="T666" i="7"/>
  <c r="S666" i="7"/>
  <c r="R666" i="7"/>
  <c r="Q666" i="7"/>
  <c r="P666" i="7"/>
  <c r="O666" i="7"/>
  <c r="N666" i="7"/>
  <c r="V665" i="7"/>
  <c r="U665" i="7"/>
  <c r="T665" i="7"/>
  <c r="S665" i="7"/>
  <c r="R665" i="7"/>
  <c r="Q665" i="7"/>
  <c r="P665" i="7"/>
  <c r="O665" i="7"/>
  <c r="N665" i="7"/>
  <c r="V664" i="7"/>
  <c r="U664" i="7"/>
  <c r="T664" i="7"/>
  <c r="S664" i="7"/>
  <c r="R664" i="7"/>
  <c r="Q664" i="7"/>
  <c r="P664" i="7"/>
  <c r="O664" i="7"/>
  <c r="N664" i="7"/>
  <c r="V663" i="7"/>
  <c r="U663" i="7"/>
  <c r="T663" i="7"/>
  <c r="S663" i="7"/>
  <c r="R663" i="7"/>
  <c r="Q663" i="7"/>
  <c r="P663" i="7"/>
  <c r="O663" i="7"/>
  <c r="N663" i="7"/>
  <c r="V662" i="7"/>
  <c r="U662" i="7"/>
  <c r="T662" i="7"/>
  <c r="S662" i="7"/>
  <c r="R662" i="7"/>
  <c r="Q662" i="7"/>
  <c r="P662" i="7"/>
  <c r="O662" i="7"/>
  <c r="N662" i="7"/>
  <c r="V661" i="7"/>
  <c r="U661" i="7"/>
  <c r="T661" i="7"/>
  <c r="S661" i="7"/>
  <c r="R661" i="7"/>
  <c r="Q661" i="7"/>
  <c r="P661" i="7"/>
  <c r="O661" i="7"/>
  <c r="N661" i="7"/>
  <c r="V660" i="7"/>
  <c r="U660" i="7"/>
  <c r="T660" i="7"/>
  <c r="S660" i="7"/>
  <c r="R660" i="7"/>
  <c r="Q660" i="7"/>
  <c r="P660" i="7"/>
  <c r="O660" i="7"/>
  <c r="N660" i="7"/>
  <c r="V659" i="7"/>
  <c r="U659" i="7"/>
  <c r="T659" i="7"/>
  <c r="S659" i="7"/>
  <c r="R659" i="7"/>
  <c r="Q659" i="7"/>
  <c r="P659" i="7"/>
  <c r="O659" i="7"/>
  <c r="N659" i="7"/>
  <c r="V658" i="7"/>
  <c r="U658" i="7"/>
  <c r="T658" i="7"/>
  <c r="S658" i="7"/>
  <c r="R658" i="7"/>
  <c r="Q658" i="7"/>
  <c r="P658" i="7"/>
  <c r="O658" i="7"/>
  <c r="N658" i="7"/>
  <c r="V657" i="7"/>
  <c r="U657" i="7"/>
  <c r="T657" i="7"/>
  <c r="S657" i="7"/>
  <c r="R657" i="7"/>
  <c r="Q657" i="7"/>
  <c r="P657" i="7"/>
  <c r="O657" i="7"/>
  <c r="N657" i="7"/>
  <c r="V656" i="7"/>
  <c r="U656" i="7"/>
  <c r="T656" i="7"/>
  <c r="S656" i="7"/>
  <c r="R656" i="7"/>
  <c r="Q656" i="7"/>
  <c r="P656" i="7"/>
  <c r="O656" i="7"/>
  <c r="N656" i="7"/>
  <c r="V655" i="7"/>
  <c r="U655" i="7"/>
  <c r="T655" i="7"/>
  <c r="S655" i="7"/>
  <c r="R655" i="7"/>
  <c r="Q655" i="7"/>
  <c r="P655" i="7"/>
  <c r="O655" i="7"/>
  <c r="N655" i="7"/>
  <c r="V654" i="7"/>
  <c r="U654" i="7"/>
  <c r="T654" i="7"/>
  <c r="S654" i="7"/>
  <c r="R654" i="7"/>
  <c r="Q654" i="7"/>
  <c r="P654" i="7"/>
  <c r="O654" i="7"/>
  <c r="N654" i="7"/>
  <c r="V653" i="7"/>
  <c r="U653" i="7"/>
  <c r="T653" i="7"/>
  <c r="S653" i="7"/>
  <c r="R653" i="7"/>
  <c r="Q653" i="7"/>
  <c r="P653" i="7"/>
  <c r="O653" i="7"/>
  <c r="N653" i="7"/>
  <c r="V652" i="7"/>
  <c r="U652" i="7"/>
  <c r="T652" i="7"/>
  <c r="S652" i="7"/>
  <c r="R652" i="7"/>
  <c r="Q652" i="7"/>
  <c r="P652" i="7"/>
  <c r="O652" i="7"/>
  <c r="N652" i="7"/>
  <c r="V651" i="7"/>
  <c r="U651" i="7"/>
  <c r="T651" i="7"/>
  <c r="S651" i="7"/>
  <c r="R651" i="7"/>
  <c r="Q651" i="7"/>
  <c r="P651" i="7"/>
  <c r="O651" i="7"/>
  <c r="N651" i="7"/>
  <c r="V650" i="7"/>
  <c r="U650" i="7"/>
  <c r="T650" i="7"/>
  <c r="S650" i="7"/>
  <c r="R650" i="7"/>
  <c r="Q650" i="7"/>
  <c r="P650" i="7"/>
  <c r="O650" i="7"/>
  <c r="N650" i="7"/>
  <c r="V649" i="7"/>
  <c r="U649" i="7"/>
  <c r="T649" i="7"/>
  <c r="S649" i="7"/>
  <c r="R649" i="7"/>
  <c r="Q649" i="7"/>
  <c r="P649" i="7"/>
  <c r="O649" i="7"/>
  <c r="N649" i="7"/>
  <c r="V648" i="7"/>
  <c r="U648" i="7"/>
  <c r="T648" i="7"/>
  <c r="S648" i="7"/>
  <c r="R648" i="7"/>
  <c r="Q648" i="7"/>
  <c r="P648" i="7"/>
  <c r="O648" i="7"/>
  <c r="N648" i="7"/>
  <c r="V647" i="7"/>
  <c r="U647" i="7"/>
  <c r="T647" i="7"/>
  <c r="S647" i="7"/>
  <c r="R647" i="7"/>
  <c r="Q647" i="7"/>
  <c r="P647" i="7"/>
  <c r="O647" i="7"/>
  <c r="N647" i="7"/>
  <c r="V646" i="7"/>
  <c r="U646" i="7"/>
  <c r="T646" i="7"/>
  <c r="S646" i="7"/>
  <c r="R646" i="7"/>
  <c r="Q646" i="7"/>
  <c r="P646" i="7"/>
  <c r="O646" i="7"/>
  <c r="N646" i="7"/>
  <c r="V645" i="7"/>
  <c r="U645" i="7"/>
  <c r="T645" i="7"/>
  <c r="S645" i="7"/>
  <c r="R645" i="7"/>
  <c r="Q645" i="7"/>
  <c r="P645" i="7"/>
  <c r="O645" i="7"/>
  <c r="N645" i="7"/>
  <c r="V644" i="7"/>
  <c r="U644" i="7"/>
  <c r="T644" i="7"/>
  <c r="S644" i="7"/>
  <c r="R644" i="7"/>
  <c r="Q644" i="7"/>
  <c r="P644" i="7"/>
  <c r="O644" i="7"/>
  <c r="N644" i="7"/>
  <c r="V643" i="7"/>
  <c r="U643" i="7"/>
  <c r="T643" i="7"/>
  <c r="S643" i="7"/>
  <c r="R643" i="7"/>
  <c r="Q643" i="7"/>
  <c r="P643" i="7"/>
  <c r="O643" i="7"/>
  <c r="N643" i="7"/>
  <c r="V642" i="7"/>
  <c r="U642" i="7"/>
  <c r="T642" i="7"/>
  <c r="S642" i="7"/>
  <c r="R642" i="7"/>
  <c r="Q642" i="7"/>
  <c r="P642" i="7"/>
  <c r="O642" i="7"/>
  <c r="N642" i="7"/>
  <c r="V641" i="7"/>
  <c r="U641" i="7"/>
  <c r="T641" i="7"/>
  <c r="S641" i="7"/>
  <c r="R641" i="7"/>
  <c r="Q641" i="7"/>
  <c r="P641" i="7"/>
  <c r="O641" i="7"/>
  <c r="N641" i="7"/>
  <c r="V640" i="7"/>
  <c r="U640" i="7"/>
  <c r="T640" i="7"/>
  <c r="S640" i="7"/>
  <c r="R640" i="7"/>
  <c r="Q640" i="7"/>
  <c r="P640" i="7"/>
  <c r="O640" i="7"/>
  <c r="N640" i="7"/>
  <c r="V639" i="7"/>
  <c r="U639" i="7"/>
  <c r="T639" i="7"/>
  <c r="S639" i="7"/>
  <c r="R639" i="7"/>
  <c r="Q639" i="7"/>
  <c r="P639" i="7"/>
  <c r="O639" i="7"/>
  <c r="N639" i="7"/>
  <c r="V638" i="7"/>
  <c r="U638" i="7"/>
  <c r="T638" i="7"/>
  <c r="S638" i="7"/>
  <c r="R638" i="7"/>
  <c r="Q638" i="7"/>
  <c r="P638" i="7"/>
  <c r="O638" i="7"/>
  <c r="N638" i="7"/>
  <c r="V637" i="7"/>
  <c r="U637" i="7"/>
  <c r="T637" i="7"/>
  <c r="S637" i="7"/>
  <c r="R637" i="7"/>
  <c r="Q637" i="7"/>
  <c r="P637" i="7"/>
  <c r="O637" i="7"/>
  <c r="N637" i="7"/>
  <c r="V636" i="7"/>
  <c r="U636" i="7"/>
  <c r="T636" i="7"/>
  <c r="S636" i="7"/>
  <c r="R636" i="7"/>
  <c r="Q636" i="7"/>
  <c r="P636" i="7"/>
  <c r="O636" i="7"/>
  <c r="N636" i="7"/>
  <c r="V635" i="7"/>
  <c r="U635" i="7"/>
  <c r="T635" i="7"/>
  <c r="S635" i="7"/>
  <c r="R635" i="7"/>
  <c r="Q635" i="7"/>
  <c r="P635" i="7"/>
  <c r="O635" i="7"/>
  <c r="N635" i="7"/>
  <c r="V634" i="7"/>
  <c r="U634" i="7"/>
  <c r="T634" i="7"/>
  <c r="S634" i="7"/>
  <c r="R634" i="7"/>
  <c r="Q634" i="7"/>
  <c r="P634" i="7"/>
  <c r="O634" i="7"/>
  <c r="N634" i="7"/>
  <c r="V633" i="7"/>
  <c r="U633" i="7"/>
  <c r="T633" i="7"/>
  <c r="S633" i="7"/>
  <c r="R633" i="7"/>
  <c r="Q633" i="7"/>
  <c r="P633" i="7"/>
  <c r="O633" i="7"/>
  <c r="N633" i="7"/>
  <c r="V632" i="7"/>
  <c r="U632" i="7"/>
  <c r="T632" i="7"/>
  <c r="S632" i="7"/>
  <c r="R632" i="7"/>
  <c r="Q632" i="7"/>
  <c r="P632" i="7"/>
  <c r="O632" i="7"/>
  <c r="N632" i="7"/>
  <c r="V631" i="7"/>
  <c r="U631" i="7"/>
  <c r="T631" i="7"/>
  <c r="S631" i="7"/>
  <c r="R631" i="7"/>
  <c r="Q631" i="7"/>
  <c r="P631" i="7"/>
  <c r="O631" i="7"/>
  <c r="N631" i="7"/>
  <c r="V630" i="7"/>
  <c r="U630" i="7"/>
  <c r="T630" i="7"/>
  <c r="S630" i="7"/>
  <c r="R630" i="7"/>
  <c r="Q630" i="7"/>
  <c r="P630" i="7"/>
  <c r="O630" i="7"/>
  <c r="N630" i="7"/>
  <c r="V629" i="7"/>
  <c r="U629" i="7"/>
  <c r="T629" i="7"/>
  <c r="S629" i="7"/>
  <c r="R629" i="7"/>
  <c r="Q629" i="7"/>
  <c r="P629" i="7"/>
  <c r="O629" i="7"/>
  <c r="N629" i="7"/>
  <c r="V628" i="7"/>
  <c r="U628" i="7"/>
  <c r="T628" i="7"/>
  <c r="S628" i="7"/>
  <c r="R628" i="7"/>
  <c r="Q628" i="7"/>
  <c r="P628" i="7"/>
  <c r="O628" i="7"/>
  <c r="N628" i="7"/>
  <c r="V627" i="7"/>
  <c r="U627" i="7"/>
  <c r="T627" i="7"/>
  <c r="S627" i="7"/>
  <c r="R627" i="7"/>
  <c r="Q627" i="7"/>
  <c r="P627" i="7"/>
  <c r="O627" i="7"/>
  <c r="N627" i="7"/>
  <c r="V626" i="7"/>
  <c r="U626" i="7"/>
  <c r="T626" i="7"/>
  <c r="S626" i="7"/>
  <c r="R626" i="7"/>
  <c r="Q626" i="7"/>
  <c r="P626" i="7"/>
  <c r="O626" i="7"/>
  <c r="N626" i="7"/>
  <c r="V625" i="7"/>
  <c r="U625" i="7"/>
  <c r="T625" i="7"/>
  <c r="S625" i="7"/>
  <c r="R625" i="7"/>
  <c r="Q625" i="7"/>
  <c r="P625" i="7"/>
  <c r="O625" i="7"/>
  <c r="N625" i="7"/>
  <c r="V624" i="7"/>
  <c r="U624" i="7"/>
  <c r="T624" i="7"/>
  <c r="S624" i="7"/>
  <c r="R624" i="7"/>
  <c r="Q624" i="7"/>
  <c r="P624" i="7"/>
  <c r="O624" i="7"/>
  <c r="N624" i="7"/>
  <c r="V623" i="7"/>
  <c r="U623" i="7"/>
  <c r="T623" i="7"/>
  <c r="S623" i="7"/>
  <c r="R623" i="7"/>
  <c r="Q623" i="7"/>
  <c r="P623" i="7"/>
  <c r="O623" i="7"/>
  <c r="N623" i="7"/>
  <c r="V622" i="7"/>
  <c r="U622" i="7"/>
  <c r="T622" i="7"/>
  <c r="S622" i="7"/>
  <c r="R622" i="7"/>
  <c r="Q622" i="7"/>
  <c r="P622" i="7"/>
  <c r="O622" i="7"/>
  <c r="N622" i="7"/>
  <c r="V621" i="7"/>
  <c r="U621" i="7"/>
  <c r="T621" i="7"/>
  <c r="S621" i="7"/>
  <c r="R621" i="7"/>
  <c r="Q621" i="7"/>
  <c r="P621" i="7"/>
  <c r="O621" i="7"/>
  <c r="N621" i="7"/>
  <c r="V620" i="7"/>
  <c r="U620" i="7"/>
  <c r="T620" i="7"/>
  <c r="S620" i="7"/>
  <c r="R620" i="7"/>
  <c r="Q620" i="7"/>
  <c r="P620" i="7"/>
  <c r="O620" i="7"/>
  <c r="N620" i="7"/>
  <c r="V619" i="7"/>
  <c r="U619" i="7"/>
  <c r="T619" i="7"/>
  <c r="S619" i="7"/>
  <c r="R619" i="7"/>
  <c r="Q619" i="7"/>
  <c r="P619" i="7"/>
  <c r="O619" i="7"/>
  <c r="N619" i="7"/>
  <c r="V618" i="7"/>
  <c r="U618" i="7"/>
  <c r="T618" i="7"/>
  <c r="S618" i="7"/>
  <c r="R618" i="7"/>
  <c r="Q618" i="7"/>
  <c r="P618" i="7"/>
  <c r="O618" i="7"/>
  <c r="N618" i="7"/>
  <c r="V617" i="7"/>
  <c r="U617" i="7"/>
  <c r="T617" i="7"/>
  <c r="S617" i="7"/>
  <c r="R617" i="7"/>
  <c r="Q617" i="7"/>
  <c r="P617" i="7"/>
  <c r="O617" i="7"/>
  <c r="N617" i="7"/>
  <c r="V616" i="7"/>
  <c r="U616" i="7"/>
  <c r="T616" i="7"/>
  <c r="S616" i="7"/>
  <c r="R616" i="7"/>
  <c r="Q616" i="7"/>
  <c r="P616" i="7"/>
  <c r="O616" i="7"/>
  <c r="N616" i="7"/>
  <c r="V615" i="7"/>
  <c r="U615" i="7"/>
  <c r="T615" i="7"/>
  <c r="S615" i="7"/>
  <c r="R615" i="7"/>
  <c r="Q615" i="7"/>
  <c r="P615" i="7"/>
  <c r="O615" i="7"/>
  <c r="N615" i="7"/>
  <c r="V614" i="7"/>
  <c r="U614" i="7"/>
  <c r="T614" i="7"/>
  <c r="S614" i="7"/>
  <c r="R614" i="7"/>
  <c r="Q614" i="7"/>
  <c r="P614" i="7"/>
  <c r="O614" i="7"/>
  <c r="N614" i="7"/>
  <c r="V613" i="7"/>
  <c r="U613" i="7"/>
  <c r="T613" i="7"/>
  <c r="S613" i="7"/>
  <c r="R613" i="7"/>
  <c r="Q613" i="7"/>
  <c r="P613" i="7"/>
  <c r="O613" i="7"/>
  <c r="N613" i="7"/>
  <c r="V612" i="7"/>
  <c r="U612" i="7"/>
  <c r="T612" i="7"/>
  <c r="S612" i="7"/>
  <c r="R612" i="7"/>
  <c r="Q612" i="7"/>
  <c r="P612" i="7"/>
  <c r="O612" i="7"/>
  <c r="N612" i="7"/>
  <c r="V611" i="7"/>
  <c r="U611" i="7"/>
  <c r="T611" i="7"/>
  <c r="S611" i="7"/>
  <c r="R611" i="7"/>
  <c r="Q611" i="7"/>
  <c r="P611" i="7"/>
  <c r="O611" i="7"/>
  <c r="N611" i="7"/>
  <c r="V610" i="7"/>
  <c r="U610" i="7"/>
  <c r="T610" i="7"/>
  <c r="S610" i="7"/>
  <c r="R610" i="7"/>
  <c r="Q610" i="7"/>
  <c r="P610" i="7"/>
  <c r="O610" i="7"/>
  <c r="N610" i="7"/>
  <c r="V609" i="7"/>
  <c r="U609" i="7"/>
  <c r="T609" i="7"/>
  <c r="S609" i="7"/>
  <c r="R609" i="7"/>
  <c r="Q609" i="7"/>
  <c r="P609" i="7"/>
  <c r="O609" i="7"/>
  <c r="N609" i="7"/>
  <c r="V608" i="7"/>
  <c r="U608" i="7"/>
  <c r="T608" i="7"/>
  <c r="S608" i="7"/>
  <c r="R608" i="7"/>
  <c r="Q608" i="7"/>
  <c r="P608" i="7"/>
  <c r="O608" i="7"/>
  <c r="N608" i="7"/>
  <c r="V607" i="7"/>
  <c r="U607" i="7"/>
  <c r="T607" i="7"/>
  <c r="S607" i="7"/>
  <c r="R607" i="7"/>
  <c r="Q607" i="7"/>
  <c r="P607" i="7"/>
  <c r="O607" i="7"/>
  <c r="N607" i="7"/>
  <c r="V606" i="7"/>
  <c r="U606" i="7"/>
  <c r="T606" i="7"/>
  <c r="S606" i="7"/>
  <c r="R606" i="7"/>
  <c r="Q606" i="7"/>
  <c r="P606" i="7"/>
  <c r="O606" i="7"/>
  <c r="N606" i="7"/>
  <c r="V605" i="7"/>
  <c r="U605" i="7"/>
  <c r="T605" i="7"/>
  <c r="S605" i="7"/>
  <c r="R605" i="7"/>
  <c r="Q605" i="7"/>
  <c r="P605" i="7"/>
  <c r="O605" i="7"/>
  <c r="N605" i="7"/>
  <c r="V604" i="7"/>
  <c r="U604" i="7"/>
  <c r="T604" i="7"/>
  <c r="S604" i="7"/>
  <c r="R604" i="7"/>
  <c r="Q604" i="7"/>
  <c r="P604" i="7"/>
  <c r="O604" i="7"/>
  <c r="N604" i="7"/>
  <c r="V603" i="7"/>
  <c r="U603" i="7"/>
  <c r="T603" i="7"/>
  <c r="S603" i="7"/>
  <c r="R603" i="7"/>
  <c r="Q603" i="7"/>
  <c r="P603" i="7"/>
  <c r="O603" i="7"/>
  <c r="N603" i="7"/>
  <c r="V602" i="7"/>
  <c r="U602" i="7"/>
  <c r="T602" i="7"/>
  <c r="S602" i="7"/>
  <c r="R602" i="7"/>
  <c r="Q602" i="7"/>
  <c r="P602" i="7"/>
  <c r="O602" i="7"/>
  <c r="N602" i="7"/>
  <c r="V601" i="7"/>
  <c r="U601" i="7"/>
  <c r="T601" i="7"/>
  <c r="S601" i="7"/>
  <c r="R601" i="7"/>
  <c r="Q601" i="7"/>
  <c r="P601" i="7"/>
  <c r="O601" i="7"/>
  <c r="N601" i="7"/>
  <c r="V600" i="7"/>
  <c r="U600" i="7"/>
  <c r="T600" i="7"/>
  <c r="S600" i="7"/>
  <c r="R600" i="7"/>
  <c r="Q600" i="7"/>
  <c r="P600" i="7"/>
  <c r="O600" i="7"/>
  <c r="N600" i="7"/>
  <c r="V599" i="7"/>
  <c r="U599" i="7"/>
  <c r="T599" i="7"/>
  <c r="S599" i="7"/>
  <c r="R599" i="7"/>
  <c r="Q599" i="7"/>
  <c r="P599" i="7"/>
  <c r="O599" i="7"/>
  <c r="N599" i="7"/>
  <c r="V598" i="7"/>
  <c r="U598" i="7"/>
  <c r="T598" i="7"/>
  <c r="S598" i="7"/>
  <c r="R598" i="7"/>
  <c r="Q598" i="7"/>
  <c r="P598" i="7"/>
  <c r="O598" i="7"/>
  <c r="N598" i="7"/>
  <c r="V597" i="7"/>
  <c r="U597" i="7"/>
  <c r="T597" i="7"/>
  <c r="S597" i="7"/>
  <c r="R597" i="7"/>
  <c r="Q597" i="7"/>
  <c r="P597" i="7"/>
  <c r="O597" i="7"/>
  <c r="N597" i="7"/>
  <c r="V596" i="7"/>
  <c r="U596" i="7"/>
  <c r="T596" i="7"/>
  <c r="S596" i="7"/>
  <c r="R596" i="7"/>
  <c r="Q596" i="7"/>
  <c r="P596" i="7"/>
  <c r="O596" i="7"/>
  <c r="N596" i="7"/>
  <c r="V595" i="7"/>
  <c r="U595" i="7"/>
  <c r="T595" i="7"/>
  <c r="S595" i="7"/>
  <c r="R595" i="7"/>
  <c r="Q595" i="7"/>
  <c r="P595" i="7"/>
  <c r="O595" i="7"/>
  <c r="N595" i="7"/>
  <c r="V594" i="7"/>
  <c r="U594" i="7"/>
  <c r="T594" i="7"/>
  <c r="S594" i="7"/>
  <c r="R594" i="7"/>
  <c r="Q594" i="7"/>
  <c r="P594" i="7"/>
  <c r="O594" i="7"/>
  <c r="N594" i="7"/>
  <c r="V593" i="7"/>
  <c r="U593" i="7"/>
  <c r="T593" i="7"/>
  <c r="S593" i="7"/>
  <c r="R593" i="7"/>
  <c r="Q593" i="7"/>
  <c r="P593" i="7"/>
  <c r="O593" i="7"/>
  <c r="N593" i="7"/>
  <c r="V592" i="7"/>
  <c r="U592" i="7"/>
  <c r="T592" i="7"/>
  <c r="S592" i="7"/>
  <c r="R592" i="7"/>
  <c r="Q592" i="7"/>
  <c r="P592" i="7"/>
  <c r="O592" i="7"/>
  <c r="N592" i="7"/>
  <c r="V591" i="7"/>
  <c r="U591" i="7"/>
  <c r="T591" i="7"/>
  <c r="S591" i="7"/>
  <c r="R591" i="7"/>
  <c r="Q591" i="7"/>
  <c r="P591" i="7"/>
  <c r="O591" i="7"/>
  <c r="N591" i="7"/>
  <c r="V590" i="7"/>
  <c r="U590" i="7"/>
  <c r="T590" i="7"/>
  <c r="S590" i="7"/>
  <c r="R590" i="7"/>
  <c r="Q590" i="7"/>
  <c r="P590" i="7"/>
  <c r="O590" i="7"/>
  <c r="N590" i="7"/>
  <c r="V589" i="7"/>
  <c r="U589" i="7"/>
  <c r="T589" i="7"/>
  <c r="S589" i="7"/>
  <c r="R589" i="7"/>
  <c r="Q589" i="7"/>
  <c r="P589" i="7"/>
  <c r="O589" i="7"/>
  <c r="N589" i="7"/>
  <c r="V588" i="7"/>
  <c r="U588" i="7"/>
  <c r="T588" i="7"/>
  <c r="S588" i="7"/>
  <c r="R588" i="7"/>
  <c r="Q588" i="7"/>
  <c r="P588" i="7"/>
  <c r="O588" i="7"/>
  <c r="N588" i="7"/>
  <c r="V587" i="7"/>
  <c r="U587" i="7"/>
  <c r="T587" i="7"/>
  <c r="S587" i="7"/>
  <c r="R587" i="7"/>
  <c r="Q587" i="7"/>
  <c r="P587" i="7"/>
  <c r="O587" i="7"/>
  <c r="N587" i="7"/>
  <c r="V586" i="7"/>
  <c r="U586" i="7"/>
  <c r="T586" i="7"/>
  <c r="S586" i="7"/>
  <c r="R586" i="7"/>
  <c r="Q586" i="7"/>
  <c r="P586" i="7"/>
  <c r="O586" i="7"/>
  <c r="N586" i="7"/>
  <c r="V585" i="7"/>
  <c r="U585" i="7"/>
  <c r="T585" i="7"/>
  <c r="S585" i="7"/>
  <c r="R585" i="7"/>
  <c r="Q585" i="7"/>
  <c r="P585" i="7"/>
  <c r="O585" i="7"/>
  <c r="N585" i="7"/>
  <c r="V584" i="7"/>
  <c r="U584" i="7"/>
  <c r="T584" i="7"/>
  <c r="S584" i="7"/>
  <c r="R584" i="7"/>
  <c r="Q584" i="7"/>
  <c r="P584" i="7"/>
  <c r="O584" i="7"/>
  <c r="N584" i="7"/>
  <c r="V583" i="7"/>
  <c r="U583" i="7"/>
  <c r="T583" i="7"/>
  <c r="S583" i="7"/>
  <c r="R583" i="7"/>
  <c r="Q583" i="7"/>
  <c r="P583" i="7"/>
  <c r="O583" i="7"/>
  <c r="N583" i="7"/>
  <c r="V582" i="7"/>
  <c r="U582" i="7"/>
  <c r="T582" i="7"/>
  <c r="S582" i="7"/>
  <c r="R582" i="7"/>
  <c r="Q582" i="7"/>
  <c r="P582" i="7"/>
  <c r="O582" i="7"/>
  <c r="N582" i="7"/>
  <c r="V581" i="7"/>
  <c r="U581" i="7"/>
  <c r="T581" i="7"/>
  <c r="S581" i="7"/>
  <c r="R581" i="7"/>
  <c r="Q581" i="7"/>
  <c r="P581" i="7"/>
  <c r="O581" i="7"/>
  <c r="N581" i="7"/>
  <c r="V580" i="7"/>
  <c r="U580" i="7"/>
  <c r="T580" i="7"/>
  <c r="S580" i="7"/>
  <c r="R580" i="7"/>
  <c r="Q580" i="7"/>
  <c r="P580" i="7"/>
  <c r="O580" i="7"/>
  <c r="N580" i="7"/>
  <c r="V579" i="7"/>
  <c r="U579" i="7"/>
  <c r="T579" i="7"/>
  <c r="S579" i="7"/>
  <c r="R579" i="7"/>
  <c r="Q579" i="7"/>
  <c r="P579" i="7"/>
  <c r="O579" i="7"/>
  <c r="N579" i="7"/>
  <c r="V578" i="7"/>
  <c r="U578" i="7"/>
  <c r="T578" i="7"/>
  <c r="S578" i="7"/>
  <c r="R578" i="7"/>
  <c r="Q578" i="7"/>
  <c r="P578" i="7"/>
  <c r="O578" i="7"/>
  <c r="N578" i="7"/>
  <c r="V577" i="7"/>
  <c r="U577" i="7"/>
  <c r="T577" i="7"/>
  <c r="S577" i="7"/>
  <c r="R577" i="7"/>
  <c r="Q577" i="7"/>
  <c r="P577" i="7"/>
  <c r="O577" i="7"/>
  <c r="N577" i="7"/>
  <c r="V576" i="7"/>
  <c r="U576" i="7"/>
  <c r="T576" i="7"/>
  <c r="S576" i="7"/>
  <c r="R576" i="7"/>
  <c r="Q576" i="7"/>
  <c r="P576" i="7"/>
  <c r="O576" i="7"/>
  <c r="N576" i="7"/>
  <c r="V575" i="7"/>
  <c r="U575" i="7"/>
  <c r="T575" i="7"/>
  <c r="S575" i="7"/>
  <c r="R575" i="7"/>
  <c r="Q575" i="7"/>
  <c r="P575" i="7"/>
  <c r="O575" i="7"/>
  <c r="N575" i="7"/>
  <c r="V574" i="7"/>
  <c r="U574" i="7"/>
  <c r="T574" i="7"/>
  <c r="S574" i="7"/>
  <c r="R574" i="7"/>
  <c r="Q574" i="7"/>
  <c r="P574" i="7"/>
  <c r="O574" i="7"/>
  <c r="N574" i="7"/>
  <c r="V573" i="7"/>
  <c r="U573" i="7"/>
  <c r="T573" i="7"/>
  <c r="S573" i="7"/>
  <c r="R573" i="7"/>
  <c r="Q573" i="7"/>
  <c r="P573" i="7"/>
  <c r="O573" i="7"/>
  <c r="N573" i="7"/>
  <c r="V572" i="7"/>
  <c r="U572" i="7"/>
  <c r="T572" i="7"/>
  <c r="S572" i="7"/>
  <c r="R572" i="7"/>
  <c r="Q572" i="7"/>
  <c r="P572" i="7"/>
  <c r="O572" i="7"/>
  <c r="N572" i="7"/>
  <c r="V571" i="7"/>
  <c r="U571" i="7"/>
  <c r="T571" i="7"/>
  <c r="S571" i="7"/>
  <c r="R571" i="7"/>
  <c r="Q571" i="7"/>
  <c r="P571" i="7"/>
  <c r="O571" i="7"/>
  <c r="N571" i="7"/>
  <c r="V570" i="7"/>
  <c r="U570" i="7"/>
  <c r="T570" i="7"/>
  <c r="S570" i="7"/>
  <c r="R570" i="7"/>
  <c r="Q570" i="7"/>
  <c r="P570" i="7"/>
  <c r="O570" i="7"/>
  <c r="N570" i="7"/>
  <c r="V569" i="7"/>
  <c r="U569" i="7"/>
  <c r="T569" i="7"/>
  <c r="S569" i="7"/>
  <c r="R569" i="7"/>
  <c r="Q569" i="7"/>
  <c r="P569" i="7"/>
  <c r="O569" i="7"/>
  <c r="N569" i="7"/>
  <c r="V568" i="7"/>
  <c r="U568" i="7"/>
  <c r="T568" i="7"/>
  <c r="S568" i="7"/>
  <c r="R568" i="7"/>
  <c r="Q568" i="7"/>
  <c r="P568" i="7"/>
  <c r="O568" i="7"/>
  <c r="N568" i="7"/>
  <c r="V567" i="7"/>
  <c r="U567" i="7"/>
  <c r="T567" i="7"/>
  <c r="S567" i="7"/>
  <c r="R567" i="7"/>
  <c r="Q567" i="7"/>
  <c r="P567" i="7"/>
  <c r="O567" i="7"/>
  <c r="N567" i="7"/>
  <c r="V566" i="7"/>
  <c r="U566" i="7"/>
  <c r="T566" i="7"/>
  <c r="S566" i="7"/>
  <c r="R566" i="7"/>
  <c r="Q566" i="7"/>
  <c r="P566" i="7"/>
  <c r="O566" i="7"/>
  <c r="N566" i="7"/>
  <c r="V565" i="7"/>
  <c r="U565" i="7"/>
  <c r="T565" i="7"/>
  <c r="S565" i="7"/>
  <c r="R565" i="7"/>
  <c r="Q565" i="7"/>
  <c r="P565" i="7"/>
  <c r="O565" i="7"/>
  <c r="N565" i="7"/>
  <c r="V564" i="7"/>
  <c r="U564" i="7"/>
  <c r="T564" i="7"/>
  <c r="S564" i="7"/>
  <c r="R564" i="7"/>
  <c r="Q564" i="7"/>
  <c r="P564" i="7"/>
  <c r="O564" i="7"/>
  <c r="N564" i="7"/>
  <c r="V563" i="7"/>
  <c r="U563" i="7"/>
  <c r="T563" i="7"/>
  <c r="S563" i="7"/>
  <c r="R563" i="7"/>
  <c r="Q563" i="7"/>
  <c r="P563" i="7"/>
  <c r="O563" i="7"/>
  <c r="N563" i="7"/>
  <c r="V562" i="7"/>
  <c r="U562" i="7"/>
  <c r="T562" i="7"/>
  <c r="S562" i="7"/>
  <c r="R562" i="7"/>
  <c r="Q562" i="7"/>
  <c r="P562" i="7"/>
  <c r="O562" i="7"/>
  <c r="N562" i="7"/>
  <c r="V561" i="7"/>
  <c r="U561" i="7"/>
  <c r="T561" i="7"/>
  <c r="S561" i="7"/>
  <c r="R561" i="7"/>
  <c r="Q561" i="7"/>
  <c r="P561" i="7"/>
  <c r="O561" i="7"/>
  <c r="N561" i="7"/>
  <c r="V560" i="7"/>
  <c r="U560" i="7"/>
  <c r="T560" i="7"/>
  <c r="S560" i="7"/>
  <c r="R560" i="7"/>
  <c r="Q560" i="7"/>
  <c r="P560" i="7"/>
  <c r="O560" i="7"/>
  <c r="N560" i="7"/>
  <c r="V559" i="7"/>
  <c r="U559" i="7"/>
  <c r="T559" i="7"/>
  <c r="S559" i="7"/>
  <c r="R559" i="7"/>
  <c r="Q559" i="7"/>
  <c r="P559" i="7"/>
  <c r="O559" i="7"/>
  <c r="N559" i="7"/>
  <c r="V558" i="7"/>
  <c r="U558" i="7"/>
  <c r="T558" i="7"/>
  <c r="S558" i="7"/>
  <c r="R558" i="7"/>
  <c r="Q558" i="7"/>
  <c r="P558" i="7"/>
  <c r="O558" i="7"/>
  <c r="N558" i="7"/>
  <c r="V557" i="7"/>
  <c r="U557" i="7"/>
  <c r="T557" i="7"/>
  <c r="S557" i="7"/>
  <c r="R557" i="7"/>
  <c r="Q557" i="7"/>
  <c r="P557" i="7"/>
  <c r="O557" i="7"/>
  <c r="N557" i="7"/>
  <c r="V556" i="7"/>
  <c r="U556" i="7"/>
  <c r="T556" i="7"/>
  <c r="S556" i="7"/>
  <c r="R556" i="7"/>
  <c r="Q556" i="7"/>
  <c r="P556" i="7"/>
  <c r="O556" i="7"/>
  <c r="N556" i="7"/>
  <c r="V555" i="7"/>
  <c r="U555" i="7"/>
  <c r="T555" i="7"/>
  <c r="S555" i="7"/>
  <c r="R555" i="7"/>
  <c r="Q555" i="7"/>
  <c r="P555" i="7"/>
  <c r="O555" i="7"/>
  <c r="N555" i="7"/>
  <c r="V554" i="7"/>
  <c r="U554" i="7"/>
  <c r="T554" i="7"/>
  <c r="S554" i="7"/>
  <c r="R554" i="7"/>
  <c r="Q554" i="7"/>
  <c r="P554" i="7"/>
  <c r="O554" i="7"/>
  <c r="N554" i="7"/>
  <c r="V553" i="7"/>
  <c r="U553" i="7"/>
  <c r="T553" i="7"/>
  <c r="S553" i="7"/>
  <c r="R553" i="7"/>
  <c r="Q553" i="7"/>
  <c r="P553" i="7"/>
  <c r="O553" i="7"/>
  <c r="N553" i="7"/>
  <c r="V552" i="7"/>
  <c r="U552" i="7"/>
  <c r="T552" i="7"/>
  <c r="S552" i="7"/>
  <c r="R552" i="7"/>
  <c r="Q552" i="7"/>
  <c r="P552" i="7"/>
  <c r="O552" i="7"/>
  <c r="N552" i="7"/>
  <c r="V551" i="7"/>
  <c r="U551" i="7"/>
  <c r="T551" i="7"/>
  <c r="S551" i="7"/>
  <c r="R551" i="7"/>
  <c r="Q551" i="7"/>
  <c r="P551" i="7"/>
  <c r="O551" i="7"/>
  <c r="N551" i="7"/>
  <c r="V550" i="7"/>
  <c r="U550" i="7"/>
  <c r="T550" i="7"/>
  <c r="S550" i="7"/>
  <c r="R550" i="7"/>
  <c r="Q550" i="7"/>
  <c r="P550" i="7"/>
  <c r="O550" i="7"/>
  <c r="N550" i="7"/>
  <c r="V549" i="7"/>
  <c r="U549" i="7"/>
  <c r="T549" i="7"/>
  <c r="S549" i="7"/>
  <c r="R549" i="7"/>
  <c r="Q549" i="7"/>
  <c r="P549" i="7"/>
  <c r="O549" i="7"/>
  <c r="N549" i="7"/>
  <c r="V548" i="7"/>
  <c r="U548" i="7"/>
  <c r="T548" i="7"/>
  <c r="S548" i="7"/>
  <c r="R548" i="7"/>
  <c r="Q548" i="7"/>
  <c r="P548" i="7"/>
  <c r="O548" i="7"/>
  <c r="N548" i="7"/>
  <c r="V547" i="7"/>
  <c r="U547" i="7"/>
  <c r="T547" i="7"/>
  <c r="S547" i="7"/>
  <c r="R547" i="7"/>
  <c r="Q547" i="7"/>
  <c r="P547" i="7"/>
  <c r="O547" i="7"/>
  <c r="N547" i="7"/>
  <c r="V546" i="7"/>
  <c r="U546" i="7"/>
  <c r="T546" i="7"/>
  <c r="S546" i="7"/>
  <c r="R546" i="7"/>
  <c r="Q546" i="7"/>
  <c r="P546" i="7"/>
  <c r="O546" i="7"/>
  <c r="N546" i="7"/>
  <c r="V545" i="7"/>
  <c r="U545" i="7"/>
  <c r="T545" i="7"/>
  <c r="S545" i="7"/>
  <c r="R545" i="7"/>
  <c r="Q545" i="7"/>
  <c r="P545" i="7"/>
  <c r="O545" i="7"/>
  <c r="N545" i="7"/>
  <c r="V544" i="7"/>
  <c r="U544" i="7"/>
  <c r="T544" i="7"/>
  <c r="S544" i="7"/>
  <c r="R544" i="7"/>
  <c r="Q544" i="7"/>
  <c r="P544" i="7"/>
  <c r="O544" i="7"/>
  <c r="N544" i="7"/>
  <c r="V543" i="7"/>
  <c r="U543" i="7"/>
  <c r="T543" i="7"/>
  <c r="S543" i="7"/>
  <c r="R543" i="7"/>
  <c r="Q543" i="7"/>
  <c r="P543" i="7"/>
  <c r="O543" i="7"/>
  <c r="N543" i="7"/>
  <c r="V542" i="7"/>
  <c r="U542" i="7"/>
  <c r="T542" i="7"/>
  <c r="S542" i="7"/>
  <c r="R542" i="7"/>
  <c r="Q542" i="7"/>
  <c r="P542" i="7"/>
  <c r="O542" i="7"/>
  <c r="N542" i="7"/>
  <c r="V541" i="7"/>
  <c r="U541" i="7"/>
  <c r="T541" i="7"/>
  <c r="S541" i="7"/>
  <c r="R541" i="7"/>
  <c r="Q541" i="7"/>
  <c r="P541" i="7"/>
  <c r="O541" i="7"/>
  <c r="N541" i="7"/>
  <c r="V540" i="7"/>
  <c r="U540" i="7"/>
  <c r="T540" i="7"/>
  <c r="S540" i="7"/>
  <c r="R540" i="7"/>
  <c r="Q540" i="7"/>
  <c r="P540" i="7"/>
  <c r="O540" i="7"/>
  <c r="N540" i="7"/>
  <c r="V539" i="7"/>
  <c r="U539" i="7"/>
  <c r="T539" i="7"/>
  <c r="S539" i="7"/>
  <c r="R539" i="7"/>
  <c r="Q539" i="7"/>
  <c r="P539" i="7"/>
  <c r="O539" i="7"/>
  <c r="N539" i="7"/>
  <c r="V538" i="7"/>
  <c r="U538" i="7"/>
  <c r="T538" i="7"/>
  <c r="S538" i="7"/>
  <c r="R538" i="7"/>
  <c r="Q538" i="7"/>
  <c r="P538" i="7"/>
  <c r="O538" i="7"/>
  <c r="N538" i="7"/>
  <c r="V537" i="7"/>
  <c r="U537" i="7"/>
  <c r="T537" i="7"/>
  <c r="S537" i="7"/>
  <c r="R537" i="7"/>
  <c r="Q537" i="7"/>
  <c r="P537" i="7"/>
  <c r="O537" i="7"/>
  <c r="N537" i="7"/>
  <c r="V536" i="7"/>
  <c r="U536" i="7"/>
  <c r="T536" i="7"/>
  <c r="S536" i="7"/>
  <c r="R536" i="7"/>
  <c r="Q536" i="7"/>
  <c r="P536" i="7"/>
  <c r="O536" i="7"/>
  <c r="N536" i="7"/>
  <c r="V535" i="7"/>
  <c r="U535" i="7"/>
  <c r="T535" i="7"/>
  <c r="S535" i="7"/>
  <c r="R535" i="7"/>
  <c r="Q535" i="7"/>
  <c r="P535" i="7"/>
  <c r="O535" i="7"/>
  <c r="N535" i="7"/>
  <c r="V534" i="7"/>
  <c r="U534" i="7"/>
  <c r="T534" i="7"/>
  <c r="S534" i="7"/>
  <c r="R534" i="7"/>
  <c r="Q534" i="7"/>
  <c r="P534" i="7"/>
  <c r="O534" i="7"/>
  <c r="N534" i="7"/>
  <c r="V533" i="7"/>
  <c r="U533" i="7"/>
  <c r="T533" i="7"/>
  <c r="S533" i="7"/>
  <c r="R533" i="7"/>
  <c r="Q533" i="7"/>
  <c r="P533" i="7"/>
  <c r="O533" i="7"/>
  <c r="N533" i="7"/>
  <c r="V532" i="7"/>
  <c r="U532" i="7"/>
  <c r="T532" i="7"/>
  <c r="S532" i="7"/>
  <c r="R532" i="7"/>
  <c r="Q532" i="7"/>
  <c r="P532" i="7"/>
  <c r="O532" i="7"/>
  <c r="N532" i="7"/>
  <c r="V531" i="7"/>
  <c r="U531" i="7"/>
  <c r="T531" i="7"/>
  <c r="S531" i="7"/>
  <c r="R531" i="7"/>
  <c r="Q531" i="7"/>
  <c r="P531" i="7"/>
  <c r="O531" i="7"/>
  <c r="N531" i="7"/>
  <c r="V530" i="7"/>
  <c r="U530" i="7"/>
  <c r="T530" i="7"/>
  <c r="S530" i="7"/>
  <c r="R530" i="7"/>
  <c r="Q530" i="7"/>
  <c r="P530" i="7"/>
  <c r="O530" i="7"/>
  <c r="N530" i="7"/>
  <c r="V529" i="7"/>
  <c r="U529" i="7"/>
  <c r="T529" i="7"/>
  <c r="S529" i="7"/>
  <c r="R529" i="7"/>
  <c r="Q529" i="7"/>
  <c r="P529" i="7"/>
  <c r="O529" i="7"/>
  <c r="N529" i="7"/>
  <c r="V528" i="7"/>
  <c r="U528" i="7"/>
  <c r="T528" i="7"/>
  <c r="S528" i="7"/>
  <c r="R528" i="7"/>
  <c r="Q528" i="7"/>
  <c r="P528" i="7"/>
  <c r="O528" i="7"/>
  <c r="N528" i="7"/>
  <c r="V527" i="7"/>
  <c r="U527" i="7"/>
  <c r="T527" i="7"/>
  <c r="S527" i="7"/>
  <c r="R527" i="7"/>
  <c r="Q527" i="7"/>
  <c r="P527" i="7"/>
  <c r="O527" i="7"/>
  <c r="N527" i="7"/>
  <c r="V526" i="7"/>
  <c r="U526" i="7"/>
  <c r="T526" i="7"/>
  <c r="S526" i="7"/>
  <c r="R526" i="7"/>
  <c r="Q526" i="7"/>
  <c r="P526" i="7"/>
  <c r="O526" i="7"/>
  <c r="N526" i="7"/>
  <c r="V525" i="7"/>
  <c r="U525" i="7"/>
  <c r="T525" i="7"/>
  <c r="S525" i="7"/>
  <c r="R525" i="7"/>
  <c r="Q525" i="7"/>
  <c r="P525" i="7"/>
  <c r="O525" i="7"/>
  <c r="N525" i="7"/>
  <c r="V524" i="7"/>
  <c r="U524" i="7"/>
  <c r="T524" i="7"/>
  <c r="S524" i="7"/>
  <c r="R524" i="7"/>
  <c r="Q524" i="7"/>
  <c r="P524" i="7"/>
  <c r="O524" i="7"/>
  <c r="N524" i="7"/>
  <c r="V523" i="7"/>
  <c r="U523" i="7"/>
  <c r="T523" i="7"/>
  <c r="S523" i="7"/>
  <c r="R523" i="7"/>
  <c r="Q523" i="7"/>
  <c r="P523" i="7"/>
  <c r="O523" i="7"/>
  <c r="N523" i="7"/>
  <c r="V522" i="7"/>
  <c r="U522" i="7"/>
  <c r="T522" i="7"/>
  <c r="S522" i="7"/>
  <c r="R522" i="7"/>
  <c r="Q522" i="7"/>
  <c r="P522" i="7"/>
  <c r="O522" i="7"/>
  <c r="N522" i="7"/>
  <c r="V521" i="7"/>
  <c r="U521" i="7"/>
  <c r="T521" i="7"/>
  <c r="S521" i="7"/>
  <c r="R521" i="7"/>
  <c r="Q521" i="7"/>
  <c r="P521" i="7"/>
  <c r="O521" i="7"/>
  <c r="N521" i="7"/>
  <c r="V520" i="7"/>
  <c r="U520" i="7"/>
  <c r="T520" i="7"/>
  <c r="S520" i="7"/>
  <c r="R520" i="7"/>
  <c r="Q520" i="7"/>
  <c r="P520" i="7"/>
  <c r="O520" i="7"/>
  <c r="N520" i="7"/>
  <c r="V519" i="7"/>
  <c r="U519" i="7"/>
  <c r="T519" i="7"/>
  <c r="S519" i="7"/>
  <c r="R519" i="7"/>
  <c r="Q519" i="7"/>
  <c r="P519" i="7"/>
  <c r="O519" i="7"/>
  <c r="N519" i="7"/>
  <c r="V518" i="7"/>
  <c r="U518" i="7"/>
  <c r="T518" i="7"/>
  <c r="S518" i="7"/>
  <c r="R518" i="7"/>
  <c r="Q518" i="7"/>
  <c r="P518" i="7"/>
  <c r="O518" i="7"/>
  <c r="N518" i="7"/>
  <c r="V517" i="7"/>
  <c r="U517" i="7"/>
  <c r="T517" i="7"/>
  <c r="S517" i="7"/>
  <c r="R517" i="7"/>
  <c r="Q517" i="7"/>
  <c r="P517" i="7"/>
  <c r="O517" i="7"/>
  <c r="N517" i="7"/>
  <c r="V516" i="7"/>
  <c r="U516" i="7"/>
  <c r="T516" i="7"/>
  <c r="S516" i="7"/>
  <c r="R516" i="7"/>
  <c r="Q516" i="7"/>
  <c r="P516" i="7"/>
  <c r="O516" i="7"/>
  <c r="N516" i="7"/>
  <c r="V515" i="7"/>
  <c r="U515" i="7"/>
  <c r="T515" i="7"/>
  <c r="S515" i="7"/>
  <c r="R515" i="7"/>
  <c r="Q515" i="7"/>
  <c r="P515" i="7"/>
  <c r="O515" i="7"/>
  <c r="N515" i="7"/>
  <c r="V514" i="7"/>
  <c r="U514" i="7"/>
  <c r="T514" i="7"/>
  <c r="S514" i="7"/>
  <c r="R514" i="7"/>
  <c r="Q514" i="7"/>
  <c r="P514" i="7"/>
  <c r="O514" i="7"/>
  <c r="N514" i="7"/>
  <c r="V513" i="7"/>
  <c r="U513" i="7"/>
  <c r="T513" i="7"/>
  <c r="S513" i="7"/>
  <c r="R513" i="7"/>
  <c r="Q513" i="7"/>
  <c r="P513" i="7"/>
  <c r="O513" i="7"/>
  <c r="N513" i="7"/>
  <c r="V512" i="7"/>
  <c r="U512" i="7"/>
  <c r="T512" i="7"/>
  <c r="S512" i="7"/>
  <c r="R512" i="7"/>
  <c r="Q512" i="7"/>
  <c r="P512" i="7"/>
  <c r="O512" i="7"/>
  <c r="N512" i="7"/>
  <c r="V511" i="7"/>
  <c r="U511" i="7"/>
  <c r="T511" i="7"/>
  <c r="S511" i="7"/>
  <c r="R511" i="7"/>
  <c r="Q511" i="7"/>
  <c r="P511" i="7"/>
  <c r="O511" i="7"/>
  <c r="N511" i="7"/>
  <c r="V510" i="7"/>
  <c r="U510" i="7"/>
  <c r="T510" i="7"/>
  <c r="S510" i="7"/>
  <c r="R510" i="7"/>
  <c r="Q510" i="7"/>
  <c r="P510" i="7"/>
  <c r="O510" i="7"/>
  <c r="N510" i="7"/>
  <c r="V509" i="7"/>
  <c r="U509" i="7"/>
  <c r="T509" i="7"/>
  <c r="S509" i="7"/>
  <c r="R509" i="7"/>
  <c r="Q509" i="7"/>
  <c r="P509" i="7"/>
  <c r="O509" i="7"/>
  <c r="N509" i="7"/>
  <c r="V508" i="7"/>
  <c r="U508" i="7"/>
  <c r="T508" i="7"/>
  <c r="S508" i="7"/>
  <c r="R508" i="7"/>
  <c r="Q508" i="7"/>
  <c r="P508" i="7"/>
  <c r="O508" i="7"/>
  <c r="N508" i="7"/>
  <c r="V507" i="7"/>
  <c r="U507" i="7"/>
  <c r="T507" i="7"/>
  <c r="S507" i="7"/>
  <c r="R507" i="7"/>
  <c r="Q507" i="7"/>
  <c r="P507" i="7"/>
  <c r="O507" i="7"/>
  <c r="N507" i="7"/>
  <c r="V506" i="7"/>
  <c r="U506" i="7"/>
  <c r="T506" i="7"/>
  <c r="S506" i="7"/>
  <c r="R506" i="7"/>
  <c r="Q506" i="7"/>
  <c r="P506" i="7"/>
  <c r="O506" i="7"/>
  <c r="N506" i="7"/>
  <c r="V505" i="7"/>
  <c r="U505" i="7"/>
  <c r="T505" i="7"/>
  <c r="S505" i="7"/>
  <c r="R505" i="7"/>
  <c r="Q505" i="7"/>
  <c r="P505" i="7"/>
  <c r="O505" i="7"/>
  <c r="N505" i="7"/>
  <c r="V504" i="7"/>
  <c r="U504" i="7"/>
  <c r="T504" i="7"/>
  <c r="S504" i="7"/>
  <c r="R504" i="7"/>
  <c r="Q504" i="7"/>
  <c r="P504" i="7"/>
  <c r="O504" i="7"/>
  <c r="N504" i="7"/>
  <c r="V503" i="7"/>
  <c r="U503" i="7"/>
  <c r="T503" i="7"/>
  <c r="S503" i="7"/>
  <c r="R503" i="7"/>
  <c r="Q503" i="7"/>
  <c r="P503" i="7"/>
  <c r="O503" i="7"/>
  <c r="N503" i="7"/>
  <c r="V502" i="7"/>
  <c r="U502" i="7"/>
  <c r="T502" i="7"/>
  <c r="S502" i="7"/>
  <c r="R502" i="7"/>
  <c r="Q502" i="7"/>
  <c r="P502" i="7"/>
  <c r="O502" i="7"/>
  <c r="N502" i="7"/>
  <c r="V501" i="7"/>
  <c r="U501" i="7"/>
  <c r="T501" i="7"/>
  <c r="S501" i="7"/>
  <c r="R501" i="7"/>
  <c r="Q501" i="7"/>
  <c r="P501" i="7"/>
  <c r="O501" i="7"/>
  <c r="N501" i="7"/>
  <c r="V500" i="7"/>
  <c r="U500" i="7"/>
  <c r="T500" i="7"/>
  <c r="S500" i="7"/>
  <c r="R500" i="7"/>
  <c r="Q500" i="7"/>
  <c r="P500" i="7"/>
  <c r="O500" i="7"/>
  <c r="N500" i="7"/>
  <c r="V499" i="7"/>
  <c r="U499" i="7"/>
  <c r="T499" i="7"/>
  <c r="S499" i="7"/>
  <c r="R499" i="7"/>
  <c r="Q499" i="7"/>
  <c r="P499" i="7"/>
  <c r="O499" i="7"/>
  <c r="N499" i="7"/>
  <c r="V498" i="7"/>
  <c r="U498" i="7"/>
  <c r="T498" i="7"/>
  <c r="S498" i="7"/>
  <c r="R498" i="7"/>
  <c r="Q498" i="7"/>
  <c r="P498" i="7"/>
  <c r="O498" i="7"/>
  <c r="N498" i="7"/>
  <c r="V497" i="7"/>
  <c r="U497" i="7"/>
  <c r="T497" i="7"/>
  <c r="S497" i="7"/>
  <c r="R497" i="7"/>
  <c r="Q497" i="7"/>
  <c r="P497" i="7"/>
  <c r="O497" i="7"/>
  <c r="N497" i="7"/>
  <c r="V496" i="7"/>
  <c r="U496" i="7"/>
  <c r="T496" i="7"/>
  <c r="S496" i="7"/>
  <c r="R496" i="7"/>
  <c r="Q496" i="7"/>
  <c r="P496" i="7"/>
  <c r="O496" i="7"/>
  <c r="N496" i="7"/>
  <c r="V495" i="7"/>
  <c r="U495" i="7"/>
  <c r="T495" i="7"/>
  <c r="S495" i="7"/>
  <c r="R495" i="7"/>
  <c r="Q495" i="7"/>
  <c r="P495" i="7"/>
  <c r="O495" i="7"/>
  <c r="N495" i="7"/>
  <c r="V494" i="7"/>
  <c r="U494" i="7"/>
  <c r="T494" i="7"/>
  <c r="S494" i="7"/>
  <c r="R494" i="7"/>
  <c r="Q494" i="7"/>
  <c r="P494" i="7"/>
  <c r="O494" i="7"/>
  <c r="N494" i="7"/>
  <c r="V493" i="7"/>
  <c r="U493" i="7"/>
  <c r="T493" i="7"/>
  <c r="S493" i="7"/>
  <c r="R493" i="7"/>
  <c r="Q493" i="7"/>
  <c r="P493" i="7"/>
  <c r="O493" i="7"/>
  <c r="N493" i="7"/>
  <c r="V492" i="7"/>
  <c r="U492" i="7"/>
  <c r="T492" i="7"/>
  <c r="S492" i="7"/>
  <c r="R492" i="7"/>
  <c r="Q492" i="7"/>
  <c r="P492" i="7"/>
  <c r="O492" i="7"/>
  <c r="N492" i="7"/>
  <c r="V491" i="7"/>
  <c r="U491" i="7"/>
  <c r="T491" i="7"/>
  <c r="S491" i="7"/>
  <c r="R491" i="7"/>
  <c r="Q491" i="7"/>
  <c r="P491" i="7"/>
  <c r="O491" i="7"/>
  <c r="N491" i="7"/>
  <c r="V490" i="7"/>
  <c r="U490" i="7"/>
  <c r="T490" i="7"/>
  <c r="S490" i="7"/>
  <c r="R490" i="7"/>
  <c r="Q490" i="7"/>
  <c r="P490" i="7"/>
  <c r="O490" i="7"/>
  <c r="N490" i="7"/>
  <c r="V489" i="7"/>
  <c r="U489" i="7"/>
  <c r="T489" i="7"/>
  <c r="S489" i="7"/>
  <c r="R489" i="7"/>
  <c r="Q489" i="7"/>
  <c r="P489" i="7"/>
  <c r="O489" i="7"/>
  <c r="N489" i="7"/>
  <c r="V488" i="7"/>
  <c r="U488" i="7"/>
  <c r="T488" i="7"/>
  <c r="S488" i="7"/>
  <c r="R488" i="7"/>
  <c r="Q488" i="7"/>
  <c r="P488" i="7"/>
  <c r="O488" i="7"/>
  <c r="N488" i="7"/>
  <c r="V487" i="7"/>
  <c r="U487" i="7"/>
  <c r="T487" i="7"/>
  <c r="S487" i="7"/>
  <c r="R487" i="7"/>
  <c r="Q487" i="7"/>
  <c r="P487" i="7"/>
  <c r="O487" i="7"/>
  <c r="N487" i="7"/>
  <c r="V486" i="7"/>
  <c r="U486" i="7"/>
  <c r="T486" i="7"/>
  <c r="S486" i="7"/>
  <c r="R486" i="7"/>
  <c r="Q486" i="7"/>
  <c r="P486" i="7"/>
  <c r="O486" i="7"/>
  <c r="N486" i="7"/>
  <c r="V485" i="7"/>
  <c r="U485" i="7"/>
  <c r="T485" i="7"/>
  <c r="S485" i="7"/>
  <c r="R485" i="7"/>
  <c r="Q485" i="7"/>
  <c r="P485" i="7"/>
  <c r="O485" i="7"/>
  <c r="N485" i="7"/>
  <c r="V484" i="7"/>
  <c r="U484" i="7"/>
  <c r="T484" i="7"/>
  <c r="S484" i="7"/>
  <c r="R484" i="7"/>
  <c r="Q484" i="7"/>
  <c r="P484" i="7"/>
  <c r="O484" i="7"/>
  <c r="N484" i="7"/>
  <c r="V483" i="7"/>
  <c r="U483" i="7"/>
  <c r="T483" i="7"/>
  <c r="S483" i="7"/>
  <c r="R483" i="7"/>
  <c r="Q483" i="7"/>
  <c r="P483" i="7"/>
  <c r="O483" i="7"/>
  <c r="N483" i="7"/>
  <c r="V482" i="7"/>
  <c r="U482" i="7"/>
  <c r="T482" i="7"/>
  <c r="S482" i="7"/>
  <c r="R482" i="7"/>
  <c r="Q482" i="7"/>
  <c r="P482" i="7"/>
  <c r="O482" i="7"/>
  <c r="N482" i="7"/>
  <c r="V481" i="7"/>
  <c r="U481" i="7"/>
  <c r="T481" i="7"/>
  <c r="S481" i="7"/>
  <c r="R481" i="7"/>
  <c r="Q481" i="7"/>
  <c r="P481" i="7"/>
  <c r="O481" i="7"/>
  <c r="N481" i="7"/>
  <c r="V480" i="7"/>
  <c r="U480" i="7"/>
  <c r="T480" i="7"/>
  <c r="S480" i="7"/>
  <c r="R480" i="7"/>
  <c r="Q480" i="7"/>
  <c r="P480" i="7"/>
  <c r="O480" i="7"/>
  <c r="N480" i="7"/>
  <c r="V479" i="7"/>
  <c r="U479" i="7"/>
  <c r="T479" i="7"/>
  <c r="S479" i="7"/>
  <c r="R479" i="7"/>
  <c r="Q479" i="7"/>
  <c r="P479" i="7"/>
  <c r="O479" i="7"/>
  <c r="N479" i="7"/>
  <c r="V478" i="7"/>
  <c r="U478" i="7"/>
  <c r="T478" i="7"/>
  <c r="S478" i="7"/>
  <c r="R478" i="7"/>
  <c r="Q478" i="7"/>
  <c r="P478" i="7"/>
  <c r="O478" i="7"/>
  <c r="N478" i="7"/>
  <c r="V477" i="7"/>
  <c r="U477" i="7"/>
  <c r="T477" i="7"/>
  <c r="S477" i="7"/>
  <c r="R477" i="7"/>
  <c r="Q477" i="7"/>
  <c r="P477" i="7"/>
  <c r="O477" i="7"/>
  <c r="N477" i="7"/>
  <c r="V476" i="7"/>
  <c r="U476" i="7"/>
  <c r="T476" i="7"/>
  <c r="S476" i="7"/>
  <c r="R476" i="7"/>
  <c r="Q476" i="7"/>
  <c r="P476" i="7"/>
  <c r="O476" i="7"/>
  <c r="N476" i="7"/>
  <c r="V475" i="7"/>
  <c r="U475" i="7"/>
  <c r="T475" i="7"/>
  <c r="S475" i="7"/>
  <c r="R475" i="7"/>
  <c r="Q475" i="7"/>
  <c r="P475" i="7"/>
  <c r="O475" i="7"/>
  <c r="N475" i="7"/>
  <c r="V474" i="7"/>
  <c r="U474" i="7"/>
  <c r="T474" i="7"/>
  <c r="S474" i="7"/>
  <c r="R474" i="7"/>
  <c r="Q474" i="7"/>
  <c r="P474" i="7"/>
  <c r="O474" i="7"/>
  <c r="N474" i="7"/>
  <c r="V473" i="7"/>
  <c r="U473" i="7"/>
  <c r="T473" i="7"/>
  <c r="S473" i="7"/>
  <c r="R473" i="7"/>
  <c r="Q473" i="7"/>
  <c r="P473" i="7"/>
  <c r="O473" i="7"/>
  <c r="N473" i="7"/>
  <c r="V472" i="7"/>
  <c r="U472" i="7"/>
  <c r="T472" i="7"/>
  <c r="S472" i="7"/>
  <c r="R472" i="7"/>
  <c r="Q472" i="7"/>
  <c r="P472" i="7"/>
  <c r="O472" i="7"/>
  <c r="N472" i="7"/>
  <c r="V471" i="7"/>
  <c r="U471" i="7"/>
  <c r="T471" i="7"/>
  <c r="S471" i="7"/>
  <c r="R471" i="7"/>
  <c r="Q471" i="7"/>
  <c r="P471" i="7"/>
  <c r="O471" i="7"/>
  <c r="N471" i="7"/>
  <c r="V470" i="7"/>
  <c r="U470" i="7"/>
  <c r="T470" i="7"/>
  <c r="S470" i="7"/>
  <c r="R470" i="7"/>
  <c r="Q470" i="7"/>
  <c r="P470" i="7"/>
  <c r="O470" i="7"/>
  <c r="N470" i="7"/>
  <c r="V469" i="7"/>
  <c r="U469" i="7"/>
  <c r="T469" i="7"/>
  <c r="S469" i="7"/>
  <c r="R469" i="7"/>
  <c r="Q469" i="7"/>
  <c r="P469" i="7"/>
  <c r="O469" i="7"/>
  <c r="N469" i="7"/>
  <c r="V468" i="7"/>
  <c r="U468" i="7"/>
  <c r="T468" i="7"/>
  <c r="S468" i="7"/>
  <c r="R468" i="7"/>
  <c r="Q468" i="7"/>
  <c r="P468" i="7"/>
  <c r="O468" i="7"/>
  <c r="N468" i="7"/>
  <c r="V467" i="7"/>
  <c r="U467" i="7"/>
  <c r="T467" i="7"/>
  <c r="S467" i="7"/>
  <c r="R467" i="7"/>
  <c r="Q467" i="7"/>
  <c r="P467" i="7"/>
  <c r="O467" i="7"/>
  <c r="N467" i="7"/>
  <c r="V466" i="7"/>
  <c r="U466" i="7"/>
  <c r="T466" i="7"/>
  <c r="S466" i="7"/>
  <c r="R466" i="7"/>
  <c r="Q466" i="7"/>
  <c r="P466" i="7"/>
  <c r="O466" i="7"/>
  <c r="N466" i="7"/>
  <c r="V465" i="7"/>
  <c r="U465" i="7"/>
  <c r="T465" i="7"/>
  <c r="S465" i="7"/>
  <c r="R465" i="7"/>
  <c r="Q465" i="7"/>
  <c r="P465" i="7"/>
  <c r="O465" i="7"/>
  <c r="N465" i="7"/>
  <c r="V464" i="7"/>
  <c r="U464" i="7"/>
  <c r="T464" i="7"/>
  <c r="S464" i="7"/>
  <c r="R464" i="7"/>
  <c r="Q464" i="7"/>
  <c r="P464" i="7"/>
  <c r="O464" i="7"/>
  <c r="N464" i="7"/>
  <c r="V463" i="7"/>
  <c r="U463" i="7"/>
  <c r="T463" i="7"/>
  <c r="S463" i="7"/>
  <c r="R463" i="7"/>
  <c r="Q463" i="7"/>
  <c r="P463" i="7"/>
  <c r="O463" i="7"/>
  <c r="N463" i="7"/>
  <c r="V462" i="7"/>
  <c r="U462" i="7"/>
  <c r="T462" i="7"/>
  <c r="S462" i="7"/>
  <c r="R462" i="7"/>
  <c r="Q462" i="7"/>
  <c r="P462" i="7"/>
  <c r="O462" i="7"/>
  <c r="N462" i="7"/>
  <c r="V461" i="7"/>
  <c r="U461" i="7"/>
  <c r="T461" i="7"/>
  <c r="S461" i="7"/>
  <c r="R461" i="7"/>
  <c r="Q461" i="7"/>
  <c r="P461" i="7"/>
  <c r="O461" i="7"/>
  <c r="N461" i="7"/>
  <c r="V460" i="7"/>
  <c r="U460" i="7"/>
  <c r="T460" i="7"/>
  <c r="S460" i="7"/>
  <c r="R460" i="7"/>
  <c r="Q460" i="7"/>
  <c r="P460" i="7"/>
  <c r="O460" i="7"/>
  <c r="N460" i="7"/>
  <c r="V459" i="7"/>
  <c r="U459" i="7"/>
  <c r="T459" i="7"/>
  <c r="S459" i="7"/>
  <c r="R459" i="7"/>
  <c r="Q459" i="7"/>
  <c r="P459" i="7"/>
  <c r="O459" i="7"/>
  <c r="N459" i="7"/>
  <c r="V458" i="7"/>
  <c r="U458" i="7"/>
  <c r="T458" i="7"/>
  <c r="S458" i="7"/>
  <c r="R458" i="7"/>
  <c r="Q458" i="7"/>
  <c r="P458" i="7"/>
  <c r="O458" i="7"/>
  <c r="N458" i="7"/>
  <c r="V457" i="7"/>
  <c r="U457" i="7"/>
  <c r="T457" i="7"/>
  <c r="S457" i="7"/>
  <c r="R457" i="7"/>
  <c r="Q457" i="7"/>
  <c r="P457" i="7"/>
  <c r="O457" i="7"/>
  <c r="N457" i="7"/>
  <c r="V456" i="7"/>
  <c r="U456" i="7"/>
  <c r="T456" i="7"/>
  <c r="S456" i="7"/>
  <c r="R456" i="7"/>
  <c r="Q456" i="7"/>
  <c r="P456" i="7"/>
  <c r="O456" i="7"/>
  <c r="N456" i="7"/>
  <c r="V455" i="7"/>
  <c r="U455" i="7"/>
  <c r="T455" i="7"/>
  <c r="S455" i="7"/>
  <c r="R455" i="7"/>
  <c r="Q455" i="7"/>
  <c r="P455" i="7"/>
  <c r="O455" i="7"/>
  <c r="N455" i="7"/>
  <c r="V454" i="7"/>
  <c r="U454" i="7"/>
  <c r="T454" i="7"/>
  <c r="S454" i="7"/>
  <c r="R454" i="7"/>
  <c r="Q454" i="7"/>
  <c r="P454" i="7"/>
  <c r="O454" i="7"/>
  <c r="N454" i="7"/>
  <c r="V453" i="7"/>
  <c r="U453" i="7"/>
  <c r="T453" i="7"/>
  <c r="S453" i="7"/>
  <c r="R453" i="7"/>
  <c r="Q453" i="7"/>
  <c r="P453" i="7"/>
  <c r="O453" i="7"/>
  <c r="N453" i="7"/>
  <c r="V452" i="7"/>
  <c r="U452" i="7"/>
  <c r="T452" i="7"/>
  <c r="S452" i="7"/>
  <c r="R452" i="7"/>
  <c r="Q452" i="7"/>
  <c r="P452" i="7"/>
  <c r="O452" i="7"/>
  <c r="N452" i="7"/>
  <c r="V451" i="7"/>
  <c r="U451" i="7"/>
  <c r="T451" i="7"/>
  <c r="S451" i="7"/>
  <c r="R451" i="7"/>
  <c r="Q451" i="7"/>
  <c r="P451" i="7"/>
  <c r="O451" i="7"/>
  <c r="N451" i="7"/>
  <c r="V450" i="7"/>
  <c r="U450" i="7"/>
  <c r="T450" i="7"/>
  <c r="S450" i="7"/>
  <c r="R450" i="7"/>
  <c r="Q450" i="7"/>
  <c r="P450" i="7"/>
  <c r="O450" i="7"/>
  <c r="N450" i="7"/>
  <c r="V449" i="7"/>
  <c r="U449" i="7"/>
  <c r="T449" i="7"/>
  <c r="S449" i="7"/>
  <c r="R449" i="7"/>
  <c r="Q449" i="7"/>
  <c r="P449" i="7"/>
  <c r="O449" i="7"/>
  <c r="N449" i="7"/>
  <c r="V448" i="7"/>
  <c r="U448" i="7"/>
  <c r="T448" i="7"/>
  <c r="S448" i="7"/>
  <c r="R448" i="7"/>
  <c r="Q448" i="7"/>
  <c r="P448" i="7"/>
  <c r="O448" i="7"/>
  <c r="N448" i="7"/>
  <c r="V447" i="7"/>
  <c r="U447" i="7"/>
  <c r="T447" i="7"/>
  <c r="S447" i="7"/>
  <c r="R447" i="7"/>
  <c r="Q447" i="7"/>
  <c r="P447" i="7"/>
  <c r="O447" i="7"/>
  <c r="N447" i="7"/>
  <c r="V446" i="7"/>
  <c r="U446" i="7"/>
  <c r="T446" i="7"/>
  <c r="S446" i="7"/>
  <c r="R446" i="7"/>
  <c r="Q446" i="7"/>
  <c r="P446" i="7"/>
  <c r="O446" i="7"/>
  <c r="N446" i="7"/>
  <c r="V445" i="7"/>
  <c r="U445" i="7"/>
  <c r="T445" i="7"/>
  <c r="S445" i="7"/>
  <c r="R445" i="7"/>
  <c r="Q445" i="7"/>
  <c r="P445" i="7"/>
  <c r="O445" i="7"/>
  <c r="N445" i="7"/>
  <c r="V444" i="7"/>
  <c r="U444" i="7"/>
  <c r="T444" i="7"/>
  <c r="S444" i="7"/>
  <c r="R444" i="7"/>
  <c r="Q444" i="7"/>
  <c r="P444" i="7"/>
  <c r="O444" i="7"/>
  <c r="N444" i="7"/>
  <c r="V443" i="7"/>
  <c r="U443" i="7"/>
  <c r="T443" i="7"/>
  <c r="S443" i="7"/>
  <c r="R443" i="7"/>
  <c r="Q443" i="7"/>
  <c r="P443" i="7"/>
  <c r="O443" i="7"/>
  <c r="N443" i="7"/>
  <c r="V442" i="7"/>
  <c r="U442" i="7"/>
  <c r="T442" i="7"/>
  <c r="S442" i="7"/>
  <c r="R442" i="7"/>
  <c r="Q442" i="7"/>
  <c r="P442" i="7"/>
  <c r="O442" i="7"/>
  <c r="N442" i="7"/>
  <c r="V441" i="7"/>
  <c r="U441" i="7"/>
  <c r="T441" i="7"/>
  <c r="S441" i="7"/>
  <c r="R441" i="7"/>
  <c r="Q441" i="7"/>
  <c r="P441" i="7"/>
  <c r="O441" i="7"/>
  <c r="N441" i="7"/>
  <c r="V440" i="7"/>
  <c r="U440" i="7"/>
  <c r="T440" i="7"/>
  <c r="S440" i="7"/>
  <c r="R440" i="7"/>
  <c r="Q440" i="7"/>
  <c r="P440" i="7"/>
  <c r="O440" i="7"/>
  <c r="N440" i="7"/>
  <c r="V439" i="7"/>
  <c r="U439" i="7"/>
  <c r="T439" i="7"/>
  <c r="S439" i="7"/>
  <c r="R439" i="7"/>
  <c r="Q439" i="7"/>
  <c r="P439" i="7"/>
  <c r="O439" i="7"/>
  <c r="N439" i="7"/>
  <c r="V438" i="7"/>
  <c r="U438" i="7"/>
  <c r="T438" i="7"/>
  <c r="S438" i="7"/>
  <c r="R438" i="7"/>
  <c r="Q438" i="7"/>
  <c r="P438" i="7"/>
  <c r="O438" i="7"/>
  <c r="N438" i="7"/>
  <c r="V437" i="7"/>
  <c r="U437" i="7"/>
  <c r="T437" i="7"/>
  <c r="S437" i="7"/>
  <c r="R437" i="7"/>
  <c r="Q437" i="7"/>
  <c r="P437" i="7"/>
  <c r="O437" i="7"/>
  <c r="N437" i="7"/>
  <c r="V436" i="7"/>
  <c r="U436" i="7"/>
  <c r="T436" i="7"/>
  <c r="S436" i="7"/>
  <c r="R436" i="7"/>
  <c r="Q436" i="7"/>
  <c r="P436" i="7"/>
  <c r="O436" i="7"/>
  <c r="N436" i="7"/>
  <c r="V435" i="7"/>
  <c r="U435" i="7"/>
  <c r="T435" i="7"/>
  <c r="S435" i="7"/>
  <c r="R435" i="7"/>
  <c r="Q435" i="7"/>
  <c r="P435" i="7"/>
  <c r="O435" i="7"/>
  <c r="N435" i="7"/>
  <c r="V434" i="7"/>
  <c r="U434" i="7"/>
  <c r="T434" i="7"/>
  <c r="S434" i="7"/>
  <c r="R434" i="7"/>
  <c r="Q434" i="7"/>
  <c r="P434" i="7"/>
  <c r="O434" i="7"/>
  <c r="N434" i="7"/>
  <c r="V433" i="7"/>
  <c r="U433" i="7"/>
  <c r="T433" i="7"/>
  <c r="S433" i="7"/>
  <c r="R433" i="7"/>
  <c r="Q433" i="7"/>
  <c r="P433" i="7"/>
  <c r="O433" i="7"/>
  <c r="N433" i="7"/>
  <c r="V432" i="7"/>
  <c r="U432" i="7"/>
  <c r="T432" i="7"/>
  <c r="S432" i="7"/>
  <c r="R432" i="7"/>
  <c r="Q432" i="7"/>
  <c r="P432" i="7"/>
  <c r="O432" i="7"/>
  <c r="N432" i="7"/>
  <c r="V431" i="7"/>
  <c r="U431" i="7"/>
  <c r="T431" i="7"/>
  <c r="S431" i="7"/>
  <c r="R431" i="7"/>
  <c r="Q431" i="7"/>
  <c r="P431" i="7"/>
  <c r="O431" i="7"/>
  <c r="N431" i="7"/>
  <c r="V430" i="7"/>
  <c r="U430" i="7"/>
  <c r="T430" i="7"/>
  <c r="S430" i="7"/>
  <c r="R430" i="7"/>
  <c r="Q430" i="7"/>
  <c r="P430" i="7"/>
  <c r="O430" i="7"/>
  <c r="N430" i="7"/>
  <c r="V429" i="7"/>
  <c r="U429" i="7"/>
  <c r="T429" i="7"/>
  <c r="S429" i="7"/>
  <c r="R429" i="7"/>
  <c r="Q429" i="7"/>
  <c r="P429" i="7"/>
  <c r="O429" i="7"/>
  <c r="N429" i="7"/>
  <c r="V428" i="7"/>
  <c r="U428" i="7"/>
  <c r="T428" i="7"/>
  <c r="S428" i="7"/>
  <c r="R428" i="7"/>
  <c r="Q428" i="7"/>
  <c r="P428" i="7"/>
  <c r="O428" i="7"/>
  <c r="N428" i="7"/>
  <c r="V427" i="7"/>
  <c r="U427" i="7"/>
  <c r="T427" i="7"/>
  <c r="S427" i="7"/>
  <c r="R427" i="7"/>
  <c r="Q427" i="7"/>
  <c r="P427" i="7"/>
  <c r="O427" i="7"/>
  <c r="N427" i="7"/>
  <c r="V426" i="7"/>
  <c r="U426" i="7"/>
  <c r="T426" i="7"/>
  <c r="S426" i="7"/>
  <c r="R426" i="7"/>
  <c r="Q426" i="7"/>
  <c r="P426" i="7"/>
  <c r="O426" i="7"/>
  <c r="N426" i="7"/>
  <c r="V425" i="7"/>
  <c r="U425" i="7"/>
  <c r="T425" i="7"/>
  <c r="S425" i="7"/>
  <c r="R425" i="7"/>
  <c r="Q425" i="7"/>
  <c r="P425" i="7"/>
  <c r="O425" i="7"/>
  <c r="N425" i="7"/>
  <c r="V424" i="7"/>
  <c r="U424" i="7"/>
  <c r="T424" i="7"/>
  <c r="S424" i="7"/>
  <c r="R424" i="7"/>
  <c r="Q424" i="7"/>
  <c r="P424" i="7"/>
  <c r="O424" i="7"/>
  <c r="N424" i="7"/>
  <c r="V423" i="7"/>
  <c r="U423" i="7"/>
  <c r="T423" i="7"/>
  <c r="S423" i="7"/>
  <c r="R423" i="7"/>
  <c r="Q423" i="7"/>
  <c r="P423" i="7"/>
  <c r="O423" i="7"/>
  <c r="N423" i="7"/>
  <c r="V422" i="7"/>
  <c r="U422" i="7"/>
  <c r="T422" i="7"/>
  <c r="S422" i="7"/>
  <c r="R422" i="7"/>
  <c r="Q422" i="7"/>
  <c r="P422" i="7"/>
  <c r="O422" i="7"/>
  <c r="N422" i="7"/>
  <c r="V421" i="7"/>
  <c r="U421" i="7"/>
  <c r="T421" i="7"/>
  <c r="S421" i="7"/>
  <c r="R421" i="7"/>
  <c r="Q421" i="7"/>
  <c r="P421" i="7"/>
  <c r="O421" i="7"/>
  <c r="N421" i="7"/>
  <c r="V420" i="7"/>
  <c r="U420" i="7"/>
  <c r="T420" i="7"/>
  <c r="S420" i="7"/>
  <c r="R420" i="7"/>
  <c r="Q420" i="7"/>
  <c r="P420" i="7"/>
  <c r="O420" i="7"/>
  <c r="N420" i="7"/>
  <c r="V419" i="7"/>
  <c r="U419" i="7"/>
  <c r="T419" i="7"/>
  <c r="S419" i="7"/>
  <c r="R419" i="7"/>
  <c r="Q419" i="7"/>
  <c r="P419" i="7"/>
  <c r="O419" i="7"/>
  <c r="N419" i="7"/>
  <c r="V418" i="7"/>
  <c r="U418" i="7"/>
  <c r="T418" i="7"/>
  <c r="S418" i="7"/>
  <c r="R418" i="7"/>
  <c r="Q418" i="7"/>
  <c r="P418" i="7"/>
  <c r="O418" i="7"/>
  <c r="N418" i="7"/>
  <c r="V417" i="7"/>
  <c r="U417" i="7"/>
  <c r="T417" i="7"/>
  <c r="S417" i="7"/>
  <c r="R417" i="7"/>
  <c r="Q417" i="7"/>
  <c r="P417" i="7"/>
  <c r="O417" i="7"/>
  <c r="N417" i="7"/>
  <c r="V416" i="7"/>
  <c r="U416" i="7"/>
  <c r="T416" i="7"/>
  <c r="S416" i="7"/>
  <c r="R416" i="7"/>
  <c r="Q416" i="7"/>
  <c r="P416" i="7"/>
  <c r="O416" i="7"/>
  <c r="N416" i="7"/>
  <c r="V415" i="7"/>
  <c r="U415" i="7"/>
  <c r="T415" i="7"/>
  <c r="S415" i="7"/>
  <c r="R415" i="7"/>
  <c r="Q415" i="7"/>
  <c r="P415" i="7"/>
  <c r="O415" i="7"/>
  <c r="N415" i="7"/>
  <c r="V414" i="7"/>
  <c r="U414" i="7"/>
  <c r="T414" i="7"/>
  <c r="S414" i="7"/>
  <c r="R414" i="7"/>
  <c r="Q414" i="7"/>
  <c r="P414" i="7"/>
  <c r="O414" i="7"/>
  <c r="N414" i="7"/>
  <c r="V413" i="7"/>
  <c r="U413" i="7"/>
  <c r="T413" i="7"/>
  <c r="S413" i="7"/>
  <c r="R413" i="7"/>
  <c r="Q413" i="7"/>
  <c r="P413" i="7"/>
  <c r="O413" i="7"/>
  <c r="N413" i="7"/>
  <c r="V412" i="7"/>
  <c r="U412" i="7"/>
  <c r="T412" i="7"/>
  <c r="S412" i="7"/>
  <c r="R412" i="7"/>
  <c r="Q412" i="7"/>
  <c r="P412" i="7"/>
  <c r="O412" i="7"/>
  <c r="N412" i="7"/>
  <c r="V411" i="7"/>
  <c r="U411" i="7"/>
  <c r="T411" i="7"/>
  <c r="S411" i="7"/>
  <c r="R411" i="7"/>
  <c r="Q411" i="7"/>
  <c r="P411" i="7"/>
  <c r="O411" i="7"/>
  <c r="N411" i="7"/>
  <c r="V410" i="7"/>
  <c r="U410" i="7"/>
  <c r="T410" i="7"/>
  <c r="S410" i="7"/>
  <c r="R410" i="7"/>
  <c r="Q410" i="7"/>
  <c r="P410" i="7"/>
  <c r="O410" i="7"/>
  <c r="N410" i="7"/>
  <c r="V409" i="7"/>
  <c r="U409" i="7"/>
  <c r="T409" i="7"/>
  <c r="S409" i="7"/>
  <c r="R409" i="7"/>
  <c r="Q409" i="7"/>
  <c r="P409" i="7"/>
  <c r="O409" i="7"/>
  <c r="N409" i="7"/>
  <c r="V408" i="7"/>
  <c r="U408" i="7"/>
  <c r="T408" i="7"/>
  <c r="S408" i="7"/>
  <c r="R408" i="7"/>
  <c r="Q408" i="7"/>
  <c r="P408" i="7"/>
  <c r="O408" i="7"/>
  <c r="N408" i="7"/>
  <c r="V407" i="7"/>
  <c r="U407" i="7"/>
  <c r="T407" i="7"/>
  <c r="S407" i="7"/>
  <c r="R407" i="7"/>
  <c r="Q407" i="7"/>
  <c r="P407" i="7"/>
  <c r="O407" i="7"/>
  <c r="N407" i="7"/>
  <c r="V406" i="7"/>
  <c r="U406" i="7"/>
  <c r="T406" i="7"/>
  <c r="S406" i="7"/>
  <c r="R406" i="7"/>
  <c r="Q406" i="7"/>
  <c r="P406" i="7"/>
  <c r="O406" i="7"/>
  <c r="N406" i="7"/>
  <c r="V405" i="7"/>
  <c r="U405" i="7"/>
  <c r="T405" i="7"/>
  <c r="S405" i="7"/>
  <c r="R405" i="7"/>
  <c r="Q405" i="7"/>
  <c r="P405" i="7"/>
  <c r="O405" i="7"/>
  <c r="N405" i="7"/>
  <c r="V404" i="7"/>
  <c r="U404" i="7"/>
  <c r="T404" i="7"/>
  <c r="S404" i="7"/>
  <c r="R404" i="7"/>
  <c r="Q404" i="7"/>
  <c r="P404" i="7"/>
  <c r="O404" i="7"/>
  <c r="N404" i="7"/>
  <c r="V403" i="7"/>
  <c r="U403" i="7"/>
  <c r="T403" i="7"/>
  <c r="S403" i="7"/>
  <c r="R403" i="7"/>
  <c r="Q403" i="7"/>
  <c r="P403" i="7"/>
  <c r="O403" i="7"/>
  <c r="N403" i="7"/>
  <c r="V402" i="7"/>
  <c r="U402" i="7"/>
  <c r="T402" i="7"/>
  <c r="S402" i="7"/>
  <c r="R402" i="7"/>
  <c r="Q402" i="7"/>
  <c r="P402" i="7"/>
  <c r="O402" i="7"/>
  <c r="N402" i="7"/>
  <c r="V401" i="7"/>
  <c r="U401" i="7"/>
  <c r="T401" i="7"/>
  <c r="S401" i="7"/>
  <c r="R401" i="7"/>
  <c r="Q401" i="7"/>
  <c r="P401" i="7"/>
  <c r="O401" i="7"/>
  <c r="N401" i="7"/>
  <c r="V400" i="7"/>
  <c r="U400" i="7"/>
  <c r="T400" i="7"/>
  <c r="S400" i="7"/>
  <c r="R400" i="7"/>
  <c r="Q400" i="7"/>
  <c r="P400" i="7"/>
  <c r="O400" i="7"/>
  <c r="N400" i="7"/>
  <c r="V399" i="7"/>
  <c r="U399" i="7"/>
  <c r="T399" i="7"/>
  <c r="S399" i="7"/>
  <c r="R399" i="7"/>
  <c r="Q399" i="7"/>
  <c r="P399" i="7"/>
  <c r="O399" i="7"/>
  <c r="N399" i="7"/>
  <c r="V398" i="7"/>
  <c r="U398" i="7"/>
  <c r="T398" i="7"/>
  <c r="S398" i="7"/>
  <c r="R398" i="7"/>
  <c r="Q398" i="7"/>
  <c r="P398" i="7"/>
  <c r="O398" i="7"/>
  <c r="N398" i="7"/>
  <c r="V397" i="7"/>
  <c r="U397" i="7"/>
  <c r="T397" i="7"/>
  <c r="S397" i="7"/>
  <c r="R397" i="7"/>
  <c r="Q397" i="7"/>
  <c r="P397" i="7"/>
  <c r="O397" i="7"/>
  <c r="N397" i="7"/>
  <c r="V396" i="7"/>
  <c r="U396" i="7"/>
  <c r="T396" i="7"/>
  <c r="S396" i="7"/>
  <c r="R396" i="7"/>
  <c r="Q396" i="7"/>
  <c r="P396" i="7"/>
  <c r="O396" i="7"/>
  <c r="N396" i="7"/>
  <c r="V395" i="7"/>
  <c r="U395" i="7"/>
  <c r="T395" i="7"/>
  <c r="S395" i="7"/>
  <c r="R395" i="7"/>
  <c r="Q395" i="7"/>
  <c r="P395" i="7"/>
  <c r="O395" i="7"/>
  <c r="N395" i="7"/>
  <c r="V394" i="7"/>
  <c r="U394" i="7"/>
  <c r="T394" i="7"/>
  <c r="S394" i="7"/>
  <c r="R394" i="7"/>
  <c r="Q394" i="7"/>
  <c r="P394" i="7"/>
  <c r="O394" i="7"/>
  <c r="N394" i="7"/>
  <c r="V393" i="7"/>
  <c r="U393" i="7"/>
  <c r="T393" i="7"/>
  <c r="S393" i="7"/>
  <c r="R393" i="7"/>
  <c r="Q393" i="7"/>
  <c r="P393" i="7"/>
  <c r="O393" i="7"/>
  <c r="N393" i="7"/>
  <c r="V392" i="7"/>
  <c r="U392" i="7"/>
  <c r="T392" i="7"/>
  <c r="S392" i="7"/>
  <c r="R392" i="7"/>
  <c r="Q392" i="7"/>
  <c r="P392" i="7"/>
  <c r="O392" i="7"/>
  <c r="N392" i="7"/>
  <c r="V391" i="7"/>
  <c r="U391" i="7"/>
  <c r="T391" i="7"/>
  <c r="S391" i="7"/>
  <c r="R391" i="7"/>
  <c r="Q391" i="7"/>
  <c r="P391" i="7"/>
  <c r="O391" i="7"/>
  <c r="N391" i="7"/>
  <c r="V390" i="7"/>
  <c r="U390" i="7"/>
  <c r="T390" i="7"/>
  <c r="S390" i="7"/>
  <c r="R390" i="7"/>
  <c r="Q390" i="7"/>
  <c r="P390" i="7"/>
  <c r="O390" i="7"/>
  <c r="N390" i="7"/>
  <c r="V389" i="7"/>
  <c r="U389" i="7"/>
  <c r="T389" i="7"/>
  <c r="S389" i="7"/>
  <c r="R389" i="7"/>
  <c r="Q389" i="7"/>
  <c r="P389" i="7"/>
  <c r="O389" i="7"/>
  <c r="N389" i="7"/>
  <c r="V388" i="7"/>
  <c r="U388" i="7"/>
  <c r="T388" i="7"/>
  <c r="S388" i="7"/>
  <c r="R388" i="7"/>
  <c r="Q388" i="7"/>
  <c r="P388" i="7"/>
  <c r="O388" i="7"/>
  <c r="N388" i="7"/>
  <c r="V387" i="7"/>
  <c r="U387" i="7"/>
  <c r="T387" i="7"/>
  <c r="S387" i="7"/>
  <c r="R387" i="7"/>
  <c r="Q387" i="7"/>
  <c r="P387" i="7"/>
  <c r="O387" i="7"/>
  <c r="N387" i="7"/>
  <c r="V386" i="7"/>
  <c r="U386" i="7"/>
  <c r="T386" i="7"/>
  <c r="S386" i="7"/>
  <c r="R386" i="7"/>
  <c r="Q386" i="7"/>
  <c r="P386" i="7"/>
  <c r="O386" i="7"/>
  <c r="N386" i="7"/>
  <c r="V385" i="7"/>
  <c r="U385" i="7"/>
  <c r="T385" i="7"/>
  <c r="S385" i="7"/>
  <c r="R385" i="7"/>
  <c r="Q385" i="7"/>
  <c r="P385" i="7"/>
  <c r="O385" i="7"/>
  <c r="N385" i="7"/>
  <c r="V384" i="7"/>
  <c r="U384" i="7"/>
  <c r="T384" i="7"/>
  <c r="S384" i="7"/>
  <c r="R384" i="7"/>
  <c r="Q384" i="7"/>
  <c r="P384" i="7"/>
  <c r="O384" i="7"/>
  <c r="N384" i="7"/>
  <c r="V383" i="7"/>
  <c r="U383" i="7"/>
  <c r="T383" i="7"/>
  <c r="S383" i="7"/>
  <c r="R383" i="7"/>
  <c r="Q383" i="7"/>
  <c r="P383" i="7"/>
  <c r="O383" i="7"/>
  <c r="N383" i="7"/>
  <c r="V382" i="7"/>
  <c r="U382" i="7"/>
  <c r="T382" i="7"/>
  <c r="S382" i="7"/>
  <c r="R382" i="7"/>
  <c r="Q382" i="7"/>
  <c r="P382" i="7"/>
  <c r="O382" i="7"/>
  <c r="N382" i="7"/>
  <c r="V381" i="7"/>
  <c r="U381" i="7"/>
  <c r="T381" i="7"/>
  <c r="S381" i="7"/>
  <c r="R381" i="7"/>
  <c r="Q381" i="7"/>
  <c r="P381" i="7"/>
  <c r="O381" i="7"/>
  <c r="N381" i="7"/>
  <c r="V380" i="7"/>
  <c r="U380" i="7"/>
  <c r="T380" i="7"/>
  <c r="S380" i="7"/>
  <c r="R380" i="7"/>
  <c r="Q380" i="7"/>
  <c r="P380" i="7"/>
  <c r="O380" i="7"/>
  <c r="N380" i="7"/>
  <c r="V379" i="7"/>
  <c r="U379" i="7"/>
  <c r="T379" i="7"/>
  <c r="S379" i="7"/>
  <c r="R379" i="7"/>
  <c r="Q379" i="7"/>
  <c r="P379" i="7"/>
  <c r="O379" i="7"/>
  <c r="N379" i="7"/>
  <c r="V378" i="7"/>
  <c r="U378" i="7"/>
  <c r="T378" i="7"/>
  <c r="S378" i="7"/>
  <c r="R378" i="7"/>
  <c r="Q378" i="7"/>
  <c r="P378" i="7"/>
  <c r="O378" i="7"/>
  <c r="N378" i="7"/>
  <c r="V377" i="7"/>
  <c r="U377" i="7"/>
  <c r="T377" i="7"/>
  <c r="S377" i="7"/>
  <c r="R377" i="7"/>
  <c r="Q377" i="7"/>
  <c r="P377" i="7"/>
  <c r="O377" i="7"/>
  <c r="N377" i="7"/>
  <c r="V376" i="7"/>
  <c r="U376" i="7"/>
  <c r="T376" i="7"/>
  <c r="S376" i="7"/>
  <c r="R376" i="7"/>
  <c r="Q376" i="7"/>
  <c r="P376" i="7"/>
  <c r="O376" i="7"/>
  <c r="N376" i="7"/>
  <c r="V375" i="7"/>
  <c r="U375" i="7"/>
  <c r="T375" i="7"/>
  <c r="S375" i="7"/>
  <c r="R375" i="7"/>
  <c r="Q375" i="7"/>
  <c r="P375" i="7"/>
  <c r="O375" i="7"/>
  <c r="N375" i="7"/>
  <c r="V374" i="7"/>
  <c r="U374" i="7"/>
  <c r="T374" i="7"/>
  <c r="S374" i="7"/>
  <c r="R374" i="7"/>
  <c r="Q374" i="7"/>
  <c r="P374" i="7"/>
  <c r="O374" i="7"/>
  <c r="N374" i="7"/>
  <c r="V373" i="7"/>
  <c r="U373" i="7"/>
  <c r="T373" i="7"/>
  <c r="S373" i="7"/>
  <c r="R373" i="7"/>
  <c r="Q373" i="7"/>
  <c r="P373" i="7"/>
  <c r="O373" i="7"/>
  <c r="N373" i="7"/>
  <c r="V372" i="7"/>
  <c r="U372" i="7"/>
  <c r="T372" i="7"/>
  <c r="S372" i="7"/>
  <c r="R372" i="7"/>
  <c r="Q372" i="7"/>
  <c r="P372" i="7"/>
  <c r="O372" i="7"/>
  <c r="N372" i="7"/>
  <c r="V371" i="7"/>
  <c r="U371" i="7"/>
  <c r="T371" i="7"/>
  <c r="S371" i="7"/>
  <c r="R371" i="7"/>
  <c r="Q371" i="7"/>
  <c r="P371" i="7"/>
  <c r="O371" i="7"/>
  <c r="N371" i="7"/>
  <c r="V370" i="7"/>
  <c r="U370" i="7"/>
  <c r="T370" i="7"/>
  <c r="S370" i="7"/>
  <c r="R370" i="7"/>
  <c r="Q370" i="7"/>
  <c r="P370" i="7"/>
  <c r="O370" i="7"/>
  <c r="N370" i="7"/>
  <c r="V369" i="7"/>
  <c r="U369" i="7"/>
  <c r="T369" i="7"/>
  <c r="S369" i="7"/>
  <c r="R369" i="7"/>
  <c r="Q369" i="7"/>
  <c r="P369" i="7"/>
  <c r="O369" i="7"/>
  <c r="N369" i="7"/>
  <c r="V368" i="7"/>
  <c r="U368" i="7"/>
  <c r="T368" i="7"/>
  <c r="S368" i="7"/>
  <c r="R368" i="7"/>
  <c r="Q368" i="7"/>
  <c r="P368" i="7"/>
  <c r="O368" i="7"/>
  <c r="N368" i="7"/>
  <c r="V367" i="7"/>
  <c r="U367" i="7"/>
  <c r="T367" i="7"/>
  <c r="S367" i="7"/>
  <c r="R367" i="7"/>
  <c r="Q367" i="7"/>
  <c r="P367" i="7"/>
  <c r="O367" i="7"/>
  <c r="N367" i="7"/>
  <c r="V366" i="7"/>
  <c r="U366" i="7"/>
  <c r="T366" i="7"/>
  <c r="S366" i="7"/>
  <c r="R366" i="7"/>
  <c r="Q366" i="7"/>
  <c r="P366" i="7"/>
  <c r="O366" i="7"/>
  <c r="N366" i="7"/>
  <c r="V365" i="7"/>
  <c r="U365" i="7"/>
  <c r="T365" i="7"/>
  <c r="S365" i="7"/>
  <c r="R365" i="7"/>
  <c r="Q365" i="7"/>
  <c r="P365" i="7"/>
  <c r="O365" i="7"/>
  <c r="N365" i="7"/>
  <c r="V364" i="7"/>
  <c r="U364" i="7"/>
  <c r="T364" i="7"/>
  <c r="S364" i="7"/>
  <c r="R364" i="7"/>
  <c r="Q364" i="7"/>
  <c r="P364" i="7"/>
  <c r="O364" i="7"/>
  <c r="N364" i="7"/>
  <c r="V363" i="7"/>
  <c r="U363" i="7"/>
  <c r="T363" i="7"/>
  <c r="S363" i="7"/>
  <c r="R363" i="7"/>
  <c r="Q363" i="7"/>
  <c r="P363" i="7"/>
  <c r="O363" i="7"/>
  <c r="N363" i="7"/>
  <c r="V362" i="7"/>
  <c r="U362" i="7"/>
  <c r="T362" i="7"/>
  <c r="S362" i="7"/>
  <c r="R362" i="7"/>
  <c r="Q362" i="7"/>
  <c r="P362" i="7"/>
  <c r="O362" i="7"/>
  <c r="N362" i="7"/>
  <c r="V361" i="7"/>
  <c r="U361" i="7"/>
  <c r="T361" i="7"/>
  <c r="S361" i="7"/>
  <c r="R361" i="7"/>
  <c r="Q361" i="7"/>
  <c r="P361" i="7"/>
  <c r="O361" i="7"/>
  <c r="N361" i="7"/>
  <c r="V360" i="7"/>
  <c r="U360" i="7"/>
  <c r="T360" i="7"/>
  <c r="S360" i="7"/>
  <c r="R360" i="7"/>
  <c r="Q360" i="7"/>
  <c r="P360" i="7"/>
  <c r="O360" i="7"/>
  <c r="N360" i="7"/>
  <c r="V359" i="7"/>
  <c r="U359" i="7"/>
  <c r="T359" i="7"/>
  <c r="S359" i="7"/>
  <c r="R359" i="7"/>
  <c r="Q359" i="7"/>
  <c r="P359" i="7"/>
  <c r="O359" i="7"/>
  <c r="N359" i="7"/>
  <c r="V358" i="7"/>
  <c r="U358" i="7"/>
  <c r="T358" i="7"/>
  <c r="S358" i="7"/>
  <c r="R358" i="7"/>
  <c r="Q358" i="7"/>
  <c r="P358" i="7"/>
  <c r="O358" i="7"/>
  <c r="N358" i="7"/>
  <c r="V357" i="7"/>
  <c r="U357" i="7"/>
  <c r="T357" i="7"/>
  <c r="S357" i="7"/>
  <c r="R357" i="7"/>
  <c r="Q357" i="7"/>
  <c r="P357" i="7"/>
  <c r="O357" i="7"/>
  <c r="N357" i="7"/>
  <c r="V356" i="7"/>
  <c r="U356" i="7"/>
  <c r="T356" i="7"/>
  <c r="S356" i="7"/>
  <c r="R356" i="7"/>
  <c r="Q356" i="7"/>
  <c r="P356" i="7"/>
  <c r="O356" i="7"/>
  <c r="N356" i="7"/>
  <c r="V355" i="7"/>
  <c r="U355" i="7"/>
  <c r="T355" i="7"/>
  <c r="S355" i="7"/>
  <c r="R355" i="7"/>
  <c r="Q355" i="7"/>
  <c r="P355" i="7"/>
  <c r="O355" i="7"/>
  <c r="N355" i="7"/>
  <c r="V354" i="7"/>
  <c r="U354" i="7"/>
  <c r="T354" i="7"/>
  <c r="S354" i="7"/>
  <c r="R354" i="7"/>
  <c r="Q354" i="7"/>
  <c r="P354" i="7"/>
  <c r="O354" i="7"/>
  <c r="N354" i="7"/>
  <c r="V353" i="7"/>
  <c r="U353" i="7"/>
  <c r="T353" i="7"/>
  <c r="S353" i="7"/>
  <c r="R353" i="7"/>
  <c r="Q353" i="7"/>
  <c r="P353" i="7"/>
  <c r="O353" i="7"/>
  <c r="N353" i="7"/>
  <c r="V352" i="7"/>
  <c r="U352" i="7"/>
  <c r="T352" i="7"/>
  <c r="S352" i="7"/>
  <c r="R352" i="7"/>
  <c r="Q352" i="7"/>
  <c r="P352" i="7"/>
  <c r="O352" i="7"/>
  <c r="N352" i="7"/>
  <c r="V351" i="7"/>
  <c r="U351" i="7"/>
  <c r="T351" i="7"/>
  <c r="S351" i="7"/>
  <c r="R351" i="7"/>
  <c r="Q351" i="7"/>
  <c r="P351" i="7"/>
  <c r="O351" i="7"/>
  <c r="N351" i="7"/>
  <c r="V350" i="7"/>
  <c r="U350" i="7"/>
  <c r="T350" i="7"/>
  <c r="S350" i="7"/>
  <c r="R350" i="7"/>
  <c r="Q350" i="7"/>
  <c r="P350" i="7"/>
  <c r="O350" i="7"/>
  <c r="N350" i="7"/>
  <c r="V349" i="7"/>
  <c r="U349" i="7"/>
  <c r="T349" i="7"/>
  <c r="S349" i="7"/>
  <c r="R349" i="7"/>
  <c r="Q349" i="7"/>
  <c r="P349" i="7"/>
  <c r="O349" i="7"/>
  <c r="N349" i="7"/>
  <c r="V348" i="7"/>
  <c r="U348" i="7"/>
  <c r="T348" i="7"/>
  <c r="S348" i="7"/>
  <c r="R348" i="7"/>
  <c r="Q348" i="7"/>
  <c r="P348" i="7"/>
  <c r="O348" i="7"/>
  <c r="N348" i="7"/>
  <c r="V347" i="7"/>
  <c r="U347" i="7"/>
  <c r="T347" i="7"/>
  <c r="S347" i="7"/>
  <c r="R347" i="7"/>
  <c r="Q347" i="7"/>
  <c r="P347" i="7"/>
  <c r="O347" i="7"/>
  <c r="N347" i="7"/>
  <c r="V346" i="7"/>
  <c r="U346" i="7"/>
  <c r="T346" i="7"/>
  <c r="S346" i="7"/>
  <c r="R346" i="7"/>
  <c r="Q346" i="7"/>
  <c r="P346" i="7"/>
  <c r="O346" i="7"/>
  <c r="N346" i="7"/>
  <c r="V345" i="7"/>
  <c r="U345" i="7"/>
  <c r="T345" i="7"/>
  <c r="S345" i="7"/>
  <c r="R345" i="7"/>
  <c r="Q345" i="7"/>
  <c r="P345" i="7"/>
  <c r="O345" i="7"/>
  <c r="N345" i="7"/>
  <c r="V344" i="7"/>
  <c r="U344" i="7"/>
  <c r="T344" i="7"/>
  <c r="S344" i="7"/>
  <c r="R344" i="7"/>
  <c r="Q344" i="7"/>
  <c r="P344" i="7"/>
  <c r="O344" i="7"/>
  <c r="N344" i="7"/>
  <c r="V343" i="7"/>
  <c r="U343" i="7"/>
  <c r="T343" i="7"/>
  <c r="S343" i="7"/>
  <c r="R343" i="7"/>
  <c r="Q343" i="7"/>
  <c r="P343" i="7"/>
  <c r="O343" i="7"/>
  <c r="N343" i="7"/>
  <c r="V342" i="7"/>
  <c r="U342" i="7"/>
  <c r="T342" i="7"/>
  <c r="S342" i="7"/>
  <c r="R342" i="7"/>
  <c r="Q342" i="7"/>
  <c r="P342" i="7"/>
  <c r="O342" i="7"/>
  <c r="N342" i="7"/>
  <c r="V341" i="7"/>
  <c r="U341" i="7"/>
  <c r="T341" i="7"/>
  <c r="S341" i="7"/>
  <c r="R341" i="7"/>
  <c r="Q341" i="7"/>
  <c r="P341" i="7"/>
  <c r="O341" i="7"/>
  <c r="N341" i="7"/>
  <c r="V340" i="7"/>
  <c r="U340" i="7"/>
  <c r="T340" i="7"/>
  <c r="S340" i="7"/>
  <c r="R340" i="7"/>
  <c r="Q340" i="7"/>
  <c r="P340" i="7"/>
  <c r="O340" i="7"/>
  <c r="N340" i="7"/>
  <c r="V339" i="7"/>
  <c r="U339" i="7"/>
  <c r="T339" i="7"/>
  <c r="S339" i="7"/>
  <c r="R339" i="7"/>
  <c r="Q339" i="7"/>
  <c r="P339" i="7"/>
  <c r="O339" i="7"/>
  <c r="N339" i="7"/>
  <c r="V338" i="7"/>
  <c r="U338" i="7"/>
  <c r="T338" i="7"/>
  <c r="S338" i="7"/>
  <c r="R338" i="7"/>
  <c r="Q338" i="7"/>
  <c r="P338" i="7"/>
  <c r="O338" i="7"/>
  <c r="N338" i="7"/>
  <c r="V337" i="7"/>
  <c r="U337" i="7"/>
  <c r="T337" i="7"/>
  <c r="S337" i="7"/>
  <c r="R337" i="7"/>
  <c r="Q337" i="7"/>
  <c r="P337" i="7"/>
  <c r="O337" i="7"/>
  <c r="N337" i="7"/>
  <c r="V336" i="7"/>
  <c r="U336" i="7"/>
  <c r="T336" i="7"/>
  <c r="S336" i="7"/>
  <c r="R336" i="7"/>
  <c r="Q336" i="7"/>
  <c r="P336" i="7"/>
  <c r="O336" i="7"/>
  <c r="N336" i="7"/>
  <c r="V335" i="7"/>
  <c r="U335" i="7"/>
  <c r="T335" i="7"/>
  <c r="S335" i="7"/>
  <c r="R335" i="7"/>
  <c r="Q335" i="7"/>
  <c r="P335" i="7"/>
  <c r="O335" i="7"/>
  <c r="N335" i="7"/>
  <c r="V334" i="7"/>
  <c r="U334" i="7"/>
  <c r="T334" i="7"/>
  <c r="S334" i="7"/>
  <c r="R334" i="7"/>
  <c r="Q334" i="7"/>
  <c r="P334" i="7"/>
  <c r="O334" i="7"/>
  <c r="N334" i="7"/>
  <c r="V333" i="7"/>
  <c r="U333" i="7"/>
  <c r="T333" i="7"/>
  <c r="S333" i="7"/>
  <c r="R333" i="7"/>
  <c r="Q333" i="7"/>
  <c r="P333" i="7"/>
  <c r="O333" i="7"/>
  <c r="N333" i="7"/>
  <c r="V332" i="7"/>
  <c r="U332" i="7"/>
  <c r="T332" i="7"/>
  <c r="S332" i="7"/>
  <c r="R332" i="7"/>
  <c r="Q332" i="7"/>
  <c r="P332" i="7"/>
  <c r="O332" i="7"/>
  <c r="N332" i="7"/>
  <c r="V331" i="7"/>
  <c r="U331" i="7"/>
  <c r="T331" i="7"/>
  <c r="S331" i="7"/>
  <c r="R331" i="7"/>
  <c r="Q331" i="7"/>
  <c r="P331" i="7"/>
  <c r="O331" i="7"/>
  <c r="N331" i="7"/>
  <c r="V330" i="7"/>
  <c r="U330" i="7"/>
  <c r="T330" i="7"/>
  <c r="S330" i="7"/>
  <c r="R330" i="7"/>
  <c r="Q330" i="7"/>
  <c r="P330" i="7"/>
  <c r="O330" i="7"/>
  <c r="N330" i="7"/>
  <c r="V329" i="7"/>
  <c r="U329" i="7"/>
  <c r="T329" i="7"/>
  <c r="S329" i="7"/>
  <c r="R329" i="7"/>
  <c r="Q329" i="7"/>
  <c r="P329" i="7"/>
  <c r="O329" i="7"/>
  <c r="N329" i="7"/>
  <c r="V328" i="7"/>
  <c r="U328" i="7"/>
  <c r="T328" i="7"/>
  <c r="S328" i="7"/>
  <c r="R328" i="7"/>
  <c r="Q328" i="7"/>
  <c r="P328" i="7"/>
  <c r="O328" i="7"/>
  <c r="N328" i="7"/>
  <c r="V327" i="7"/>
  <c r="U327" i="7"/>
  <c r="T327" i="7"/>
  <c r="S327" i="7"/>
  <c r="R327" i="7"/>
  <c r="Q327" i="7"/>
  <c r="P327" i="7"/>
  <c r="O327" i="7"/>
  <c r="N327" i="7"/>
  <c r="V326" i="7"/>
  <c r="U326" i="7"/>
  <c r="T326" i="7"/>
  <c r="S326" i="7"/>
  <c r="R326" i="7"/>
  <c r="Q326" i="7"/>
  <c r="P326" i="7"/>
  <c r="O326" i="7"/>
  <c r="N326" i="7"/>
  <c r="V325" i="7"/>
  <c r="U325" i="7"/>
  <c r="T325" i="7"/>
  <c r="S325" i="7"/>
  <c r="R325" i="7"/>
  <c r="Q325" i="7"/>
  <c r="P325" i="7"/>
  <c r="O325" i="7"/>
  <c r="N325" i="7"/>
  <c r="V324" i="7"/>
  <c r="U324" i="7"/>
  <c r="T324" i="7"/>
  <c r="S324" i="7"/>
  <c r="R324" i="7"/>
  <c r="Q324" i="7"/>
  <c r="P324" i="7"/>
  <c r="O324" i="7"/>
  <c r="N324" i="7"/>
  <c r="V323" i="7"/>
  <c r="U323" i="7"/>
  <c r="T323" i="7"/>
  <c r="S323" i="7"/>
  <c r="R323" i="7"/>
  <c r="Q323" i="7"/>
  <c r="P323" i="7"/>
  <c r="O323" i="7"/>
  <c r="N323" i="7"/>
  <c r="V322" i="7"/>
  <c r="U322" i="7"/>
  <c r="T322" i="7"/>
  <c r="S322" i="7"/>
  <c r="R322" i="7"/>
  <c r="Q322" i="7"/>
  <c r="P322" i="7"/>
  <c r="O322" i="7"/>
  <c r="N322" i="7"/>
  <c r="V321" i="7"/>
  <c r="U321" i="7"/>
  <c r="T321" i="7"/>
  <c r="S321" i="7"/>
  <c r="R321" i="7"/>
  <c r="Q321" i="7"/>
  <c r="P321" i="7"/>
  <c r="O321" i="7"/>
  <c r="N321" i="7"/>
  <c r="V320" i="7"/>
  <c r="U320" i="7"/>
  <c r="T320" i="7"/>
  <c r="S320" i="7"/>
  <c r="R320" i="7"/>
  <c r="Q320" i="7"/>
  <c r="P320" i="7"/>
  <c r="O320" i="7"/>
  <c r="N320" i="7"/>
  <c r="V319" i="7"/>
  <c r="U319" i="7"/>
  <c r="T319" i="7"/>
  <c r="S319" i="7"/>
  <c r="R319" i="7"/>
  <c r="Q319" i="7"/>
  <c r="P319" i="7"/>
  <c r="O319" i="7"/>
  <c r="N319" i="7"/>
  <c r="V318" i="7"/>
  <c r="U318" i="7"/>
  <c r="T318" i="7"/>
  <c r="S318" i="7"/>
  <c r="R318" i="7"/>
  <c r="Q318" i="7"/>
  <c r="P318" i="7"/>
  <c r="O318" i="7"/>
  <c r="N318" i="7"/>
  <c r="V317" i="7"/>
  <c r="U317" i="7"/>
  <c r="T317" i="7"/>
  <c r="S317" i="7"/>
  <c r="R317" i="7"/>
  <c r="Q317" i="7"/>
  <c r="P317" i="7"/>
  <c r="O317" i="7"/>
  <c r="N317" i="7"/>
  <c r="V316" i="7"/>
  <c r="U316" i="7"/>
  <c r="T316" i="7"/>
  <c r="S316" i="7"/>
  <c r="R316" i="7"/>
  <c r="Q316" i="7"/>
  <c r="P316" i="7"/>
  <c r="O316" i="7"/>
  <c r="N316" i="7"/>
  <c r="V315" i="7"/>
  <c r="U315" i="7"/>
  <c r="T315" i="7"/>
  <c r="S315" i="7"/>
  <c r="R315" i="7"/>
  <c r="Q315" i="7"/>
  <c r="P315" i="7"/>
  <c r="O315" i="7"/>
  <c r="N315" i="7"/>
  <c r="V314" i="7"/>
  <c r="U314" i="7"/>
  <c r="T314" i="7"/>
  <c r="S314" i="7"/>
  <c r="R314" i="7"/>
  <c r="Q314" i="7"/>
  <c r="P314" i="7"/>
  <c r="O314" i="7"/>
  <c r="N314" i="7"/>
  <c r="V313" i="7"/>
  <c r="U313" i="7"/>
  <c r="T313" i="7"/>
  <c r="S313" i="7"/>
  <c r="R313" i="7"/>
  <c r="Q313" i="7"/>
  <c r="P313" i="7"/>
  <c r="O313" i="7"/>
  <c r="N313" i="7"/>
  <c r="V312" i="7"/>
  <c r="U312" i="7"/>
  <c r="T312" i="7"/>
  <c r="S312" i="7"/>
  <c r="R312" i="7"/>
  <c r="Q312" i="7"/>
  <c r="P312" i="7"/>
  <c r="O312" i="7"/>
  <c r="N312" i="7"/>
  <c r="V311" i="7"/>
  <c r="U311" i="7"/>
  <c r="T311" i="7"/>
  <c r="S311" i="7"/>
  <c r="R311" i="7"/>
  <c r="Q311" i="7"/>
  <c r="P311" i="7"/>
  <c r="O311" i="7"/>
  <c r="N311" i="7"/>
  <c r="V310" i="7"/>
  <c r="U310" i="7"/>
  <c r="T310" i="7"/>
  <c r="S310" i="7"/>
  <c r="R310" i="7"/>
  <c r="Q310" i="7"/>
  <c r="P310" i="7"/>
  <c r="O310" i="7"/>
  <c r="N310" i="7"/>
  <c r="V309" i="7"/>
  <c r="U309" i="7"/>
  <c r="T309" i="7"/>
  <c r="S309" i="7"/>
  <c r="R309" i="7"/>
  <c r="Q309" i="7"/>
  <c r="P309" i="7"/>
  <c r="O309" i="7"/>
  <c r="N309" i="7"/>
  <c r="V308" i="7"/>
  <c r="U308" i="7"/>
  <c r="T308" i="7"/>
  <c r="S308" i="7"/>
  <c r="R308" i="7"/>
  <c r="Q308" i="7"/>
  <c r="P308" i="7"/>
  <c r="O308" i="7"/>
  <c r="N308" i="7"/>
  <c r="V307" i="7"/>
  <c r="U307" i="7"/>
  <c r="T307" i="7"/>
  <c r="S307" i="7"/>
  <c r="R307" i="7"/>
  <c r="Q307" i="7"/>
  <c r="P307" i="7"/>
  <c r="O307" i="7"/>
  <c r="N307" i="7"/>
  <c r="V306" i="7"/>
  <c r="U306" i="7"/>
  <c r="T306" i="7"/>
  <c r="S306" i="7"/>
  <c r="R306" i="7"/>
  <c r="Q306" i="7"/>
  <c r="P306" i="7"/>
  <c r="O306" i="7"/>
  <c r="N306" i="7"/>
  <c r="V305" i="7"/>
  <c r="U305" i="7"/>
  <c r="T305" i="7"/>
  <c r="S305" i="7"/>
  <c r="R305" i="7"/>
  <c r="Q305" i="7"/>
  <c r="P305" i="7"/>
  <c r="O305" i="7"/>
  <c r="N305" i="7"/>
  <c r="V304" i="7"/>
  <c r="U304" i="7"/>
  <c r="T304" i="7"/>
  <c r="S304" i="7"/>
  <c r="R304" i="7"/>
  <c r="Q304" i="7"/>
  <c r="P304" i="7"/>
  <c r="O304" i="7"/>
  <c r="N304" i="7"/>
  <c r="V303" i="7"/>
  <c r="U303" i="7"/>
  <c r="T303" i="7"/>
  <c r="S303" i="7"/>
  <c r="R303" i="7"/>
  <c r="Q303" i="7"/>
  <c r="P303" i="7"/>
  <c r="O303" i="7"/>
  <c r="N303" i="7"/>
  <c r="V302" i="7"/>
  <c r="U302" i="7"/>
  <c r="T302" i="7"/>
  <c r="S302" i="7"/>
  <c r="R302" i="7"/>
  <c r="Q302" i="7"/>
  <c r="P302" i="7"/>
  <c r="O302" i="7"/>
  <c r="N302" i="7"/>
  <c r="V301" i="7"/>
  <c r="U301" i="7"/>
  <c r="T301" i="7"/>
  <c r="S301" i="7"/>
  <c r="R301" i="7"/>
  <c r="Q301" i="7"/>
  <c r="P301" i="7"/>
  <c r="O301" i="7"/>
  <c r="N301" i="7"/>
  <c r="V300" i="7"/>
  <c r="U300" i="7"/>
  <c r="T300" i="7"/>
  <c r="S300" i="7"/>
  <c r="R300" i="7"/>
  <c r="Q300" i="7"/>
  <c r="P300" i="7"/>
  <c r="O300" i="7"/>
  <c r="N300" i="7"/>
  <c r="V299" i="7"/>
  <c r="U299" i="7"/>
  <c r="T299" i="7"/>
  <c r="S299" i="7"/>
  <c r="R299" i="7"/>
  <c r="Q299" i="7"/>
  <c r="P299" i="7"/>
  <c r="O299" i="7"/>
  <c r="N299" i="7"/>
  <c r="V298" i="7"/>
  <c r="U298" i="7"/>
  <c r="T298" i="7"/>
  <c r="S298" i="7"/>
  <c r="R298" i="7"/>
  <c r="Q298" i="7"/>
  <c r="P298" i="7"/>
  <c r="O298" i="7"/>
  <c r="N298" i="7"/>
  <c r="V297" i="7"/>
  <c r="U297" i="7"/>
  <c r="T297" i="7"/>
  <c r="S297" i="7"/>
  <c r="R297" i="7"/>
  <c r="Q297" i="7"/>
  <c r="P297" i="7"/>
  <c r="O297" i="7"/>
  <c r="N297" i="7"/>
  <c r="V296" i="7"/>
  <c r="U296" i="7"/>
  <c r="T296" i="7"/>
  <c r="S296" i="7"/>
  <c r="R296" i="7"/>
  <c r="Q296" i="7"/>
  <c r="P296" i="7"/>
  <c r="O296" i="7"/>
  <c r="N296" i="7"/>
  <c r="V295" i="7"/>
  <c r="U295" i="7"/>
  <c r="T295" i="7"/>
  <c r="S295" i="7"/>
  <c r="R295" i="7"/>
  <c r="Q295" i="7"/>
  <c r="P295" i="7"/>
  <c r="O295" i="7"/>
  <c r="N295" i="7"/>
  <c r="V294" i="7"/>
  <c r="U294" i="7"/>
  <c r="T294" i="7"/>
  <c r="S294" i="7"/>
  <c r="R294" i="7"/>
  <c r="Q294" i="7"/>
  <c r="P294" i="7"/>
  <c r="O294" i="7"/>
  <c r="N294" i="7"/>
  <c r="V293" i="7"/>
  <c r="U293" i="7"/>
  <c r="T293" i="7"/>
  <c r="S293" i="7"/>
  <c r="R293" i="7"/>
  <c r="Q293" i="7"/>
  <c r="P293" i="7"/>
  <c r="O293" i="7"/>
  <c r="N293" i="7"/>
  <c r="V292" i="7"/>
  <c r="U292" i="7"/>
  <c r="T292" i="7"/>
  <c r="S292" i="7"/>
  <c r="R292" i="7"/>
  <c r="Q292" i="7"/>
  <c r="P292" i="7"/>
  <c r="O292" i="7"/>
  <c r="N292" i="7"/>
  <c r="V291" i="7"/>
  <c r="U291" i="7"/>
  <c r="T291" i="7"/>
  <c r="S291" i="7"/>
  <c r="R291" i="7"/>
  <c r="Q291" i="7"/>
  <c r="P291" i="7"/>
  <c r="O291" i="7"/>
  <c r="N291" i="7"/>
  <c r="V290" i="7"/>
  <c r="U290" i="7"/>
  <c r="T290" i="7"/>
  <c r="S290" i="7"/>
  <c r="R290" i="7"/>
  <c r="Q290" i="7"/>
  <c r="P290" i="7"/>
  <c r="O290" i="7"/>
  <c r="N290" i="7"/>
  <c r="V289" i="7"/>
  <c r="U289" i="7"/>
  <c r="T289" i="7"/>
  <c r="S289" i="7"/>
  <c r="R289" i="7"/>
  <c r="Q289" i="7"/>
  <c r="P289" i="7"/>
  <c r="O289" i="7"/>
  <c r="N289" i="7"/>
  <c r="V288" i="7"/>
  <c r="U288" i="7"/>
  <c r="T288" i="7"/>
  <c r="S288" i="7"/>
  <c r="R288" i="7"/>
  <c r="Q288" i="7"/>
  <c r="P288" i="7"/>
  <c r="O288" i="7"/>
  <c r="N288" i="7"/>
  <c r="V287" i="7"/>
  <c r="U287" i="7"/>
  <c r="T287" i="7"/>
  <c r="S287" i="7"/>
  <c r="R287" i="7"/>
  <c r="Q287" i="7"/>
  <c r="P287" i="7"/>
  <c r="O287" i="7"/>
  <c r="N287" i="7"/>
  <c r="V286" i="7"/>
  <c r="U286" i="7"/>
  <c r="T286" i="7"/>
  <c r="S286" i="7"/>
  <c r="R286" i="7"/>
  <c r="Q286" i="7"/>
  <c r="P286" i="7"/>
  <c r="O286" i="7"/>
  <c r="N286" i="7"/>
  <c r="V285" i="7"/>
  <c r="U285" i="7"/>
  <c r="T285" i="7"/>
  <c r="S285" i="7"/>
  <c r="R285" i="7"/>
  <c r="Q285" i="7"/>
  <c r="P285" i="7"/>
  <c r="O285" i="7"/>
  <c r="N285" i="7"/>
  <c r="V284" i="7"/>
  <c r="U284" i="7"/>
  <c r="T284" i="7"/>
  <c r="S284" i="7"/>
  <c r="R284" i="7"/>
  <c r="Q284" i="7"/>
  <c r="P284" i="7"/>
  <c r="O284" i="7"/>
  <c r="N284" i="7"/>
  <c r="V283" i="7"/>
  <c r="U283" i="7"/>
  <c r="T283" i="7"/>
  <c r="S283" i="7"/>
  <c r="R283" i="7"/>
  <c r="Q283" i="7"/>
  <c r="P283" i="7"/>
  <c r="O283" i="7"/>
  <c r="N283" i="7"/>
  <c r="V282" i="7"/>
  <c r="U282" i="7"/>
  <c r="T282" i="7"/>
  <c r="S282" i="7"/>
  <c r="R282" i="7"/>
  <c r="Q282" i="7"/>
  <c r="P282" i="7"/>
  <c r="O282" i="7"/>
  <c r="N282" i="7"/>
  <c r="V281" i="7"/>
  <c r="U281" i="7"/>
  <c r="T281" i="7"/>
  <c r="S281" i="7"/>
  <c r="R281" i="7"/>
  <c r="Q281" i="7"/>
  <c r="P281" i="7"/>
  <c r="O281" i="7"/>
  <c r="N281" i="7"/>
  <c r="V280" i="7"/>
  <c r="U280" i="7"/>
  <c r="T280" i="7"/>
  <c r="S280" i="7"/>
  <c r="R280" i="7"/>
  <c r="Q280" i="7"/>
  <c r="P280" i="7"/>
  <c r="O280" i="7"/>
  <c r="N280" i="7"/>
  <c r="V279" i="7"/>
  <c r="U279" i="7"/>
  <c r="T279" i="7"/>
  <c r="S279" i="7"/>
  <c r="R279" i="7"/>
  <c r="Q279" i="7"/>
  <c r="P279" i="7"/>
  <c r="O279" i="7"/>
  <c r="N279" i="7"/>
  <c r="V278" i="7"/>
  <c r="U278" i="7"/>
  <c r="T278" i="7"/>
  <c r="S278" i="7"/>
  <c r="R278" i="7"/>
  <c r="Q278" i="7"/>
  <c r="P278" i="7"/>
  <c r="O278" i="7"/>
  <c r="N278" i="7"/>
  <c r="V277" i="7"/>
  <c r="U277" i="7"/>
  <c r="T277" i="7"/>
  <c r="S277" i="7"/>
  <c r="R277" i="7"/>
  <c r="Q277" i="7"/>
  <c r="P277" i="7"/>
  <c r="O277" i="7"/>
  <c r="N277" i="7"/>
  <c r="V276" i="7"/>
  <c r="U276" i="7"/>
  <c r="T276" i="7"/>
  <c r="S276" i="7"/>
  <c r="R276" i="7"/>
  <c r="Q276" i="7"/>
  <c r="P276" i="7"/>
  <c r="O276" i="7"/>
  <c r="N276" i="7"/>
  <c r="V275" i="7"/>
  <c r="U275" i="7"/>
  <c r="T275" i="7"/>
  <c r="S275" i="7"/>
  <c r="R275" i="7"/>
  <c r="Q275" i="7"/>
  <c r="P275" i="7"/>
  <c r="O275" i="7"/>
  <c r="N275" i="7"/>
  <c r="V274" i="7"/>
  <c r="U274" i="7"/>
  <c r="T274" i="7"/>
  <c r="S274" i="7"/>
  <c r="R274" i="7"/>
  <c r="Q274" i="7"/>
  <c r="P274" i="7"/>
  <c r="O274" i="7"/>
  <c r="N274" i="7"/>
  <c r="V273" i="7"/>
  <c r="U273" i="7"/>
  <c r="T273" i="7"/>
  <c r="S273" i="7"/>
  <c r="R273" i="7"/>
  <c r="Q273" i="7"/>
  <c r="P273" i="7"/>
  <c r="O273" i="7"/>
  <c r="N273" i="7"/>
  <c r="V272" i="7"/>
  <c r="U272" i="7"/>
  <c r="T272" i="7"/>
  <c r="S272" i="7"/>
  <c r="R272" i="7"/>
  <c r="Q272" i="7"/>
  <c r="P272" i="7"/>
  <c r="O272" i="7"/>
  <c r="N272" i="7"/>
  <c r="V271" i="7"/>
  <c r="U271" i="7"/>
  <c r="T271" i="7"/>
  <c r="S271" i="7"/>
  <c r="R271" i="7"/>
  <c r="Q271" i="7"/>
  <c r="P271" i="7"/>
  <c r="O271" i="7"/>
  <c r="N271" i="7"/>
  <c r="V270" i="7"/>
  <c r="U270" i="7"/>
  <c r="T270" i="7"/>
  <c r="S270" i="7"/>
  <c r="R270" i="7"/>
  <c r="Q270" i="7"/>
  <c r="P270" i="7"/>
  <c r="O270" i="7"/>
  <c r="N270" i="7"/>
  <c r="V269" i="7"/>
  <c r="U269" i="7"/>
  <c r="T269" i="7"/>
  <c r="S269" i="7"/>
  <c r="R269" i="7"/>
  <c r="Q269" i="7"/>
  <c r="P269" i="7"/>
  <c r="O269" i="7"/>
  <c r="N269" i="7"/>
  <c r="V268" i="7"/>
  <c r="U268" i="7"/>
  <c r="T268" i="7"/>
  <c r="S268" i="7"/>
  <c r="R268" i="7"/>
  <c r="Q268" i="7"/>
  <c r="P268" i="7"/>
  <c r="O268" i="7"/>
  <c r="N268" i="7"/>
  <c r="V267" i="7"/>
  <c r="U267" i="7"/>
  <c r="T267" i="7"/>
  <c r="S267" i="7"/>
  <c r="R267" i="7"/>
  <c r="Q267" i="7"/>
  <c r="P267" i="7"/>
  <c r="O267" i="7"/>
  <c r="N267" i="7"/>
  <c r="V266" i="7"/>
  <c r="U266" i="7"/>
  <c r="T266" i="7"/>
  <c r="S266" i="7"/>
  <c r="R266" i="7"/>
  <c r="Q266" i="7"/>
  <c r="P266" i="7"/>
  <c r="O266" i="7"/>
  <c r="N266" i="7"/>
  <c r="V265" i="7"/>
  <c r="U265" i="7"/>
  <c r="T265" i="7"/>
  <c r="S265" i="7"/>
  <c r="R265" i="7"/>
  <c r="Q265" i="7"/>
  <c r="P265" i="7"/>
  <c r="O265" i="7"/>
  <c r="N265" i="7"/>
  <c r="V264" i="7"/>
  <c r="U264" i="7"/>
  <c r="T264" i="7"/>
  <c r="S264" i="7"/>
  <c r="R264" i="7"/>
  <c r="Q264" i="7"/>
  <c r="P264" i="7"/>
  <c r="O264" i="7"/>
  <c r="N264" i="7"/>
  <c r="V263" i="7"/>
  <c r="U263" i="7"/>
  <c r="T263" i="7"/>
  <c r="S263" i="7"/>
  <c r="R263" i="7"/>
  <c r="Q263" i="7"/>
  <c r="P263" i="7"/>
  <c r="O263" i="7"/>
  <c r="N263" i="7"/>
  <c r="V262" i="7"/>
  <c r="U262" i="7"/>
  <c r="T262" i="7"/>
  <c r="S262" i="7"/>
  <c r="R262" i="7"/>
  <c r="Q262" i="7"/>
  <c r="P262" i="7"/>
  <c r="O262" i="7"/>
  <c r="N262" i="7"/>
  <c r="V261" i="7"/>
  <c r="U261" i="7"/>
  <c r="T261" i="7"/>
  <c r="S261" i="7"/>
  <c r="R261" i="7"/>
  <c r="Q261" i="7"/>
  <c r="P261" i="7"/>
  <c r="O261" i="7"/>
  <c r="N261" i="7"/>
  <c r="V260" i="7"/>
  <c r="U260" i="7"/>
  <c r="T260" i="7"/>
  <c r="S260" i="7"/>
  <c r="R260" i="7"/>
  <c r="Q260" i="7"/>
  <c r="P260" i="7"/>
  <c r="O260" i="7"/>
  <c r="N260" i="7"/>
  <c r="V259" i="7"/>
  <c r="U259" i="7"/>
  <c r="T259" i="7"/>
  <c r="S259" i="7"/>
  <c r="R259" i="7"/>
  <c r="Q259" i="7"/>
  <c r="P259" i="7"/>
  <c r="O259" i="7"/>
  <c r="N259" i="7"/>
  <c r="V258" i="7"/>
  <c r="U258" i="7"/>
  <c r="T258" i="7"/>
  <c r="S258" i="7"/>
  <c r="R258" i="7"/>
  <c r="Q258" i="7"/>
  <c r="P258" i="7"/>
  <c r="O258" i="7"/>
  <c r="N258" i="7"/>
  <c r="V257" i="7"/>
  <c r="U257" i="7"/>
  <c r="T257" i="7"/>
  <c r="S257" i="7"/>
  <c r="R257" i="7"/>
  <c r="Q257" i="7"/>
  <c r="P257" i="7"/>
  <c r="O257" i="7"/>
  <c r="N257" i="7"/>
  <c r="V256" i="7"/>
  <c r="U256" i="7"/>
  <c r="T256" i="7"/>
  <c r="S256" i="7"/>
  <c r="R256" i="7"/>
  <c r="Q256" i="7"/>
  <c r="P256" i="7"/>
  <c r="O256" i="7"/>
  <c r="N256" i="7"/>
  <c r="V255" i="7"/>
  <c r="U255" i="7"/>
  <c r="T255" i="7"/>
  <c r="S255" i="7"/>
  <c r="R255" i="7"/>
  <c r="Q255" i="7"/>
  <c r="P255" i="7"/>
  <c r="O255" i="7"/>
  <c r="N255" i="7"/>
  <c r="V254" i="7"/>
  <c r="U254" i="7"/>
  <c r="T254" i="7"/>
  <c r="S254" i="7"/>
  <c r="R254" i="7"/>
  <c r="Q254" i="7"/>
  <c r="P254" i="7"/>
  <c r="O254" i="7"/>
  <c r="N254" i="7"/>
  <c r="V253" i="7"/>
  <c r="U253" i="7"/>
  <c r="T253" i="7"/>
  <c r="S253" i="7"/>
  <c r="R253" i="7"/>
  <c r="Q253" i="7"/>
  <c r="P253" i="7"/>
  <c r="O253" i="7"/>
  <c r="N253" i="7"/>
  <c r="V252" i="7"/>
  <c r="U252" i="7"/>
  <c r="T252" i="7"/>
  <c r="S252" i="7"/>
  <c r="R252" i="7"/>
  <c r="Q252" i="7"/>
  <c r="P252" i="7"/>
  <c r="O252" i="7"/>
  <c r="N252" i="7"/>
  <c r="V251" i="7"/>
  <c r="U251" i="7"/>
  <c r="T251" i="7"/>
  <c r="S251" i="7"/>
  <c r="R251" i="7"/>
  <c r="Q251" i="7"/>
  <c r="P251" i="7"/>
  <c r="O251" i="7"/>
  <c r="N251" i="7"/>
  <c r="V250" i="7"/>
  <c r="U250" i="7"/>
  <c r="T250" i="7"/>
  <c r="S250" i="7"/>
  <c r="R250" i="7"/>
  <c r="Q250" i="7"/>
  <c r="P250" i="7"/>
  <c r="O250" i="7"/>
  <c r="N250" i="7"/>
  <c r="V249" i="7"/>
  <c r="U249" i="7"/>
  <c r="T249" i="7"/>
  <c r="S249" i="7"/>
  <c r="R249" i="7"/>
  <c r="Q249" i="7"/>
  <c r="P249" i="7"/>
  <c r="O249" i="7"/>
  <c r="N249" i="7"/>
  <c r="V248" i="7"/>
  <c r="U248" i="7"/>
  <c r="T248" i="7"/>
  <c r="S248" i="7"/>
  <c r="R248" i="7"/>
  <c r="Q248" i="7"/>
  <c r="P248" i="7"/>
  <c r="O248" i="7"/>
  <c r="N248" i="7"/>
  <c r="V247" i="7"/>
  <c r="U247" i="7"/>
  <c r="T247" i="7"/>
  <c r="S247" i="7"/>
  <c r="R247" i="7"/>
  <c r="Q247" i="7"/>
  <c r="P247" i="7"/>
  <c r="O247" i="7"/>
  <c r="N247" i="7"/>
  <c r="V246" i="7"/>
  <c r="U246" i="7"/>
  <c r="T246" i="7"/>
  <c r="S246" i="7"/>
  <c r="R246" i="7"/>
  <c r="Q246" i="7"/>
  <c r="P246" i="7"/>
  <c r="O246" i="7"/>
  <c r="N246" i="7"/>
  <c r="V245" i="7"/>
  <c r="U245" i="7"/>
  <c r="T245" i="7"/>
  <c r="S245" i="7"/>
  <c r="R245" i="7"/>
  <c r="Q245" i="7"/>
  <c r="P245" i="7"/>
  <c r="O245" i="7"/>
  <c r="N245" i="7"/>
  <c r="V244" i="7"/>
  <c r="U244" i="7"/>
  <c r="T244" i="7"/>
  <c r="S244" i="7"/>
  <c r="R244" i="7"/>
  <c r="Q244" i="7"/>
  <c r="P244" i="7"/>
  <c r="O244" i="7"/>
  <c r="N244" i="7"/>
  <c r="V243" i="7"/>
  <c r="U243" i="7"/>
  <c r="T243" i="7"/>
  <c r="S243" i="7"/>
  <c r="R243" i="7"/>
  <c r="Q243" i="7"/>
  <c r="P243" i="7"/>
  <c r="O243" i="7"/>
  <c r="N243" i="7"/>
  <c r="V242" i="7"/>
  <c r="U242" i="7"/>
  <c r="T242" i="7"/>
  <c r="S242" i="7"/>
  <c r="R242" i="7"/>
  <c r="Q242" i="7"/>
  <c r="P242" i="7"/>
  <c r="O242" i="7"/>
  <c r="N242" i="7"/>
  <c r="V241" i="7"/>
  <c r="U241" i="7"/>
  <c r="T241" i="7"/>
  <c r="S241" i="7"/>
  <c r="R241" i="7"/>
  <c r="Q241" i="7"/>
  <c r="P241" i="7"/>
  <c r="O241" i="7"/>
  <c r="N241" i="7"/>
  <c r="V240" i="7"/>
  <c r="U240" i="7"/>
  <c r="T240" i="7"/>
  <c r="S240" i="7"/>
  <c r="R240" i="7"/>
  <c r="Q240" i="7"/>
  <c r="P240" i="7"/>
  <c r="O240" i="7"/>
  <c r="N240" i="7"/>
  <c r="V239" i="7"/>
  <c r="U239" i="7"/>
  <c r="T239" i="7"/>
  <c r="S239" i="7"/>
  <c r="R239" i="7"/>
  <c r="Q239" i="7"/>
  <c r="P239" i="7"/>
  <c r="O239" i="7"/>
  <c r="N239" i="7"/>
  <c r="V238" i="7"/>
  <c r="U238" i="7"/>
  <c r="T238" i="7"/>
  <c r="S238" i="7"/>
  <c r="R238" i="7"/>
  <c r="Q238" i="7"/>
  <c r="P238" i="7"/>
  <c r="O238" i="7"/>
  <c r="N238" i="7"/>
  <c r="V237" i="7"/>
  <c r="U237" i="7"/>
  <c r="T237" i="7"/>
  <c r="S237" i="7"/>
  <c r="R237" i="7"/>
  <c r="Q237" i="7"/>
  <c r="P237" i="7"/>
  <c r="O237" i="7"/>
  <c r="N237" i="7"/>
  <c r="V236" i="7"/>
  <c r="U236" i="7"/>
  <c r="T236" i="7"/>
  <c r="S236" i="7"/>
  <c r="R236" i="7"/>
  <c r="Q236" i="7"/>
  <c r="P236" i="7"/>
  <c r="O236" i="7"/>
  <c r="N236" i="7"/>
  <c r="V235" i="7"/>
  <c r="U235" i="7"/>
  <c r="T235" i="7"/>
  <c r="S235" i="7"/>
  <c r="R235" i="7"/>
  <c r="Q235" i="7"/>
  <c r="P235" i="7"/>
  <c r="O235" i="7"/>
  <c r="N235" i="7"/>
  <c r="V234" i="7"/>
  <c r="U234" i="7"/>
  <c r="T234" i="7"/>
  <c r="S234" i="7"/>
  <c r="R234" i="7"/>
  <c r="Q234" i="7"/>
  <c r="P234" i="7"/>
  <c r="O234" i="7"/>
  <c r="N234" i="7"/>
  <c r="V233" i="7"/>
  <c r="U233" i="7"/>
  <c r="T233" i="7"/>
  <c r="S233" i="7"/>
  <c r="R233" i="7"/>
  <c r="Q233" i="7"/>
  <c r="P233" i="7"/>
  <c r="O233" i="7"/>
  <c r="N233" i="7"/>
  <c r="V232" i="7"/>
  <c r="U232" i="7"/>
  <c r="T232" i="7"/>
  <c r="S232" i="7"/>
  <c r="R232" i="7"/>
  <c r="Q232" i="7"/>
  <c r="P232" i="7"/>
  <c r="O232" i="7"/>
  <c r="N232" i="7"/>
  <c r="V231" i="7"/>
  <c r="U231" i="7"/>
  <c r="T231" i="7"/>
  <c r="S231" i="7"/>
  <c r="R231" i="7"/>
  <c r="Q231" i="7"/>
  <c r="P231" i="7"/>
  <c r="O231" i="7"/>
  <c r="N231" i="7"/>
  <c r="V230" i="7"/>
  <c r="U230" i="7"/>
  <c r="T230" i="7"/>
  <c r="S230" i="7"/>
  <c r="R230" i="7"/>
  <c r="Q230" i="7"/>
  <c r="P230" i="7"/>
  <c r="O230" i="7"/>
  <c r="N230" i="7"/>
  <c r="V229" i="7"/>
  <c r="U229" i="7"/>
  <c r="T229" i="7"/>
  <c r="S229" i="7"/>
  <c r="R229" i="7"/>
  <c r="Q229" i="7"/>
  <c r="P229" i="7"/>
  <c r="O229" i="7"/>
  <c r="N229" i="7"/>
  <c r="V228" i="7"/>
  <c r="U228" i="7"/>
  <c r="T228" i="7"/>
  <c r="S228" i="7"/>
  <c r="R228" i="7"/>
  <c r="Q228" i="7"/>
  <c r="P228" i="7"/>
  <c r="O228" i="7"/>
  <c r="N228" i="7"/>
  <c r="V227" i="7"/>
  <c r="U227" i="7"/>
  <c r="T227" i="7"/>
  <c r="S227" i="7"/>
  <c r="R227" i="7"/>
  <c r="Q227" i="7"/>
  <c r="P227" i="7"/>
  <c r="O227" i="7"/>
  <c r="N227" i="7"/>
  <c r="V226" i="7"/>
  <c r="U226" i="7"/>
  <c r="T226" i="7"/>
  <c r="S226" i="7"/>
  <c r="R226" i="7"/>
  <c r="Q226" i="7"/>
  <c r="P226" i="7"/>
  <c r="O226" i="7"/>
  <c r="N226" i="7"/>
  <c r="V225" i="7"/>
  <c r="U225" i="7"/>
  <c r="T225" i="7"/>
  <c r="S225" i="7"/>
  <c r="R225" i="7"/>
  <c r="Q225" i="7"/>
  <c r="P225" i="7"/>
  <c r="O225" i="7"/>
  <c r="N225" i="7"/>
  <c r="V224" i="7"/>
  <c r="U224" i="7"/>
  <c r="T224" i="7"/>
  <c r="S224" i="7"/>
  <c r="R224" i="7"/>
  <c r="Q224" i="7"/>
  <c r="P224" i="7"/>
  <c r="O224" i="7"/>
  <c r="N224" i="7"/>
  <c r="V223" i="7"/>
  <c r="U223" i="7"/>
  <c r="T223" i="7"/>
  <c r="S223" i="7"/>
  <c r="R223" i="7"/>
  <c r="Q223" i="7"/>
  <c r="P223" i="7"/>
  <c r="O223" i="7"/>
  <c r="N223" i="7"/>
  <c r="V222" i="7"/>
  <c r="U222" i="7"/>
  <c r="T222" i="7"/>
  <c r="S222" i="7"/>
  <c r="R222" i="7"/>
  <c r="Q222" i="7"/>
  <c r="P222" i="7"/>
  <c r="O222" i="7"/>
  <c r="N222" i="7"/>
  <c r="V221" i="7"/>
  <c r="U221" i="7"/>
  <c r="T221" i="7"/>
  <c r="S221" i="7"/>
  <c r="R221" i="7"/>
  <c r="Q221" i="7"/>
  <c r="P221" i="7"/>
  <c r="O221" i="7"/>
  <c r="N221" i="7"/>
  <c r="V220" i="7"/>
  <c r="U220" i="7"/>
  <c r="T220" i="7"/>
  <c r="S220" i="7"/>
  <c r="R220" i="7"/>
  <c r="Q220" i="7"/>
  <c r="P220" i="7"/>
  <c r="O220" i="7"/>
  <c r="N220" i="7"/>
  <c r="V219" i="7"/>
  <c r="U219" i="7"/>
  <c r="T219" i="7"/>
  <c r="S219" i="7"/>
  <c r="R219" i="7"/>
  <c r="Q219" i="7"/>
  <c r="P219" i="7"/>
  <c r="O219" i="7"/>
  <c r="N219" i="7"/>
  <c r="V218" i="7"/>
  <c r="U218" i="7"/>
  <c r="T218" i="7"/>
  <c r="S218" i="7"/>
  <c r="R218" i="7"/>
  <c r="Q218" i="7"/>
  <c r="P218" i="7"/>
  <c r="O218" i="7"/>
  <c r="N218" i="7"/>
  <c r="V217" i="7"/>
  <c r="U217" i="7"/>
  <c r="T217" i="7"/>
  <c r="S217" i="7"/>
  <c r="R217" i="7"/>
  <c r="Q217" i="7"/>
  <c r="P217" i="7"/>
  <c r="O217" i="7"/>
  <c r="N217" i="7"/>
  <c r="V216" i="7"/>
  <c r="U216" i="7"/>
  <c r="T216" i="7"/>
  <c r="S216" i="7"/>
  <c r="R216" i="7"/>
  <c r="Q216" i="7"/>
  <c r="P216" i="7"/>
  <c r="O216" i="7"/>
  <c r="N216" i="7"/>
  <c r="V215" i="7"/>
  <c r="U215" i="7"/>
  <c r="T215" i="7"/>
  <c r="S215" i="7"/>
  <c r="R215" i="7"/>
  <c r="Q215" i="7"/>
  <c r="P215" i="7"/>
  <c r="O215" i="7"/>
  <c r="N215" i="7"/>
  <c r="V214" i="7"/>
  <c r="U214" i="7"/>
  <c r="T214" i="7"/>
  <c r="S214" i="7"/>
  <c r="R214" i="7"/>
  <c r="Q214" i="7"/>
  <c r="P214" i="7"/>
  <c r="O214" i="7"/>
  <c r="N214" i="7"/>
  <c r="V213" i="7"/>
  <c r="U213" i="7"/>
  <c r="T213" i="7"/>
  <c r="S213" i="7"/>
  <c r="R213" i="7"/>
  <c r="Q213" i="7"/>
  <c r="P213" i="7"/>
  <c r="O213" i="7"/>
  <c r="N213" i="7"/>
  <c r="V212" i="7"/>
  <c r="U212" i="7"/>
  <c r="T212" i="7"/>
  <c r="S212" i="7"/>
  <c r="R212" i="7"/>
  <c r="Q212" i="7"/>
  <c r="P212" i="7"/>
  <c r="O212" i="7"/>
  <c r="N212" i="7"/>
  <c r="V211" i="7"/>
  <c r="U211" i="7"/>
  <c r="T211" i="7"/>
  <c r="S211" i="7"/>
  <c r="R211" i="7"/>
  <c r="Q211" i="7"/>
  <c r="P211" i="7"/>
  <c r="O211" i="7"/>
  <c r="N211" i="7"/>
  <c r="V210" i="7"/>
  <c r="U210" i="7"/>
  <c r="T210" i="7"/>
  <c r="S210" i="7"/>
  <c r="R210" i="7"/>
  <c r="Q210" i="7"/>
  <c r="P210" i="7"/>
  <c r="O210" i="7"/>
  <c r="N210" i="7"/>
  <c r="V209" i="7"/>
  <c r="U209" i="7"/>
  <c r="T209" i="7"/>
  <c r="S209" i="7"/>
  <c r="R209" i="7"/>
  <c r="Q209" i="7"/>
  <c r="P209" i="7"/>
  <c r="O209" i="7"/>
  <c r="N209" i="7"/>
  <c r="V208" i="7"/>
  <c r="U208" i="7"/>
  <c r="T208" i="7"/>
  <c r="S208" i="7"/>
  <c r="R208" i="7"/>
  <c r="Q208" i="7"/>
  <c r="P208" i="7"/>
  <c r="O208" i="7"/>
  <c r="N208" i="7"/>
  <c r="V207" i="7"/>
  <c r="U207" i="7"/>
  <c r="T207" i="7"/>
  <c r="S207" i="7"/>
  <c r="R207" i="7"/>
  <c r="Q207" i="7"/>
  <c r="P207" i="7"/>
  <c r="O207" i="7"/>
  <c r="N207" i="7"/>
  <c r="V206" i="7"/>
  <c r="U206" i="7"/>
  <c r="T206" i="7"/>
  <c r="S206" i="7"/>
  <c r="R206" i="7"/>
  <c r="Q206" i="7"/>
  <c r="P206" i="7"/>
  <c r="O206" i="7"/>
  <c r="N206" i="7"/>
  <c r="V205" i="7"/>
  <c r="U205" i="7"/>
  <c r="T205" i="7"/>
  <c r="S205" i="7"/>
  <c r="R205" i="7"/>
  <c r="Q205" i="7"/>
  <c r="P205" i="7"/>
  <c r="O205" i="7"/>
  <c r="N205" i="7"/>
  <c r="V204" i="7"/>
  <c r="U204" i="7"/>
  <c r="T204" i="7"/>
  <c r="S204" i="7"/>
  <c r="R204" i="7"/>
  <c r="Q204" i="7"/>
  <c r="P204" i="7"/>
  <c r="O204" i="7"/>
  <c r="N204" i="7"/>
  <c r="V203" i="7"/>
  <c r="U203" i="7"/>
  <c r="T203" i="7"/>
  <c r="S203" i="7"/>
  <c r="R203" i="7"/>
  <c r="Q203" i="7"/>
  <c r="P203" i="7"/>
  <c r="O203" i="7"/>
  <c r="N203" i="7"/>
  <c r="V202" i="7"/>
  <c r="U202" i="7"/>
  <c r="T202" i="7"/>
  <c r="S202" i="7"/>
  <c r="R202" i="7"/>
  <c r="Q202" i="7"/>
  <c r="P202" i="7"/>
  <c r="O202" i="7"/>
  <c r="N202" i="7"/>
  <c r="V201" i="7"/>
  <c r="U201" i="7"/>
  <c r="T201" i="7"/>
  <c r="S201" i="7"/>
  <c r="R201" i="7"/>
  <c r="Q201" i="7"/>
  <c r="P201" i="7"/>
  <c r="O201" i="7"/>
  <c r="N201" i="7"/>
  <c r="V200" i="7"/>
  <c r="U200" i="7"/>
  <c r="T200" i="7"/>
  <c r="S200" i="7"/>
  <c r="R200" i="7"/>
  <c r="Q200" i="7"/>
  <c r="P200" i="7"/>
  <c r="O200" i="7"/>
  <c r="N200" i="7"/>
  <c r="V199" i="7"/>
  <c r="U199" i="7"/>
  <c r="T199" i="7"/>
  <c r="S199" i="7"/>
  <c r="R199" i="7"/>
  <c r="Q199" i="7"/>
  <c r="P199" i="7"/>
  <c r="O199" i="7"/>
  <c r="N199" i="7"/>
  <c r="V198" i="7"/>
  <c r="U198" i="7"/>
  <c r="T198" i="7"/>
  <c r="S198" i="7"/>
  <c r="R198" i="7"/>
  <c r="Q198" i="7"/>
  <c r="P198" i="7"/>
  <c r="O198" i="7"/>
  <c r="N198" i="7"/>
  <c r="V197" i="7"/>
  <c r="U197" i="7"/>
  <c r="T197" i="7"/>
  <c r="S197" i="7"/>
  <c r="R197" i="7"/>
  <c r="Q197" i="7"/>
  <c r="P197" i="7"/>
  <c r="O197" i="7"/>
  <c r="N197" i="7"/>
  <c r="V196" i="7"/>
  <c r="U196" i="7"/>
  <c r="T196" i="7"/>
  <c r="S196" i="7"/>
  <c r="R196" i="7"/>
  <c r="Q196" i="7"/>
  <c r="P196" i="7"/>
  <c r="O196" i="7"/>
  <c r="N196" i="7"/>
  <c r="V195" i="7"/>
  <c r="U195" i="7"/>
  <c r="T195" i="7"/>
  <c r="S195" i="7"/>
  <c r="R195" i="7"/>
  <c r="Q195" i="7"/>
  <c r="P195" i="7"/>
  <c r="O195" i="7"/>
  <c r="N195" i="7"/>
  <c r="V194" i="7"/>
  <c r="U194" i="7"/>
  <c r="T194" i="7"/>
  <c r="S194" i="7"/>
  <c r="R194" i="7"/>
  <c r="Q194" i="7"/>
  <c r="P194" i="7"/>
  <c r="O194" i="7"/>
  <c r="N194" i="7"/>
  <c r="V193" i="7"/>
  <c r="U193" i="7"/>
  <c r="T193" i="7"/>
  <c r="S193" i="7"/>
  <c r="R193" i="7"/>
  <c r="Q193" i="7"/>
  <c r="P193" i="7"/>
  <c r="O193" i="7"/>
  <c r="N193" i="7"/>
  <c r="V192" i="7"/>
  <c r="U192" i="7"/>
  <c r="T192" i="7"/>
  <c r="S192" i="7"/>
  <c r="R192" i="7"/>
  <c r="Q192" i="7"/>
  <c r="P192" i="7"/>
  <c r="O192" i="7"/>
  <c r="N192" i="7"/>
  <c r="V191" i="7"/>
  <c r="U191" i="7"/>
  <c r="T191" i="7"/>
  <c r="S191" i="7"/>
  <c r="R191" i="7"/>
  <c r="Q191" i="7"/>
  <c r="P191" i="7"/>
  <c r="O191" i="7"/>
  <c r="N191" i="7"/>
  <c r="V190" i="7"/>
  <c r="U190" i="7"/>
  <c r="T190" i="7"/>
  <c r="S190" i="7"/>
  <c r="R190" i="7"/>
  <c r="Q190" i="7"/>
  <c r="P190" i="7"/>
  <c r="O190" i="7"/>
  <c r="N190" i="7"/>
  <c r="V189" i="7"/>
  <c r="U189" i="7"/>
  <c r="T189" i="7"/>
  <c r="S189" i="7"/>
  <c r="R189" i="7"/>
  <c r="Q189" i="7"/>
  <c r="P189" i="7"/>
  <c r="O189" i="7"/>
  <c r="N189" i="7"/>
  <c r="V188" i="7"/>
  <c r="U188" i="7"/>
  <c r="T188" i="7"/>
  <c r="S188" i="7"/>
  <c r="R188" i="7"/>
  <c r="Q188" i="7"/>
  <c r="P188" i="7"/>
  <c r="O188" i="7"/>
  <c r="N188" i="7"/>
  <c r="V187" i="7"/>
  <c r="U187" i="7"/>
  <c r="T187" i="7"/>
  <c r="S187" i="7"/>
  <c r="R187" i="7"/>
  <c r="Q187" i="7"/>
  <c r="P187" i="7"/>
  <c r="O187" i="7"/>
  <c r="N187" i="7"/>
  <c r="V186" i="7"/>
  <c r="U186" i="7"/>
  <c r="T186" i="7"/>
  <c r="S186" i="7"/>
  <c r="R186" i="7"/>
  <c r="Q186" i="7"/>
  <c r="P186" i="7"/>
  <c r="O186" i="7"/>
  <c r="N186" i="7"/>
  <c r="V185" i="7"/>
  <c r="U185" i="7"/>
  <c r="T185" i="7"/>
  <c r="S185" i="7"/>
  <c r="R185" i="7"/>
  <c r="Q185" i="7"/>
  <c r="P185" i="7"/>
  <c r="O185" i="7"/>
  <c r="N185" i="7"/>
  <c r="V184" i="7"/>
  <c r="U184" i="7"/>
  <c r="T184" i="7"/>
  <c r="S184" i="7"/>
  <c r="R184" i="7"/>
  <c r="Q184" i="7"/>
  <c r="P184" i="7"/>
  <c r="O184" i="7"/>
  <c r="N184" i="7"/>
  <c r="V183" i="7"/>
  <c r="U183" i="7"/>
  <c r="T183" i="7"/>
  <c r="S183" i="7"/>
  <c r="R183" i="7"/>
  <c r="Q183" i="7"/>
  <c r="P183" i="7"/>
  <c r="O183" i="7"/>
  <c r="N183" i="7"/>
  <c r="V182" i="7"/>
  <c r="U182" i="7"/>
  <c r="T182" i="7"/>
  <c r="S182" i="7"/>
  <c r="R182" i="7"/>
  <c r="Q182" i="7"/>
  <c r="P182" i="7"/>
  <c r="O182" i="7"/>
  <c r="N182" i="7"/>
  <c r="V181" i="7"/>
  <c r="U181" i="7"/>
  <c r="T181" i="7"/>
  <c r="S181" i="7"/>
  <c r="R181" i="7"/>
  <c r="Q181" i="7"/>
  <c r="P181" i="7"/>
  <c r="O181" i="7"/>
  <c r="N181" i="7"/>
  <c r="V180" i="7"/>
  <c r="U180" i="7"/>
  <c r="T180" i="7"/>
  <c r="S180" i="7"/>
  <c r="R180" i="7"/>
  <c r="Q180" i="7"/>
  <c r="P180" i="7"/>
  <c r="O180" i="7"/>
  <c r="N180" i="7"/>
  <c r="V179" i="7"/>
  <c r="U179" i="7"/>
  <c r="T179" i="7"/>
  <c r="S179" i="7"/>
  <c r="R179" i="7"/>
  <c r="Q179" i="7"/>
  <c r="P179" i="7"/>
  <c r="O179" i="7"/>
  <c r="N179" i="7"/>
  <c r="V178" i="7"/>
  <c r="U178" i="7"/>
  <c r="T178" i="7"/>
  <c r="S178" i="7"/>
  <c r="R178" i="7"/>
  <c r="Q178" i="7"/>
  <c r="P178" i="7"/>
  <c r="O178" i="7"/>
  <c r="N178" i="7"/>
  <c r="V177" i="7"/>
  <c r="U177" i="7"/>
  <c r="T177" i="7"/>
  <c r="S177" i="7"/>
  <c r="R177" i="7"/>
  <c r="Q177" i="7"/>
  <c r="P177" i="7"/>
  <c r="O177" i="7"/>
  <c r="N177" i="7"/>
  <c r="V176" i="7"/>
  <c r="U176" i="7"/>
  <c r="T176" i="7"/>
  <c r="S176" i="7"/>
  <c r="R176" i="7"/>
  <c r="Q176" i="7"/>
  <c r="P176" i="7"/>
  <c r="O176" i="7"/>
  <c r="N176" i="7"/>
  <c r="V175" i="7"/>
  <c r="U175" i="7"/>
  <c r="T175" i="7"/>
  <c r="S175" i="7"/>
  <c r="R175" i="7"/>
  <c r="Q175" i="7"/>
  <c r="P175" i="7"/>
  <c r="O175" i="7"/>
  <c r="N175" i="7"/>
  <c r="V174" i="7"/>
  <c r="U174" i="7"/>
  <c r="T174" i="7"/>
  <c r="S174" i="7"/>
  <c r="R174" i="7"/>
  <c r="Q174" i="7"/>
  <c r="P174" i="7"/>
  <c r="O174" i="7"/>
  <c r="N174" i="7"/>
  <c r="V173" i="7"/>
  <c r="U173" i="7"/>
  <c r="T173" i="7"/>
  <c r="S173" i="7"/>
  <c r="R173" i="7"/>
  <c r="Q173" i="7"/>
  <c r="P173" i="7"/>
  <c r="O173" i="7"/>
  <c r="N173" i="7"/>
  <c r="V172" i="7"/>
  <c r="U172" i="7"/>
  <c r="T172" i="7"/>
  <c r="S172" i="7"/>
  <c r="R172" i="7"/>
  <c r="Q172" i="7"/>
  <c r="P172" i="7"/>
  <c r="O172" i="7"/>
  <c r="N172" i="7"/>
  <c r="V171" i="7"/>
  <c r="U171" i="7"/>
  <c r="T171" i="7"/>
  <c r="S171" i="7"/>
  <c r="R171" i="7"/>
  <c r="Q171" i="7"/>
  <c r="P171" i="7"/>
  <c r="O171" i="7"/>
  <c r="N171" i="7"/>
  <c r="V170" i="7"/>
  <c r="U170" i="7"/>
  <c r="T170" i="7"/>
  <c r="S170" i="7"/>
  <c r="R170" i="7"/>
  <c r="Q170" i="7"/>
  <c r="P170" i="7"/>
  <c r="O170" i="7"/>
  <c r="N170" i="7"/>
  <c r="V169" i="7"/>
  <c r="U169" i="7"/>
  <c r="T169" i="7"/>
  <c r="S169" i="7"/>
  <c r="R169" i="7"/>
  <c r="Q169" i="7"/>
  <c r="P169" i="7"/>
  <c r="O169" i="7"/>
  <c r="N169" i="7"/>
  <c r="V168" i="7"/>
  <c r="U168" i="7"/>
  <c r="T168" i="7"/>
  <c r="S168" i="7"/>
  <c r="R168" i="7"/>
  <c r="Q168" i="7"/>
  <c r="P168" i="7"/>
  <c r="O168" i="7"/>
  <c r="N168" i="7"/>
  <c r="V167" i="7"/>
  <c r="U167" i="7"/>
  <c r="T167" i="7"/>
  <c r="S167" i="7"/>
  <c r="R167" i="7"/>
  <c r="Q167" i="7"/>
  <c r="P167" i="7"/>
  <c r="O167" i="7"/>
  <c r="N167" i="7"/>
  <c r="V166" i="7"/>
  <c r="U166" i="7"/>
  <c r="T166" i="7"/>
  <c r="S166" i="7"/>
  <c r="R166" i="7"/>
  <c r="Q166" i="7"/>
  <c r="P166" i="7"/>
  <c r="O166" i="7"/>
  <c r="N166" i="7"/>
  <c r="V165" i="7"/>
  <c r="U165" i="7"/>
  <c r="T165" i="7"/>
  <c r="S165" i="7"/>
  <c r="R165" i="7"/>
  <c r="Q165" i="7"/>
  <c r="P165" i="7"/>
  <c r="O165" i="7"/>
  <c r="N165" i="7"/>
  <c r="V164" i="7"/>
  <c r="U164" i="7"/>
  <c r="T164" i="7"/>
  <c r="S164" i="7"/>
  <c r="R164" i="7"/>
  <c r="Q164" i="7"/>
  <c r="P164" i="7"/>
  <c r="O164" i="7"/>
  <c r="N164" i="7"/>
  <c r="V163" i="7"/>
  <c r="U163" i="7"/>
  <c r="T163" i="7"/>
  <c r="S163" i="7"/>
  <c r="R163" i="7"/>
  <c r="Q163" i="7"/>
  <c r="P163" i="7"/>
  <c r="O163" i="7"/>
  <c r="N163" i="7"/>
  <c r="V162" i="7"/>
  <c r="U162" i="7"/>
  <c r="T162" i="7"/>
  <c r="S162" i="7"/>
  <c r="R162" i="7"/>
  <c r="Q162" i="7"/>
  <c r="P162" i="7"/>
  <c r="O162" i="7"/>
  <c r="N162" i="7"/>
  <c r="V161" i="7"/>
  <c r="U161" i="7"/>
  <c r="T161" i="7"/>
  <c r="S161" i="7"/>
  <c r="R161" i="7"/>
  <c r="Q161" i="7"/>
  <c r="P161" i="7"/>
  <c r="O161" i="7"/>
  <c r="N161" i="7"/>
  <c r="V160" i="7"/>
  <c r="U160" i="7"/>
  <c r="T160" i="7"/>
  <c r="S160" i="7"/>
  <c r="R160" i="7"/>
  <c r="Q160" i="7"/>
  <c r="P160" i="7"/>
  <c r="O160" i="7"/>
  <c r="N160" i="7"/>
  <c r="V159" i="7"/>
  <c r="U159" i="7"/>
  <c r="T159" i="7"/>
  <c r="S159" i="7"/>
  <c r="R159" i="7"/>
  <c r="Q159" i="7"/>
  <c r="P159" i="7"/>
  <c r="O159" i="7"/>
  <c r="N159" i="7"/>
  <c r="V158" i="7"/>
  <c r="U158" i="7"/>
  <c r="T158" i="7"/>
  <c r="S158" i="7"/>
  <c r="R158" i="7"/>
  <c r="Q158" i="7"/>
  <c r="P158" i="7"/>
  <c r="O158" i="7"/>
  <c r="N158" i="7"/>
  <c r="V157" i="7"/>
  <c r="U157" i="7"/>
  <c r="T157" i="7"/>
  <c r="S157" i="7"/>
  <c r="R157" i="7"/>
  <c r="Q157" i="7"/>
  <c r="P157" i="7"/>
  <c r="O157" i="7"/>
  <c r="N157" i="7"/>
  <c r="V156" i="7"/>
  <c r="U156" i="7"/>
  <c r="T156" i="7"/>
  <c r="S156" i="7"/>
  <c r="R156" i="7"/>
  <c r="Q156" i="7"/>
  <c r="P156" i="7"/>
  <c r="O156" i="7"/>
  <c r="N156" i="7"/>
  <c r="V155" i="7"/>
  <c r="U155" i="7"/>
  <c r="T155" i="7"/>
  <c r="S155" i="7"/>
  <c r="R155" i="7"/>
  <c r="Q155" i="7"/>
  <c r="P155" i="7"/>
  <c r="O155" i="7"/>
  <c r="N155" i="7"/>
  <c r="V154" i="7"/>
  <c r="U154" i="7"/>
  <c r="T154" i="7"/>
  <c r="S154" i="7"/>
  <c r="R154" i="7"/>
  <c r="Q154" i="7"/>
  <c r="P154" i="7"/>
  <c r="O154" i="7"/>
  <c r="N154" i="7"/>
  <c r="V153" i="7"/>
  <c r="U153" i="7"/>
  <c r="T153" i="7"/>
  <c r="S153" i="7"/>
  <c r="R153" i="7"/>
  <c r="Q153" i="7"/>
  <c r="P153" i="7"/>
  <c r="O153" i="7"/>
  <c r="N153" i="7"/>
  <c r="V152" i="7"/>
  <c r="U152" i="7"/>
  <c r="T152" i="7"/>
  <c r="S152" i="7"/>
  <c r="R152" i="7"/>
  <c r="Q152" i="7"/>
  <c r="P152" i="7"/>
  <c r="O152" i="7"/>
  <c r="N152" i="7"/>
  <c r="V151" i="7"/>
  <c r="U151" i="7"/>
  <c r="T151" i="7"/>
  <c r="S151" i="7"/>
  <c r="R151" i="7"/>
  <c r="Q151" i="7"/>
  <c r="P151" i="7"/>
  <c r="O151" i="7"/>
  <c r="N151" i="7"/>
  <c r="V150" i="7"/>
  <c r="U150" i="7"/>
  <c r="T150" i="7"/>
  <c r="S150" i="7"/>
  <c r="R150" i="7"/>
  <c r="Q150" i="7"/>
  <c r="P150" i="7"/>
  <c r="O150" i="7"/>
  <c r="N150" i="7"/>
  <c r="V149" i="7"/>
  <c r="U149" i="7"/>
  <c r="T149" i="7"/>
  <c r="S149" i="7"/>
  <c r="R149" i="7"/>
  <c r="Q149" i="7"/>
  <c r="P149" i="7"/>
  <c r="O149" i="7"/>
  <c r="N149" i="7"/>
  <c r="V148" i="7"/>
  <c r="U148" i="7"/>
  <c r="T148" i="7"/>
  <c r="S148" i="7"/>
  <c r="R148" i="7"/>
  <c r="Q148" i="7"/>
  <c r="P148" i="7"/>
  <c r="O148" i="7"/>
  <c r="N148" i="7"/>
  <c r="V147" i="7"/>
  <c r="U147" i="7"/>
  <c r="T147" i="7"/>
  <c r="S147" i="7"/>
  <c r="R147" i="7"/>
  <c r="Q147" i="7"/>
  <c r="P147" i="7"/>
  <c r="O147" i="7"/>
  <c r="N147" i="7"/>
  <c r="V146" i="7"/>
  <c r="U146" i="7"/>
  <c r="T146" i="7"/>
  <c r="S146" i="7"/>
  <c r="R146" i="7"/>
  <c r="Q146" i="7"/>
  <c r="P146" i="7"/>
  <c r="O146" i="7"/>
  <c r="N146" i="7"/>
  <c r="V145" i="7"/>
  <c r="U145" i="7"/>
  <c r="T145" i="7"/>
  <c r="S145" i="7"/>
  <c r="R145" i="7"/>
  <c r="Q145" i="7"/>
  <c r="P145" i="7"/>
  <c r="O145" i="7"/>
  <c r="N145" i="7"/>
  <c r="V144" i="7"/>
  <c r="U144" i="7"/>
  <c r="T144" i="7"/>
  <c r="S144" i="7"/>
  <c r="R144" i="7"/>
  <c r="Q144" i="7"/>
  <c r="P144" i="7"/>
  <c r="O144" i="7"/>
  <c r="N144" i="7"/>
  <c r="V143" i="7"/>
  <c r="U143" i="7"/>
  <c r="T143" i="7"/>
  <c r="S143" i="7"/>
  <c r="R143" i="7"/>
  <c r="Q143" i="7"/>
  <c r="P143" i="7"/>
  <c r="O143" i="7"/>
  <c r="N143" i="7"/>
  <c r="V142" i="7"/>
  <c r="U142" i="7"/>
  <c r="T142" i="7"/>
  <c r="S142" i="7"/>
  <c r="R142" i="7"/>
  <c r="Q142" i="7"/>
  <c r="P142" i="7"/>
  <c r="O142" i="7"/>
  <c r="N142" i="7"/>
  <c r="V141" i="7"/>
  <c r="U141" i="7"/>
  <c r="T141" i="7"/>
  <c r="S141" i="7"/>
  <c r="R141" i="7"/>
  <c r="Q141" i="7"/>
  <c r="P141" i="7"/>
  <c r="O141" i="7"/>
  <c r="N141" i="7"/>
  <c r="V140" i="7"/>
  <c r="U140" i="7"/>
  <c r="T140" i="7"/>
  <c r="S140" i="7"/>
  <c r="R140" i="7"/>
  <c r="Q140" i="7"/>
  <c r="P140" i="7"/>
  <c r="O140" i="7"/>
  <c r="N140" i="7"/>
  <c r="V139" i="7"/>
  <c r="U139" i="7"/>
  <c r="T139" i="7"/>
  <c r="S139" i="7"/>
  <c r="R139" i="7"/>
  <c r="Q139" i="7"/>
  <c r="P139" i="7"/>
  <c r="O139" i="7"/>
  <c r="N139" i="7"/>
  <c r="V138" i="7"/>
  <c r="U138" i="7"/>
  <c r="T138" i="7"/>
  <c r="S138" i="7"/>
  <c r="R138" i="7"/>
  <c r="Q138" i="7"/>
  <c r="P138" i="7"/>
  <c r="O138" i="7"/>
  <c r="N138" i="7"/>
  <c r="V137" i="7"/>
  <c r="U137" i="7"/>
  <c r="T137" i="7"/>
  <c r="S137" i="7"/>
  <c r="R137" i="7"/>
  <c r="Q137" i="7"/>
  <c r="P137" i="7"/>
  <c r="O137" i="7"/>
  <c r="N137" i="7"/>
  <c r="V136" i="7"/>
  <c r="U136" i="7"/>
  <c r="T136" i="7"/>
  <c r="S136" i="7"/>
  <c r="R136" i="7"/>
  <c r="Q136" i="7"/>
  <c r="P136" i="7"/>
  <c r="O136" i="7"/>
  <c r="N136" i="7"/>
  <c r="V135" i="7"/>
  <c r="U135" i="7"/>
  <c r="T135" i="7"/>
  <c r="S135" i="7"/>
  <c r="R135" i="7"/>
  <c r="Q135" i="7"/>
  <c r="P135" i="7"/>
  <c r="O135" i="7"/>
  <c r="N135" i="7"/>
  <c r="V134" i="7"/>
  <c r="U134" i="7"/>
  <c r="T134" i="7"/>
  <c r="S134" i="7"/>
  <c r="R134" i="7"/>
  <c r="Q134" i="7"/>
  <c r="P134" i="7"/>
  <c r="O134" i="7"/>
  <c r="N134" i="7"/>
  <c r="V133" i="7"/>
  <c r="U133" i="7"/>
  <c r="T133" i="7"/>
  <c r="S133" i="7"/>
  <c r="R133" i="7"/>
  <c r="Q133" i="7"/>
  <c r="P133" i="7"/>
  <c r="O133" i="7"/>
  <c r="N133" i="7"/>
  <c r="V132" i="7"/>
  <c r="U132" i="7"/>
  <c r="T132" i="7"/>
  <c r="S132" i="7"/>
  <c r="R132" i="7"/>
  <c r="Q132" i="7"/>
  <c r="P132" i="7"/>
  <c r="O132" i="7"/>
  <c r="N132" i="7"/>
  <c r="V131" i="7"/>
  <c r="U131" i="7"/>
  <c r="T131" i="7"/>
  <c r="S131" i="7"/>
  <c r="R131" i="7"/>
  <c r="Q131" i="7"/>
  <c r="P131" i="7"/>
  <c r="O131" i="7"/>
  <c r="N131" i="7"/>
  <c r="V130" i="7"/>
  <c r="U130" i="7"/>
  <c r="T130" i="7"/>
  <c r="S130" i="7"/>
  <c r="R130" i="7"/>
  <c r="Q130" i="7"/>
  <c r="P130" i="7"/>
  <c r="O130" i="7"/>
  <c r="N130" i="7"/>
  <c r="V129" i="7"/>
  <c r="U129" i="7"/>
  <c r="T129" i="7"/>
  <c r="S129" i="7"/>
  <c r="R129" i="7"/>
  <c r="Q129" i="7"/>
  <c r="P129" i="7"/>
  <c r="O129" i="7"/>
  <c r="N129" i="7"/>
  <c r="V128" i="7"/>
  <c r="U128" i="7"/>
  <c r="T128" i="7"/>
  <c r="S128" i="7"/>
  <c r="R128" i="7"/>
  <c r="Q128" i="7"/>
  <c r="P128" i="7"/>
  <c r="O128" i="7"/>
  <c r="N128" i="7"/>
  <c r="V127" i="7"/>
  <c r="U127" i="7"/>
  <c r="T127" i="7"/>
  <c r="S127" i="7"/>
  <c r="R127" i="7"/>
  <c r="Q127" i="7"/>
  <c r="P127" i="7"/>
  <c r="O127" i="7"/>
  <c r="N127" i="7"/>
  <c r="V126" i="7"/>
  <c r="U126" i="7"/>
  <c r="T126" i="7"/>
  <c r="S126" i="7"/>
  <c r="R126" i="7"/>
  <c r="Q126" i="7"/>
  <c r="P126" i="7"/>
  <c r="O126" i="7"/>
  <c r="N126" i="7"/>
  <c r="V125" i="7"/>
  <c r="U125" i="7"/>
  <c r="T125" i="7"/>
  <c r="S125" i="7"/>
  <c r="R125" i="7"/>
  <c r="Q125" i="7"/>
  <c r="P125" i="7"/>
  <c r="O125" i="7"/>
  <c r="N125" i="7"/>
  <c r="V124" i="7"/>
  <c r="U124" i="7"/>
  <c r="T124" i="7"/>
  <c r="S124" i="7"/>
  <c r="R124" i="7"/>
  <c r="Q124" i="7"/>
  <c r="P124" i="7"/>
  <c r="O124" i="7"/>
  <c r="N124" i="7"/>
  <c r="V123" i="7"/>
  <c r="U123" i="7"/>
  <c r="T123" i="7"/>
  <c r="S123" i="7"/>
  <c r="R123" i="7"/>
  <c r="Q123" i="7"/>
  <c r="P123" i="7"/>
  <c r="O123" i="7"/>
  <c r="N123" i="7"/>
  <c r="V122" i="7"/>
  <c r="U122" i="7"/>
  <c r="T122" i="7"/>
  <c r="S122" i="7"/>
  <c r="R122" i="7"/>
  <c r="Q122" i="7"/>
  <c r="P122" i="7"/>
  <c r="O122" i="7"/>
  <c r="N122" i="7"/>
  <c r="V121" i="7"/>
  <c r="U121" i="7"/>
  <c r="T121" i="7"/>
  <c r="S121" i="7"/>
  <c r="R121" i="7"/>
  <c r="Q121" i="7"/>
  <c r="P121" i="7"/>
  <c r="O121" i="7"/>
  <c r="N121" i="7"/>
  <c r="V120" i="7"/>
  <c r="U120" i="7"/>
  <c r="T120" i="7"/>
  <c r="S120" i="7"/>
  <c r="R120" i="7"/>
  <c r="Q120" i="7"/>
  <c r="P120" i="7"/>
  <c r="O120" i="7"/>
  <c r="N120" i="7"/>
  <c r="V119" i="7"/>
  <c r="U119" i="7"/>
  <c r="T119" i="7"/>
  <c r="S119" i="7"/>
  <c r="R119" i="7"/>
  <c r="Q119" i="7"/>
  <c r="P119" i="7"/>
  <c r="O119" i="7"/>
  <c r="N119" i="7"/>
  <c r="V118" i="7"/>
  <c r="U118" i="7"/>
  <c r="T118" i="7"/>
  <c r="S118" i="7"/>
  <c r="R118" i="7"/>
  <c r="Q118" i="7"/>
  <c r="P118" i="7"/>
  <c r="O118" i="7"/>
  <c r="N118" i="7"/>
  <c r="V117" i="7"/>
  <c r="U117" i="7"/>
  <c r="T117" i="7"/>
  <c r="S117" i="7"/>
  <c r="R117" i="7"/>
  <c r="Q117" i="7"/>
  <c r="P117" i="7"/>
  <c r="O117" i="7"/>
  <c r="N117" i="7"/>
  <c r="V116" i="7"/>
  <c r="U116" i="7"/>
  <c r="T116" i="7"/>
  <c r="S116" i="7"/>
  <c r="R116" i="7"/>
  <c r="Q116" i="7"/>
  <c r="P116" i="7"/>
  <c r="O116" i="7"/>
  <c r="N116" i="7"/>
  <c r="V115" i="7"/>
  <c r="U115" i="7"/>
  <c r="T115" i="7"/>
  <c r="S115" i="7"/>
  <c r="R115" i="7"/>
  <c r="Q115" i="7"/>
  <c r="P115" i="7"/>
  <c r="O115" i="7"/>
  <c r="N115" i="7"/>
  <c r="V114" i="7"/>
  <c r="U114" i="7"/>
  <c r="T114" i="7"/>
  <c r="S114" i="7"/>
  <c r="R114" i="7"/>
  <c r="Q114" i="7"/>
  <c r="P114" i="7"/>
  <c r="O114" i="7"/>
  <c r="N114" i="7"/>
  <c r="V113" i="7"/>
  <c r="U113" i="7"/>
  <c r="T113" i="7"/>
  <c r="S113" i="7"/>
  <c r="R113" i="7"/>
  <c r="Q113" i="7"/>
  <c r="P113" i="7"/>
  <c r="O113" i="7"/>
  <c r="N113" i="7"/>
  <c r="V112" i="7"/>
  <c r="U112" i="7"/>
  <c r="T112" i="7"/>
  <c r="S112" i="7"/>
  <c r="R112" i="7"/>
  <c r="Q112" i="7"/>
  <c r="P112" i="7"/>
  <c r="O112" i="7"/>
  <c r="N112" i="7"/>
  <c r="V111" i="7"/>
  <c r="U111" i="7"/>
  <c r="T111" i="7"/>
  <c r="S111" i="7"/>
  <c r="R111" i="7"/>
  <c r="Q111" i="7"/>
  <c r="P111" i="7"/>
  <c r="O111" i="7"/>
  <c r="N111" i="7"/>
  <c r="V110" i="7"/>
  <c r="U110" i="7"/>
  <c r="T110" i="7"/>
  <c r="S110" i="7"/>
  <c r="R110" i="7"/>
  <c r="Q110" i="7"/>
  <c r="P110" i="7"/>
  <c r="O110" i="7"/>
  <c r="N110" i="7"/>
  <c r="V109" i="7"/>
  <c r="U109" i="7"/>
  <c r="T109" i="7"/>
  <c r="S109" i="7"/>
  <c r="R109" i="7"/>
  <c r="Q109" i="7"/>
  <c r="P109" i="7"/>
  <c r="O109" i="7"/>
  <c r="N109" i="7"/>
  <c r="V108" i="7"/>
  <c r="U108" i="7"/>
  <c r="T108" i="7"/>
  <c r="S108" i="7"/>
  <c r="R108" i="7"/>
  <c r="Q108" i="7"/>
  <c r="P108" i="7"/>
  <c r="O108" i="7"/>
  <c r="N108" i="7"/>
  <c r="V107" i="7"/>
  <c r="U107" i="7"/>
  <c r="T107" i="7"/>
  <c r="S107" i="7"/>
  <c r="R107" i="7"/>
  <c r="Q107" i="7"/>
  <c r="P107" i="7"/>
  <c r="O107" i="7"/>
  <c r="N107" i="7"/>
  <c r="V106" i="7"/>
  <c r="U106" i="7"/>
  <c r="T106" i="7"/>
  <c r="S106" i="7"/>
  <c r="R106" i="7"/>
  <c r="Q106" i="7"/>
  <c r="P106" i="7"/>
  <c r="O106" i="7"/>
  <c r="N106" i="7"/>
  <c r="V105" i="7"/>
  <c r="U105" i="7"/>
  <c r="T105" i="7"/>
  <c r="S105" i="7"/>
  <c r="R105" i="7"/>
  <c r="Q105" i="7"/>
  <c r="P105" i="7"/>
  <c r="O105" i="7"/>
  <c r="N105" i="7"/>
  <c r="V104" i="7"/>
  <c r="U104" i="7"/>
  <c r="T104" i="7"/>
  <c r="S104" i="7"/>
  <c r="R104" i="7"/>
  <c r="Q104" i="7"/>
  <c r="P104" i="7"/>
  <c r="O104" i="7"/>
  <c r="N104" i="7"/>
  <c r="V103" i="7"/>
  <c r="U103" i="7"/>
  <c r="T103" i="7"/>
  <c r="S103" i="7"/>
  <c r="R103" i="7"/>
  <c r="Q103" i="7"/>
  <c r="P103" i="7"/>
  <c r="O103" i="7"/>
  <c r="N103" i="7"/>
  <c r="V102" i="7"/>
  <c r="U102" i="7"/>
  <c r="T102" i="7"/>
  <c r="S102" i="7"/>
  <c r="R102" i="7"/>
  <c r="Q102" i="7"/>
  <c r="P102" i="7"/>
  <c r="O102" i="7"/>
  <c r="N102" i="7"/>
  <c r="V101" i="7"/>
  <c r="U101" i="7"/>
  <c r="T101" i="7"/>
  <c r="S101" i="7"/>
  <c r="R101" i="7"/>
  <c r="Q101" i="7"/>
  <c r="P101" i="7"/>
  <c r="O101" i="7"/>
  <c r="N101" i="7"/>
  <c r="V100" i="7"/>
  <c r="U100" i="7"/>
  <c r="T100" i="7"/>
  <c r="S100" i="7"/>
  <c r="R100" i="7"/>
  <c r="Q100" i="7"/>
  <c r="P100" i="7"/>
  <c r="O100" i="7"/>
  <c r="N100" i="7"/>
  <c r="V99" i="7"/>
  <c r="U99" i="7"/>
  <c r="T99" i="7"/>
  <c r="S99" i="7"/>
  <c r="R99" i="7"/>
  <c r="Q99" i="7"/>
  <c r="P99" i="7"/>
  <c r="O99" i="7"/>
  <c r="N99" i="7"/>
  <c r="V98" i="7"/>
  <c r="U98" i="7"/>
  <c r="T98" i="7"/>
  <c r="S98" i="7"/>
  <c r="R98" i="7"/>
  <c r="Q98" i="7"/>
  <c r="P98" i="7"/>
  <c r="O98" i="7"/>
  <c r="N98" i="7"/>
  <c r="V97" i="7"/>
  <c r="U97" i="7"/>
  <c r="T97" i="7"/>
  <c r="S97" i="7"/>
  <c r="R97" i="7"/>
  <c r="Q97" i="7"/>
  <c r="P97" i="7"/>
  <c r="O97" i="7"/>
  <c r="N97" i="7"/>
  <c r="V96" i="7"/>
  <c r="U96" i="7"/>
  <c r="T96" i="7"/>
  <c r="S96" i="7"/>
  <c r="R96" i="7"/>
  <c r="Q96" i="7"/>
  <c r="P96" i="7"/>
  <c r="O96" i="7"/>
  <c r="N96" i="7"/>
  <c r="V95" i="7"/>
  <c r="U95" i="7"/>
  <c r="T95" i="7"/>
  <c r="S95" i="7"/>
  <c r="R95" i="7"/>
  <c r="Q95" i="7"/>
  <c r="P95" i="7"/>
  <c r="O95" i="7"/>
  <c r="N95" i="7"/>
  <c r="V94" i="7"/>
  <c r="U94" i="7"/>
  <c r="T94" i="7"/>
  <c r="S94" i="7"/>
  <c r="R94" i="7"/>
  <c r="Q94" i="7"/>
  <c r="P94" i="7"/>
  <c r="O94" i="7"/>
  <c r="N94" i="7"/>
  <c r="V93" i="7"/>
  <c r="U93" i="7"/>
  <c r="T93" i="7"/>
  <c r="S93" i="7"/>
  <c r="R93" i="7"/>
  <c r="Q93" i="7"/>
  <c r="P93" i="7"/>
  <c r="O93" i="7"/>
  <c r="N93" i="7"/>
  <c r="V92" i="7"/>
  <c r="U92" i="7"/>
  <c r="T92" i="7"/>
  <c r="S92" i="7"/>
  <c r="R92" i="7"/>
  <c r="Q92" i="7"/>
  <c r="P92" i="7"/>
  <c r="O92" i="7"/>
  <c r="N92" i="7"/>
  <c r="V91" i="7"/>
  <c r="U91" i="7"/>
  <c r="T91" i="7"/>
  <c r="S91" i="7"/>
  <c r="R91" i="7"/>
  <c r="Q91" i="7"/>
  <c r="P91" i="7"/>
  <c r="O91" i="7"/>
  <c r="N91" i="7"/>
  <c r="V90" i="7"/>
  <c r="U90" i="7"/>
  <c r="T90" i="7"/>
  <c r="S90" i="7"/>
  <c r="R90" i="7"/>
  <c r="Q90" i="7"/>
  <c r="P90" i="7"/>
  <c r="O90" i="7"/>
  <c r="N90" i="7"/>
  <c r="V89" i="7"/>
  <c r="U89" i="7"/>
  <c r="T89" i="7"/>
  <c r="S89" i="7"/>
  <c r="R89" i="7"/>
  <c r="Q89" i="7"/>
  <c r="P89" i="7"/>
  <c r="O89" i="7"/>
  <c r="N89" i="7"/>
  <c r="V88" i="7"/>
  <c r="U88" i="7"/>
  <c r="T88" i="7"/>
  <c r="S88" i="7"/>
  <c r="R88" i="7"/>
  <c r="Q88" i="7"/>
  <c r="P88" i="7"/>
  <c r="O88" i="7"/>
  <c r="N88" i="7"/>
  <c r="V87" i="7"/>
  <c r="U87" i="7"/>
  <c r="T87" i="7"/>
  <c r="S87" i="7"/>
  <c r="R87" i="7"/>
  <c r="Q87" i="7"/>
  <c r="P87" i="7"/>
  <c r="O87" i="7"/>
  <c r="N87" i="7"/>
  <c r="V86" i="7"/>
  <c r="U86" i="7"/>
  <c r="T86" i="7"/>
  <c r="S86" i="7"/>
  <c r="R86" i="7"/>
  <c r="Q86" i="7"/>
  <c r="P86" i="7"/>
  <c r="O86" i="7"/>
  <c r="N86" i="7"/>
  <c r="V85" i="7"/>
  <c r="U85" i="7"/>
  <c r="T85" i="7"/>
  <c r="S85" i="7"/>
  <c r="R85" i="7"/>
  <c r="Q85" i="7"/>
  <c r="P85" i="7"/>
  <c r="O85" i="7"/>
  <c r="N85" i="7"/>
  <c r="V84" i="7"/>
  <c r="U84" i="7"/>
  <c r="T84" i="7"/>
  <c r="S84" i="7"/>
  <c r="R84" i="7"/>
  <c r="Q84" i="7"/>
  <c r="P84" i="7"/>
  <c r="O84" i="7"/>
  <c r="N84" i="7"/>
  <c r="V83" i="7"/>
  <c r="U83" i="7"/>
  <c r="T83" i="7"/>
  <c r="S83" i="7"/>
  <c r="R83" i="7"/>
  <c r="Q83" i="7"/>
  <c r="P83" i="7"/>
  <c r="O83" i="7"/>
  <c r="N83" i="7"/>
  <c r="V82" i="7"/>
  <c r="U82" i="7"/>
  <c r="T82" i="7"/>
  <c r="S82" i="7"/>
  <c r="R82" i="7"/>
  <c r="Q82" i="7"/>
  <c r="P82" i="7"/>
  <c r="O82" i="7"/>
  <c r="N82" i="7"/>
  <c r="V81" i="7"/>
  <c r="U81" i="7"/>
  <c r="T81" i="7"/>
  <c r="S81" i="7"/>
  <c r="R81" i="7"/>
  <c r="Q81" i="7"/>
  <c r="P81" i="7"/>
  <c r="O81" i="7"/>
  <c r="N81" i="7"/>
  <c r="V80" i="7"/>
  <c r="U80" i="7"/>
  <c r="T80" i="7"/>
  <c r="S80" i="7"/>
  <c r="R80" i="7"/>
  <c r="Q80" i="7"/>
  <c r="P80" i="7"/>
  <c r="O80" i="7"/>
  <c r="N80" i="7"/>
  <c r="V79" i="7"/>
  <c r="U79" i="7"/>
  <c r="T79" i="7"/>
  <c r="S79" i="7"/>
  <c r="R79" i="7"/>
  <c r="Q79" i="7"/>
  <c r="P79" i="7"/>
  <c r="O79" i="7"/>
  <c r="N79" i="7"/>
  <c r="V78" i="7"/>
  <c r="U78" i="7"/>
  <c r="T78" i="7"/>
  <c r="S78" i="7"/>
  <c r="R78" i="7"/>
  <c r="Q78" i="7"/>
  <c r="P78" i="7"/>
  <c r="O78" i="7"/>
  <c r="N78" i="7"/>
  <c r="V77" i="7"/>
  <c r="U77" i="7"/>
  <c r="T77" i="7"/>
  <c r="S77" i="7"/>
  <c r="R77" i="7"/>
  <c r="Q77" i="7"/>
  <c r="P77" i="7"/>
  <c r="O77" i="7"/>
  <c r="N77" i="7"/>
  <c r="V76" i="7"/>
  <c r="U76" i="7"/>
  <c r="T76" i="7"/>
  <c r="S76" i="7"/>
  <c r="R76" i="7"/>
  <c r="Q76" i="7"/>
  <c r="P76" i="7"/>
  <c r="O76" i="7"/>
  <c r="N76" i="7"/>
  <c r="V75" i="7"/>
  <c r="U75" i="7"/>
  <c r="T75" i="7"/>
  <c r="S75" i="7"/>
  <c r="R75" i="7"/>
  <c r="Q75" i="7"/>
  <c r="P75" i="7"/>
  <c r="O75" i="7"/>
  <c r="N75" i="7"/>
  <c r="V74" i="7"/>
  <c r="U74" i="7"/>
  <c r="T74" i="7"/>
  <c r="S74" i="7"/>
  <c r="R74" i="7"/>
  <c r="Q74" i="7"/>
  <c r="P74" i="7"/>
  <c r="O74" i="7"/>
  <c r="N74" i="7"/>
  <c r="V73" i="7"/>
  <c r="U73" i="7"/>
  <c r="T73" i="7"/>
  <c r="S73" i="7"/>
  <c r="R73" i="7"/>
  <c r="Q73" i="7"/>
  <c r="P73" i="7"/>
  <c r="O73" i="7"/>
  <c r="N73" i="7"/>
  <c r="V72" i="7"/>
  <c r="U72" i="7"/>
  <c r="T72" i="7"/>
  <c r="S72" i="7"/>
  <c r="R72" i="7"/>
  <c r="Q72" i="7"/>
  <c r="P72" i="7"/>
  <c r="O72" i="7"/>
  <c r="N72" i="7"/>
  <c r="V71" i="7"/>
  <c r="U71" i="7"/>
  <c r="T71" i="7"/>
  <c r="S71" i="7"/>
  <c r="R71" i="7"/>
  <c r="Q71" i="7"/>
  <c r="P71" i="7"/>
  <c r="O71" i="7"/>
  <c r="N71" i="7"/>
  <c r="V70" i="7"/>
  <c r="U70" i="7"/>
  <c r="T70" i="7"/>
  <c r="S70" i="7"/>
  <c r="R70" i="7"/>
  <c r="Q70" i="7"/>
  <c r="P70" i="7"/>
  <c r="O70" i="7"/>
  <c r="N70" i="7"/>
  <c r="V69" i="7"/>
  <c r="U69" i="7"/>
  <c r="T69" i="7"/>
  <c r="S69" i="7"/>
  <c r="R69" i="7"/>
  <c r="Q69" i="7"/>
  <c r="P69" i="7"/>
  <c r="O69" i="7"/>
  <c r="N69" i="7"/>
  <c r="V68" i="7"/>
  <c r="U68" i="7"/>
  <c r="T68" i="7"/>
  <c r="S68" i="7"/>
  <c r="R68" i="7"/>
  <c r="Q68" i="7"/>
  <c r="P68" i="7"/>
  <c r="O68" i="7"/>
  <c r="N68" i="7"/>
  <c r="V67" i="7"/>
  <c r="U67" i="7"/>
  <c r="T67" i="7"/>
  <c r="S67" i="7"/>
  <c r="R67" i="7"/>
  <c r="Q67" i="7"/>
  <c r="P67" i="7"/>
  <c r="O67" i="7"/>
  <c r="N67" i="7"/>
  <c r="V66" i="7"/>
  <c r="U66" i="7"/>
  <c r="T66" i="7"/>
  <c r="S66" i="7"/>
  <c r="R66" i="7"/>
  <c r="Q66" i="7"/>
  <c r="P66" i="7"/>
  <c r="O66" i="7"/>
  <c r="N66" i="7"/>
  <c r="V65" i="7"/>
  <c r="U65" i="7"/>
  <c r="T65" i="7"/>
  <c r="S65" i="7"/>
  <c r="R65" i="7"/>
  <c r="Q65" i="7"/>
  <c r="P65" i="7"/>
  <c r="O65" i="7"/>
  <c r="N65" i="7"/>
  <c r="V64" i="7"/>
  <c r="U64" i="7"/>
  <c r="T64" i="7"/>
  <c r="S64" i="7"/>
  <c r="R64" i="7"/>
  <c r="Q64" i="7"/>
  <c r="P64" i="7"/>
  <c r="O64" i="7"/>
  <c r="N64" i="7"/>
  <c r="V63" i="7"/>
  <c r="U63" i="7"/>
  <c r="T63" i="7"/>
  <c r="S63" i="7"/>
  <c r="R63" i="7"/>
  <c r="Q63" i="7"/>
  <c r="P63" i="7"/>
  <c r="O63" i="7"/>
  <c r="N63" i="7"/>
  <c r="V62" i="7"/>
  <c r="U62" i="7"/>
  <c r="T62" i="7"/>
  <c r="S62" i="7"/>
  <c r="R62" i="7"/>
  <c r="Q62" i="7"/>
  <c r="P62" i="7"/>
  <c r="O62" i="7"/>
  <c r="N62" i="7"/>
  <c r="V61" i="7"/>
  <c r="U61" i="7"/>
  <c r="T61" i="7"/>
  <c r="S61" i="7"/>
  <c r="R61" i="7"/>
  <c r="Q61" i="7"/>
  <c r="P61" i="7"/>
  <c r="O61" i="7"/>
  <c r="N61" i="7"/>
  <c r="V60" i="7"/>
  <c r="U60" i="7"/>
  <c r="T60" i="7"/>
  <c r="S60" i="7"/>
  <c r="R60" i="7"/>
  <c r="Q60" i="7"/>
  <c r="P60" i="7"/>
  <c r="O60" i="7"/>
  <c r="N60" i="7"/>
  <c r="V59" i="7"/>
  <c r="U59" i="7"/>
  <c r="T59" i="7"/>
  <c r="S59" i="7"/>
  <c r="R59" i="7"/>
  <c r="Q59" i="7"/>
  <c r="P59" i="7"/>
  <c r="O59" i="7"/>
  <c r="N59" i="7"/>
  <c r="V58" i="7"/>
  <c r="U58" i="7"/>
  <c r="T58" i="7"/>
  <c r="S58" i="7"/>
  <c r="R58" i="7"/>
  <c r="Q58" i="7"/>
  <c r="P58" i="7"/>
  <c r="O58" i="7"/>
  <c r="N58" i="7"/>
  <c r="V57" i="7"/>
  <c r="U57" i="7"/>
  <c r="T57" i="7"/>
  <c r="S57" i="7"/>
  <c r="R57" i="7"/>
  <c r="Q57" i="7"/>
  <c r="P57" i="7"/>
  <c r="O57" i="7"/>
  <c r="N57" i="7"/>
  <c r="V56" i="7"/>
  <c r="U56" i="7"/>
  <c r="T56" i="7"/>
  <c r="S56" i="7"/>
  <c r="R56" i="7"/>
  <c r="Q56" i="7"/>
  <c r="P56" i="7"/>
  <c r="O56" i="7"/>
  <c r="N56" i="7"/>
  <c r="V55" i="7"/>
  <c r="U55" i="7"/>
  <c r="T55" i="7"/>
  <c r="S55" i="7"/>
  <c r="R55" i="7"/>
  <c r="Q55" i="7"/>
  <c r="P55" i="7"/>
  <c r="O55" i="7"/>
  <c r="N55" i="7"/>
  <c r="V54" i="7"/>
  <c r="U54" i="7"/>
  <c r="T54" i="7"/>
  <c r="S54" i="7"/>
  <c r="R54" i="7"/>
  <c r="Q54" i="7"/>
  <c r="P54" i="7"/>
  <c r="O54" i="7"/>
  <c r="N54" i="7"/>
  <c r="V53" i="7"/>
  <c r="U53" i="7"/>
  <c r="T53" i="7"/>
  <c r="S53" i="7"/>
  <c r="R53" i="7"/>
  <c r="Q53" i="7"/>
  <c r="P53" i="7"/>
  <c r="O53" i="7"/>
  <c r="N53" i="7"/>
  <c r="V52" i="7"/>
  <c r="U52" i="7"/>
  <c r="T52" i="7"/>
  <c r="S52" i="7"/>
  <c r="R52" i="7"/>
  <c r="Q52" i="7"/>
  <c r="P52" i="7"/>
  <c r="O52" i="7"/>
  <c r="N52" i="7"/>
  <c r="V51" i="7"/>
  <c r="U51" i="7"/>
  <c r="T51" i="7"/>
  <c r="S51" i="7"/>
  <c r="R51" i="7"/>
  <c r="Q51" i="7"/>
  <c r="P51" i="7"/>
  <c r="O51" i="7"/>
  <c r="N51" i="7"/>
  <c r="V50" i="7"/>
  <c r="U50" i="7"/>
  <c r="T50" i="7"/>
  <c r="S50" i="7"/>
  <c r="R50" i="7"/>
  <c r="Q50" i="7"/>
  <c r="P50" i="7"/>
  <c r="O50" i="7"/>
  <c r="N50" i="7"/>
  <c r="V49" i="7"/>
  <c r="U49" i="7"/>
  <c r="T49" i="7"/>
  <c r="S49" i="7"/>
  <c r="R49" i="7"/>
  <c r="Q49" i="7"/>
  <c r="P49" i="7"/>
  <c r="O49" i="7"/>
  <c r="N49" i="7"/>
  <c r="V48" i="7"/>
  <c r="U48" i="7"/>
  <c r="T48" i="7"/>
  <c r="S48" i="7"/>
  <c r="R48" i="7"/>
  <c r="Q48" i="7"/>
  <c r="P48" i="7"/>
  <c r="O48" i="7"/>
  <c r="N48" i="7"/>
  <c r="V47" i="7"/>
  <c r="U47" i="7"/>
  <c r="T47" i="7"/>
  <c r="S47" i="7"/>
  <c r="R47" i="7"/>
  <c r="Q47" i="7"/>
  <c r="P47" i="7"/>
  <c r="O47" i="7"/>
  <c r="N47" i="7"/>
  <c r="V46" i="7"/>
  <c r="U46" i="7"/>
  <c r="T46" i="7"/>
  <c r="S46" i="7"/>
  <c r="R46" i="7"/>
  <c r="Q46" i="7"/>
  <c r="P46" i="7"/>
  <c r="O46" i="7"/>
  <c r="N46" i="7"/>
  <c r="V45" i="7"/>
  <c r="U45" i="7"/>
  <c r="T45" i="7"/>
  <c r="S45" i="7"/>
  <c r="R45" i="7"/>
  <c r="Q45" i="7"/>
  <c r="P45" i="7"/>
  <c r="O45" i="7"/>
  <c r="N45" i="7"/>
  <c r="V44" i="7"/>
  <c r="U44" i="7"/>
  <c r="T44" i="7"/>
  <c r="S44" i="7"/>
  <c r="R44" i="7"/>
  <c r="Q44" i="7"/>
  <c r="P44" i="7"/>
  <c r="O44" i="7"/>
  <c r="N44" i="7"/>
  <c r="V43" i="7"/>
  <c r="U43" i="7"/>
  <c r="T43" i="7"/>
  <c r="S43" i="7"/>
  <c r="R43" i="7"/>
  <c r="Q43" i="7"/>
  <c r="P43" i="7"/>
  <c r="O43" i="7"/>
  <c r="N43" i="7"/>
  <c r="V42" i="7"/>
  <c r="U42" i="7"/>
  <c r="T42" i="7"/>
  <c r="S42" i="7"/>
  <c r="R42" i="7"/>
  <c r="Q42" i="7"/>
  <c r="P42" i="7"/>
  <c r="O42" i="7"/>
  <c r="N42" i="7"/>
  <c r="V41" i="7"/>
  <c r="U41" i="7"/>
  <c r="T41" i="7"/>
  <c r="S41" i="7"/>
  <c r="R41" i="7"/>
  <c r="Q41" i="7"/>
  <c r="P41" i="7"/>
  <c r="O41" i="7"/>
  <c r="N41" i="7"/>
  <c r="V40" i="7"/>
  <c r="U40" i="7"/>
  <c r="T40" i="7"/>
  <c r="S40" i="7"/>
  <c r="R40" i="7"/>
  <c r="Q40" i="7"/>
  <c r="P40" i="7"/>
  <c r="O40" i="7"/>
  <c r="N40" i="7"/>
  <c r="V39" i="7"/>
  <c r="U39" i="7"/>
  <c r="T39" i="7"/>
  <c r="S39" i="7"/>
  <c r="R39" i="7"/>
  <c r="Q39" i="7"/>
  <c r="P39" i="7"/>
  <c r="O39" i="7"/>
  <c r="N39" i="7"/>
  <c r="V38" i="7"/>
  <c r="U38" i="7"/>
  <c r="T38" i="7"/>
  <c r="S38" i="7"/>
  <c r="R38" i="7"/>
  <c r="Q38" i="7"/>
  <c r="P38" i="7"/>
  <c r="O38" i="7"/>
  <c r="N38" i="7"/>
  <c r="V37" i="7"/>
  <c r="U37" i="7"/>
  <c r="T37" i="7"/>
  <c r="S37" i="7"/>
  <c r="R37" i="7"/>
  <c r="Q37" i="7"/>
  <c r="P37" i="7"/>
  <c r="O37" i="7"/>
  <c r="N37" i="7"/>
  <c r="V36" i="7"/>
  <c r="U36" i="7"/>
  <c r="T36" i="7"/>
  <c r="S36" i="7"/>
  <c r="R36" i="7"/>
  <c r="Q36" i="7"/>
  <c r="P36" i="7"/>
  <c r="O36" i="7"/>
  <c r="N36" i="7"/>
  <c r="V35" i="7"/>
  <c r="U35" i="7"/>
  <c r="T35" i="7"/>
  <c r="S35" i="7"/>
  <c r="R35" i="7"/>
  <c r="Q35" i="7"/>
  <c r="P35" i="7"/>
  <c r="O35" i="7"/>
  <c r="N35" i="7"/>
  <c r="V34" i="7"/>
  <c r="U34" i="7"/>
  <c r="T34" i="7"/>
  <c r="S34" i="7"/>
  <c r="R34" i="7"/>
  <c r="Q34" i="7"/>
  <c r="P34" i="7"/>
  <c r="O34" i="7"/>
  <c r="N34" i="7"/>
  <c r="V33" i="7"/>
  <c r="U33" i="7"/>
  <c r="T33" i="7"/>
  <c r="S33" i="7"/>
  <c r="R33" i="7"/>
  <c r="Q33" i="7"/>
  <c r="P33" i="7"/>
  <c r="O33" i="7"/>
  <c r="N33" i="7"/>
  <c r="V32" i="7"/>
  <c r="U32" i="7"/>
  <c r="T32" i="7"/>
  <c r="S32" i="7"/>
  <c r="R32" i="7"/>
  <c r="Q32" i="7"/>
  <c r="P32" i="7"/>
  <c r="O32" i="7"/>
  <c r="N32" i="7"/>
  <c r="V31" i="7"/>
  <c r="U31" i="7"/>
  <c r="T31" i="7"/>
  <c r="S31" i="7"/>
  <c r="R31" i="7"/>
  <c r="Q31" i="7"/>
  <c r="P31" i="7"/>
  <c r="O31" i="7"/>
  <c r="N31" i="7"/>
  <c r="V30" i="7"/>
  <c r="U30" i="7"/>
  <c r="T30" i="7"/>
  <c r="S30" i="7"/>
  <c r="R30" i="7"/>
  <c r="Q30" i="7"/>
  <c r="P30" i="7"/>
  <c r="O30" i="7"/>
  <c r="N30" i="7"/>
  <c r="V29" i="7"/>
  <c r="U29" i="7"/>
  <c r="T29" i="7"/>
  <c r="S29" i="7"/>
  <c r="R29" i="7"/>
  <c r="Q29" i="7"/>
  <c r="P29" i="7"/>
  <c r="O29" i="7"/>
  <c r="N29" i="7"/>
  <c r="V28" i="7"/>
  <c r="U28" i="7"/>
  <c r="T28" i="7"/>
  <c r="S28" i="7"/>
  <c r="R28" i="7"/>
  <c r="Q28" i="7"/>
  <c r="P28" i="7"/>
  <c r="O28" i="7"/>
  <c r="N28" i="7"/>
  <c r="V27" i="7"/>
  <c r="U27" i="7"/>
  <c r="T27" i="7"/>
  <c r="S27" i="7"/>
  <c r="R27" i="7"/>
  <c r="Q27" i="7"/>
  <c r="P27" i="7"/>
  <c r="O27" i="7"/>
  <c r="N27" i="7"/>
  <c r="V26" i="7"/>
  <c r="U26" i="7"/>
  <c r="T26" i="7"/>
  <c r="S26" i="7"/>
  <c r="R26" i="7"/>
  <c r="Q26" i="7"/>
  <c r="P26" i="7"/>
  <c r="O26" i="7"/>
  <c r="N26" i="7"/>
  <c r="V25" i="7"/>
  <c r="U25" i="7"/>
  <c r="T25" i="7"/>
  <c r="S25" i="7"/>
  <c r="R25" i="7"/>
  <c r="Q25" i="7"/>
  <c r="P25" i="7"/>
  <c r="O25" i="7"/>
  <c r="N25" i="7"/>
  <c r="V24" i="7"/>
  <c r="U24" i="7"/>
  <c r="T24" i="7"/>
  <c r="S24" i="7"/>
  <c r="R24" i="7"/>
  <c r="Q24" i="7"/>
  <c r="P24" i="7"/>
  <c r="O24" i="7"/>
  <c r="N24" i="7"/>
  <c r="V23" i="7"/>
  <c r="U23" i="7"/>
  <c r="T23" i="7"/>
  <c r="S23" i="7"/>
  <c r="R23" i="7"/>
  <c r="Q23" i="7"/>
  <c r="P23" i="7"/>
  <c r="O23" i="7"/>
  <c r="N23" i="7"/>
  <c r="V22" i="7"/>
  <c r="U22" i="7"/>
  <c r="T22" i="7"/>
  <c r="S22" i="7"/>
  <c r="R22" i="7"/>
  <c r="Q22" i="7"/>
  <c r="P22" i="7"/>
  <c r="O22" i="7"/>
  <c r="N22" i="7"/>
  <c r="V21" i="7"/>
  <c r="U21" i="7"/>
  <c r="T21" i="7"/>
  <c r="S21" i="7"/>
  <c r="R21" i="7"/>
  <c r="Q21" i="7"/>
  <c r="P21" i="7"/>
  <c r="O21" i="7"/>
  <c r="N21" i="7"/>
  <c r="V20" i="7"/>
  <c r="U20" i="7"/>
  <c r="T20" i="7"/>
  <c r="S20" i="7"/>
  <c r="R20" i="7"/>
  <c r="Q20" i="7"/>
  <c r="P20" i="7"/>
  <c r="O20" i="7"/>
  <c r="N20" i="7"/>
  <c r="V19" i="7"/>
  <c r="U19" i="7"/>
  <c r="T19" i="7"/>
  <c r="S19" i="7"/>
  <c r="R19" i="7"/>
  <c r="Q19" i="7"/>
  <c r="P19" i="7"/>
  <c r="O19" i="7"/>
  <c r="N19" i="7"/>
  <c r="V18" i="7"/>
  <c r="U18" i="7"/>
  <c r="T18" i="7"/>
  <c r="S18" i="7"/>
  <c r="R18" i="7"/>
  <c r="Q18" i="7"/>
  <c r="P18" i="7"/>
  <c r="O18" i="7"/>
  <c r="N18" i="7"/>
  <c r="V17" i="7"/>
  <c r="U17" i="7"/>
  <c r="T17" i="7"/>
  <c r="S17" i="7"/>
  <c r="R17" i="7"/>
  <c r="Q17" i="7"/>
  <c r="P17" i="7"/>
  <c r="O17" i="7"/>
  <c r="N17" i="7"/>
  <c r="V16" i="7"/>
  <c r="U16" i="7"/>
  <c r="T16" i="7"/>
  <c r="S16" i="7"/>
  <c r="R16" i="7"/>
  <c r="Q16" i="7"/>
  <c r="P16" i="7"/>
  <c r="O16" i="7"/>
  <c r="N16" i="7"/>
  <c r="V15" i="7"/>
  <c r="U15" i="7"/>
  <c r="T15" i="7"/>
  <c r="S15" i="7"/>
  <c r="R15" i="7"/>
  <c r="Q15" i="7"/>
  <c r="P15" i="7"/>
  <c r="O15" i="7"/>
  <c r="N15" i="7"/>
  <c r="V14" i="7"/>
  <c r="U14" i="7"/>
  <c r="T14" i="7"/>
  <c r="S14" i="7"/>
  <c r="R14" i="7"/>
  <c r="Q14" i="7"/>
  <c r="P14" i="7"/>
  <c r="O14" i="7"/>
  <c r="N14" i="7"/>
  <c r="V13" i="7"/>
  <c r="U13" i="7"/>
  <c r="T13" i="7"/>
  <c r="S13" i="7"/>
  <c r="R13" i="7"/>
  <c r="Q13" i="7"/>
  <c r="P13" i="7"/>
  <c r="O13" i="7"/>
  <c r="N13" i="7"/>
  <c r="V12" i="7"/>
  <c r="U12" i="7"/>
  <c r="T12" i="7"/>
  <c r="S12" i="7"/>
  <c r="R12" i="7"/>
  <c r="Q12" i="7"/>
  <c r="P12" i="7"/>
  <c r="O12" i="7"/>
  <c r="N12" i="7"/>
  <c r="V11" i="7"/>
  <c r="U11" i="7"/>
  <c r="T11" i="7"/>
  <c r="S11" i="7"/>
  <c r="R11" i="7"/>
  <c r="Q11" i="7"/>
  <c r="P11" i="7"/>
  <c r="O11" i="7"/>
  <c r="N11" i="7"/>
  <c r="V10" i="7"/>
  <c r="U10" i="7"/>
  <c r="T10" i="7"/>
  <c r="S10" i="7"/>
  <c r="R10" i="7"/>
  <c r="Q10" i="7"/>
  <c r="P10" i="7"/>
  <c r="O10" i="7"/>
  <c r="N10" i="7"/>
  <c r="V9" i="7"/>
  <c r="U9" i="7"/>
  <c r="T9" i="7"/>
  <c r="S9" i="7"/>
  <c r="R9" i="7"/>
  <c r="Q9" i="7"/>
  <c r="P9" i="7"/>
  <c r="O9" i="7"/>
  <c r="N9" i="7"/>
  <c r="V8" i="7"/>
  <c r="U8" i="7"/>
  <c r="T8" i="7"/>
  <c r="S8" i="7"/>
  <c r="R8" i="7"/>
  <c r="Q8" i="7"/>
  <c r="P8" i="7"/>
  <c r="O8" i="7"/>
  <c r="N8" i="7"/>
  <c r="V7" i="7"/>
  <c r="U7" i="7"/>
  <c r="T7" i="7"/>
  <c r="S7" i="7"/>
  <c r="R7" i="7"/>
  <c r="Q7" i="7"/>
  <c r="P7" i="7"/>
  <c r="O7" i="7"/>
  <c r="N7" i="7"/>
  <c r="V6" i="7"/>
  <c r="U6" i="7"/>
  <c r="T6" i="7"/>
  <c r="S6" i="7"/>
  <c r="R6" i="7"/>
  <c r="Q6" i="7"/>
  <c r="P6" i="7"/>
  <c r="O6" i="7"/>
  <c r="N6" i="7"/>
  <c r="V5" i="7"/>
  <c r="U5" i="7"/>
  <c r="T5" i="7"/>
  <c r="S5" i="7"/>
  <c r="R5" i="7"/>
  <c r="Q5" i="7"/>
  <c r="P5" i="7"/>
  <c r="O5" i="7"/>
  <c r="N5" i="7"/>
  <c r="V4" i="7"/>
  <c r="U4" i="7"/>
  <c r="T4" i="7"/>
  <c r="S4" i="7"/>
  <c r="R4" i="7"/>
  <c r="Q4" i="7"/>
  <c r="P4" i="7"/>
  <c r="O4" i="7"/>
  <c r="N4" i="7"/>
  <c r="V3" i="7"/>
  <c r="U3" i="7"/>
  <c r="T3" i="7"/>
  <c r="S3" i="7"/>
  <c r="R3" i="7"/>
  <c r="Q3" i="7"/>
  <c r="P3" i="7"/>
  <c r="O3" i="7"/>
  <c r="N3" i="7"/>
  <c r="V2" i="7"/>
  <c r="U2" i="7"/>
  <c r="T2" i="7"/>
  <c r="S2" i="7"/>
  <c r="R2" i="7"/>
  <c r="Q2" i="7"/>
  <c r="P2" i="7"/>
  <c r="O2" i="7"/>
  <c r="N2" i="7"/>
  <c r="AP116" i="5"/>
  <c r="AO116" i="5"/>
  <c r="AQ116" i="5" s="1"/>
  <c r="AM116" i="5"/>
  <c r="AL116" i="5"/>
  <c r="AN116" i="5" s="1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W116" i="5"/>
  <c r="V116" i="5"/>
  <c r="T116" i="5"/>
  <c r="U116" i="5" s="1"/>
  <c r="R116" i="5"/>
  <c r="Q116" i="5"/>
  <c r="P116" i="5"/>
  <c r="N116" i="5"/>
  <c r="M116" i="5"/>
  <c r="S116" i="5" s="1"/>
  <c r="L116" i="5"/>
  <c r="D116" i="5"/>
  <c r="B116" i="5"/>
  <c r="AP115" i="5"/>
  <c r="AO115" i="5"/>
  <c r="AQ115" i="5" s="1"/>
  <c r="AM115" i="5"/>
  <c r="AL115" i="5"/>
  <c r="AN115" i="5" s="1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W115" i="5"/>
  <c r="V115" i="5"/>
  <c r="T115" i="5"/>
  <c r="U115" i="5" s="1"/>
  <c r="R115" i="5"/>
  <c r="Q115" i="5"/>
  <c r="P115" i="5"/>
  <c r="N115" i="5"/>
  <c r="M115" i="5"/>
  <c r="S115" i="5" s="1"/>
  <c r="L115" i="5"/>
  <c r="D115" i="5"/>
  <c r="B115" i="5"/>
  <c r="AP114" i="5"/>
  <c r="AO114" i="5"/>
  <c r="AQ114" i="5" s="1"/>
  <c r="AM114" i="5"/>
  <c r="AL114" i="5"/>
  <c r="AN114" i="5" s="1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W114" i="5"/>
  <c r="V114" i="5"/>
  <c r="T114" i="5"/>
  <c r="U114" i="5" s="1"/>
  <c r="R114" i="5"/>
  <c r="Q114" i="5"/>
  <c r="P114" i="5"/>
  <c r="O114" i="5"/>
  <c r="N114" i="5"/>
  <c r="M114" i="5"/>
  <c r="S114" i="5" s="1"/>
  <c r="L114" i="5"/>
  <c r="D114" i="5"/>
  <c r="B114" i="5"/>
  <c r="AP113" i="5"/>
  <c r="AO113" i="5"/>
  <c r="AQ113" i="5" s="1"/>
  <c r="AM113" i="5"/>
  <c r="AL113" i="5"/>
  <c r="AN113" i="5" s="1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W113" i="5"/>
  <c r="V113" i="5"/>
  <c r="T113" i="5"/>
  <c r="U113" i="5" s="1"/>
  <c r="R113" i="5"/>
  <c r="Q113" i="5"/>
  <c r="P113" i="5"/>
  <c r="O113" i="5"/>
  <c r="N113" i="5"/>
  <c r="M113" i="5"/>
  <c r="S113" i="5" s="1"/>
  <c r="L113" i="5"/>
  <c r="D113" i="5"/>
  <c r="B113" i="5"/>
  <c r="AP112" i="5"/>
  <c r="AO112" i="5"/>
  <c r="AQ112" i="5" s="1"/>
  <c r="AM112" i="5"/>
  <c r="AL112" i="5"/>
  <c r="AN112" i="5" s="1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W112" i="5"/>
  <c r="V112" i="5"/>
  <c r="T112" i="5"/>
  <c r="U112" i="5" s="1"/>
  <c r="R112" i="5"/>
  <c r="Q112" i="5"/>
  <c r="P112" i="5"/>
  <c r="O112" i="5"/>
  <c r="N112" i="5"/>
  <c r="M112" i="5"/>
  <c r="L112" i="5"/>
  <c r="D112" i="5"/>
  <c r="B112" i="5"/>
  <c r="AP111" i="5"/>
  <c r="AO111" i="5"/>
  <c r="AQ111" i="5" s="1"/>
  <c r="AM111" i="5"/>
  <c r="AL111" i="5"/>
  <c r="AN111" i="5" s="1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W111" i="5"/>
  <c r="V111" i="5"/>
  <c r="T111" i="5"/>
  <c r="U111" i="5" s="1"/>
  <c r="R111" i="5"/>
  <c r="Q111" i="5"/>
  <c r="P111" i="5"/>
  <c r="N111" i="5"/>
  <c r="M111" i="5"/>
  <c r="S111" i="5" s="1"/>
  <c r="L111" i="5"/>
  <c r="D111" i="5"/>
  <c r="B111" i="5"/>
  <c r="AP110" i="5"/>
  <c r="AO110" i="5"/>
  <c r="AQ110" i="5" s="1"/>
  <c r="AM110" i="5"/>
  <c r="AL110" i="5"/>
  <c r="AN110" i="5" s="1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W110" i="5"/>
  <c r="V110" i="5"/>
  <c r="T110" i="5"/>
  <c r="U110" i="5" s="1"/>
  <c r="R110" i="5"/>
  <c r="Q110" i="5"/>
  <c r="P110" i="5"/>
  <c r="O110" i="5"/>
  <c r="N110" i="5"/>
  <c r="M110" i="5"/>
  <c r="S110" i="5" s="1"/>
  <c r="L110" i="5"/>
  <c r="D110" i="5"/>
  <c r="B110" i="5"/>
  <c r="AP109" i="5"/>
  <c r="AO109" i="5"/>
  <c r="AQ109" i="5" s="1"/>
  <c r="AM109" i="5"/>
  <c r="AL109" i="5"/>
  <c r="AN109" i="5" s="1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W109" i="5"/>
  <c r="V109" i="5"/>
  <c r="T109" i="5"/>
  <c r="U109" i="5" s="1"/>
  <c r="X109" i="5" s="1"/>
  <c r="R109" i="5"/>
  <c r="Q109" i="5"/>
  <c r="P109" i="5"/>
  <c r="O109" i="5"/>
  <c r="N109" i="5"/>
  <c r="M109" i="5"/>
  <c r="S109" i="5" s="1"/>
  <c r="L109" i="5"/>
  <c r="D109" i="5"/>
  <c r="B109" i="5"/>
  <c r="AP108" i="5"/>
  <c r="AO108" i="5"/>
  <c r="AQ108" i="5" s="1"/>
  <c r="AM108" i="5"/>
  <c r="AL108" i="5"/>
  <c r="AN108" i="5" s="1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W108" i="5"/>
  <c r="V108" i="5"/>
  <c r="T108" i="5"/>
  <c r="U108" i="5" s="1"/>
  <c r="R108" i="5"/>
  <c r="Q108" i="5"/>
  <c r="P108" i="5"/>
  <c r="N108" i="5"/>
  <c r="M108" i="5"/>
  <c r="S108" i="5" s="1"/>
  <c r="L108" i="5"/>
  <c r="D108" i="5"/>
  <c r="B108" i="5"/>
  <c r="AP107" i="5"/>
  <c r="AO107" i="5"/>
  <c r="AQ107" i="5" s="1"/>
  <c r="AM107" i="5"/>
  <c r="AL107" i="5"/>
  <c r="AN107" i="5" s="1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W107" i="5"/>
  <c r="V107" i="5"/>
  <c r="T107" i="5"/>
  <c r="U107" i="5" s="1"/>
  <c r="R107" i="5"/>
  <c r="Q107" i="5"/>
  <c r="P107" i="5"/>
  <c r="O107" i="5"/>
  <c r="N107" i="5"/>
  <c r="M107" i="5"/>
  <c r="L107" i="5"/>
  <c r="D107" i="5"/>
  <c r="B107" i="5"/>
  <c r="AP106" i="5"/>
  <c r="AO106" i="5"/>
  <c r="AQ106" i="5" s="1"/>
  <c r="AM106" i="5"/>
  <c r="AL106" i="5"/>
  <c r="AN106" i="5" s="1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W106" i="5"/>
  <c r="V106" i="5"/>
  <c r="T106" i="5"/>
  <c r="U106" i="5" s="1"/>
  <c r="R106" i="5"/>
  <c r="Q106" i="5"/>
  <c r="P106" i="5"/>
  <c r="O106" i="5"/>
  <c r="N106" i="5"/>
  <c r="M106" i="5"/>
  <c r="L106" i="5"/>
  <c r="D106" i="5"/>
  <c r="B106" i="5"/>
  <c r="AP105" i="5"/>
  <c r="AO105" i="5"/>
  <c r="AQ105" i="5" s="1"/>
  <c r="AM105" i="5"/>
  <c r="AL105" i="5"/>
  <c r="AN105" i="5" s="1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W105" i="5"/>
  <c r="V105" i="5"/>
  <c r="T105" i="5"/>
  <c r="U105" i="5" s="1"/>
  <c r="X105" i="5" s="1"/>
  <c r="R105" i="5"/>
  <c r="Q105" i="5"/>
  <c r="P105" i="5"/>
  <c r="O105" i="5"/>
  <c r="N105" i="5"/>
  <c r="M105" i="5"/>
  <c r="S105" i="5" s="1"/>
  <c r="L105" i="5"/>
  <c r="D105" i="5"/>
  <c r="B105" i="5"/>
  <c r="AP104" i="5"/>
  <c r="AO104" i="5"/>
  <c r="AQ104" i="5" s="1"/>
  <c r="AM104" i="5"/>
  <c r="AL104" i="5"/>
  <c r="AN104" i="5" s="1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W104" i="5"/>
  <c r="V104" i="5"/>
  <c r="T104" i="5"/>
  <c r="U104" i="5" s="1"/>
  <c r="R104" i="5"/>
  <c r="Q104" i="5"/>
  <c r="P104" i="5"/>
  <c r="O104" i="5"/>
  <c r="N104" i="5"/>
  <c r="M104" i="5"/>
  <c r="S104" i="5" s="1"/>
  <c r="L104" i="5"/>
  <c r="D104" i="5"/>
  <c r="B104" i="5"/>
  <c r="AP103" i="5"/>
  <c r="AO103" i="5"/>
  <c r="AQ103" i="5" s="1"/>
  <c r="AM103" i="5"/>
  <c r="AL103" i="5"/>
  <c r="AN103" i="5" s="1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W103" i="5"/>
  <c r="V103" i="5"/>
  <c r="T103" i="5"/>
  <c r="U103" i="5" s="1"/>
  <c r="R103" i="5"/>
  <c r="Q103" i="5"/>
  <c r="P103" i="5"/>
  <c r="O103" i="5"/>
  <c r="N103" i="5"/>
  <c r="M103" i="5"/>
  <c r="S103" i="5" s="1"/>
  <c r="L103" i="5"/>
  <c r="D103" i="5"/>
  <c r="B103" i="5"/>
  <c r="AP102" i="5"/>
  <c r="AO102" i="5"/>
  <c r="AQ102" i="5" s="1"/>
  <c r="AM102" i="5"/>
  <c r="AL102" i="5"/>
  <c r="AN102" i="5" s="1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W102" i="5"/>
  <c r="V102" i="5"/>
  <c r="T102" i="5"/>
  <c r="U102" i="5" s="1"/>
  <c r="R102" i="5"/>
  <c r="Q102" i="5"/>
  <c r="P102" i="5"/>
  <c r="N102" i="5"/>
  <c r="M102" i="5"/>
  <c r="S102" i="5" s="1"/>
  <c r="L102" i="5"/>
  <c r="D102" i="5"/>
  <c r="B102" i="5"/>
  <c r="AP101" i="5"/>
  <c r="AO101" i="5"/>
  <c r="AQ101" i="5" s="1"/>
  <c r="AM101" i="5"/>
  <c r="AL101" i="5"/>
  <c r="AN101" i="5" s="1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W101" i="5"/>
  <c r="V101" i="5"/>
  <c r="T101" i="5"/>
  <c r="U101" i="5" s="1"/>
  <c r="R101" i="5"/>
  <c r="Q101" i="5"/>
  <c r="P101" i="5"/>
  <c r="O101" i="5"/>
  <c r="N101" i="5"/>
  <c r="M101" i="5"/>
  <c r="S101" i="5" s="1"/>
  <c r="L101" i="5"/>
  <c r="D101" i="5"/>
  <c r="B101" i="5"/>
  <c r="AP100" i="5"/>
  <c r="AO100" i="5"/>
  <c r="AQ100" i="5" s="1"/>
  <c r="AM100" i="5"/>
  <c r="AL100" i="5"/>
  <c r="AN100" i="5" s="1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W100" i="5"/>
  <c r="V100" i="5"/>
  <c r="T100" i="5"/>
  <c r="U100" i="5" s="1"/>
  <c r="R100" i="5"/>
  <c r="Q100" i="5"/>
  <c r="P100" i="5"/>
  <c r="O100" i="5"/>
  <c r="N100" i="5"/>
  <c r="M100" i="5"/>
  <c r="L100" i="5"/>
  <c r="D100" i="5"/>
  <c r="B100" i="5"/>
  <c r="AP99" i="5"/>
  <c r="AO99" i="5"/>
  <c r="AQ99" i="5" s="1"/>
  <c r="AM99" i="5"/>
  <c r="AL99" i="5"/>
  <c r="AN99" i="5" s="1"/>
  <c r="AK99" i="5"/>
  <c r="AJ99" i="5"/>
  <c r="AI99" i="5"/>
  <c r="AH99" i="5"/>
  <c r="AG99" i="5"/>
  <c r="AF99" i="5"/>
  <c r="AE99" i="5"/>
  <c r="AD99" i="5"/>
  <c r="AC99" i="5"/>
  <c r="AB99" i="5"/>
  <c r="AA99" i="5"/>
  <c r="Z99" i="5"/>
  <c r="W99" i="5"/>
  <c r="V99" i="5"/>
  <c r="T99" i="5"/>
  <c r="U99" i="5" s="1"/>
  <c r="R99" i="5"/>
  <c r="Q99" i="5"/>
  <c r="P99" i="5"/>
  <c r="O99" i="5"/>
  <c r="N99" i="5"/>
  <c r="M99" i="5"/>
  <c r="L99" i="5"/>
  <c r="D99" i="5"/>
  <c r="B99" i="5"/>
  <c r="AP98" i="5"/>
  <c r="AO98" i="5"/>
  <c r="AQ98" i="5" s="1"/>
  <c r="AM98" i="5"/>
  <c r="AL98" i="5"/>
  <c r="AN98" i="5" s="1"/>
  <c r="AK98" i="5"/>
  <c r="AJ98" i="5"/>
  <c r="AI98" i="5"/>
  <c r="AH98" i="5"/>
  <c r="AG98" i="5"/>
  <c r="AF98" i="5"/>
  <c r="AE98" i="5"/>
  <c r="AD98" i="5"/>
  <c r="AC98" i="5"/>
  <c r="AB98" i="5"/>
  <c r="AA98" i="5"/>
  <c r="Z98" i="5"/>
  <c r="W98" i="5"/>
  <c r="V98" i="5"/>
  <c r="T98" i="5"/>
  <c r="U98" i="5" s="1"/>
  <c r="R98" i="5"/>
  <c r="Q98" i="5"/>
  <c r="P98" i="5"/>
  <c r="O98" i="5"/>
  <c r="N98" i="5"/>
  <c r="M98" i="5"/>
  <c r="L98" i="5"/>
  <c r="D98" i="5"/>
  <c r="B98" i="5"/>
  <c r="AP97" i="5"/>
  <c r="AO97" i="5"/>
  <c r="AQ97" i="5" s="1"/>
  <c r="AM97" i="5"/>
  <c r="AL97" i="5"/>
  <c r="AN97" i="5" s="1"/>
  <c r="AK97" i="5"/>
  <c r="AJ97" i="5"/>
  <c r="AI97" i="5"/>
  <c r="AH97" i="5"/>
  <c r="AG97" i="5"/>
  <c r="AF97" i="5"/>
  <c r="AE97" i="5"/>
  <c r="AD97" i="5"/>
  <c r="AC97" i="5"/>
  <c r="AB97" i="5"/>
  <c r="AA97" i="5"/>
  <c r="Z97" i="5"/>
  <c r="W97" i="5"/>
  <c r="V97" i="5"/>
  <c r="T97" i="5"/>
  <c r="U97" i="5" s="1"/>
  <c r="R97" i="5"/>
  <c r="Q97" i="5"/>
  <c r="P97" i="5"/>
  <c r="O97" i="5"/>
  <c r="N97" i="5"/>
  <c r="M97" i="5"/>
  <c r="L97" i="5"/>
  <c r="D97" i="5"/>
  <c r="B97" i="5"/>
  <c r="AP96" i="5"/>
  <c r="AO96" i="5"/>
  <c r="AQ96" i="5" s="1"/>
  <c r="AM96" i="5"/>
  <c r="AL96" i="5"/>
  <c r="AN96" i="5" s="1"/>
  <c r="AK96" i="5"/>
  <c r="AJ96" i="5"/>
  <c r="AI96" i="5"/>
  <c r="AH96" i="5"/>
  <c r="AG96" i="5"/>
  <c r="AF96" i="5"/>
  <c r="AE96" i="5"/>
  <c r="AD96" i="5"/>
  <c r="AC96" i="5"/>
  <c r="AB96" i="5"/>
  <c r="AA96" i="5"/>
  <c r="Z96" i="5"/>
  <c r="W96" i="5"/>
  <c r="V96" i="5"/>
  <c r="T96" i="5"/>
  <c r="U96" i="5" s="1"/>
  <c r="R96" i="5"/>
  <c r="Q96" i="5"/>
  <c r="P96" i="5"/>
  <c r="O96" i="5"/>
  <c r="N96" i="5"/>
  <c r="M96" i="5"/>
  <c r="L96" i="5"/>
  <c r="D96" i="5"/>
  <c r="B96" i="5"/>
  <c r="AP95" i="5"/>
  <c r="AO95" i="5"/>
  <c r="AQ95" i="5" s="1"/>
  <c r="AM95" i="5"/>
  <c r="AL95" i="5"/>
  <c r="AN95" i="5" s="1"/>
  <c r="AK95" i="5"/>
  <c r="AJ95" i="5"/>
  <c r="AI95" i="5"/>
  <c r="AH95" i="5"/>
  <c r="AG95" i="5"/>
  <c r="AF95" i="5"/>
  <c r="AE95" i="5"/>
  <c r="AD95" i="5"/>
  <c r="AC95" i="5"/>
  <c r="AB95" i="5"/>
  <c r="AA95" i="5"/>
  <c r="Z95" i="5"/>
  <c r="W95" i="5"/>
  <c r="V95" i="5"/>
  <c r="T95" i="5"/>
  <c r="U95" i="5" s="1"/>
  <c r="R95" i="5"/>
  <c r="Q95" i="5"/>
  <c r="P95" i="5"/>
  <c r="O95" i="5"/>
  <c r="N95" i="5"/>
  <c r="M95" i="5"/>
  <c r="L95" i="5"/>
  <c r="D95" i="5"/>
  <c r="B95" i="5"/>
  <c r="AP94" i="5"/>
  <c r="AO94" i="5"/>
  <c r="AQ94" i="5" s="1"/>
  <c r="AM94" i="5"/>
  <c r="AL94" i="5"/>
  <c r="AN94" i="5" s="1"/>
  <c r="AK94" i="5"/>
  <c r="AJ94" i="5"/>
  <c r="AI94" i="5"/>
  <c r="AH94" i="5"/>
  <c r="AG94" i="5"/>
  <c r="AF94" i="5"/>
  <c r="AE94" i="5"/>
  <c r="AD94" i="5"/>
  <c r="AC94" i="5"/>
  <c r="AB94" i="5"/>
  <c r="AA94" i="5"/>
  <c r="Z94" i="5"/>
  <c r="W94" i="5"/>
  <c r="V94" i="5"/>
  <c r="T94" i="5"/>
  <c r="U94" i="5" s="1"/>
  <c r="R94" i="5"/>
  <c r="Q94" i="5"/>
  <c r="P94" i="5"/>
  <c r="N94" i="5"/>
  <c r="M94" i="5"/>
  <c r="S94" i="5" s="1"/>
  <c r="L94" i="5"/>
  <c r="D94" i="5"/>
  <c r="B94" i="5"/>
  <c r="AP93" i="5"/>
  <c r="AO93" i="5"/>
  <c r="AQ93" i="5" s="1"/>
  <c r="AM93" i="5"/>
  <c r="AL93" i="5"/>
  <c r="AN93" i="5" s="1"/>
  <c r="AK93" i="5"/>
  <c r="AJ93" i="5"/>
  <c r="AI93" i="5"/>
  <c r="AH93" i="5"/>
  <c r="AG93" i="5"/>
  <c r="AF93" i="5"/>
  <c r="AE93" i="5"/>
  <c r="AD93" i="5"/>
  <c r="AC93" i="5"/>
  <c r="AB93" i="5"/>
  <c r="AA93" i="5"/>
  <c r="Z93" i="5"/>
  <c r="W93" i="5"/>
  <c r="V93" i="5"/>
  <c r="T93" i="5"/>
  <c r="U93" i="5" s="1"/>
  <c r="R93" i="5"/>
  <c r="Q93" i="5"/>
  <c r="P93" i="5"/>
  <c r="N93" i="5"/>
  <c r="M93" i="5"/>
  <c r="S93" i="5" s="1"/>
  <c r="L93" i="5"/>
  <c r="D93" i="5"/>
  <c r="B93" i="5"/>
  <c r="AP92" i="5"/>
  <c r="AO92" i="5"/>
  <c r="AQ92" i="5" s="1"/>
  <c r="AM92" i="5"/>
  <c r="AL92" i="5"/>
  <c r="AN92" i="5" s="1"/>
  <c r="AK92" i="5"/>
  <c r="AJ92" i="5"/>
  <c r="AI92" i="5"/>
  <c r="AH92" i="5"/>
  <c r="AG92" i="5"/>
  <c r="AF92" i="5"/>
  <c r="AE92" i="5"/>
  <c r="AD92" i="5"/>
  <c r="AC92" i="5"/>
  <c r="AB92" i="5"/>
  <c r="AA92" i="5"/>
  <c r="Z92" i="5"/>
  <c r="W92" i="5"/>
  <c r="V92" i="5"/>
  <c r="T92" i="5"/>
  <c r="U92" i="5" s="1"/>
  <c r="R92" i="5"/>
  <c r="Q92" i="5"/>
  <c r="P92" i="5"/>
  <c r="O92" i="5"/>
  <c r="N92" i="5"/>
  <c r="M92" i="5"/>
  <c r="L92" i="5"/>
  <c r="D92" i="5"/>
  <c r="B92" i="5"/>
  <c r="AP91" i="5"/>
  <c r="AO91" i="5"/>
  <c r="AQ91" i="5" s="1"/>
  <c r="AM91" i="5"/>
  <c r="AL91" i="5"/>
  <c r="AN91" i="5" s="1"/>
  <c r="AK91" i="5"/>
  <c r="AJ91" i="5"/>
  <c r="AI91" i="5"/>
  <c r="AH91" i="5"/>
  <c r="AG91" i="5"/>
  <c r="AF91" i="5"/>
  <c r="AE91" i="5"/>
  <c r="AD91" i="5"/>
  <c r="AC91" i="5"/>
  <c r="AB91" i="5"/>
  <c r="AA91" i="5"/>
  <c r="Z91" i="5"/>
  <c r="W91" i="5"/>
  <c r="V91" i="5"/>
  <c r="T91" i="5"/>
  <c r="U91" i="5" s="1"/>
  <c r="X91" i="5" s="1"/>
  <c r="R91" i="5"/>
  <c r="Q91" i="5"/>
  <c r="P91" i="5"/>
  <c r="N91" i="5"/>
  <c r="M91" i="5"/>
  <c r="L91" i="5"/>
  <c r="D91" i="5"/>
  <c r="B91" i="5"/>
  <c r="AP90" i="5"/>
  <c r="AO90" i="5"/>
  <c r="AQ90" i="5" s="1"/>
  <c r="AM90" i="5"/>
  <c r="AL90" i="5"/>
  <c r="AN90" i="5" s="1"/>
  <c r="AK90" i="5"/>
  <c r="AJ90" i="5"/>
  <c r="AI90" i="5"/>
  <c r="AH90" i="5"/>
  <c r="AG90" i="5"/>
  <c r="AF90" i="5"/>
  <c r="AE90" i="5"/>
  <c r="AD90" i="5"/>
  <c r="AC90" i="5"/>
  <c r="AB90" i="5"/>
  <c r="AA90" i="5"/>
  <c r="Z90" i="5"/>
  <c r="W90" i="5"/>
  <c r="V90" i="5"/>
  <c r="T90" i="5"/>
  <c r="U90" i="5" s="1"/>
  <c r="R90" i="5"/>
  <c r="Q90" i="5"/>
  <c r="P90" i="5"/>
  <c r="N90" i="5"/>
  <c r="M90" i="5"/>
  <c r="S90" i="5" s="1"/>
  <c r="L90" i="5"/>
  <c r="D90" i="5"/>
  <c r="B90" i="5"/>
  <c r="AP89" i="5"/>
  <c r="AO89" i="5"/>
  <c r="AQ89" i="5" s="1"/>
  <c r="AM89" i="5"/>
  <c r="AL89" i="5"/>
  <c r="AN89" i="5" s="1"/>
  <c r="AK89" i="5"/>
  <c r="AJ89" i="5"/>
  <c r="AI89" i="5"/>
  <c r="AH89" i="5"/>
  <c r="AG89" i="5"/>
  <c r="AF89" i="5"/>
  <c r="AE89" i="5"/>
  <c r="AD89" i="5"/>
  <c r="AC89" i="5"/>
  <c r="AB89" i="5"/>
  <c r="AA89" i="5"/>
  <c r="Z89" i="5"/>
  <c r="W89" i="5"/>
  <c r="V89" i="5"/>
  <c r="T89" i="5"/>
  <c r="U89" i="5" s="1"/>
  <c r="R89" i="5"/>
  <c r="Q89" i="5"/>
  <c r="P89" i="5"/>
  <c r="O89" i="5"/>
  <c r="N89" i="5"/>
  <c r="M89" i="5"/>
  <c r="L89" i="5"/>
  <c r="D89" i="5"/>
  <c r="B89" i="5"/>
  <c r="AP88" i="5"/>
  <c r="AO88" i="5"/>
  <c r="AQ88" i="5" s="1"/>
  <c r="AM88" i="5"/>
  <c r="AL88" i="5"/>
  <c r="AN88" i="5" s="1"/>
  <c r="AK88" i="5"/>
  <c r="AJ88" i="5"/>
  <c r="AI88" i="5"/>
  <c r="AH88" i="5"/>
  <c r="AG88" i="5"/>
  <c r="AF88" i="5"/>
  <c r="AE88" i="5"/>
  <c r="AD88" i="5"/>
  <c r="AC88" i="5"/>
  <c r="AB88" i="5"/>
  <c r="AA88" i="5"/>
  <c r="Z88" i="5"/>
  <c r="W88" i="5"/>
  <c r="V88" i="5"/>
  <c r="T88" i="5"/>
  <c r="U88" i="5" s="1"/>
  <c r="R88" i="5"/>
  <c r="Q88" i="5"/>
  <c r="P88" i="5"/>
  <c r="O88" i="5"/>
  <c r="N88" i="5"/>
  <c r="M88" i="5"/>
  <c r="L88" i="5"/>
  <c r="D88" i="5"/>
  <c r="B88" i="5"/>
  <c r="AP87" i="5"/>
  <c r="AO87" i="5"/>
  <c r="AQ87" i="5" s="1"/>
  <c r="AM87" i="5"/>
  <c r="AL87" i="5"/>
  <c r="AN87" i="5" s="1"/>
  <c r="AK87" i="5"/>
  <c r="AJ87" i="5"/>
  <c r="AI87" i="5"/>
  <c r="AH87" i="5"/>
  <c r="AG87" i="5"/>
  <c r="AF87" i="5"/>
  <c r="AE87" i="5"/>
  <c r="AD87" i="5"/>
  <c r="AC87" i="5"/>
  <c r="AB87" i="5"/>
  <c r="AA87" i="5"/>
  <c r="Z87" i="5"/>
  <c r="W87" i="5"/>
  <c r="V87" i="5"/>
  <c r="T87" i="5"/>
  <c r="U87" i="5" s="1"/>
  <c r="R87" i="5"/>
  <c r="Q87" i="5"/>
  <c r="P87" i="5"/>
  <c r="O87" i="5"/>
  <c r="N87" i="5"/>
  <c r="M87" i="5"/>
  <c r="L87" i="5"/>
  <c r="D87" i="5"/>
  <c r="S87" i="5" s="1"/>
  <c r="B87" i="5"/>
  <c r="AP86" i="5"/>
  <c r="AO86" i="5"/>
  <c r="AQ86" i="5" s="1"/>
  <c r="AM86" i="5"/>
  <c r="AL86" i="5"/>
  <c r="AN86" i="5" s="1"/>
  <c r="AK86" i="5"/>
  <c r="AJ86" i="5"/>
  <c r="AI86" i="5"/>
  <c r="AH86" i="5"/>
  <c r="AG86" i="5"/>
  <c r="AF86" i="5"/>
  <c r="AE86" i="5"/>
  <c r="AD86" i="5"/>
  <c r="AC86" i="5"/>
  <c r="AB86" i="5"/>
  <c r="AA86" i="5"/>
  <c r="Z86" i="5"/>
  <c r="W86" i="5"/>
  <c r="V86" i="5"/>
  <c r="T86" i="5"/>
  <c r="U86" i="5" s="1"/>
  <c r="R86" i="5"/>
  <c r="Q86" i="5"/>
  <c r="P86" i="5"/>
  <c r="O86" i="5"/>
  <c r="N86" i="5"/>
  <c r="M86" i="5"/>
  <c r="S86" i="5" s="1"/>
  <c r="L86" i="5"/>
  <c r="D86" i="5"/>
  <c r="B86" i="5"/>
  <c r="AP85" i="5"/>
  <c r="AO85" i="5"/>
  <c r="AQ85" i="5" s="1"/>
  <c r="AM85" i="5"/>
  <c r="AL85" i="5"/>
  <c r="AN85" i="5" s="1"/>
  <c r="AK85" i="5"/>
  <c r="AJ85" i="5"/>
  <c r="AI85" i="5"/>
  <c r="AH85" i="5"/>
  <c r="AG85" i="5"/>
  <c r="AF85" i="5"/>
  <c r="AE85" i="5"/>
  <c r="AD85" i="5"/>
  <c r="AC85" i="5"/>
  <c r="AB85" i="5"/>
  <c r="AA85" i="5"/>
  <c r="Z85" i="5"/>
  <c r="W85" i="5"/>
  <c r="V85" i="5"/>
  <c r="T85" i="5"/>
  <c r="U85" i="5" s="1"/>
  <c r="R85" i="5"/>
  <c r="Q85" i="5"/>
  <c r="P85" i="5"/>
  <c r="O85" i="5"/>
  <c r="N85" i="5"/>
  <c r="M85" i="5"/>
  <c r="L85" i="5"/>
  <c r="D85" i="5"/>
  <c r="B85" i="5"/>
  <c r="AP84" i="5"/>
  <c r="AO84" i="5"/>
  <c r="AQ84" i="5" s="1"/>
  <c r="AM84" i="5"/>
  <c r="AL84" i="5"/>
  <c r="AN84" i="5" s="1"/>
  <c r="AK84" i="5"/>
  <c r="AJ84" i="5"/>
  <c r="AI84" i="5"/>
  <c r="AH84" i="5"/>
  <c r="AG84" i="5"/>
  <c r="AF84" i="5"/>
  <c r="AE84" i="5"/>
  <c r="AD84" i="5"/>
  <c r="AC84" i="5"/>
  <c r="AB84" i="5"/>
  <c r="AA84" i="5"/>
  <c r="Z84" i="5"/>
  <c r="W84" i="5"/>
  <c r="V84" i="5"/>
  <c r="T84" i="5"/>
  <c r="U84" i="5" s="1"/>
  <c r="R84" i="5"/>
  <c r="Q84" i="5"/>
  <c r="P84" i="5"/>
  <c r="O84" i="5"/>
  <c r="N84" i="5"/>
  <c r="M84" i="5"/>
  <c r="S84" i="5" s="1"/>
  <c r="L84" i="5"/>
  <c r="D84" i="5"/>
  <c r="B84" i="5"/>
  <c r="AP83" i="5"/>
  <c r="AO83" i="5"/>
  <c r="AQ83" i="5" s="1"/>
  <c r="AM83" i="5"/>
  <c r="AL83" i="5"/>
  <c r="AN83" i="5" s="1"/>
  <c r="AK83" i="5"/>
  <c r="AJ83" i="5"/>
  <c r="AI83" i="5"/>
  <c r="AH83" i="5"/>
  <c r="AG83" i="5"/>
  <c r="AF83" i="5"/>
  <c r="AE83" i="5"/>
  <c r="AD83" i="5"/>
  <c r="AC83" i="5"/>
  <c r="AB83" i="5"/>
  <c r="AA83" i="5"/>
  <c r="Z83" i="5"/>
  <c r="W83" i="5"/>
  <c r="V83" i="5"/>
  <c r="T83" i="5"/>
  <c r="U83" i="5" s="1"/>
  <c r="R83" i="5"/>
  <c r="Q83" i="5"/>
  <c r="P83" i="5"/>
  <c r="N83" i="5"/>
  <c r="M83" i="5"/>
  <c r="L83" i="5"/>
  <c r="D83" i="5"/>
  <c r="B83" i="5"/>
  <c r="AP82" i="5"/>
  <c r="AO82" i="5"/>
  <c r="AQ82" i="5" s="1"/>
  <c r="AR82" i="5" s="1"/>
  <c r="AM82" i="5"/>
  <c r="AL82" i="5"/>
  <c r="AN82" i="5" s="1"/>
  <c r="AK82" i="5"/>
  <c r="AJ82" i="5"/>
  <c r="AI82" i="5"/>
  <c r="AH82" i="5"/>
  <c r="AG82" i="5"/>
  <c r="AF82" i="5"/>
  <c r="AE82" i="5"/>
  <c r="AD82" i="5"/>
  <c r="AC82" i="5"/>
  <c r="AB82" i="5"/>
  <c r="AA82" i="5"/>
  <c r="Z82" i="5"/>
  <c r="W82" i="5"/>
  <c r="V82" i="5"/>
  <c r="T82" i="5"/>
  <c r="U82" i="5" s="1"/>
  <c r="R82" i="5"/>
  <c r="Q82" i="5"/>
  <c r="P82" i="5"/>
  <c r="N82" i="5"/>
  <c r="M82" i="5"/>
  <c r="S82" i="5" s="1"/>
  <c r="L82" i="5"/>
  <c r="D82" i="5"/>
  <c r="B82" i="5"/>
  <c r="AP81" i="5"/>
  <c r="AO81" i="5"/>
  <c r="AQ81" i="5" s="1"/>
  <c r="AM81" i="5"/>
  <c r="AL81" i="5"/>
  <c r="AN81" i="5" s="1"/>
  <c r="AK81" i="5"/>
  <c r="AJ81" i="5"/>
  <c r="AI81" i="5"/>
  <c r="AH81" i="5"/>
  <c r="AG81" i="5"/>
  <c r="AF81" i="5"/>
  <c r="AE81" i="5"/>
  <c r="AD81" i="5"/>
  <c r="AC81" i="5"/>
  <c r="AB81" i="5"/>
  <c r="AA81" i="5"/>
  <c r="Z81" i="5"/>
  <c r="W81" i="5"/>
  <c r="V81" i="5"/>
  <c r="T81" i="5"/>
  <c r="U81" i="5" s="1"/>
  <c r="X81" i="5" s="1"/>
  <c r="R81" i="5"/>
  <c r="Q81" i="5"/>
  <c r="P81" i="5"/>
  <c r="O81" i="5"/>
  <c r="N81" i="5"/>
  <c r="M81" i="5"/>
  <c r="L81" i="5"/>
  <c r="D81" i="5"/>
  <c r="B81" i="5"/>
  <c r="AP80" i="5"/>
  <c r="AO80" i="5"/>
  <c r="AQ80" i="5" s="1"/>
  <c r="AM80" i="5"/>
  <c r="AL80" i="5"/>
  <c r="AN80" i="5" s="1"/>
  <c r="AK80" i="5"/>
  <c r="AJ80" i="5"/>
  <c r="AI80" i="5"/>
  <c r="AH80" i="5"/>
  <c r="AG80" i="5"/>
  <c r="AF80" i="5"/>
  <c r="AE80" i="5"/>
  <c r="AD80" i="5"/>
  <c r="AC80" i="5"/>
  <c r="AB80" i="5"/>
  <c r="AA80" i="5"/>
  <c r="Z80" i="5"/>
  <c r="W80" i="5"/>
  <c r="V80" i="5"/>
  <c r="T80" i="5"/>
  <c r="U80" i="5" s="1"/>
  <c r="R80" i="5"/>
  <c r="Q80" i="5"/>
  <c r="P80" i="5"/>
  <c r="O80" i="5"/>
  <c r="N80" i="5"/>
  <c r="M80" i="5"/>
  <c r="L80" i="5"/>
  <c r="D80" i="5"/>
  <c r="B80" i="5"/>
  <c r="AP79" i="5"/>
  <c r="AO79" i="5"/>
  <c r="AQ79" i="5" s="1"/>
  <c r="AM79" i="5"/>
  <c r="AL79" i="5"/>
  <c r="AN79" i="5" s="1"/>
  <c r="AK79" i="5"/>
  <c r="AJ79" i="5"/>
  <c r="AI79" i="5"/>
  <c r="AH79" i="5"/>
  <c r="AG79" i="5"/>
  <c r="AF79" i="5"/>
  <c r="AE79" i="5"/>
  <c r="AD79" i="5"/>
  <c r="AC79" i="5"/>
  <c r="AB79" i="5"/>
  <c r="AA79" i="5"/>
  <c r="Z79" i="5"/>
  <c r="W79" i="5"/>
  <c r="V79" i="5"/>
  <c r="T79" i="5"/>
  <c r="U79" i="5" s="1"/>
  <c r="R79" i="5"/>
  <c r="Q79" i="5"/>
  <c r="P79" i="5"/>
  <c r="O79" i="5"/>
  <c r="N79" i="5"/>
  <c r="M79" i="5"/>
  <c r="L79" i="5"/>
  <c r="D79" i="5"/>
  <c r="B79" i="5"/>
  <c r="AP78" i="5"/>
  <c r="AO78" i="5"/>
  <c r="AQ78" i="5" s="1"/>
  <c r="AM78" i="5"/>
  <c r="AL78" i="5"/>
  <c r="AN78" i="5" s="1"/>
  <c r="AK78" i="5"/>
  <c r="AJ78" i="5"/>
  <c r="AI78" i="5"/>
  <c r="AH78" i="5"/>
  <c r="AG78" i="5"/>
  <c r="AF78" i="5"/>
  <c r="AE78" i="5"/>
  <c r="AD78" i="5"/>
  <c r="AC78" i="5"/>
  <c r="AB78" i="5"/>
  <c r="AA78" i="5"/>
  <c r="Z78" i="5"/>
  <c r="W78" i="5"/>
  <c r="V78" i="5"/>
  <c r="T78" i="5"/>
  <c r="U78" i="5" s="1"/>
  <c r="R78" i="5"/>
  <c r="Q78" i="5"/>
  <c r="P78" i="5"/>
  <c r="O78" i="5"/>
  <c r="N78" i="5"/>
  <c r="M78" i="5"/>
  <c r="L78" i="5"/>
  <c r="D78" i="5"/>
  <c r="B78" i="5"/>
  <c r="AP77" i="5"/>
  <c r="AO77" i="5"/>
  <c r="AQ77" i="5" s="1"/>
  <c r="AM77" i="5"/>
  <c r="AL77" i="5"/>
  <c r="AN77" i="5" s="1"/>
  <c r="AK77" i="5"/>
  <c r="AJ77" i="5"/>
  <c r="AI77" i="5"/>
  <c r="AH77" i="5"/>
  <c r="AG77" i="5"/>
  <c r="AF77" i="5"/>
  <c r="AE77" i="5"/>
  <c r="AD77" i="5"/>
  <c r="AC77" i="5"/>
  <c r="AB77" i="5"/>
  <c r="AA77" i="5"/>
  <c r="Z77" i="5"/>
  <c r="W77" i="5"/>
  <c r="V77" i="5"/>
  <c r="T77" i="5"/>
  <c r="U77" i="5" s="1"/>
  <c r="R77" i="5"/>
  <c r="Q77" i="5"/>
  <c r="P77" i="5"/>
  <c r="O77" i="5"/>
  <c r="N77" i="5"/>
  <c r="M77" i="5"/>
  <c r="L77" i="5"/>
  <c r="D77" i="5"/>
  <c r="B77" i="5"/>
  <c r="AP76" i="5"/>
  <c r="AO76" i="5"/>
  <c r="AQ76" i="5" s="1"/>
  <c r="AM76" i="5"/>
  <c r="AL76" i="5"/>
  <c r="AN76" i="5" s="1"/>
  <c r="AK76" i="5"/>
  <c r="AJ76" i="5"/>
  <c r="AI76" i="5"/>
  <c r="AH76" i="5"/>
  <c r="AG76" i="5"/>
  <c r="AF76" i="5"/>
  <c r="AE76" i="5"/>
  <c r="AD76" i="5"/>
  <c r="AC76" i="5"/>
  <c r="AB76" i="5"/>
  <c r="AA76" i="5"/>
  <c r="Z76" i="5"/>
  <c r="W76" i="5"/>
  <c r="V76" i="5"/>
  <c r="T76" i="5"/>
  <c r="U76" i="5" s="1"/>
  <c r="R76" i="5"/>
  <c r="Q76" i="5"/>
  <c r="P76" i="5"/>
  <c r="O76" i="5"/>
  <c r="N76" i="5"/>
  <c r="M76" i="5"/>
  <c r="L76" i="5"/>
  <c r="D76" i="5"/>
  <c r="B76" i="5"/>
  <c r="AQ75" i="5"/>
  <c r="AP75" i="5"/>
  <c r="AO75" i="5"/>
  <c r="AM75" i="5"/>
  <c r="AL75" i="5"/>
  <c r="AN75" i="5" s="1"/>
  <c r="AK75" i="5"/>
  <c r="AJ75" i="5"/>
  <c r="AI75" i="5"/>
  <c r="AH75" i="5"/>
  <c r="AG75" i="5"/>
  <c r="AF75" i="5"/>
  <c r="AE75" i="5"/>
  <c r="AD75" i="5"/>
  <c r="AC75" i="5"/>
  <c r="AB75" i="5"/>
  <c r="AA75" i="5"/>
  <c r="Z75" i="5"/>
  <c r="W75" i="5"/>
  <c r="V75" i="5"/>
  <c r="T75" i="5"/>
  <c r="U75" i="5" s="1"/>
  <c r="X75" i="5" s="1"/>
  <c r="S75" i="5"/>
  <c r="R75" i="5"/>
  <c r="Q75" i="5"/>
  <c r="P75" i="5"/>
  <c r="O75" i="5"/>
  <c r="N75" i="5"/>
  <c r="M75" i="5"/>
  <c r="L75" i="5"/>
  <c r="D75" i="5"/>
  <c r="B75" i="5"/>
  <c r="AP74" i="5"/>
  <c r="AO74" i="5"/>
  <c r="AQ74" i="5" s="1"/>
  <c r="AM74" i="5"/>
  <c r="AL74" i="5"/>
  <c r="AN74" i="5" s="1"/>
  <c r="AK74" i="5"/>
  <c r="AJ74" i="5"/>
  <c r="AI74" i="5"/>
  <c r="AH74" i="5"/>
  <c r="AG74" i="5"/>
  <c r="AF74" i="5"/>
  <c r="AE74" i="5"/>
  <c r="AD74" i="5"/>
  <c r="AC74" i="5"/>
  <c r="AB74" i="5"/>
  <c r="AA74" i="5"/>
  <c r="Z74" i="5"/>
  <c r="W74" i="5"/>
  <c r="V74" i="5"/>
  <c r="T74" i="5"/>
  <c r="U74" i="5" s="1"/>
  <c r="R74" i="5"/>
  <c r="Q74" i="5"/>
  <c r="P74" i="5"/>
  <c r="N74" i="5"/>
  <c r="M74" i="5"/>
  <c r="L74" i="5"/>
  <c r="D74" i="5"/>
  <c r="B74" i="5"/>
  <c r="AP73" i="5"/>
  <c r="AO73" i="5"/>
  <c r="AQ73" i="5" s="1"/>
  <c r="AM73" i="5"/>
  <c r="AL73" i="5"/>
  <c r="AN73" i="5" s="1"/>
  <c r="AK73" i="5"/>
  <c r="AJ73" i="5"/>
  <c r="AI73" i="5"/>
  <c r="AH73" i="5"/>
  <c r="AG73" i="5"/>
  <c r="AF73" i="5"/>
  <c r="AE73" i="5"/>
  <c r="AD73" i="5"/>
  <c r="AC73" i="5"/>
  <c r="AB73" i="5"/>
  <c r="AA73" i="5"/>
  <c r="Z73" i="5"/>
  <c r="W73" i="5"/>
  <c r="V73" i="5"/>
  <c r="T73" i="5"/>
  <c r="U73" i="5" s="1"/>
  <c r="R73" i="5"/>
  <c r="Q73" i="5"/>
  <c r="P73" i="5"/>
  <c r="N73" i="5"/>
  <c r="M73" i="5"/>
  <c r="S73" i="5" s="1"/>
  <c r="L73" i="5"/>
  <c r="D73" i="5"/>
  <c r="B73" i="5"/>
  <c r="AP72" i="5"/>
  <c r="AO72" i="5"/>
  <c r="AQ72" i="5" s="1"/>
  <c r="AM72" i="5"/>
  <c r="AL72" i="5"/>
  <c r="AN72" i="5" s="1"/>
  <c r="AK72" i="5"/>
  <c r="AJ72" i="5"/>
  <c r="AI72" i="5"/>
  <c r="AH72" i="5"/>
  <c r="AG72" i="5"/>
  <c r="AF72" i="5"/>
  <c r="AE72" i="5"/>
  <c r="AD72" i="5"/>
  <c r="AC72" i="5"/>
  <c r="AB72" i="5"/>
  <c r="AA72" i="5"/>
  <c r="Z72" i="5"/>
  <c r="W72" i="5"/>
  <c r="V72" i="5"/>
  <c r="T72" i="5"/>
  <c r="U72" i="5" s="1"/>
  <c r="R72" i="5"/>
  <c r="Q72" i="5"/>
  <c r="P72" i="5"/>
  <c r="O72" i="5"/>
  <c r="N72" i="5"/>
  <c r="M72" i="5"/>
  <c r="L72" i="5"/>
  <c r="D72" i="5"/>
  <c r="B72" i="5"/>
  <c r="AP71" i="5"/>
  <c r="AO71" i="5"/>
  <c r="AQ71" i="5" s="1"/>
  <c r="AM71" i="5"/>
  <c r="AL71" i="5"/>
  <c r="AN71" i="5" s="1"/>
  <c r="AK71" i="5"/>
  <c r="AJ71" i="5"/>
  <c r="AI71" i="5"/>
  <c r="AH71" i="5"/>
  <c r="AG71" i="5"/>
  <c r="AF71" i="5"/>
  <c r="AE71" i="5"/>
  <c r="AD71" i="5"/>
  <c r="AC71" i="5"/>
  <c r="AB71" i="5"/>
  <c r="AA71" i="5"/>
  <c r="Z71" i="5"/>
  <c r="W71" i="5"/>
  <c r="V71" i="5"/>
  <c r="T71" i="5"/>
  <c r="U71" i="5" s="1"/>
  <c r="R71" i="5"/>
  <c r="Q71" i="5"/>
  <c r="P71" i="5"/>
  <c r="O71" i="5"/>
  <c r="N71" i="5"/>
  <c r="M71" i="5"/>
  <c r="S71" i="5" s="1"/>
  <c r="L71" i="5"/>
  <c r="D71" i="5"/>
  <c r="B71" i="5"/>
  <c r="AP70" i="5"/>
  <c r="AO70" i="5"/>
  <c r="AQ70" i="5" s="1"/>
  <c r="AM70" i="5"/>
  <c r="AL70" i="5"/>
  <c r="AN70" i="5" s="1"/>
  <c r="AK70" i="5"/>
  <c r="AJ70" i="5"/>
  <c r="AI70" i="5"/>
  <c r="AH70" i="5"/>
  <c r="AG70" i="5"/>
  <c r="AF70" i="5"/>
  <c r="AE70" i="5"/>
  <c r="AD70" i="5"/>
  <c r="AC70" i="5"/>
  <c r="AB70" i="5"/>
  <c r="AA70" i="5"/>
  <c r="Z70" i="5"/>
  <c r="W70" i="5"/>
  <c r="V70" i="5"/>
  <c r="T70" i="5"/>
  <c r="U70" i="5" s="1"/>
  <c r="R70" i="5"/>
  <c r="Q70" i="5"/>
  <c r="P70" i="5"/>
  <c r="O70" i="5"/>
  <c r="N70" i="5"/>
  <c r="M70" i="5"/>
  <c r="S70" i="5" s="1"/>
  <c r="L70" i="5"/>
  <c r="D70" i="5"/>
  <c r="B70" i="5"/>
  <c r="AP69" i="5"/>
  <c r="AO69" i="5"/>
  <c r="AQ69" i="5" s="1"/>
  <c r="AM69" i="5"/>
  <c r="AL69" i="5"/>
  <c r="AN69" i="5" s="1"/>
  <c r="AK69" i="5"/>
  <c r="AJ69" i="5"/>
  <c r="AI69" i="5"/>
  <c r="AH69" i="5"/>
  <c r="AG69" i="5"/>
  <c r="AF69" i="5"/>
  <c r="AE69" i="5"/>
  <c r="AD69" i="5"/>
  <c r="AC69" i="5"/>
  <c r="AB69" i="5"/>
  <c r="AA69" i="5"/>
  <c r="Z69" i="5"/>
  <c r="W69" i="5"/>
  <c r="V69" i="5"/>
  <c r="T69" i="5"/>
  <c r="U69" i="5" s="1"/>
  <c r="R69" i="5"/>
  <c r="Q69" i="5"/>
  <c r="P69" i="5"/>
  <c r="N69" i="5"/>
  <c r="M69" i="5"/>
  <c r="L69" i="5"/>
  <c r="D69" i="5"/>
  <c r="B69" i="5"/>
  <c r="AP68" i="5"/>
  <c r="AO68" i="5"/>
  <c r="AQ68" i="5" s="1"/>
  <c r="AM68" i="5"/>
  <c r="AL68" i="5"/>
  <c r="AN68" i="5" s="1"/>
  <c r="AK68" i="5"/>
  <c r="AJ68" i="5"/>
  <c r="AI68" i="5"/>
  <c r="AH68" i="5"/>
  <c r="AG68" i="5"/>
  <c r="AF68" i="5"/>
  <c r="AE68" i="5"/>
  <c r="AD68" i="5"/>
  <c r="AC68" i="5"/>
  <c r="AB68" i="5"/>
  <c r="AA68" i="5"/>
  <c r="Z68" i="5"/>
  <c r="W68" i="5"/>
  <c r="V68" i="5"/>
  <c r="T68" i="5"/>
  <c r="U68" i="5" s="1"/>
  <c r="R68" i="5"/>
  <c r="Q68" i="5"/>
  <c r="P68" i="5"/>
  <c r="O68" i="5"/>
  <c r="N68" i="5"/>
  <c r="M68" i="5"/>
  <c r="L68" i="5"/>
  <c r="D68" i="5"/>
  <c r="B68" i="5"/>
  <c r="AP67" i="5"/>
  <c r="AO67" i="5"/>
  <c r="AQ67" i="5" s="1"/>
  <c r="AM67" i="5"/>
  <c r="AL67" i="5"/>
  <c r="AN67" i="5" s="1"/>
  <c r="AK67" i="5"/>
  <c r="AJ67" i="5"/>
  <c r="AI67" i="5"/>
  <c r="AH67" i="5"/>
  <c r="AG67" i="5"/>
  <c r="AF67" i="5"/>
  <c r="AE67" i="5"/>
  <c r="AD67" i="5"/>
  <c r="AC67" i="5"/>
  <c r="AB67" i="5"/>
  <c r="AA67" i="5"/>
  <c r="Z67" i="5"/>
  <c r="W67" i="5"/>
  <c r="V67" i="5"/>
  <c r="T67" i="5"/>
  <c r="U67" i="5" s="1"/>
  <c r="R67" i="5"/>
  <c r="Q67" i="5"/>
  <c r="P67" i="5"/>
  <c r="N67" i="5"/>
  <c r="M67" i="5"/>
  <c r="L67" i="5"/>
  <c r="D67" i="5"/>
  <c r="B67" i="5"/>
  <c r="AP66" i="5"/>
  <c r="AO66" i="5"/>
  <c r="AQ66" i="5" s="1"/>
  <c r="AM66" i="5"/>
  <c r="AL66" i="5"/>
  <c r="AN66" i="5" s="1"/>
  <c r="AK66" i="5"/>
  <c r="AJ66" i="5"/>
  <c r="AI66" i="5"/>
  <c r="AH66" i="5"/>
  <c r="AG66" i="5"/>
  <c r="AF66" i="5"/>
  <c r="AE66" i="5"/>
  <c r="AD66" i="5"/>
  <c r="AC66" i="5"/>
  <c r="AB66" i="5"/>
  <c r="AA66" i="5"/>
  <c r="Z66" i="5"/>
  <c r="W66" i="5"/>
  <c r="V66" i="5"/>
  <c r="T66" i="5"/>
  <c r="U66" i="5" s="1"/>
  <c r="R66" i="5"/>
  <c r="Q66" i="5"/>
  <c r="P66" i="5"/>
  <c r="O66" i="5"/>
  <c r="N66" i="5"/>
  <c r="M66" i="5"/>
  <c r="S66" i="5" s="1"/>
  <c r="L66" i="5"/>
  <c r="D66" i="5"/>
  <c r="B66" i="5"/>
  <c r="AP65" i="5"/>
  <c r="AO65" i="5"/>
  <c r="AQ65" i="5" s="1"/>
  <c r="AM65" i="5"/>
  <c r="AL65" i="5"/>
  <c r="AN65" i="5" s="1"/>
  <c r="AK65" i="5"/>
  <c r="AJ65" i="5"/>
  <c r="AI65" i="5"/>
  <c r="AH65" i="5"/>
  <c r="AG65" i="5"/>
  <c r="AF65" i="5"/>
  <c r="AE65" i="5"/>
  <c r="AD65" i="5"/>
  <c r="AC65" i="5"/>
  <c r="AB65" i="5"/>
  <c r="AA65" i="5"/>
  <c r="Z65" i="5"/>
  <c r="W65" i="5"/>
  <c r="V65" i="5"/>
  <c r="T65" i="5"/>
  <c r="U65" i="5" s="1"/>
  <c r="R65" i="5"/>
  <c r="Q65" i="5"/>
  <c r="P65" i="5"/>
  <c r="O65" i="5"/>
  <c r="N65" i="5"/>
  <c r="M65" i="5"/>
  <c r="L65" i="5"/>
  <c r="D65" i="5"/>
  <c r="B65" i="5"/>
  <c r="AP64" i="5"/>
  <c r="AO64" i="5"/>
  <c r="AQ64" i="5" s="1"/>
  <c r="AM64" i="5"/>
  <c r="AL64" i="5"/>
  <c r="AN64" i="5" s="1"/>
  <c r="AK64" i="5"/>
  <c r="AJ64" i="5"/>
  <c r="AI64" i="5"/>
  <c r="AH64" i="5"/>
  <c r="AG64" i="5"/>
  <c r="AF64" i="5"/>
  <c r="AE64" i="5"/>
  <c r="AD64" i="5"/>
  <c r="AC64" i="5"/>
  <c r="AB64" i="5"/>
  <c r="AA64" i="5"/>
  <c r="Z64" i="5"/>
  <c r="W64" i="5"/>
  <c r="V64" i="5"/>
  <c r="T64" i="5"/>
  <c r="U64" i="5" s="1"/>
  <c r="R64" i="5"/>
  <c r="Q64" i="5"/>
  <c r="P64" i="5"/>
  <c r="O64" i="5"/>
  <c r="N64" i="5"/>
  <c r="M64" i="5"/>
  <c r="S64" i="5" s="1"/>
  <c r="L64" i="5"/>
  <c r="D64" i="5"/>
  <c r="B64" i="5"/>
  <c r="AP63" i="5"/>
  <c r="AO63" i="5"/>
  <c r="AQ63" i="5" s="1"/>
  <c r="AM63" i="5"/>
  <c r="AL63" i="5"/>
  <c r="AN63" i="5" s="1"/>
  <c r="AK63" i="5"/>
  <c r="AJ63" i="5"/>
  <c r="AI63" i="5"/>
  <c r="AH63" i="5"/>
  <c r="AG63" i="5"/>
  <c r="AF63" i="5"/>
  <c r="AE63" i="5"/>
  <c r="AD63" i="5"/>
  <c r="AC63" i="5"/>
  <c r="AB63" i="5"/>
  <c r="AA63" i="5"/>
  <c r="Z63" i="5"/>
  <c r="W63" i="5"/>
  <c r="V63" i="5"/>
  <c r="T63" i="5"/>
  <c r="U63" i="5" s="1"/>
  <c r="R63" i="5"/>
  <c r="Q63" i="5"/>
  <c r="P63" i="5"/>
  <c r="O63" i="5"/>
  <c r="N63" i="5"/>
  <c r="M63" i="5"/>
  <c r="S63" i="5" s="1"/>
  <c r="L63" i="5"/>
  <c r="D63" i="5"/>
  <c r="B63" i="5"/>
  <c r="AP62" i="5"/>
  <c r="AO62" i="5"/>
  <c r="AQ62" i="5" s="1"/>
  <c r="AM62" i="5"/>
  <c r="AL62" i="5"/>
  <c r="AN62" i="5" s="1"/>
  <c r="AK62" i="5"/>
  <c r="AJ62" i="5"/>
  <c r="AI62" i="5"/>
  <c r="AH62" i="5"/>
  <c r="AG62" i="5"/>
  <c r="AF62" i="5"/>
  <c r="AE62" i="5"/>
  <c r="AD62" i="5"/>
  <c r="AC62" i="5"/>
  <c r="AB62" i="5"/>
  <c r="AA62" i="5"/>
  <c r="Z62" i="5"/>
  <c r="W62" i="5"/>
  <c r="V62" i="5"/>
  <c r="T62" i="5"/>
  <c r="U62" i="5" s="1"/>
  <c r="R62" i="5"/>
  <c r="Q62" i="5"/>
  <c r="P62" i="5"/>
  <c r="O62" i="5"/>
  <c r="N62" i="5"/>
  <c r="M62" i="5"/>
  <c r="S62" i="5" s="1"/>
  <c r="L62" i="5"/>
  <c r="D62" i="5"/>
  <c r="B62" i="5"/>
  <c r="AP61" i="5"/>
  <c r="AO61" i="5"/>
  <c r="AQ61" i="5" s="1"/>
  <c r="AM61" i="5"/>
  <c r="AL61" i="5"/>
  <c r="AN61" i="5" s="1"/>
  <c r="AK61" i="5"/>
  <c r="AJ61" i="5"/>
  <c r="AI61" i="5"/>
  <c r="AH61" i="5"/>
  <c r="AG61" i="5"/>
  <c r="AF61" i="5"/>
  <c r="AE61" i="5"/>
  <c r="AD61" i="5"/>
  <c r="AC61" i="5"/>
  <c r="AB61" i="5"/>
  <c r="AA61" i="5"/>
  <c r="Z61" i="5"/>
  <c r="W61" i="5"/>
  <c r="V61" i="5"/>
  <c r="T61" i="5"/>
  <c r="U61" i="5" s="1"/>
  <c r="R61" i="5"/>
  <c r="Q61" i="5"/>
  <c r="P61" i="5"/>
  <c r="N61" i="5"/>
  <c r="M61" i="5"/>
  <c r="S61" i="5" s="1"/>
  <c r="L61" i="5"/>
  <c r="D61" i="5"/>
  <c r="B61" i="5"/>
  <c r="AP60" i="5"/>
  <c r="AO60" i="5"/>
  <c r="AQ60" i="5" s="1"/>
  <c r="AM60" i="5"/>
  <c r="AL60" i="5"/>
  <c r="AN60" i="5" s="1"/>
  <c r="AK60" i="5"/>
  <c r="AJ60" i="5"/>
  <c r="AI60" i="5"/>
  <c r="AH60" i="5"/>
  <c r="AG60" i="5"/>
  <c r="AF60" i="5"/>
  <c r="AE60" i="5"/>
  <c r="AD60" i="5"/>
  <c r="AC60" i="5"/>
  <c r="AB60" i="5"/>
  <c r="AA60" i="5"/>
  <c r="Z60" i="5"/>
  <c r="W60" i="5"/>
  <c r="V60" i="5"/>
  <c r="T60" i="5"/>
  <c r="U60" i="5" s="1"/>
  <c r="R60" i="5"/>
  <c r="Q60" i="5"/>
  <c r="P60" i="5"/>
  <c r="N60" i="5"/>
  <c r="M60" i="5"/>
  <c r="L60" i="5"/>
  <c r="D60" i="5"/>
  <c r="B60" i="5"/>
  <c r="AP59" i="5"/>
  <c r="AO59" i="5"/>
  <c r="AQ59" i="5" s="1"/>
  <c r="AM59" i="5"/>
  <c r="AL59" i="5"/>
  <c r="AN59" i="5" s="1"/>
  <c r="AK59" i="5"/>
  <c r="AJ59" i="5"/>
  <c r="AI59" i="5"/>
  <c r="AH59" i="5"/>
  <c r="AG59" i="5"/>
  <c r="AF59" i="5"/>
  <c r="AE59" i="5"/>
  <c r="AD59" i="5"/>
  <c r="AC59" i="5"/>
  <c r="AB59" i="5"/>
  <c r="AA59" i="5"/>
  <c r="Z59" i="5"/>
  <c r="W59" i="5"/>
  <c r="V59" i="5"/>
  <c r="T59" i="5"/>
  <c r="U59" i="5" s="1"/>
  <c r="R59" i="5"/>
  <c r="Q59" i="5"/>
  <c r="P59" i="5"/>
  <c r="O59" i="5"/>
  <c r="N59" i="5"/>
  <c r="M59" i="5"/>
  <c r="L59" i="5"/>
  <c r="D59" i="5"/>
  <c r="B59" i="5"/>
  <c r="AP58" i="5"/>
  <c r="AO58" i="5"/>
  <c r="AQ58" i="5" s="1"/>
  <c r="AM58" i="5"/>
  <c r="AL58" i="5"/>
  <c r="AN58" i="5" s="1"/>
  <c r="AK58" i="5"/>
  <c r="AJ58" i="5"/>
  <c r="AI58" i="5"/>
  <c r="AH58" i="5"/>
  <c r="AG58" i="5"/>
  <c r="AF58" i="5"/>
  <c r="AE58" i="5"/>
  <c r="AD58" i="5"/>
  <c r="AC58" i="5"/>
  <c r="AB58" i="5"/>
  <c r="AA58" i="5"/>
  <c r="Z58" i="5"/>
  <c r="W58" i="5"/>
  <c r="V58" i="5"/>
  <c r="T58" i="5"/>
  <c r="U58" i="5" s="1"/>
  <c r="N58" i="5"/>
  <c r="M58" i="5"/>
  <c r="S58" i="5" s="1"/>
  <c r="L58" i="5"/>
  <c r="D58" i="5"/>
  <c r="B58" i="5"/>
  <c r="AP57" i="5"/>
  <c r="AO57" i="5"/>
  <c r="AQ57" i="5" s="1"/>
  <c r="AM57" i="5"/>
  <c r="AL57" i="5"/>
  <c r="AN57" i="5" s="1"/>
  <c r="AK57" i="5"/>
  <c r="AJ57" i="5"/>
  <c r="AI57" i="5"/>
  <c r="AH57" i="5"/>
  <c r="AG57" i="5"/>
  <c r="AF57" i="5"/>
  <c r="AE57" i="5"/>
  <c r="AD57" i="5"/>
  <c r="AC57" i="5"/>
  <c r="AB57" i="5"/>
  <c r="AA57" i="5"/>
  <c r="Z57" i="5"/>
  <c r="W57" i="5"/>
  <c r="V57" i="5"/>
  <c r="T57" i="5"/>
  <c r="U57" i="5" s="1"/>
  <c r="X57" i="5" s="1"/>
  <c r="Y57" i="5" s="1"/>
  <c r="R57" i="5"/>
  <c r="Q57" i="5"/>
  <c r="P57" i="5"/>
  <c r="N57" i="5"/>
  <c r="M57" i="5"/>
  <c r="S57" i="5" s="1"/>
  <c r="L57" i="5"/>
  <c r="D57" i="5"/>
  <c r="B57" i="5"/>
  <c r="AP56" i="5"/>
  <c r="AO56" i="5"/>
  <c r="AQ56" i="5" s="1"/>
  <c r="AM56" i="5"/>
  <c r="AL56" i="5"/>
  <c r="AN56" i="5" s="1"/>
  <c r="AK56" i="5"/>
  <c r="AJ56" i="5"/>
  <c r="AI56" i="5"/>
  <c r="AH56" i="5"/>
  <c r="AG56" i="5"/>
  <c r="AF56" i="5"/>
  <c r="AE56" i="5"/>
  <c r="AD56" i="5"/>
  <c r="AC56" i="5"/>
  <c r="AB56" i="5"/>
  <c r="AA56" i="5"/>
  <c r="Z56" i="5"/>
  <c r="W56" i="5"/>
  <c r="V56" i="5"/>
  <c r="T56" i="5"/>
  <c r="U56" i="5" s="1"/>
  <c r="R56" i="5"/>
  <c r="Q56" i="5"/>
  <c r="P56" i="5"/>
  <c r="O56" i="5"/>
  <c r="N56" i="5"/>
  <c r="M56" i="5"/>
  <c r="L56" i="5"/>
  <c r="D56" i="5"/>
  <c r="B56" i="5"/>
  <c r="AP55" i="5"/>
  <c r="AO55" i="5"/>
  <c r="AQ55" i="5" s="1"/>
  <c r="AM55" i="5"/>
  <c r="AL55" i="5"/>
  <c r="AN55" i="5" s="1"/>
  <c r="AK55" i="5"/>
  <c r="AJ55" i="5"/>
  <c r="AI55" i="5"/>
  <c r="AH55" i="5"/>
  <c r="AG55" i="5"/>
  <c r="AF55" i="5"/>
  <c r="AE55" i="5"/>
  <c r="AD55" i="5"/>
  <c r="AC55" i="5"/>
  <c r="AB55" i="5"/>
  <c r="AA55" i="5"/>
  <c r="Z55" i="5"/>
  <c r="W55" i="5"/>
  <c r="V55" i="5"/>
  <c r="T55" i="5"/>
  <c r="U55" i="5" s="1"/>
  <c r="R55" i="5"/>
  <c r="Q55" i="5"/>
  <c r="P55" i="5"/>
  <c r="N55" i="5"/>
  <c r="M55" i="5"/>
  <c r="L55" i="5"/>
  <c r="D55" i="5"/>
  <c r="B55" i="5"/>
  <c r="AP54" i="5"/>
  <c r="AO54" i="5"/>
  <c r="AQ54" i="5" s="1"/>
  <c r="AM54" i="5"/>
  <c r="AL54" i="5"/>
  <c r="AN54" i="5" s="1"/>
  <c r="AK54" i="5"/>
  <c r="AJ54" i="5"/>
  <c r="AI54" i="5"/>
  <c r="AH54" i="5"/>
  <c r="AG54" i="5"/>
  <c r="AF54" i="5"/>
  <c r="AE54" i="5"/>
  <c r="AD54" i="5"/>
  <c r="AC54" i="5"/>
  <c r="AB54" i="5"/>
  <c r="AA54" i="5"/>
  <c r="Z54" i="5"/>
  <c r="W54" i="5"/>
  <c r="V54" i="5"/>
  <c r="T54" i="5"/>
  <c r="U54" i="5" s="1"/>
  <c r="X54" i="5" s="1"/>
  <c r="R54" i="5"/>
  <c r="Q54" i="5"/>
  <c r="P54" i="5"/>
  <c r="N54" i="5"/>
  <c r="M54" i="5"/>
  <c r="S54" i="5" s="1"/>
  <c r="L54" i="5"/>
  <c r="D54" i="5"/>
  <c r="B54" i="5"/>
  <c r="AP53" i="5"/>
  <c r="AO53" i="5"/>
  <c r="AQ53" i="5" s="1"/>
  <c r="AM53" i="5"/>
  <c r="AL53" i="5"/>
  <c r="AN53" i="5" s="1"/>
  <c r="AK53" i="5"/>
  <c r="AJ53" i="5"/>
  <c r="AI53" i="5"/>
  <c r="AH53" i="5"/>
  <c r="AG53" i="5"/>
  <c r="AF53" i="5"/>
  <c r="AE53" i="5"/>
  <c r="AD53" i="5"/>
  <c r="AC53" i="5"/>
  <c r="AB53" i="5"/>
  <c r="AA53" i="5"/>
  <c r="Z53" i="5"/>
  <c r="W53" i="5"/>
  <c r="V53" i="5"/>
  <c r="T53" i="5"/>
  <c r="U53" i="5" s="1"/>
  <c r="R53" i="5"/>
  <c r="Q53" i="5"/>
  <c r="P53" i="5"/>
  <c r="O53" i="5"/>
  <c r="N53" i="5"/>
  <c r="M53" i="5"/>
  <c r="L53" i="5"/>
  <c r="D53" i="5"/>
  <c r="B53" i="5"/>
  <c r="AP52" i="5"/>
  <c r="AO52" i="5"/>
  <c r="AQ52" i="5" s="1"/>
  <c r="AM52" i="5"/>
  <c r="AL52" i="5"/>
  <c r="AN52" i="5" s="1"/>
  <c r="AK52" i="5"/>
  <c r="AJ52" i="5"/>
  <c r="AI52" i="5"/>
  <c r="AH52" i="5"/>
  <c r="AG52" i="5"/>
  <c r="AF52" i="5"/>
  <c r="AE52" i="5"/>
  <c r="AD52" i="5"/>
  <c r="AC52" i="5"/>
  <c r="AB52" i="5"/>
  <c r="AA52" i="5"/>
  <c r="Z52" i="5"/>
  <c r="W52" i="5"/>
  <c r="V52" i="5"/>
  <c r="T52" i="5"/>
  <c r="U52" i="5" s="1"/>
  <c r="R52" i="5"/>
  <c r="Q52" i="5"/>
  <c r="P52" i="5"/>
  <c r="N52" i="5"/>
  <c r="M52" i="5"/>
  <c r="S52" i="5" s="1"/>
  <c r="L52" i="5"/>
  <c r="D52" i="5"/>
  <c r="B52" i="5"/>
  <c r="AP51" i="5"/>
  <c r="AO51" i="5"/>
  <c r="AQ51" i="5" s="1"/>
  <c r="AM51" i="5"/>
  <c r="AL51" i="5"/>
  <c r="AN51" i="5" s="1"/>
  <c r="AK51" i="5"/>
  <c r="AJ51" i="5"/>
  <c r="AI51" i="5"/>
  <c r="AH51" i="5"/>
  <c r="AG51" i="5"/>
  <c r="AF51" i="5"/>
  <c r="AE51" i="5"/>
  <c r="AD51" i="5"/>
  <c r="AC51" i="5"/>
  <c r="AB51" i="5"/>
  <c r="AA51" i="5"/>
  <c r="Z51" i="5"/>
  <c r="W51" i="5"/>
  <c r="V51" i="5"/>
  <c r="T51" i="5"/>
  <c r="U51" i="5" s="1"/>
  <c r="R51" i="5"/>
  <c r="Q51" i="5"/>
  <c r="P51" i="5"/>
  <c r="N51" i="5"/>
  <c r="M51" i="5"/>
  <c r="L51" i="5"/>
  <c r="D51" i="5"/>
  <c r="B51" i="5"/>
  <c r="AP50" i="5"/>
  <c r="AO50" i="5"/>
  <c r="AQ50" i="5" s="1"/>
  <c r="AM50" i="5"/>
  <c r="AL50" i="5"/>
  <c r="AN50" i="5" s="1"/>
  <c r="AK50" i="5"/>
  <c r="AJ50" i="5"/>
  <c r="AI50" i="5"/>
  <c r="AH50" i="5"/>
  <c r="AG50" i="5"/>
  <c r="AF50" i="5"/>
  <c r="AE50" i="5"/>
  <c r="AD50" i="5"/>
  <c r="AC50" i="5"/>
  <c r="AB50" i="5"/>
  <c r="AA50" i="5"/>
  <c r="Z50" i="5"/>
  <c r="W50" i="5"/>
  <c r="V50" i="5"/>
  <c r="T50" i="5"/>
  <c r="U50" i="5" s="1"/>
  <c r="R50" i="5"/>
  <c r="Q50" i="5"/>
  <c r="P50" i="5"/>
  <c r="O50" i="5"/>
  <c r="N50" i="5"/>
  <c r="M50" i="5"/>
  <c r="S50" i="5" s="1"/>
  <c r="L50" i="5"/>
  <c r="D50" i="5"/>
  <c r="B50" i="5"/>
  <c r="AP49" i="5"/>
  <c r="AO49" i="5"/>
  <c r="AQ49" i="5" s="1"/>
  <c r="AM49" i="5"/>
  <c r="AL49" i="5"/>
  <c r="AN49" i="5" s="1"/>
  <c r="AK49" i="5"/>
  <c r="AJ49" i="5"/>
  <c r="AI49" i="5"/>
  <c r="AH49" i="5"/>
  <c r="AG49" i="5"/>
  <c r="AF49" i="5"/>
  <c r="AE49" i="5"/>
  <c r="AD49" i="5"/>
  <c r="AC49" i="5"/>
  <c r="AB49" i="5"/>
  <c r="AA49" i="5"/>
  <c r="Z49" i="5"/>
  <c r="W49" i="5"/>
  <c r="V49" i="5"/>
  <c r="T49" i="5"/>
  <c r="U49" i="5" s="1"/>
  <c r="R49" i="5"/>
  <c r="Q49" i="5"/>
  <c r="P49" i="5"/>
  <c r="O49" i="5"/>
  <c r="N49" i="5"/>
  <c r="M49" i="5"/>
  <c r="L49" i="5"/>
  <c r="D49" i="5"/>
  <c r="B49" i="5"/>
  <c r="AP48" i="5"/>
  <c r="AO48" i="5"/>
  <c r="AQ48" i="5" s="1"/>
  <c r="AM48" i="5"/>
  <c r="AL48" i="5"/>
  <c r="AN48" i="5" s="1"/>
  <c r="AK48" i="5"/>
  <c r="AJ48" i="5"/>
  <c r="AI48" i="5"/>
  <c r="AH48" i="5"/>
  <c r="AG48" i="5"/>
  <c r="AF48" i="5"/>
  <c r="AE48" i="5"/>
  <c r="AD48" i="5"/>
  <c r="AC48" i="5"/>
  <c r="AB48" i="5"/>
  <c r="AA48" i="5"/>
  <c r="Z48" i="5"/>
  <c r="W48" i="5"/>
  <c r="V48" i="5"/>
  <c r="T48" i="5"/>
  <c r="U48" i="5" s="1"/>
  <c r="R48" i="5"/>
  <c r="Q48" i="5"/>
  <c r="P48" i="5"/>
  <c r="O48" i="5"/>
  <c r="N48" i="5"/>
  <c r="M48" i="5"/>
  <c r="S48" i="5" s="1"/>
  <c r="L48" i="5"/>
  <c r="D48" i="5"/>
  <c r="B48" i="5"/>
  <c r="AP47" i="5"/>
  <c r="AO47" i="5"/>
  <c r="AQ47" i="5" s="1"/>
  <c r="AM47" i="5"/>
  <c r="AL47" i="5"/>
  <c r="AN47" i="5" s="1"/>
  <c r="AK47" i="5"/>
  <c r="AJ47" i="5"/>
  <c r="AI47" i="5"/>
  <c r="AH47" i="5"/>
  <c r="AG47" i="5"/>
  <c r="AF47" i="5"/>
  <c r="AE47" i="5"/>
  <c r="AD47" i="5"/>
  <c r="AC47" i="5"/>
  <c r="AB47" i="5"/>
  <c r="AA47" i="5"/>
  <c r="Z47" i="5"/>
  <c r="W47" i="5"/>
  <c r="V47" i="5"/>
  <c r="T47" i="5"/>
  <c r="U47" i="5" s="1"/>
  <c r="R47" i="5"/>
  <c r="Q47" i="5"/>
  <c r="P47" i="5"/>
  <c r="N47" i="5"/>
  <c r="M47" i="5"/>
  <c r="L47" i="5"/>
  <c r="D47" i="5"/>
  <c r="B47" i="5"/>
  <c r="AP46" i="5"/>
  <c r="AO46" i="5"/>
  <c r="AQ46" i="5" s="1"/>
  <c r="AM46" i="5"/>
  <c r="AL46" i="5"/>
  <c r="AN46" i="5" s="1"/>
  <c r="AK46" i="5"/>
  <c r="AJ46" i="5"/>
  <c r="AI46" i="5"/>
  <c r="AH46" i="5"/>
  <c r="AG46" i="5"/>
  <c r="AF46" i="5"/>
  <c r="AE46" i="5"/>
  <c r="AD46" i="5"/>
  <c r="AC46" i="5"/>
  <c r="AB46" i="5"/>
  <c r="AA46" i="5"/>
  <c r="Z46" i="5"/>
  <c r="W46" i="5"/>
  <c r="V46" i="5"/>
  <c r="T46" i="5"/>
  <c r="U46" i="5" s="1"/>
  <c r="R46" i="5"/>
  <c r="Q46" i="5"/>
  <c r="P46" i="5"/>
  <c r="O46" i="5"/>
  <c r="N46" i="5"/>
  <c r="M46" i="5"/>
  <c r="L46" i="5"/>
  <c r="D46" i="5"/>
  <c r="B46" i="5"/>
  <c r="AP45" i="5"/>
  <c r="AO45" i="5"/>
  <c r="AQ45" i="5" s="1"/>
  <c r="AM45" i="5"/>
  <c r="AL45" i="5"/>
  <c r="AN45" i="5" s="1"/>
  <c r="AK45" i="5"/>
  <c r="AJ45" i="5"/>
  <c r="AI45" i="5"/>
  <c r="AH45" i="5"/>
  <c r="AG45" i="5"/>
  <c r="AF45" i="5"/>
  <c r="AE45" i="5"/>
  <c r="AD45" i="5"/>
  <c r="AC45" i="5"/>
  <c r="AB45" i="5"/>
  <c r="AA45" i="5"/>
  <c r="Z45" i="5"/>
  <c r="W45" i="5"/>
  <c r="V45" i="5"/>
  <c r="T45" i="5"/>
  <c r="U45" i="5" s="1"/>
  <c r="R45" i="5"/>
  <c r="Q45" i="5"/>
  <c r="P45" i="5"/>
  <c r="N45" i="5"/>
  <c r="M45" i="5"/>
  <c r="S45" i="5" s="1"/>
  <c r="L45" i="5"/>
  <c r="D45" i="5"/>
  <c r="B45" i="5"/>
  <c r="AP44" i="5"/>
  <c r="AO44" i="5"/>
  <c r="AQ44" i="5" s="1"/>
  <c r="AM44" i="5"/>
  <c r="AL44" i="5"/>
  <c r="AN44" i="5" s="1"/>
  <c r="AK44" i="5"/>
  <c r="AJ44" i="5"/>
  <c r="AI44" i="5"/>
  <c r="AH44" i="5"/>
  <c r="AG44" i="5"/>
  <c r="AF44" i="5"/>
  <c r="AE44" i="5"/>
  <c r="AD44" i="5"/>
  <c r="AC44" i="5"/>
  <c r="AB44" i="5"/>
  <c r="AA44" i="5"/>
  <c r="Z44" i="5"/>
  <c r="W44" i="5"/>
  <c r="V44" i="5"/>
  <c r="T44" i="5"/>
  <c r="U44" i="5" s="1"/>
  <c r="R44" i="5"/>
  <c r="Q44" i="5"/>
  <c r="P44" i="5"/>
  <c r="O44" i="5"/>
  <c r="N44" i="5"/>
  <c r="M44" i="5"/>
  <c r="S44" i="5" s="1"/>
  <c r="L44" i="5"/>
  <c r="D44" i="5"/>
  <c r="B44" i="5"/>
  <c r="AP43" i="5"/>
  <c r="AO43" i="5"/>
  <c r="AQ43" i="5" s="1"/>
  <c r="AM43" i="5"/>
  <c r="AL43" i="5"/>
  <c r="AN43" i="5" s="1"/>
  <c r="AK43" i="5"/>
  <c r="AJ43" i="5"/>
  <c r="AI43" i="5"/>
  <c r="AH43" i="5"/>
  <c r="AG43" i="5"/>
  <c r="AF43" i="5"/>
  <c r="AE43" i="5"/>
  <c r="AD43" i="5"/>
  <c r="AC43" i="5"/>
  <c r="AB43" i="5"/>
  <c r="AA43" i="5"/>
  <c r="Z43" i="5"/>
  <c r="W43" i="5"/>
  <c r="V43" i="5"/>
  <c r="T43" i="5"/>
  <c r="U43" i="5" s="1"/>
  <c r="R43" i="5"/>
  <c r="Q43" i="5"/>
  <c r="P43" i="5"/>
  <c r="N43" i="5"/>
  <c r="M43" i="5"/>
  <c r="S43" i="5" s="1"/>
  <c r="L43" i="5"/>
  <c r="D43" i="5"/>
  <c r="B43" i="5"/>
  <c r="AP42" i="5"/>
  <c r="AO42" i="5"/>
  <c r="AQ42" i="5" s="1"/>
  <c r="AM42" i="5"/>
  <c r="AL42" i="5"/>
  <c r="AN42" i="5" s="1"/>
  <c r="AK42" i="5"/>
  <c r="AJ42" i="5"/>
  <c r="AI42" i="5"/>
  <c r="AH42" i="5"/>
  <c r="AG42" i="5"/>
  <c r="AF42" i="5"/>
  <c r="AE42" i="5"/>
  <c r="AD42" i="5"/>
  <c r="AC42" i="5"/>
  <c r="AB42" i="5"/>
  <c r="AA42" i="5"/>
  <c r="Z42" i="5"/>
  <c r="W42" i="5"/>
  <c r="V42" i="5"/>
  <c r="T42" i="5"/>
  <c r="U42" i="5" s="1"/>
  <c r="R42" i="5"/>
  <c r="Q42" i="5"/>
  <c r="P42" i="5"/>
  <c r="O42" i="5"/>
  <c r="N42" i="5"/>
  <c r="M42" i="5"/>
  <c r="L42" i="5"/>
  <c r="D42" i="5"/>
  <c r="B42" i="5"/>
  <c r="AP41" i="5"/>
  <c r="AO41" i="5"/>
  <c r="AQ41" i="5" s="1"/>
  <c r="AM41" i="5"/>
  <c r="AL41" i="5"/>
  <c r="AN41" i="5" s="1"/>
  <c r="AK41" i="5"/>
  <c r="AJ41" i="5"/>
  <c r="AI41" i="5"/>
  <c r="AH41" i="5"/>
  <c r="AG41" i="5"/>
  <c r="AF41" i="5"/>
  <c r="AE41" i="5"/>
  <c r="AD41" i="5"/>
  <c r="AC41" i="5"/>
  <c r="AB41" i="5"/>
  <c r="AA41" i="5"/>
  <c r="Z41" i="5"/>
  <c r="W41" i="5"/>
  <c r="V41" i="5"/>
  <c r="T41" i="5"/>
  <c r="U41" i="5" s="1"/>
  <c r="R41" i="5"/>
  <c r="Q41" i="5"/>
  <c r="P41" i="5"/>
  <c r="N41" i="5"/>
  <c r="M41" i="5"/>
  <c r="S41" i="5" s="1"/>
  <c r="L41" i="5"/>
  <c r="D41" i="5"/>
  <c r="B41" i="5"/>
  <c r="AP40" i="5"/>
  <c r="AO40" i="5"/>
  <c r="AQ40" i="5" s="1"/>
  <c r="AM40" i="5"/>
  <c r="AL40" i="5"/>
  <c r="AN40" i="5" s="1"/>
  <c r="AK40" i="5"/>
  <c r="AJ40" i="5"/>
  <c r="AI40" i="5"/>
  <c r="AH40" i="5"/>
  <c r="AG40" i="5"/>
  <c r="AF40" i="5"/>
  <c r="AE40" i="5"/>
  <c r="AD40" i="5"/>
  <c r="AC40" i="5"/>
  <c r="AB40" i="5"/>
  <c r="AA40" i="5"/>
  <c r="Z40" i="5"/>
  <c r="W40" i="5"/>
  <c r="V40" i="5"/>
  <c r="T40" i="5"/>
  <c r="U40" i="5" s="1"/>
  <c r="R40" i="5"/>
  <c r="Q40" i="5"/>
  <c r="P40" i="5"/>
  <c r="O40" i="5"/>
  <c r="N40" i="5"/>
  <c r="M40" i="5"/>
  <c r="L40" i="5"/>
  <c r="D40" i="5"/>
  <c r="B40" i="5"/>
  <c r="AP39" i="5"/>
  <c r="AO39" i="5"/>
  <c r="AQ39" i="5" s="1"/>
  <c r="AM39" i="5"/>
  <c r="AL39" i="5"/>
  <c r="AN39" i="5" s="1"/>
  <c r="AK39" i="5"/>
  <c r="AJ39" i="5"/>
  <c r="AI39" i="5"/>
  <c r="AH39" i="5"/>
  <c r="AG39" i="5"/>
  <c r="AF39" i="5"/>
  <c r="AE39" i="5"/>
  <c r="AD39" i="5"/>
  <c r="AC39" i="5"/>
  <c r="AB39" i="5"/>
  <c r="AA39" i="5"/>
  <c r="Z39" i="5"/>
  <c r="W39" i="5"/>
  <c r="V39" i="5"/>
  <c r="T39" i="5"/>
  <c r="U39" i="5" s="1"/>
  <c r="R39" i="5"/>
  <c r="Q39" i="5"/>
  <c r="P39" i="5"/>
  <c r="N39" i="5"/>
  <c r="M39" i="5"/>
  <c r="L39" i="5"/>
  <c r="D39" i="5"/>
  <c r="B39" i="5"/>
  <c r="AP38" i="5"/>
  <c r="AO38" i="5"/>
  <c r="AQ38" i="5" s="1"/>
  <c r="AM38" i="5"/>
  <c r="AL38" i="5"/>
  <c r="AN38" i="5" s="1"/>
  <c r="AK38" i="5"/>
  <c r="AJ38" i="5"/>
  <c r="AI38" i="5"/>
  <c r="AH38" i="5"/>
  <c r="AG38" i="5"/>
  <c r="AF38" i="5"/>
  <c r="AE38" i="5"/>
  <c r="AD38" i="5"/>
  <c r="AC38" i="5"/>
  <c r="AB38" i="5"/>
  <c r="AA38" i="5"/>
  <c r="Z38" i="5"/>
  <c r="W38" i="5"/>
  <c r="V38" i="5"/>
  <c r="T38" i="5"/>
  <c r="U38" i="5" s="1"/>
  <c r="X38" i="5" s="1"/>
  <c r="R38" i="5"/>
  <c r="Q38" i="5"/>
  <c r="P38" i="5"/>
  <c r="O38" i="5"/>
  <c r="N38" i="5"/>
  <c r="M38" i="5"/>
  <c r="L38" i="5"/>
  <c r="D38" i="5"/>
  <c r="B38" i="5"/>
  <c r="AP37" i="5"/>
  <c r="AO37" i="5"/>
  <c r="AQ37" i="5" s="1"/>
  <c r="AM37" i="5"/>
  <c r="AL37" i="5"/>
  <c r="AN37" i="5" s="1"/>
  <c r="AK37" i="5"/>
  <c r="AJ37" i="5"/>
  <c r="AI37" i="5"/>
  <c r="AH37" i="5"/>
  <c r="AG37" i="5"/>
  <c r="AF37" i="5"/>
  <c r="AE37" i="5"/>
  <c r="AD37" i="5"/>
  <c r="AC37" i="5"/>
  <c r="AB37" i="5"/>
  <c r="AA37" i="5"/>
  <c r="Z37" i="5"/>
  <c r="W37" i="5"/>
  <c r="V37" i="5"/>
  <c r="T37" i="5"/>
  <c r="U37" i="5" s="1"/>
  <c r="R37" i="5"/>
  <c r="Q37" i="5"/>
  <c r="P37" i="5"/>
  <c r="N37" i="5"/>
  <c r="M37" i="5"/>
  <c r="L37" i="5"/>
  <c r="D37" i="5"/>
  <c r="B37" i="5"/>
  <c r="AP36" i="5"/>
  <c r="AO36" i="5"/>
  <c r="AQ36" i="5" s="1"/>
  <c r="AM36" i="5"/>
  <c r="AL36" i="5"/>
  <c r="AN36" i="5" s="1"/>
  <c r="AK36" i="5"/>
  <c r="AJ36" i="5"/>
  <c r="AI36" i="5"/>
  <c r="AH36" i="5"/>
  <c r="AG36" i="5"/>
  <c r="AF36" i="5"/>
  <c r="AE36" i="5"/>
  <c r="AD36" i="5"/>
  <c r="AC36" i="5"/>
  <c r="AB36" i="5"/>
  <c r="AA36" i="5"/>
  <c r="Z36" i="5"/>
  <c r="W36" i="5"/>
  <c r="V36" i="5"/>
  <c r="T36" i="5"/>
  <c r="U36" i="5" s="1"/>
  <c r="R36" i="5"/>
  <c r="Q36" i="5"/>
  <c r="P36" i="5"/>
  <c r="O36" i="5"/>
  <c r="N36" i="5"/>
  <c r="M36" i="5"/>
  <c r="S36" i="5" s="1"/>
  <c r="L36" i="5"/>
  <c r="D36" i="5"/>
  <c r="B36" i="5"/>
  <c r="AP35" i="5"/>
  <c r="AO35" i="5"/>
  <c r="AQ35" i="5" s="1"/>
  <c r="AM35" i="5"/>
  <c r="AL35" i="5"/>
  <c r="AN35" i="5" s="1"/>
  <c r="AK35" i="5"/>
  <c r="AJ35" i="5"/>
  <c r="AI35" i="5"/>
  <c r="AH35" i="5"/>
  <c r="AG35" i="5"/>
  <c r="AF35" i="5"/>
  <c r="AE35" i="5"/>
  <c r="AD35" i="5"/>
  <c r="AC35" i="5"/>
  <c r="AB35" i="5"/>
  <c r="AA35" i="5"/>
  <c r="Z35" i="5"/>
  <c r="W35" i="5"/>
  <c r="V35" i="5"/>
  <c r="T35" i="5"/>
  <c r="U35" i="5" s="1"/>
  <c r="R35" i="5"/>
  <c r="Q35" i="5"/>
  <c r="P35" i="5"/>
  <c r="N35" i="5"/>
  <c r="M35" i="5"/>
  <c r="L35" i="5"/>
  <c r="D35" i="5"/>
  <c r="B35" i="5"/>
  <c r="AP34" i="5"/>
  <c r="AO34" i="5"/>
  <c r="AQ34" i="5" s="1"/>
  <c r="AM34" i="5"/>
  <c r="AL34" i="5"/>
  <c r="AN34" i="5" s="1"/>
  <c r="AK34" i="5"/>
  <c r="AJ34" i="5"/>
  <c r="AI34" i="5"/>
  <c r="AH34" i="5"/>
  <c r="AG34" i="5"/>
  <c r="AF34" i="5"/>
  <c r="AE34" i="5"/>
  <c r="AD34" i="5"/>
  <c r="AC34" i="5"/>
  <c r="AB34" i="5"/>
  <c r="AA34" i="5"/>
  <c r="Z34" i="5"/>
  <c r="W34" i="5"/>
  <c r="V34" i="5"/>
  <c r="T34" i="5"/>
  <c r="U34" i="5" s="1"/>
  <c r="S34" i="5"/>
  <c r="R34" i="5"/>
  <c r="Q34" i="5"/>
  <c r="P34" i="5"/>
  <c r="O34" i="5"/>
  <c r="N34" i="5"/>
  <c r="M34" i="5"/>
  <c r="L34" i="5"/>
  <c r="D34" i="5"/>
  <c r="B34" i="5"/>
  <c r="AP33" i="5"/>
  <c r="AO33" i="5"/>
  <c r="AQ33" i="5" s="1"/>
  <c r="AM33" i="5"/>
  <c r="AL33" i="5"/>
  <c r="AN33" i="5" s="1"/>
  <c r="AK33" i="5"/>
  <c r="AJ33" i="5"/>
  <c r="AI33" i="5"/>
  <c r="AH33" i="5"/>
  <c r="AG33" i="5"/>
  <c r="AF33" i="5"/>
  <c r="AE33" i="5"/>
  <c r="AD33" i="5"/>
  <c r="AC33" i="5"/>
  <c r="AB33" i="5"/>
  <c r="AA33" i="5"/>
  <c r="Z33" i="5"/>
  <c r="W33" i="5"/>
  <c r="V33" i="5"/>
  <c r="T33" i="5"/>
  <c r="U33" i="5" s="1"/>
  <c r="R33" i="5"/>
  <c r="Q33" i="5"/>
  <c r="P33" i="5"/>
  <c r="N33" i="5"/>
  <c r="M33" i="5"/>
  <c r="L33" i="5"/>
  <c r="D33" i="5"/>
  <c r="B33" i="5"/>
  <c r="AP32" i="5"/>
  <c r="AO32" i="5"/>
  <c r="AQ32" i="5" s="1"/>
  <c r="AM32" i="5"/>
  <c r="AL32" i="5"/>
  <c r="AN32" i="5" s="1"/>
  <c r="AK32" i="5"/>
  <c r="AJ32" i="5"/>
  <c r="AI32" i="5"/>
  <c r="AH32" i="5"/>
  <c r="AG32" i="5"/>
  <c r="AF32" i="5"/>
  <c r="AE32" i="5"/>
  <c r="AD32" i="5"/>
  <c r="AC32" i="5"/>
  <c r="AB32" i="5"/>
  <c r="AA32" i="5"/>
  <c r="Z32" i="5"/>
  <c r="W32" i="5"/>
  <c r="V32" i="5"/>
  <c r="T32" i="5"/>
  <c r="U32" i="5" s="1"/>
  <c r="R32" i="5"/>
  <c r="Q32" i="5"/>
  <c r="P32" i="5"/>
  <c r="N32" i="5"/>
  <c r="M32" i="5"/>
  <c r="L32" i="5"/>
  <c r="D32" i="5"/>
  <c r="B32" i="5"/>
  <c r="AP31" i="5"/>
  <c r="AO31" i="5"/>
  <c r="AQ31" i="5" s="1"/>
  <c r="AM31" i="5"/>
  <c r="AL31" i="5"/>
  <c r="AN31" i="5" s="1"/>
  <c r="AK31" i="5"/>
  <c r="AJ31" i="5"/>
  <c r="AI31" i="5"/>
  <c r="AH31" i="5"/>
  <c r="AG31" i="5"/>
  <c r="AF31" i="5"/>
  <c r="AE31" i="5"/>
  <c r="AD31" i="5"/>
  <c r="AC31" i="5"/>
  <c r="AB31" i="5"/>
  <c r="AA31" i="5"/>
  <c r="Z31" i="5"/>
  <c r="W31" i="5"/>
  <c r="V31" i="5"/>
  <c r="T31" i="5"/>
  <c r="U31" i="5" s="1"/>
  <c r="R31" i="5"/>
  <c r="Q31" i="5"/>
  <c r="P31" i="5"/>
  <c r="O31" i="5"/>
  <c r="N31" i="5"/>
  <c r="M31" i="5"/>
  <c r="L31" i="5"/>
  <c r="D31" i="5"/>
  <c r="B31" i="5"/>
  <c r="AP30" i="5"/>
  <c r="AO30" i="5"/>
  <c r="AQ30" i="5" s="1"/>
  <c r="AM30" i="5"/>
  <c r="AL30" i="5"/>
  <c r="AN30" i="5" s="1"/>
  <c r="AK30" i="5"/>
  <c r="AJ30" i="5"/>
  <c r="AI30" i="5"/>
  <c r="AH30" i="5"/>
  <c r="AG30" i="5"/>
  <c r="AF30" i="5"/>
  <c r="AE30" i="5"/>
  <c r="AD30" i="5"/>
  <c r="AC30" i="5"/>
  <c r="AB30" i="5"/>
  <c r="AA30" i="5"/>
  <c r="Z30" i="5"/>
  <c r="W30" i="5"/>
  <c r="V30" i="5"/>
  <c r="T30" i="5"/>
  <c r="U30" i="5" s="1"/>
  <c r="X30" i="5" s="1"/>
  <c r="R30" i="5"/>
  <c r="Q30" i="5"/>
  <c r="P30" i="5"/>
  <c r="O30" i="5"/>
  <c r="N30" i="5"/>
  <c r="M30" i="5"/>
  <c r="L30" i="5"/>
  <c r="D30" i="5"/>
  <c r="B30" i="5"/>
  <c r="AP29" i="5"/>
  <c r="AO29" i="5"/>
  <c r="AQ29" i="5" s="1"/>
  <c r="AM29" i="5"/>
  <c r="AL29" i="5"/>
  <c r="AN29" i="5" s="1"/>
  <c r="AK29" i="5"/>
  <c r="AJ29" i="5"/>
  <c r="AI29" i="5"/>
  <c r="AH29" i="5"/>
  <c r="AG29" i="5"/>
  <c r="AF29" i="5"/>
  <c r="AE29" i="5"/>
  <c r="AD29" i="5"/>
  <c r="AC29" i="5"/>
  <c r="AB29" i="5"/>
  <c r="AA29" i="5"/>
  <c r="Z29" i="5"/>
  <c r="W29" i="5"/>
  <c r="V29" i="5"/>
  <c r="T29" i="5"/>
  <c r="U29" i="5" s="1"/>
  <c r="R29" i="5"/>
  <c r="Q29" i="5"/>
  <c r="P29" i="5"/>
  <c r="O29" i="5"/>
  <c r="N29" i="5"/>
  <c r="M29" i="5"/>
  <c r="S29" i="5" s="1"/>
  <c r="L29" i="5"/>
  <c r="D29" i="5"/>
  <c r="B29" i="5"/>
  <c r="AP28" i="5"/>
  <c r="AO28" i="5"/>
  <c r="AQ28" i="5" s="1"/>
  <c r="AM28" i="5"/>
  <c r="AL28" i="5"/>
  <c r="AN28" i="5" s="1"/>
  <c r="AK28" i="5"/>
  <c r="AJ28" i="5"/>
  <c r="AI28" i="5"/>
  <c r="AH28" i="5"/>
  <c r="AG28" i="5"/>
  <c r="AF28" i="5"/>
  <c r="AE28" i="5"/>
  <c r="AD28" i="5"/>
  <c r="AC28" i="5"/>
  <c r="AB28" i="5"/>
  <c r="AA28" i="5"/>
  <c r="Z28" i="5"/>
  <c r="W28" i="5"/>
  <c r="V28" i="5"/>
  <c r="T28" i="5"/>
  <c r="U28" i="5" s="1"/>
  <c r="R28" i="5"/>
  <c r="Q28" i="5"/>
  <c r="P28" i="5"/>
  <c r="O28" i="5"/>
  <c r="N28" i="5"/>
  <c r="M28" i="5"/>
  <c r="L28" i="5"/>
  <c r="D28" i="5"/>
  <c r="B28" i="5"/>
  <c r="AP27" i="5"/>
  <c r="AO27" i="5"/>
  <c r="AQ27" i="5" s="1"/>
  <c r="AM27" i="5"/>
  <c r="AL27" i="5"/>
  <c r="AN27" i="5" s="1"/>
  <c r="AK27" i="5"/>
  <c r="AJ27" i="5"/>
  <c r="AI27" i="5"/>
  <c r="AH27" i="5"/>
  <c r="AG27" i="5"/>
  <c r="AF27" i="5"/>
  <c r="AE27" i="5"/>
  <c r="AD27" i="5"/>
  <c r="AC27" i="5"/>
  <c r="AB27" i="5"/>
  <c r="AA27" i="5"/>
  <c r="Z27" i="5"/>
  <c r="W27" i="5"/>
  <c r="V27" i="5"/>
  <c r="T27" i="5"/>
  <c r="U27" i="5" s="1"/>
  <c r="R27" i="5"/>
  <c r="Q27" i="5"/>
  <c r="P27" i="5"/>
  <c r="O27" i="5"/>
  <c r="N27" i="5"/>
  <c r="M27" i="5"/>
  <c r="S27" i="5" s="1"/>
  <c r="L27" i="5"/>
  <c r="D27" i="5"/>
  <c r="B27" i="5"/>
  <c r="AP26" i="5"/>
  <c r="AO26" i="5"/>
  <c r="AQ26" i="5" s="1"/>
  <c r="AM26" i="5"/>
  <c r="AL26" i="5"/>
  <c r="AN26" i="5" s="1"/>
  <c r="AK26" i="5"/>
  <c r="AJ26" i="5"/>
  <c r="AI26" i="5"/>
  <c r="AH26" i="5"/>
  <c r="AG26" i="5"/>
  <c r="AF26" i="5"/>
  <c r="AE26" i="5"/>
  <c r="AD26" i="5"/>
  <c r="AC26" i="5"/>
  <c r="AB26" i="5"/>
  <c r="AA26" i="5"/>
  <c r="Z26" i="5"/>
  <c r="W26" i="5"/>
  <c r="V26" i="5"/>
  <c r="T26" i="5"/>
  <c r="U26" i="5" s="1"/>
  <c r="R26" i="5"/>
  <c r="Q26" i="5"/>
  <c r="P26" i="5"/>
  <c r="O26" i="5"/>
  <c r="N26" i="5"/>
  <c r="M26" i="5"/>
  <c r="S26" i="5" s="1"/>
  <c r="L26" i="5"/>
  <c r="D26" i="5"/>
  <c r="B26" i="5"/>
  <c r="AP25" i="5"/>
  <c r="AO25" i="5"/>
  <c r="AQ25" i="5" s="1"/>
  <c r="AM25" i="5"/>
  <c r="AL25" i="5"/>
  <c r="AN25" i="5" s="1"/>
  <c r="AK25" i="5"/>
  <c r="AJ25" i="5"/>
  <c r="AI25" i="5"/>
  <c r="AH25" i="5"/>
  <c r="AG25" i="5"/>
  <c r="AF25" i="5"/>
  <c r="AE25" i="5"/>
  <c r="AD25" i="5"/>
  <c r="AC25" i="5"/>
  <c r="AB25" i="5"/>
  <c r="AA25" i="5"/>
  <c r="Z25" i="5"/>
  <c r="W25" i="5"/>
  <c r="V25" i="5"/>
  <c r="T25" i="5"/>
  <c r="U25" i="5" s="1"/>
  <c r="R25" i="5"/>
  <c r="Q25" i="5"/>
  <c r="P25" i="5"/>
  <c r="O25" i="5"/>
  <c r="N25" i="5"/>
  <c r="M25" i="5"/>
  <c r="S25" i="5" s="1"/>
  <c r="L25" i="5"/>
  <c r="D25" i="5"/>
  <c r="B25" i="5"/>
  <c r="AP24" i="5"/>
  <c r="AO24" i="5"/>
  <c r="AQ24" i="5" s="1"/>
  <c r="AM24" i="5"/>
  <c r="AL24" i="5"/>
  <c r="AN24" i="5" s="1"/>
  <c r="AK24" i="5"/>
  <c r="AJ24" i="5"/>
  <c r="AI24" i="5"/>
  <c r="AH24" i="5"/>
  <c r="AG24" i="5"/>
  <c r="AF24" i="5"/>
  <c r="AE24" i="5"/>
  <c r="AD24" i="5"/>
  <c r="AC24" i="5"/>
  <c r="AB24" i="5"/>
  <c r="AA24" i="5"/>
  <c r="Z24" i="5"/>
  <c r="W24" i="5"/>
  <c r="V24" i="5"/>
  <c r="T24" i="5"/>
  <c r="U24" i="5" s="1"/>
  <c r="R24" i="5"/>
  <c r="Q24" i="5"/>
  <c r="P24" i="5"/>
  <c r="O24" i="5"/>
  <c r="N24" i="5"/>
  <c r="M24" i="5"/>
  <c r="L24" i="5"/>
  <c r="D24" i="5"/>
  <c r="B24" i="5"/>
  <c r="AP23" i="5"/>
  <c r="AO23" i="5"/>
  <c r="AQ23" i="5" s="1"/>
  <c r="AM23" i="5"/>
  <c r="AL23" i="5"/>
  <c r="AN23" i="5" s="1"/>
  <c r="AK23" i="5"/>
  <c r="AJ23" i="5"/>
  <c r="AI23" i="5"/>
  <c r="AH23" i="5"/>
  <c r="AG23" i="5"/>
  <c r="AF23" i="5"/>
  <c r="AE23" i="5"/>
  <c r="AD23" i="5"/>
  <c r="AC23" i="5"/>
  <c r="AB23" i="5"/>
  <c r="AA23" i="5"/>
  <c r="Z23" i="5"/>
  <c r="W23" i="5"/>
  <c r="V23" i="5"/>
  <c r="T23" i="5"/>
  <c r="U23" i="5" s="1"/>
  <c r="R23" i="5"/>
  <c r="Q23" i="5"/>
  <c r="P23" i="5"/>
  <c r="O23" i="5"/>
  <c r="N23" i="5"/>
  <c r="M23" i="5"/>
  <c r="S23" i="5" s="1"/>
  <c r="L23" i="5"/>
  <c r="D23" i="5"/>
  <c r="B23" i="5"/>
  <c r="AP22" i="5"/>
  <c r="AO22" i="5"/>
  <c r="AQ22" i="5" s="1"/>
  <c r="AM22" i="5"/>
  <c r="AL22" i="5"/>
  <c r="AN22" i="5" s="1"/>
  <c r="AK22" i="5"/>
  <c r="AJ22" i="5"/>
  <c r="AI22" i="5"/>
  <c r="AH22" i="5"/>
  <c r="AG22" i="5"/>
  <c r="AF22" i="5"/>
  <c r="AE22" i="5"/>
  <c r="AD22" i="5"/>
  <c r="AC22" i="5"/>
  <c r="AB22" i="5"/>
  <c r="AA22" i="5"/>
  <c r="Z22" i="5"/>
  <c r="W22" i="5"/>
  <c r="V22" i="5"/>
  <c r="T22" i="5"/>
  <c r="U22" i="5" s="1"/>
  <c r="R22" i="5"/>
  <c r="Q22" i="5"/>
  <c r="P22" i="5"/>
  <c r="O22" i="5"/>
  <c r="N22" i="5"/>
  <c r="M22" i="5"/>
  <c r="L22" i="5"/>
  <c r="D22" i="5"/>
  <c r="B22" i="5"/>
  <c r="AP21" i="5"/>
  <c r="AO21" i="5"/>
  <c r="AQ21" i="5" s="1"/>
  <c r="AM21" i="5"/>
  <c r="AL21" i="5"/>
  <c r="AN21" i="5" s="1"/>
  <c r="AK21" i="5"/>
  <c r="AJ21" i="5"/>
  <c r="AI21" i="5"/>
  <c r="AH21" i="5"/>
  <c r="AG21" i="5"/>
  <c r="AF21" i="5"/>
  <c r="AE21" i="5"/>
  <c r="AD21" i="5"/>
  <c r="AC21" i="5"/>
  <c r="AB21" i="5"/>
  <c r="AA21" i="5"/>
  <c r="Z21" i="5"/>
  <c r="W21" i="5"/>
  <c r="V21" i="5"/>
  <c r="T21" i="5"/>
  <c r="U21" i="5" s="1"/>
  <c r="R21" i="5"/>
  <c r="Q21" i="5"/>
  <c r="P21" i="5"/>
  <c r="N21" i="5"/>
  <c r="M21" i="5"/>
  <c r="L21" i="5"/>
  <c r="D21" i="5"/>
  <c r="B21" i="5"/>
  <c r="AP20" i="5"/>
  <c r="AO20" i="5"/>
  <c r="AQ20" i="5" s="1"/>
  <c r="AM20" i="5"/>
  <c r="AL20" i="5"/>
  <c r="AN20" i="5" s="1"/>
  <c r="AK20" i="5"/>
  <c r="AJ20" i="5"/>
  <c r="AI20" i="5"/>
  <c r="AH20" i="5"/>
  <c r="AG20" i="5"/>
  <c r="AF20" i="5"/>
  <c r="AE20" i="5"/>
  <c r="AD20" i="5"/>
  <c r="AC20" i="5"/>
  <c r="AB20" i="5"/>
  <c r="AA20" i="5"/>
  <c r="Z20" i="5"/>
  <c r="W20" i="5"/>
  <c r="V20" i="5"/>
  <c r="T20" i="5"/>
  <c r="U20" i="5" s="1"/>
  <c r="R20" i="5"/>
  <c r="Q20" i="5"/>
  <c r="P20" i="5"/>
  <c r="N20" i="5"/>
  <c r="M20" i="5"/>
  <c r="L20" i="5"/>
  <c r="D20" i="5"/>
  <c r="B20" i="5"/>
  <c r="AP19" i="5"/>
  <c r="AO19" i="5"/>
  <c r="AQ19" i="5" s="1"/>
  <c r="AM19" i="5"/>
  <c r="AL19" i="5"/>
  <c r="AN19" i="5" s="1"/>
  <c r="AK19" i="5"/>
  <c r="AJ19" i="5"/>
  <c r="AI19" i="5"/>
  <c r="AH19" i="5"/>
  <c r="AG19" i="5"/>
  <c r="AF19" i="5"/>
  <c r="AE19" i="5"/>
  <c r="AD19" i="5"/>
  <c r="AC19" i="5"/>
  <c r="AB19" i="5"/>
  <c r="AA19" i="5"/>
  <c r="Z19" i="5"/>
  <c r="W19" i="5"/>
  <c r="V19" i="5"/>
  <c r="T19" i="5"/>
  <c r="U19" i="5" s="1"/>
  <c r="R19" i="5"/>
  <c r="Q19" i="5"/>
  <c r="P19" i="5"/>
  <c r="O19" i="5"/>
  <c r="N19" i="5"/>
  <c r="M19" i="5"/>
  <c r="L19" i="5"/>
  <c r="D19" i="5"/>
  <c r="B19" i="5"/>
  <c r="AP18" i="5"/>
  <c r="AO18" i="5"/>
  <c r="AQ18" i="5" s="1"/>
  <c r="AR18" i="5" s="1"/>
  <c r="AM18" i="5"/>
  <c r="AL18" i="5"/>
  <c r="AN18" i="5" s="1"/>
  <c r="AK18" i="5"/>
  <c r="AJ18" i="5"/>
  <c r="AI18" i="5"/>
  <c r="AH18" i="5"/>
  <c r="AG18" i="5"/>
  <c r="AF18" i="5"/>
  <c r="AE18" i="5"/>
  <c r="AD18" i="5"/>
  <c r="AC18" i="5"/>
  <c r="AB18" i="5"/>
  <c r="AA18" i="5"/>
  <c r="Z18" i="5"/>
  <c r="W18" i="5"/>
  <c r="V18" i="5"/>
  <c r="T18" i="5"/>
  <c r="U18" i="5" s="1"/>
  <c r="R18" i="5"/>
  <c r="Q18" i="5"/>
  <c r="P18" i="5"/>
  <c r="O18" i="5"/>
  <c r="N18" i="5"/>
  <c r="M18" i="5"/>
  <c r="S18" i="5" s="1"/>
  <c r="L18" i="5"/>
  <c r="D18" i="5"/>
  <c r="B18" i="5"/>
  <c r="AP17" i="5"/>
  <c r="AO17" i="5"/>
  <c r="AQ17" i="5" s="1"/>
  <c r="AM17" i="5"/>
  <c r="AL17" i="5"/>
  <c r="AN17" i="5" s="1"/>
  <c r="AK17" i="5"/>
  <c r="AJ17" i="5"/>
  <c r="AI17" i="5"/>
  <c r="AH17" i="5"/>
  <c r="AG17" i="5"/>
  <c r="AF17" i="5"/>
  <c r="AE17" i="5"/>
  <c r="AD17" i="5"/>
  <c r="AC17" i="5"/>
  <c r="AB17" i="5"/>
  <c r="AA17" i="5"/>
  <c r="Z17" i="5"/>
  <c r="W17" i="5"/>
  <c r="V17" i="5"/>
  <c r="T17" i="5"/>
  <c r="U17" i="5" s="1"/>
  <c r="R17" i="5"/>
  <c r="Q17" i="5"/>
  <c r="P17" i="5"/>
  <c r="N17" i="5"/>
  <c r="M17" i="5"/>
  <c r="S17" i="5" s="1"/>
  <c r="L17" i="5"/>
  <c r="D17" i="5"/>
  <c r="B17" i="5"/>
  <c r="AP16" i="5"/>
  <c r="AO16" i="5"/>
  <c r="AQ16" i="5" s="1"/>
  <c r="AM16" i="5"/>
  <c r="AL16" i="5"/>
  <c r="AN16" i="5" s="1"/>
  <c r="AK16" i="5"/>
  <c r="AJ16" i="5"/>
  <c r="AI16" i="5"/>
  <c r="AH16" i="5"/>
  <c r="AG16" i="5"/>
  <c r="AF16" i="5"/>
  <c r="AE16" i="5"/>
  <c r="AD16" i="5"/>
  <c r="AC16" i="5"/>
  <c r="AB16" i="5"/>
  <c r="AA16" i="5"/>
  <c r="Z16" i="5"/>
  <c r="W16" i="5"/>
  <c r="V16" i="5"/>
  <c r="T16" i="5"/>
  <c r="U16" i="5" s="1"/>
  <c r="R16" i="5"/>
  <c r="Q16" i="5"/>
  <c r="P16" i="5"/>
  <c r="N16" i="5"/>
  <c r="M16" i="5"/>
  <c r="S16" i="5" s="1"/>
  <c r="L16" i="5"/>
  <c r="D16" i="5"/>
  <c r="B16" i="5"/>
  <c r="AP15" i="5"/>
  <c r="AO15" i="5"/>
  <c r="AQ15" i="5" s="1"/>
  <c r="AM15" i="5"/>
  <c r="AL15" i="5"/>
  <c r="AN15" i="5" s="1"/>
  <c r="AK15" i="5"/>
  <c r="AJ15" i="5"/>
  <c r="AI15" i="5"/>
  <c r="AH15" i="5"/>
  <c r="AG15" i="5"/>
  <c r="AF15" i="5"/>
  <c r="AE15" i="5"/>
  <c r="AD15" i="5"/>
  <c r="AC15" i="5"/>
  <c r="AB15" i="5"/>
  <c r="AA15" i="5"/>
  <c r="Z15" i="5"/>
  <c r="W15" i="5"/>
  <c r="V15" i="5"/>
  <c r="T15" i="5"/>
  <c r="U15" i="5" s="1"/>
  <c r="R15" i="5"/>
  <c r="Q15" i="5"/>
  <c r="P15" i="5"/>
  <c r="O15" i="5"/>
  <c r="N15" i="5"/>
  <c r="M15" i="5"/>
  <c r="S15" i="5" s="1"/>
  <c r="L15" i="5"/>
  <c r="D15" i="5"/>
  <c r="B15" i="5"/>
  <c r="AP14" i="5"/>
  <c r="AO14" i="5"/>
  <c r="AQ14" i="5" s="1"/>
  <c r="AM14" i="5"/>
  <c r="AL14" i="5"/>
  <c r="AN14" i="5" s="1"/>
  <c r="AK14" i="5"/>
  <c r="AJ14" i="5"/>
  <c r="AI14" i="5"/>
  <c r="AH14" i="5"/>
  <c r="AG14" i="5"/>
  <c r="AF14" i="5"/>
  <c r="AE14" i="5"/>
  <c r="AD14" i="5"/>
  <c r="AC14" i="5"/>
  <c r="AB14" i="5"/>
  <c r="AA14" i="5"/>
  <c r="Z14" i="5"/>
  <c r="W14" i="5"/>
  <c r="V14" i="5"/>
  <c r="T14" i="5"/>
  <c r="U14" i="5" s="1"/>
  <c r="R14" i="5"/>
  <c r="Q14" i="5"/>
  <c r="P14" i="5"/>
  <c r="O14" i="5"/>
  <c r="N14" i="5"/>
  <c r="M14" i="5"/>
  <c r="S14" i="5" s="1"/>
  <c r="L14" i="5"/>
  <c r="D14" i="5"/>
  <c r="B14" i="5"/>
  <c r="AP13" i="5"/>
  <c r="AO13" i="5"/>
  <c r="AQ13" i="5" s="1"/>
  <c r="AM13" i="5"/>
  <c r="AL13" i="5"/>
  <c r="AN13" i="5" s="1"/>
  <c r="AK13" i="5"/>
  <c r="AJ13" i="5"/>
  <c r="AI13" i="5"/>
  <c r="AH13" i="5"/>
  <c r="AG13" i="5"/>
  <c r="AF13" i="5"/>
  <c r="AE13" i="5"/>
  <c r="AD13" i="5"/>
  <c r="AC13" i="5"/>
  <c r="AB13" i="5"/>
  <c r="AA13" i="5"/>
  <c r="Z13" i="5"/>
  <c r="W13" i="5"/>
  <c r="V13" i="5"/>
  <c r="T13" i="5"/>
  <c r="U13" i="5" s="1"/>
  <c r="R13" i="5"/>
  <c r="Q13" i="5"/>
  <c r="P13" i="5"/>
  <c r="N13" i="5"/>
  <c r="M13" i="5"/>
  <c r="L13" i="5"/>
  <c r="D13" i="5"/>
  <c r="B13" i="5"/>
  <c r="AP12" i="5"/>
  <c r="AO12" i="5"/>
  <c r="AQ12" i="5" s="1"/>
  <c r="AM12" i="5"/>
  <c r="AL12" i="5"/>
  <c r="AN12" i="5" s="1"/>
  <c r="AK12" i="5"/>
  <c r="AJ12" i="5"/>
  <c r="AI12" i="5"/>
  <c r="AH12" i="5"/>
  <c r="AG12" i="5"/>
  <c r="AF12" i="5"/>
  <c r="AE12" i="5"/>
  <c r="AD12" i="5"/>
  <c r="AC12" i="5"/>
  <c r="AB12" i="5"/>
  <c r="AA12" i="5"/>
  <c r="Z12" i="5"/>
  <c r="W12" i="5"/>
  <c r="V12" i="5"/>
  <c r="T12" i="5"/>
  <c r="U12" i="5" s="1"/>
  <c r="R12" i="5"/>
  <c r="Q12" i="5"/>
  <c r="P12" i="5"/>
  <c r="O12" i="5"/>
  <c r="N12" i="5"/>
  <c r="M12" i="5"/>
  <c r="L12" i="5"/>
  <c r="D12" i="5"/>
  <c r="B12" i="5"/>
  <c r="AP11" i="5"/>
  <c r="AO11" i="5"/>
  <c r="AQ11" i="5" s="1"/>
  <c r="AM11" i="5"/>
  <c r="AL11" i="5"/>
  <c r="AN11" i="5" s="1"/>
  <c r="AK11" i="5"/>
  <c r="AJ11" i="5"/>
  <c r="AI11" i="5"/>
  <c r="AH11" i="5"/>
  <c r="AG11" i="5"/>
  <c r="AF11" i="5"/>
  <c r="AE11" i="5"/>
  <c r="AD11" i="5"/>
  <c r="AC11" i="5"/>
  <c r="AB11" i="5"/>
  <c r="AA11" i="5"/>
  <c r="Z11" i="5"/>
  <c r="W11" i="5"/>
  <c r="V11" i="5"/>
  <c r="T11" i="5"/>
  <c r="U11" i="5" s="1"/>
  <c r="R11" i="5"/>
  <c r="Q11" i="5"/>
  <c r="P11" i="5"/>
  <c r="N11" i="5"/>
  <c r="M11" i="5"/>
  <c r="S11" i="5" s="1"/>
  <c r="L11" i="5"/>
  <c r="D11" i="5"/>
  <c r="B11" i="5"/>
  <c r="AP10" i="5"/>
  <c r="AO10" i="5"/>
  <c r="AQ10" i="5" s="1"/>
  <c r="AM10" i="5"/>
  <c r="AL10" i="5"/>
  <c r="AN10" i="5" s="1"/>
  <c r="AK10" i="5"/>
  <c r="AJ10" i="5"/>
  <c r="AI10" i="5"/>
  <c r="AH10" i="5"/>
  <c r="AG10" i="5"/>
  <c r="AF10" i="5"/>
  <c r="AE10" i="5"/>
  <c r="AD10" i="5"/>
  <c r="AC10" i="5"/>
  <c r="AB10" i="5"/>
  <c r="AA10" i="5"/>
  <c r="Z10" i="5"/>
  <c r="W10" i="5"/>
  <c r="V10" i="5"/>
  <c r="T10" i="5"/>
  <c r="U10" i="5" s="1"/>
  <c r="R10" i="5"/>
  <c r="Q10" i="5"/>
  <c r="P10" i="5"/>
  <c r="N10" i="5"/>
  <c r="M10" i="5"/>
  <c r="S10" i="5" s="1"/>
  <c r="L10" i="5"/>
  <c r="D10" i="5"/>
  <c r="B10" i="5"/>
  <c r="AP9" i="5"/>
  <c r="AO9" i="5"/>
  <c r="AQ9" i="5" s="1"/>
  <c r="AM9" i="5"/>
  <c r="AL9" i="5"/>
  <c r="AN9" i="5" s="1"/>
  <c r="AK9" i="5"/>
  <c r="AJ9" i="5"/>
  <c r="AI9" i="5"/>
  <c r="AH9" i="5"/>
  <c r="AG9" i="5"/>
  <c r="AF9" i="5"/>
  <c r="AE9" i="5"/>
  <c r="AD9" i="5"/>
  <c r="AC9" i="5"/>
  <c r="AB9" i="5"/>
  <c r="AA9" i="5"/>
  <c r="Z9" i="5"/>
  <c r="W9" i="5"/>
  <c r="V9" i="5"/>
  <c r="T9" i="5"/>
  <c r="U9" i="5" s="1"/>
  <c r="R9" i="5"/>
  <c r="Q9" i="5"/>
  <c r="P9" i="5"/>
  <c r="N9" i="5"/>
  <c r="M9" i="5"/>
  <c r="S9" i="5" s="1"/>
  <c r="L9" i="5"/>
  <c r="D9" i="5"/>
  <c r="B9" i="5"/>
  <c r="AP8" i="5"/>
  <c r="AO8" i="5"/>
  <c r="AQ8" i="5" s="1"/>
  <c r="AM8" i="5"/>
  <c r="AL8" i="5"/>
  <c r="AN8" i="5" s="1"/>
  <c r="AK8" i="5"/>
  <c r="AJ8" i="5"/>
  <c r="AI8" i="5"/>
  <c r="AH8" i="5"/>
  <c r="AG8" i="5"/>
  <c r="AF8" i="5"/>
  <c r="AE8" i="5"/>
  <c r="AD8" i="5"/>
  <c r="AC8" i="5"/>
  <c r="AB8" i="5"/>
  <c r="AA8" i="5"/>
  <c r="Z8" i="5"/>
  <c r="W8" i="5"/>
  <c r="V8" i="5"/>
  <c r="T8" i="5"/>
  <c r="U8" i="5" s="1"/>
  <c r="R8" i="5"/>
  <c r="Q8" i="5"/>
  <c r="P8" i="5"/>
  <c r="N8" i="5"/>
  <c r="M8" i="5"/>
  <c r="S8" i="5" s="1"/>
  <c r="L8" i="5"/>
  <c r="D8" i="5"/>
  <c r="B8" i="5"/>
  <c r="AP7" i="5"/>
  <c r="AO7" i="5"/>
  <c r="AQ7" i="5" s="1"/>
  <c r="AM7" i="5"/>
  <c r="AL7" i="5"/>
  <c r="AN7" i="5" s="1"/>
  <c r="AK7" i="5"/>
  <c r="AJ7" i="5"/>
  <c r="AI7" i="5"/>
  <c r="AH7" i="5"/>
  <c r="AG7" i="5"/>
  <c r="AF7" i="5"/>
  <c r="AE7" i="5"/>
  <c r="AD7" i="5"/>
  <c r="AC7" i="5"/>
  <c r="AB7" i="5"/>
  <c r="AA7" i="5"/>
  <c r="Z7" i="5"/>
  <c r="W7" i="5"/>
  <c r="V7" i="5"/>
  <c r="T7" i="5"/>
  <c r="U7" i="5" s="1"/>
  <c r="R7" i="5"/>
  <c r="Q7" i="5"/>
  <c r="P7" i="5"/>
  <c r="O7" i="5"/>
  <c r="N7" i="5"/>
  <c r="M7" i="5"/>
  <c r="S7" i="5" s="1"/>
  <c r="L7" i="5"/>
  <c r="D7" i="5"/>
  <c r="B7" i="5"/>
  <c r="AP6" i="5"/>
  <c r="AO6" i="5"/>
  <c r="AQ6" i="5" s="1"/>
  <c r="AM6" i="5"/>
  <c r="AL6" i="5"/>
  <c r="AN6" i="5" s="1"/>
  <c r="AK6" i="5"/>
  <c r="AJ6" i="5"/>
  <c r="AI6" i="5"/>
  <c r="AH6" i="5"/>
  <c r="AG6" i="5"/>
  <c r="AF6" i="5"/>
  <c r="AE6" i="5"/>
  <c r="AD6" i="5"/>
  <c r="AC6" i="5"/>
  <c r="AB6" i="5"/>
  <c r="AA6" i="5"/>
  <c r="Z6" i="5"/>
  <c r="W6" i="5"/>
  <c r="V6" i="5"/>
  <c r="T6" i="5"/>
  <c r="U6" i="5" s="1"/>
  <c r="R6" i="5"/>
  <c r="Q6" i="5"/>
  <c r="P6" i="5"/>
  <c r="N6" i="5"/>
  <c r="M6" i="5"/>
  <c r="L6" i="5"/>
  <c r="D6" i="5"/>
  <c r="B6" i="5"/>
  <c r="AP5" i="5"/>
  <c r="AO5" i="5"/>
  <c r="AQ5" i="5" s="1"/>
  <c r="AM5" i="5"/>
  <c r="AL5" i="5"/>
  <c r="AN5" i="5" s="1"/>
  <c r="AK5" i="5"/>
  <c r="AJ5" i="5"/>
  <c r="AI5" i="5"/>
  <c r="AH5" i="5"/>
  <c r="AG5" i="5"/>
  <c r="AF5" i="5"/>
  <c r="AE5" i="5"/>
  <c r="AD5" i="5"/>
  <c r="AC5" i="5"/>
  <c r="AB5" i="5"/>
  <c r="AA5" i="5"/>
  <c r="Z5" i="5"/>
  <c r="W5" i="5"/>
  <c r="V5" i="5"/>
  <c r="T5" i="5"/>
  <c r="U5" i="5" s="1"/>
  <c r="R5" i="5"/>
  <c r="Q5" i="5"/>
  <c r="P5" i="5"/>
  <c r="N5" i="5"/>
  <c r="M5" i="5"/>
  <c r="L5" i="5"/>
  <c r="D5" i="5"/>
  <c r="B5" i="5"/>
  <c r="AP4" i="5"/>
  <c r="AO4" i="5"/>
  <c r="AQ4" i="5" s="1"/>
  <c r="AM4" i="5"/>
  <c r="AL4" i="5"/>
  <c r="AN4" i="5" s="1"/>
  <c r="AK4" i="5"/>
  <c r="AJ4" i="5"/>
  <c r="AI4" i="5"/>
  <c r="AH4" i="5"/>
  <c r="AG4" i="5"/>
  <c r="AF4" i="5"/>
  <c r="AE4" i="5"/>
  <c r="AD4" i="5"/>
  <c r="AC4" i="5"/>
  <c r="AB4" i="5"/>
  <c r="AA4" i="5"/>
  <c r="Z4" i="5"/>
  <c r="W4" i="5"/>
  <c r="V4" i="5"/>
  <c r="T4" i="5"/>
  <c r="U4" i="5" s="1"/>
  <c r="R4" i="5"/>
  <c r="Q4" i="5"/>
  <c r="P4" i="5"/>
  <c r="O4" i="5"/>
  <c r="N4" i="5"/>
  <c r="M4" i="5"/>
  <c r="S4" i="5" s="1"/>
  <c r="L4" i="5"/>
  <c r="D4" i="5"/>
  <c r="B4" i="5"/>
  <c r="AP3" i="5"/>
  <c r="AO3" i="5"/>
  <c r="AQ3" i="5" s="1"/>
  <c r="AM3" i="5"/>
  <c r="AL3" i="5"/>
  <c r="AN3" i="5" s="1"/>
  <c r="AK3" i="5"/>
  <c r="AJ3" i="5"/>
  <c r="AI3" i="5"/>
  <c r="AH3" i="5"/>
  <c r="AG3" i="5"/>
  <c r="AF3" i="5"/>
  <c r="AE3" i="5"/>
  <c r="AD3" i="5"/>
  <c r="AC3" i="5"/>
  <c r="AB3" i="5"/>
  <c r="AA3" i="5"/>
  <c r="Z3" i="5"/>
  <c r="W3" i="5"/>
  <c r="V3" i="5"/>
  <c r="T3" i="5"/>
  <c r="U3" i="5" s="1"/>
  <c r="R3" i="5"/>
  <c r="Q3" i="5"/>
  <c r="P3" i="5"/>
  <c r="N3" i="5"/>
  <c r="M3" i="5"/>
  <c r="S3" i="5" s="1"/>
  <c r="L3" i="5"/>
  <c r="D3" i="5"/>
  <c r="B3" i="5"/>
  <c r="AP2" i="5"/>
  <c r="AO2" i="5"/>
  <c r="AQ2" i="5" s="1"/>
  <c r="AM2" i="5"/>
  <c r="AL2" i="5"/>
  <c r="AN2" i="5" s="1"/>
  <c r="AK2" i="5"/>
  <c r="AJ2" i="5"/>
  <c r="AI2" i="5"/>
  <c r="AH2" i="5"/>
  <c r="AG2" i="5"/>
  <c r="AF2" i="5"/>
  <c r="AE2" i="5"/>
  <c r="AD2" i="5"/>
  <c r="AC2" i="5"/>
  <c r="AB2" i="5"/>
  <c r="AA2" i="5"/>
  <c r="Z2" i="5"/>
  <c r="W2" i="5"/>
  <c r="V2" i="5"/>
  <c r="T2" i="5"/>
  <c r="U2" i="5" s="1"/>
  <c r="R2" i="5"/>
  <c r="Q2" i="5"/>
  <c r="P2" i="5"/>
  <c r="N2" i="5"/>
  <c r="M2" i="5"/>
  <c r="S2" i="5" s="1"/>
  <c r="L2" i="5"/>
  <c r="D2" i="5"/>
  <c r="B2" i="5"/>
  <c r="I28" i="3"/>
  <c r="I27" i="3"/>
  <c r="I26" i="3"/>
  <c r="I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E11" i="3"/>
  <c r="D11" i="3"/>
  <c r="I10" i="3"/>
  <c r="G10" i="3"/>
  <c r="E10" i="3"/>
  <c r="D10" i="3"/>
  <c r="I9" i="3"/>
  <c r="G9" i="3"/>
  <c r="E9" i="3"/>
  <c r="D9" i="3"/>
  <c r="I8" i="3"/>
  <c r="G8" i="3"/>
  <c r="E8" i="3"/>
  <c r="D8" i="3"/>
  <c r="I7" i="3"/>
  <c r="G7" i="3"/>
  <c r="E7" i="3"/>
  <c r="D7" i="3"/>
  <c r="I6" i="3"/>
  <c r="G6" i="3"/>
  <c r="E6" i="3"/>
  <c r="D6" i="3"/>
  <c r="I5" i="3"/>
  <c r="G5" i="3"/>
  <c r="E5" i="3"/>
  <c r="D5" i="3"/>
  <c r="I4" i="3"/>
  <c r="G4" i="3"/>
  <c r="E4" i="3"/>
  <c r="D4" i="3"/>
  <c r="I3" i="3"/>
  <c r="G3" i="3"/>
  <c r="E3" i="3"/>
  <c r="D3" i="3"/>
  <c r="I2" i="3"/>
  <c r="G2" i="3"/>
  <c r="S22" i="5" l="1"/>
  <c r="AR15" i="5"/>
  <c r="X86" i="5"/>
  <c r="X40" i="5"/>
  <c r="Y40" i="5" s="1"/>
  <c r="AR42" i="5"/>
  <c r="X47" i="5"/>
  <c r="S49" i="5"/>
  <c r="S56" i="5"/>
  <c r="X87" i="5"/>
  <c r="X48" i="5"/>
  <c r="X55" i="5"/>
  <c r="Y55" i="5" s="1"/>
  <c r="AR71" i="5"/>
  <c r="X107" i="5"/>
  <c r="X88" i="5"/>
  <c r="X102" i="5"/>
  <c r="S5" i="5"/>
  <c r="AR5" i="5"/>
  <c r="S99" i="5"/>
  <c r="X28" i="5"/>
  <c r="Y28" i="5" s="1"/>
  <c r="X34" i="5"/>
  <c r="Y34" i="5" s="1"/>
  <c r="X2" i="5"/>
  <c r="AR4" i="5"/>
  <c r="X23" i="5"/>
  <c r="Y23" i="5" s="1"/>
  <c r="S83" i="5"/>
  <c r="S65" i="5"/>
  <c r="Y81" i="5"/>
  <c r="X25" i="5"/>
  <c r="S39" i="5"/>
  <c r="X71" i="5"/>
  <c r="X77" i="5"/>
  <c r="AR104" i="5"/>
  <c r="X113" i="5"/>
  <c r="Y113" i="5" s="1"/>
  <c r="X19" i="5"/>
  <c r="X14" i="5"/>
  <c r="X21" i="5"/>
  <c r="Y21" i="5" s="1"/>
  <c r="X33" i="5"/>
  <c r="Y33" i="5" s="1"/>
  <c r="X7" i="5"/>
  <c r="Y7" i="5" s="1"/>
  <c r="S37" i="5"/>
  <c r="X42" i="5"/>
  <c r="S59" i="5"/>
  <c r="Y87" i="5"/>
  <c r="X49" i="5"/>
  <c r="Y49" i="5" s="1"/>
  <c r="S51" i="5"/>
  <c r="X56" i="5"/>
  <c r="X94" i="5"/>
  <c r="X5" i="5"/>
  <c r="Y5" i="5" s="1"/>
  <c r="S32" i="5"/>
  <c r="AR38" i="5"/>
  <c r="AR45" i="5"/>
  <c r="X112" i="5"/>
  <c r="X37" i="5"/>
  <c r="Y37" i="5" s="1"/>
  <c r="X50" i="5"/>
  <c r="Y50" i="5" s="1"/>
  <c r="X101" i="5"/>
  <c r="Y101" i="5" s="1"/>
  <c r="AR114" i="5"/>
  <c r="AR103" i="5"/>
  <c r="X96" i="5"/>
  <c r="Y96" i="5" s="1"/>
  <c r="X108" i="5"/>
  <c r="Y108" i="5" s="1"/>
  <c r="X66" i="5"/>
  <c r="Y66" i="5" s="1"/>
  <c r="S68" i="5"/>
  <c r="X84" i="5"/>
  <c r="Y84" i="5" s="1"/>
  <c r="X60" i="5"/>
  <c r="Y60" i="5" s="1"/>
  <c r="X103" i="5"/>
  <c r="Y103" i="5" s="1"/>
  <c r="AR116" i="5"/>
  <c r="X22" i="5"/>
  <c r="Y22" i="5" s="1"/>
  <c r="AR99" i="5"/>
  <c r="X61" i="5"/>
  <c r="Y61" i="5" s="1"/>
  <c r="X67" i="5"/>
  <c r="Y67" i="5" s="1"/>
  <c r="AR75" i="5"/>
  <c r="S81" i="5"/>
  <c r="X85" i="5"/>
  <c r="Y85" i="5" s="1"/>
  <c r="Y91" i="5"/>
  <c r="AR11" i="5"/>
  <c r="AR29" i="5"/>
  <c r="AR63" i="5"/>
  <c r="S76" i="5"/>
  <c r="AR30" i="5"/>
  <c r="X62" i="5"/>
  <c r="X68" i="5"/>
  <c r="Y68" i="5" s="1"/>
  <c r="X80" i="5"/>
  <c r="Y80" i="5" s="1"/>
  <c r="X92" i="5"/>
  <c r="Y92" i="5" s="1"/>
  <c r="X11" i="5"/>
  <c r="Y11" i="5" s="1"/>
  <c r="S13" i="5"/>
  <c r="S42" i="5"/>
  <c r="X52" i="5"/>
  <c r="Y52" i="5" s="1"/>
  <c r="X72" i="5"/>
  <c r="Y72" i="5" s="1"/>
  <c r="X78" i="5"/>
  <c r="AR85" i="5"/>
  <c r="X89" i="5"/>
  <c r="S91" i="5"/>
  <c r="AR91" i="5"/>
  <c r="S97" i="5"/>
  <c r="X106" i="5"/>
  <c r="Y106" i="5" s="1"/>
  <c r="AR113" i="5"/>
  <c r="AR62" i="5"/>
  <c r="AR68" i="5"/>
  <c r="S92" i="5"/>
  <c r="X41" i="5"/>
  <c r="Y41" i="5" s="1"/>
  <c r="AR86" i="5"/>
  <c r="X90" i="5"/>
  <c r="Y90" i="5" s="1"/>
  <c r="AR92" i="5"/>
  <c r="S98" i="5"/>
  <c r="Y78" i="5"/>
  <c r="AR64" i="5"/>
  <c r="Y86" i="5"/>
  <c r="X8" i="5"/>
  <c r="Y8" i="5" s="1"/>
  <c r="X43" i="5"/>
  <c r="Y43" i="5" s="1"/>
  <c r="AR50" i="5"/>
  <c r="S77" i="5"/>
  <c r="X114" i="5"/>
  <c r="Y114" i="5" s="1"/>
  <c r="AR10" i="5"/>
  <c r="X15" i="5"/>
  <c r="Y15" i="5" s="1"/>
  <c r="Y56" i="5"/>
  <c r="AR65" i="5"/>
  <c r="AR83" i="5"/>
  <c r="AR100" i="5"/>
  <c r="X9" i="5"/>
  <c r="Y9" i="5" s="1"/>
  <c r="AR59" i="5"/>
  <c r="X70" i="5"/>
  <c r="Y70" i="5" s="1"/>
  <c r="S72" i="5"/>
  <c r="X76" i="5"/>
  <c r="Y76" i="5" s="1"/>
  <c r="AR95" i="5"/>
  <c r="X104" i="5"/>
  <c r="Y104" i="5" s="1"/>
  <c r="S106" i="5"/>
  <c r="X115" i="5"/>
  <c r="Y115" i="5" s="1"/>
  <c r="X32" i="5"/>
  <c r="Y32" i="5" s="1"/>
  <c r="X44" i="5"/>
  <c r="Y44" i="5" s="1"/>
  <c r="AR78" i="5"/>
  <c r="X82" i="5"/>
  <c r="Y82" i="5" s="1"/>
  <c r="X99" i="5"/>
  <c r="Y99" i="5" s="1"/>
  <c r="AR111" i="5"/>
  <c r="AR52" i="5"/>
  <c r="AR46" i="5"/>
  <c r="AR60" i="5"/>
  <c r="S96" i="5"/>
  <c r="X110" i="5"/>
  <c r="Y110" i="5" s="1"/>
  <c r="X116" i="5"/>
  <c r="Y116" i="5" s="1"/>
  <c r="Y105" i="5"/>
  <c r="S107" i="5"/>
  <c r="S112" i="5"/>
  <c r="S24" i="5"/>
  <c r="Y94" i="5"/>
  <c r="AR12" i="5"/>
  <c r="AR24" i="5"/>
  <c r="X39" i="5"/>
  <c r="Y39" i="5" s="1"/>
  <c r="X45" i="5"/>
  <c r="Y45" i="5" s="1"/>
  <c r="X51" i="5"/>
  <c r="Y51" i="5" s="1"/>
  <c r="S53" i="5"/>
  <c r="X65" i="5"/>
  <c r="Y65" i="5" s="1"/>
  <c r="AR96" i="5"/>
  <c r="X100" i="5"/>
  <c r="Y100" i="5" s="1"/>
  <c r="S6" i="5"/>
  <c r="X17" i="5"/>
  <c r="S47" i="5"/>
  <c r="S67" i="5"/>
  <c r="X95" i="5"/>
  <c r="Y95" i="5" s="1"/>
  <c r="AR102" i="5"/>
  <c r="AR77" i="5"/>
  <c r="AR41" i="5"/>
  <c r="AR72" i="5"/>
  <c r="S40" i="5"/>
  <c r="S80" i="5"/>
  <c r="S85" i="5"/>
  <c r="S100" i="5"/>
  <c r="X3" i="5"/>
  <c r="Y3" i="5" s="1"/>
  <c r="X29" i="5"/>
  <c r="Y29" i="5" s="1"/>
  <c r="X53" i="5"/>
  <c r="Y53" i="5" s="1"/>
  <c r="S55" i="5"/>
  <c r="AR89" i="5"/>
  <c r="X93" i="5"/>
  <c r="Y93" i="5" s="1"/>
  <c r="S95" i="5"/>
  <c r="X20" i="5"/>
  <c r="Y20" i="5" s="1"/>
  <c r="AR80" i="5"/>
  <c r="AR22" i="5"/>
  <c r="S31" i="5"/>
  <c r="X79" i="5"/>
  <c r="Y79" i="5" s="1"/>
  <c r="X4" i="5"/>
  <c r="Y4" i="5" s="1"/>
  <c r="X10" i="5"/>
  <c r="Y10" i="5" s="1"/>
  <c r="S12" i="5"/>
  <c r="X16" i="5"/>
  <c r="Y16" i="5" s="1"/>
  <c r="AR17" i="5"/>
  <c r="Y25" i="5"/>
  <c r="AR26" i="5"/>
  <c r="S46" i="5"/>
  <c r="AR66" i="5"/>
  <c r="AR76" i="5"/>
  <c r="Y88" i="5"/>
  <c r="AR90" i="5"/>
  <c r="AR55" i="5"/>
  <c r="AR13" i="5"/>
  <c r="AR27" i="5"/>
  <c r="AR101" i="5"/>
  <c r="X111" i="5"/>
  <c r="Y111" i="5" s="1"/>
  <c r="X6" i="5"/>
  <c r="Y6" i="5" s="1"/>
  <c r="AR8" i="5"/>
  <c r="X12" i="5"/>
  <c r="Y12" i="5" s="1"/>
  <c r="S19" i="5"/>
  <c r="S28" i="5"/>
  <c r="S33" i="5"/>
  <c r="X36" i="5"/>
  <c r="Y36" i="5" s="1"/>
  <c r="X46" i="5"/>
  <c r="Y46" i="5" s="1"/>
  <c r="S78" i="5"/>
  <c r="AR112" i="5"/>
  <c r="Y54" i="5"/>
  <c r="AR108" i="5"/>
  <c r="AR51" i="5"/>
  <c r="AR37" i="5"/>
  <c r="X31" i="5"/>
  <c r="Y31" i="5" s="1"/>
  <c r="AR115" i="5"/>
  <c r="Y107" i="5"/>
  <c r="X26" i="5"/>
  <c r="Y26" i="5" s="1"/>
  <c r="Y71" i="5"/>
  <c r="AR19" i="5"/>
  <c r="AR33" i="5"/>
  <c r="S38" i="5"/>
  <c r="AR87" i="5"/>
  <c r="Y75" i="5"/>
  <c r="X13" i="5"/>
  <c r="Y13" i="5" s="1"/>
  <c r="X18" i="5"/>
  <c r="Y18" i="5" s="1"/>
  <c r="X27" i="5"/>
  <c r="Y27" i="5" s="1"/>
  <c r="X63" i="5"/>
  <c r="Y63" i="5" s="1"/>
  <c r="S69" i="5"/>
  <c r="AR69" i="5"/>
  <c r="S74" i="5"/>
  <c r="AR109" i="5"/>
  <c r="AR98" i="5"/>
  <c r="S20" i="5"/>
  <c r="AR74" i="5"/>
  <c r="S79" i="5"/>
  <c r="S88" i="5"/>
  <c r="AR106" i="5"/>
  <c r="X58" i="5"/>
  <c r="Y58" i="5" s="1"/>
  <c r="X73" i="5"/>
  <c r="Y73" i="5" s="1"/>
  <c r="X97" i="5"/>
  <c r="Y97" i="5" s="1"/>
  <c r="Y47" i="5"/>
  <c r="AR88" i="5"/>
  <c r="X35" i="5"/>
  <c r="Y35" i="5" s="1"/>
  <c r="AR105" i="5"/>
  <c r="Y19" i="5"/>
  <c r="AR20" i="5"/>
  <c r="AR34" i="5"/>
  <c r="S60" i="5"/>
  <c r="X24" i="5"/>
  <c r="Y24" i="5" s="1"/>
  <c r="AR49" i="5"/>
  <c r="AR54" i="5"/>
  <c r="AR94" i="5"/>
  <c r="Y109" i="5"/>
  <c r="AR36" i="5"/>
  <c r="S21" i="5"/>
  <c r="S30" i="5"/>
  <c r="S35" i="5"/>
  <c r="X59" i="5"/>
  <c r="Y59" i="5" s="1"/>
  <c r="X64" i="5"/>
  <c r="Y64" i="5" s="1"/>
  <c r="X69" i="5"/>
  <c r="Y69" i="5" s="1"/>
  <c r="X74" i="5"/>
  <c r="Y74" i="5" s="1"/>
  <c r="X83" i="5"/>
  <c r="Y83" i="5" s="1"/>
  <c r="S89" i="5"/>
  <c r="X98" i="5"/>
  <c r="Y98" i="5" s="1"/>
  <c r="AR110" i="5"/>
  <c r="AR16" i="5"/>
  <c r="AR107" i="5"/>
  <c r="AR35" i="5"/>
  <c r="Y38" i="5"/>
  <c r="AR40" i="5"/>
  <c r="Y48" i="5"/>
  <c r="AR61" i="5"/>
  <c r="Y30" i="5"/>
  <c r="Y89" i="5"/>
  <c r="AR97" i="5"/>
  <c r="AR70" i="5"/>
  <c r="AR57" i="5"/>
  <c r="Y62" i="5"/>
  <c r="AR21" i="5"/>
  <c r="AR81" i="5"/>
  <c r="AR58" i="5"/>
  <c r="AR28" i="5"/>
  <c r="AR43" i="5"/>
  <c r="Y77" i="5"/>
  <c r="AR31" i="5"/>
  <c r="AR7" i="5"/>
  <c r="AR32" i="5"/>
  <c r="Y17" i="5"/>
  <c r="AR23" i="5"/>
  <c r="AR47" i="5"/>
  <c r="AR2" i="5"/>
  <c r="AR48" i="5"/>
  <c r="AR73" i="5"/>
  <c r="AR3" i="5"/>
  <c r="AR9" i="5"/>
  <c r="Y42" i="5"/>
  <c r="AR53" i="5"/>
  <c r="AR93" i="5"/>
  <c r="AR6" i="5"/>
  <c r="AR56" i="5"/>
  <c r="AR67" i="5"/>
  <c r="AR14" i="5"/>
  <c r="Y112" i="5"/>
  <c r="Y2" i="5"/>
  <c r="Y14" i="5"/>
  <c r="AR25" i="5"/>
  <c r="AR39" i="5"/>
  <c r="AR44" i="5"/>
  <c r="AR79" i="5"/>
  <c r="AR84" i="5"/>
  <c r="Y102" i="5"/>
  <c r="P2" i="20"/>
  <c r="S2" i="20"/>
  <c r="P3" i="20"/>
  <c r="P5" i="20"/>
  <c r="S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======
ID#AAAB1HsXb-k
周宴綸    (2026-03-20 01:02:26)
先不考慮雙層劑型</t>
        </r>
      </text>
    </comment>
    <comment ref="L12" authorId="0" shapeId="0" xr:uid="{00000000-0006-0000-0400-000002000000}">
      <text>
        <r>
          <rPr>
            <sz val="10"/>
            <color rgb="FF000000"/>
            <rFont val="Arial"/>
            <family val="2"/>
            <scheme val="minor"/>
          </rPr>
          <t>======
ID#AAAB2NXJhBU
周宴綸    (2026-03-19 13:46:01)
這是指要做兩次攪拌，還是擇一即可？</t>
        </r>
      </text>
    </comment>
    <comment ref="F91" authorId="0" shapeId="0" xr:uid="{00000000-0006-0000-0400-000003000000}">
      <text>
        <r>
          <rPr>
            <sz val="10"/>
            <color rgb="FF000000"/>
            <rFont val="Arial"/>
            <family val="2"/>
            <scheme val="minor"/>
          </rPr>
          <t>======
ID#AAAB2NXJg9Q
    (2026-03-19 13:19:18)
原本30000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Fk7c1z4Sq+jQvWGek0YIzAu00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558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======
ID#AAAB2i6vvOo
周宴綸    (2026-03-26 09:00:15)
原本是寫水項，我把備註合併進去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1vPAR6NxLSprfyQHmMTGYUGFvzQ=="/>
    </ext>
  </extLst>
</comments>
</file>

<file path=xl/sharedStrings.xml><?xml version="1.0" encoding="utf-8"?>
<sst xmlns="http://schemas.openxmlformats.org/spreadsheetml/2006/main" count="109147" uniqueCount="8821">
  <si>
    <t>訂單編號</t>
  </si>
  <si>
    <t>產品代號</t>
  </si>
  <si>
    <t>產品名稱</t>
  </si>
  <si>
    <t>訂單數量</t>
  </si>
  <si>
    <t>到客戶
倉庫日</t>
  </si>
  <si>
    <t>原料齊料點</t>
  </si>
  <si>
    <t>物料齊料點</t>
  </si>
  <si>
    <t>充填量(g)</t>
  </si>
  <si>
    <t>生產公斤數(kg)</t>
  </si>
  <si>
    <t>需求批次</t>
  </si>
  <si>
    <t>製程設備</t>
  </si>
  <si>
    <t>預攪</t>
  </si>
  <si>
    <t>攪料</t>
  </si>
  <si>
    <t>清洗</t>
  </si>
  <si>
    <t>預攪
人數</t>
  </si>
  <si>
    <t>攪料
人數</t>
  </si>
  <si>
    <t>清洗
人數</t>
  </si>
  <si>
    <t>前置
pcs/hr</t>
  </si>
  <si>
    <t>洗瓶
pcs/hr</t>
  </si>
  <si>
    <t>排瓶
pcs/hr</t>
  </si>
  <si>
    <t>充填
pcs/hr</t>
  </si>
  <si>
    <t>後加工
pcs/hr</t>
  </si>
  <si>
    <t>前置人數</t>
  </si>
  <si>
    <t>洗瓶人數</t>
  </si>
  <si>
    <t>排瓶人數</t>
  </si>
  <si>
    <t>充填人數</t>
  </si>
  <si>
    <t>後加工人數</t>
  </si>
  <si>
    <t>入庫日</t>
  </si>
  <si>
    <t>工單單號</t>
  </si>
  <si>
    <t>核心碼SN</t>
  </si>
  <si>
    <t>2201-22101300004-0001</t>
  </si>
  <si>
    <t>MEU21D5B1P</t>
  </si>
  <si>
    <t>3%傳明酸美白精華5ML</t>
  </si>
  <si>
    <t>精</t>
  </si>
  <si>
    <t>2201-23031600003-0001</t>
  </si>
  <si>
    <t>MDD20D1K1N</t>
  </si>
  <si>
    <t>10%杏仁酸精華100ml</t>
  </si>
  <si>
    <t>2201-22111500001-0002</t>
  </si>
  <si>
    <t>MEU21C1D2P</t>
  </si>
  <si>
    <t>杜鵑花酸亮白化妝水15ML</t>
  </si>
  <si>
    <t>大</t>
  </si>
  <si>
    <t>2201-22111500001-0001</t>
  </si>
  <si>
    <t>2201-23031700003-0001</t>
  </si>
  <si>
    <t>PN1UVH7F2P</t>
  </si>
  <si>
    <t>水感全效防曬乳 SPF50+/★★★★</t>
  </si>
  <si>
    <t>2201-22120900002-0012</t>
  </si>
  <si>
    <t>PN1CAE2H1P</t>
  </si>
  <si>
    <t>積雪草B5密集護理霜50ml</t>
  </si>
  <si>
    <t>小乳</t>
  </si>
  <si>
    <t>2201-23022200003-0001</t>
  </si>
  <si>
    <t>MAA17Z1K2P</t>
  </si>
  <si>
    <t>​天然草本精油驅蚊噴液90ML</t>
  </si>
  <si>
    <t>2201-23021600002-0001</t>
  </si>
  <si>
    <t>MDJ20H1F1P</t>
  </si>
  <si>
    <t>馨朵拉純物理嬰兒防曬乳(SPF30 PA***) 30ml</t>
  </si>
  <si>
    <t>2201-22060900003-0001</t>
  </si>
  <si>
    <t>MEU22D2B1P</t>
  </si>
  <si>
    <t>8%杏仁酸淨痘精華5ML</t>
  </si>
  <si>
    <t>2201-22122700001-0001</t>
  </si>
  <si>
    <t>MEU22A1K1P</t>
  </si>
  <si>
    <t>黃金蠟菊淨白潔顏露100ml</t>
  </si>
  <si>
    <t>2201-23021700002-0001</t>
  </si>
  <si>
    <t>PN1CAE1D1N</t>
  </si>
  <si>
    <t>積雪草B5修護純粹凝乳</t>
  </si>
  <si>
    <t>2201-22120900003-0012</t>
  </si>
  <si>
    <t>PN1VCD3F1P</t>
  </si>
  <si>
    <t>極透光亮白淡斑精華30ML</t>
  </si>
  <si>
    <t>2201-23032400001-0001</t>
  </si>
  <si>
    <t>MBV23G1G1N</t>
  </si>
  <si>
    <t>HHH Treatment Mask 31ml</t>
  </si>
  <si>
    <t>2201-23030800002-0002</t>
  </si>
  <si>
    <t>2201-23041100002-0001</t>
  </si>
  <si>
    <t>PN1HAE2M2P</t>
  </si>
  <si>
    <t>玻尿酸保濕滲透乳液150ml</t>
  </si>
  <si>
    <t>大乳</t>
  </si>
  <si>
    <t>2201-23042700001-0001</t>
  </si>
  <si>
    <t>PN1RED1F1P</t>
  </si>
  <si>
    <t>1%全效新生A醇精萃30ml</t>
  </si>
  <si>
    <t>2201-23020200002-0001
2201-23021500001-0001</t>
  </si>
  <si>
    <t>MAW21E1F1P</t>
  </si>
  <si>
    <t>極致水潤光保濕乳霜30ml</t>
  </si>
  <si>
    <t>2201-22112100001-0001</t>
  </si>
  <si>
    <t>2201-23021500002-0001</t>
  </si>
  <si>
    <t>MAW21C4K1P</t>
  </si>
  <si>
    <t>極致水潤光保濕化妝水100ml</t>
  </si>
  <si>
    <t>2201-23021300001-0001</t>
  </si>
  <si>
    <t>2201-23021300002-0001</t>
  </si>
  <si>
    <t>MEU21D5F1P</t>
  </si>
  <si>
    <t>3%傳明酸美白精華30ML</t>
  </si>
  <si>
    <t>2201-23032100001-0002</t>
  </si>
  <si>
    <t>MDC23G241P</t>
  </si>
  <si>
    <t>空中補給保濕面膜28ml</t>
  </si>
  <si>
    <t>2201-23030900001-0002</t>
  </si>
  <si>
    <t>PN1MAF1E1P</t>
  </si>
  <si>
    <t>杏仁酸瞬效淨痘無瑕精華 20ml</t>
  </si>
  <si>
    <t>2201-23011700001-0001</t>
  </si>
  <si>
    <t>MBY23F1F1P</t>
  </si>
  <si>
    <t>PUR%CENT 2%水楊酸淨瑕抗痘精華30ml</t>
  </si>
  <si>
    <t>2201-23041100001-0002</t>
  </si>
  <si>
    <t>MBY23D1F1P</t>
  </si>
  <si>
    <t>BB 10%維他命C淨白精華 30ML</t>
  </si>
  <si>
    <t>2201-23021300004-0001</t>
  </si>
  <si>
    <t>MEH20P2H1P</t>
  </si>
  <si>
    <t>白鑽松露緊實美胸霜 50g</t>
  </si>
  <si>
    <t>2201-23030800001-0001</t>
  </si>
  <si>
    <t>PN2YLC1M1P</t>
  </si>
  <si>
    <t>再生極透光活膚液150ml</t>
  </si>
  <si>
    <t>2201-23021700001-0006</t>
  </si>
  <si>
    <t>PN1HAD2L1P</t>
  </si>
  <si>
    <t>玻尿酸保濕原液125ml</t>
  </si>
  <si>
    <t>2201-23041800001-0002</t>
  </si>
  <si>
    <t>PN1N2F1Q1P</t>
  </si>
  <si>
    <t>竹炭潔淨黑凍膜370g</t>
  </si>
  <si>
    <t>2201-23040700002-0003</t>
  </si>
  <si>
    <t>MHM23D1F1P</t>
  </si>
  <si>
    <t>芙木之光多重玻尿酸保濕精華液30ML</t>
  </si>
  <si>
    <t>2201-23031700002-0001</t>
  </si>
  <si>
    <t>MBY19P2N1P</t>
  </si>
  <si>
    <t>2%水楊酸補水淨白身體乳200ml</t>
  </si>
  <si>
    <t>2201-23031700001-0001</t>
  </si>
  <si>
    <t>MBY20F1D1P</t>
  </si>
  <si>
    <t>安瓶EX胜肽緊緻撫紋滾珠眼部精華15ml</t>
  </si>
  <si>
    <t>2201-23022200003-0002</t>
  </si>
  <si>
    <t>MAA17F2C2P</t>
  </si>
  <si>
    <t>​草本舒緩精華露9ML</t>
  </si>
  <si>
    <t>2201-23052300001-0001</t>
  </si>
  <si>
    <t>MAA18Q1Q1P</t>
  </si>
  <si>
    <t>草本呵護嬰兒舒緩泡泡浴露400ml</t>
  </si>
  <si>
    <t>2201-23032300002-0001</t>
  </si>
  <si>
    <t>PN1UVH8H1P</t>
  </si>
  <si>
    <t>全天候極效抗陽防曬乳 SPF50+ ★★★★</t>
  </si>
  <si>
    <t>2201-22061400001-0001</t>
  </si>
  <si>
    <t>MEU22E1C1P</t>
  </si>
  <si>
    <t>鳶尾花A醇緊緻精華乳10ML</t>
  </si>
  <si>
    <t>2201-23020300002-0001</t>
  </si>
  <si>
    <t>2201-23032400002-0001</t>
  </si>
  <si>
    <t>MAB17C1L1P</t>
  </si>
  <si>
    <t>愛爾麗舒敏活水精露120ml</t>
  </si>
  <si>
    <t>2201-23042700001-0002</t>
  </si>
  <si>
    <t>PN1RED1C1P</t>
  </si>
  <si>
    <t>1%全效新生A醇精萃10ML</t>
  </si>
  <si>
    <t>2201-23031600002-0001</t>
  </si>
  <si>
    <t>MHC23P1N1P</t>
  </si>
  <si>
    <t>未來美超級A醇緊緻透亮身體乳180ML</t>
  </si>
  <si>
    <t>2201-22120900003-0001</t>
  </si>
  <si>
    <t>PN1YLF2G1P</t>
  </si>
  <si>
    <t>胜肽撫紋賦活眼霜40ml</t>
  </si>
  <si>
    <t>2201-23041800003-0002</t>
  </si>
  <si>
    <t>MET21B1P1T</t>
  </si>
  <si>
    <t>AI卸妝凝露250ML</t>
  </si>
  <si>
    <t>2201-23041800003-0003</t>
  </si>
  <si>
    <t>MET21B1R1T</t>
  </si>
  <si>
    <t>AI卸妝凝露500ML</t>
  </si>
  <si>
    <t>2201-23020900001-0002</t>
  </si>
  <si>
    <t>MBX21E1C2N</t>
  </si>
  <si>
    <t>C23.8極光超導精華乳8ML</t>
  </si>
  <si>
    <t>2201-23020900001-0003</t>
  </si>
  <si>
    <t>MBX21E1J2N</t>
  </si>
  <si>
    <t>C23.8極光超導精華乳60ML</t>
  </si>
  <si>
    <t>2201-23041300001-0002</t>
  </si>
  <si>
    <t>MAB17H1H1P</t>
  </si>
  <si>
    <t>蘋果光潤色防曬霜SPF50/50ML</t>
  </si>
  <si>
    <t>2201-23031600001-0001</t>
  </si>
  <si>
    <t>2201-23041300002-0001</t>
  </si>
  <si>
    <t>MEH22P1N1P</t>
  </si>
  <si>
    <t>晨霧之光香氛身體乳170ML</t>
  </si>
  <si>
    <t>2201-23050400002-0001</t>
  </si>
  <si>
    <t>PN1REE1F1P</t>
  </si>
  <si>
    <t>1.8%超效逆時A醇精華30ML</t>
  </si>
  <si>
    <t>2201-23050400002-0002</t>
  </si>
  <si>
    <t>PN1REE1C1P</t>
  </si>
  <si>
    <t>1.8%超效逆時A醇精華10ML</t>
  </si>
  <si>
    <t>2201-23022200004-0001</t>
  </si>
  <si>
    <t>MAA20H2G1P</t>
  </si>
  <si>
    <t>海洋保濕防曬乳40ml</t>
  </si>
  <si>
    <t>2201-23050500002-0004</t>
  </si>
  <si>
    <t>MHJ23D2F1T</t>
  </si>
  <si>
    <t>青春植萃顏白精華35ml -試用品</t>
  </si>
  <si>
    <t>2201-23022000001-0001</t>
  </si>
  <si>
    <t>2201-22120900003-0002</t>
  </si>
  <si>
    <t>2201-22120900003-0005</t>
  </si>
  <si>
    <t>PN1HAE2H2P</t>
  </si>
  <si>
    <t>玻尿酸保濕滲透乳液50ml</t>
  </si>
  <si>
    <t>2201-23030900002-0001</t>
  </si>
  <si>
    <t>MFY22D1F1P</t>
  </si>
  <si>
    <t>逆齡晶萃32ML</t>
  </si>
  <si>
    <t>2201-23050400003-0001</t>
  </si>
  <si>
    <t>PN1HAD4F1P</t>
  </si>
  <si>
    <t>玻尿酸超導潤澤精華30ml</t>
  </si>
  <si>
    <t>2201-22120900003-0010</t>
  </si>
  <si>
    <t>PN1UVH7H2P</t>
  </si>
  <si>
    <t>2201-23050400003-0004</t>
  </si>
  <si>
    <t>PN1HAD4C1P</t>
  </si>
  <si>
    <t>玻尿酸超導潤澤精華10ml</t>
  </si>
  <si>
    <t>2201-23041300001-0001</t>
  </si>
  <si>
    <t>MAB18D151P</t>
  </si>
  <si>
    <t>愛爾麗全效保濕賦活精華</t>
  </si>
  <si>
    <t>2201-23032500001-0001</t>
  </si>
  <si>
    <t>MFH21Q1N1T</t>
  </si>
  <si>
    <t>黑曜岩活萃保濕洗沐膠200ML</t>
  </si>
  <si>
    <t>2201-23032500001-0002</t>
  </si>
  <si>
    <t>MFH21C1N1P</t>
  </si>
  <si>
    <t>黑曜岩B5活萃保濕化妝水200ML</t>
  </si>
  <si>
    <t>2201-23032500001-0003</t>
  </si>
  <si>
    <t>MFH21B1K1T</t>
  </si>
  <si>
    <t>黑曜岩活萃控油潔面凝膠100ML</t>
  </si>
  <si>
    <t>2201-23032500001-0004</t>
  </si>
  <si>
    <t>MFH21D1F1P</t>
  </si>
  <si>
    <t>黑曜岩B5活萃保濕精華液30ML</t>
  </si>
  <si>
    <t>2201-23032500001-0005</t>
  </si>
  <si>
    <t>MFH21E1K1P</t>
  </si>
  <si>
    <t>黑曜岩B5活萃保濕乳液100ML</t>
  </si>
  <si>
    <t>2201-23032500001-0006</t>
  </si>
  <si>
    <t>MFH21G141P</t>
  </si>
  <si>
    <t>黑曜岩B5活萃保濕面膜25ML</t>
  </si>
  <si>
    <t>2201-23051100001-0002</t>
  </si>
  <si>
    <t>2201-23051100001-0001</t>
  </si>
  <si>
    <t>MHC22H1H1P</t>
  </si>
  <si>
    <t>未來美超保濕防曬水凝乳50ML</t>
  </si>
  <si>
    <t>2201-23053100002-0001</t>
  </si>
  <si>
    <t>MBX19D2C1N</t>
  </si>
  <si>
    <t>凍齡亮彩四合一純液10ml</t>
  </si>
  <si>
    <t>2201-23050900001-0001</t>
  </si>
  <si>
    <t>2201-23050900001-0002</t>
  </si>
  <si>
    <t>MBX19D2A1N</t>
  </si>
  <si>
    <t>凍齡亮彩四合一純液1.5ml</t>
  </si>
  <si>
    <t>2201-22120900002-0011</t>
  </si>
  <si>
    <t>PN1CAB1P1P</t>
  </si>
  <si>
    <t>積雪草B5舒敏卸妝水</t>
  </si>
  <si>
    <t>2201-23050900003-0001</t>
  </si>
  <si>
    <t>2201-23052400001-0001</t>
  </si>
  <si>
    <t>2201-23050900005-0001</t>
  </si>
  <si>
    <t>2201-23050900005-0002</t>
  </si>
  <si>
    <t>2201-22060700001-0002</t>
  </si>
  <si>
    <t>MEU22D2F1P</t>
  </si>
  <si>
    <t>8%杏仁酸淨痘精華30ML</t>
  </si>
  <si>
    <t>2201-22120900003-0003</t>
  </si>
  <si>
    <t>PN1CAD1F2P</t>
  </si>
  <si>
    <t>積雪草B5修護純粹精華30ML</t>
  </si>
  <si>
    <t>2201-23051000002-0001</t>
  </si>
  <si>
    <t>2201-23050400001-0001</t>
  </si>
  <si>
    <t>MDC23D2H1P</t>
  </si>
  <si>
    <t>Lyla-純淨呵護緊實美膚油50ML</t>
  </si>
  <si>
    <t>2201-23032300003-0001</t>
  </si>
  <si>
    <t>MDC23H1H1P</t>
  </si>
  <si>
    <t>Poppy 海洋友善清透防曬乳50ML</t>
  </si>
  <si>
    <t>2201-23052500001-0001</t>
  </si>
  <si>
    <t>MBY22F1D1P</t>
  </si>
  <si>
    <t>BB 2% 無酸抗荳調理精華15ML</t>
  </si>
  <si>
    <t>2201-23051000001-0001</t>
  </si>
  <si>
    <t>MEU21C1L2P</t>
  </si>
  <si>
    <t>杜鵑花酸亮白化妝水120ML</t>
  </si>
  <si>
    <t>2201-23052400002-0001</t>
  </si>
  <si>
    <t>2201-22060900004-0001</t>
  </si>
  <si>
    <t>2201-23052600002-0001</t>
  </si>
  <si>
    <t>MET21D1F2P</t>
  </si>
  <si>
    <t>娜卡凍妍精華油30ML</t>
  </si>
  <si>
    <t>2201-23060700001-0001</t>
  </si>
  <si>
    <t>MET21D1K1T</t>
  </si>
  <si>
    <t>完肌晶顏精華油100ML</t>
  </si>
  <si>
    <t>2201-23050500001-0001</t>
  </si>
  <si>
    <t>MBQ18C1L1P</t>
  </si>
  <si>
    <t>艾鍀緊緻保濕化妝水120ML</t>
  </si>
  <si>
    <t>2201-23062100001-0001</t>
  </si>
  <si>
    <t>2201-23051600001-0001</t>
  </si>
  <si>
    <t>MEU21D2B1P</t>
  </si>
  <si>
    <t>維他命C晶球美白精華5ML</t>
  </si>
  <si>
    <t>2201-23051700001-0001</t>
  </si>
  <si>
    <t>MGU22H2H1P</t>
  </si>
  <si>
    <t>輕透水潤全效防曬乳50ML</t>
  </si>
  <si>
    <t>2201-23061500001-0001</t>
  </si>
  <si>
    <t>2201-23071000001-0001</t>
  </si>
  <si>
    <t>MDD20D2K1N</t>
  </si>
  <si>
    <t>20%杏仁酸精華100ml</t>
  </si>
  <si>
    <t>2201-23060500001-0001</t>
  </si>
  <si>
    <t>MDA19F2M2P</t>
  </si>
  <si>
    <t>水嫩潤滑液150ML</t>
  </si>
  <si>
    <t>2201-23052600001-0002</t>
  </si>
  <si>
    <t>2201-23062100002-0001</t>
  </si>
  <si>
    <t>MAA17Z2H2P</t>
  </si>
  <si>
    <t>​天然草本精油驅蚊滾珠50ML</t>
  </si>
  <si>
    <t>2201-23052600001-0001</t>
  </si>
  <si>
    <t>2201-23021000002-0001</t>
  </si>
  <si>
    <t>MEU21D3F1P</t>
  </si>
  <si>
    <t>幹細胞肌因前導精華30ML</t>
  </si>
  <si>
    <t>2201-23071900002-0001</t>
  </si>
  <si>
    <t>2201-23050500002-0005</t>
  </si>
  <si>
    <t>MHJ23D2F1P</t>
  </si>
  <si>
    <t>青春植萃顏白精華35ml</t>
  </si>
  <si>
    <t>2201-23050500002-0006</t>
  </si>
  <si>
    <t>2201-23062600001-0001</t>
  </si>
  <si>
    <t>2201-23070500001-0001</t>
  </si>
  <si>
    <t>MET21E2J1P</t>
  </si>
  <si>
    <t>阿爾卑斯冰河CICA修護乳60ML</t>
  </si>
  <si>
    <t>2201-23070500001-0002</t>
  </si>
  <si>
    <t>MET21E2J2P</t>
  </si>
  <si>
    <t>娜卡積雪草苷修護乳60ML</t>
  </si>
  <si>
    <t>2201-23071900002-0003</t>
  </si>
  <si>
    <t>2201-23071100001-0001</t>
  </si>
  <si>
    <t>2201-23042500001-0001</t>
  </si>
  <si>
    <t>MDC23B1K1P</t>
  </si>
  <si>
    <t>Poppy 淨透舒敏洗卸潔顏凝露100ML</t>
  </si>
  <si>
    <t>2201-23071400003-0001</t>
  </si>
  <si>
    <t>2201-23033100002-0005</t>
  </si>
  <si>
    <t>MHJ23D1F1P</t>
  </si>
  <si>
    <t>iV ANGEL_天使新生光彩精華35ml</t>
  </si>
  <si>
    <t>2201-22060900001-0001</t>
  </si>
  <si>
    <t>2201-22060900002-0001</t>
  </si>
  <si>
    <t>2201-23051600002-0001</t>
  </si>
  <si>
    <t>MEU21D4F1P</t>
  </si>
  <si>
    <t>胜肽撫紋精華30ML</t>
  </si>
  <si>
    <t>2201-22100500001-0001</t>
  </si>
  <si>
    <t>MEU22H1F1P</t>
  </si>
  <si>
    <t>鳶尾花A醇防曬素顏霜30ml</t>
  </si>
  <si>
    <t>2201-23062000003-0001</t>
  </si>
  <si>
    <t>2201-23052500002-0001</t>
  </si>
  <si>
    <t>MBY23D2D1P</t>
  </si>
  <si>
    <t>BB 20%維他命C淨白精華15ML</t>
  </si>
  <si>
    <t>2201-23071900002-0008</t>
  </si>
  <si>
    <t>2201-22120900003-0011</t>
  </si>
  <si>
    <t>2201-23071900002-0004</t>
  </si>
  <si>
    <t>PN1HAB3P0P</t>
  </si>
  <si>
    <t>玻尿酸保濕卸妝凝露</t>
  </si>
  <si>
    <t>2201-23033100002-0006</t>
  </si>
  <si>
    <t>MHJ23E1H1P</t>
  </si>
  <si>
    <t>iV ANGEL_天使賦活精萃乳霜50ml</t>
  </si>
  <si>
    <t>2201-23071400002-0001</t>
  </si>
  <si>
    <t>MHM23D2F1P</t>
  </si>
  <si>
    <t>芙木之光超能A醇煥顏精華液30ML</t>
  </si>
  <si>
    <t>製造效能（已更新）</t>
  </si>
  <si>
    <t>製造效能表中的機器組合：</t>
  </si>
  <si>
    <t>充填效能表中的機器組合：</t>
  </si>
  <si>
    <t>機器</t>
  </si>
  <si>
    <t>台數</t>
  </si>
  <si>
    <t>別稱</t>
  </si>
  <si>
    <t>可以做的攪料程序</t>
  </si>
  <si>
    <t>可以做的製造類型</t>
  </si>
  <si>
    <t>小型攪拌機</t>
  </si>
  <si>
    <t>大型攪拌機</t>
  </si>
  <si>
    <t>50L真空乳化機</t>
  </si>
  <si>
    <t>100L真空乳化機</t>
  </si>
  <si>
    <t>100L升溫桶槽</t>
  </si>
  <si>
    <t>400L大桶槽</t>
  </si>
  <si>
    <t>500L大桶槽</t>
  </si>
  <si>
    <t>落地型均質機</t>
  </si>
  <si>
    <t>超音波震盪機</t>
  </si>
  <si>
    <t>充填效能</t>
  </si>
  <si>
    <t>單管泵浦式充填機</t>
  </si>
  <si>
    <t>泵浦式充填機</t>
  </si>
  <si>
    <t>雙管泵浦式充填機</t>
  </si>
  <si>
    <t>圓盤式自動充填機</t>
  </si>
  <si>
    <t>大定量缸式充填機</t>
  </si>
  <si>
    <t>定量缸式充填機</t>
  </si>
  <si>
    <t>面膜機</t>
  </si>
  <si>
    <t>齒輪式充填機</t>
  </si>
  <si>
    <t>噴印機</t>
  </si>
  <si>
    <t>烘箱</t>
  </si>
  <si>
    <t>自動鎖蓋機</t>
  </si>
  <si>
    <t>日期</t>
  </si>
  <si>
    <t>其他時間限制</t>
  </si>
  <si>
    <t>工序</t>
  </si>
  <si>
    <t>備註</t>
  </si>
  <si>
    <t>訂單成立日期</t>
  </si>
  <si>
    <t>製造</t>
  </si>
  <si>
    <t>製造－預攪</t>
  </si>
  <si>
    <t>攪料前一天</t>
  </si>
  <si>
    <t>排除多次製造</t>
  </si>
  <si>
    <t>製造－攪料、清洗</t>
  </si>
  <si>
    <t>充填</t>
  </si>
  <si>
    <t>物料齊料點後</t>
  </si>
  <si>
    <t>充填－組裝</t>
  </si>
  <si>
    <t>充填－洗瓶</t>
  </si>
  <si>
    <t>充填－排瓶</t>
  </si>
  <si>
    <t>充填前一天</t>
  </si>
  <si>
    <t>排除多次排瓶</t>
  </si>
  <si>
    <t>充填－前置</t>
  </si>
  <si>
    <t>充填－充填</t>
  </si>
  <si>
    <t>2023半成品實際入庫日</t>
  </si>
  <si>
    <t>"到客戶倉庫日"</t>
  </si>
  <si>
    <t>核心六碼</t>
  </si>
  <si>
    <t>到客戶倉庫日</t>
  </si>
  <si>
    <t>攪料程序</t>
  </si>
  <si>
    <t>單一製造項目</t>
  </si>
  <si>
    <t>製造類型</t>
  </si>
  <si>
    <t>充填重量-水項</t>
  </si>
  <si>
    <t>充填重量-油項</t>
  </si>
  <si>
    <t>充填重量-醇項</t>
  </si>
  <si>
    <t>充填重量-乳項</t>
  </si>
  <si>
    <t>製造工作數</t>
  </si>
  <si>
    <t>製造重量g/pcs</t>
  </si>
  <si>
    <t>需求產量g</t>
  </si>
  <si>
    <t>製造表定批次產量kg</t>
  </si>
  <si>
    <t>製造表定批次分鐘數</t>
  </si>
  <si>
    <t>製造批次</t>
  </si>
  <si>
    <t>製造總時分鐘數*批次</t>
  </si>
  <si>
    <t>預攪總分鐘數</t>
  </si>
  <si>
    <t>清洗總分鐘數</t>
  </si>
  <si>
    <t>充填工作數</t>
  </si>
  <si>
    <t>排瓶表定產能pcs/hr</t>
  </si>
  <si>
    <t>排瓶產能人數</t>
  </si>
  <si>
    <t>排瓶時數</t>
  </si>
  <si>
    <t>充填表定產能pcs/hr</t>
  </si>
  <si>
    <t>充填產能人數</t>
  </si>
  <si>
    <t>充填時數</t>
  </si>
  <si>
    <t>充填總時數*人力</t>
  </si>
  <si>
    <t>雙層劑型</t>
  </si>
  <si>
    <t>2201-23020200002-0001</t>
  </si>
  <si>
    <t>30.6(B0AA)
30.8(B0BA)</t>
  </si>
  <si>
    <t>4pcs/盒</t>
  </si>
  <si>
    <t>5pcs/盒</t>
  </si>
  <si>
    <t>AC:29.5
BA:30.9</t>
  </si>
  <si>
    <t>中文名稱</t>
  </si>
  <si>
    <t>項目類型</t>
  </si>
  <si>
    <t>攪料程序M</t>
  </si>
  <si>
    <t>工序順序</t>
  </si>
  <si>
    <t>機器類型</t>
  </si>
  <si>
    <t>工作 min</t>
  </si>
  <si>
    <t>充填重量</t>
  </si>
  <si>
    <t>表定產能pcs/hr</t>
  </si>
  <si>
    <t>表定產能 g/批次</t>
  </si>
  <si>
    <t>表定產能人數</t>
  </si>
  <si>
    <t>人力類型</t>
  </si>
  <si>
    <t>Comment</t>
  </si>
  <si>
    <t>N1REE1COO</t>
  </si>
  <si>
    <t>乳項</t>
  </si>
  <si>
    <t>M2</t>
  </si>
  <si>
    <t>預攪機</t>
  </si>
  <si>
    <t>小乳機</t>
  </si>
  <si>
    <t>N1REE1C</t>
  </si>
  <si>
    <t>M3</t>
  </si>
  <si>
    <t>大乳機</t>
  </si>
  <si>
    <t>充填項</t>
  </si>
  <si>
    <t>M6</t>
  </si>
  <si>
    <t>填</t>
  </si>
  <si>
    <t>充填機</t>
  </si>
  <si>
    <t>-</t>
  </si>
  <si>
    <t>充填類型</t>
  </si>
  <si>
    <t>N1REE1F</t>
  </si>
  <si>
    <t>N1REE1FOOO</t>
  </si>
  <si>
    <t>排瓶</t>
  </si>
  <si>
    <t>排瓶機</t>
  </si>
  <si>
    <t>N1RED1C</t>
  </si>
  <si>
    <t>水項</t>
  </si>
  <si>
    <t>M4</t>
  </si>
  <si>
    <t>精機</t>
  </si>
  <si>
    <t>N1RED1F</t>
  </si>
  <si>
    <t>DC23C2K</t>
  </si>
  <si>
    <t>1%杏仁酸控油潔膚水100ml</t>
  </si>
  <si>
    <t>M1</t>
  </si>
  <si>
    <t>大機</t>
  </si>
  <si>
    <t>N1REE2F</t>
  </si>
  <si>
    <t>1%高效緊緻A醇乳霜30ml</t>
  </si>
  <si>
    <t>N1REF1D</t>
  </si>
  <si>
    <t>1%極效撫紋A醇眼霜15ml</t>
  </si>
  <si>
    <t>BY24D3F</t>
  </si>
  <si>
    <t>10% 煙醯胺+1% 鋅調理精華30ML</t>
  </si>
  <si>
    <t>DD20D1K</t>
  </si>
  <si>
    <t>N1MAD1F</t>
  </si>
  <si>
    <t>18%杏仁酸透亮煥膚精華30ml</t>
  </si>
  <si>
    <t>N3MAD1F</t>
  </si>
  <si>
    <t>18%杏仁酸透亮煥膚精華30ml(海外版)</t>
  </si>
  <si>
    <t>BY22F2F</t>
  </si>
  <si>
    <t>2%水楊酸抗痘修護精華 30ml</t>
  </si>
  <si>
    <t>BY19P2N</t>
  </si>
  <si>
    <t>BY19P2NOO</t>
  </si>
  <si>
    <t>DC23E1H</t>
  </si>
  <si>
    <t>2%杏仁酸控油平衡乳50ML</t>
  </si>
  <si>
    <t>DD20D2K</t>
  </si>
  <si>
    <t>N1CED1F</t>
  </si>
  <si>
    <t>3%神經醯胺PLUS精華30ml</t>
  </si>
  <si>
    <t>EU21D5F</t>
  </si>
  <si>
    <t>EU21D5B</t>
  </si>
  <si>
    <t>BY22E1N</t>
  </si>
  <si>
    <t>3%傳明酸淨透嫩白身體乳200ML</t>
  </si>
  <si>
    <t>GU25E2F</t>
  </si>
  <si>
    <t>360° 光速淡斑美白乳霜30ML</t>
  </si>
  <si>
    <t>N1PRF3H</t>
  </si>
  <si>
    <t>3酸拋光穩護凝凍-盒裝50ML</t>
  </si>
  <si>
    <t>N1PRD1D</t>
  </si>
  <si>
    <t>5酸拋光澎亮精華-特規15ML</t>
  </si>
  <si>
    <t>N1PRD1F</t>
  </si>
  <si>
    <t>5酸拋光澎亮精華-盒裝30ML</t>
  </si>
  <si>
    <t>DC23D1H</t>
  </si>
  <si>
    <t>8%杏仁酸控油精華液50ml</t>
  </si>
  <si>
    <t>前置</t>
  </si>
  <si>
    <t>EU22D2F</t>
  </si>
  <si>
    <t>EU22D2FOOO</t>
  </si>
  <si>
    <t>EU22D2BOOO</t>
  </si>
  <si>
    <t>EU22D2B</t>
  </si>
  <si>
    <t>N3HAA4L</t>
  </si>
  <si>
    <t>82胺基酸全能保濕潔顏露120ML</t>
  </si>
  <si>
    <t>HJ23D3F</t>
  </si>
  <si>
    <t>女神光彩煥膚液30ML</t>
  </si>
  <si>
    <t>HJ23D4F</t>
  </si>
  <si>
    <t>女神賦活修復精華液30ML</t>
  </si>
  <si>
    <t>AB21A1M</t>
  </si>
  <si>
    <t>小氫新溫潤潔面慕斯150ML</t>
  </si>
  <si>
    <t>N1CEF1D</t>
  </si>
  <si>
    <t>六重神經醯胺胜肽護唇精華-盒裝12ML</t>
  </si>
  <si>
    <t>油項</t>
  </si>
  <si>
    <t>GD22H1H</t>
  </si>
  <si>
    <t>友善海洋防曬乳50ML</t>
  </si>
  <si>
    <t>HJ23D55</t>
  </si>
  <si>
    <t>天使精靈童顏安瓶組</t>
  </si>
  <si>
    <t>AA17Z2H</t>
  </si>
  <si>
    <t>AA25Z1H</t>
  </si>
  <si>
    <t>天然草本精油驅蚊滾珠50ml</t>
  </si>
  <si>
    <t>AA17Z1K</t>
  </si>
  <si>
    <t>N1UVH7H</t>
  </si>
  <si>
    <t>N1UVH7F</t>
  </si>
  <si>
    <t>N1UVHAH</t>
  </si>
  <si>
    <t>水感全效保濕防曬乳SPF50+/PA++++-盒裝50ML</t>
  </si>
  <si>
    <t>EU24P1N</t>
  </si>
  <si>
    <t>水楊酸煥膚透亮身體乳 155ML</t>
  </si>
  <si>
    <t>DA19F2M</t>
  </si>
  <si>
    <t>HJ24D1</t>
  </si>
  <si>
    <t>外泌體育髮精華15ML</t>
  </si>
  <si>
    <t>AW24G11</t>
  </si>
  <si>
    <t>外泌體深層修復保濕面膜30ML</t>
  </si>
  <si>
    <t>AW24G21</t>
  </si>
  <si>
    <t>AW24G10</t>
  </si>
  <si>
    <t>外泌體深層修復保濕面膜30ML(10入/盒)</t>
  </si>
  <si>
    <t>GU25D1E</t>
  </si>
  <si>
    <t>平衡時空精華油EX20ML</t>
  </si>
  <si>
    <t>JE24B1M</t>
  </si>
  <si>
    <t>平衡淨化潔顏泥 150g</t>
  </si>
  <si>
    <t>後加工</t>
  </si>
  <si>
    <t>HC22H1H</t>
  </si>
  <si>
    <t>HC24H1H</t>
  </si>
  <si>
    <t>HC22B1M</t>
  </si>
  <si>
    <t>未來美超保濕無油卸妝露150ML</t>
  </si>
  <si>
    <t>HC24C1K</t>
  </si>
  <si>
    <t>未來美超級雙C美白高機能前導精露100ml</t>
  </si>
  <si>
    <t>HC23P1NOOO</t>
  </si>
  <si>
    <t>HC23P1N</t>
  </si>
  <si>
    <t>GU24D1F</t>
  </si>
  <si>
    <t>永恆時光全效精華液30ML</t>
  </si>
  <si>
    <t>EH20P2H</t>
  </si>
  <si>
    <t>ER20D1F</t>
  </si>
  <si>
    <t>光透亮顏美白精華30ml</t>
  </si>
  <si>
    <t>N1UVHBH</t>
  </si>
  <si>
    <t>全天候長效抗陽防曬乳SPF50+/PA++++-盒裝50ML</t>
  </si>
  <si>
    <t>N1UVH9F</t>
  </si>
  <si>
    <t>全天候亮顏UV隔離乳30ml</t>
  </si>
  <si>
    <t>N1UVH8H</t>
  </si>
  <si>
    <t>GU25E1F</t>
  </si>
  <si>
    <t>全時保濕修護凝霜EX30g</t>
  </si>
  <si>
    <t>N1YLE1F</t>
  </si>
  <si>
    <t>全能緊緻奇蹟霜30mL</t>
  </si>
  <si>
    <t>N1REF2F</t>
  </si>
  <si>
    <t>再生奇蹟拉提眼霜-盒裝30ML</t>
  </si>
  <si>
    <t>N1REC1M</t>
  </si>
  <si>
    <t>再生奇蹟前導精露-盒裝150ML</t>
  </si>
  <si>
    <t>N1REE3H</t>
  </si>
  <si>
    <t>再生奇蹟撫紋霜-盒裝50ML</t>
  </si>
  <si>
    <t>N1RED2F</t>
  </si>
  <si>
    <t>再生奇蹟膠原精華-盒裝30ML</t>
  </si>
  <si>
    <t>N1YLC2M</t>
  </si>
  <si>
    <t>再生修護肌能水145ml</t>
  </si>
  <si>
    <t>洗瓶</t>
  </si>
  <si>
    <t>N2YLC1M</t>
  </si>
  <si>
    <t>BQ20D1F</t>
  </si>
  <si>
    <t>多元胜肽精華油50ml</t>
  </si>
  <si>
    <t>BQ20D1H</t>
  </si>
  <si>
    <t>BY20F1D</t>
  </si>
  <si>
    <t>DC23C1K</t>
  </si>
  <si>
    <t>竹炭收斂控油噴霧100ml</t>
  </si>
  <si>
    <t>N1N2F1QOOO</t>
  </si>
  <si>
    <t>N1N2F1Q</t>
  </si>
  <si>
    <t>GG22H1F</t>
  </si>
  <si>
    <t>肌能甦活妝前保濕精華32ML</t>
  </si>
  <si>
    <t>BQ18C1L</t>
  </si>
  <si>
    <t>DC25E1H</t>
  </si>
  <si>
    <t>妝前保濕萬用霜50ML</t>
  </si>
  <si>
    <t>ET21D1K</t>
  </si>
  <si>
    <t>ET21E1D</t>
  </si>
  <si>
    <t>完肌晶顏豐華霜15ml</t>
  </si>
  <si>
    <t>BY25E1D</t>
  </si>
  <si>
    <t>我的心機 10%杜鵑花酸+玻尿酸發光淨膚精華15ml</t>
  </si>
  <si>
    <t>BY23D3F</t>
  </si>
  <si>
    <t>我的心機 10%維他命C光燦亮白精華 30ml</t>
  </si>
  <si>
    <t>BY25D1F</t>
  </si>
  <si>
    <t>我的心機 15%菸醯胺+1%PCA鋅毛孔修復精華30ML</t>
  </si>
  <si>
    <t>BY24B2F</t>
  </si>
  <si>
    <t>我的心機 32%多重果酸煥膚透嫩精華面膜30ML</t>
  </si>
  <si>
    <t>BY23H1G</t>
  </si>
  <si>
    <t>我的心機海洋友善保濕高效防曬35ml</t>
  </si>
  <si>
    <t>N1MAB1K</t>
  </si>
  <si>
    <t>杏仁酸毛孔深層清潔泥膜100ML</t>
  </si>
  <si>
    <t>N1MAF1E</t>
  </si>
  <si>
    <t>N1MAF1EOOO</t>
  </si>
  <si>
    <t>EU21E1J</t>
  </si>
  <si>
    <t>杜鵑花酸白CC精華乳60ML</t>
  </si>
  <si>
    <t>EU21C1L</t>
  </si>
  <si>
    <t>EU24C2L</t>
  </si>
  <si>
    <t>杜鵑花酸亮白化妝水120ml</t>
  </si>
  <si>
    <t>EU21C1D</t>
  </si>
  <si>
    <t>EU24C2D</t>
  </si>
  <si>
    <t>N1SQD1F</t>
  </si>
  <si>
    <t>角鯊烷潤澤輕感精華油30ml</t>
  </si>
  <si>
    <t>JA24D1F</t>
  </si>
  <si>
    <t>昕生修護精華30ML</t>
  </si>
  <si>
    <t>JA24E1H</t>
  </si>
  <si>
    <t>昕生修護精華乳50ML</t>
  </si>
  <si>
    <t>DC23G24</t>
  </si>
  <si>
    <t>ER20F1F</t>
  </si>
  <si>
    <t>肽逆齡緊緻抗皺眼霜30ml</t>
  </si>
  <si>
    <t>HM23C1M</t>
  </si>
  <si>
    <t>芙木之光多重玻尿酸保濕化妝水150ML</t>
  </si>
  <si>
    <t>HM23D1F</t>
  </si>
  <si>
    <t>HM23D4F</t>
  </si>
  <si>
    <t>芙木之光杏仁酸淨透煥顏精華30ML</t>
  </si>
  <si>
    <t>HM24E1H</t>
  </si>
  <si>
    <t>芙木之光玻尿酸保濕乳液50ml</t>
  </si>
  <si>
    <t>HM23D2F</t>
  </si>
  <si>
    <t>HM23D3F</t>
  </si>
  <si>
    <t>芙木之光極光透亮美白精華 30ml</t>
  </si>
  <si>
    <t>HJ23M15</t>
  </si>
  <si>
    <t>青春再現頭皮調理</t>
  </si>
  <si>
    <t>HJ23D2F</t>
  </si>
  <si>
    <t>AW25D2H</t>
  </si>
  <si>
    <t>亮白精華50ML</t>
  </si>
  <si>
    <t>JD23G11</t>
  </si>
  <si>
    <t>保濕透亮私密處面膜30ML</t>
  </si>
  <si>
    <t>HJ25M2B</t>
  </si>
  <si>
    <t>活化頭皮配方5ML</t>
  </si>
  <si>
    <t>AW25M1H</t>
  </si>
  <si>
    <t>活化頭皮精華50ML</t>
  </si>
  <si>
    <t>AW25D3H</t>
  </si>
  <si>
    <t>玻尿酸青春精華50ML</t>
  </si>
  <si>
    <t>N1HAE6H</t>
  </si>
  <si>
    <t>玻尿酸保濕水平衡滲透乳-盒裝50ML</t>
  </si>
  <si>
    <t>N1HAE7H</t>
  </si>
  <si>
    <t>玻尿酸保濕水平衡潤澤霜-盒裝50ML</t>
  </si>
  <si>
    <t>N1HAD5F</t>
  </si>
  <si>
    <t>玻尿酸保濕水平衡賦能精華-盒裝30ML</t>
  </si>
  <si>
    <t>N1HAB3P</t>
  </si>
  <si>
    <t>N1HAD2L</t>
  </si>
  <si>
    <t>N1HAD2F</t>
  </si>
  <si>
    <t>玻尿酸保濕原液30ml</t>
  </si>
  <si>
    <t>N1HAA3N</t>
  </si>
  <si>
    <t>玻尿酸保濕溫和潔顏慕絲</t>
  </si>
  <si>
    <t>N1HAE2M</t>
  </si>
  <si>
    <t>N1HAE2MOOO</t>
  </si>
  <si>
    <t>N1HAE2HOOO</t>
  </si>
  <si>
    <t>N1HAE2H</t>
  </si>
  <si>
    <t>HE22D1C</t>
  </si>
  <si>
    <t>玻尿酸保濕精粹10ml</t>
  </si>
  <si>
    <t>N1HAE4H</t>
  </si>
  <si>
    <t>玻尿酸保濕潤澤霜50ml</t>
  </si>
  <si>
    <t>N1HAC3N</t>
  </si>
  <si>
    <t>玻尿酸深度潤澤化妝水200ml</t>
  </si>
  <si>
    <t>ER20C1P</t>
  </si>
  <si>
    <t>玻尿酸深層潤膚保濕化妝水230ml</t>
  </si>
  <si>
    <t>ER23E1H</t>
  </si>
  <si>
    <t>玻尿酸深層潤膚保濕乳50ml</t>
  </si>
  <si>
    <t>ER20E2H</t>
  </si>
  <si>
    <t>玻尿酸深層潤膚保濕面霜50ml</t>
  </si>
  <si>
    <t>N1HAD4C</t>
  </si>
  <si>
    <t>N1HAD4F</t>
  </si>
  <si>
    <t>GU24A1K</t>
  </si>
  <si>
    <t>玻尿酸極淨保濕洗面乳100ML</t>
  </si>
  <si>
    <t>N1HAB4P</t>
  </si>
  <si>
    <t>玻尿酸溫和保濕卸妝凝露-盒裝300ML</t>
  </si>
  <si>
    <t>N1HAA5N</t>
  </si>
  <si>
    <t>玻尿酸溫和保濕潔顏慕絲-盒裝160ML</t>
  </si>
  <si>
    <t>AW25D4H</t>
  </si>
  <si>
    <t>玻尿酸精華50ML</t>
  </si>
  <si>
    <t>GF23F1F</t>
  </si>
  <si>
    <t>胜肽撫紋修護亮眼霜30g</t>
  </si>
  <si>
    <t>EU21D4FOOO</t>
  </si>
  <si>
    <t>EU21D4F</t>
  </si>
  <si>
    <t>N1YLF2G</t>
  </si>
  <si>
    <t>N1YLF2GOOO</t>
  </si>
  <si>
    <t>DA19F3H</t>
  </si>
  <si>
    <t>茉莉極致馬卡高潮液激熱版50ml</t>
  </si>
  <si>
    <t>BX19D2A</t>
  </si>
  <si>
    <t>BX19D2C</t>
  </si>
  <si>
    <t>BX19D1D</t>
  </si>
  <si>
    <t>原萃晶鑽A+E能量賦活油15ml</t>
  </si>
  <si>
    <t>ET21D1F</t>
  </si>
  <si>
    <t>ET21B1N</t>
  </si>
  <si>
    <t>娜卡溫和低敏卸妝乳200ML</t>
  </si>
  <si>
    <t>ET21E2J</t>
  </si>
  <si>
    <t>JP24H1F</t>
  </si>
  <si>
    <t>氧蘊活萃隔離乳 30ml</t>
  </si>
  <si>
    <t>M5</t>
  </si>
  <si>
    <t>落地</t>
  </si>
  <si>
    <t>落地機</t>
  </si>
  <si>
    <t>AA20H2G</t>
  </si>
  <si>
    <t>JB23D2F</t>
  </si>
  <si>
    <t>神經醯胺Plus精華33ML</t>
  </si>
  <si>
    <t>DX20E1H</t>
  </si>
  <si>
    <t>純粹燕窩．逆齡重生修護晚霜50g</t>
  </si>
  <si>
    <t>DX20G13</t>
  </si>
  <si>
    <t>純粹燕窩．逆齡重生高滲透修護面膜(3入)</t>
  </si>
  <si>
    <t>DX20C1M</t>
  </si>
  <si>
    <t>純粹燕窩．逆齡重生極潤青春露150ml</t>
  </si>
  <si>
    <t>DX20D1F</t>
  </si>
  <si>
    <t>純粹燕窩．逆齡重生煥顏精華</t>
  </si>
  <si>
    <t>DX20F1D</t>
  </si>
  <si>
    <t>純粹燕窩．逆齡重生緊緻眼霜</t>
  </si>
  <si>
    <t>DX20E2H</t>
  </si>
  <si>
    <t>純粹燕窩．逆齡重生彈力乳液50g</t>
  </si>
  <si>
    <t>AA18Q1C</t>
  </si>
  <si>
    <t>AA18Q1Q</t>
  </si>
  <si>
    <t>AA17F2C</t>
  </si>
  <si>
    <t>FY22D1F</t>
  </si>
  <si>
    <t>醇項</t>
  </si>
  <si>
    <t>JE24H1H</t>
  </si>
  <si>
    <t>高效水感防曬乳50ml</t>
  </si>
  <si>
    <t>EH22P1N</t>
  </si>
  <si>
    <t>AW25M2H</t>
  </si>
  <si>
    <t>淨化精華50ML</t>
  </si>
  <si>
    <t>AB21C10</t>
  </si>
  <si>
    <t>細胞光無針多效肽精萃10ml</t>
  </si>
  <si>
    <t>AB21C1C</t>
  </si>
  <si>
    <t>JP24C1L</t>
  </si>
  <si>
    <t>植青萃活能晶露 120ml</t>
  </si>
  <si>
    <t>DT24B1R</t>
  </si>
  <si>
    <t>植萃卸妝潔膚液500ML</t>
  </si>
  <si>
    <t>DC24D1D</t>
  </si>
  <si>
    <t>琥珀酸淨膚原液15ML</t>
  </si>
  <si>
    <t>N1EXD1F</t>
  </si>
  <si>
    <t>超未來外泌體時空精華-盒裝30ML</t>
  </si>
  <si>
    <t>N1EXD2F</t>
  </si>
  <si>
    <t>HR23C1L</t>
  </si>
  <si>
    <t>超能安敏原生露120ML</t>
  </si>
  <si>
    <t>HR23D1G</t>
  </si>
  <si>
    <t>超能修護雙精萃40ML</t>
  </si>
  <si>
    <t>EU22D1F</t>
  </si>
  <si>
    <t>超能ABC音波精華30ML</t>
  </si>
  <si>
    <t>HR23E1H</t>
  </si>
  <si>
    <t>超能AI全能乳霜50ML</t>
  </si>
  <si>
    <t>N1UVHCF</t>
  </si>
  <si>
    <t>超貼妝亮顏控油UV隔離乳SPF50+/PA++++-盒裝30ML</t>
  </si>
  <si>
    <t>HR24D1F</t>
  </si>
  <si>
    <t>超輕盈美白淡斑精華30ML</t>
  </si>
  <si>
    <t>HR24G15</t>
  </si>
  <si>
    <t>超輕透美白水潤面膜25ML(盒裝)</t>
  </si>
  <si>
    <t>JC25E1H</t>
  </si>
  <si>
    <t>超導外泌保濕乳霜50ML</t>
  </si>
  <si>
    <t>JC25D1G</t>
  </si>
  <si>
    <t>超導外泌保濕精華40ML</t>
  </si>
  <si>
    <t>JC24Z2J</t>
  </si>
  <si>
    <t>超導外泌保濕噴霧60ML</t>
  </si>
  <si>
    <t>JC25Z2J</t>
  </si>
  <si>
    <t>AW23D13</t>
  </si>
  <si>
    <t>超導外泌修護奇蹟晶萃10ml(3瓶/盒)</t>
  </si>
  <si>
    <t>EU22E2J</t>
  </si>
  <si>
    <t>黃金蠟菊全能乳霜60ML</t>
  </si>
  <si>
    <t>EU22A1K</t>
  </si>
  <si>
    <t>EU21D1G</t>
  </si>
  <si>
    <t>黃金蠟菊超導精華30ML</t>
  </si>
  <si>
    <t>FH21Q1N</t>
  </si>
  <si>
    <t>FH21B1K</t>
  </si>
  <si>
    <t>FH21C1N</t>
  </si>
  <si>
    <t>FH21E1K</t>
  </si>
  <si>
    <t>FH21G14</t>
  </si>
  <si>
    <t>FH21D1F</t>
  </si>
  <si>
    <t>EU21D3F</t>
  </si>
  <si>
    <t>EU21D3FOOO</t>
  </si>
  <si>
    <t>AW20D40</t>
  </si>
  <si>
    <t>微分子高濃度鎖水安瓶 2ml</t>
  </si>
  <si>
    <t>AB18D25</t>
  </si>
  <si>
    <t>愛爾麗光采透白能量精華</t>
  </si>
  <si>
    <t>AB18D15</t>
  </si>
  <si>
    <t>AB17C1L</t>
  </si>
  <si>
    <t>AB17D1M</t>
  </si>
  <si>
    <t>愛爾麗舒敏活水凝膠150ml</t>
  </si>
  <si>
    <t>JV25D1G</t>
  </si>
  <si>
    <t>新享生活_黃金雙激萃35g</t>
  </si>
  <si>
    <t>AW21C4K</t>
  </si>
  <si>
    <t>AW21C4R</t>
  </si>
  <si>
    <t>極致水潤光保濕化妝水500ml</t>
  </si>
  <si>
    <t>AW21E1F</t>
  </si>
  <si>
    <t>AW21E1FOO</t>
  </si>
  <si>
    <t>GF24H1H</t>
  </si>
  <si>
    <t>極致美顏水感防曬乳50ml</t>
  </si>
  <si>
    <t>AW21C1K</t>
  </si>
  <si>
    <t>極致奢華金鑽賦活露100ml</t>
  </si>
  <si>
    <t>N1CAD2F</t>
  </si>
  <si>
    <t>極效積雪草B5舒敏修護精華-盒裝30ML</t>
  </si>
  <si>
    <t>GU23B1M</t>
  </si>
  <si>
    <t>極淨卸妝精萃130ML</t>
  </si>
  <si>
    <t>N1VCD3D</t>
  </si>
  <si>
    <t>極透光亮白淡斑精華15ml</t>
  </si>
  <si>
    <t>N1VCD3F</t>
  </si>
  <si>
    <t>N1VCC1M</t>
  </si>
  <si>
    <t>極透光亮白機能水-盒裝150ML</t>
  </si>
  <si>
    <t>N1VCE1H</t>
  </si>
  <si>
    <t>極透光無瑕淨膚霜-盒裝50ML</t>
  </si>
  <si>
    <t>JP24E1H</t>
  </si>
  <si>
    <t>極萃賦活凝乳 50ml</t>
  </si>
  <si>
    <t>JP24D1F</t>
  </si>
  <si>
    <t>極緻柔嫩精華 30ml</t>
  </si>
  <si>
    <t>BY24H1G</t>
  </si>
  <si>
    <t>溫和寶貝全護幼童防曬乳 SPF50+ PA+++ ★★★35ML</t>
  </si>
  <si>
    <t>BX23C1L</t>
  </si>
  <si>
    <t>煥顏活膚保濕露120ML</t>
  </si>
  <si>
    <t>JC24Z1J</t>
  </si>
  <si>
    <t>瑞士黑蜂外泌皮膚噴劑60ML</t>
  </si>
  <si>
    <t>JC25Z1J</t>
  </si>
  <si>
    <t>瑞士黑蜂泌皮膚噴劑60ML</t>
  </si>
  <si>
    <t>JB23D1F</t>
  </si>
  <si>
    <t>補骨脂粉青春精華33ML</t>
  </si>
  <si>
    <t>JC24D1G</t>
  </si>
  <si>
    <t>精華液40ML</t>
  </si>
  <si>
    <t>EU21D2F</t>
  </si>
  <si>
    <t>維他命C晶球美白精華30ML</t>
  </si>
  <si>
    <t>EU21D2B</t>
  </si>
  <si>
    <t>AW25D1H</t>
  </si>
  <si>
    <t>緊緻精華50ML</t>
  </si>
  <si>
    <t>GU24C1K</t>
  </si>
  <si>
    <t>蓓朵娜 360° 光速淡斑美白激活露100ml</t>
  </si>
  <si>
    <t>GU22H2H</t>
  </si>
  <si>
    <t>JG24G25</t>
  </si>
  <si>
    <t>韶日｜抗老賦活面膜 25ml(盒裝)</t>
  </si>
  <si>
    <t>EU22H1F</t>
  </si>
  <si>
    <t>EU24C1L</t>
  </si>
  <si>
    <t>鳶尾花A醇煥膚化妝水120ML</t>
  </si>
  <si>
    <t>EU24C1D</t>
  </si>
  <si>
    <t>鳶尾花A醇煥膚化妝水15ML</t>
  </si>
  <si>
    <t>EU22E1COOO</t>
  </si>
  <si>
    <t>EU22E1C</t>
  </si>
  <si>
    <t>EU22E1J</t>
  </si>
  <si>
    <t>鳶尾花A醇緊緻精華乳60ML</t>
  </si>
  <si>
    <t>EU22E1JOOO</t>
  </si>
  <si>
    <t>DF25D1F</t>
  </si>
  <si>
    <t>潤顏抗皺奇蹟油-盒裝30ML</t>
  </si>
  <si>
    <t>AW25D5H</t>
  </si>
  <si>
    <t>賦活精華50ML</t>
  </si>
  <si>
    <t>HW23F1W</t>
  </si>
  <si>
    <t>凝時水漾舒緩凍膜5L</t>
  </si>
  <si>
    <t>JG24G11</t>
  </si>
  <si>
    <t>熹翠亮胜肽面膜27ML</t>
  </si>
  <si>
    <t>ER20D2F</t>
  </si>
  <si>
    <t>積雪草修護B5亮澤精華30ml</t>
  </si>
  <si>
    <t>N1UVHDH</t>
  </si>
  <si>
    <t>積雪草純物理舒敏防曬乳SPF50+/PA++++-盒裝50ML</t>
  </si>
  <si>
    <t>N1CAD1FOOO</t>
  </si>
  <si>
    <t>N1CAD1F</t>
  </si>
  <si>
    <t>N1CAE1H</t>
  </si>
  <si>
    <t>N1CAE1D</t>
  </si>
  <si>
    <t>N1CAE2H</t>
  </si>
  <si>
    <t>N1CAB1P</t>
  </si>
  <si>
    <t>N1CAE3H</t>
  </si>
  <si>
    <t>積雪草B5舒敏修護乳霜-盒裝50ML</t>
  </si>
  <si>
    <t>N1CAE4H</t>
  </si>
  <si>
    <t>積雪草B5舒敏修護凝乳-盒裝50ML</t>
  </si>
  <si>
    <t>GF25D1F</t>
  </si>
  <si>
    <t>積雪草B5超亮顏修護精華30ml</t>
  </si>
  <si>
    <t>KD25H1C</t>
  </si>
  <si>
    <t>簡單清透亮顏防曬乳7g</t>
  </si>
  <si>
    <t>KD25H2C</t>
  </si>
  <si>
    <t>簡單輕透水感防曬乳7g</t>
  </si>
  <si>
    <t>KD25D1C</t>
  </si>
  <si>
    <t>簡單A醇胜肽抗痕精華7g&lt;升級版&gt;</t>
  </si>
  <si>
    <t>GU24D2H</t>
  </si>
  <si>
    <t>雙效A醇煥膚精華50ML</t>
  </si>
  <si>
    <t>HB22A1P</t>
  </si>
  <si>
    <t>寶貝2in1柔護沐浴泡泡300ML</t>
  </si>
  <si>
    <t>HB22E1E</t>
  </si>
  <si>
    <t>寶貝柔潤護膚乳20ML</t>
  </si>
  <si>
    <t>DC24B1H</t>
  </si>
  <si>
    <t>礦物泥毛孔潔淨面膜50g</t>
  </si>
  <si>
    <t>AB17H1H</t>
  </si>
  <si>
    <t>DJ20H1F</t>
  </si>
  <si>
    <t>KA24H1F</t>
  </si>
  <si>
    <t>A醇防曬素顏霜30ML</t>
  </si>
  <si>
    <t>GG24D1F</t>
  </si>
  <si>
    <t>AC維他命溫感搖搖精華30ML</t>
  </si>
  <si>
    <t>N1YLD2F</t>
  </si>
  <si>
    <t>AC雙粹賦活潤澤精華30ml</t>
  </si>
  <si>
    <t>ET21B1P</t>
  </si>
  <si>
    <t>ET21B1R</t>
  </si>
  <si>
    <t>JY24H1H</t>
  </si>
  <si>
    <t>AQUAMAX® 水18維他命E水感防曬乳 SPF50+/PA++++ 50ML</t>
  </si>
  <si>
    <t>DA19G11</t>
  </si>
  <si>
    <t>AYCE iMeiMei 私密處粉嫩面膜25ML(裸片)</t>
  </si>
  <si>
    <t>DA23G11</t>
  </si>
  <si>
    <t>AYCE iMeiMei舒緩美胸敷膜25ML(裸片)</t>
  </si>
  <si>
    <t>BY24E3E</t>
  </si>
  <si>
    <t>BB 1.8%超雙A煥顏緊緻精華乳20ML</t>
  </si>
  <si>
    <t>BY24D9D</t>
  </si>
  <si>
    <t>BB 10%角鯊玫瑰果賦活精華油15ML</t>
  </si>
  <si>
    <t>BY25E2F</t>
  </si>
  <si>
    <t>BB 10%神經醯胺修護精華乳30mL</t>
  </si>
  <si>
    <t>BY23D1F</t>
  </si>
  <si>
    <t>BY22F1D</t>
  </si>
  <si>
    <t>BY24D1D</t>
  </si>
  <si>
    <t>BB 2%乙基C+25%維他命C美白精華15ML</t>
  </si>
  <si>
    <t>BY25P2N</t>
  </si>
  <si>
    <t>BB 2%水楊酸煥膚身體乳200ML</t>
  </si>
  <si>
    <t>BY24E2F</t>
  </si>
  <si>
    <t>BB 2%超A醇煥顏緊緻精華霜30ml</t>
  </si>
  <si>
    <t>BY23D2D</t>
  </si>
  <si>
    <t>BY23E1F</t>
  </si>
  <si>
    <t>BB 2000ppm藍銅胜肽緊緻精華霜30g</t>
  </si>
  <si>
    <t>BY24D4D</t>
  </si>
  <si>
    <t>BB 3% HPR超A醇逆齡精華15ml</t>
  </si>
  <si>
    <t>BY24B1F</t>
  </si>
  <si>
    <t>BB 30%AHA+2%BHA煥膚精華面膜(水洗式)30mL</t>
  </si>
  <si>
    <t>BY23H5F</t>
  </si>
  <si>
    <t>BB 6%積雪草舒緩防曬精華30ML</t>
  </si>
  <si>
    <t>BY24D7F</t>
  </si>
  <si>
    <t>BB 8%維他命C+1%補骨脂酚AC煥亮精華30ML</t>
  </si>
  <si>
    <t>BY25H1G</t>
  </si>
  <si>
    <t>BB 玻尿酸角鯊潤色防曬乳35ml(柔膚)</t>
  </si>
  <si>
    <t>BY25H2G</t>
  </si>
  <si>
    <t>BB 玻尿酸角鯊潤色防曬乳35ml(嫩紫)</t>
  </si>
  <si>
    <t>BY25P3N</t>
  </si>
  <si>
    <t>BB10%煙醯胺美白精華身體乳200ML</t>
  </si>
  <si>
    <t>HW23F1N</t>
  </si>
  <si>
    <t>Belleesse 凝時水漾舒緩凍膜200ml</t>
  </si>
  <si>
    <t>HW23F1R</t>
  </si>
  <si>
    <t>Belleesse 凝時水漾舒緩凍膜500ml</t>
  </si>
  <si>
    <t>EJ21E1L</t>
  </si>
  <si>
    <t>BELLY LOTION110ML</t>
  </si>
  <si>
    <t>BX21F1E</t>
  </si>
  <si>
    <t>C23.8瓷光亮采眼霜20ml</t>
  </si>
  <si>
    <t>BX21E1J</t>
  </si>
  <si>
    <t>BX25E1J</t>
  </si>
  <si>
    <t>BX21E1C</t>
  </si>
  <si>
    <t>AW20D30</t>
  </si>
  <si>
    <t>D`eesse Vivante無菌玻尿酸(V2) 2ml</t>
  </si>
  <si>
    <t>HC24H2J</t>
  </si>
  <si>
    <t>DR.MAY 美博士專業隔離高效防曬乳60ML</t>
  </si>
  <si>
    <t>AW20D50</t>
  </si>
  <si>
    <t>DV 珀菲因完美安瓶(V2) 2ml</t>
  </si>
  <si>
    <t>AW20E1D</t>
  </si>
  <si>
    <t>DV超導撫紋緊實精華霜15ml</t>
  </si>
  <si>
    <t>HJ25M1F</t>
  </si>
  <si>
    <t>EMOSOXE髮泌源賦活精華30ML</t>
  </si>
  <si>
    <t>BY23F2D</t>
  </si>
  <si>
    <t>EX玻色因眼部滾珠繃帶精華15ML</t>
  </si>
  <si>
    <t>DC24E1H</t>
  </si>
  <si>
    <t>FRESHO2-高氧賦活保濕輕乳霜50ml</t>
  </si>
  <si>
    <t>KH25M1U</t>
  </si>
  <si>
    <t>HAIR VOLUMIZING SCALP CARE 1KG</t>
  </si>
  <si>
    <t>JR24P1H</t>
  </si>
  <si>
    <t>Hand Cream50ML</t>
  </si>
  <si>
    <t>BV23G1G</t>
  </si>
  <si>
    <t>JV24D1H</t>
  </si>
  <si>
    <t>HPR 5A完美新生煥膚精華50ML</t>
  </si>
  <si>
    <t>HT24E1H</t>
  </si>
  <si>
    <t>Hydro Cream 50ML(暫)</t>
  </si>
  <si>
    <t>HJ23D1F</t>
  </si>
  <si>
    <t>HJ23E1H</t>
  </si>
  <si>
    <t>DC23C3K</t>
  </si>
  <si>
    <t>JFY-B5舒緩保濕噴霧100ML</t>
  </si>
  <si>
    <t>BV19G1G</t>
  </si>
  <si>
    <t>LLL Hyaluronic Acid Laser Mask 31ml</t>
  </si>
  <si>
    <t>DC23D2H</t>
  </si>
  <si>
    <t>AA25H1G</t>
  </si>
  <si>
    <t>nac nac海洋友善保濕防曬乳40ML</t>
  </si>
  <si>
    <t>HY24P1N</t>
  </si>
  <si>
    <t>NIS保濕身體潤膚乳200ml</t>
  </si>
  <si>
    <t>HY23P1F</t>
  </si>
  <si>
    <t>NISSIE修護護手霜30ML</t>
  </si>
  <si>
    <t>HL24G1D</t>
  </si>
  <si>
    <t>Optimalift A+ Deep Recovery Eye Mask12ML</t>
  </si>
  <si>
    <t>DC23H1H</t>
  </si>
  <si>
    <t>DC23B1K</t>
  </si>
  <si>
    <t>BY23F1F</t>
  </si>
  <si>
    <t>BY25D2F</t>
  </si>
  <si>
    <t>PUR%CENT 20%菸醯胺1%鋅調理精華30ML</t>
  </si>
  <si>
    <t>BY23H4F</t>
  </si>
  <si>
    <t>PUR%CENT 6%積雪草賦活水嫩精華防曬乳30ML</t>
  </si>
  <si>
    <t>BY24D6F</t>
  </si>
  <si>
    <t>PUR%CENT5%角鯊+3%胜肽精華乳30ml</t>
  </si>
  <si>
    <t>BY24B3K</t>
  </si>
  <si>
    <t>PUR%CENT璞珥森32%胺基酸+B3煙醯胺溫和潔淨洗顏霜100ml</t>
  </si>
  <si>
    <t>JC24E1H</t>
  </si>
  <si>
    <t>PURE &amp; Exosome Cream50ML</t>
  </si>
  <si>
    <t>DD21H1F</t>
  </si>
  <si>
    <t>SD天南星防曬隔離霜(白)30ml</t>
  </si>
  <si>
    <t>DD21H2F</t>
  </si>
  <si>
    <t>SD天南星防曬隔離霜(膚)30ml</t>
  </si>
  <si>
    <t>JH25E1K</t>
  </si>
  <si>
    <t>SOD積雪草修護輕乳液100ML</t>
  </si>
  <si>
    <t>JH25C1M</t>
  </si>
  <si>
    <t>SOD積雪草雙效補水精華露150ML</t>
  </si>
  <si>
    <t>FF24E1H</t>
  </si>
  <si>
    <t>Somei 全能舒緩保濕修護霜50ml</t>
  </si>
  <si>
    <t>JW24C1N</t>
  </si>
  <si>
    <t>SPF 50** 艾莉雅 高效清透防曬噴霧180ML</t>
  </si>
  <si>
    <t>BY23H6G</t>
  </si>
  <si>
    <t>SPF50+ PA+++ 溫和寶貝柔護防曬乳35ML</t>
  </si>
  <si>
    <t>DB23Q1Q</t>
  </si>
  <si>
    <t>Still香氛精油沐浴露350ml</t>
  </si>
  <si>
    <t>DB23P1Q</t>
  </si>
  <si>
    <t>Still香氛精油身體乳350ml</t>
  </si>
  <si>
    <t>DB23P2H</t>
  </si>
  <si>
    <t>Still香氛精油護手霜50ml</t>
  </si>
  <si>
    <t>BV23H1T</t>
  </si>
  <si>
    <t>Waterproof Sunblock1000ml</t>
  </si>
  <si>
    <t>料號</t>
  </si>
  <si>
    <t>核心碼</t>
  </si>
  <si>
    <t>工作</t>
  </si>
  <si>
    <t>工作(min)</t>
  </si>
  <si>
    <t>單日最高批次數</t>
  </si>
  <si>
    <t>製造倍率(製+充損耗)</t>
  </si>
  <si>
    <t>批次產量</t>
  </si>
  <si>
    <t>末階四碼(多層需求)</t>
  </si>
  <si>
    <t>AA17F2</t>
  </si>
  <si>
    <t>nac nac 草本舒緩精華筆9ml</t>
  </si>
  <si>
    <t>1[大型攪拌機x1]-25</t>
  </si>
  <si>
    <t>1[大型攪拌機x1]-80</t>
  </si>
  <si>
    <t>1[大型攪拌機x1]-15</t>
  </si>
  <si>
    <t>MAA17Z1K1P</t>
  </si>
  <si>
    <t>AA17Z1</t>
  </si>
  <si>
    <t>nac nac天然草本精油驅蚊噴液90ml</t>
  </si>
  <si>
    <t>1[]-50、
2[]-100、
3[]-150、</t>
  </si>
  <si>
    <t>1[400L大桶槽x1]-90、
2[400L大桶槽x1]-180、
3[400L大桶槽x1]-270、</t>
  </si>
  <si>
    <t>前置15分鐘</t>
  </si>
  <si>
    <t>1[400L大桶槽x1]-30、
2[400L大桶槽x1]-30、
3[400L大桶槽x1]-30、</t>
  </si>
  <si>
    <t>1[]-50、
2[]-50</t>
  </si>
  <si>
    <t>1[大型攪拌機x1]-90、
2[大型攪拌機x1]-180、</t>
  </si>
  <si>
    <t>1[大型攪拌機x1]-30、
2[大型攪拌機x1]-30</t>
  </si>
  <si>
    <t>MAA17Z2H1P</t>
  </si>
  <si>
    <t>AA17Z2</t>
  </si>
  <si>
    <t>nac nac天然草本精油驅蚊滾珠50ml</t>
  </si>
  <si>
    <t>1[]-50、
2[]-50、 
3[]-75</t>
  </si>
  <si>
    <t>1[大型攪拌機x1]-95、
2[大型攪拌機x1]-190、 
3[大型攪拌機x1]-285</t>
  </si>
  <si>
    <t>1[大型攪拌機x1]-20、
2[大型攪拌機x1]-20、 
3[大型攪拌機x1]-20</t>
  </si>
  <si>
    <t>MAA18Q1C1N</t>
  </si>
  <si>
    <t>AA18Q1</t>
  </si>
  <si>
    <t>草本呵護嬰兒舒緩泡泡浴露7ml</t>
  </si>
  <si>
    <t>1[500L大桶槽x1]-180、
2[500L大桶槽x1]-360</t>
  </si>
  <si>
    <t>前置25min</t>
  </si>
  <si>
    <t>1[500L大桶槽x1]-30、
2[500L大桶槽x1]-30</t>
  </si>
  <si>
    <t>AA20H2</t>
  </si>
  <si>
    <t>1[超音波震盪機x1&amp;小型攪拌機x1&amp;大型攪拌機x1]-105、
2[超音波震盪機x1&amp;小型攪拌機x1&amp;大型攪拌機x1]-180</t>
  </si>
  <si>
    <t>1[大型攪拌機x1&amp;50L真空乳化機x1]-120、
2[大型攪拌機x1&amp;50L真空乳化機x1]-240</t>
  </si>
  <si>
    <t>前置25分鐘</t>
  </si>
  <si>
    <t>1[大型攪拌機x1&amp;50L真空乳化機x1]-90、
2[大型攪拌機x1&amp;50L真空乳化機x1]-90</t>
  </si>
  <si>
    <t>MAA25H1G1P</t>
  </si>
  <si>
    <t>AA25H1</t>
  </si>
  <si>
    <t>1[超音波震盪機x1&amp;小型攪拌機x1&amp;大型攪拌機x1]-75
2[超音波震盪機x1&amp;小型攪拌機x1&amp;大型攪拌機x1]-140
3[超音波震盪機x1&amp;小型攪拌機x1&amp;大型攪拌機x1]-205</t>
  </si>
  <si>
    <t>1[大型攪拌機x1&amp;50L真空乳化機x1]-120
2[大型攪拌機x1&amp;50L真空乳化機x1]-240
3[大型攪拌機x1&amp;50L真空乳化機x1]-360</t>
  </si>
  <si>
    <t>1[大型攪拌機x1&amp;50L真空乳化機x1]-90
2[大型攪拌機x1&amp;50L真空乳化機x1]-90
3[大型攪拌機x1&amp;50L真空乳化機x1]-90</t>
  </si>
  <si>
    <t>MAA25Z1H1P</t>
  </si>
  <si>
    <t>AA25Z1</t>
  </si>
  <si>
    <t>nac nac 草本精油驅蚊滾珠50ml</t>
  </si>
  <si>
    <t>1[400L大桶槽x1]-50
2[400L大桶槽x1]-100
3[400L大桶槽x1]-150</t>
  </si>
  <si>
    <t>1[400L大桶槽x1]-90
2[400L大桶槽x1]-180
3[400L大桶槽x1]-270</t>
  </si>
  <si>
    <t>1[400L大桶槽x1]-30
2[400L大桶槽x1]-30
3[400L大桶槽x1]-30</t>
  </si>
  <si>
    <t>1[]-50
2[]-50
3[]-75</t>
  </si>
  <si>
    <t>1[大型攪拌機x1]-95
2[大型攪拌機x1]-190
3[大型攪拌機x1]-285</t>
  </si>
  <si>
    <t>1[大型攪拌機x1]-20
2[大型攪拌機x1]-20
3[大型攪拌機x1]-20</t>
  </si>
  <si>
    <t>AB17C1</t>
  </si>
  <si>
    <t>1[]-30、
2[]-60、
3[]-90</t>
  </si>
  <si>
    <t>1[400L大桶槽x1]-120、
2[400L大桶槽x1]-240、
3[400L大桶槽x1]-360</t>
  </si>
  <si>
    <t>MAB17D1M1P</t>
  </si>
  <si>
    <t>AB17D1</t>
  </si>
  <si>
    <t>1[大型攪拌機x1]-40、
2[大型攪拌機x1]-40、
3[大型攪拌機x1]-40、
4[大型攪拌機x1]-40</t>
  </si>
  <si>
    <t>1[大型攪拌機x1]-110、
2[大型攪拌機x1]-220、
3[大型攪拌機x1]-330、
4[大型攪拌機x1]-440</t>
  </si>
  <si>
    <t>1[大型攪拌機x1]-15、
2[大型攪拌機x1]-15、
3[大型攪拌機x1]-15、
4[大型攪拌機x1]-15</t>
  </si>
  <si>
    <t>AB17H1</t>
  </si>
  <si>
    <t>1[大型攪拌機x1&amp;小型攪拌機x1&amp;超音波震盪機x1]-90、
2[大型攪拌機x1&amp;小型攪拌機x1&amp;超音波震盪機x1]-90、
3[大型攪拌機x1&amp;小型攪拌機x2&amp;超音波震盪機x1]-140</t>
  </si>
  <si>
    <t>1[大型攪拌機x1&amp;50L真空乳化機x1]-150、
2[大型攪拌機x1&amp;50L真空乳化機x1]-240、
3[大型攪拌機x1&amp;50L真空乳化機x1]-360</t>
  </si>
  <si>
    <t>前置20分鐘</t>
  </si>
  <si>
    <t>1[大型攪拌機x1&amp;50L真空乳化機x1]-90、
2[大型攪拌機x1&amp;50L真空乳化機x1]-90、
3[大型攪拌機x1&amp;50L真空乳化機x1]-90</t>
  </si>
  <si>
    <t>AB18D1</t>
  </si>
  <si>
    <t>1[大型攪拌機x1]-20、
2[大型攪拌機x1]-40、
3[大型攪拌機x1]-60、
4[大型攪拌機x1]-80</t>
  </si>
  <si>
    <t>1[大型攪拌機x1]-105、
2[大型攪拌機x1]-210、
3[大型攪拌機x1]-315、
4[大型攪拌機x1]-420</t>
  </si>
  <si>
    <t>MAB18D251P</t>
  </si>
  <si>
    <t>AB18D2</t>
  </si>
  <si>
    <t>1[大型攪拌機x1]-10、
2[大型攪拌機x1]-20、
3[大型攪拌機x1]-30</t>
  </si>
  <si>
    <t>1[大型攪拌機x1]-113、
2[大型攪拌機x1]-226、
3[大型攪拌機x1]-339</t>
  </si>
  <si>
    <t>1[大型攪拌機x1]-15、
2[大型攪拌機x1]-15、
3[大型攪拌機x1]-15</t>
  </si>
  <si>
    <t>MAB21A1M1P</t>
  </si>
  <si>
    <t>AB21A1</t>
  </si>
  <si>
    <t>1[大型攪拌機x1]-25、
2[大型攪拌機x1]-50、
3[大型攪拌機x1]-75、
4[大型攪拌機x1]-100、
5[大型攪拌機x1]-125、
6[大型攪拌機x1]-150、
7[大型攪拌機x1]-175、
8[大型攪拌機x1]-200</t>
  </si>
  <si>
    <t>1[大型攪拌機x1]-60、
2[大型攪拌機x1]-120、
3[大型攪拌機x1]-180、
4[大型攪拌機x1]-240、
5[大型攪拌機x1]-300、
6[大型攪拌機x1]-360、
7[大型攪拌機x1]-420、
8[大型攪拌機x1]-480</t>
  </si>
  <si>
    <t>1[大型攪拌機x1]-25、
2[大型攪拌機x1]-25、
3[大型攪拌機x1]-25、
4[大型攪拌機x1]-25、
5[大型攪拌機x1]-25、
6[大型攪拌機x1]-25、
7[大型攪拌機x1]-25、
8[大型攪拌機x1]-25</t>
  </si>
  <si>
    <t>1[400L大桶槽x1]-25、
2[400L大桶槽x1]-50、
3[400L大桶槽x1]-75</t>
  </si>
  <si>
    <t>1[400L大桶槽x1]-80、
2[400L大桶槽x1]-160、
3[400L大桶槽x1]-240</t>
  </si>
  <si>
    <t>1[400L大桶槽x1]-45、
2[400L大桶槽x1]-45、
3[400L大桶槽x1]-45</t>
  </si>
  <si>
    <t>MAB21C101P</t>
  </si>
  <si>
    <t>AB21C1</t>
  </si>
  <si>
    <t>晶瓷鑽無針多效肽精萃10ML</t>
  </si>
  <si>
    <t>1[大型攪拌機x1]-45、
2[大型攪拌機x1]-90、
3[大型攪拌機x1]-135、
4[大型攪拌機x1]-180、
5[大型攪拌機x1]-225</t>
  </si>
  <si>
    <t>1[大型攪拌機x1]-50、
2[大型攪拌機x1]-100、
3[大型攪拌機x1]-150、
4[大型攪拌機x1]-200、
5[大型攪拌機x1]-250</t>
  </si>
  <si>
    <t>1[大型攪拌機x1]-20、
2[大型攪拌機x1]-20、
3[大型攪拌機x1]-20、
4[大型攪拌機x1]-20、
5[大型攪拌機x1]-20</t>
  </si>
  <si>
    <t>MAB21C1C1P</t>
  </si>
  <si>
    <t>MAW20D302P</t>
  </si>
  <si>
    <t>AW20D3</t>
  </si>
  <si>
    <t>1[大型攪拌機x1]-40、
2[大型攪拌機x2]-80、
3[大型攪拌機x3]-120、
4[大型攪拌機x4]-160</t>
  </si>
  <si>
    <t>1[大型攪拌機x1]-50、
2[大型攪拌機x2]-100、
3[大型攪拌機x3]-150、
4[大型攪拌機x4]-200</t>
  </si>
  <si>
    <t>1[大型攪拌機x1]-10、
2[大型攪拌機x2]-15、
3[大型攪拌機x3]-20、
4[大型攪拌機x4]-25</t>
  </si>
  <si>
    <t>MAW20D402P</t>
  </si>
  <si>
    <t>AW20D4</t>
  </si>
  <si>
    <t>1[大型攪拌機x1]-55、
2[大型攪拌機x1]-110、
3[大型攪拌機x1]-165、
4[大型攪拌機x1]-220</t>
  </si>
  <si>
    <t>1[大型攪拌機x1]-10、
2[大型攪拌機x1]-10、
3[大型攪拌機x1]-10、
4[大型攪拌機x1]-10</t>
  </si>
  <si>
    <t>MAW20D502P</t>
  </si>
  <si>
    <t>AW20D5</t>
  </si>
  <si>
    <t>1[大型攪拌機x1]-105、
2[大型攪拌機x2]-135、
3[大型攪拌機x3]-165、
4[大型攪拌機x4]-195</t>
  </si>
  <si>
    <t>1[大型攪拌機x1]-15、
2[大型攪拌機x2]-20、
3[大型攪拌機x3]-25、
4[大型攪拌機x4]-30</t>
  </si>
  <si>
    <t>MAW20E1D1P</t>
  </si>
  <si>
    <t>AW20E1</t>
  </si>
  <si>
    <t>1[大型攪拌機x1&amp;超音波震盪機x1]-75、
2[大型攪拌機x1&amp;超音波震盪機x1]-150、
3[大型攪拌機x1&amp;超音波震盪機x1]-225</t>
  </si>
  <si>
    <t>1[大型攪拌機x1]-110、
2[大型攪拌機x1]-220、
3[大型攪拌機x1]-330</t>
  </si>
  <si>
    <t>MAW21C1K1P</t>
  </si>
  <si>
    <t>AW21C1</t>
  </si>
  <si>
    <t>1[大型攪拌機x1]-65、
2[大型攪拌機x1]-130、
3[大型攪拌機x1]-195、
4[大型攪拌機x1]-260</t>
  </si>
  <si>
    <t>1[大型攪拌機x1]-95、
2[大型攪拌機x1]-190、
3[大型攪拌機x1]-285、
4[大型攪拌機x1]-380</t>
  </si>
  <si>
    <t>1[大型攪拌機x1]-20、
2[大型攪拌機x1]-20、
3[大型攪拌機x1]-20、
4[大型攪拌機x1]-20</t>
  </si>
  <si>
    <t>1[大型攪拌機x1]-65、
2[大型攪拌機x1]-130、
3[大型攪拌機x1]-195</t>
  </si>
  <si>
    <t>1[400L大桶槽x1]-130、
2[400L大桶槽x1]-260、
3[400L大桶槽x1]-390</t>
  </si>
  <si>
    <t>1[400L大桶槽x1]-30、
2[400L大桶槽x1]-30、
3[400L大桶槽x1]-30</t>
  </si>
  <si>
    <t>AW21C4</t>
  </si>
  <si>
    <t>1[大型攪拌機x1]-55、</t>
  </si>
  <si>
    <t>1[400L大桶槽x1]-130、</t>
  </si>
  <si>
    <t>1[400L大桶槽x1]-30、</t>
  </si>
  <si>
    <t>1[大型攪拌機x1]-55、
2[大型攪拌機x1]-110、
3[大型攪拌機x1]-165</t>
  </si>
  <si>
    <t>MAW21C4R1T</t>
  </si>
  <si>
    <t>1[大型攪拌機x1]-130、
2[大型攪拌機x1]-260、
3[大型攪拌機x1]-390</t>
  </si>
  <si>
    <t>AW21E1</t>
  </si>
  <si>
    <t>1[]-45、
2[]-45、
3[]-45、
4[]-45</t>
  </si>
  <si>
    <t>1[50L真空乳化機x1]-130、
2[50L真空乳化機x1]-260、 
3[50L真空乳化機x1]-390、 
4[50L真空乳化機x1]-520</t>
  </si>
  <si>
    <t>1[50L真空乳化機x1]-30、
2[50L真空乳化機x1]-30、 
3[50L真空乳化機x1]-30、
4[50L真空乳化機x1]-30</t>
  </si>
  <si>
    <t>1[]-45、
2[]-45、
3[]-45</t>
  </si>
  <si>
    <t>1[100L真空乳化機x1]-180、
2[100L真空乳化機x1]-360</t>
  </si>
  <si>
    <t>1[100L真空乳化機x1]-40、
2[100L真空乳化機x1]-40</t>
  </si>
  <si>
    <t>MAW23D131P</t>
  </si>
  <si>
    <t>AW23D1</t>
  </si>
  <si>
    <t>1[]-25、
2[]-50、
3[]-75、
4[]-100、
5[]-125</t>
  </si>
  <si>
    <t>1[大型攪拌機x1]-85、
2[大型攪拌機x1]-170、
3[大型攪拌機x1]-255、
4[大型攪拌機x1]-340、
5[大型攪拌機x1]-425</t>
  </si>
  <si>
    <t>1[大型攪拌機x1]-15、
2[大型攪拌機x1]-15、
3[大型攪拌機x1]-15、
4[大型攪拌機x1]-15、
5[大型攪拌機x1]-15</t>
  </si>
  <si>
    <t>1[]-25、
2[]-45、
3[]-65、
4[]-85</t>
  </si>
  <si>
    <t>1[400L大桶槽x1]-105、
2[400L大桶槽x1]-210、
3[400L大桶槽x1]-315、
4[400L大桶槽x1]-440</t>
  </si>
  <si>
    <t>1[400L大桶槽x1]-30、
2[400L大桶槽x1]-30、
3[400L大桶槽x1]-30、
4[400L大桶槽x1]-30</t>
  </si>
  <si>
    <t>MAW24G101P</t>
  </si>
  <si>
    <t>AW24G1</t>
  </si>
  <si>
    <t>1[大型攪拌機x1]-55、
2[大型攪拌機x1]-55、
3[大型攪拌機x1]-55</t>
  </si>
  <si>
    <t>1[400L大桶槽x1]-105、
2[400L大桶槽x2]-210、
3[400L大桶槽x3]-345</t>
  </si>
  <si>
    <t>1[400L大桶槽x1]-30、
2[400L大桶槽x2]-30、
3[400L大桶槽x3]-30</t>
  </si>
  <si>
    <t>MAW24G111N</t>
  </si>
  <si>
    <t>MAW24G211N</t>
  </si>
  <si>
    <t>AW24G2</t>
  </si>
  <si>
    <t>1[]-55</t>
  </si>
  <si>
    <t>1[]-85</t>
  </si>
  <si>
    <t>1[]-10、
2[]-10、
3[]-10</t>
  </si>
  <si>
    <t>MAW25D1H1N</t>
  </si>
  <si>
    <t>AW25D1</t>
  </si>
  <si>
    <t>1[]-30
1[]-30</t>
  </si>
  <si>
    <t>1[大型攪拌機x1]-60
2[大型攪拌機x1]-120</t>
  </si>
  <si>
    <t>1[大型攪拌機x1]-15
2[大型攪拌機x1]-15</t>
  </si>
  <si>
    <t>MAW25D2H1N</t>
  </si>
  <si>
    <t>AW25D2</t>
  </si>
  <si>
    <t>1[]-30
2[]-30
3[]-30</t>
  </si>
  <si>
    <t>1[大型攪拌機x1]-60
2[大型攪拌機x1]-120
3[大型攪拌機x1]-180</t>
  </si>
  <si>
    <t>1[大型攪拌機x1]-15
2[大型攪拌機x1]-15
3[大型攪拌機x1]-15</t>
  </si>
  <si>
    <t>MAW25D3H1N</t>
  </si>
  <si>
    <t>AW25D3</t>
  </si>
  <si>
    <t>1[]-30
2[]-30</t>
  </si>
  <si>
    <t>MAW25D4H1N</t>
  </si>
  <si>
    <t>AW25D4</t>
  </si>
  <si>
    <t>MAW25D5H1N</t>
  </si>
  <si>
    <t>AW25D5</t>
  </si>
  <si>
    <t>MAW25D701P</t>
  </si>
  <si>
    <t>AW25D7</t>
  </si>
  <si>
    <t>雪肌肽美白安瓶</t>
  </si>
  <si>
    <t>MAW25M1H1N</t>
  </si>
  <si>
    <t>AW25M1</t>
  </si>
  <si>
    <t>MAW25M2H1N</t>
  </si>
  <si>
    <t>AW25M2</t>
  </si>
  <si>
    <t>前置10分鐘</t>
  </si>
  <si>
    <t>BQ18C1</t>
  </si>
  <si>
    <t>1[]-30、
2[]-60</t>
  </si>
  <si>
    <t>1[400L大桶槽x1]-130、
2[400L大桶槽x1]-260</t>
  </si>
  <si>
    <t>1[400L大桶槽x1]-30、
2[400L大桶槽x1]-30</t>
  </si>
  <si>
    <t>MBQ20D1F1P</t>
  </si>
  <si>
    <t>BQ20D1</t>
  </si>
  <si>
    <t>多元胜肽精華油30ml</t>
  </si>
  <si>
    <t>MBQ20D1H1P</t>
  </si>
  <si>
    <t>MBV19G1G2N</t>
  </si>
  <si>
    <t>BV19G1</t>
  </si>
  <si>
    <t>1[]-25、
2[]-25、
3[]-25、
4[]-25</t>
  </si>
  <si>
    <t>1[大型攪拌機x1&amp;400L大桶槽x1]-120、
2[大型攪拌機x1&amp;400L大桶槽x1]-240、
3[大型攪拌機x1&amp;400L大桶槽x1]-360、
4[大型攪拌機x1&amp;400L大桶槽x1]-480</t>
  </si>
  <si>
    <t>1[大型攪拌機x1&amp;400L大桶槽x1]-30、
2[大型攪拌機x1&amp;400L大桶槽x1]-30、
3[大型攪拌機x1&amp;400L大桶槽x1]-30、
4[大型攪拌機x1&amp;400L大桶槽x1]-30</t>
  </si>
  <si>
    <t>BV23G1</t>
  </si>
  <si>
    <t>MBV23H1T1T</t>
  </si>
  <si>
    <t>BV23H1</t>
  </si>
  <si>
    <t>1[大型攪拌機x1&amp;小型攪拌機x1]-95、
2[大型攪拌機x1&amp;小型攪拌機x1]-160、
3[大型攪拌機x1&amp;小型攪拌機x1]-225、
4[大型攪拌機x1&amp;小型攪拌機x1]-290</t>
  </si>
  <si>
    <t>1[大型攪拌機x1]-80、
2[大型攪拌機x1]-160、
3[大型攪拌機x1]-240、
4[大型攪拌機x1]-320</t>
  </si>
  <si>
    <t>1[大型攪拌機x1]-30、
2[大型攪拌機x1]-30、
3[大型攪拌機x1]-30、
4[大型攪拌機x1]-30</t>
  </si>
  <si>
    <t>MBX19D1D1P</t>
  </si>
  <si>
    <t>BX19D1</t>
  </si>
  <si>
    <t>A+E能量賦活油15ml</t>
  </si>
  <si>
    <t>1[大型攪拌機x1]-40、
2[大型攪拌機x1]-80、
3[大型攪拌機x1]-120</t>
  </si>
  <si>
    <t>1[大型攪拌機x1]-10、
2[大型攪拌機x1]-10、
3[大型攪拌機x1]-10</t>
  </si>
  <si>
    <t>MBX19D2C2N</t>
  </si>
  <si>
    <t>BX19D2</t>
  </si>
  <si>
    <t>1[大型攪拌機x1]-60、
2[大型攪拌機x1]-120、
3[大型攪拌機x1]-180、
4[大型攪拌機x1]-240、
5[大型攪拌機x1]-300</t>
  </si>
  <si>
    <t>1[大型攪拌機x1]-10、
2[大型攪拌機x1]-10、
3[大型攪拌機x1]-10、
4[大型攪拌機x1]-10、
5[大型攪拌機x1]-10</t>
  </si>
  <si>
    <t>BX21E1</t>
  </si>
  <si>
    <t>1[]-25、
2[]-33、
3[]-41、
4[]-49、
5[]-57</t>
  </si>
  <si>
    <t>1[50L真空乳化機x1]-125、
2[50L真空乳化機x1]-200、
3[50L真空乳化機x1]-275、
4[50L真空乳化機x1]-350、
5[50L真空乳化機x1]-425</t>
  </si>
  <si>
    <t>1[50L真空乳化機x1]-30、
2[50L真空乳化機x1]-30、
3[50L真空乳化機x1]-30、
4[50L真空乳化機x1]-30、
5[50L真空乳化機x1]-30</t>
  </si>
  <si>
    <t>MBX21F1E1N</t>
  </si>
  <si>
    <t>BX21F1</t>
  </si>
  <si>
    <t>1[]-30、
2[]-30、
3[]-30</t>
  </si>
  <si>
    <t>1[50L真空乳化機x1]-130、
2[50L真空乳化機x1]-230、 
3[50L真空乳化機x1]-330</t>
  </si>
  <si>
    <t>1[50L真空乳化機x1]-30、
2[50L真空乳化機x1]-30、 
3[50L真空乳化機x1]-30</t>
  </si>
  <si>
    <t>MBX23C1L1N</t>
  </si>
  <si>
    <t>BX23C1</t>
  </si>
  <si>
    <t>1[400L大桶槽x1]-100、
2[400L大桶槽x1]-200、
3[400L大桶槽x1]-300</t>
  </si>
  <si>
    <t>前置15min</t>
  </si>
  <si>
    <t>1[400L大桶槽x1]-40、
2[400L大桶槽x1]-40、
3[400L大桶槽x1]-40、</t>
  </si>
  <si>
    <t>MBX25E1J1N</t>
  </si>
  <si>
    <t>BX25E1</t>
  </si>
  <si>
    <t>1[]-25
2[]-33
3[]-41
4[]-49
5[]-57</t>
  </si>
  <si>
    <t>1[50L真空乳化機x1]-125
2[50L真空乳化機x1]-200
3[50L真空乳化機x1]-275
4[50L真空乳化機x1]-350
5[50L真空乳化機x1]-425</t>
  </si>
  <si>
    <t>1[50L真空乳化機x1]-30
2[50L真空乳化機x1]-30
3[50L真空乳化機x1]-30
4[50L真空乳化機x1]-30
5[50L真空乳化機x1]-30</t>
  </si>
  <si>
    <t>BY19P2</t>
  </si>
  <si>
    <t>1[]-25、
2[]-25、
3[]-25、
4[]-25、
5[]-25、
6[]-25</t>
  </si>
  <si>
    <t>1[50L真空乳化機x1&amp;500L大桶槽x1]-165、
2[50L真空乳化機x1&amp;500L大桶槽x1]-250、
3[50L真空乳化機x1&amp;500L大桶槽x1]-335、
4[50L真空乳化機x1&amp;500L大桶槽x1]-420、
5[50L真空乳化機x1&amp;500L大桶槽x1]-505、
6[50L真空乳化機x1&amp;500L大桶槽x1]-590</t>
  </si>
  <si>
    <t>1[50L真空乳化機x1]-30、
2[50L真空乳化機x1]-30、
3[50L真空乳化機x1]-30、
4[50L真空乳化機x1]-30、
5[50L真空乳化機x1]-30、
6[50L真空乳化機x1]-30</t>
  </si>
  <si>
    <t>1[]-25、
2[]-45</t>
  </si>
  <si>
    <t>前置35min</t>
  </si>
  <si>
    <t>BY20F1</t>
  </si>
  <si>
    <t>1[]-25、
2[]-25、
3[]-25</t>
  </si>
  <si>
    <t>1[50L真空乳化機x1]-160、
2[50L真空乳化機x1]-320、 
3[50L真空乳化機x1]-480</t>
  </si>
  <si>
    <t>1[50L真空乳化機x1]-40、
2[50L真空乳化機x1]-40、 
3[50L真空乳化機x1]-40</t>
  </si>
  <si>
    <t>MBY22E1N1P</t>
  </si>
  <si>
    <t>BY22E1</t>
  </si>
  <si>
    <t>1[50L真空乳化機x1&amp;500L大桶槽x1]-140、
2[50L真空乳化機x1&amp;500L大桶槽x1]-220、
3[50L真空乳化機x1&amp;500L大桶槽x1]-300、
4[50L真空乳化機x1&amp;500L大桶槽x1]-380、
5[50L真空乳化機x1&amp;500L大桶槽x1]-460</t>
  </si>
  <si>
    <t>1[50L真空乳化機x1&amp;500L大桶槽x1]-40、
2[50L真空乳化機x1&amp;500L大桶槽x1]-40、
3[50L真空乳化機x1&amp;500L大桶槽x1]-40、
4[50L真空乳化機x1&amp;500L大桶槽x1]-40、
5[50L真空乳化機x1&amp;500L大桶槽x1]-40</t>
  </si>
  <si>
    <t>1[大型攪拌機x1]-30、
2[大型攪拌機x1]-30、
3[大型攪拌機x1]-30</t>
  </si>
  <si>
    <t>1[100L真空乳化機x1]-190、
2[100L真空乳化機x1]-380、
3[100L真空乳化機x1]-570</t>
  </si>
  <si>
    <t>1[100L真空乳化機x1]-40、
2[100L真空乳化機x1]-40、
3[100L真空乳化機x1]-40</t>
  </si>
  <si>
    <t>BY22F1</t>
  </si>
  <si>
    <t>1[大型攪拌機x1]-70、
2[大型攪拌機x1]-140、
3[大型攪拌機x1]-210、
4[大型攪拌機x1]-280</t>
  </si>
  <si>
    <t>1[大型攪拌機x1]-40、
2[大型攪拌機x1]-80、
3[大型攪拌機x1]-120、
4[大型攪拌機x1]-160</t>
  </si>
  <si>
    <t>MBY22F2F1P</t>
  </si>
  <si>
    <t>BY22F2</t>
  </si>
  <si>
    <t>1[]-50、
2[]-80、
3[]-110、
4[]-140、
5[]-170</t>
  </si>
  <si>
    <t>1[大型攪拌機x1]-55、
2[大型攪拌機x1]-110、
3[大型攪拌機x1]-165、
4[大型攪拌機x1]-220、
5[大型攪拌機x1]-275</t>
  </si>
  <si>
    <t>BY23D1</t>
  </si>
  <si>
    <t>1[100L升溫桶槽x1]-160、
2[100L升溫桶槽x1]-320</t>
  </si>
  <si>
    <t>前置10min</t>
  </si>
  <si>
    <t>1[100L升溫桶槽x1]-30、
2[100L升溫桶槽x1]-30</t>
  </si>
  <si>
    <t>BY23D2</t>
  </si>
  <si>
    <t>1[大型攪拌機x1]-85、
2[大型攪拌機x1]-170、
3[大型攪拌機x1]-255、
4[大型攪拌機x1]-340</t>
  </si>
  <si>
    <t>MBY23D3F1P</t>
  </si>
  <si>
    <t>BY23D3</t>
  </si>
  <si>
    <t>MBY23E1F1P</t>
  </si>
  <si>
    <t>BY23E1</t>
  </si>
  <si>
    <t>1[]-30、
2[]-30、
3[]-30、
4[]-30、
5[]-30、</t>
  </si>
  <si>
    <t>1[50L真空乳化機x1]-130、
2[50L真空乳化機x1]-215、 
3[50L真空乳化機x1]-300、 
4[50L真空乳化機x1]-385、 
5[50L真空乳化機x1]-470</t>
  </si>
  <si>
    <t>1[50L真空乳化機x1]-30、
2[50L真空乳化機x1]-30、 
3[50L真空乳化機x1]-30、 
4[50L真空乳化機x1]-30、 
5[50L真空乳化機x1]-30</t>
  </si>
  <si>
    <t>1[]-30、
2[]-30</t>
  </si>
  <si>
    <t>BY23F1</t>
  </si>
  <si>
    <t>MBY23F2D1P</t>
  </si>
  <si>
    <t>BY23F2</t>
  </si>
  <si>
    <t>1[]-30、
2[]-50、
3[]-70、
4[]-80</t>
  </si>
  <si>
    <t>1[50L真空乳化機x1]-125、
2[50L真空乳化機x1]-210、 
3[50L真空乳化機x1]-295、 
4[50L真空乳化機x1]-380、 
5[50L真空乳化機x1]-465</t>
  </si>
  <si>
    <t>1[]-20、
2[]-20</t>
  </si>
  <si>
    <t>MBY23H1G1P</t>
  </si>
  <si>
    <t>BY23H1</t>
  </si>
  <si>
    <t>1[]-35、
2[]-55、
3[]-75、
4[]-95</t>
  </si>
  <si>
    <t>1[大型攪拌機x1]-125、
2[大型攪拌機x1]-250、
3[大型攪拌機x1]-375、
4[大型攪拌機x1]-500</t>
  </si>
  <si>
    <t>前置5min</t>
  </si>
  <si>
    <t>MBY23H4F1P</t>
  </si>
  <si>
    <t>BY23H4</t>
  </si>
  <si>
    <t>1[50L真空乳化機x1]-130、
2[50L真空乳化機x1]-230、 
3[50L真空乳化機x1]-330、 
4[50L真空乳化機x1]-430</t>
  </si>
  <si>
    <t>1[50L真空乳化機x1]-30、
2[50L真空乳化機x1]-30、 
3[50L真空乳化機x1]-30、 
4[50L真空乳化機x1]-30</t>
  </si>
  <si>
    <t>MBY23H5F1P</t>
  </si>
  <si>
    <t>BY23H5</t>
  </si>
  <si>
    <t>MBY23H6G1P</t>
  </si>
  <si>
    <t>BY23H6</t>
  </si>
  <si>
    <t>1[超音波震盪機x1&amp;小型攪拌機x1&amp;大型攪拌機x1]-105、
2[超音波震盪機x1&amp;小型攪拌機x1&amp;大型攪拌機x1]-210</t>
  </si>
  <si>
    <t>1[大型攪拌機x1&amp;50L真空乳化機x1]-115、
2[大型攪拌機x1&amp;50L真空乳化機x1]-230</t>
  </si>
  <si>
    <t>MBY24B1F1P</t>
  </si>
  <si>
    <t>BY24B1</t>
  </si>
  <si>
    <t>MBY24B2F1P</t>
  </si>
  <si>
    <t>BY24B2</t>
  </si>
  <si>
    <t>1[大型攪拌機x1]-90、
2[大型攪拌機x1]-180、
3[大型攪拌機x1]-270、
4[大型攪拌機x1]-360</t>
  </si>
  <si>
    <t>MBY24B3K1P</t>
  </si>
  <si>
    <t>BY24B3</t>
  </si>
  <si>
    <t>PUR%CENT 32%胺基酸+B3煙醯胺溫和潔淨洗顏霜100ml</t>
  </si>
  <si>
    <t>1[500L大桶槽x1]-315</t>
  </si>
  <si>
    <t>1[500L大桶槽x1]-60</t>
  </si>
  <si>
    <t>MBY24D1D1P</t>
  </si>
  <si>
    <t>BY24D1</t>
  </si>
  <si>
    <t>1[大型攪拌機x1]-60、
2[大型攪拌機x1]-120、
3[大型攪拌機x1]-180、
4[大型攪拌機x1]-240、
5[大型攪拌機x1]-300、
6[大型攪拌機x1]-360、
6[大型攪拌機x1]-420</t>
  </si>
  <si>
    <t>1[大型攪拌機x1]-15、
2[大型攪拌機x1]-15、
3[大型攪拌機x1]-15、
4[大型攪拌機x1]-15、
5[大型攪拌機x1]-15、
6[大型攪拌機x1]-15、
7[大型攪拌機x1]-15</t>
  </si>
  <si>
    <t>MBY24D3F1P</t>
  </si>
  <si>
    <t>BY24D3</t>
  </si>
  <si>
    <t>1[]-20、
2[]-20、
3[]-20、
4[]-20、
5[]-20</t>
  </si>
  <si>
    <t>1[大型攪拌機x1]-80、
2[大型攪拌機x1]-160、
3[大型攪拌機x1]-240、
4[大型攪拌機x1]-320、
5[大型攪拌機x1]-400</t>
  </si>
  <si>
    <t>MBY24D4D1P</t>
  </si>
  <si>
    <t>BY24D4</t>
  </si>
  <si>
    <t>1[]-25
2[]-25
3[]-25
4[]-25</t>
  </si>
  <si>
    <t>1[大型攪拌機x1&amp;50L真空乳化機x1]-90、
2[大型攪拌機x1&amp;50L真空乳化機x1]-175、
3[大型攪拌機x1&amp;50L真空乳化機x1]-265、
4[大型攪拌機x1&amp;50L真空乳化機x1]-355</t>
  </si>
  <si>
    <t>1[大型攪拌機x1&amp;50L真空乳化機x1]-20、
2[大型攪拌機x1&amp;50L真空乳化機x1]-20、
3[大型攪拌機x1&amp;50L真空乳化機x1]-20、
4[大型攪拌機x1&amp;50L真空乳化機x1]-20</t>
  </si>
  <si>
    <t>MBY24D6F1P</t>
  </si>
  <si>
    <t>BY24D6</t>
  </si>
  <si>
    <t>1[]-30、
2[]-38、
3[]-46、
4[]-54、
5[]-62</t>
  </si>
  <si>
    <t>1[50L真空乳化機x1]-140、
2[50L真空乳化機x1]-215、
3[50L真空乳化機x1]-290、
4[50L真空乳化機x1]-365、
5[50L真空乳化機x1]-440</t>
  </si>
  <si>
    <t>MBY24D7F1P</t>
  </si>
  <si>
    <t>BY24D7</t>
  </si>
  <si>
    <t>1[大型攪拌機x2]-75、
2[大型攪拌機x2]-150、
3[大型攪拌機x2]-225、
4[大型攪拌機x2]-300、
5[大型攪拌機x2]-375</t>
  </si>
  <si>
    <t>1[大型攪拌機x2]-15、
2[大型攪拌機x2]-15、
3[大型攪拌機x2]-15、
4[大型攪拌機x2]-15、
5[大型攪拌機x2]-15</t>
  </si>
  <si>
    <t>1[100L升溫桶槽x1]-335</t>
  </si>
  <si>
    <t>1[100L升溫桶槽x1]-30</t>
  </si>
  <si>
    <t>MBY24D9D1P</t>
  </si>
  <si>
    <t>BY24D9</t>
  </si>
  <si>
    <t>1[大型攪拌機x1]-40
2[大型攪拌機x1]-80
3[大型攪拌機x1]-120</t>
  </si>
  <si>
    <t>1[大型攪拌機x1]-10
2[大型攪拌機x1]-10
3[大型攪拌機x1]-10</t>
  </si>
  <si>
    <t>MBY24E2F1P</t>
  </si>
  <si>
    <t>BY24E2</t>
  </si>
  <si>
    <t>1[]-25、
2[]-25</t>
  </si>
  <si>
    <t>1[100L真空乳化機x1]-190、
2[100L真空乳化機x1]-380</t>
  </si>
  <si>
    <t>MBY24E3E1P</t>
  </si>
  <si>
    <t>BY24E3</t>
  </si>
  <si>
    <t>1[]-25、
2[]-25、
3[]-25、
4[]-25、
5[]-25</t>
  </si>
  <si>
    <t>1[50L真空乳化機x1]-130、
2[50L真空乳化機x1]-220、
3[50L真空乳化機x1]-310、
4[50L真空乳化機x1]-400、
5[50L真空乳化機x1]-490</t>
  </si>
  <si>
    <t>MBY24H1G1P</t>
  </si>
  <si>
    <t>BY24H1</t>
  </si>
  <si>
    <t>1[超音波震盪機x1&amp;小型攪拌機x1&amp;大型攪拌機x1]-105、
2[超音波震盪機x1&amp;小型攪拌機x1&amp;大型攪拌機x1]-135</t>
  </si>
  <si>
    <t>MBY25D1F1P</t>
  </si>
  <si>
    <t>BY25D1</t>
  </si>
  <si>
    <t>MBY25D2F1P</t>
  </si>
  <si>
    <t>BY25D2</t>
  </si>
  <si>
    <t>1[]-20
2[]-20
3[]-20
4[]-20
5[]-20</t>
  </si>
  <si>
    <t>1[大型攪拌機x1]-80
2[大型攪拌機x1]-160
3[大型攪拌機x1]-240
4[大型攪拌機x1]-320
5[大型攪拌機x1]-400</t>
  </si>
  <si>
    <t>1[大型攪拌機x1]-15
2[大型攪拌機x1]-15
3[大型攪拌機x1]-15
4[大型攪拌機x1]-15
5[大型攪拌機x1]-15</t>
  </si>
  <si>
    <t>MBY25E1D1P</t>
  </si>
  <si>
    <t>BY25E1</t>
  </si>
  <si>
    <t>1[大型攪拌機x1]-110
2[大型攪拌機x1]-220
3[大型攪拌機x1]-330
4[大型攪拌機x1]-440</t>
  </si>
  <si>
    <t>1[大型攪拌機x1]-20
2[大型攪拌機x1]-20
3[大型攪拌機x1]-20
4[大型攪拌機x1]-20</t>
  </si>
  <si>
    <t>MBY25E2F1P</t>
  </si>
  <si>
    <t>BY25E2</t>
  </si>
  <si>
    <t>1[]-30、
2[]-38、
3[]-46、
4[]-54、
5[]-62、
6[]-70</t>
  </si>
  <si>
    <t>MBY25E5F1P</t>
  </si>
  <si>
    <t>BY25E5</t>
  </si>
  <si>
    <t>BB 10%神經醯胺修護精華乳30ML</t>
  </si>
  <si>
    <t>1[]-30、
2[]-38、
3[]-46</t>
  </si>
  <si>
    <t>1[100L真空乳化機x1]-170、
2[100L真空乳化機x1]-340、
3[100L真空乳化機x1]-510</t>
  </si>
  <si>
    <t>1[100L真空乳化機x1]-30、
2[100L真空乳化機x1]-30、
3[100L真空乳化機x1]-30</t>
  </si>
  <si>
    <t>MBY25H1G1P</t>
  </si>
  <si>
    <t>BY25H1</t>
  </si>
  <si>
    <t>1[]-20
2[]-20
3[]-20
4[]-20</t>
  </si>
  <si>
    <t>1[50L真空乳化機x1&amp;100L升溫桶槽x1]-140、
2[50L真空乳化機x1&amp;100L升溫桶槽x1]-240、
3[50L真空乳化機x1&amp;100L升溫桶槽x1]-340、
4[50L真空乳化機x1&amp;100L升溫桶槽x1]-440</t>
  </si>
  <si>
    <t>1[50L真空乳化機x1&amp;100L升溫桶槽x1]-90、
2[50L真空乳化機x1&amp;100L升溫桶槽x1]-90、
3[50L真空乳化機x1&amp;100L升溫桶槽x1]-90、
4[50L真空乳化機x1&amp;100L升溫桶槽x1]-90</t>
  </si>
  <si>
    <t>MBY25H2G1P</t>
  </si>
  <si>
    <t>BY25H2</t>
  </si>
  <si>
    <t>MBY25P2N1T</t>
  </si>
  <si>
    <t>BY25P2</t>
  </si>
  <si>
    <t>1[]-30、
2[]-30、
3[]-30、
4[]-30、
5[]-30、
6[]-30</t>
  </si>
  <si>
    <t>1[]-25、
2[]-35、
3[]-45</t>
  </si>
  <si>
    <t>1[100L真空乳化機x1]-165、
2[100L真空乳化機x1]-330、
3[100L真空乳化機x1]-495</t>
  </si>
  <si>
    <t>MBY25P3N1T</t>
  </si>
  <si>
    <t>BY25P3</t>
  </si>
  <si>
    <t>1[50L真空乳化機x1&amp;500L大桶槽x1]-160、
2[50L真空乳化機x1&amp;500L大桶槽x1]-240、
3[50L真空乳化機x1&amp;500L大桶槽x1]-320、
4[50L真空乳化機x1&amp;500L大桶槽x1]-400、
5[50L真空乳化機x1&amp;500L大桶槽x1]-480、
6[50L真空乳化機x1&amp;500L大桶槽x1]-560</t>
  </si>
  <si>
    <t>1[50L真空乳化機x1&amp;500L大桶槽x1]-30、
2[50L真空乳化機x1&amp;500L大桶槽x1]-30、
3[50L真空乳化機x1&amp;500L大桶槽x1]-30、
4[50L真空乳化機x1&amp;500L大桶槽x1]-30、
5[50L真空乳化機x1&amp;500L大桶槽x1]-30、
6[50L真空乳化機x1&amp;500L大桶槽x1]-30</t>
  </si>
  <si>
    <t>DA19F2</t>
  </si>
  <si>
    <t>1[大型攪拌機x1]-80、
2[大型攪拌機x2]-120、
3[大型攪拌機x3]-145</t>
  </si>
  <si>
    <t xml:space="preserve">製造前兩天開始預攪前一天預攪40分鐘  </t>
  </si>
  <si>
    <t>1[大型攪拌機x1]-45、
2[大型攪拌機x1]-90</t>
  </si>
  <si>
    <t>1[大型攪拌機x1]-10、
2[大型攪拌機x1]-10</t>
  </si>
  <si>
    <t>MDA19F3H1P</t>
  </si>
  <si>
    <t>DA19F3</t>
  </si>
  <si>
    <t>1[]-70、
2[]-140</t>
  </si>
  <si>
    <t>1[大型攪拌機x1]-135、
2[大型攪拌機x1]-270</t>
  </si>
  <si>
    <t>1[大型攪拌機x1]-15、
2[大型攪拌機x1]-15</t>
  </si>
  <si>
    <t>MDA19G111N</t>
  </si>
  <si>
    <t>DA19G1</t>
  </si>
  <si>
    <t>1[400L大桶槽x1]-90、
2[400L大桶槽x1]-180、
3[400L大桶槽x1]-270、
4[400L大桶槽x1]-360</t>
  </si>
  <si>
    <t>MDA23G111N</t>
  </si>
  <si>
    <t>DA23G1</t>
  </si>
  <si>
    <t xml:space="preserve">AYCE iMeiMei舒緩美胸敷膜25ML(裸片) </t>
  </si>
  <si>
    <t>1[400L大桶槽x1]-100、
2[400L大桶槽x1]-200、
3[400L大桶槽x1]-300、
4[400L大桶槽x1]-400</t>
  </si>
  <si>
    <t>1[400L大桶槽x1&amp;大型攪拌機x1]-30、
2[400L大桶槽x1&amp;大型攪拌機x1]-30、
3[400L大桶槽x1&amp;大型攪拌機x1]-30、
4[400L大桶槽x1&amp;大型攪拌機x1]-30</t>
  </si>
  <si>
    <t>MDB23P1Q1N</t>
  </si>
  <si>
    <t>DB23P1</t>
  </si>
  <si>
    <t>1[]-40、
2[]-40</t>
  </si>
  <si>
    <t>1[100L真空乳化機x1]-200、
2[100L真空乳化機x1]-400</t>
  </si>
  <si>
    <t>MDB23P2H1N</t>
  </si>
  <si>
    <t>DB23P2</t>
  </si>
  <si>
    <t>MDB23Q1Q1N</t>
  </si>
  <si>
    <t>DB23Q1</t>
  </si>
  <si>
    <t>1[500L大桶槽x1&amp;大型攪拌機x1]-315</t>
  </si>
  <si>
    <t>1[500L大桶槽x1&amp;大型攪拌機x1]-30</t>
  </si>
  <si>
    <t>DC23B1</t>
  </si>
  <si>
    <t>1[100L升溫桶槽x1]-150、
2[100L升溫桶槽x1]-300、
3[100L升溫桶槽x1]-450</t>
  </si>
  <si>
    <t>1[100L升溫桶槽x1]-30、
2[100L升溫桶槽x1]-30、
3[100L升溫桶槽x1]-30</t>
  </si>
  <si>
    <t>MDC23C1K1P</t>
  </si>
  <si>
    <t>DC23C1</t>
  </si>
  <si>
    <t>1[]-20、
2[]-40、
3[]-50、
4[]-60、
5[]-70</t>
  </si>
  <si>
    <t>1[400L大桶槽x1]-60、
2[400L大桶槽x1]-120、
3[400L大桶槽x1]-180、
4[400L大桶槽x1]-240、
5[400L大桶槽x1]-300</t>
  </si>
  <si>
    <t>1[400L大桶槽x1]-30、
2[400L大桶槽x1]-30、
3[400L大桶槽x1]-30、
4[400L大桶槽x1]-30、
5[400L大桶槽x1]-30</t>
  </si>
  <si>
    <t>1[]-20、
2[]-40、
3[]-50、
4[]-60、
5[]-70、
6[]-80、
7[]-90、
8[]-100</t>
  </si>
  <si>
    <t>1[大型攪拌機x1]-45、
2[大型攪拌機x1]-90、
3[大型攪拌機x1]-135、
4[大型攪拌機x1]-180、
5[大型攪拌機x1]-225、
6[大型攪拌機x1]-270、
7[大型攪拌機x1]-315、
8[大型攪拌機x1]-360</t>
  </si>
  <si>
    <t>1[大型攪拌機x1]-10、
2[大型攪拌機x1]-10、
3[大型攪拌機x1]-10、
4[大型攪拌機x1]-10、
5[大型攪拌機x1]-10、
6[大型攪拌機x1]-10、
7[大型攪拌機x1]-10、
8[大型攪拌機x1]-10</t>
  </si>
  <si>
    <t>MDC23C2K1P</t>
  </si>
  <si>
    <t>DC23C2</t>
  </si>
  <si>
    <t>1[]-20、
2[]-40、
3[]-60、
4[]-80</t>
  </si>
  <si>
    <t>MDC23C3K1P</t>
  </si>
  <si>
    <t>DC23C3</t>
  </si>
  <si>
    <t>1[]-20、
2[]-35、
3[]-45、
4[]-55、
5[]-65、
6[]-75、
7[]-85、
8[]-95、
9[]-105</t>
  </si>
  <si>
    <t>1[大型攪拌機x1]-35、
2[大型攪拌機x1]-70、
3[大型攪拌機x1]-105、
4[大型攪拌機x1]-140、
5[大型攪拌機x1]-175、
6[大型攪拌機x1]-210、
7[大型攪拌機x1]-245、
8[大型攪拌機x1]-280、
9[大型攪拌機x1]-315</t>
  </si>
  <si>
    <t>1[大型攪拌機x1]-10、
2[大型攪拌機x1]-10、
3[大型攪拌機x1]-10、
4[大型攪拌機x1]-10、
5[大型攪拌機x1]-10、
6[大型攪拌機x1]-10、
7[大型攪拌機x1]-10、
8[大型攪拌機x1]-10、
9[大型攪拌機x1]-10</t>
  </si>
  <si>
    <t>MDC23D1H1P</t>
  </si>
  <si>
    <t>DC23D1</t>
  </si>
  <si>
    <t>1[400L大桶槽x1]-40、
2[400L大桶槽x1]-40、
3[400L大桶槽x1]-40、
4[400L大桶槽x1]-40</t>
  </si>
  <si>
    <t>DC23D2</t>
  </si>
  <si>
    <t>1[大型攪拌機x1]-30、
2[大型攪拌機x1]-60、
3[大型攪拌機x1]-90、
4[大型攪拌機x1]-120、
5[大型攪拌機x1]-150、
6[大型攪拌機x1]-180、
7[大型攪拌機x1]-210、
8[大型攪拌機x1]-240、
9[大型攪拌機x1]-270、
10[大型攪拌機x1]-300</t>
  </si>
  <si>
    <t>1[大型攪拌機x1]-15、
2[大型攪拌機x1]-15、
3[大型攪拌機x1]-15、
4[大型攪拌機x1]-15、
5[大型攪拌機x1]-15、
6[大型攪拌機x1]-15、
7[大型攪拌機x1]-15、
8[大型攪拌機x1]-15、
9[大型攪拌機x1]-15、
10[大型攪拌機x1]-15</t>
  </si>
  <si>
    <t>MDC23E1H1P</t>
  </si>
  <si>
    <t>DC23E1</t>
  </si>
  <si>
    <t>1[50L真空乳化機x1&amp;500L大桶槽x1]-135、
2[50L真空乳化機x1&amp;500L大桶槽x1]-220、
3[50L真空乳化機x1&amp;500L大桶槽x1]-305、
4[50L真空乳化機x1&amp;500L大桶槽x1]-390、
5[50L真空乳化機x1&amp;500L大桶槽x1]-475</t>
  </si>
  <si>
    <t>DC23G2</t>
  </si>
  <si>
    <t>1[400L大桶槽x1]-120、
2[400L大桶槽x1]-240、
3[400L大桶槽x1]-360、
4[400L大桶槽x1]-480</t>
  </si>
  <si>
    <t>DC23H1</t>
  </si>
  <si>
    <t>1[大型攪拌機x1]-125、
2[大型攪拌機x1]-250、
3[大型攪拌機x1]-315、
4[大型攪拌機x1]-420</t>
  </si>
  <si>
    <t>MDC24B1H1P</t>
  </si>
  <si>
    <t>DC24B1</t>
  </si>
  <si>
    <t>1[]-35、
2[]-70</t>
  </si>
  <si>
    <t>1[大型攪拌機x1]-155、
2[大型攪拌機x1]-310</t>
  </si>
  <si>
    <t>MDC24D1D1P</t>
  </si>
  <si>
    <t>DC24D1</t>
  </si>
  <si>
    <t>1[]-25</t>
  </si>
  <si>
    <t>1[]-80</t>
  </si>
  <si>
    <t>1[]-15</t>
  </si>
  <si>
    <t>MDC24E1H1P</t>
  </si>
  <si>
    <t>DC24E1</t>
  </si>
  <si>
    <t>1[50L真空乳化機x1]-125、
2[50L真空乳化機x1]-230、 
3[50L真空乳化機x1]-325、 
4[50L真空乳化機x1]-420</t>
  </si>
  <si>
    <t>MDC25E1H1P</t>
  </si>
  <si>
    <t>DC25E1</t>
  </si>
  <si>
    <t>DD20D1</t>
  </si>
  <si>
    <t>1[]-65、
2[]-130、
3[]-195、
4[]-260</t>
  </si>
  <si>
    <t>1[]-10、
2[]-10、
3[]-10、
4[]-10</t>
  </si>
  <si>
    <t>DD20D2</t>
  </si>
  <si>
    <t>MDD21D1D1N</t>
  </si>
  <si>
    <t>DD21D1</t>
  </si>
  <si>
    <t>Rose Lifting Oil15ML</t>
  </si>
  <si>
    <t>1[]-50</t>
  </si>
  <si>
    <t>1[大型攪拌機*1]-60</t>
  </si>
  <si>
    <t>1[大型攪拌機*1]-20</t>
  </si>
  <si>
    <t>MDD21D2F2N</t>
  </si>
  <si>
    <t>DD21D2</t>
  </si>
  <si>
    <t>GHK-Cu Anti-Aging Essence30ML</t>
  </si>
  <si>
    <t>1[大型攪拌機*1]-85</t>
  </si>
  <si>
    <t>1[大型攪拌機*1]-90</t>
  </si>
  <si>
    <t>MDD21H1F1P</t>
  </si>
  <si>
    <t>DD21H1</t>
  </si>
  <si>
    <t>1[小型攪拌機x1&amp;大型攪拌機x1]-60、
2[小型攪拌機x1&amp;大型攪拌機x1]-60、
3[小型攪拌機x1&amp;大型攪拌機x1]-60</t>
  </si>
  <si>
    <t>1[大型攪拌機x1&amp;50L真空乳化機x1]-125、
2[大型攪拌機x1&amp;50L真空乳化機x1]-250、
3[大型攪拌機x1&amp;50L真空乳化機x1]-375</t>
  </si>
  <si>
    <t>MDD21H2F1P</t>
  </si>
  <si>
    <t>DD21H2</t>
  </si>
  <si>
    <t>1[超音波震盪機x1&amp;小型攪拌機x1&amp;大型攪拌機x1]-70、
2[超音波震盪機x1&amp;小型攪拌機x1&amp;大型攪拌機x1]-70、
3[超音波震盪機x1&amp;小型攪拌機x1&amp;大型攪拌機x1]-70</t>
  </si>
  <si>
    <t>1[大型攪拌機x1&amp;50L真空乳化機x1]-150、
2[大型攪拌機x1&amp;50L真空乳化機x1]-300、
3[大型攪拌機x1&amp;50L真空乳化機x1]-450</t>
  </si>
  <si>
    <t>MDF25D1F1P</t>
  </si>
  <si>
    <t>DF25D1</t>
  </si>
  <si>
    <t>1[大型攪拌機x1]-40
2[大型攪拌機x1]-80
3[大型攪拌機x1]-120
4[大型攪拌機x1]-160</t>
  </si>
  <si>
    <t>DJ20H1</t>
  </si>
  <si>
    <t>1[]-75、
2[]-150</t>
  </si>
  <si>
    <t>1[50L真空乳化機x1]-165、
2[50L真空乳化機x1]-330</t>
  </si>
  <si>
    <t>1[50L真空乳化機x1]-90、
2[50L真空乳化機x1]-180</t>
  </si>
  <si>
    <t>MDT24B1R1N</t>
  </si>
  <si>
    <t>DT24B1</t>
  </si>
  <si>
    <t>1[]-50、
2[]-70、
3[]-90、
4[]-110</t>
  </si>
  <si>
    <t>1[400L大桶槽x1]-80、
2[400L大桶槽x1]-160、
3[400L大桶槽x1]-240、
4[400L大桶槽x1]-320</t>
  </si>
  <si>
    <t>MDX20C1M1P</t>
  </si>
  <si>
    <t>DX20C1</t>
  </si>
  <si>
    <t>1[]-50、
2[]-100、
3[]-150、
4[]-200</t>
  </si>
  <si>
    <t>MDX20D1F1P</t>
  </si>
  <si>
    <t>DX20D1</t>
  </si>
  <si>
    <t>1[]-20、
2[]-20、
3[]-20、
4[]-20</t>
  </si>
  <si>
    <t>1[大型攪拌機x1]-100、
2[大型攪拌機x1]-200、
3[大型攪拌機x1]-300、
4[大型攪拌機x1]-400</t>
  </si>
  <si>
    <t>MDX20E1H1P</t>
  </si>
  <si>
    <t>DX20E1</t>
  </si>
  <si>
    <t>1[]-20、
2[]-20、
3[]-20</t>
  </si>
  <si>
    <t>1[50L真空乳化機x1]-140、
2[50L真空乳化機x1]-280、 
3[50L真空乳化機x1]-320</t>
  </si>
  <si>
    <t>MDX20E2H1P</t>
  </si>
  <si>
    <t>DX20E2</t>
  </si>
  <si>
    <t>MDX20F1D1P</t>
  </si>
  <si>
    <t>DX20F1</t>
  </si>
  <si>
    <t>MDX20G131P</t>
  </si>
  <si>
    <t>DX20G1</t>
  </si>
  <si>
    <t>1[400L大桶槽x1]-110、
2[400L大桶槽x1]-220、
3[400L大桶槽x1]-330、
4[400L大桶槽x1]-440</t>
  </si>
  <si>
    <t>EH20P2</t>
  </si>
  <si>
    <t>1[大型攪拌機x1]-80、
2[大型攪拌機x1]-160、
3[大型攪拌機x1]-240</t>
  </si>
  <si>
    <t>前置40分鐘</t>
  </si>
  <si>
    <t>1[50L真空乳化機x1]-45、
2[50L真空乳化機x1]-45、 
3[50L真空乳化機x1]-45</t>
  </si>
  <si>
    <t>EH22P1</t>
  </si>
  <si>
    <t>1[]-35、
2[]-35、
3[]-35、
4[]-35</t>
  </si>
  <si>
    <t>1[500L大桶槽x1&amp;50L真空乳化機x1&amp;大型攪拌機x1]-140、
2[500L大桶槽x1&amp;50L真空乳化機x1&amp;大型攪拌機x1]-240、
3[500L大桶槽x1&amp;50L真空乳化機x1&amp;大型攪拌機x1]-340、
4[500L大桶槽x1&amp;50L真空乳化機x1&amp;大型攪拌機x1]-440</t>
  </si>
  <si>
    <t>1[500L大桶槽x1&amp;50L真空乳化機x1&amp;大型攪拌機x1]-40、
2[500L大桶槽x1&amp;50L真空乳化機x1&amp;大型攪拌機x1]-40、
3[500L大桶槽x1&amp;50L真空乳化機x1&amp;大型攪拌機x1]-40、
4[500L大桶槽x1&amp;50L真空乳化機x1&amp;大型攪拌機x1]-40</t>
  </si>
  <si>
    <t>MEJ21D1D1P</t>
  </si>
  <si>
    <t>EJ21D1</t>
  </si>
  <si>
    <t>Lanolin Nipple Cream</t>
  </si>
  <si>
    <t>1[烘箱x1&amp;超音波震盪機x1]-240、
2[烘箱x1&amp;超音波震盪機x1]-480、</t>
  </si>
  <si>
    <t>1[大型攪拌機x1]-60、
2[大型攪拌機x1]-120</t>
  </si>
  <si>
    <t>MEJ21E1L1P</t>
  </si>
  <si>
    <t>EJ21E1</t>
  </si>
  <si>
    <t>1[大型攪拌機x1&amp;小型攪拌機x1]-75、
2[大型攪拌機x1&amp;小型攪拌機x1]-150、
3[大型攪拌機x1&amp;小型攪拌機x1]-225</t>
  </si>
  <si>
    <t>1[50L真空乳化機x1]-130、
2[50L真空乳化機x1]-260、 
3[50L真空乳化機x1]-390</t>
  </si>
  <si>
    <t>MEQ24E1</t>
  </si>
  <si>
    <t>EQ24E1</t>
  </si>
  <si>
    <t>積雪草B5修護凝乳</t>
  </si>
  <si>
    <t>1[大型攪拌機x1]-90、
2[大型攪拌機x1]-180、
3[大型攪拌機x1]-270、
4[大型攪拌機x1]-360、
5[大型攪拌機x1]-450</t>
  </si>
  <si>
    <t>MER20C1P1P</t>
  </si>
  <si>
    <t>ER20C1</t>
  </si>
  <si>
    <t>1[]-70、
2[]-140、
3[]-210</t>
  </si>
  <si>
    <t>1[400L大桶槽x1&amp;大型攪拌機x1]-130、
2[400L大桶槽x1&amp;大型攪拌機x1]-260、
3[400L大桶槽x1&amp;大型攪拌機x1]-390</t>
  </si>
  <si>
    <t>1[400L大桶槽x1&amp;大型攪拌機x1]-30、
2[400L大桶槽x1&amp;大型攪拌機x1]-30、
3[400L大桶槽x1&amp;大型攪拌機x1]-30</t>
  </si>
  <si>
    <t>MER20D1F1P</t>
  </si>
  <si>
    <t>ER20D1</t>
  </si>
  <si>
    <t>1[大型攪拌機x1&amp;小型攪拌機x1]-100、
2[大型攪拌機x1&amp;小型攪拌機x1]-200、
3[大型攪拌機x1&amp;小型攪拌機x1]-300、
4[大型攪拌機x1&amp;小型攪拌機x1]-400</t>
  </si>
  <si>
    <t>1[大型攪拌機x1&amp;小型攪拌機x1]-110、
2[大型攪拌機x1&amp;小型攪拌機x1]-220、
3[大型攪拌機x1&amp;小型攪拌機x1]-330、
4[大型攪拌機x1&amp;小型攪拌機x1]-440</t>
  </si>
  <si>
    <t>1[大型攪拌機x1&amp;小型攪拌機x1]-30、
2[大型攪拌機x1&amp;小型攪拌機x1]-30、
3[大型攪拌機x1&amp;小型攪拌機x1]-30、
4[大型攪拌機x1&amp;小型攪拌機x1]-30</t>
  </si>
  <si>
    <t>MER20D2F1P</t>
  </si>
  <si>
    <t>ER20D2</t>
  </si>
  <si>
    <t>1[大型攪拌機x1]-50、
2[大型攪拌機x1]-100、
3[大型攪拌機x1]-150、
4[大型攪拌機x1]-200</t>
  </si>
  <si>
    <t>MER20E2H1P</t>
  </si>
  <si>
    <t>ER20E2</t>
  </si>
  <si>
    <t>1[大型攪拌機x1]-50、
2[大型攪拌機x1]-65、
3[大型攪拌機x1]-75</t>
  </si>
  <si>
    <t>MER20F1F1P</t>
  </si>
  <si>
    <t>ER20F1</t>
  </si>
  <si>
    <t>1[大型攪拌機x1&amp;超音波震盪機x1]-70、
2[大型攪拌機x1&amp;超音波震盪機x1]-140、
3[大型攪拌機x1&amp;超音波震盪機x1]-210</t>
  </si>
  <si>
    <t>MER23E1H1P</t>
  </si>
  <si>
    <t>ER23E1</t>
  </si>
  <si>
    <t>1[大型攪拌機x1]-60、
2[大型攪拌機x1]-60、
3[大型攪拌機x1]-60</t>
  </si>
  <si>
    <t>1[50L真空乳化機x1&amp;500L大桶槽x1]-140、
2[50L真空乳化機x1&amp;500L大桶槽x1]-215、
3[50L真空乳化機x1&amp;500L大桶槽x1]-290、
4[50L真空乳化機x1&amp;500L大桶槽x1]-365、
5[50L真空乳化機x1&amp;500L大桶槽x1]-440、
6[50L真空乳化機x1&amp;500L大桶槽x1]-515</t>
  </si>
  <si>
    <t>1[50L真空乳化機x1&amp;500L大桶槽x1]-40、
2[50L真空乳化機x1&amp;500L大桶槽x1]-40、
3[50L真空乳化機x1&amp;500L大桶槽x1]-40、
4[50L真空乳化機x1&amp;500L大桶槽x1]-40、
5[50L真空乳化機x1&amp;500L大桶槽x1]-40、
6[50L真空乳化機x1&amp;500L大桶槽x1]-40</t>
  </si>
  <si>
    <t>MET21B1N1T</t>
  </si>
  <si>
    <t>ET21B1</t>
  </si>
  <si>
    <t>1[]-20、
2[]-40</t>
  </si>
  <si>
    <t>1[400L大桶槽x1&amp;大型攪拌機x1]-180、
2[400L大桶槽x1&amp;大型攪拌機x1]-360</t>
  </si>
  <si>
    <t>1[400L大桶槽x1&amp;大型攪拌機x1]-30、
2[400L大桶槽x1&amp;大型攪拌機x1]-30</t>
  </si>
  <si>
    <t>ET21D1</t>
  </si>
  <si>
    <t>MET21E1D1N</t>
  </si>
  <si>
    <t>ET21E1</t>
  </si>
  <si>
    <t>1[50L真空乳化機x1]-150、
2[50L真空乳化機x1]-300、 
3[50L真空乳化機x1]-450</t>
  </si>
  <si>
    <t>1[100L真空乳化機x1]-180、
2[100L真空乳化機x1]-345、 
3[100L真空乳化機x1]-510</t>
  </si>
  <si>
    <t>1[100L真空乳化機x1]-40、
2[100L真空乳化機x1]-40、 
3[100L真空乳化機x1]-40</t>
  </si>
  <si>
    <t>ET21E2</t>
  </si>
  <si>
    <t>EU21C1</t>
  </si>
  <si>
    <t>1[]-70、
2[]-85、
3[]-120</t>
  </si>
  <si>
    <t>1[400L大桶槽x1]-70、
2[400L大桶槽x1]-140、
3[400L大桶槽x1]-210、
4[400L大桶槽x1]-280、
5[400L大桶槽x1]-350、
6[400L大桶槽x1]-420</t>
  </si>
  <si>
    <t>1[400L大桶槽x1]-30、
2[400L大桶槽x1]-30、
3[400L大桶槽x1]-30、
4[400L大桶槽x1]-30、
5[400L大桶槽x1]-30、
6[400L大桶槽x1]-30</t>
  </si>
  <si>
    <t>1[50L真空乳化機x1&amp;大型攪拌機x1]-80、
2[50L真空乳化機x1&amp;大型攪拌機x1]-160、
3[50L真空乳化機x1&amp;大型攪拌機x1]-240、
4[50L真空乳化機x1&amp;大型攪拌機x1]-320、
5[50L真空乳化機x1&amp;大型攪拌機x1]-400、
6[50L真空乳化機x1&amp;大型攪拌機x1]-480</t>
  </si>
  <si>
    <t>1[50L真空乳化機x1&amp;大型攪拌機x1]-30、
2[50L真空乳化機x1&amp;大型攪拌機x1]-30、
3[50L真空乳化機x1&amp;大型攪拌機x1]-30、
4[50L真空乳化機x1&amp;大型攪拌機x1]-30、
5[50L真空乳化機x1&amp;大型攪拌機x1]-30、
6[50L真空乳化機x1&amp;大型攪拌機x1]-30</t>
  </si>
  <si>
    <t>MEU21D1G1P</t>
  </si>
  <si>
    <t>EU21D1</t>
  </si>
  <si>
    <t>1[大型攪拌機x1]-85、
2[大型攪拌機x1]-110</t>
  </si>
  <si>
    <t>1[大型攪拌機x1]-160、
2[大型攪拌機x1]-320</t>
  </si>
  <si>
    <t>MEU21D2F1P</t>
  </si>
  <si>
    <t>EU21D2</t>
  </si>
  <si>
    <t>1[大型攪拌機x1]-95、
2[大型攪拌機x2]-125、
3[大型攪拌機x2]-155</t>
  </si>
  <si>
    <t>不可分料</t>
  </si>
  <si>
    <t>EU21D3</t>
  </si>
  <si>
    <t>EU21D4</t>
  </si>
  <si>
    <t>1[大型攪拌機x1]-55、
2[大型攪拌機x2]-110、
3[大型攪拌機x1]-165、
4[大型攪拌機x1]-220</t>
  </si>
  <si>
    <t>1[大型攪拌機x1]-60、
2[大型攪拌機x1]-120、
3[大型攪拌機x1]-180、
4[大型攪拌機x1]-240</t>
  </si>
  <si>
    <t>EU21D5</t>
  </si>
  <si>
    <t>1[400L大桶槽x1&amp;大型攪拌機x1]-70、
2[400L大桶槽x1&amp;大型攪拌機x1]-140、
3[400L大桶槽x1&amp;大型攪拌機x1]-210、
4[400L大桶槽x1&amp;大型攪拌機x1]-280、
5[400L大桶槽x1&amp;大型攪拌機x1]-350</t>
  </si>
  <si>
    <t>1[400L大桶槽x1&amp;大型攪拌機x1]-30、
2[400L大桶槽x1&amp;大型攪拌機x1]-30、
3[400L大桶槽x1&amp;大型攪拌機x1]-30、
4[400L大桶槽x1&amp;大型攪拌機x1]-30、
5[400L大桶槽x1&amp;大型攪拌機x1]-30</t>
  </si>
  <si>
    <t>1[大型攪拌機x1]-70、
2[大型攪拌機x1]-140、
3[大型攪拌機x1]-210、
4[大型攪拌機x1]-280、
5[大型攪拌機x1]-350</t>
  </si>
  <si>
    <t>MEU21E1J1P</t>
  </si>
  <si>
    <t>EU21E1</t>
  </si>
  <si>
    <t>1[]-140、
2[]-140</t>
  </si>
  <si>
    <t>1[50L真空乳化機x1&amp;500L大桶槽x1]-140、
2[50L真空乳化機x1&amp;500L大桶槽x1]-225、
3[50L真空乳化機x1&amp;500L大桶槽x1]-310、
4[50L真空乳化機x1&amp;500L大桶槽x1]-395、
5[50L真空乳化機x1&amp;500L大桶槽x1]-480</t>
  </si>
  <si>
    <t>1[]-135、
2[]-135</t>
  </si>
  <si>
    <t>1[100L真空乳化機x1]-170、
2[100L真空乳化機x1]-340</t>
  </si>
  <si>
    <t>1[100L真空乳化機x1]-30、
2[100L真空乳化機x1]-30</t>
  </si>
  <si>
    <t>EU22A1</t>
  </si>
  <si>
    <t>1[]-25、
2[]-50</t>
  </si>
  <si>
    <t xml:space="preserve"> 分料用藍桶(206kg) 
 &amp;白桶(161.5kg)</t>
  </si>
  <si>
    <t>1[400L大桶槽x1]-320、
2[400L大桶槽x1]-640</t>
  </si>
  <si>
    <t>前置金箔3hr
 前置製造15min</t>
  </si>
  <si>
    <t>1[400L大桶槽x1]-50、
2[400L大桶槽x1]-50</t>
  </si>
  <si>
    <t>MEU22D1F1P</t>
  </si>
  <si>
    <t>EU22D1</t>
  </si>
  <si>
    <t>1[大型攪拌機x1]-45、
2[大型攪拌機x1]-90、
3[大型攪拌機x1]-135</t>
  </si>
  <si>
    <t>1[400L大桶槽x1&amp;超音波震盪機x1]-120、
2[400L大桶槽x1&amp;超音波震盪機x1]-240、
3[400L大桶槽x1&amp;超音波震盪機x1]-360</t>
  </si>
  <si>
    <t>1[400L大桶槽x1&amp;超音波震盪機x1]-40、
2[400L大桶槽x1&amp;超音波震盪機x1]-40、
3[400L大桶槽x1&amp;超音波震盪機x1]-40</t>
  </si>
  <si>
    <t>1[大型攪拌機x1]-45、
2[大型攪拌機x1]-90、
3[大型攪拌機x1]-135、
4[大型攪拌機x1]-180</t>
  </si>
  <si>
    <t>1[大型攪拌機x1&amp;超音波震盪機x1]-80、
2[大型攪拌機x1&amp;超音波震盪機x1]-160、
3[大型攪拌機x1&amp;超音波震盪機x1]-240、
4[大型攪拌機x1&amp;超音波震盪機x1]-320</t>
  </si>
  <si>
    <t>1[大型攪拌機x1&amp;超音波震盪機x1]-20、
2[大型攪拌機x1&amp;超音波震盪機x1]-20、
3[大型攪拌機x1&amp;超音波震盪機x1]-20、
4[大型攪拌機x1&amp;超音波震盪機x1]-20</t>
  </si>
  <si>
    <t>EU22D2</t>
  </si>
  <si>
    <t>1[大型攪拌機x2]-60、
2[大型攪拌機x2]-120、
3[大型攪拌機x2]-180、
4[大型攪拌機x2]-240</t>
  </si>
  <si>
    <t>1[大型攪拌機x1]-25、
2[大型攪拌機x1]-25、
3[大型攪拌機x1]-25、
4[大型攪拌機x1]-25</t>
  </si>
  <si>
    <t>MEU22E1J1P</t>
  </si>
  <si>
    <t>EU22E1</t>
  </si>
  <si>
    <t>1[超音波震盪機x1&amp;大型攪拌機x1]-105、
2[超音波震盪機x1&amp;大型攪拌機x1]-105、
3[超音波震盪機x1&amp;大型攪拌機x1]-105</t>
  </si>
  <si>
    <t>1[50L真空乳化機x1&amp;大型攪拌機x1]-150、
2[50L真空乳化機x1&amp;大型攪拌機x1]-300、
3[50L真空乳化機x1&amp;大型攪拌機x1]-450</t>
  </si>
  <si>
    <t>1[50L真空乳化機x1&amp;大型攪拌機x1]-30、
2[50L真空乳化機x1&amp;大型攪拌機x1]-30、
3[50L真空乳化機x1&amp;大型攪拌機x1]-30</t>
  </si>
  <si>
    <t>1[超音波震盪機x1&amp;大型攪拌機x1]-135、
2[超音波震盪機x1&amp;大型攪拌機x1]-270</t>
  </si>
  <si>
    <t>1[100L真空乳化機x1&amp;大型攪拌機x1]-200、
2[100L真空乳化機x1&amp;大型攪拌機x1]-400</t>
  </si>
  <si>
    <t>1[100L真空乳化機x1&amp;大型攪拌機x1]-40、
2[100L真空乳化機x1&amp;大型攪拌機x1]-40</t>
  </si>
  <si>
    <t>MEU22E2J1P</t>
  </si>
  <si>
    <t>EU22E2</t>
  </si>
  <si>
    <t>1[50L真空乳化機x1&amp;大型攪拌機x1]-160、
1[50L真空乳化機x1&amp;大型攪拌機x1]-320、
1[50L真空乳化機x1&amp;大型攪拌機x1]-480、</t>
  </si>
  <si>
    <t>金箔35min製程125min
 前置35min</t>
  </si>
  <si>
    <t>1[50L真空乳化機x1&amp;大型攪拌機x1]-30、
1[50L真空乳化機x1&amp;大型攪拌機x1]-30、
1[50L真空乳化機x1&amp;大型攪拌機x1]-30、</t>
  </si>
  <si>
    <t>EU22H1</t>
  </si>
  <si>
    <t>1[大型攪拌機x1&amp;小型攪拌機x1&amp;超音波震盪機x1]-60、
2[大型攪拌機x1&amp;小型攪拌機x1&amp;超音波震盪機x1]-120、
3[大型攪拌機x1&amp;小型攪拌機x1&amp;超音波震盪機x1]-180、</t>
  </si>
  <si>
    <t>1[大型攪拌機x1&amp;50L真空乳化機x1]-120、
2[大型攪拌機x1&amp;50L真空乳化機x1]-240、
3[大型攪拌機x1&amp;50L真空乳化機x1]-360</t>
  </si>
  <si>
    <t>1[大型攪拌機x1&amp;50L真空乳化機x1]-105、
2[大型攪拌機x1&amp;50L真空乳化機x1]-105、
3[大型攪拌機x1&amp;50L真空乳化機x1]-105</t>
  </si>
  <si>
    <t>MEU24C1L1P</t>
  </si>
  <si>
    <t>EU24C1</t>
  </si>
  <si>
    <t>1[大型攪拌機x1]-80、
2[大型攪拌機x2]-110</t>
  </si>
  <si>
    <t>1[400L大桶槽x1、落地型均質機x1]-130、
2[400L大桶槽x1、落地型均質機x1]-260</t>
  </si>
  <si>
    <t>MEU24C1D1P</t>
  </si>
  <si>
    <t>1[大型攪拌機x1、落地型均質機x1]-130</t>
  </si>
  <si>
    <t>1[大型攪拌機x1、落地型均質機x1]-30</t>
  </si>
  <si>
    <t>MEU24C2D1P</t>
  </si>
  <si>
    <t>EU24C2</t>
  </si>
  <si>
    <t>M1TA</t>
  </si>
  <si>
    <t>M2EA</t>
  </si>
  <si>
    <t>MEU24C2L1P</t>
  </si>
  <si>
    <t>MEU24P1N1P</t>
  </si>
  <si>
    <t>EU24P1</t>
  </si>
  <si>
    <t>MFF24E1H1P</t>
  </si>
  <si>
    <t>FF24E1</t>
  </si>
  <si>
    <t>1[50L真空乳化機x1]-125、
2[50L真空乳化機x1]-220、 
3[50L真空乳化機x1]-300</t>
  </si>
  <si>
    <t>FH21B1</t>
  </si>
  <si>
    <t>1[500L大桶槽x1]-280</t>
  </si>
  <si>
    <t>前置21分鐘</t>
  </si>
  <si>
    <t>1[500L大桶槽x1]-30</t>
  </si>
  <si>
    <t>FH21C1</t>
  </si>
  <si>
    <t>FH21D1</t>
  </si>
  <si>
    <t>1[大型攪拌機x1]-90、
2[大型攪拌機x2]-110、
3[大型攪拌機x3]-130</t>
  </si>
  <si>
    <t>1[大型攪拌機x1]-50、
2[大型攪拌機x1]-100、
3[大型攪拌機x1]-150</t>
  </si>
  <si>
    <t>FH21E1</t>
  </si>
  <si>
    <t>1[50L真空乳化機x1&amp;100L升溫桶槽x1]-155、
2[50L真空乳化機x1&amp;100L升溫桶槽x1]-240、
3[50L真空乳化機x1&amp;500L大桶槽x1]-325、
4[50L真空乳化機x1&amp;500L大桶槽x1]-410、
5[50L真空乳化機x1&amp;500L大桶槽x1]-495</t>
  </si>
  <si>
    <t>前置15分鐘(已含入)</t>
  </si>
  <si>
    <t>1[50L真空乳化機x1&amp;100L升溫桶槽x1]-40、
2[50L真空乳化機x1&amp;100L升溫桶槽x1]-40、
3[50L真空乳化機x1&amp;500L大桶槽x1]-40、
4[50L真空乳化機x1&amp;500L大桶槽x1]-40、
5[50L真空乳化機x1&amp;500L大桶槽x1]-40</t>
  </si>
  <si>
    <t>FH21G1</t>
  </si>
  <si>
    <t>1[400L大桶槽x1]-115、
2[400L大桶槽x1]-230、
3[400L大桶槽x1]-345、
4[400L大桶槽x1]-460</t>
  </si>
  <si>
    <t>FH21Q1</t>
  </si>
  <si>
    <t>FY22D1</t>
  </si>
  <si>
    <t>1[]-190、
2[]-380</t>
  </si>
  <si>
    <t>醇</t>
  </si>
  <si>
    <t>1[]-10、
2[]-10</t>
  </si>
  <si>
    <t>1[]-40、
2[]-80、
3[]-120、
4[]-160、
5[]-200</t>
  </si>
  <si>
    <t>油</t>
  </si>
  <si>
    <t>1[]-15、
2[]-15、
3[]-15、
4[]-15、
5[]-15</t>
  </si>
  <si>
    <t>MGD22H1H1P</t>
  </si>
  <si>
    <t>GD22H1</t>
  </si>
  <si>
    <t>MGF23F1F1P</t>
  </si>
  <si>
    <t>GF23F1</t>
  </si>
  <si>
    <t>1[超音波震盪機x1&amp;小型攪拌機x1&amp;大型攪拌機x1]-75、
2[超音波震盪機x1&amp;小型攪拌機x1&amp;大型攪拌機x1]-150、
2[超音波震盪機x1&amp;小型攪拌機x1&amp;大型攪拌機x1]-225</t>
  </si>
  <si>
    <t>1[大型攪拌機x1]-120、
2[大型攪拌機x1]-240、
3[大型攪拌機x1]-360</t>
  </si>
  <si>
    <t>1[大型攪拌機x1]-20、
2[大型攪拌機x1]-20、
3[大型攪拌機x1]-20</t>
  </si>
  <si>
    <t>MGF24H1H1P</t>
  </si>
  <si>
    <t>GF24H1</t>
  </si>
  <si>
    <t>1[50L真空乳化機x1]-140、
2[50L真空乳化機x1]-240、
3[50L真空乳化機x1]-340、
4[50L真空乳化機x1]-440</t>
  </si>
  <si>
    <t>1[50L真空乳化機x1]-90、
2[50L真空乳化機x1]-90、
3[50L真空乳化機x1]-90、
4[50L真空乳化機x1]-90</t>
  </si>
  <si>
    <t>MGF25D1F1P</t>
  </si>
  <si>
    <t>GF25D1</t>
  </si>
  <si>
    <t>MGG22H1F1P</t>
  </si>
  <si>
    <t>GG22H1</t>
  </si>
  <si>
    <t>1[大型攪拌機x1]-40、
2[大型攪拌機x1]-80</t>
  </si>
  <si>
    <t>1[大型攪拌機x1]-175、
2[大型攪拌機x1]-350</t>
  </si>
  <si>
    <t>1[大型攪拌機x1]-20、
2[大型攪拌機x1]-20</t>
  </si>
  <si>
    <t>MGG24D1F1P</t>
  </si>
  <si>
    <t>GG24D1</t>
  </si>
  <si>
    <t>1[大型攪拌機x2]-75
2[大型攪拌機x2]-150
3[大型攪拌機x2]-225
4[大型攪拌機x2]-300
5[大型攪拌機x2]-375</t>
  </si>
  <si>
    <t>1[大型攪拌機x2]-15
2[大型攪拌機x2]-15
3[大型攪拌機x2]-15
4[大型攪拌機x2]-15
5[大型攪拌機x2]-15</t>
  </si>
  <si>
    <t>GU22H2</t>
  </si>
  <si>
    <t>1[]-35、
2[]-55、
3[]-75</t>
  </si>
  <si>
    <t>1[大型攪拌機x1]-125、
2[大型攪拌機x1]-250、
3[大型攪拌機x1]-375</t>
  </si>
  <si>
    <t>MGU23B1M1P</t>
  </si>
  <si>
    <t>GU23B1</t>
  </si>
  <si>
    <t>1[大型攪拌機x1]-25、
2[大型攪拌機x1]-25、
3[大型攪拌機x1]-25、
4[大型攪拌機x1]-25、
5[大型攪拌機x1]-25</t>
  </si>
  <si>
    <t>MGU24A1K1P</t>
  </si>
  <si>
    <t>GU24A1</t>
  </si>
  <si>
    <t>MGU24C1K1P</t>
  </si>
  <si>
    <t>GU24C1</t>
  </si>
  <si>
    <t xml:space="preserve">蓓朵娜 360° 光速淡斑美白激活露100ml </t>
  </si>
  <si>
    <t>1[]-20、
2[]-40、
3[]-60、
4[]-80、
5[]-100</t>
  </si>
  <si>
    <t>1[400L大桶槽x1]-80、
2[400L大桶槽x1]-160、
3[400L大桶槽x1]-240、
4[400L大桶槽x1]-320、
5[400L大桶槽x1]-400</t>
  </si>
  <si>
    <t>MGU24D1F1P</t>
  </si>
  <si>
    <t>GU24D1</t>
  </si>
  <si>
    <t>MGU24D2H1P</t>
  </si>
  <si>
    <t>GU24D2</t>
  </si>
  <si>
    <t>MGU25D1E1P</t>
  </si>
  <si>
    <t>GU25D1</t>
  </si>
  <si>
    <t>MGU25E1F1P</t>
  </si>
  <si>
    <t>GU25E1</t>
  </si>
  <si>
    <t>1[]-30、
2[大型攪拌機x1]-30、
3[大型攪拌機x1]-30</t>
  </si>
  <si>
    <t>1[大型攪拌機x1、50L真空乳化機x1]-120、
2[大型攪拌機x1、50L真空乳化機x1]-240、
3[大型攪拌機x1、50L真空乳化機x1]-360</t>
  </si>
  <si>
    <t>1[大型攪拌機x1、50L真空乳化機x1]-60、
2[大型攪拌機x1、50L真空乳化機x1]-60、
3[大型攪拌機x1、50L真空乳化機x1]-60</t>
  </si>
  <si>
    <t>MGU25E2F1P</t>
  </si>
  <si>
    <t>GU25E2</t>
  </si>
  <si>
    <t>1[50L真空乳化機x1]-180、
2[50L真空乳化機x1]-300、
3[50L真空乳化機x1]-420</t>
  </si>
  <si>
    <t>1[50L真空乳化機x1]-30、
2[50L真空乳化機x1]-30、
3[50L真空乳化機x1]-30</t>
  </si>
  <si>
    <t>MHB22A1P1P</t>
  </si>
  <si>
    <t>HB22A1</t>
  </si>
  <si>
    <t>1[400L大桶槽x1]-45、
2[400L大桶槽x1]-45、
3[400L大桶槽x1]-45、
4[400L大桶槽x1]-45</t>
  </si>
  <si>
    <t>MHB22E1E1P</t>
  </si>
  <si>
    <t>HB22E1</t>
  </si>
  <si>
    <t>1[大型攪拌機x1]-70、
2[大型攪拌機x1]-140、
3[大型攪拌機x1]-210</t>
  </si>
  <si>
    <t>1[50L真空乳化機x1&amp;大型攪拌機x1]-130、
2[50L真空乳化機x1&amp;大型攪拌機x1]-260、
3[50L真空乳化機x1&amp;大型攪拌機x1]-390</t>
  </si>
  <si>
    <t>MHC22B1M1P</t>
  </si>
  <si>
    <t>HC22B1</t>
  </si>
  <si>
    <t>HC22H1</t>
  </si>
  <si>
    <t>1[小型攪拌機x1&amp;超音波震盪機x1]-45、
2[小型攪拌機x1&amp;超音波震盪機x1]-45、
3[小型攪拌機x1&amp;超音波震盪機x1]-90、
4[小型攪拌機x1&amp;超音波震盪機x1]-90</t>
  </si>
  <si>
    <t>HC23P1</t>
  </si>
  <si>
    <t>1[50L真空乳化機x1]-130、
2[50L真空乳化機x1]-230、 
3[50L真空乳化機x1]-330、
4[50L真空乳化機x1]-430、 
5[50L真空乳化機x1]-530</t>
  </si>
  <si>
    <t>1[50L真空乳化機x1]-30、
2[50L真空乳化機x1]-30、 
3[50L真空乳化機x1]-30、
4[50L真空乳化機x1]-30、 
5[50L真空乳化機x1]-30</t>
  </si>
  <si>
    <t>MHC24C1K1P</t>
  </si>
  <si>
    <t>HC24C1</t>
  </si>
  <si>
    <t xml:space="preserve">未來美超級雙C美白高機能前導精露100ml </t>
  </si>
  <si>
    <t>1[大型攪拌機x1]-80、
2[大型攪拌機x2]-100、
3[大型攪拌機x2]-150</t>
  </si>
  <si>
    <t>MHC24H1H1P</t>
  </si>
  <si>
    <t>HC24H1</t>
  </si>
  <si>
    <t>MHC24H2J1P</t>
  </si>
  <si>
    <t>HC24H2</t>
  </si>
  <si>
    <t>1[大型攪拌機x1]-45、
2[小型攪拌機x1&amp;大型攪拌機x1]-65、
3[小型攪拌機x1&amp;大型攪拌機x1]-85、
4[小型攪拌機x1&amp;大型攪拌機x1]-105</t>
  </si>
  <si>
    <t>1[大型攪拌機x1&amp;50L真空乳化機x1]-115、
2[大型攪拌機x1&amp;50L真空乳化機x1]-230、
3[大型攪拌機x1&amp;50L真空乳化機x1]-345、
4[大型攪拌機x1&amp;50L真空乳化機x1]-460</t>
  </si>
  <si>
    <t>1[大型攪拌機x1&amp;50L真空乳化機x1]-90、
2[大型攪拌機x1&amp;50L真空乳化機x1]-90、
3[大型攪拌機x1&amp;50L真空乳化機x1]-90、
4[大型攪拌機x1&amp;50L真空乳化機x1]-90</t>
  </si>
  <si>
    <t>MHE22D1C1N</t>
  </si>
  <si>
    <t>HE22D1</t>
  </si>
  <si>
    <t>1[大型攪拌機x1]-100</t>
  </si>
  <si>
    <t>1[大型攪拌機x1]-30</t>
  </si>
  <si>
    <t>HJ23D1</t>
  </si>
  <si>
    <t>1[大型攪拌機x1]-100、
2[大型攪拌機x1]-200、
3[大型攪拌機x1]-300</t>
  </si>
  <si>
    <t>1[大型攪拌機x1]-160、
2[大型攪拌機x1]-320、
3[大型攪拌機x1]-480</t>
  </si>
  <si>
    <t>HJ23D2</t>
  </si>
  <si>
    <t>MHJ23D3F1P</t>
  </si>
  <si>
    <t>HJ23D3</t>
  </si>
  <si>
    <t>MHJ23D4F1P</t>
  </si>
  <si>
    <t>HJ23D4</t>
  </si>
  <si>
    <t>MHJ23D551P</t>
  </si>
  <si>
    <t>HJ23D5</t>
  </si>
  <si>
    <t>1[大型攪拌機x1]-65、
2[大型攪拌機x1]-130、
3[大型攪拌機x1]-195、
4[大型攪拌機x1]-260、
5[大型攪拌機x1]-325</t>
  </si>
  <si>
    <t>1[大型攪拌機x1]-30、
2[大型攪拌機x1]-30、
3[大型攪拌機x1]-30、
4[大型攪拌機x1]-30、
5[大型攪拌機x1]-30</t>
  </si>
  <si>
    <t>HJ23E1</t>
  </si>
  <si>
    <t>1[小型攪拌機x1]-35、
2[小型攪拌機x1]-70、
3[小型攪拌機x1]-105</t>
  </si>
  <si>
    <t>1[50L真空乳化機x1]-125、
2[50L真空乳化機x1]-250、 
3[50L真空乳化機x1]-375</t>
  </si>
  <si>
    <t>MHJ23M151P</t>
  </si>
  <si>
    <t>HJ23M1</t>
  </si>
  <si>
    <t>1[]-20、
2[]-20、
3[]-20、
4[]-20、
5[]-20、
6[]-20、
7[]-20、
8[]-20、
9[]-20、
10[]-20、
11[]-20、
12[]-20、
13[]-20</t>
  </si>
  <si>
    <t>1[大型攪拌機x1]-35、
2[大型攪拌機x1]-70、
3[大型攪拌機x1]-105、
4[大型攪拌機x1]-140、
5[大型攪拌機x1]-175、
6[大型攪拌機x1]-210、
7[大型攪拌機x1]-245、
8[大型攪拌機x1]-280、
9[大型攪拌機x1]-315、
10[大型攪拌機x1]-350、
11[大型攪拌機x1]-385、
12[大型攪拌機x1]-420、
13[大型攪拌機x1]-455</t>
  </si>
  <si>
    <t>1[大型攪拌機x1]-10、
2[大型攪拌機x1]-10、
3[大型攪拌機x1]-10、
4[大型攪拌機x1]-10、
5[大型攪拌機x1]-10、
6[大型攪拌機x1]-10、
7[大型攪拌機x1]-10、
8[大型攪拌機x1]-10、
9[大型攪拌機x1]-10、
10[大型攪拌機x1]-10、
11[大型攪拌機x1]-10、
12[大型攪拌機x1]-10、
13[大型攪拌機x1]-10</t>
  </si>
  <si>
    <t>MHJ24D1_ _ _</t>
  </si>
  <si>
    <t>MHJ25M1F1P</t>
  </si>
  <si>
    <t>HJ25M1</t>
  </si>
  <si>
    <t>MHJ25M2B1N</t>
  </si>
  <si>
    <t>HJ25M2</t>
  </si>
  <si>
    <t>MHL24G1D1N</t>
  </si>
  <si>
    <t>HL24G1</t>
  </si>
  <si>
    <t>1[]-20、
2[]-35、
3[]-45、
4[]-55</t>
  </si>
  <si>
    <t>1[400L大桶槽x1]-115、
2[400L大桶槽x2]-230、
3[400L大桶槽x3]-345、
4[400L大桶槽x4]-460</t>
  </si>
  <si>
    <t>1[400L大桶槽x1]-30、
2[400L大桶槽x2]-30、
3[400L大桶槽x3]-30、
4[400L大桶槽x4]-30</t>
  </si>
  <si>
    <t>MHM23C1M1P</t>
  </si>
  <si>
    <t>HM23C1</t>
  </si>
  <si>
    <t>1[]-20、
2[]-35、
3[]-50、
4[]-65</t>
  </si>
  <si>
    <t>HM23D1</t>
  </si>
  <si>
    <t>HM23D2</t>
  </si>
  <si>
    <t>MHM23D3F1P</t>
  </si>
  <si>
    <t>HM23D3</t>
  </si>
  <si>
    <t>1[大型攪拌機x1&amp;小型攪拌機x1]-100、
2[大型攪拌機x1]-110、
3[大型攪拌機x1]-110</t>
  </si>
  <si>
    <t>1[大型攪拌機x2&amp;小型攪拌機x1]-130、
2[大型攪拌機x2&amp;小型攪拌機x1]-195、
3[大型攪拌機x2&amp;小型攪拌機x1]-275</t>
  </si>
  <si>
    <t>1[大型攪拌機x2&amp;小型攪拌機x1]-30、
2[大型攪拌機x2&amp;小型攪拌機x1]-30、
3[大型攪拌機x2&amp;小型攪拌機x1]-30</t>
  </si>
  <si>
    <t>MHM23D4F1P</t>
  </si>
  <si>
    <t>HM23D4</t>
  </si>
  <si>
    <t>1[大型攪拌機x1]-30
2[大型攪拌機x1]-30
3[大型攪拌機x3]-70
4[大型攪拌機x4]-70
5[大型攪拌機x5]-70</t>
  </si>
  <si>
    <t>1[大型攪拌機x1]-75、
2[大型攪拌機x1]-150、
3[大型攪拌機x1]-225、
4[大型攪拌機x1]-300、
5[大型攪拌機x1]-375</t>
  </si>
  <si>
    <t>MHM24E1H1P</t>
  </si>
  <si>
    <t>HM24E1</t>
  </si>
  <si>
    <t>MHR23C1L1P</t>
  </si>
  <si>
    <t>HR23C1</t>
  </si>
  <si>
    <t>1[]-40、
2[]-60、
3[]-75</t>
  </si>
  <si>
    <t>MHR23D1G1P</t>
  </si>
  <si>
    <t>HR23D1</t>
  </si>
  <si>
    <t>1[]-35、
2[]-55、
3[]-75、
4[]-95、
5[]-115</t>
  </si>
  <si>
    <t>1[大型攪拌機x1]-60、
2[大型攪拌機x1]-120、
3[大型攪拌機x1]-180、
4[大型攪拌機x1]-240、
5[大型攪拌機x1]-300、
6[大型攪拌機x1]-360</t>
  </si>
  <si>
    <t>水</t>
  </si>
  <si>
    <t>1[大型攪拌機x1]-15、
2[大型攪拌機x1]-15、
3[大型攪拌機x1]-15、
4[大型攪拌機x1]-15、
5[大型攪拌機x1]-15、
6[大型攪拌機x1]-15</t>
  </si>
  <si>
    <t>1[大型攪拌機x1]-30、
2[大型攪拌機x1]-60、
3[大型攪拌機x1]-90、
4[大型攪拌機x1]-120、
5[大型攪拌機x1]-150、
6[大型攪拌機x1]-180、
7[大型攪拌機x1]-210、
8[大型攪拌機x1]-240、
9[大型攪拌機x1]-270、
10[大型攪拌機x1]-300、
11[大型攪拌機x1]-330、
12[大型攪拌機x1]-360</t>
  </si>
  <si>
    <t>1[大型攪拌機x1]-10、
2[大型攪拌機x1]-10、
3[大型攪拌機x1]-10、
4[大型攪拌機x1]-10、
5[大型攪拌機x1]-10、
6[大型攪拌機x1]-10、
7[大型攪拌機x1]-10、
8[大型攪拌機x1]-10、
9[大型攪拌機x1]-10、
10[大型攪拌機x1]-10、
11[大型攪拌機x1]-10、
12[大型攪拌機x1]-10</t>
  </si>
  <si>
    <t>MHR23E1H1P</t>
  </si>
  <si>
    <t>HR23E1</t>
  </si>
  <si>
    <t>MHR24D1F1P</t>
  </si>
  <si>
    <t>HR24D1</t>
  </si>
  <si>
    <t>1[大型攪拌機x1&amp;小型攪拌機x1]-100、
2[大型攪拌機x1&amp;小型攪拌機x1]-110、
3[大型攪拌機x1&amp;小型攪拌機x1]-110</t>
  </si>
  <si>
    <t>1[大型攪拌機x2&amp;小型攪拌機x1]-115、
2[大型攪拌機x2&amp;小型攪拌機x1]-195、
3[大型攪拌機x2&amp;小型攪拌機x1]-275</t>
  </si>
  <si>
    <t>1[大型攪拌機x2&amp;小型攪拌機x1]-50、
2[大型攪拌機x2&amp;小型攪拌機x1]-50、
3[大型攪拌機x2&amp;小型攪拌機x1]-50</t>
  </si>
  <si>
    <t>MHR24G151P</t>
  </si>
  <si>
    <t>HR24G1</t>
  </si>
  <si>
    <t>1[大型攪拌機x1]-65、
2[大型攪拌機x2]-65、
3[大型攪拌機x3]-65、
4[大型攪拌機x4]-65</t>
  </si>
  <si>
    <t>MHT24E1H1P</t>
  </si>
  <si>
    <t>HT24E1</t>
  </si>
  <si>
    <t>1[大型攪拌機x1]-40、
2[大型攪拌機x1]-40、
3[大型攪拌機x1]-40</t>
  </si>
  <si>
    <t>1[50L真空乳化機x1]-120、
2[50L真空乳化機x1]-215、 
3[50L真空乳化機x1]-295</t>
  </si>
  <si>
    <t>MHW23F1W1N</t>
  </si>
  <si>
    <t>HW23F1</t>
  </si>
  <si>
    <t>1[]-30、
2[]-30、
3[]-30、
4[]</t>
  </si>
  <si>
    <t>MHW23F1N1T</t>
  </si>
  <si>
    <t>1[]-30、
2[]-30、
3[]-30、
4[]-30</t>
  </si>
  <si>
    <t>MHW23F1R1P</t>
  </si>
  <si>
    <t>MHY23P1F1P</t>
  </si>
  <si>
    <t>HY23P1</t>
  </si>
  <si>
    <t>MHY24P1N1P</t>
  </si>
  <si>
    <t>HY24P1</t>
  </si>
  <si>
    <t>1[]-40、
2[]-40、
3[]-40、
4[]-40、
5[]-40</t>
  </si>
  <si>
    <t>1[50L真空乳化機x1]-140、
2[50L真空乳化機x1]-215、 
3[50L真空乳化機x1]-290、 
4[50L真空乳化機x1]-365、 
5[50L真空乳化機x1]-440</t>
  </si>
  <si>
    <t>MJA24D1F1P</t>
  </si>
  <si>
    <t>JA24D1</t>
  </si>
  <si>
    <t>1[大型攪拌機x1]-90、
2[大型攪拌機x1]-110、
3[大型攪拌機x1]-130</t>
  </si>
  <si>
    <t>MJA24E1H1P</t>
  </si>
  <si>
    <t>JA24E1</t>
  </si>
  <si>
    <t>1[50L真空乳化機x1]-155、
2[50L真空乳化機x1]-235、 
3[50L真空乳化機x1]-315、 
4[50L真空乳化機x1]-395</t>
  </si>
  <si>
    <t>MJB23D1F1P</t>
  </si>
  <si>
    <t>JB23D1</t>
  </si>
  <si>
    <t>1[大型攪拌機x1]-40</t>
  </si>
  <si>
    <t>1[100L升溫桶槽x1]-190、
2[100L升溫桶槽x1]-380</t>
  </si>
  <si>
    <t>1[100L升溫桶槽x1]-15、
2[100L升溫桶槽x1]-15</t>
  </si>
  <si>
    <t>MJB23D2F1P</t>
  </si>
  <si>
    <t>JB23D2</t>
  </si>
  <si>
    <t>1[大型攪拌機x1]-75、
2[大型攪拌機x1]-75、
3[大型攪拌機x1]-75、
4[大型攪拌機x2]-145、
5[大型攪拌機x2]-145</t>
  </si>
  <si>
    <t>1[50L真空乳化機x1]-50、
2[50L真空乳化機x1]-100、 
3[50L真空乳化機x1]-150、 
4[50L真空乳化機x1]-200、 
5[50L真空乳化機x1]-250、 
6[50L真空乳化機x1]-300、 
7[50L真空乳化機x1]-350、 
8[50L真空乳化機x1]-400</t>
  </si>
  <si>
    <t>1[50L真空乳化機x1]-30、
2[50L真空乳化機x1]-30、 
3[50L真空乳化機x1]-30、 
4[50L真空乳化機x1]-30、 
5[50L真空乳化機x1]-30、 
6[50L真空乳化機x1]-30、 
7[50L真空乳化機x1]-30、 
8[50L真空乳化機x1]-30</t>
  </si>
  <si>
    <t>MJC24D1G1N</t>
  </si>
  <si>
    <t>JC24D1</t>
  </si>
  <si>
    <t>MJC24E1H1N</t>
  </si>
  <si>
    <t>JC24E1</t>
  </si>
  <si>
    <t>1[落地型均質機x1]-140</t>
  </si>
  <si>
    <t>1[落地型均質機x1]-30</t>
  </si>
  <si>
    <t>MJC24Z1J1P</t>
  </si>
  <si>
    <t>JC24Z1</t>
  </si>
  <si>
    <t>1[]-20、
2[]-20、
3[]-20、
4[]-20、
5[]-20、
6[]-20、
7[]-20、
8[]-20</t>
  </si>
  <si>
    <t>1[大型攪拌機x1]-55、
2[大型攪拌機x1]-110、
3[大型攪拌機x1]-165、
4[大型攪拌機x1]-220、
5[大型攪拌機x1]-275、
6[大型攪拌機x1]-330、
7[大型攪拌機x1]-385、
8[大型攪拌機x1]-440</t>
  </si>
  <si>
    <t>1[大型攪拌機x1]-15、
2[大型攪拌機x1]-15、
3[大型攪拌機x1]-15、
4[大型攪拌機x1]-15、
5[大型攪拌機x1]-15、
6[大型攪拌機x1]-15、
7[大型攪拌機x1]-15、
8[大型攪拌機x1]-15</t>
  </si>
  <si>
    <t>MJC24Z2J1P</t>
  </si>
  <si>
    <t>JC24Z2</t>
  </si>
  <si>
    <t>MJC25D1G1P</t>
  </si>
  <si>
    <t>JC25D1</t>
  </si>
  <si>
    <t>MJC25E1H1P</t>
  </si>
  <si>
    <t>JC25E1</t>
  </si>
  <si>
    <t>1[]-45</t>
  </si>
  <si>
    <t>1[50L真空乳化機x1]-130</t>
  </si>
  <si>
    <t>1[50L真空乳化機x1]-30</t>
  </si>
  <si>
    <t>MJC25Z1J1P</t>
  </si>
  <si>
    <t>JC25Z1</t>
  </si>
  <si>
    <t>MJC25Z2J1P</t>
  </si>
  <si>
    <t>JC25Z2</t>
  </si>
  <si>
    <t>1[400L大桶槽x1]-80、
2[400L大桶槽x1]-160、
3[400L大桶槽x1]-160</t>
  </si>
  <si>
    <t>MJD23G111N</t>
  </si>
  <si>
    <t>JD23G1</t>
  </si>
  <si>
    <t>MJE24B1M1P</t>
  </si>
  <si>
    <t>JE24B1</t>
  </si>
  <si>
    <t>1[50L真空乳化機x1]-265、
2[50L真空乳化機x1]-505</t>
  </si>
  <si>
    <t>1[50L真空乳化機x1]-90、
2[50L真空乳化機x1]-90</t>
  </si>
  <si>
    <t>MJE24H1H1P</t>
  </si>
  <si>
    <t>JE24H1</t>
  </si>
  <si>
    <t>1[]-35、
2[]-55、
3[]-70、
4[]-85</t>
  </si>
  <si>
    <t>MJG24G111N</t>
  </si>
  <si>
    <t>JG24G1</t>
  </si>
  <si>
    <t>1[]-20、
2[]-40、
3[]-50、
4[]-60</t>
  </si>
  <si>
    <t>MJG24G251P</t>
  </si>
  <si>
    <t>JG24G2</t>
  </si>
  <si>
    <t>1[大型攪拌機x1、400L大桶槽x1]-85、
2[大型攪拌機x1、400L大桶槽x1]-85、
3[大型攪拌機x1、400L大桶槽x1]-85</t>
  </si>
  <si>
    <t>1[大型攪拌機x1、400L大桶槽x1]-30、
2[大型攪拌機x1、400L大桶槽x1]-30、
3[大型攪拌機x1、400L大桶槽x1]-30</t>
  </si>
  <si>
    <t>MJH25C1M1T</t>
  </si>
  <si>
    <t>JH25C1</t>
  </si>
  <si>
    <t>1[大型攪拌機x1]-20
2[大型攪拌機x1]-20</t>
  </si>
  <si>
    <t>1[大型攪拌機x1]-90
2[大型攪拌機x1]-180</t>
  </si>
  <si>
    <t>MJH25E1K1T</t>
  </si>
  <si>
    <t>JH25E1</t>
  </si>
  <si>
    <t>1[]-30
2[]-30
3[]-30
4[]-54
5[]-62
6[]-70</t>
  </si>
  <si>
    <t>1[50L真空乳化機x1]-140
2[50L真空乳化機x1]-215
3[50L真空乳化機x1]-290
4[50L真空乳化機x1]-365
5[50L真空乳化機x1]-440</t>
  </si>
  <si>
    <t>MJP24C1L1P</t>
  </si>
  <si>
    <t>JP24C1</t>
  </si>
  <si>
    <t>1[]-55、
2[]-55、
3[]-55、
4[]-55、
5[]-55</t>
  </si>
  <si>
    <t>MJP24D1F1P</t>
  </si>
  <si>
    <t>JP24D1</t>
  </si>
  <si>
    <t>1[大型攪拌機x1]-25、
2[大型攪拌機x1]-50、
3[大型攪拌機x1]-75、
4[大型攪拌機x1]-100、
5[大型攪拌機x1]-125</t>
  </si>
  <si>
    <t>MJP24E1H1P</t>
  </si>
  <si>
    <t>JP24E1</t>
  </si>
  <si>
    <t>1[大型攪拌機x1&amp;超音波震盪機x1]-120、
2[大型攪拌機x1&amp;超音波震盪機x1]-240、
3[大型攪拌機x1&amp;超音波震盪機x1]-360、
4[大型攪拌機x1&amp;超音波震盪機x1]-480</t>
  </si>
  <si>
    <t>MJP24H1F1P</t>
  </si>
  <si>
    <t>JP24H1</t>
  </si>
  <si>
    <t>1[落地型均質機x1]-15</t>
  </si>
  <si>
    <t>MJR24P1H1N</t>
  </si>
  <si>
    <t>JR24P1</t>
  </si>
  <si>
    <t>1[50L真空乳化機x1]-130
2[50L真空乳化機x1]-260
3[50L真空乳化機x1]-390</t>
  </si>
  <si>
    <t>1[50L真空乳化機x1]-30
2[50L真空乳化機x1]-30
3[50L真空乳化機x1]-30</t>
  </si>
  <si>
    <t>1[100L真空乳化機x1]-190
2[100L真空乳化機x1]-380</t>
  </si>
  <si>
    <t>1[100L真空乳化機x1]-40
2[100L真空乳化機x1]-40</t>
  </si>
  <si>
    <t>MJV24D1H1P</t>
  </si>
  <si>
    <t>JV24D1</t>
  </si>
  <si>
    <t>MJV25D1G1P</t>
  </si>
  <si>
    <t>JV25D1</t>
  </si>
  <si>
    <t>黃金雙肌粹 2.5:1 抗老精華36ML</t>
  </si>
  <si>
    <t>MJW24C1N1P</t>
  </si>
  <si>
    <t>JW24C1</t>
  </si>
  <si>
    <t>1[]-20、
2[]-45、
3[]-60</t>
  </si>
  <si>
    <t>MJY24H1H1P</t>
  </si>
  <si>
    <t>JY24H1</t>
  </si>
  <si>
    <t>1[大型攪拌機x1&amp;小型攪拌機x1]-75
2[大型攪拌機x1&amp;小型攪拌機x1]-125
3[大型攪拌機x1&amp;小型攪拌機x1]-200
4[大型攪拌機x1&amp;小型攪拌機x1]-250</t>
  </si>
  <si>
    <t>1[大型攪拌機x1]-80
2[大型攪拌機x1]-160
3[大型攪拌機x1]-240
4[大型攪拌機x1]-320</t>
  </si>
  <si>
    <t>1[大型攪拌機x1]-30
2[大型攪拌機x1]-30
3[大型攪拌機x1]-30
4[大型攪拌機x1]-30</t>
  </si>
  <si>
    <t>MKA24H1F1P</t>
  </si>
  <si>
    <t>KA24H1</t>
  </si>
  <si>
    <t>MKD25D1C1N</t>
  </si>
  <si>
    <t>KD25D1</t>
  </si>
  <si>
    <t>1[大型攪拌機x1]-95、
2[大型攪拌機x1]-190、
3[大型攪拌機x1]-285</t>
  </si>
  <si>
    <t>MKD25H1C1N</t>
  </si>
  <si>
    <t>KD25H1</t>
  </si>
  <si>
    <t>MKD25H2C1N</t>
  </si>
  <si>
    <t>KD25H2</t>
  </si>
  <si>
    <t>1[]-35
2[]-55
3[]-75
4[]-95</t>
  </si>
  <si>
    <t>1[大型攪拌機x1]-125
2[大型攪拌機x1]-250
3[大型攪拌機x1]-375
4[大型攪拌機x1]-500</t>
  </si>
  <si>
    <t>1[大型攪拌機x1]-15
2[大型攪拌機x1]-15
3[大型攪拌機x1]-15
4[大型攪拌機x1]-15</t>
  </si>
  <si>
    <t>MKH25M1U1P</t>
  </si>
  <si>
    <t>KH25M1</t>
  </si>
  <si>
    <t>1[大型攪拌機x1]-50</t>
  </si>
  <si>
    <t>1[大型攪拌機x1]-10</t>
  </si>
  <si>
    <t>MLG25D1F1P</t>
  </si>
  <si>
    <t>LG25D1</t>
  </si>
  <si>
    <t>縮時極光鑽白精華30ML</t>
  </si>
  <si>
    <t>N1CAB1</t>
  </si>
  <si>
    <t>1[]-50
2[]-70
3[]-85
4[]-95</t>
  </si>
  <si>
    <t>1[400L大桶槽x1]-105
2[400L大桶槽x1]-185
3[400L大桶槽x1]-265
4[400L大桶槽x1]-345</t>
  </si>
  <si>
    <t>1[400L大桶槽x1]-30
2[400L大桶槽x1]-30
3[400L大桶槽x1]-30
4[400L大桶槽x1]-30</t>
  </si>
  <si>
    <t>PN1CAD1F1N</t>
  </si>
  <si>
    <t>N1CAD1</t>
  </si>
  <si>
    <t>積雪草B5修護純粹精華</t>
  </si>
  <si>
    <t>1[大型攪拌機x1]-90
2[大型攪拌機x1]-110
3[大型攪拌機x1]-130</t>
  </si>
  <si>
    <t>1[大型攪拌機x1]-50
2[大型攪拌機x1]-100
3[大型攪拌機x1]-150</t>
  </si>
  <si>
    <t>每批10MIN</t>
  </si>
  <si>
    <t>1[400L大桶槽x1&amp;大型攪拌機x1]-90、
2[400L大桶槽x1&amp;大型攪拌機x1]-180、
3[400L大桶槽x1&amp;大型攪拌機x1]-270</t>
  </si>
  <si>
    <t>1[400L大桶槽x1&amp;大型攪拌機x1]-30、
2[400L大桶槽x1&amp;大型攪拌機x1]-40、
3[400L大桶槽x1&amp;大型攪拌機x1]-50</t>
  </si>
  <si>
    <t>PN1CAD2F1P</t>
  </si>
  <si>
    <t>N1CAD2</t>
  </si>
  <si>
    <t>PN1CAE1H1P</t>
  </si>
  <si>
    <t>N1CAE1</t>
  </si>
  <si>
    <t>N1CAE2</t>
  </si>
  <si>
    <t>1[50L真空乳化機x1]-60、
2[50L真空乳化機x1]-60、 
3[50L真空乳化機x1]-60</t>
  </si>
  <si>
    <t>PN1CAE3H1P</t>
  </si>
  <si>
    <t>N1CAE3</t>
  </si>
  <si>
    <t>1[小型攪拌機x1&amp;大型攪拌機x1]-35
2[大型攪拌機x2]-45、
3[大型攪拌機x2-]55</t>
  </si>
  <si>
    <t>PN1CAE4H1P</t>
  </si>
  <si>
    <t>N1CAE4</t>
  </si>
  <si>
    <t>PN1CED1F1P</t>
  </si>
  <si>
    <t>N1CED1</t>
  </si>
  <si>
    <t>1[大型攪拌機x1]-75、
2[大型攪拌機x1]-75、
3[大型攪拌機x2]-145、
4[大型攪拌機x2]-145、
5[大型攪拌機x2]-145</t>
  </si>
  <si>
    <t>1[大型攪拌機x1]-75、
2[大型攪拌機x1]-75、
3[大型攪拌機x2]-115、
4[大型攪拌機x2]-115、
5[大型攪拌機x2]-115</t>
  </si>
  <si>
    <t>1[100L真空乳化機x1]-60、
2[100L真空乳化機x1]-120、
3[100L真空乳化機x1]-180、
4[100L真空乳化機x1]-240、
5[100L真空乳化機x1]-300</t>
  </si>
  <si>
    <t>1[100L真空乳化機x1]-30、
2[100L真空乳化機x1]-30、
3[100L真空乳化機x1]-30、
4[100L真空乳化機x1]-30、
5[100L真空乳化機x1]-30</t>
  </si>
  <si>
    <t>PN1CEF1D1P</t>
  </si>
  <si>
    <t>N1CEF1</t>
  </si>
  <si>
    <t>1[50L真空乳化機x1]-120、
2[50L真空乳化機x1]-240、
3[50L真空乳化機x1]-360</t>
  </si>
  <si>
    <t>1[50L真空乳化機x1]-90、
2[50L真空乳化機x1]-90、
3[50L真空乳化機x1]-90</t>
  </si>
  <si>
    <t>PN1EXD1F1P</t>
  </si>
  <si>
    <t>N1EXD1</t>
  </si>
  <si>
    <t>PN1EXD2F1P</t>
  </si>
  <si>
    <t>N1EXD2</t>
  </si>
  <si>
    <t>PN1HAA3N1P</t>
  </si>
  <si>
    <t>N1HAA3</t>
  </si>
  <si>
    <t>1[]-20、
2[]-40、
3[]-60</t>
  </si>
  <si>
    <t>PN1HAA5N1P</t>
  </si>
  <si>
    <t>N1HAA5</t>
  </si>
  <si>
    <t>N1HAB3</t>
  </si>
  <si>
    <t>1[400L大桶槽x1]-180、
2[400L大桶槽x1]-360</t>
  </si>
  <si>
    <t>PN1HAB4P1P</t>
  </si>
  <si>
    <t>N1HAB4</t>
  </si>
  <si>
    <t>1[]-20、
2[]-40
3[]-60</t>
  </si>
  <si>
    <t>1[400L大桶槽x1]-180
2[400L大桶槽x1]-360
3[400L大桶槽x1]-540</t>
  </si>
  <si>
    <t>PN1HAC1H0P</t>
  </si>
  <si>
    <t>N1HAC1</t>
  </si>
  <si>
    <t>玻尿酸舒活噴霧水</t>
  </si>
  <si>
    <t>前置20min</t>
  </si>
  <si>
    <t>PN1HAC3N1P</t>
  </si>
  <si>
    <t>N1HAC3</t>
  </si>
  <si>
    <t>1[]-50、
2[]-75、
3[]-120</t>
  </si>
  <si>
    <t>1[400L大桶槽x1&amp;大型攪拌機x1]-120、
2[400L大桶槽x1&amp;大型攪拌機x1]-240、
3[400L大桶槽x1&amp;大型攪拌機x1]-360</t>
  </si>
  <si>
    <t>PN1HAD2F0P</t>
  </si>
  <si>
    <t>N1HAD2</t>
  </si>
  <si>
    <t>玻尿酸保濕原液</t>
  </si>
  <si>
    <t>1[大型攪拌機x1]-90、
2[大型攪拌機x2]-120、
3[大型攪拌機x3]-150、
4[大型攪拌機x4]-180、
5[大型攪拌機x5]-210</t>
  </si>
  <si>
    <t>1[大型攪拌機x1]-35、
2[大型攪拌機x2]-55、
3[大型攪拌機x3]-75、
4[大型攪拌機x4]-95、
5[大型攪拌機x5]-115</t>
  </si>
  <si>
    <t>1[大型攪拌機x1]-10、
2[大型攪拌機x2]-20、
3[大型攪拌機x3]-30、
4[大型攪拌機x4]-40、
5[大型攪拌機x5]-50</t>
  </si>
  <si>
    <t>N1HAD4</t>
  </si>
  <si>
    <t>PN1HAD5F1P</t>
  </si>
  <si>
    <t>N1HAD5</t>
  </si>
  <si>
    <t xml:space="preserve">1[]-30
2[]-30
3[]-30
</t>
  </si>
  <si>
    <t xml:space="preserve">1[大型攪拌機x1]-135
2[大型攪拌機x1]-270
3[大型攪拌機x1]-405
</t>
  </si>
  <si>
    <t xml:space="preserve">1[大型攪拌機x1]-20
2[大型攪拌機x1]-20
3[大型攪拌機x1]-20
</t>
  </si>
  <si>
    <t>N1HAE2</t>
  </si>
  <si>
    <t>1[100L真空乳化機x1]-180、
2[100L真空乳化機x1]-345、
3[100L真空乳化機x1]-510</t>
  </si>
  <si>
    <t>PN1HAE4H2P</t>
  </si>
  <si>
    <t>N1HAE4</t>
  </si>
  <si>
    <t>1[50L真空乳化機x1&amp;100L升溫桶槽x1]-160、
2[50L真空乳化機x1&amp;100L升溫桶槽x1]-240、
3[50L真空乳化機x1&amp;500L大桶槽x1]-320、
4[50L真空乳化機x1&amp;500L大桶槽x1]-400、
5[50L真空乳化機x1&amp;500L大桶槽x1]-480</t>
  </si>
  <si>
    <t>前置25min(已含入)</t>
  </si>
  <si>
    <t>1[]-25、
2[]-40</t>
  </si>
  <si>
    <t>PN1HAE6H1P</t>
  </si>
  <si>
    <t>N1HAE6</t>
  </si>
  <si>
    <t>PN1HAE7H1P</t>
  </si>
  <si>
    <t>N1HAE7</t>
  </si>
  <si>
    <t>1[]-25
2[]-40</t>
  </si>
  <si>
    <t>1[100L真空乳化機x1]-180
2[100L真空乳化機x1]-360</t>
  </si>
  <si>
    <t>PN1HAF3G1P</t>
  </si>
  <si>
    <t>N1HAF3</t>
  </si>
  <si>
    <t>玻尿酸超導潤澤亮眼霜40ML</t>
  </si>
  <si>
    <t>1[]-45、
2[]-45</t>
  </si>
  <si>
    <t>1[]-45、
2[]-45、
3[]-45、
4[]-45、
5[]-45、
6[]-45</t>
  </si>
  <si>
    <t>1[50L真空乳化機x1&amp;100L升溫桶槽x1]-140、
2[50L真空乳化機x1&amp;100L升溫桶槽x1]-220、
3[50L真空乳化機x1&amp;500L大桶槽x1]-300、
4[50L真空乳化機x1&amp;500L大桶槽x1]-380、
5[50L真空乳化機x1&amp;500L大桶槽x1]-460、
6[50L真空乳化機x1&amp;500L大桶槽x1]-540</t>
  </si>
  <si>
    <t>PN1MAB1K1P</t>
  </si>
  <si>
    <t>N1MAB1</t>
  </si>
  <si>
    <t>1[強力大型攪拌機x1]-155、
2[強力大型攪拌機x1]-310、
3[強力大型攪拌機x1]-465</t>
  </si>
  <si>
    <t>1[強力大型攪拌機x1]-15、
2[強力大型攪拌機x1]-15、
3[強力大型攪拌機x1]-15</t>
  </si>
  <si>
    <t>PN1MAD1F1P</t>
  </si>
  <si>
    <t>N1MAD1</t>
  </si>
  <si>
    <t>1[大型攪拌機x1]-30、
2[大型攪拌機x2]-50、
3[大型攪拌機x3]-70、
4[大型攪拌機x4]-90、
5[大型攪拌機x5]-110</t>
  </si>
  <si>
    <t>1[大型攪拌機x1]-75、
2[大型攪拌機x2]-120、
3[大型攪拌機x3]-165、
4[大型攪拌機x4]-210、
5[大型攪拌機x5]-255</t>
  </si>
  <si>
    <t>1[大型攪拌機x1]-15、
2[大型攪拌機x2]-25、
3[大型攪拌機x3]-35、
4[大型攪拌機x4]-45、
5[大型攪拌機x5]-55</t>
  </si>
  <si>
    <t>N1MAF1</t>
  </si>
  <si>
    <t>1[]-25、
2[]-45、
3[]-45、
4[]-45</t>
  </si>
  <si>
    <t>1[100L真空乳化機x1]-190、
2[100L真空乳化機x1]-370</t>
  </si>
  <si>
    <t>N1N2F1</t>
  </si>
  <si>
    <t>1[大型攪拌機x1]-75、
2[大型攪拌機x1]-95、
3[大型攪拌機x2、小型攪拌機x1]-115、
4[大型攪拌機x2、小型攪拌機x1]-135、
5[大型攪拌機x3、小型攪拌機x1]-155、
6[大型攪拌機x3、小型攪拌機x1]-175、
7[大型攪拌機x4、小型攪拌機x1]-195、
8[大型攪拌機x4、小型攪拌機x1]-215</t>
  </si>
  <si>
    <t>1[50L真空乳化機x1]-60、
2[50L真空乳化機x1]-120、 
3[50L真空乳化機x1]-180、 
4[50L真空乳化機x1]-240、 
5[50L真空乳化機x1]-300、 
6[50L真空乳化機x1]-360、 
7[50L真空乳化機x1]-420、 
8[50L真空乳化機x1]-480</t>
  </si>
  <si>
    <t>1[50L真空乳化機x1]-20、
2[50L真空乳化機x1]-20、 
3[50L真空乳化機x1]-20、 
4[50L真空乳化機x1]-20、 
5[50L真空乳化機x1]-20、 
6[50L真空乳化機x1]-20、 
7[50L真空乳化機x1]-20、 
8[50L真空乳化機x1]-20</t>
  </si>
  <si>
    <t>1[大型攪拌機x1]-75、
2[大型攪拌機x2、小型攪拌機x1]-115、
3[大型攪拌機x3、小型攪拌機x1]-155、
4[大型攪拌機x4、小型攪拌機x1]-195、</t>
  </si>
  <si>
    <t>PN1PRD1F1P</t>
  </si>
  <si>
    <t>N1PRD1</t>
  </si>
  <si>
    <t>1[]-20</t>
  </si>
  <si>
    <t>1[100L升溫桶槽x1]-130</t>
  </si>
  <si>
    <t>1[100L升溫桶槽x1]-15</t>
  </si>
  <si>
    <t>1[500L大桶槽x1]-160、
2[500L大桶槽x1]-320</t>
  </si>
  <si>
    <t>PN1PRF3H1P</t>
  </si>
  <si>
    <t>N1PRF3</t>
  </si>
  <si>
    <t>PN1REC1M1P</t>
  </si>
  <si>
    <t>N1REC1</t>
  </si>
  <si>
    <t>1[小型攪拌機x1]-60
2[大型攪拌機x1]-80
3[大型攪拌機x1]-100</t>
  </si>
  <si>
    <t>N1RED1</t>
  </si>
  <si>
    <t>PN1RED2F1P</t>
  </si>
  <si>
    <t>N1RED2</t>
  </si>
  <si>
    <t>1[大型攪拌機x1]-60
2[大型攪拌機x2]-120
3[大型攪拌機x3]-180</t>
  </si>
  <si>
    <t>1[大型攪拌機x1]-15
2[大型攪拌機x2]-25
3[大型攪拌機x3]-35</t>
  </si>
  <si>
    <t>PN1RED2B1P</t>
  </si>
  <si>
    <t>再生奇蹟膠原精華-特規5ML</t>
  </si>
  <si>
    <t>N1REE1</t>
  </si>
  <si>
    <t>1[50L真空乳化機x1&amp;500L大桶槽x1]-130、
2[50L真空乳化機x1&amp;500L大桶槽x1]-220、
3[50L真空乳化機x1&amp;500L大桶槽x1]-310、
4[50L真空乳化機x1&amp;500L大桶槽x1]-400、
5[50L真空乳化機x1&amp;500L大桶槽x1]-490、
6[50L真空乳化機x1&amp;500L大桶槽x1]-580</t>
  </si>
  <si>
    <t>PN1REE2F1P</t>
  </si>
  <si>
    <t>N1REE2</t>
  </si>
  <si>
    <t>1[]-25、 
2[]-25</t>
  </si>
  <si>
    <t>1[50L真空乳化機x1]-145、
2[50L真空乳化機x1]-290</t>
  </si>
  <si>
    <t>1[50L真空乳化機x1]-40、
2[50L真空乳化機x1]-40</t>
  </si>
  <si>
    <t>1[]-25、 2[]-25</t>
  </si>
  <si>
    <t>PN1REE3H1P</t>
  </si>
  <si>
    <t>N1REE3</t>
  </si>
  <si>
    <t>1[50L真空乳化機x1&amp;500L大桶槽x1]-140、
2[50L真空乳化機x1&amp;500L大桶槽x1]-220、
3[50L真空乳化機x1&amp;500L大桶槽x1]-300、
4[50L真空乳化機x1&amp;500L大桶槽x1]-380、
5[50L真空乳化機x1&amp;500L大桶槽x1]-460、
6[50L真空乳化機x1&amp;500L大桶槽x1]-540</t>
  </si>
  <si>
    <t>PN1REF1D1P</t>
  </si>
  <si>
    <t>N1REF1</t>
  </si>
  <si>
    <t>1[小型攪拌機x1]-30、
2[小型攪拌機x1]-30、
3[小型攪拌機x1]-30、
4[小型攪拌機x1]-30、
5[小型攪拌機x1]-30</t>
  </si>
  <si>
    <t>1[50L真空乳化機x1&amp;100L升溫桶槽x1]-125、
2[50L真空乳化機x1&amp;100L升溫桶槽x1]-235、
3[50L真空乳化機x1&amp;500L大桶槽x1]-315、
4[50L真空乳化機x1&amp;500L大桶槽x1]-395、
5[50L真空乳化機x1&amp;500L大桶槽x1]-475</t>
  </si>
  <si>
    <t>前置25分鐘(已含入)</t>
  </si>
  <si>
    <t>PN1REF2F1P</t>
  </si>
  <si>
    <t>N1REF2</t>
  </si>
  <si>
    <t>1[小型攪拌機x1]-30、
2[小型攪拌機x1]-30、
3[小型攪拌機x1]-30、
4[小型攪拌機x1]-30、
5[小型攪拌機x1]-30、
6[小型攪拌機x1]-30</t>
  </si>
  <si>
    <t>1[50L真空乳化機x1&amp;100L升溫桶槽x1]-140、
2[50L真空乳化機x1&amp;100L升溫桶槽x1]-220、
3[50L真空乳化機x1&amp;100L升溫桶槽x1]-300、
4[50L真空乳化機x1&amp;100L升溫桶槽x1]-380、
5[50L真空乳化機x1&amp;100L升溫桶槽x1]-460、
6[50L真空乳化機x1&amp;100L升溫桶槽x1]-540</t>
  </si>
  <si>
    <t>PN1SQD1F1P</t>
  </si>
  <si>
    <t>N1SQD1</t>
  </si>
  <si>
    <t>1[大型攪拌機x1]-35、
2[大型攪拌機x1]-70、
3[大型攪拌機x1]-105、
4[大型攪拌機x1]-140</t>
  </si>
  <si>
    <t>N1UVH7</t>
  </si>
  <si>
    <t>N1UVH8</t>
  </si>
  <si>
    <t>1[大型攪拌機x1&amp;小型攪拌機x1]-95、
2[大型攪拌機x1&amp;小型攪拌機x1]-130、
3[大型攪拌機x1&amp;小型攪拌機x1]-185、
4[大型攪拌機x1&amp;小型攪拌機x1]-240</t>
  </si>
  <si>
    <t>PN1UVH9F1P</t>
  </si>
  <si>
    <t>N1UVH9</t>
  </si>
  <si>
    <t>PN1UVHAH1P</t>
  </si>
  <si>
    <t>N1UVHA</t>
  </si>
  <si>
    <t>PN1UVHBH1P</t>
  </si>
  <si>
    <t>N1UVHB</t>
  </si>
  <si>
    <t>PN1UVHCF1P</t>
  </si>
  <si>
    <t>N1UVHC</t>
  </si>
  <si>
    <t>1[100L真空乳化機x1&amp;100L升溫桶槽x1]-170、
2[100L真空乳化機x1&amp;100L升溫桶槽x1]-340、
3[100L真空乳化機x1&amp;100L升溫桶槽x1]-510</t>
  </si>
  <si>
    <t>1[100L真空乳化機x1&amp;100L升溫桶槽x1]-90、
2[100L真空乳化機x1&amp;100L升溫桶槽x1]-90、
3[100L真空乳化機x1&amp;100L升溫桶槽x1]-90</t>
  </si>
  <si>
    <t>PN1UVHDH1P</t>
  </si>
  <si>
    <t>N1UVHD</t>
  </si>
  <si>
    <t>1[超音波震盪機x1&amp;小型攪拌機x1&amp;大型攪拌機x1]-75、
2[超音波震盪機x1&amp;小型攪拌機x1&amp;大型攪拌機x1]-140、
3[超音波震盪機x1&amp;小型攪拌機x1&amp;大型攪拌機x1]-205</t>
  </si>
  <si>
    <t>PN1VCC1M1P</t>
  </si>
  <si>
    <t>N1VCC1</t>
  </si>
  <si>
    <t>1[100L真空乳化機x1]-180
2[100L真空乳化機x1]-360
3[100L真空乳化機x1]-540</t>
  </si>
  <si>
    <t>1[100L真空乳化機x1]-40
2[100L真空乳化機x1]-40
3[100L真空乳化機x1]-40</t>
  </si>
  <si>
    <t>1[50L真空乳化機x1&amp;500L大桶槽x1]-140、
2[50L真空乳化機x1&amp;500L大桶槽x1]-240、
3[50L真空乳化機x1&amp;500L大桶槽x1]-340、
4[50L真空乳化機x1&amp;500L大桶槽x1]-440、
5[50L真空乳化機x1&amp;500L大桶槽x1]-540、
6[50L真空乳化機x1&amp;500L大桶槽x1]-640</t>
  </si>
  <si>
    <t>PN1VCD3D1P</t>
  </si>
  <si>
    <t>N1VCD3</t>
  </si>
  <si>
    <t>1[大型攪拌機x1&amp;小型攪拌機x1]-100、
2[大型攪拌機x1&amp;小型攪拌機x1]-110、
3[大型攪拌機x1&amp;小型攪拌機x1]-110、
4[大型攪拌機x1&amp;小型攪拌機x1]-110</t>
  </si>
  <si>
    <t>1[大型攪拌機x2&amp;小型攪拌機x1]-115、
2[大型攪拌機x2&amp;小型攪拌機x1]-195、
3[大型攪拌機x2&amp;小型攪拌機x1]-275、
4[大型攪拌機x2&amp;小型攪拌機x1]-355</t>
  </si>
  <si>
    <t>1[大型攪拌機x2&amp;小型攪拌機x1]-50、
2[大型攪拌機x2&amp;小型攪拌機x1]-50、
3[大型攪拌機x2&amp;小型攪拌機x1]-50、
4[大型攪拌機x2&amp;小型攪拌機x1]-50</t>
  </si>
  <si>
    <t>PN1VCD3C2P</t>
  </si>
  <si>
    <t>極透光亮白淡斑精華-盒裝6ML</t>
  </si>
  <si>
    <t>PN1VCD4E1P</t>
  </si>
  <si>
    <t>N1VCD4</t>
  </si>
  <si>
    <t>超集中淡斑淨膚精華-盒裝20ML</t>
  </si>
  <si>
    <t>1[大型攪拌機x1]-25、
2[大型攪拌機x1]-25</t>
  </si>
  <si>
    <t>PN1VCE1H1P</t>
  </si>
  <si>
    <t>N1VCE1</t>
  </si>
  <si>
    <t>PN1YLC2M2P</t>
  </si>
  <si>
    <t>N1YLC2</t>
  </si>
  <si>
    <t>1[]-45、
2[]-65</t>
  </si>
  <si>
    <t>1[大型攪拌機x2&amp;400L大桶槽x1]-180、
2[大型攪拌機x2&amp;400L大桶槽x1]-360</t>
  </si>
  <si>
    <t>1[大型攪拌機x2&amp;400L大桶槽x1]-30、
2[大型攪拌機x2&amp;400L大桶槽x1]-30</t>
  </si>
  <si>
    <t>1[大型攪拌機x2]-180、
2[大型攪拌機x2]-360</t>
  </si>
  <si>
    <t>1[大型攪拌機x2]-15、
2[大型攪拌機x2]-15</t>
  </si>
  <si>
    <t>PN1YLD2F2P</t>
  </si>
  <si>
    <t>N1YLD2</t>
  </si>
  <si>
    <t>PN1YLE1F1P</t>
  </si>
  <si>
    <t>N1YLE1</t>
  </si>
  <si>
    <t>1[大型攪拌機x1]-50、
2[大型攪拌機x1]-50、
3[大型攪拌機x1]-50</t>
  </si>
  <si>
    <t>1[50L真空乳化機x1]-135、
2[50L真空乳化機x1]-270、
3[50L真空乳化機x1]-405</t>
  </si>
  <si>
    <t>1[50L真空乳化機x1]-180、
2[50L真空乳化機x1]-360、</t>
  </si>
  <si>
    <t>1[50L真空乳化機x1]-30、
2[50L真空乳化機x1]-30、</t>
  </si>
  <si>
    <t>N1YLF2</t>
  </si>
  <si>
    <t>1[]-30、
2[]-30、
3[]-30、
4[]-30、
5[]-30</t>
  </si>
  <si>
    <t>1[100L真空乳化機x1]-180、
2[100L真空乳化機x1]-360、
3[100L真空乳化機x1]-540</t>
  </si>
  <si>
    <t>N2YLC1</t>
  </si>
  <si>
    <t>1[]-30、
2[]-50、
3[]-70、
4[]-90</t>
  </si>
  <si>
    <t>1[400L大桶槽x1]-95、
2[400L大桶槽x1]-190、
3[400L大桶槽x1]-285、
4[400L大桶槽x1]-380</t>
  </si>
  <si>
    <t>PN3HAA4L1P</t>
  </si>
  <si>
    <t>N3HAA4</t>
  </si>
  <si>
    <t>1[500L大桶槽x1]-165、
2[500L大桶槽x1]-330</t>
  </si>
  <si>
    <t>1[500L大桶槽x1]-30、
2[500L大桶槽x1]-30、</t>
  </si>
  <si>
    <t>PN3MAD1F1P</t>
  </si>
  <si>
    <t>N3MAD1</t>
  </si>
  <si>
    <t>1[大型攪拌機x1]-30、
2[大型攪拌機x1]-30、
3[大型攪拌機x3]-30、
4[大型攪拌機x3]-70、
5[大型攪拌機x3]-70</t>
  </si>
  <si>
    <t>MDD21E1F1N</t>
  </si>
  <si>
    <t>DD21E1</t>
  </si>
  <si>
    <t>Zinc Energy Emulsion30ML</t>
  </si>
  <si>
    <t>1[]-20
2[]-20
3[]-20</t>
  </si>
  <si>
    <t>1[大型攪拌機*1]-90
2[大型攪拌機*1]-180
3[大型攪拌機*1]-270</t>
  </si>
  <si>
    <t>1[大型攪拌機*1]-20
2[大型攪拌機*1]-30
3[大型攪拌機*1]-40</t>
  </si>
  <si>
    <t>MHC25H1G1P</t>
  </si>
  <si>
    <t>HC25H1</t>
  </si>
  <si>
    <t>DR. MAY美博士專業潤色清爽防曬40ML</t>
  </si>
  <si>
    <t>1[50L真空乳化機x1&amp;100L升溫桶槽x1]-145、
2[50L真空乳化機x1&amp;100L升溫桶槽x1]-290、
3[50L真空乳化機x1&amp;100L升溫桶槽x1]-435、
4[50L真空乳化機x1&amp;100L升溫桶槽x1]-580</t>
  </si>
  <si>
    <t>MHC25H3G1P</t>
  </si>
  <si>
    <t>HC25H3</t>
  </si>
  <si>
    <t>MAW21E1A1N</t>
  </si>
  <si>
    <t>極致水潤光保濕乳霜 2ml(試用包)</t>
  </si>
  <si>
    <t>PN1PRD1D1P</t>
  </si>
  <si>
    <t>MKD25H1H1P</t>
  </si>
  <si>
    <t>簡單輕透亮顏防曬霜50ML</t>
  </si>
  <si>
    <t>MHR25A1L1P</t>
  </si>
  <si>
    <t>HR25A1</t>
  </si>
  <si>
    <t>胺基酸全能保濕潔顏露130ML</t>
  </si>
  <si>
    <t>PN1HAE5H1P</t>
  </si>
  <si>
    <t>N1HAE5</t>
  </si>
  <si>
    <t>玻尿酸超導潤澤乳霜-盒裝50ML</t>
  </si>
  <si>
    <t>1[100L真空乳化機x1&amp;100L升溫桶槽x1]-170、
2[100L真空乳化機x1&amp;100L升溫桶槽x1]-315、
3[100L真空乳化機x1&amp;100L升溫桶槽x1]-490</t>
  </si>
  <si>
    <t>1[100L真空乳化機x1&amp;100L升溫桶槽x1]-40、
2[100L真空乳化機x1&amp;100L升溫桶槽x1]-40、
3[100L真空乳化機x1&amp;100L升溫桶槽x1]-40</t>
  </si>
  <si>
    <t>MJC25D2G1P</t>
  </si>
  <si>
    <t>JC25D2</t>
  </si>
  <si>
    <t>CJ Exo-True泌實 外泌體奢耀逆齡精華液40ML</t>
  </si>
  <si>
    <t>MJC25E2H1P</t>
  </si>
  <si>
    <t>JC25E2</t>
  </si>
  <si>
    <t>JB外泌體琉光煥顏修護霜50ML</t>
  </si>
  <si>
    <t>MJJ24H1K1P</t>
  </si>
  <si>
    <t>JJ24H1</t>
  </si>
  <si>
    <t>珊瑚超輕感防曬乳 SPF50+ PA++++100ML</t>
  </si>
  <si>
    <t>1[]-35</t>
  </si>
  <si>
    <t>1[大型攪拌機*1]-130</t>
  </si>
  <si>
    <t>1[大型攪拌機*1]-15</t>
  </si>
  <si>
    <t>PN1LBQ1W1N</t>
  </si>
  <si>
    <t>N1LBQ1</t>
  </si>
  <si>
    <t>癒創木絨花沐浴露(4kg)桶裝</t>
  </si>
  <si>
    <t>1[]-40</t>
  </si>
  <si>
    <t>1[400L大桶槽x1&amp;小型攪拌機*1]-350</t>
  </si>
  <si>
    <t>1[400L大桶槽x1&amp;小型攪拌機*1]-40</t>
  </si>
  <si>
    <t>1[]-25
2[]-25</t>
  </si>
  <si>
    <t>1[大型攪拌機*1&amp;小型攪拌機*1]-200、
2[大型攪拌機*1&amp;小型攪拌機*1]-400</t>
  </si>
  <si>
    <t>1[大型攪拌機*1&amp;小型攪拌機*1]-30、
2[大型攪拌機*1&amp;小型攪拌機*1]-30</t>
  </si>
  <si>
    <t>PN1LBQ2W1N</t>
  </si>
  <si>
    <t>N1LBQ2</t>
  </si>
  <si>
    <t>蒼松木蘭潔手露(4kg)桶裝</t>
  </si>
  <si>
    <t>1[]-30</t>
  </si>
  <si>
    <t>1[400L大桶槽x1]-300</t>
  </si>
  <si>
    <t>1[400L大桶槽x1]-30</t>
  </si>
  <si>
    <t>MHK25B1N1P</t>
  </si>
  <si>
    <t>HK25B1</t>
  </si>
  <si>
    <t>德美凱草本舒顏卸妝乳200ml</t>
  </si>
  <si>
    <t>1[]-30、
2[]-30、
3[]-30、
4[]-30、
5[小型攪拌機*1]-30、
6[大型攪拌機*1]-30</t>
  </si>
  <si>
    <t>1[50L真空乳化機x1]-130、
2[50L真空乳化機x1]-205、
3[50L真空乳化機x1]-280、
4[50L真空乳化機x1]-355、
5[50L真空乳化機x1]-430、
6[50L真空乳化機x1]-505</t>
  </si>
  <si>
    <t>MAW24D2F1P</t>
  </si>
  <si>
    <t>AW24D2</t>
  </si>
  <si>
    <t>三效維C亮白精華30ML</t>
  </si>
  <si>
    <t>MAW24D1F1P</t>
  </si>
  <si>
    <t>AW24D1</t>
  </si>
  <si>
    <t>5A超能抗皺精華1% 30ML</t>
  </si>
  <si>
    <t>MGU24C2K1P</t>
  </si>
  <si>
    <t>GU24C2</t>
  </si>
  <si>
    <t>蓓朵娜 時光青春露EX100ml</t>
  </si>
  <si>
    <t>1[大型攪拌機x1]-75、
2[大型攪拌機x1]-150、
3[大型攪拌機x1]-225、
4[大型攪拌機x1]-300</t>
  </si>
  <si>
    <t>1[400L大桶槽x1]-100、
2[400L大桶槽x1]-200</t>
  </si>
  <si>
    <t>MEU25C1L1P</t>
  </si>
  <si>
    <t>EU25C1</t>
  </si>
  <si>
    <t>LipoA 煥膚透亮化妝水120ML</t>
  </si>
  <si>
    <t>1[大型攪拌機x1]-90、
2[大型攪拌機x1]-180、
3[大型攪拌機x1]-270</t>
  </si>
  <si>
    <t>1[大型攪拌機x1]-50、
2[大型攪拌機x2]-100、
3[大型攪拌機x3]-150</t>
  </si>
  <si>
    <t>1[400L大桶槽x1]-145、
2[400L大桶槽x1]-290、
3[400L大桶槽x1]-435</t>
  </si>
  <si>
    <t>1[400L大桶槽x1]-40、
2[400L大桶槽x1]-40、
3[400L大桶槽x1]-40</t>
  </si>
  <si>
    <t>MEU25C1D1P</t>
  </si>
  <si>
    <t>LipoA 煥膚透亮化妝水15ML</t>
  </si>
  <si>
    <t>MEU25E1H1P</t>
  </si>
  <si>
    <t>EU25E1</t>
  </si>
  <si>
    <t>LipoA 煥膚無瑕精華乳50ML</t>
  </si>
  <si>
    <t>MEU25E1C1P</t>
  </si>
  <si>
    <t>LipoA 煥膚無瑕精華乳10ML</t>
  </si>
  <si>
    <t>MKG25D1T1N</t>
  </si>
  <si>
    <t>KG25D1</t>
  </si>
  <si>
    <t>Skin Renewal Repair Concentrate</t>
  </si>
  <si>
    <t>1[大型攪拌機x1]-90、
2[大型攪拌機x1]-180</t>
  </si>
  <si>
    <t>MKG25D2T1N</t>
  </si>
  <si>
    <t>KG25D2</t>
  </si>
  <si>
    <t>Skin Renewal Peeling Solution</t>
  </si>
  <si>
    <t>MKG25D3T1N</t>
  </si>
  <si>
    <t>KG25D3</t>
  </si>
  <si>
    <t>Vita C Booster 25% Vit C Concentrate</t>
  </si>
  <si>
    <t>MKG25D4T1N</t>
  </si>
  <si>
    <t>KG25D4</t>
  </si>
  <si>
    <t>Skin Renewal Radiance Serum</t>
  </si>
  <si>
    <t>1[大型攪拌機x1]-80、
2[大型攪拌機x1]-160</t>
  </si>
  <si>
    <t>PN1HAD5H1P</t>
  </si>
  <si>
    <t>玻尿酸保濕水平衡賦能精華-特規50ML</t>
  </si>
  <si>
    <t>MHC25H2J1P</t>
  </si>
  <si>
    <t>HC25H2</t>
  </si>
  <si>
    <t>1[小型攪拌機x1]-45、
2[大型攪拌機x1]-45、
3[大型攪拌機x1]-45</t>
  </si>
  <si>
    <t>1[大型攪拌機x1&amp;50L真空乳化機x1]-185、
2[大型攪拌機x1&amp;50L真空乳化機x1]-370、
3[大型攪拌機x1&amp;50L真空乳化機x1]-555</t>
  </si>
  <si>
    <t>MKD25H3H1P</t>
  </si>
  <si>
    <t>KD25H3</t>
  </si>
  <si>
    <t>簡單輕透水感防曬乳50ML</t>
  </si>
  <si>
    <t>MAW25D671P</t>
  </si>
  <si>
    <t>AW25D6</t>
  </si>
  <si>
    <t>活化頭皮精華5ML(7瓶/盒)</t>
  </si>
  <si>
    <t>MGU24C3K1P</t>
  </si>
  <si>
    <t>GU24C3</t>
  </si>
  <si>
    <t>蓓朵娜 6X玻尿酸彈潤保濕露100ML</t>
  </si>
  <si>
    <t>1[大型攪拌機x1]-115
2[大型攪拌機x1]-230
3[大型攪拌機x1]-345</t>
  </si>
  <si>
    <t>1[大型攪拌機x1]-45</t>
  </si>
  <si>
    <t>1[小型攪拌機x1&amp;400L大桶槽x1]-130</t>
  </si>
  <si>
    <t>1[大型攪拌機x1&amp;小型攪拌機x1&amp;400L大桶槽x1]-45、</t>
  </si>
  <si>
    <t>MHF23B1K1T</t>
  </si>
  <si>
    <t>HF23B1</t>
  </si>
  <si>
    <t>腋清星清潔乳100ML</t>
  </si>
  <si>
    <t>1[大型攪拌機x1&amp;100L升溫桶槽x1]-265</t>
  </si>
  <si>
    <t>1[大型攪拌機x1&amp;100L升溫桶槽x1]-60</t>
  </si>
  <si>
    <t>MBY25D7F1P</t>
  </si>
  <si>
    <t>BY25D7</t>
  </si>
  <si>
    <t>BB 7200ppm 微晶PDRN抗老精華30ml</t>
  </si>
  <si>
    <t>MBY25D9F1P</t>
  </si>
  <si>
    <t>BY25D9</t>
  </si>
  <si>
    <t>BB 2400ppm 微晶積雪草修護精華30ml</t>
  </si>
  <si>
    <t>MHR25D1G1P</t>
  </si>
  <si>
    <t>HR25D1</t>
  </si>
  <si>
    <t>ACID LIGHT 晶透煥膚精華35ML</t>
  </si>
  <si>
    <t>MHR25F1H1P</t>
  </si>
  <si>
    <t>HR25F1</t>
  </si>
  <si>
    <t>ACID LIGHT 舒潤修護凝凍50ML</t>
  </si>
  <si>
    <t>MHR25H1F1P</t>
  </si>
  <si>
    <t>HR25H1</t>
  </si>
  <si>
    <t>LAMBENCY高防曬潤色美肌乳30ML</t>
  </si>
  <si>
    <t>MBY25DAD1P</t>
  </si>
  <si>
    <t>BY25DA</t>
  </si>
  <si>
    <t>PUR%CENT 3%CICA外泌體強化抗老肌因精華15ML</t>
  </si>
  <si>
    <t>1[大型攪拌機x1]-100、
2[大型攪拌機x1]-200</t>
  </si>
  <si>
    <t>MKD25D2F1P</t>
  </si>
  <si>
    <t>KD25D2</t>
  </si>
  <si>
    <t>簡單A醇胜肽抗痕精華30ML</t>
  </si>
  <si>
    <t>MKD25D3E1P</t>
  </si>
  <si>
    <t>KD25D3</t>
  </si>
  <si>
    <t>簡單0.2%A醇藻針煥膚20ML</t>
  </si>
  <si>
    <t>1[大型攪拌機x1]-110、
2[大型攪拌機x1]-220</t>
  </si>
  <si>
    <t>PN1CED2F1P</t>
  </si>
  <si>
    <t>N1CED2</t>
  </si>
  <si>
    <t>5重神經醯胺B12舒緩精華-盒裝30mL</t>
  </si>
  <si>
    <t>PN1HAD6F1P</t>
  </si>
  <si>
    <t>N1HAD6</t>
  </si>
  <si>
    <t>3重玻尿酸B5保濕精華-盒裝30mL</t>
  </si>
  <si>
    <t>MGD25H1H1P</t>
  </si>
  <si>
    <t>GD25H1</t>
  </si>
  <si>
    <t>MKU25F1F1P</t>
  </si>
  <si>
    <t>KU25F1</t>
  </si>
  <si>
    <t>澄光潤澤2合1手部精華油30ML</t>
  </si>
  <si>
    <t>PN1RED3F1P</t>
  </si>
  <si>
    <t>N1RED3</t>
  </si>
  <si>
    <t>1%全效新生A醇精萃-盒裝30ML</t>
  </si>
  <si>
    <t>PN1REE4F1P</t>
  </si>
  <si>
    <t>N1REE4</t>
  </si>
  <si>
    <t>1.8%超效逆時A醇精華-盒裝30ML</t>
  </si>
  <si>
    <t>1[100L真空乳化機x1]-165、
2[100L真空乳化機x1]-310、
3[100L真空乳化機x1]-455</t>
  </si>
  <si>
    <t>PN1REF3E1P</t>
  </si>
  <si>
    <t>N1REF3</t>
  </si>
  <si>
    <t>1%極效撫紋A醇眼霜-盒裝20ML</t>
  </si>
  <si>
    <t>1[小型攪拌機x1]-30、
2[小型攪拌機x1]-30、
3[小型攪拌機x1]-30</t>
  </si>
  <si>
    <t>1[100L真空乳化機x1&amp;100L升溫桶槽x1]-170、
2[100L真空乳化機x1&amp;100L升溫桶槽x1]-320、
3[100L真空乳化機x1&amp;100L升溫桶槽x1]-470</t>
  </si>
  <si>
    <t>MHC25D3F1P</t>
  </si>
  <si>
    <t>HC25D3</t>
  </si>
  <si>
    <t>Dr. May 積雪草淨化修護精華30ML</t>
  </si>
  <si>
    <t>MHC25D4F1P</t>
  </si>
  <si>
    <t>HC25D4</t>
  </si>
  <si>
    <t>Dr. May 紅膠原色修煥膚精華30ML</t>
  </si>
  <si>
    <t>1[]-40、
2[]-60</t>
  </si>
  <si>
    <t>MDB25Q1P1N</t>
  </si>
  <si>
    <t>DB25Q1</t>
  </si>
  <si>
    <t>Still香氛精油沐浴露300ML</t>
  </si>
  <si>
    <t>PN1REE5H1P</t>
  </si>
  <si>
    <t>N1REE5</t>
  </si>
  <si>
    <t>0.5%穩膚煥采A醇修護乳-盒裝50ML</t>
  </si>
  <si>
    <t>1[大型攪拌機x1]-120、
2[大型攪拌機x1]-240、
3[大型攪拌機x1]-360、
4[大型攪拌機x1]-480</t>
  </si>
  <si>
    <t>MKW25H1F1P</t>
  </si>
  <si>
    <t>KW25H1</t>
  </si>
  <si>
    <t>控油裸肌素顏霜30ml</t>
  </si>
  <si>
    <t>1[超音波震盪機x1&amp;小型攪拌機x1]-70</t>
  </si>
  <si>
    <t>1[50L真空乳化機x1&amp;大型攪拌機x1]-125、</t>
  </si>
  <si>
    <t>1[50L真空乳化機x1&amp;大型攪拌機x1&amp;小型攪拌機x1]-120、</t>
  </si>
  <si>
    <t>MLA25D1C1N</t>
  </si>
  <si>
    <t>LA25D1</t>
  </si>
  <si>
    <t>靈芝外泌體美膚精華液安瓶9ML</t>
  </si>
  <si>
    <t>1[大型攪拌機x1]-50、
2[大型攪拌機x1]-100</t>
  </si>
  <si>
    <t>MGU25E3F1P</t>
  </si>
  <si>
    <t>GU25E3</t>
  </si>
  <si>
    <t>MAB25D151P</t>
  </si>
  <si>
    <t>AB25D1</t>
  </si>
  <si>
    <t>光透煥白修護安瓶</t>
  </si>
  <si>
    <t>1[大型攪拌機x1]-85、
2[大型攪拌機x1]-170、
3[大型攪拌機x1]-255</t>
  </si>
  <si>
    <t>MKY25C1K1P</t>
  </si>
  <si>
    <t>KY25C1</t>
  </si>
  <si>
    <t>清新舒緩化妝水100ml</t>
  </si>
  <si>
    <t>1[400L大桶槽x1]-90、
2[400L大桶槽x1]-180、
3[400L大桶槽x1]-270</t>
  </si>
  <si>
    <t>MKY25C1H1P</t>
  </si>
  <si>
    <t>清新舒緩化妝水 旅行組 50ml</t>
  </si>
  <si>
    <t>MKY25D1F1P</t>
  </si>
  <si>
    <t>KY25D1</t>
  </si>
  <si>
    <t>清煥透膚精華30ml</t>
  </si>
  <si>
    <t>MKY25D1D1P</t>
  </si>
  <si>
    <t>清煥透膚精華 旅行組 15ml</t>
  </si>
  <si>
    <t>MKY25D2H1P</t>
  </si>
  <si>
    <t>KY25D2</t>
  </si>
  <si>
    <t>前導建構精粹50ml</t>
  </si>
  <si>
    <t>1[]-90、
2[]-180、
3[]-270</t>
  </si>
  <si>
    <t>1[大型攪拌機x1]-110、
2[大型攪拌機x2]-220</t>
  </si>
  <si>
    <t>1[大型攪拌機x1]-20、
2[大型攪拌機x2]-20</t>
  </si>
  <si>
    <t>MKY25D2F1P</t>
  </si>
  <si>
    <t>前導建構精粹 旅行組 30ml</t>
  </si>
  <si>
    <t>MKY25E1H1P</t>
  </si>
  <si>
    <t>KY25E1</t>
  </si>
  <si>
    <t>輕盈鎖水乳霜50ml</t>
  </si>
  <si>
    <t>1[]-20、
2[]-20、
3[]-20、
4[]-30、
5[]-30</t>
  </si>
  <si>
    <t>1[大型攪拌機x1]-95、
2[大型攪拌機x1]-190、
3[大型攪拌機x1]-285、
4[大型攪拌機x2]-340、
5[大型攪拌機x2]-435</t>
  </si>
  <si>
    <t>1[大型攪拌機x1]-20、
2[大型攪拌機x1]-20、
3[大型攪拌機x1]-20、
4[大型攪拌機x2]-30、
5[大型攪拌機x2]-30</t>
  </si>
  <si>
    <t>MKY25E1F1P</t>
  </si>
  <si>
    <t>輕盈鎖水乳霜 旅行組 30ml</t>
  </si>
  <si>
    <t>1[大型攪拌機x1]-95、
2[大型攪拌機x2]-190</t>
  </si>
  <si>
    <t>MKY25E2H1P</t>
  </si>
  <si>
    <t>KY25E2</t>
  </si>
  <si>
    <t>極潤修護乳霜50ml</t>
  </si>
  <si>
    <t>1[50L真空乳化機x1&amp;100L升溫桶槽x1]-125、
2[50L真空乳化機x1&amp;100L升溫桶槽x1]-220、
3[50L真空乳化機x1&amp;500L大桶槽x1]-315</t>
  </si>
  <si>
    <t>1[50L真空乳化機x1]-40、
2[50L真空乳化機x1]-40、
3[50L真空乳化機x1]-40</t>
  </si>
  <si>
    <t>MHC25D6D1P</t>
  </si>
  <si>
    <t>HC25D6</t>
  </si>
  <si>
    <t>LUDEYA蜂王玫瑰微泌新生精華12mL</t>
  </si>
  <si>
    <t>1[大型攪拌機x1]-80、
2[大型攪拌機x2]-160</t>
  </si>
  <si>
    <t>1[大型攪拌機x1、小型攪拌機x1、超音波震盪機x1]-90、
2[大型攪拌機x1、小型攪拌機x1、超音波震盪機x1]-180</t>
  </si>
  <si>
    <t>1[大型攪拌機x1]-20、
2[大型攪拌機x2]-40</t>
  </si>
  <si>
    <t>MHC25D5G1P</t>
  </si>
  <si>
    <t>HC25D5</t>
  </si>
  <si>
    <t>LUDEYA蜂王玫瑰微泌新生精華35mL</t>
  </si>
  <si>
    <t>1[大型攪拌機x1]-80、
2[大型攪拌機x2]-160、
3[大型攪拌機x3]-240</t>
  </si>
  <si>
    <t>1[大型攪拌機x1、小型攪拌機x1、超音波震盪機x1]-90、
2[大型攪拌機x2、小型攪拌機x1、超音波震盪機x1]-180、
3[大型攪拌機x3、小型攪拌機x1、超音波震盪機x1]-270</t>
  </si>
  <si>
    <t>1[大型攪拌機x1]-20、
2[大型攪拌機x2]-20、
3[大型攪拌機x3]-20</t>
  </si>
  <si>
    <t>MBY25C1J1P</t>
  </si>
  <si>
    <t>BY25C1</t>
  </si>
  <si>
    <t>BB PDRN玫瑰賦活精華噴霧60ML</t>
  </si>
  <si>
    <t>1[大型攪拌機x1]-45、
2[大型攪拌機x2]-90</t>
  </si>
  <si>
    <t>油項(中)</t>
  </si>
  <si>
    <t>1[大型攪拌機x1]-10、
2[大型攪拌機x2]-10</t>
  </si>
  <si>
    <t>1[大型攪拌機x1]-30、
2[大型攪拌機x2]-60</t>
  </si>
  <si>
    <t>水項(下)</t>
  </si>
  <si>
    <t>MBY25F1D1P</t>
  </si>
  <si>
    <t>BY25F1</t>
  </si>
  <si>
    <t>Pur%cent 2%傳明酸+1%B3菸醯胺超煥采亮眼精華15ml</t>
  </si>
  <si>
    <t>1[50L真空乳化機x1&amp;100L升溫桶槽x1]-125、
2[50L真空乳化機x1&amp;100L升溫桶槽x1]-235、
3[50L真空乳化機x1&amp;500L大桶槽x1]-315、
4[50L真空乳化機x1&amp;500L大桶槽x1]-395、
5[50L真空乳化機x1&amp;500L大桶槽x1]-475、
6[50L真空乳化機x1&amp;500L大桶槽x1]-555</t>
  </si>
  <si>
    <t>MHL25D1T1N</t>
  </si>
  <si>
    <t>HL25D1</t>
  </si>
  <si>
    <t>Exosome Serum Bulk</t>
  </si>
  <si>
    <t>MHR25C2L1P</t>
  </si>
  <si>
    <t>HR25C2</t>
  </si>
  <si>
    <t>PDRN 修護雙精萃噴霧120ML</t>
  </si>
  <si>
    <t>1[大型攪拌機x1]-55、
2[大型攪拌機x1]-110</t>
  </si>
  <si>
    <t>1[]-、
2[]-</t>
  </si>
  <si>
    <t>1[大型攪拌機x1]-40、
2[大型攪拌機x1]-40</t>
  </si>
  <si>
    <t xml:space="preserve">MBY25E3F1P </t>
  </si>
  <si>
    <t>BY25E3</t>
  </si>
  <si>
    <t>#N/A</t>
  </si>
  <si>
    <t>MDF25D2F1P</t>
  </si>
  <si>
    <t>DF25D2</t>
  </si>
  <si>
    <t>初白精萃30ML</t>
  </si>
  <si>
    <t>MHR25E1J1P</t>
  </si>
  <si>
    <t>HR25E1</t>
  </si>
  <si>
    <t>PDRN AI 水乳液60ML</t>
  </si>
  <si>
    <t>1[50L真空乳化機x1]-125、
2[50L真空乳化機x1]-210、
3[50L真空乳化機x1]-295、
4[50L真空乳化機x1]-380、
5[50L真空乳化機x1]-465</t>
  </si>
  <si>
    <t>1[50L真空乳化機x1]-40、
2[50L真空乳化機x1]-40、
3[50L真空乳化機x1]-40、
4[50L真空乳化機x1]-40、
5[50L真空乳化機x1]-40</t>
  </si>
  <si>
    <t>MHR25C1L1P</t>
  </si>
  <si>
    <t>HR25C1</t>
  </si>
  <si>
    <t>PDRN 超能安敏原生露120ML</t>
  </si>
  <si>
    <t>1[]-40、
2[]-80</t>
  </si>
  <si>
    <t>MHK25D1U2N</t>
  </si>
  <si>
    <t>HK25D1</t>
  </si>
  <si>
    <t>多酸拋光精華1L(壓頭款)</t>
  </si>
  <si>
    <t>1[100L升溫桶槽x1]-130
2[100L升溫桶槽x1]-260
3[100L升溫桶槽x1]-390</t>
  </si>
  <si>
    <t>1[100L升溫桶槽x1]-15、
2[100L升溫桶槽x1]-15
3[100L升溫桶槽x1]-15</t>
  </si>
  <si>
    <t>MHK25D2U2N</t>
  </si>
  <si>
    <t>HK25D2</t>
  </si>
  <si>
    <t>亮白淡斑精華1L(壓頭款)</t>
  </si>
  <si>
    <t>1[大型攪拌機x1]-85、</t>
  </si>
  <si>
    <t>1[大型攪拌機x1]-15、</t>
  </si>
  <si>
    <t>MET25B1F1P</t>
  </si>
  <si>
    <t>ET25B1</t>
  </si>
  <si>
    <t>角質平滑3重酸精華凝露30ML</t>
  </si>
  <si>
    <t>MET25D1F1P</t>
  </si>
  <si>
    <t>ET25D1</t>
  </si>
  <si>
    <t>角質平滑5重酸精華液30ML</t>
  </si>
  <si>
    <t>PN1REC2M1P</t>
  </si>
  <si>
    <t>N1REC2</t>
  </si>
  <si>
    <t>0.3%活膚保濕A醇精露-盒裝150ML</t>
  </si>
  <si>
    <t>1[]-25、
2[]-50、
3[]-75</t>
  </si>
  <si>
    <t>MGF25D2F1P</t>
  </si>
  <si>
    <t>GF25D2</t>
  </si>
  <si>
    <t>淨白C超煥亮精華液30ml</t>
  </si>
  <si>
    <t>PN1REE6H1P</t>
  </si>
  <si>
    <t>N1REE6</t>
  </si>
  <si>
    <t>1[]-25、
2[]-40、
3[]-55"</t>
  </si>
  <si>
    <t>PN1REF4F1P</t>
  </si>
  <si>
    <t>N1REF4</t>
  </si>
  <si>
    <t>1[]-25、
2[]-40、
3[]-55</t>
  </si>
  <si>
    <t>MAW25C1K1P</t>
  </si>
  <si>
    <t>AW25C1</t>
  </si>
  <si>
    <t>舒緩修護開運保濕噴霧100ml</t>
  </si>
  <si>
    <t>1[]-60、
2[]-120</t>
  </si>
  <si>
    <t>1[]-60
2[]-120</t>
  </si>
  <si>
    <t>1[400L大桶槽x1]-70、
2[400L大桶槽x1]-140</t>
  </si>
  <si>
    <t>MAW25C2K1P</t>
  </si>
  <si>
    <t>AW25C2</t>
  </si>
  <si>
    <t>晶透亮白桃花保濕噴霧100ml</t>
  </si>
  <si>
    <t>MAW25C3K1P</t>
  </si>
  <si>
    <t>AW25C3</t>
  </si>
  <si>
    <t>彈潤緊緻招財保濕噴霧100ml</t>
  </si>
  <si>
    <t>MLR25C2R1T</t>
  </si>
  <si>
    <t>LR25C2</t>
  </si>
  <si>
    <t>玻尿酸保濕化妝水500ML</t>
  </si>
  <si>
    <t>MLR25C1R1T</t>
  </si>
  <si>
    <t>LR25C1</t>
  </si>
  <si>
    <t>金縷梅化妝水500ml</t>
  </si>
  <si>
    <t>MGF25E1F1P</t>
  </si>
  <si>
    <t>GF25E1</t>
  </si>
  <si>
    <t>珍珠美白霜30ML</t>
  </si>
  <si>
    <t>MBY25P4N1T</t>
  </si>
  <si>
    <t>BY25P4</t>
  </si>
  <si>
    <t>BB 外泌體抗老修護身體乳200ML</t>
  </si>
  <si>
    <t>1[]-25、
2[]-25、
3[]-45</t>
  </si>
  <si>
    <t>1[100L真空乳化機x1]-140、
2[100L真空乳化機x1]-260、
3[100L真空乳化機x1]-380</t>
  </si>
  <si>
    <t>1[50L真空乳化機x1&amp;100L升溫桶槽x1]-125、
2[50L真空乳化機x1&amp;100L升溫桶槽x1]-215、
3[50L真空乳化機x1&amp;500L大桶槽x1]-305、
4[50L真空乳化機x1&amp;500L大桶槽x1]-395、
5[50L真空乳化機x1&amp;500L大桶槽x1]-485</t>
  </si>
  <si>
    <t>MDC25C1K1P</t>
  </si>
  <si>
    <t>DC25C1</t>
  </si>
  <si>
    <t>躺狗-PDRN積雪草光潤噴霧100ML</t>
  </si>
  <si>
    <t>MDC25E2H1P</t>
  </si>
  <si>
    <t>DC25E2</t>
  </si>
  <si>
    <t>躺狗-PDRN積雪草舒潤乳霜50ML</t>
  </si>
  <si>
    <t>MLH25M1R1N</t>
  </si>
  <si>
    <t>LH25M1</t>
  </si>
  <si>
    <t>Sereni Tea Shampoo 茶韻時刻 賦活洗髮露500ML</t>
  </si>
  <si>
    <t>1[]-35、</t>
  </si>
  <si>
    <t>1[500L大桶槽x1]-270</t>
  </si>
  <si>
    <t>MLH25M1W1N</t>
  </si>
  <si>
    <t>Sereni Tea Shampoo 茶韻時刻 賦活洗髮露4L</t>
  </si>
  <si>
    <t>MLH25Q1R1N</t>
  </si>
  <si>
    <t>LH25Q1</t>
  </si>
  <si>
    <t>Repos Body Cleanser 放鬆時刻 舒緩沐浴露500ML</t>
  </si>
  <si>
    <t>MLH25Q1W1N</t>
  </si>
  <si>
    <t>Repos Body Cleanser 放鬆時刻 舒緩沐浴露4L</t>
  </si>
  <si>
    <t>MJE25G141P</t>
  </si>
  <si>
    <t>JE25G1</t>
  </si>
  <si>
    <t>PDRN外泌體・賦時修護面膜28ml(4入/盒)</t>
  </si>
  <si>
    <t>1[]-20、
2[]-40、
3[]-60、
4[]-60</t>
  </si>
  <si>
    <t>1[400L大桶槽x1]-150、
2[400L大桶槽x1]-300、
3[400L大桶槽x1]-450、
4[400L大桶槽x1]-600</t>
  </si>
  <si>
    <t>MJE25D1G1P</t>
  </si>
  <si>
    <t>JE25D1</t>
  </si>
  <si>
    <t>PDRN外泌體・賦時精華35ml</t>
  </si>
  <si>
    <t>1[大型攪拌機x1]-60、
2[大型攪拌機x1]-100、
3[大型攪拌機x1]-140、
4[大型攪拌機x1]-180</t>
  </si>
  <si>
    <t>MJE25D1A1N</t>
  </si>
  <si>
    <t>PDRN外泌體・賦時精華 試用包2ml</t>
  </si>
  <si>
    <t>MJE25E1G1P</t>
  </si>
  <si>
    <t>JE25E1</t>
  </si>
  <si>
    <t>PDRN外泌體・賦時潤澤霜35ml</t>
  </si>
  <si>
    <t>1[50L真空乳化機x1&amp;100L升溫桶槽x1]-125、
2[50L真空乳化機x1&amp;100L升溫桶槽x1]-220、
3[50L真空乳化機x1&amp;500L大桶槽x1]-315、
4[50L真空乳化機x1&amp;500L大桶槽x1]-410</t>
  </si>
  <si>
    <t>1[50L真空乳化機x1]-40、
2[50L真空乳化機x1]-40、
3[50L真空乳化機x1]-40、
4[50L真空乳化機x1]-40</t>
  </si>
  <si>
    <t>MJE25E1A1N</t>
  </si>
  <si>
    <t>PDRN外泌體・賦時潤澤霜 試用包2ml</t>
  </si>
  <si>
    <t>MBY25DCE1P</t>
  </si>
  <si>
    <t>BY25DC</t>
  </si>
  <si>
    <t>外泌體PDRN驅黑亮白精華20ML</t>
  </si>
  <si>
    <t>MAA25F1C1P</t>
  </si>
  <si>
    <t>AA25F1</t>
  </si>
  <si>
    <t>MDC25D1F1P</t>
  </si>
  <si>
    <t>DC25D1</t>
  </si>
  <si>
    <t>躺狗-PDRN積雪草修護精華30ML</t>
  </si>
  <si>
    <t>MDC25G1F1N</t>
  </si>
  <si>
    <t>DC25G1</t>
  </si>
  <si>
    <t>躺狗-PDRN積雪草養護面膜25g</t>
  </si>
  <si>
    <t>MAW21C4E1N</t>
  </si>
  <si>
    <t>DV極致水潤光保濕化妝水20ml</t>
  </si>
  <si>
    <t>MAW21E1C1N</t>
  </si>
  <si>
    <t>DV極致水潤光保濕乳霜10ml</t>
  </si>
  <si>
    <t>PN1REC3M1P</t>
  </si>
  <si>
    <t>N1REC3</t>
  </si>
  <si>
    <t>PN1RED4F1P</t>
  </si>
  <si>
    <t>N1RED4</t>
  </si>
  <si>
    <t>PN1RED4B1P</t>
  </si>
  <si>
    <t>再生奇蹟膠原精華-盒裝5ML</t>
  </si>
  <si>
    <t>PN1EXD3F1P</t>
  </si>
  <si>
    <t>N1EXD3</t>
  </si>
  <si>
    <t>1500億超未來外泌體精華-盒裝30ML</t>
  </si>
  <si>
    <t>1[]-25
2[]-25
3[]-25</t>
  </si>
  <si>
    <t>1[大型攪拌機x1]-85
2[大型攪拌機x1]-170
3[大型攪拌機x1]-255</t>
  </si>
  <si>
    <t>MLT25K1K2T</t>
  </si>
  <si>
    <t>LT25K1</t>
  </si>
  <si>
    <t>銀盾奈米抗菌防護噴霧100ML</t>
  </si>
  <si>
    <t>1[400L大桶槽x1]-55、
2[400L大桶槽x1]-110、
3[400L大桶槽x1]-165、
4[400L大桶槽x1]-220</t>
  </si>
  <si>
    <t>1[400L大桶槽x1]-20、
2[400L大桶槽x1]-20、
3[400L大桶槽x1]-20、
4[400L大桶槽x1]-20</t>
  </si>
  <si>
    <t>MLT25K1K1T</t>
  </si>
  <si>
    <t>銀盾哈皮毛毛樂銀離子除臭消菌噴霧100ML</t>
  </si>
  <si>
    <t>MHC25D8F1P</t>
  </si>
  <si>
    <t>HC25D8</t>
  </si>
  <si>
    <t>1[]-40、
2[]-60、
3[]-80、
4[]-100</t>
  </si>
  <si>
    <t>MHC25D7F1P</t>
  </si>
  <si>
    <t>HC25D7</t>
  </si>
  <si>
    <t>1[]-40、
2[]-40、
3[]-40、
4[]-40</t>
  </si>
  <si>
    <t>MHC25D9F1P</t>
  </si>
  <si>
    <t>HC25D9</t>
  </si>
  <si>
    <t>MLA25D2C1N</t>
  </si>
  <si>
    <t>LA25D2</t>
  </si>
  <si>
    <t>MBY25E3H1P</t>
  </si>
  <si>
    <t>BB積雪草B5安撫修護清透乳霜50ML</t>
  </si>
  <si>
    <t>MBY25E4H1P</t>
  </si>
  <si>
    <t>BY25E4</t>
  </si>
  <si>
    <t>BB 外泌體PDRN膠原微晶彈潤霜50ML</t>
  </si>
  <si>
    <t>PN1PRD2F1P</t>
  </si>
  <si>
    <t>N1PRD2</t>
  </si>
  <si>
    <t>15% 6酸拋光嫩膚精華-盒裝30mL</t>
  </si>
  <si>
    <t>1[]-15、
2[]-15、
3[]-15、
4[]-15</t>
  </si>
  <si>
    <t>PN1PRD3F1P</t>
  </si>
  <si>
    <t>N1PRD3</t>
  </si>
  <si>
    <t>20% 6酸高光零油精華-盒裝30mL</t>
  </si>
  <si>
    <t>PN1PRD3A1N</t>
  </si>
  <si>
    <t>20% 6酸高光零油精華-試用包2mL</t>
  </si>
  <si>
    <t>PN1PRF4D1P</t>
  </si>
  <si>
    <t>N1PRF4</t>
  </si>
  <si>
    <t>18% 6酸淨痘無瑕精華-盒裝15mL</t>
  </si>
  <si>
    <t>1[100L真空乳化機x1]-170、
2[100L真空乳化機x1]-320、
3[100L真空乳化機x1]-470</t>
  </si>
  <si>
    <t>PN1PRF5H1P</t>
  </si>
  <si>
    <t>N1PRF5</t>
  </si>
  <si>
    <t>3% 6酸拋光舒緩凝乳-盒裝50mL</t>
  </si>
  <si>
    <t>1[]-50、
2[]-50、
3[]-70</t>
  </si>
  <si>
    <t>MBY25H3F1P</t>
  </si>
  <si>
    <t>BY25H3</t>
  </si>
  <si>
    <t>我的心機 柔光濾鏡妝前精華30ML</t>
  </si>
  <si>
    <t>MBY25H4F1P</t>
  </si>
  <si>
    <t>BY25H4</t>
  </si>
  <si>
    <t>我的心機 3%菸醯胺光感UV潤色精華-紫色30ML</t>
  </si>
  <si>
    <t>1[大型攪拌機x1&amp;小型攪拌機x1&amp;超音波震盪機x1]-60、
2[大型攪拌機x1&amp;小型攪拌機x1&amp;超音波震盪機x1]-120、
3[大型攪拌機x1&amp;小型攪拌機x1&amp;超音波震盪機x1]-180、
4[大型攪拌機x1&amp;小型攪拌機x1&amp;超音波震盪機x1]-240</t>
  </si>
  <si>
    <t>1[大型攪拌機x1&amp;50L真空乳化機x1]-120、
2[大型攪拌機x1&amp;50L真空乳化機x1]-240、
3[大型攪拌機x1&amp;50L真空乳化機x1]-360、
4[大型攪拌機x1&amp;50L真空乳化機x1]-480</t>
  </si>
  <si>
    <t>1[大型攪拌機x1&amp;50L真空乳化機x1]-105、
2[大型攪拌機x1&amp;50L真空乳化機x1]-105、
3[大型攪拌機x1&amp;50L真空乳化機x1]-105、
4[大型攪拌機x1&amp;50L真空乳化機x1]-105</t>
  </si>
  <si>
    <t>MBY25H5F1P</t>
  </si>
  <si>
    <t>BY25H5</t>
  </si>
  <si>
    <t>我的心機 3%菸醯胺光感UV潤色精華-膚色30ML</t>
  </si>
  <si>
    <t>MBY25F2D1P</t>
  </si>
  <si>
    <t>BY25F2</t>
  </si>
  <si>
    <t>我的心機 極致奢華全效眼霜15g</t>
  </si>
  <si>
    <t>MLF25C1L1P</t>
  </si>
  <si>
    <t>LF25C1</t>
  </si>
  <si>
    <t>3D膠原嫩白精華噴霧120ml</t>
  </si>
  <si>
    <t>1[大型攪拌機x1]-30、
2[大型攪拌機x1]-60</t>
  </si>
  <si>
    <t>MET25E1D1N</t>
  </si>
  <si>
    <t>ET25E1</t>
  </si>
  <si>
    <t>植泌修護精華霜15ML-裸瓶</t>
  </si>
  <si>
    <t>MET25E1D1P</t>
  </si>
  <si>
    <t>植泌修護精華霜15ML-盒裝</t>
  </si>
  <si>
    <t>MET25E1F1N</t>
  </si>
  <si>
    <t>植泌修護精華霜30ML-裸瓶</t>
  </si>
  <si>
    <t>MET25E1F1P</t>
  </si>
  <si>
    <t>植泌修護精華霜30ML-盒裝</t>
  </si>
  <si>
    <t>MET25E1A1N</t>
  </si>
  <si>
    <t>植泌修護精華霜-試用包2ML</t>
  </si>
  <si>
    <t>MET25D2D1P</t>
  </si>
  <si>
    <t>ET25D2</t>
  </si>
  <si>
    <t>植泌修護精華露15ML-盒裝</t>
  </si>
  <si>
    <t>MET25D2D1N</t>
  </si>
  <si>
    <t>植泌修護精華露15ML-裸瓶</t>
  </si>
  <si>
    <t>MET25D2F1P</t>
  </si>
  <si>
    <t>植泌修護精華露30ML-盒裝</t>
  </si>
  <si>
    <t>MET25D2F1N</t>
  </si>
  <si>
    <t>植泌修護精華露30ML-裸瓶</t>
  </si>
  <si>
    <t>MET25D2A1N</t>
  </si>
  <si>
    <t>植泌修護精華露-試用包2ML</t>
  </si>
  <si>
    <t>MLK26E1A1N</t>
  </si>
  <si>
    <t>LK26E1</t>
  </si>
  <si>
    <t>360高效全能NOVE修復乳-試用包2ML</t>
  </si>
  <si>
    <t>1[]-30、
2[]-30、
3[]-60、
4[]-60</t>
  </si>
  <si>
    <t>1[大型攪拌機x1]-15、
2[大型攪拌機x1]-20、
3[大型攪拌機x1]-25、
4[大型攪拌機x1]-30</t>
  </si>
  <si>
    <t>MJE25B1M1P</t>
  </si>
  <si>
    <t>JE25B1</t>
  </si>
  <si>
    <t>平衡淨化潔顏泥150g</t>
  </si>
  <si>
    <t>1[50L真空乳化機x1]-210、
2[50L真空乳化機x1]-420</t>
  </si>
  <si>
    <t>MCQ26D1M1N</t>
  </si>
  <si>
    <t>CQ26D1</t>
  </si>
  <si>
    <t>舒緩凝膠150ml</t>
  </si>
  <si>
    <t>MLA26D161P</t>
  </si>
  <si>
    <t>LA26D1</t>
  </si>
  <si>
    <t>RDA+極致萃泌10ML(六入一盒)</t>
  </si>
  <si>
    <t>MHC26H1C1P</t>
  </si>
  <si>
    <t>HC26H1</t>
  </si>
  <si>
    <t>DR. MAY 美博士專業潤色清爽防曬乳-紫色10ml-盒裝</t>
  </si>
  <si>
    <t>MKY26H1F1P</t>
  </si>
  <si>
    <t>KY26H1</t>
  </si>
  <si>
    <t>SPF 50+ PA++++超輕透亮防曬乳30ml</t>
  </si>
  <si>
    <t>1[小型攪拌機x1&amp;超音波震盪機x1]-90、
2[小型攪拌機x1&amp;超音波震盪機x1]-90、
3[小型攪拌機x1&amp;超音波震盪機x1]-90</t>
  </si>
  <si>
    <t>1[50L真空乳化機]-145、
2[50L真空乳化機x1]-290、
3[50L真空乳化機x1]-435、
4[50L真空乳化機x1]-580</t>
  </si>
  <si>
    <t>MAW26D131P</t>
  </si>
  <si>
    <t>AW26D1</t>
  </si>
  <si>
    <t>1[大型攪拌機x1&amp;400L大桶槽x1]-160、
2[大型攪拌機x1&amp;400L大桶槽x1]-320</t>
  </si>
  <si>
    <t>1[大型攪拌機x1&amp;400L大桶槽x1]-30、
2[大型攪拌機x1&amp;400L大桶槽x1]-30</t>
  </si>
  <si>
    <t>MKY26E1N1P</t>
  </si>
  <si>
    <t>KY26E1</t>
  </si>
  <si>
    <t>極潤修護身體乳200ml</t>
  </si>
  <si>
    <t>MKY26Z1H1P</t>
  </si>
  <si>
    <t>KY26Z1</t>
  </si>
  <si>
    <t>平衡莓好私密噴霧50ml</t>
  </si>
  <si>
    <t>1[]-70、
2[]-70、
3[]-70、
4[]-70</t>
  </si>
  <si>
    <t>PN1FOD4F1P</t>
  </si>
  <si>
    <t>N1FOD4</t>
  </si>
  <si>
    <t>22% 超極光BCE彈力精華-盒裝30ML</t>
  </si>
  <si>
    <t>1[大型攪拌機x1&amp;小型攪拌機x1&amp;超音波震盪機x1]-150、
2[大型攪拌機x1&amp;小型攪拌機x1&amp;超音波震盪機x1]-300、
3[大型攪拌機x1&amp;小型攪拌機x1&amp;超音波震盪機x1]-450</t>
  </si>
  <si>
    <t>1[大型攪拌機x1&amp;小型攪拌機x1&amp;超音波震盪機x1]-30、
2[大型攪拌機x1&amp;小型攪拌機x1&amp;超音波震盪機x1]-30、
3[大型攪拌機x1&amp;小型攪拌機x1&amp;超音波震盪機x1]-30</t>
  </si>
  <si>
    <t>PN1FOD2F1P</t>
  </si>
  <si>
    <t>N1FOD2</t>
  </si>
  <si>
    <t>10% 多胜肽三波緊緻精華-盒裝30ML</t>
  </si>
  <si>
    <t>MJC25E4R1P</t>
  </si>
  <si>
    <t>JC25E4</t>
  </si>
  <si>
    <t>妍洵-己簡‧齡 賦活外泌保濕乳霜500ml</t>
  </si>
  <si>
    <t>1[50L真空乳化機x1]-140、
2[50L真空乳化機x1]-250、
3[50L真空乳化機x1&amp;100L升溫桶槽x1]-360、
4[50L真空乳化機x1&amp;100L升溫桶槽x1]-470</t>
  </si>
  <si>
    <t>1[50L真空乳化機x1]-30、
2[50L真空乳化機x1]-30、
3[50L真空乳化機x1&amp;100L升溫桶槽x1]-30、
4[50L真空乳化機x1&amp;100L升溫桶槽x1]-30</t>
  </si>
  <si>
    <t>PN1FOD3F1P</t>
  </si>
  <si>
    <t>N1FOD3</t>
  </si>
  <si>
    <t>10% 穀胱甘肽青春精華-盒裝30ML</t>
  </si>
  <si>
    <t>1[大型攪拌機x1]-100、
2[大型攪拌機x1]-100、
3[大型攪拌機x2]-100</t>
  </si>
  <si>
    <t>1[50L真空乳化機x1&amp;大型攪拌機x1]-150、
2[50L真空乳化機x1&amp;大型攪拌機x1]-300、
3[50L真空乳化機x1&amp;大型攪拌機x2]-450</t>
  </si>
  <si>
    <t>1[50L真空乳化機x1&amp;大型攪拌機x1]-30、
2[50L真空乳化機x1&amp;大型攪拌機x1]-30、
3[50L真空乳化機x1&amp;大型攪拌機x2]-30</t>
  </si>
  <si>
    <t>MDX26C1M1P</t>
  </si>
  <si>
    <t>DX26C1</t>
  </si>
  <si>
    <t>1[]-30、
2[]-60、
3[]-90、
4[]-120</t>
  </si>
  <si>
    <t>1[400L大桶槽x1&amp;大型攪拌機x1&amp;小型攪拌機x1]-120、
2[400L大桶槽x1&amp;大型攪拌機x1&amp;小型攪拌機x1]-240、
3[400L大桶槽x1&amp;大型攪拌機x1&amp;小型攪拌機x1]-360、
4[400L大桶槽x1&amp;大型攪拌機x1&amp;小型攪拌機x1]-480</t>
  </si>
  <si>
    <t>1[400L大桶槽x1&amp;大型攪拌機x1&amp;小型攪拌機x1]-30、
2[400L大桶槽x1&amp;大型攪拌機x1&amp;小型攪拌機x1]-30、
3[400L大桶槽x1&amp;大型攪拌機x1&amp;小型攪拌機x1]-30、
4[400L大桶槽x1&amp;大型攪拌機x1&amp;小型攪拌機x1]-30</t>
  </si>
  <si>
    <t>MDX26E2H1P</t>
  </si>
  <si>
    <t>DX26E2</t>
  </si>
  <si>
    <t>1[100L真空乳化機x1]-170、
2[100L真空乳化機x1&amp;100L升溫桶槽x1]-310、
3[100L真空乳化機x1&amp;100L升溫桶槽x1]-450</t>
  </si>
  <si>
    <t>1[100L真空乳化機x1]-30、
2[100L真空乳化機x1&amp;100L升溫桶槽x1]-30、
3[100L真空乳化機x1&amp;100L升溫桶槽x1]-30</t>
  </si>
  <si>
    <t>MDX26E1H1P</t>
  </si>
  <si>
    <t>DX26E1</t>
  </si>
  <si>
    <t>MDX26F1D1P</t>
  </si>
  <si>
    <t>DX26F1</t>
  </si>
  <si>
    <t>純粹燕窩．逆齡重生緊緻眼霜15g</t>
  </si>
  <si>
    <t>MBY26H1H1N</t>
  </si>
  <si>
    <t>BY26H1</t>
  </si>
  <si>
    <t>BB 玻尿酸B5柔肌涼感防曬乳-裸瓶50ML</t>
  </si>
  <si>
    <t>MDD26H1F1P</t>
  </si>
  <si>
    <t>DD26H1</t>
  </si>
  <si>
    <t>SD天南星防曬隔離霜30ml(白)</t>
  </si>
  <si>
    <t>MDD26H2F1P</t>
  </si>
  <si>
    <t>DD26H2</t>
  </si>
  <si>
    <t>SD天南星防曬隔離霜30ml(膚)</t>
  </si>
  <si>
    <t>PN1FOD1F1P</t>
  </si>
  <si>
    <t>N1FOD1</t>
  </si>
  <si>
    <t>100% 玻尿酸保濕原液-盒裝30ML</t>
  </si>
  <si>
    <t>PN1FOD5F1P</t>
  </si>
  <si>
    <t>N1FOD5</t>
  </si>
  <si>
    <t>20% 神經醯胺角鯊修護精華-盒裝30ML</t>
  </si>
  <si>
    <t>1[50L真空乳化機x1&amp;大型攪拌機x1]-170、
2[50L真空乳化機x1&amp;大型攪拌機x1]-310、
3[50L真空乳化機x1&amp;大型攪拌機x1]-450</t>
  </si>
  <si>
    <t>1[100L真空乳化機x1&amp;大型攪拌機x1]-170、
2[100L真空乳化機x1&amp;大型攪拌機x1]-310、
3[100L真空乳化機x1&amp;大型攪拌機x1]-450</t>
  </si>
  <si>
    <t>1[100L真空乳化機x1&amp;大型攪拌機x1]-30、
2[100L真空乳化機x1&amp;大型攪拌機x1]-30、
3[100L真空乳化機x1&amp;大型攪拌機x1]-30</t>
  </si>
  <si>
    <t>PN1LBP1H1P</t>
  </si>
  <si>
    <t>N1LBP1</t>
  </si>
  <si>
    <t>LE BORN 靜謐森林護手霜-盒裝50ML</t>
  </si>
  <si>
    <t>1[50L真空乳化機x1-150、
2[50L真空乳化機x1]-270、
3[50L真空乳化機x1]-410</t>
  </si>
  <si>
    <t>1[100L真空乳化機x1]-170、
2[100L真空乳化機x1]-310、
3[100L真空乳化機x1]-450</t>
  </si>
  <si>
    <t>PN1LBP2H1P</t>
  </si>
  <si>
    <t>N1LBP2</t>
  </si>
  <si>
    <t>LE BORN 蔚藍海洋護手霜-盒裝50ML</t>
  </si>
  <si>
    <t>MJC26E1R1P</t>
  </si>
  <si>
    <t>JC26E1</t>
  </si>
  <si>
    <t>超導外泌保濕乳霜500ML</t>
  </si>
  <si>
    <t>1[50L真空乳化機x1]-130、
2[50L真空乳化機x1]-230、
3[50L真空乳化機x1]-330</t>
  </si>
  <si>
    <t>1[100L真空乳化機x1]-150、
2[100L真空乳化機x1-280、
3[100L真空乳化機x1-400、</t>
  </si>
  <si>
    <t>MJC26D1R1P</t>
  </si>
  <si>
    <t>JC26D1</t>
  </si>
  <si>
    <t>超導外泌保濕精華500ML</t>
  </si>
  <si>
    <t>MJC26Z1J1P</t>
  </si>
  <si>
    <t>JC26Z1</t>
  </si>
  <si>
    <t>MAB26E1F1P</t>
  </si>
  <si>
    <t>AB26E1</t>
  </si>
  <si>
    <t>賦活彈潤萬能霜30ml</t>
  </si>
  <si>
    <t>1[]-40、
2[]-40、
3[]-40</t>
  </si>
  <si>
    <t>1[50L真空乳化機x1-140、
2[50L真空乳化機x1]-260、
3[50L真空乳化機x1]-380</t>
  </si>
  <si>
    <t/>
  </si>
  <si>
    <t>2201-25010900003-0023</t>
  </si>
  <si>
    <t>2201-25020700001-0001</t>
  </si>
  <si>
    <t>2201-25020700001-0002</t>
  </si>
  <si>
    <t>MBX23C1D1N</t>
  </si>
  <si>
    <t>煥顏活膚保濕露15ML</t>
  </si>
  <si>
    <t>2201-25020700001-0003</t>
  </si>
  <si>
    <t>SBX23C1Z1-M1MA</t>
  </si>
  <si>
    <t>煥顏活膚保濕露內料</t>
  </si>
  <si>
    <t>X</t>
  </si>
  <si>
    <t>2201-24122000004-0002</t>
  </si>
  <si>
    <t>2201-25010900003-0022</t>
  </si>
  <si>
    <t>PN1VCD3D2P</t>
  </si>
  <si>
    <t>極透光亮白淡斑精華-盒裝15ML</t>
  </si>
  <si>
    <t>2201-25012000004-0001</t>
  </si>
  <si>
    <t>2201-25030700001-0001</t>
  </si>
  <si>
    <t>2201-25031300001-0001</t>
  </si>
  <si>
    <t>2201-25010900003-0016</t>
  </si>
  <si>
    <t>2201-25010900003-0017</t>
  </si>
  <si>
    <t>2201-25010900003-0018</t>
  </si>
  <si>
    <t>2201-25022000002-0001</t>
  </si>
  <si>
    <t>2201-24120500001-0001</t>
  </si>
  <si>
    <t>2201-24112700001-0001</t>
  </si>
  <si>
    <t>MHM24A1K1N</t>
  </si>
  <si>
    <t>PowerHero 5x多效胺基酸洗面乳100ML</t>
  </si>
  <si>
    <t>2201-24121000002-0001</t>
  </si>
  <si>
    <t>2201-25010900003-0019</t>
  </si>
  <si>
    <t>PN1HAD2F1P</t>
  </si>
  <si>
    <t>2201-25012000002-0001</t>
  </si>
  <si>
    <t>2201-25021100002-0001</t>
  </si>
  <si>
    <t>2201-25021200001-0001</t>
  </si>
  <si>
    <t>2201-25022700002-0001</t>
  </si>
  <si>
    <t>2201-25010900003-0007</t>
  </si>
  <si>
    <t>PN1HAD5A1N</t>
  </si>
  <si>
    <t>玻尿酸保濕水平衡賦能精華-試用包2ML</t>
  </si>
  <si>
    <t>2201-25020800001-0003</t>
  </si>
  <si>
    <t>2201-25021700006-0001</t>
  </si>
  <si>
    <t>2201-25030300001-0001</t>
  </si>
  <si>
    <t>2201-25012000001-0001</t>
  </si>
  <si>
    <t>2201-25020800001-0002</t>
  </si>
  <si>
    <t>2201-25031400001-0001</t>
  </si>
  <si>
    <t>2201-25022000001-0001</t>
  </si>
  <si>
    <t>2201-25031400001-0002</t>
  </si>
  <si>
    <t>2201-25031300010-0001</t>
  </si>
  <si>
    <t>2201-25021800003-0001</t>
  </si>
  <si>
    <t>MBX25E1C1N</t>
  </si>
  <si>
    <t>C23.8極光超導精華乳8ml</t>
  </si>
  <si>
    <t>2201-25021800003-0002</t>
  </si>
  <si>
    <t>SBX25E1Z1-M1EA</t>
  </si>
  <si>
    <t>C23.8極光超導精華乳-內料</t>
  </si>
  <si>
    <t>2201-25012000004-0003</t>
  </si>
  <si>
    <t>2201-25012200002-0001</t>
  </si>
  <si>
    <t>2201-25010900003-0006</t>
  </si>
  <si>
    <t>PN1HAD5B1P</t>
  </si>
  <si>
    <t>玻尿酸保濕水平衡賦能精華-特規5ML</t>
  </si>
  <si>
    <t>2201-25010900003-0001</t>
  </si>
  <si>
    <t>2201-25031300007-0001</t>
  </si>
  <si>
    <t>2201-25031300004-0001</t>
  </si>
  <si>
    <t>2201-25031300006-0001</t>
  </si>
  <si>
    <t>2201-25031300009-0001</t>
  </si>
  <si>
    <t>2201-25031800001-0001</t>
  </si>
  <si>
    <t>2201-25041400004-0001</t>
  </si>
  <si>
    <t>2201-25031800001-0002</t>
  </si>
  <si>
    <t>2201-25032000001-0001</t>
  </si>
  <si>
    <t>2201-25010900003-0002</t>
  </si>
  <si>
    <t>2201-25010900003-0004</t>
  </si>
  <si>
    <t>2201-25010900003-0005</t>
  </si>
  <si>
    <t>2201-25010900003-0009</t>
  </si>
  <si>
    <t>PN1REE1H1P</t>
  </si>
  <si>
    <t>1.8%超效逆時A醇精華-特規50ML</t>
  </si>
  <si>
    <t>2201-25012000004-0002</t>
  </si>
  <si>
    <t>2201-25021000002-0001</t>
  </si>
  <si>
    <t>2201-25022000003-0002</t>
  </si>
  <si>
    <t>2201-25022000002-0003</t>
  </si>
  <si>
    <t>2201-25022000003-0001</t>
  </si>
  <si>
    <t>2201-25022000003-0003</t>
  </si>
  <si>
    <t>2201-25022500001-0001</t>
  </si>
  <si>
    <t>2201-25030500001-0001</t>
  </si>
  <si>
    <t>2201-25030500002-0001</t>
  </si>
  <si>
    <t>2201-25030600002-0001</t>
  </si>
  <si>
    <t>2201-25031300008-0001</t>
  </si>
  <si>
    <t>2201-25031300005-0001</t>
  </si>
  <si>
    <t>2201-25031300003-0001</t>
  </si>
  <si>
    <t>2201-25032000004-0001</t>
  </si>
  <si>
    <t>2201-25012000005-0001</t>
  </si>
  <si>
    <t>2201-25020800001-0004</t>
  </si>
  <si>
    <t>2201-25020800001-0005</t>
  </si>
  <si>
    <t>2201-25022600001-0001</t>
  </si>
  <si>
    <t>2201-25041000004-0001</t>
  </si>
  <si>
    <t>MAW21E1R1T</t>
  </si>
  <si>
    <t>極致水潤光保濕乳霜 500ml</t>
  </si>
  <si>
    <t>2201-25031000002-0001</t>
  </si>
  <si>
    <t>2201-25031000003-0001</t>
  </si>
  <si>
    <t>2201-25031400001-0004</t>
  </si>
  <si>
    <t>2201-25041000005-0001</t>
  </si>
  <si>
    <t>2201-24122300001-0002</t>
  </si>
  <si>
    <t>2201-25041400005-0001</t>
  </si>
  <si>
    <t>2201-24122600001-0001</t>
  </si>
  <si>
    <t>(Multiple Items)</t>
  </si>
  <si>
    <t>Sum of 人工時</t>
  </si>
  <si>
    <t>Peter</t>
  </si>
  <si>
    <t>2023 work record</t>
  </si>
  <si>
    <t>訂單</t>
  </si>
  <si>
    <t>完成數</t>
  </si>
  <si>
    <t>排程時間差</t>
  </si>
  <si>
    <t>排程時間差%</t>
  </si>
  <si>
    <t>訂單數差</t>
  </si>
  <si>
    <t>訂單數差%</t>
  </si>
  <si>
    <t>Sum of 實際工時min</t>
  </si>
  <si>
    <t>動作</t>
  </si>
  <si>
    <t>P066</t>
  </si>
  <si>
    <t>1273盒.每盒4片→5092pcs；BA完成數應改為5092</t>
  </si>
  <si>
    <t>部門</t>
  </si>
  <si>
    <t>Grand Total</t>
  </si>
  <si>
    <t>小時</t>
  </si>
  <si>
    <t>兩人做=16h 加班小時</t>
  </si>
  <si>
    <t>充填機使用時間</t>
  </si>
  <si>
    <t>超過8h算加班</t>
  </si>
  <si>
    <t>一天不應該超過8h</t>
  </si>
  <si>
    <t>P059</t>
  </si>
  <si>
    <t>2000組，一組*5PCS→BA完成數應為10000pcs</t>
  </si>
  <si>
    <t>攪拌室</t>
  </si>
  <si>
    <t>11/22/2022</t>
  </si>
  <si>
    <t>充填室</t>
  </si>
  <si>
    <t>3/20/2023</t>
  </si>
  <si>
    <t>P020</t>
  </si>
  <si>
    <t>1273盒.每盒4片→5092pcs；BA完成數應改為5000pcs</t>
  </si>
  <si>
    <t>11/23/2022</t>
  </si>
  <si>
    <t>3/21/2023</t>
  </si>
  <si>
    <t>P086</t>
  </si>
  <si>
    <t>3/29/2023</t>
  </si>
  <si>
    <t>P024</t>
  </si>
  <si>
    <t>P022</t>
  </si>
  <si>
    <t>5/15/2023</t>
  </si>
  <si>
    <t>P116</t>
  </si>
  <si>
    <t>P121</t>
  </si>
  <si>
    <t>2/13/2023</t>
  </si>
  <si>
    <t>P036</t>
  </si>
  <si>
    <t>2/20/2023</t>
  </si>
  <si>
    <t>4/13/2023</t>
  </si>
  <si>
    <t>P045</t>
  </si>
  <si>
    <t>2/21/2023</t>
  </si>
  <si>
    <t>2/18/2023</t>
  </si>
  <si>
    <t>4/20/2023</t>
  </si>
  <si>
    <t>P084</t>
  </si>
  <si>
    <t>2/17/2023</t>
  </si>
  <si>
    <t>2/22/2023</t>
  </si>
  <si>
    <t>4/27/2023</t>
  </si>
  <si>
    <t>P097</t>
  </si>
  <si>
    <t>2/23/2023</t>
  </si>
  <si>
    <t>4/28/2023</t>
  </si>
  <si>
    <t>P110</t>
  </si>
  <si>
    <t>7/31/2023</t>
  </si>
  <si>
    <t>P085</t>
  </si>
  <si>
    <t>3/17/2023</t>
  </si>
  <si>
    <t>P100</t>
  </si>
  <si>
    <t>3/13/2023</t>
  </si>
  <si>
    <t>P046</t>
  </si>
  <si>
    <t>3/16/2023</t>
  </si>
  <si>
    <t>P012</t>
  </si>
  <si>
    <t>3/23/2023</t>
  </si>
  <si>
    <t>P019</t>
  </si>
  <si>
    <t>3/14/2023</t>
  </si>
  <si>
    <t>3/24/2023</t>
  </si>
  <si>
    <t>P048</t>
  </si>
  <si>
    <t>P009</t>
  </si>
  <si>
    <t>3/30/2023</t>
  </si>
  <si>
    <t>3/22/2023</t>
  </si>
  <si>
    <t>P068</t>
  </si>
  <si>
    <t>3/31/2023</t>
  </si>
  <si>
    <t>3/25/2023</t>
  </si>
  <si>
    <t>P083</t>
  </si>
  <si>
    <t>3/27/2023</t>
  </si>
  <si>
    <t>P104</t>
  </si>
  <si>
    <t>3/28/2023</t>
  </si>
  <si>
    <t>P047</t>
  </si>
  <si>
    <t>P033</t>
  </si>
  <si>
    <t>P010</t>
  </si>
  <si>
    <t>P038</t>
  </si>
  <si>
    <t>P035</t>
  </si>
  <si>
    <t>4/18/2023</t>
  </si>
  <si>
    <t>P056</t>
  </si>
  <si>
    <t>4/19/2023</t>
  </si>
  <si>
    <t>4/17/2023</t>
  </si>
  <si>
    <t>P031</t>
  </si>
  <si>
    <t>P050</t>
  </si>
  <si>
    <t>4/21/2023</t>
  </si>
  <si>
    <t>P030</t>
  </si>
  <si>
    <t>4/24/2023</t>
  </si>
  <si>
    <t>P081</t>
  </si>
  <si>
    <t>4/25/2023</t>
  </si>
  <si>
    <t>P111</t>
  </si>
  <si>
    <t>4/26/2023</t>
  </si>
  <si>
    <t>P004</t>
  </si>
  <si>
    <t>P005</t>
  </si>
  <si>
    <t>4/14/2023</t>
  </si>
  <si>
    <t>P032</t>
  </si>
  <si>
    <t>P018</t>
  </si>
  <si>
    <t>P011</t>
  </si>
  <si>
    <t>P064</t>
  </si>
  <si>
    <t>P075</t>
  </si>
  <si>
    <t>P126</t>
  </si>
  <si>
    <t>P079</t>
  </si>
  <si>
    <t>P051</t>
  </si>
  <si>
    <t>P003</t>
  </si>
  <si>
    <t>P028</t>
  </si>
  <si>
    <t>5/16/2023</t>
  </si>
  <si>
    <t>P021</t>
  </si>
  <si>
    <t>5/17/2023</t>
  </si>
  <si>
    <t>P125</t>
  </si>
  <si>
    <t>5/18/2023</t>
  </si>
  <si>
    <t>P029</t>
  </si>
  <si>
    <t>5/19/2023</t>
  </si>
  <si>
    <t>P054</t>
  </si>
  <si>
    <t>5/23/2023</t>
  </si>
  <si>
    <t>P114</t>
  </si>
  <si>
    <t>5/24/2023</t>
  </si>
  <si>
    <t>P043</t>
  </si>
  <si>
    <t>5/25/2023</t>
  </si>
  <si>
    <t>P026</t>
  </si>
  <si>
    <t>5/26/2023</t>
  </si>
  <si>
    <t>P074</t>
  </si>
  <si>
    <t>5/29/2023</t>
  </si>
  <si>
    <t>P099</t>
  </si>
  <si>
    <t>5/30/2023</t>
  </si>
  <si>
    <t>P078</t>
  </si>
  <si>
    <t>P082</t>
  </si>
  <si>
    <t>5/31/2023</t>
  </si>
  <si>
    <t>P115</t>
  </si>
  <si>
    <t>P129</t>
  </si>
  <si>
    <t>P001</t>
  </si>
  <si>
    <t>P124</t>
  </si>
  <si>
    <t>P072</t>
  </si>
  <si>
    <t>P096</t>
  </si>
  <si>
    <t>P117</t>
  </si>
  <si>
    <t>6/13/2023</t>
  </si>
  <si>
    <t>P042</t>
  </si>
  <si>
    <t>6/14/2023</t>
  </si>
  <si>
    <t>P044</t>
  </si>
  <si>
    <t>6/15/2023</t>
  </si>
  <si>
    <t>P057</t>
  </si>
  <si>
    <t>6/16/2023</t>
  </si>
  <si>
    <t>P058</t>
  </si>
  <si>
    <t>6/17/2023</t>
  </si>
  <si>
    <t>P073</t>
  </si>
  <si>
    <t>6/20/2023</t>
  </si>
  <si>
    <t>P106</t>
  </si>
  <si>
    <t>6/21/2023</t>
  </si>
  <si>
    <t>P002</t>
  </si>
  <si>
    <t>6/19/2023</t>
  </si>
  <si>
    <t>6/26/2023</t>
  </si>
  <si>
    <t>P128</t>
  </si>
  <si>
    <t>6/27/2023</t>
  </si>
  <si>
    <t>P070</t>
  </si>
  <si>
    <t>6/28/2023</t>
  </si>
  <si>
    <t>P101</t>
  </si>
  <si>
    <t>P014</t>
  </si>
  <si>
    <t>P007</t>
  </si>
  <si>
    <t>P052</t>
  </si>
  <si>
    <t>6/29/2023</t>
  </si>
  <si>
    <t>P112</t>
  </si>
  <si>
    <t>6/30/2023</t>
  </si>
  <si>
    <t>P013</t>
  </si>
  <si>
    <t>P102</t>
  </si>
  <si>
    <t>P067</t>
  </si>
  <si>
    <t>7/13/2023</t>
  </si>
  <si>
    <t>P107</t>
  </si>
  <si>
    <t>7/14/2023</t>
  </si>
  <si>
    <t>P055</t>
  </si>
  <si>
    <t>7/17/2023</t>
  </si>
  <si>
    <t>P080</t>
  </si>
  <si>
    <t>7/18/2023</t>
  </si>
  <si>
    <t>P109</t>
  </si>
  <si>
    <t>7/19/2023</t>
  </si>
  <si>
    <t>P017</t>
  </si>
  <si>
    <t>7/20/2023</t>
  </si>
  <si>
    <t>P008</t>
  </si>
  <si>
    <t>7/21/2023</t>
  </si>
  <si>
    <t>P103</t>
  </si>
  <si>
    <t>7/24/2023</t>
  </si>
  <si>
    <t>P062</t>
  </si>
  <si>
    <t>7/25/2023</t>
  </si>
  <si>
    <t>P105</t>
  </si>
  <si>
    <t>7/26/2023</t>
  </si>
  <si>
    <t>P041</t>
  </si>
  <si>
    <t>7/27/2023</t>
  </si>
  <si>
    <t>P127</t>
  </si>
  <si>
    <t>7/28/2023</t>
  </si>
  <si>
    <t>P071</t>
  </si>
  <si>
    <t>P069</t>
  </si>
  <si>
    <t>P113</t>
  </si>
  <si>
    <t>P077</t>
  </si>
  <si>
    <t>P034</t>
  </si>
  <si>
    <t>P016</t>
  </si>
  <si>
    <t>P060</t>
  </si>
  <si>
    <t>P053</t>
  </si>
  <si>
    <t>P040</t>
  </si>
  <si>
    <t>P108</t>
  </si>
  <si>
    <t>8/14/2023</t>
  </si>
  <si>
    <t>P023</t>
  </si>
  <si>
    <t>8/15/2023</t>
  </si>
  <si>
    <t>P076</t>
  </si>
  <si>
    <t>8/16/2023</t>
  </si>
  <si>
    <t>P120</t>
  </si>
  <si>
    <t>8/18/2023</t>
  </si>
  <si>
    <t>P063</t>
  </si>
  <si>
    <t>8/17/2023</t>
  </si>
  <si>
    <t>8/22/2023</t>
  </si>
  <si>
    <t>P098</t>
  </si>
  <si>
    <t>8/21/2023</t>
  </si>
  <si>
    <t>P027</t>
  </si>
  <si>
    <t>P118</t>
  </si>
  <si>
    <t>P015</t>
  </si>
  <si>
    <t>P039</t>
  </si>
  <si>
    <t>P119</t>
  </si>
  <si>
    <t>P061</t>
  </si>
  <si>
    <t>P065</t>
  </si>
  <si>
    <t>P087</t>
  </si>
  <si>
    <t>機器備註</t>
  </si>
  <si>
    <t>單日最適產能(pcs)</t>
  </si>
  <si>
    <t>每pcs所需時間min</t>
  </si>
  <si>
    <t>充填重量-粉項</t>
  </si>
  <si>
    <t>充填機具&amp;配件</t>
  </si>
  <si>
    <t>濾網</t>
  </si>
  <si>
    <t>表定產能pcs/hr(人力配置)</t>
  </si>
  <si>
    <t>日工時</t>
  </si>
  <si>
    <t>HC25D8F1P</t>
  </si>
  <si>
    <t>[烘箱x1]</t>
  </si>
  <si>
    <t>含拆貨，一天烘兩輪/每輪1664pcs/每輪3hr/1人</t>
  </si>
  <si>
    <t>624(1)</t>
  </si>
  <si>
    <t>624</t>
  </si>
  <si>
    <t>HC25D8F1P洗瓶</t>
  </si>
  <si>
    <t>HC25D9F1P</t>
  </si>
  <si>
    <t>HC25D9F1P洗瓶</t>
  </si>
  <si>
    <t>MAA17F2C2</t>
  </si>
  <si>
    <t>泵浦式
黃管+手拿管</t>
  </si>
  <si>
    <t>200目鐵網
200目絹網</t>
  </si>
  <si>
    <t>1700(1)*</t>
  </si>
  <si>
    <t>1700</t>
  </si>
  <si>
    <t>噴印瓶底
可微略擦邊但要可辨識</t>
  </si>
  <si>
    <t>MAA17F2C2P排瓶</t>
  </si>
  <si>
    <t>[泵浦式充填機x1&amp;噴印機-小x1]</t>
  </si>
  <si>
    <t>架線90min</t>
  </si>
  <si>
    <t>1700(0.5-0.8-1.7-1)*
(充-壓滾珠座-鎖蓋-入箱)</t>
  </si>
  <si>
    <t>MAA17F2C2P充填</t>
  </si>
  <si>
    <t>MAA17Z1K2</t>
  </si>
  <si>
    <t>nac nac 草本精油驅蚊噴霧90ml</t>
  </si>
  <si>
    <t>泵浦式
白管
抽料管
自動鎖蓋機</t>
  </si>
  <si>
    <t>1300(1)*</t>
  </si>
  <si>
    <t>1300</t>
  </si>
  <si>
    <t>噴印瓶底</t>
  </si>
  <si>
    <t>MAA17Z1K2P排瓶</t>
  </si>
  <si>
    <t>[泵浦式充填機x1&amp;噴印機x1]</t>
  </si>
  <si>
    <t>900(1-1.02-0.76-0.75)*
(充-自動鎖-蓋-入箱)</t>
  </si>
  <si>
    <t>900</t>
  </si>
  <si>
    <t>MAA17Z1K2P充填</t>
  </si>
  <si>
    <t>MAA17Z2H2</t>
  </si>
  <si>
    <t>泵浦式
白管
黃色手拿管</t>
  </si>
  <si>
    <t>1200(1)*</t>
  </si>
  <si>
    <t>1200</t>
  </si>
  <si>
    <t>MAA17Z2H2P排瓶</t>
  </si>
  <si>
    <t>1100(0.73-0.42-1.03-0.8)*
(充-塞-鎖-入箱)</t>
  </si>
  <si>
    <t>1100</t>
  </si>
  <si>
    <t>MAA17Z2H2P充填</t>
  </si>
  <si>
    <t>MAA18Q1Q1</t>
  </si>
  <si>
    <t>大型氣壓式
抽料管
X
自動鎖蓋機</t>
  </si>
  <si>
    <t>100目絹網</t>
  </si>
  <si>
    <t>860(1)*</t>
  </si>
  <si>
    <t>860</t>
  </si>
  <si>
    <t>壓頭轉正面朝左
噴印:瓶底、勿壓nac nac
可壓回收標&amp;模具號
字寬參數:500</t>
  </si>
  <si>
    <t>MAA18Q1Q1P排瓶</t>
  </si>
  <si>
    <t>[大定量缸式充填機x1&amp;自動鎖蓋機x1&amp;噴印機x1]</t>
  </si>
  <si>
    <t>洗機器120min人時</t>
  </si>
  <si>
    <t>440(0.9-1.1-1)*
(充-鎖-入箱)</t>
  </si>
  <si>
    <t>440</t>
  </si>
  <si>
    <t>MAA18Q1Q1P充填</t>
  </si>
  <si>
    <t>MAA20H2G1</t>
  </si>
  <si>
    <t>[定量缸式充填機x1&amp;噴印機x1]</t>
  </si>
  <si>
    <t>氣壓式
唐亞</t>
  </si>
  <si>
    <t>750(0.7-1.3-1-1)*
(充-塞-鎖-入箱)</t>
  </si>
  <si>
    <t>750</t>
  </si>
  <si>
    <t>瓶蓋開口方向與正面印刷一致
左右各0.8cm範圍</t>
  </si>
  <si>
    <t>MAA20H2G1P充填</t>
  </si>
  <si>
    <t>MAA25F1C1</t>
  </si>
  <si>
    <t>2900(1)</t>
  </si>
  <si>
    <t>2900</t>
  </si>
  <si>
    <t>MAA25F1C1P排瓶</t>
  </si>
  <si>
    <t>1700(0.5-0.8-1.7-1)
(充-壓滾珠座-鎖蓋-入箱)</t>
  </si>
  <si>
    <t>MAA25F1C1P充填</t>
  </si>
  <si>
    <t>MAA25H1G1</t>
  </si>
  <si>
    <t>氣壓式
X</t>
  </si>
  <si>
    <t>900(1-1-1.4-0.6)*
(充-塞-鎖-入箱)</t>
  </si>
  <si>
    <t>軟管
噴印位置背面上方的電眼右側空白處</t>
  </si>
  <si>
    <t>MAA25H1G1P充填</t>
  </si>
  <si>
    <t>MAA25Z1H1</t>
  </si>
  <si>
    <t>泵浦式
白管
黃色手拿管
自動鎖蓋機
夾瓶輸送帶
桌上型壓蓋機</t>
  </si>
  <si>
    <t>1200(1)</t>
  </si>
  <si>
    <t>MAA25Z1H1P排瓶</t>
  </si>
  <si>
    <t>[泵浦式充填機x1&amp;自動鎖蓋機X1&amp;夾瓶輸送帶X1&amp;噴印機x1]</t>
  </si>
  <si>
    <t>900(4)
(充-塞珠&amp;上座-鎖-入箱)</t>
  </si>
  <si>
    <t>MAA25Z1H1P充填</t>
  </si>
  <si>
    <t>MAB17C1L1</t>
  </si>
  <si>
    <t>雙管泵浦充填
白管</t>
  </si>
  <si>
    <t>440(1)*
(吹瓶+組吸管)</t>
  </si>
  <si>
    <t>噴印瓶底
注意滴管組裝脫落</t>
  </si>
  <si>
    <t>MAB17C1L1P排瓶</t>
  </si>
  <si>
    <t>600(1-1.3-0.6-0.7)*
(充-鎖頭-蓋-入箱)</t>
  </si>
  <si>
    <t>600</t>
  </si>
  <si>
    <t>MAB17C1L1P充填</t>
  </si>
  <si>
    <t>MAB17D1M1</t>
  </si>
  <si>
    <t>1100(1)*</t>
  </si>
  <si>
    <t>MAB17D1M1P排瓶</t>
  </si>
  <si>
    <t>600(1-1-1)*
(充-壓蓋-入箱)</t>
  </si>
  <si>
    <t>MAB17D1M1P充填</t>
  </si>
  <si>
    <t>MAB17H1H1</t>
  </si>
  <si>
    <t>泵浦式
黃管</t>
  </si>
  <si>
    <t>850(1-1-1-1)*
(充-塞-鎖-入箱)</t>
  </si>
  <si>
    <t>850</t>
  </si>
  <si>
    <t>噴印瓶器背面</t>
  </si>
  <si>
    <t>MAB17H1H1P充填</t>
  </si>
  <si>
    <t>MAB18D151</t>
  </si>
  <si>
    <t>泵浦式
手拿管
黃管
料斗
夾瓶輸送帶
啟益噴印機</t>
  </si>
  <si>
    <t>4256/3hr/輪</t>
  </si>
  <si>
    <t>MAB18D151P洗瓶</t>
  </si>
  <si>
    <t>1850(1)*</t>
  </si>
  <si>
    <t>1850</t>
  </si>
  <si>
    <t>MAB18D151P排瓶</t>
  </si>
  <si>
    <t>1500(0.8-1.4-0.8-0.8)*
(充填-蓋-壓-入箱)</t>
  </si>
  <si>
    <t>1500</t>
  </si>
  <si>
    <t>MAB18D151P充填</t>
  </si>
  <si>
    <t>MAB18D251</t>
  </si>
  <si>
    <t>含拆貨，一天烘兩輪/每輪4256pcs/每輪3hr/1人</t>
  </si>
  <si>
    <t>MAB18D251P洗瓶</t>
  </si>
  <si>
    <t>1500(1)*</t>
  </si>
  <si>
    <t>MAB18D251P排瓶</t>
  </si>
  <si>
    <t>[泵浦式充填機x1&amp;夾瓶輸送帶*1&amp;啟益噴印機x1]</t>
  </si>
  <si>
    <t>MAB18D251P充填</t>
  </si>
  <si>
    <t>MAB21A1M1</t>
  </si>
  <si>
    <t>雙管泵浦式
白管
自動鎖蓋機
夾瓶輸送帶</t>
  </si>
  <si>
    <t>700(1)*</t>
  </si>
  <si>
    <t>700</t>
  </si>
  <si>
    <t>噴印瓶底
避開凹凸可清楚辨識即可</t>
  </si>
  <si>
    <t>MAB21A1M1P排瓶</t>
  </si>
  <si>
    <t>[雙管泵浦式充填機x1&amp;噴印機x1]</t>
  </si>
  <si>
    <t>660(1-2-1)*
(充-鎖-入箱)</t>
  </si>
  <si>
    <t>660</t>
  </si>
  <si>
    <t>MAB21A1M1P充填</t>
  </si>
  <si>
    <t>MAB21C1C1</t>
  </si>
  <si>
    <t>啟益
泵浦式
白管
自動鎖蓋機</t>
  </si>
  <si>
    <t>對齊瓶身正面
LOGO
可壓凹凸處</t>
  </si>
  <si>
    <t>MAB21C1C1P排瓶</t>
  </si>
  <si>
    <t>1000(0.5-0.8-1.2-1)*
(充-放滴管-鎖-入箱)</t>
  </si>
  <si>
    <t>1000</t>
  </si>
  <si>
    <t>MAB21C1C1P充填</t>
  </si>
  <si>
    <t>MAB25D151</t>
  </si>
  <si>
    <t>西林瓶
噴印瓶底</t>
  </si>
  <si>
    <t>MAB25D151P洗瓶</t>
  </si>
  <si>
    <t>MAB25D151P排瓶</t>
  </si>
  <si>
    <t>1500(4)
(充-塞-夾-噴印-入箱)</t>
  </si>
  <si>
    <t>MAB25D151P充填</t>
  </si>
  <si>
    <t>MAW20D302</t>
  </si>
  <si>
    <t>委外充填</t>
  </si>
  <si>
    <t>MAW20D302P充填</t>
  </si>
  <si>
    <t>MAW20D402</t>
  </si>
  <si>
    <t>MAW20D402P充填</t>
  </si>
  <si>
    <t>MAW20D502</t>
  </si>
  <si>
    <t>MAW20D502P充填</t>
  </si>
  <si>
    <t>MAW20E1D1</t>
  </si>
  <si>
    <t>[定量缸式充填機x1&amp;噴印機-小x1]</t>
  </si>
  <si>
    <t>800(0.7-1-1-1)*
(充-塞-鎖-入箱)</t>
  </si>
  <si>
    <t>800</t>
  </si>
  <si>
    <t>瓶背上方</t>
  </si>
  <si>
    <t>MAW20E1D1P充填</t>
  </si>
  <si>
    <t>MAW21C1K1</t>
  </si>
  <si>
    <t>泵浦式
白管
自動鎖蓋機</t>
  </si>
  <si>
    <t>800(1)*</t>
  </si>
  <si>
    <t>噴印瓶底
避開合模線</t>
  </si>
  <si>
    <t>MAW21C1K1P排瓶</t>
  </si>
  <si>
    <t>[泵浦式充填機x1&amp;自動鎖蓋機&amp;噴印機x1]</t>
  </si>
  <si>
    <t>700(0.5-1-1-1)*
(充-自動鎖-蓋-入箱)</t>
  </si>
  <si>
    <t>MAW21C1K1P充填</t>
  </si>
  <si>
    <t>MAW21C4E1</t>
  </si>
  <si>
    <t>泵浦式
抽料管
黃管</t>
  </si>
  <si>
    <t>900(0.7-1-0.8-1-0.5)*
(充-塞-貼-鎖-入箱)</t>
  </si>
  <si>
    <t>軟管：PE+鋁+PE
內塞：PE
上蓋：PP</t>
  </si>
  <si>
    <t>MAW21C4E1N充填</t>
  </si>
  <si>
    <t>MAW21C4K1</t>
  </si>
  <si>
    <t>MAW21C4K1P排瓶</t>
  </si>
  <si>
    <t>600(0.6-1.5-1-1)*
(充-拆袋放丫頭-蓋-入箱)</t>
  </si>
  <si>
    <t>MAW21C4K1P充填</t>
  </si>
  <si>
    <t>MAW21C4R1</t>
  </si>
  <si>
    <t>雙管泵浦式
白管</t>
  </si>
  <si>
    <t>噴印瓶底
清晰可辨視
吸管壓頭總長19cm
超過需剪</t>
  </si>
  <si>
    <t>MAW21C4R1T排瓶</t>
  </si>
  <si>
    <t>310(1-1.3-0.7)*
(充-鎖-入箱)</t>
  </si>
  <si>
    <t>310</t>
  </si>
  <si>
    <t>MAW21C4R1T充填</t>
  </si>
  <si>
    <t>MAW21E1C1</t>
  </si>
  <si>
    <t>齒輪式</t>
  </si>
  <si>
    <t>900(0.8-1-0.9-1-0.5)*
(充-塞-貼-鎖-入箱)</t>
  </si>
  <si>
    <t>MAW21E1C1N充填</t>
  </si>
  <si>
    <t>MAW21E1F1</t>
  </si>
  <si>
    <t>750(1)*</t>
  </si>
  <si>
    <t>噴印瓶底
避開凹凸點
無方向性</t>
  </si>
  <si>
    <t>MAW21E1F1P排瓶</t>
  </si>
  <si>
    <t>770(0.9-0.5-1.3-1.1)*
(充-墊-鎖-入箱)</t>
  </si>
  <si>
    <t>770</t>
  </si>
  <si>
    <t>MAW21E1F1P充填</t>
  </si>
  <si>
    <t>MAW21E1R1</t>
  </si>
  <si>
    <t>大氣壓式
X</t>
  </si>
  <si>
    <t>550(1)*</t>
  </si>
  <si>
    <t>550</t>
  </si>
  <si>
    <t>噴印瓶底
避開凹凸點</t>
  </si>
  <si>
    <t>MAW21E1R1T排瓶</t>
  </si>
  <si>
    <t>[大定量缸式充填機x1&amp;噴印機x1]</t>
  </si>
  <si>
    <t>200(1-0.3-0.4-0.4)*
(充-墊片-鎖蓋-入箱)</t>
  </si>
  <si>
    <t>200</t>
  </si>
  <si>
    <t>MAW21E1R1T充填</t>
  </si>
  <si>
    <t>MAW23D131</t>
  </si>
  <si>
    <t>泵浦式
白管
藥勺
桌上型壓蓋機(組裝製具)</t>
  </si>
  <si>
    <t>300(1)*</t>
  </si>
  <si>
    <t>300</t>
  </si>
  <si>
    <t>噴印位置：回收標上方
噴印格式
XXXXXX
水項為第五碼數字表示
粉體項為第六碼英文表示
上完內塞要上蓋時，要注意不可出力鎖緊!!!瓶蓋會裂</t>
  </si>
  <si>
    <t>MAW23D131P排瓶</t>
  </si>
  <si>
    <t>400(0.17-0.95-1.1-1.14-0.66)*
(充-裝粉-壓粉-組裝-噴印入箱)</t>
  </si>
  <si>
    <t>400</t>
  </si>
  <si>
    <t>MAW23D131P充填</t>
  </si>
  <si>
    <t>MAW24D1F1</t>
  </si>
  <si>
    <t>啟益
泵浦式
黃管
自動鎖蓋機
夾瓶輸送帶</t>
  </si>
  <si>
    <t>700(1)</t>
  </si>
  <si>
    <t>半透明紫色玻璃瓶膠帽滴管</t>
  </si>
  <si>
    <t>MAW24D1F1P排瓶</t>
  </si>
  <si>
    <t>1000(0.8-0.7-0.9-0.6)*
(充-內塞-滴管鎖-入箱)</t>
  </si>
  <si>
    <t>MAW24D1F1P充填</t>
  </si>
  <si>
    <t>MAW24D2F1</t>
  </si>
  <si>
    <t>啟益
泵浦式
黃管
自動鎖蓋機</t>
  </si>
  <si>
    <t>1500(1)</t>
  </si>
  <si>
    <t>茶色玻璃瓶膠帽滴管</t>
  </si>
  <si>
    <t>MAW24D2F1P排瓶</t>
  </si>
  <si>
    <t>1200(1-1-1-1)*
(充-內塞-放滴管鎖-入箱)</t>
  </si>
  <si>
    <t>MAW24D2F1P充填</t>
  </si>
  <si>
    <t>MAW24G101</t>
  </si>
  <si>
    <t>啟益
泵浦式
黃管
手拿管
面膜機封
封口壓空氣螺絲露出長度
0.7cm壓空氣1
0.4cm壓空氣2&amp;3</t>
  </si>
  <si>
    <t>200目絹網
200目鐵網</t>
  </si>
  <si>
    <t>2700(1)</t>
  </si>
  <si>
    <t>2700</t>
  </si>
  <si>
    <t>需確認10片面膜厚度入紙盒空間
參照20241017信件</t>
  </si>
  <si>
    <t>MAW24G101P排瓶</t>
  </si>
  <si>
    <t>[啟益噴印機&amp;面膜機x1]</t>
  </si>
  <si>
    <t>1500(1-1)*
(機充-驗封口噴印入箱)</t>
  </si>
  <si>
    <t>MAW24G101P充填</t>
  </si>
  <si>
    <t>MAW24G111</t>
  </si>
  <si>
    <t>啟益
泵浦式
黃管
手拿管
面膜機封</t>
  </si>
  <si>
    <t>NG鋁袋!!</t>
  </si>
  <si>
    <t>MAW24G111N排瓶</t>
  </si>
  <si>
    <t>[泵浦式充填機*1、噴印機*1-架線90min]</t>
  </si>
  <si>
    <t>1100(1-1-1-1)
(充-封口-檢驗-裝opp袋入箱)
啟益噴印機架在面膜機上
封口完直接噴印</t>
  </si>
  <si>
    <t>MAW24G111N充填</t>
  </si>
  <si>
    <t>MAW24G211</t>
  </si>
  <si>
    <t>啟益
面膜機</t>
  </si>
  <si>
    <t>空白鋁袋!!</t>
  </si>
  <si>
    <t>MAW24G211N排瓶</t>
  </si>
  <si>
    <t>MAW24G211N充填</t>
  </si>
  <si>
    <t>MAW25C1K1</t>
  </si>
  <si>
    <t>上層:7.8g
中層:9.6g
下層:80g</t>
  </si>
  <si>
    <t>泵浦式充填機x2
雙管泵浦式充填機x1
自動鎖蓋機x1
噴印機x1
操作看備註</t>
  </si>
  <si>
    <t>充填時將鎖蓋機扭力設定為 94
噴印瓶底
充填順序：下層精華→中層油→上層油
下層精華 雙管泵浦 速度3
中層油  泵浦式 充填速度 14
上層油 泵浦式  充填速度 8
充第三層油要注意出料管可以泡到第二層料表面 (如果沾到下層 會滴料)
中層油出白桶
上層油出藍桶</t>
  </si>
  <si>
    <t>MAW25C1K1P排瓶</t>
  </si>
  <si>
    <t>[泵浦式充填機x2&amp;雙管泵浦式充填機x1&amp;自動鎖蓋機x1&amp;噴印機x1]</t>
  </si>
  <si>
    <t>700(1-0.7-0.9-0.9-0.5)*
(充下層精華-充中層油-充上層油-放壓頭鎖-上蓋入箱)</t>
  </si>
  <si>
    <t>MAW25C1K1P充填</t>
  </si>
  <si>
    <t>MAW25C2K1</t>
  </si>
  <si>
    <t>MAW25C2K1P排瓶</t>
  </si>
  <si>
    <t>MAW25C2K1P充填</t>
  </si>
  <si>
    <t>MAW25C3K1</t>
  </si>
  <si>
    <t>MAW25C3K1P排瓶</t>
  </si>
  <si>
    <t>MAW25C3K1P充填</t>
  </si>
  <si>
    <t>MAW25D1H1</t>
  </si>
  <si>
    <t>1400(1)*</t>
  </si>
  <si>
    <t>1400</t>
  </si>
  <si>
    <t>噴印瓶底
玻璃西林瓶鋁蓋</t>
  </si>
  <si>
    <t>MAW25D1H1N排瓶</t>
  </si>
  <si>
    <t>[泵浦式充填機x1&amp;夾瓶輸送帶x1噴印機x1]</t>
  </si>
  <si>
    <t>860(1-0.7-0.8-0.5)*
(充-塞-夾-噴印-入箱)</t>
  </si>
  <si>
    <t>MAW25D1H1N充填</t>
  </si>
  <si>
    <t>MAW25D2H1</t>
  </si>
  <si>
    <t>MAW25D2H1N排瓶</t>
  </si>
  <si>
    <t>MAW25D2H1N充填</t>
  </si>
  <si>
    <t>MAW25D3H1</t>
  </si>
  <si>
    <t>MAW25D3H1N排瓶</t>
  </si>
  <si>
    <t>MAW25D3H1N充填</t>
  </si>
  <si>
    <t>MAW25D4H1</t>
  </si>
  <si>
    <t>MAW25D4H1N排瓶</t>
  </si>
  <si>
    <t>900(1-0.7-0.8-0.5)*
(充-塞-夾-噴印-入箱)</t>
  </si>
  <si>
    <t>MAW25D4H1N充填</t>
  </si>
  <si>
    <t>MAW25D5H1</t>
  </si>
  <si>
    <t>MAW25D5H1N排瓶</t>
  </si>
  <si>
    <t>MAW25D5H1N充填</t>
  </si>
  <si>
    <t>MAW25D671</t>
  </si>
  <si>
    <t>上蓋+霧面瓶身+內管+內座
塑膠
桌上型壓蓋機+乳液瓶口製具壓彈簧內塞</t>
  </si>
  <si>
    <t>MAW25D671P排瓶</t>
  </si>
  <si>
    <t>800(0.35-1.9-1.2-0.6)*
(充-壓彈簧內塞-內瓶卡外瓶-入箱)</t>
  </si>
  <si>
    <t>MAW25D671P充填</t>
  </si>
  <si>
    <t>MAW25M1H1</t>
  </si>
  <si>
    <t>MAW25M1H1N排瓶</t>
  </si>
  <si>
    <t>MAW25M1H1N充填</t>
  </si>
  <si>
    <t>MAW25M2H1</t>
  </si>
  <si>
    <t>MAW25M2H1N排瓶</t>
  </si>
  <si>
    <t>MAW25M2H1N充填</t>
  </si>
  <si>
    <t>MBQ18C1L1</t>
  </si>
  <si>
    <t>泵浦式
白管</t>
  </si>
  <si>
    <t>噴印瓶底
玻璃瓶器加內塞銀上蓋之後會以手鎖為主</t>
  </si>
  <si>
    <t>MBQ18C1L1P排瓶</t>
  </si>
  <si>
    <t>720(0.7-0.4-0.9-1)*
(充-塞-鎖-入箱)</t>
  </si>
  <si>
    <t>720</t>
  </si>
  <si>
    <t>MBQ18C1L1P充填</t>
  </si>
  <si>
    <t>MBQ20D1H1</t>
  </si>
  <si>
    <t>泵浦式
黃管
料斗</t>
  </si>
  <si>
    <t>純油配方全乾燥處理
玻璃瓶身、膠帽滴管
噴印瓶底</t>
  </si>
  <si>
    <t>MBQ20D1H1P排瓶</t>
  </si>
  <si>
    <t>700(0.7-0.4-1-0.9)
(充-鎖-入箱)</t>
  </si>
  <si>
    <t>MBQ20D1H1P充填</t>
  </si>
  <si>
    <t>MBV19G1G2</t>
  </si>
  <si>
    <t>泵浦式充
面膜機封
連續式封口機
噴印機</t>
  </si>
  <si>
    <t>200目絹網</t>
  </si>
  <si>
    <t>3200(1)*</t>
  </si>
  <si>
    <t>3200</t>
  </si>
  <si>
    <t>12*15.5
輸送帶+啟益噴印
10片一入OPP袋，240片/箱，每箱不能超過10KG，平放入箱</t>
  </si>
  <si>
    <t>MBV19G1G2N排瓶</t>
  </si>
  <si>
    <t>[泵浦式充填機x1&amp;面膜機x1&amp;噴印機x1]</t>
  </si>
  <si>
    <t>1000(0.9-1-1.6)*
(充-封口-噴印)
1550(1)*
(裝opp袋入箱)</t>
  </si>
  <si>
    <t>MBV19G1G2N充填</t>
  </si>
  <si>
    <t>1550(1)*
(裝opp袋入箱)</t>
  </si>
  <si>
    <t>1550</t>
  </si>
  <si>
    <t>MBV19G1G2N後加工</t>
  </si>
  <si>
    <t>MBV23G1G1</t>
  </si>
  <si>
    <t>200目鐵網</t>
  </si>
  <si>
    <t>2700(1)*</t>
  </si>
  <si>
    <t>12*15.5手動噴印
10片一入OPP袋，240片/箱，每箱不能超過10KG，平放入箱</t>
  </si>
  <si>
    <t>MBV23G1G1N排瓶</t>
  </si>
  <si>
    <t>架線150min</t>
  </si>
  <si>
    <t>1000(0.6-1-1.6)*
(充-封口-噴印)
1550(1)*
(裝opp袋入箱)</t>
  </si>
  <si>
    <t>MBV23G1G1N充填</t>
  </si>
  <si>
    <t>MBV23G1G1N後加工</t>
  </si>
  <si>
    <t>MBV23H1T1</t>
  </si>
  <si>
    <t>500(1)*</t>
  </si>
  <si>
    <t>500</t>
  </si>
  <si>
    <t>噴印瓶底
白色圓口瓶</t>
  </si>
  <si>
    <t>MBV23H1T1T排瓶</t>
  </si>
  <si>
    <t>300(3)
(充-鎖-入箱)</t>
  </si>
  <si>
    <t>MBV23H1T1T充填</t>
  </si>
  <si>
    <t>MBX19D1A1N</t>
  </si>
  <si>
    <t>MBX19D1A1</t>
  </si>
  <si>
    <t>A+E能量賦活油1.5ml</t>
  </si>
  <si>
    <t>充填至液高上緣高度超過瓶器U字下緣
15瓶入1 OPP袋
噴印瓶底</t>
  </si>
  <si>
    <t>MBX19D1A1N排瓶</t>
  </si>
  <si>
    <t>800(0.3-1.7-1.2-0.8)*
(充-鎖-噴印-入袋)</t>
  </si>
  <si>
    <t>MBX19D1A1N充填</t>
  </si>
  <si>
    <t>MBX19D1D1N</t>
  </si>
  <si>
    <t>MBX19D1D1</t>
  </si>
  <si>
    <t>泵浦式
黃管
手拿管</t>
  </si>
  <si>
    <t>1500(1)*
(黑色上蓋需加放墊片)</t>
  </si>
  <si>
    <t>8瓶入1 OPP袋
噴印瓶底</t>
  </si>
  <si>
    <t>MBX19D1D1N前置</t>
  </si>
  <si>
    <t>MBX19D1D1N排瓶</t>
  </si>
  <si>
    <t>1000(0.5-1.5-1.1-0.9)*
(充-鎖-噴印-入袋)</t>
  </si>
  <si>
    <t>MBX19D1D1N充填</t>
  </si>
  <si>
    <t>MBX19D2A1</t>
  </si>
  <si>
    <t>充填至液高上緣與瓶器U字下緣平行
15瓶入1 OPP袋
噴印瓶底</t>
  </si>
  <si>
    <t>MBX19D2A1N排瓶</t>
  </si>
  <si>
    <t>900(0.3-1.7-1-1)*
(充-鎖-噴印-入袋)</t>
  </si>
  <si>
    <t>MBX19D2A1N充填</t>
  </si>
  <si>
    <t>MBX19D2C1</t>
  </si>
  <si>
    <t>泵浦式
黃管
手拿管
可用大噴印機</t>
  </si>
  <si>
    <t>噴印瓶底
OPP袋8入(20*25+29 cm)</t>
  </si>
  <si>
    <t>MBX19D2C1N排瓶</t>
  </si>
  <si>
    <t>850(0.3-1.8-0.9-1)*
(充-鎖-噴印-入袋)</t>
  </si>
  <si>
    <t>MBX19D2C1N充填</t>
  </si>
  <si>
    <t>MBX21E1C2</t>
  </si>
  <si>
    <t>噴印瓶底
入OPP袋後入箱</t>
  </si>
  <si>
    <t>MBX21E1C2N排瓶</t>
  </si>
  <si>
    <t>1000(0.6-0.5-1.4-1.5)*
(充-塞-鎖-入箱)</t>
  </si>
  <si>
    <t>MBX21E1C2N充填</t>
  </si>
  <si>
    <t>MBX21E1J2</t>
  </si>
  <si>
    <t>唐亞
泵浦式
自動鎖蓋機</t>
  </si>
  <si>
    <t>噴印瓶底
需高度檢測瓶身有無痕跡、磨損</t>
  </si>
  <si>
    <t>MBX21E1J2N排瓶</t>
  </si>
  <si>
    <t>[泵浦式充填機x1&amp;自動鎖蓋機x1&amp;噴印機x1]</t>
  </si>
  <si>
    <t>870(1-0.5-0.7-0.6)*
(充-鎖-蓋-入箱)</t>
  </si>
  <si>
    <t>870</t>
  </si>
  <si>
    <t>MBX21E1J2N充填</t>
  </si>
  <si>
    <t>MBX21F1E1</t>
  </si>
  <si>
    <t>氣壓式充填機
X</t>
  </si>
  <si>
    <t>950(1)*</t>
  </si>
  <si>
    <t>950</t>
  </si>
  <si>
    <t>上蓋LOGO轉至和瓶身一齊</t>
  </si>
  <si>
    <t>MBX21F1E1N排瓶</t>
  </si>
  <si>
    <t>700(0.9-0.5-1.6-1)*
(充-墊-鎖-入箱)</t>
  </si>
  <si>
    <t>MBX21F1E1N充填</t>
  </si>
  <si>
    <t>MBX23C1D1</t>
  </si>
  <si>
    <t>1000(1)*</t>
  </si>
  <si>
    <t>噴印瓶底
威爾嘉系列噴印批號不分之幾
入半斤袋(8pcs一袋/44袋一箱)</t>
  </si>
  <si>
    <t>MBX23C1D1N排瓶</t>
  </si>
  <si>
    <t>1000(0.3-0.5-1.1-1.1)*
(充-塞-鎖-入箱)</t>
  </si>
  <si>
    <t>MBX23C1D1N充填</t>
  </si>
  <si>
    <t>MBX23C1F1N</t>
  </si>
  <si>
    <t>MBX23C1F1</t>
  </si>
  <si>
    <t>煥顏活膚保濕露30ML</t>
  </si>
  <si>
    <t>泵浦式
黃管
手拿管
自動鎖蓋機</t>
  </si>
  <si>
    <t>噴印瓶底
威爾嘉系列噴印不分批號之幾</t>
  </si>
  <si>
    <t>MBX23C1F1N排瓶</t>
  </si>
  <si>
    <t>700(0.4-0.8-1-0.8)*
(充-鎖-蓋-入箱)</t>
  </si>
  <si>
    <t>MBX23C1F1N充填</t>
  </si>
  <si>
    <t>MBX23C1L1</t>
  </si>
  <si>
    <t>雙管泵浦式
粗抽料管</t>
  </si>
  <si>
    <t>噴印瓶底
威爾嘉系列噴印不分批號之幾
手鎖(自動鎖蓋機有過緊的疑慮)</t>
  </si>
  <si>
    <t>MBX23C1L1N排瓶</t>
  </si>
  <si>
    <t>700(1-1-1-1)*
(充-塞-鎖-入箱)</t>
  </si>
  <si>
    <t>MBX23C1L1N充填</t>
  </si>
  <si>
    <t>MBX25E1C1</t>
  </si>
  <si>
    <t>泵浦式
手拿管
啟益噴印機</t>
  </si>
  <si>
    <t>1400(1)</t>
  </si>
  <si>
    <t>MBX25E1C1N排瓶</t>
  </si>
  <si>
    <t>MBX25E1C1N充填</t>
  </si>
  <si>
    <t>MBX25E1J1</t>
  </si>
  <si>
    <t>泵浦式
自動鎖蓋機
夾瓶輸送帶</t>
  </si>
  <si>
    <t>850(1)*</t>
  </si>
  <si>
    <t>MBX25E1J1N排瓶</t>
  </si>
  <si>
    <t>800(1-0.6-0.7-0.8)*
(充-鎖-蓋-入箱)</t>
  </si>
  <si>
    <t>MBX25E1J1N充填</t>
  </si>
  <si>
    <t>MBY19P2N1</t>
  </si>
  <si>
    <t>氣壓式</t>
  </si>
  <si>
    <t>500(1-0.4-1-0.5)*
(充-塞-鎖-入箱)</t>
  </si>
  <si>
    <t>噴印背面封尾下方空白處
內塞難塞，以蓋旋塞，可接受0.1mm微凸起</t>
  </si>
  <si>
    <t>MBY19P2N1P充填</t>
  </si>
  <si>
    <t>MBY20F1D1</t>
  </si>
  <si>
    <t>MBY20F1D1P排瓶</t>
  </si>
  <si>
    <t>900(0.59-1.59-1.11-0.71)*
(充-壓塞放珠-鎖-入箱)</t>
  </si>
  <si>
    <t>MBY20F1D1P充填</t>
  </si>
  <si>
    <t>MBY22E1N1</t>
  </si>
  <si>
    <t>氣壓式
料斗</t>
  </si>
  <si>
    <t>500(1-0.4-1.1-0.5)*
(充-貼-鎖-入箱)</t>
  </si>
  <si>
    <t>噴印軟管底端
掀蓋開口對齊正面印刷
注意!效期為4年!</t>
  </si>
  <si>
    <t>MBY22E1N1P充填</t>
  </si>
  <si>
    <t>MBY22F1D1</t>
  </si>
  <si>
    <t>泵浦式
黃管
夾瓶輸送帶</t>
  </si>
  <si>
    <t>2000(1)*</t>
  </si>
  <si>
    <t>2000</t>
  </si>
  <si>
    <t>MBY22F1D1P排瓶</t>
  </si>
  <si>
    <t>1800(0.8-2.2-1)*
(充-鎖-入箱)</t>
  </si>
  <si>
    <t>1800</t>
  </si>
  <si>
    <t>MBY22F1D1P充填</t>
  </si>
  <si>
    <t>MBY22F2F1</t>
  </si>
  <si>
    <t>噴印瓶底
充填量看液面高度
膠帽滴管綠色霧面瓶</t>
  </si>
  <si>
    <t>MBY22F2F1P排瓶</t>
  </si>
  <si>
    <t>1000(0.7-1.4-0.9)*
(充-鎖-入箱)</t>
  </si>
  <si>
    <t>MBY22F2F1P充填</t>
  </si>
  <si>
    <t>MBY23D1F1</t>
  </si>
  <si>
    <t>泵浦式
白管
手拿管
需手鎖</t>
  </si>
  <si>
    <t>660(1)*</t>
  </si>
  <si>
    <t>白色玻璃滴管瓶
噴印瓶底
請注意瓶身掉漆規範</t>
  </si>
  <si>
    <t>MBY23D1F1P排瓶</t>
  </si>
  <si>
    <t>800(0.8-1.2-1-1)*
(充-鎖-入箱)</t>
  </si>
  <si>
    <t>MBY23D1F1P充填</t>
  </si>
  <si>
    <t>MBY23D2D1</t>
  </si>
  <si>
    <t>茶色玻璃瓶+滴管</t>
  </si>
  <si>
    <t>MBY23D2D1P排瓶</t>
  </si>
  <si>
    <t>850(0.75-1.3-0.9)*
(充-手鎖滴管-入箱)</t>
  </si>
  <si>
    <t>MBY23D2D1P充填</t>
  </si>
  <si>
    <t>MBY23D3F1</t>
  </si>
  <si>
    <t>MBY23D3F1P排瓶</t>
  </si>
  <si>
    <t>1200(0.9-0.8-1.4-0.9)*
(充-塞-鎖-入箱)</t>
  </si>
  <si>
    <t>MBY23D3F1P充填</t>
  </si>
  <si>
    <t>MBY23E1F1</t>
  </si>
  <si>
    <t>680(1)*</t>
  </si>
  <si>
    <t>680</t>
  </si>
  <si>
    <t>MBY23E1F1P排瓶</t>
  </si>
  <si>
    <t>750(1-0.5-1.7-0.8)*
(充-墊-拆袋鎖蓋-入箱)</t>
  </si>
  <si>
    <t>MBY23E1F1P充填</t>
  </si>
  <si>
    <t>MBY23F1F1</t>
  </si>
  <si>
    <t>泵浦式
黃管
BPT手拿管
自動鎖蓋機</t>
  </si>
  <si>
    <t>噴印瓶底
膠帽滴管褐色瓶
牙口嚴禁沾濕</t>
  </si>
  <si>
    <t>MBY23F1F1P排瓶</t>
  </si>
  <si>
    <t>1200(0.9-1-1.1-0.8)*
(充-自動鎖-噴印-入箱)</t>
  </si>
  <si>
    <t>MBY23F1F1P充填</t>
  </si>
  <si>
    <t>MBY23F2D1</t>
  </si>
  <si>
    <t>MBY23F2D1P排瓶</t>
  </si>
  <si>
    <t>900(0.7-0.6-0.7-1-0.6)*
(充填-上珠+座-壓珠座-鎖蓋-入箱)</t>
  </si>
  <si>
    <t>MBY23F2D1P充填</t>
  </si>
  <si>
    <t>MBY23H1G1</t>
  </si>
  <si>
    <t>850(0.95-1.4-0.65)*
(充-鎖-入箱)</t>
  </si>
  <si>
    <t>鎖蓋→正對正，上蓋向左轉兩圈</t>
  </si>
  <si>
    <t>MBY23H1G1P充填</t>
  </si>
  <si>
    <t>MBY23H4F1</t>
  </si>
  <si>
    <t>氣壓式
自動鎖蓋機</t>
  </si>
  <si>
    <t>字體清晰
可辨識</t>
  </si>
  <si>
    <t>MBY23H4F1P排瓶</t>
  </si>
  <si>
    <t>900(0.85-0.5-0.85-1.1-0.6)
(充-拆袋-放壓頭-拆袋上蓋-入箱)</t>
  </si>
  <si>
    <t>MBY23H4F1P充填</t>
  </si>
  <si>
    <t>MBY23H5F1</t>
  </si>
  <si>
    <t>MBY23H5F1P排瓶</t>
  </si>
  <si>
    <t>MBY23H5F1P充填</t>
  </si>
  <si>
    <t>MBY23H6G1</t>
  </si>
  <si>
    <t>MBY23H6G1P排瓶</t>
  </si>
  <si>
    <t>780(0.8-0.9-1.3-0.8)*
(充-塞-鎖-入箱)</t>
  </si>
  <si>
    <t>780</t>
  </si>
  <si>
    <t>MBY23H6G1P充填</t>
  </si>
  <si>
    <t>MBY24B1F1</t>
  </si>
  <si>
    <t>660(1)</t>
  </si>
  <si>
    <t>MBY24B1F1P排瓶</t>
  </si>
  <si>
    <t>1200(0.9-1-1.1-0.8)
(充-自動鎖-噴印-入箱)</t>
  </si>
  <si>
    <t>MBY24B1F1P充填</t>
  </si>
  <si>
    <t>MBY24B2F1</t>
  </si>
  <si>
    <t>霧面玻璃滴管瓶+黑中束
噴印瓶底</t>
  </si>
  <si>
    <t>MBY24B2F1P排瓶</t>
  </si>
  <si>
    <t>MBY24B2F1P充填</t>
  </si>
  <si>
    <t>MBY24B3K1</t>
  </si>
  <si>
    <t>[定量缸式充填機x1&amp;噴印機x1]洗機器120min人時</t>
  </si>
  <si>
    <t>啟益
氣壓式
100L升溫桶槽</t>
  </si>
  <si>
    <t>50目鐵網</t>
  </si>
  <si>
    <t>460(1-1-0.7-0.7-0.5)*
(倒料加熱-充-貼-鎖-入箱)</t>
  </si>
  <si>
    <t>MBY24B3K1P充填</t>
  </si>
  <si>
    <t>MBY24D1D1</t>
  </si>
  <si>
    <t>清楚可辨識</t>
  </si>
  <si>
    <t>MBY24D1D1P排瓶</t>
  </si>
  <si>
    <t>1000(0.75-1.3-0.9)*
(充-鎖滴管-入箱)</t>
  </si>
  <si>
    <t>MBY24D1D1P充填</t>
  </si>
  <si>
    <t>MBY24D3F1</t>
  </si>
  <si>
    <t>MBY24D3F1P排瓶</t>
  </si>
  <si>
    <t>1600(0.8-1.2-1)*
(充-放滴管鎖-入箱)</t>
  </si>
  <si>
    <t>1600</t>
  </si>
  <si>
    <t>MBY24D3F1P充填</t>
  </si>
  <si>
    <t>MBY24D4D1</t>
  </si>
  <si>
    <t>泵浦式
黃管
出料配件-短9.5mm</t>
  </si>
  <si>
    <t>800(1)</t>
  </si>
  <si>
    <t>噴印瓶底
噴印清楚下可不避開凹凸處</t>
  </si>
  <si>
    <t>MBY24D4D1P排瓶</t>
  </si>
  <si>
    <t>950(0.6-0.6-1.5-1.1)*
(充-內塞-鎖-入箱)</t>
  </si>
  <si>
    <t>MBY24D4D1P充填</t>
  </si>
  <si>
    <t>MBY24D6F1</t>
  </si>
  <si>
    <t>泵浦式
黃管
料斗
自動鎖蓋機</t>
  </si>
  <si>
    <t>MBY24D6F1P排瓶</t>
  </si>
  <si>
    <t>800(0.65-0.35-0.35-0.8-0.7)*
(充-拆袋-放滴管-噴印-入箱)</t>
  </si>
  <si>
    <t>MBY24D6F1P充填</t>
  </si>
  <si>
    <t>MBY24D7F1</t>
  </si>
  <si>
    <t>泵浦式
黃管(油)
白管(醇)
手拿管(停用)
自動鎖蓋機
夾瓶輸送帶
啟益噴印機</t>
  </si>
  <si>
    <t>噴印瓶底
噴印格式
XXXXXX
水項為第五碼數字表示
乳項為第六碼英文表示
------------------------------------------
無水配方(機具乾燥化處理)
先油再醇、速度11不噴濺
油項攪勻再充(13cm大葉片、攪拌設定600轉/10分鐘)
邊攪邊充(9cm小葉片、攪拌設定800轉)
停機再充處置辦法詳見專用製程</t>
  </si>
  <si>
    <t>MBY24D7F1P排瓶</t>
  </si>
  <si>
    <t>[泵浦式充填機x2&amp;噴印機x1]</t>
  </si>
  <si>
    <t>730(1-1-1-0.4)*
(充油+攪拌-充醇-內塞+放上蓋-入箱)</t>
  </si>
  <si>
    <t>MBY24D7F1P充填</t>
  </si>
  <si>
    <t>MBY24D9D1</t>
  </si>
  <si>
    <t>黑色玻璃滴管瓶
噴印瓶底
字寬4/字高3/加粗2
產品長度36</t>
  </si>
  <si>
    <t>MBY24D9D1P排瓶</t>
  </si>
  <si>
    <t>1200(0.7-1.6-0.7)*
(充-鎖-入箱)</t>
  </si>
  <si>
    <t>MBY24D9D1P充填</t>
  </si>
  <si>
    <t>MBY24E2F1</t>
  </si>
  <si>
    <t>680(1)</t>
  </si>
  <si>
    <t>MBY24E2F1P排瓶</t>
  </si>
  <si>
    <t>750(1-0.5-1.7-0.8)
(充-墊-拆袋鎖蓋-入箱)</t>
  </si>
  <si>
    <t>MBY24E2F1P充填</t>
  </si>
  <si>
    <t>MBY24E3E1</t>
  </si>
  <si>
    <t>泵浦式
黃管
夾瓶輸送帶
啟益噴印機</t>
  </si>
  <si>
    <t>白色玻璃壓頭瓶
噴印瓶底，清晰可辨識
(需確認壓頭不可按壓)</t>
  </si>
  <si>
    <t>MBY24E3E1P排瓶</t>
  </si>
  <si>
    <t>850(0.65-0.5-1.2-0.6)*
(充-拆袋放壓頭-手鎖噴印-入箱)</t>
  </si>
  <si>
    <t>MBY24E3E1P充填</t>
  </si>
  <si>
    <t>MBY24H1G1</t>
  </si>
  <si>
    <t>1000(1)</t>
  </si>
  <si>
    <t>MBY24H1G1P排瓶</t>
  </si>
  <si>
    <t>780(0.8-0.9-1.3-0.8)
(充-塞-鎖-入箱)</t>
  </si>
  <si>
    <t>MBY24H1G1P充填</t>
  </si>
  <si>
    <t>MBY25C1J1</t>
  </si>
  <si>
    <t>上層:6.4g
中層:6.4g
下層:51.2g</t>
  </si>
  <si>
    <t>透明塑膠噴霧瓶+上蓋
噴印瓶底
充填順序：下層精華→中層油→上層油
下層精華 雙管泵浦 速度3
中層油  泵浦式 充填速度 14
上層油 泵浦式  充填速度 8
充第三層油要注意出料管可以泡到第二層料表面 (如果沾到下層 會滴料)
油出白桶</t>
  </si>
  <si>
    <t>MBY25C1J1P排瓶</t>
  </si>
  <si>
    <t>800(0.7-0.7-0.8-0.9-0.9)*
(充下層精華-充中層油-充上層油-放壓頭鎖-上蓋入箱)</t>
  </si>
  <si>
    <t>MBY25C1J1P充填</t>
  </si>
  <si>
    <t>MBY25D1F1</t>
  </si>
  <si>
    <t>噴印瓶底
白色玻璃瓶、黑色滴管</t>
  </si>
  <si>
    <t>MBY25D1F1P排瓶</t>
  </si>
  <si>
    <t>800(4)
(充-放鎖-噴-入箱)</t>
  </si>
  <si>
    <t>MBY25D1F1P充填</t>
  </si>
  <si>
    <t>MBY25D2F1</t>
  </si>
  <si>
    <t>泵浦式
黃管
手拿管
自動鎖蓋機
夾瓶輸送帶</t>
  </si>
  <si>
    <t>噴印瓶底
黑色瘦長型玻璃滴管瓶</t>
  </si>
  <si>
    <t>MBY25D2F1P排瓶</t>
  </si>
  <si>
    <t>1000(1-0.75-1.1-0.9)*
(充-放蓋-鎖&amp;噴-入箱)</t>
  </si>
  <si>
    <t>MBY25D2F1P充填</t>
  </si>
  <si>
    <t>MBY25D7F1</t>
  </si>
  <si>
    <t>真空瓶
內含藻針</t>
  </si>
  <si>
    <t>MBY25D7F1P排瓶</t>
  </si>
  <si>
    <t>1300(0.7-0.7-1.6-1)*
(充-放壓頭-手鎖壓頭-入箱)</t>
  </si>
  <si>
    <t>MBY25D7F1P充填</t>
  </si>
  <si>
    <t>MBY25D8C1P</t>
  </si>
  <si>
    <t>MBY25D8C1</t>
  </si>
  <si>
    <t>BB 外泌體奇蹟修護安瓶精華10ML</t>
  </si>
  <si>
    <t>MBY25D8C1P排瓶</t>
  </si>
  <si>
    <t>1200(0.5-0.5-1.5-0.5)*
(充-塞-鎖-入箱)</t>
  </si>
  <si>
    <t>MBY25D8C1P充填</t>
  </si>
  <si>
    <t>MBY25D9F1</t>
  </si>
  <si>
    <t>泵浦式</t>
  </si>
  <si>
    <t>MBY25D9F1P排瓶</t>
  </si>
  <si>
    <t>MBY25D9F1P充填</t>
  </si>
  <si>
    <t>MBY25DAD1</t>
  </si>
  <si>
    <t>黑色玻璃滴管瓶
噴印瓶底</t>
  </si>
  <si>
    <t>MBY25DAD1P排瓶</t>
  </si>
  <si>
    <t>1200(0.6-1.6-0.8)*
(充-手鎖-入箱)</t>
  </si>
  <si>
    <t>MBY25DAD1P充填</t>
  </si>
  <si>
    <t>MBY25DCE1</t>
  </si>
  <si>
    <t>客供玻璃瓶&amp;膠帽滴管</t>
  </si>
  <si>
    <t>MBY25DCE1P排瓶</t>
  </si>
  <si>
    <t>1200(0.8-0.9-1.3-1)*
(充-內塞-放滴管鎖-入箱)</t>
  </si>
  <si>
    <t>MBY25DCE1P充填</t>
  </si>
  <si>
    <t>MBY25E1D1</t>
  </si>
  <si>
    <t>泵浦式
啟益</t>
  </si>
  <si>
    <t>噴印瓶底
避開模具號&amp;凹凸處</t>
  </si>
  <si>
    <t>MBY25E1D1P排瓶</t>
  </si>
  <si>
    <t>850(0.5-0.7-1.3-0.5)*
(充-拆袋放壓頭-手鎖壓頭-入箱)</t>
  </si>
  <si>
    <t>MBY25E1D1P充填</t>
  </si>
  <si>
    <t>MBY25E2F1</t>
  </si>
  <si>
    <t>MBY25E2F1P排瓶</t>
  </si>
  <si>
    <t>MBY25E2F1P充填</t>
  </si>
  <si>
    <t>MBY25E3H1</t>
  </si>
  <si>
    <t>950(1-0.9-1.4-0.6)*
(充-鎖壓頭-拆上蓋袋+蓋-入箱)</t>
  </si>
  <si>
    <t>客供料
軟管+壓頭+蓋子
2026/01/06上蓋壓頭會組在一起進貨+每個套袋</t>
  </si>
  <si>
    <t>MBY25E3H1P充填</t>
  </si>
  <si>
    <t>MBY25E4H1</t>
  </si>
  <si>
    <t>氣壓式
夾瓶輸送帶
噴印機</t>
  </si>
  <si>
    <t>900(1)*</t>
  </si>
  <si>
    <t>霜瓶+墊片
內含藻針不架濾網</t>
  </si>
  <si>
    <t>MBY25E4H1P排瓶</t>
  </si>
  <si>
    <t>800(1-0.5-1.4-0.6)*
(充-墊-鎖蓋-入箱)</t>
  </si>
  <si>
    <t>MBY25E4H1P充填</t>
  </si>
  <si>
    <t>MBY25E5F1</t>
  </si>
  <si>
    <t>1600(1)*</t>
  </si>
  <si>
    <t>客供
玻璃瓶+旋轉自鎖泵頭</t>
  </si>
  <si>
    <t>MBY25E5F1P排瓶</t>
  </si>
  <si>
    <t>1200(1-0.8-1.4-0.7)*
(充-放頭-手鎖&amp;噴-入箱)</t>
  </si>
  <si>
    <t>MBY25E5F1P充填</t>
  </si>
  <si>
    <t>MBY25F1D1</t>
  </si>
  <si>
    <t>750(0.9-1.6-1-0.5)
(充-組裝-鎖-入箱)</t>
  </si>
  <si>
    <t>噴印於軟管背面尾端</t>
  </si>
  <si>
    <t>MBY25F1D1P充填</t>
  </si>
  <si>
    <t>MBY25F2D1</t>
  </si>
  <si>
    <t>客供
玻璃霜瓶+墊片+上蓋(另含墊片)</t>
  </si>
  <si>
    <t>MBY25F2D1P排瓶</t>
  </si>
  <si>
    <t>950(1-0.7-1.3-1)*
(充-墊-鎖-入箱)</t>
  </si>
  <si>
    <t>MBY25F2D1P充填</t>
  </si>
  <si>
    <t>MBY25H1G1</t>
  </si>
  <si>
    <t>1100(1-1.5-1-0.5)*
(充-塞-鎖-入箱)</t>
  </si>
  <si>
    <t>噴印軟管背部上方置中
(必)產前小樣測試確色(使用大貨的色料)</t>
  </si>
  <si>
    <t>MBY25H1G1P充填</t>
  </si>
  <si>
    <t>MBY25H2G1</t>
  </si>
  <si>
    <t>900(1-1.5-1-0.5)*
(充-塞-鎖-入箱)</t>
  </si>
  <si>
    <t>MBY25H2G1P充填</t>
  </si>
  <si>
    <t>MBY25H3F1</t>
  </si>
  <si>
    <t>1200(1-1-1-0.7)*
(充-拆袋鎖壓頭-拆袋鎖壓頭-入箱)</t>
  </si>
  <si>
    <t>客供料
軟管+壓頭+上蓋
2026/01/06上蓋壓頭會組在一起進貨+每個套袋</t>
  </si>
  <si>
    <t>MBY25H3F1P充填</t>
  </si>
  <si>
    <t>MBY25H4F1</t>
  </si>
  <si>
    <t>泵浦式
黃管
自動鎖蓋機</t>
  </si>
  <si>
    <t>客供料
玻璃瓶+壓頭+上蓋
泵浦式充填速度14</t>
  </si>
  <si>
    <t>MBY25H4F1P排瓶</t>
  </si>
  <si>
    <t>950(1-0.9-0.9-0.9)*
(充-鎖-蓋-入箱)</t>
  </si>
  <si>
    <t>MBY25H4F1P充填</t>
  </si>
  <si>
    <t>MBY25H5F1</t>
  </si>
  <si>
    <t>客供料
玻璃瓶+壓頭+上蓋
泵浦式充填
充填速度14/回流量3</t>
  </si>
  <si>
    <t>MBY25H5F1P排瓶</t>
  </si>
  <si>
    <t>MBY25H5F1P充填</t>
  </si>
  <si>
    <t>MBY25P2N1</t>
  </si>
  <si>
    <t>650(1-1-1)*
(充-鎖蓋-入箱)</t>
  </si>
  <si>
    <t>650</t>
  </si>
  <si>
    <t>軟管
噴印背部上方置中</t>
  </si>
  <si>
    <t>MBY25P2N1T充填</t>
  </si>
  <si>
    <t>MBY25P3N1</t>
  </si>
  <si>
    <t>氣壓式
啟益噴印機</t>
  </si>
  <si>
    <t>軟管
掀蓋方向與瓶身正面對齊</t>
  </si>
  <si>
    <t>MBY25P3N1T充填</t>
  </si>
  <si>
    <t>MBY25P4N1</t>
  </si>
  <si>
    <t>軟管</t>
  </si>
  <si>
    <t>MBY25P4N1T充填</t>
  </si>
  <si>
    <t>MDA19F2M2</t>
  </si>
  <si>
    <t>360(1)*</t>
  </si>
  <si>
    <t>360</t>
  </si>
  <si>
    <t>噴印瓶底
製造前兩天開始預攪(40min)</t>
  </si>
  <si>
    <t>MDA19F2M2P排瓶</t>
  </si>
  <si>
    <t>500(0.7-1.4-0.9-1)*
(充-鎖-蓋-入箱)</t>
  </si>
  <si>
    <t>MDA19F2M2P充填</t>
  </si>
  <si>
    <t>MDA19F3H1</t>
  </si>
  <si>
    <t>噴印瓶底
入箱要用隔板
丫頭鎖上看肩線液高約51~52g</t>
  </si>
  <si>
    <t>MDA19F3H1P排瓶</t>
  </si>
  <si>
    <t>700(0.8-1.2-1-1)*
(充-鎖-蓋-入箱)</t>
  </si>
  <si>
    <t>MDA19F3H1P充填</t>
  </si>
  <si>
    <t>MDA19G111</t>
  </si>
  <si>
    <t>泵浦式
黃管
手拿管
面膜機封</t>
  </si>
  <si>
    <t>3100(1)*</t>
  </si>
  <si>
    <t>3100</t>
  </si>
  <si>
    <t>12*17
噴印背面下方回收標旁</t>
  </si>
  <si>
    <t>MDA19G111N排瓶</t>
  </si>
  <si>
    <t>[泵浦式充填機x1&amp;面膜機x1]</t>
  </si>
  <si>
    <t>MDA19G111N充填</t>
  </si>
  <si>
    <t>MDA19G161P</t>
  </si>
  <si>
    <t>MDA19G161</t>
  </si>
  <si>
    <t>AYCE iMeiMei 私密處粉嫩面膜25ML(盒裝)</t>
  </si>
  <si>
    <t>MDA19G161P排瓶</t>
  </si>
  <si>
    <t>1100(1-1-1)
(充-封口-檢驗入箱)
啟益噴印機架在面膜機上
封口完直接噴印</t>
  </si>
  <si>
    <t>MDA19G161P充填</t>
  </si>
  <si>
    <t>MDA23G111</t>
  </si>
  <si>
    <t>MDA23G111N排瓶</t>
  </si>
  <si>
    <t>MDA23G111N充填</t>
  </si>
  <si>
    <t>MDA23G161P</t>
  </si>
  <si>
    <t>MDA23G161</t>
  </si>
  <si>
    <t xml:space="preserve">AYCE iMeiMei舒緩美胸敷膜25ML(盒裝) </t>
  </si>
  <si>
    <t>MDA23G161P排瓶</t>
  </si>
  <si>
    <t>MDA23G161P充填</t>
  </si>
  <si>
    <t>MDB23P1Q1</t>
  </si>
  <si>
    <t>氣壓式(也可用大型)
可以用自動鎖蓋機
(但會跟充填搶壓力)</t>
  </si>
  <si>
    <t>450(1)*</t>
  </si>
  <si>
    <t>450</t>
  </si>
  <si>
    <t>避開定位點凹凸處
噴印對正面</t>
  </si>
  <si>
    <t>MDB23P1Q1N排瓶</t>
  </si>
  <si>
    <t>600(0.44-0.37-2.12-1.07)*
(充-刮袋-鎖-入箱)</t>
  </si>
  <si>
    <t>MDB23P1Q1N充填</t>
  </si>
  <si>
    <t>MDB23P2H1</t>
  </si>
  <si>
    <t>400(1-1-0.8)
(充-鎖-入箱)</t>
  </si>
  <si>
    <t>噴印軟管背面上方</t>
  </si>
  <si>
    <t>MDB23P2H1N充填</t>
  </si>
  <si>
    <t>MDB23Q1Q1</t>
  </si>
  <si>
    <t>大氣壓式
抽料管</t>
  </si>
  <si>
    <t>470(1)*</t>
  </si>
  <si>
    <t>470</t>
  </si>
  <si>
    <t>MDB23Q1Q1N排瓶</t>
  </si>
  <si>
    <t>420(1-1.52-0.74)*
(充-鎖-入箱)</t>
  </si>
  <si>
    <t>420</t>
  </si>
  <si>
    <t>MDB23Q1Q1N充填</t>
  </si>
  <si>
    <t>MDB25Q1P1</t>
  </si>
  <si>
    <t>大氣壓式
料斗</t>
  </si>
  <si>
    <t>860(1)</t>
  </si>
  <si>
    <t>只能用大氣壓充填
裝白桶倒料斗
黏度表現S63以上只能出白桶</t>
  </si>
  <si>
    <t>MDB25Q1P1N排瓶</t>
  </si>
  <si>
    <t>300(1-0.5-0.5)*
(充-鎖壓頭-入箱)</t>
  </si>
  <si>
    <t>MDB25Q1P1N充填</t>
  </si>
  <si>
    <t>MDC23B1K1</t>
  </si>
  <si>
    <t>氣壓式(料斗)
自動鎖蓋機
唐亞噴印機</t>
  </si>
  <si>
    <t>唐亞
字寬760-高95
噴印瓶底</t>
  </si>
  <si>
    <t>MDC23B1K1P排瓶</t>
  </si>
  <si>
    <t>[定量缸式充填機x1&amp;自動鎖蓋機x1&amp;大噴印機x1]</t>
  </si>
  <si>
    <t>480(1-1-0.6)*
(充-鎖&amp;蓋-入箱)</t>
  </si>
  <si>
    <t>480</t>
  </si>
  <si>
    <t>MDC23B1K1P充填</t>
  </si>
  <si>
    <t>MDC23C1K1</t>
  </si>
  <si>
    <t>噴印瓶底
注意要把上蓋壓到底
含竹炭粉，製造前需滅菌</t>
  </si>
  <si>
    <t>MDC23C1K1P排瓶</t>
  </si>
  <si>
    <t>670(1-1.7-1.3)*
(充填-拆蓋拔套鎖頭上蓋噴印-入箱)</t>
  </si>
  <si>
    <t>670</t>
  </si>
  <si>
    <t>MDC23C1K1P充填</t>
  </si>
  <si>
    <t>MDC23C2K1</t>
  </si>
  <si>
    <t>噴印瓶底
含竹炭粉，製造前需滅菌
牙口嚴禁沾濕</t>
  </si>
  <si>
    <t>MDC23C2K1P排瓶</t>
  </si>
  <si>
    <t>650(1-0.46-1.33-0.89)*
(充填-上塞上小塞-蓋子上墊片鎖蓋噴印-入箱)</t>
  </si>
  <si>
    <t>MDC23C2K1P充填</t>
  </si>
  <si>
    <t>MDC23C3K1</t>
  </si>
  <si>
    <t>600(1)*</t>
  </si>
  <si>
    <t>MDC23C3K1P排瓶</t>
  </si>
  <si>
    <t>800(0.9-0.9-1.3-0.9)*
(充-拆袋放頭-鎖壓頭-入箱)</t>
  </si>
  <si>
    <t>MDC23C3K1P充填</t>
  </si>
  <si>
    <t>MDC23D1H1</t>
  </si>
  <si>
    <t>450(1)*
(中束玻璃&amp;膠帽組裝)</t>
  </si>
  <si>
    <t>MDC23D1H1P前置</t>
  </si>
  <si>
    <t>670(1)*</t>
  </si>
  <si>
    <t>MDC23D1H1P排瓶</t>
  </si>
  <si>
    <t>洗機器90min人時</t>
  </si>
  <si>
    <t>870(1-0.8-1-1.2)*
(充填-放滴管-鎖噴印-入箱)</t>
  </si>
  <si>
    <t>MDC23D1H1P充填</t>
  </si>
  <si>
    <t>MDC23D2H1</t>
  </si>
  <si>
    <t>霧面玻璃瓶、子母塞(已組好)、羅牙蓋
噴印瓶底</t>
  </si>
  <si>
    <t>MDC23D2H1P排瓶</t>
  </si>
  <si>
    <t>700(0.8-0.8-1.4-1)*
(充-塞-鎖-入箱)</t>
  </si>
  <si>
    <t>MDC23D2H1P充填</t>
  </si>
  <si>
    <t>MDC23E1H1</t>
  </si>
  <si>
    <t>MDC23E1H1P排瓶</t>
  </si>
  <si>
    <t>780(0.78-2.26-0.96)*
(充填-拆蓋拔套鎖頭上蓋噴印-入箱)</t>
  </si>
  <si>
    <t>MDC23E1H1P充填</t>
  </si>
  <si>
    <t>MDC23G241</t>
  </si>
  <si>
    <t>[面膜機x1&amp;噴印機x1]</t>
  </si>
  <si>
    <t>架線120min</t>
  </si>
  <si>
    <t>面膜機
噴印機</t>
  </si>
  <si>
    <t>1000(3)*</t>
  </si>
  <si>
    <t>噴印背面下方</t>
  </si>
  <si>
    <t>MDC23G241P充填</t>
  </si>
  <si>
    <t>MDC23H1H1</t>
  </si>
  <si>
    <t>MDC23H1H1P排瓶</t>
  </si>
  <si>
    <t>1100(1-1-0.8-0.9)*
(充-鎖-蓋-入箱)</t>
  </si>
  <si>
    <t>MDC23H1H1P充填</t>
  </si>
  <si>
    <t>MDC24B1H1</t>
  </si>
  <si>
    <t>氣壓式
小定量缸
唐亞</t>
  </si>
  <si>
    <t>噴印瓶底
※不可使用去光水擦拭噴印</t>
  </si>
  <si>
    <t>MDC24B1H1P排瓶</t>
  </si>
  <si>
    <t>400(0.5-1-0.5-0.4-0.3)*
(倒料-充填-封口貼-鎖蓋-入箱)</t>
  </si>
  <si>
    <t>MDC24B1H1P充填</t>
  </si>
  <si>
    <t>MDC24D1D1</t>
  </si>
  <si>
    <t>MDC24D1D1P排瓶</t>
  </si>
  <si>
    <t>800(1-1-1)
(充-手鎖滴管-入箱)</t>
  </si>
  <si>
    <t>MDC24D1D1P充填</t>
  </si>
  <si>
    <t>MDC24E1H1</t>
  </si>
  <si>
    <t>噴印瓶底
鎖蓋(出料口朝左)</t>
  </si>
  <si>
    <t>MDC24E1H1P排瓶</t>
  </si>
  <si>
    <t>600(0.8-1.2-1)
(充-鎖-入箱)</t>
  </si>
  <si>
    <t>MDC24E1H1P充填</t>
  </si>
  <si>
    <t>MDC25C1K1</t>
  </si>
  <si>
    <t>上層: 7.65g
中層: 9.6g
下層: 81.6g</t>
  </si>
  <si>
    <t>泵浦式充填機x2
雙管泵浦式充填機x1
自動鎖蓋機x1
噴印機x1</t>
  </si>
  <si>
    <t>塑膠瓶+壓頭+上蓋
噴印格式要特別仔細看品質說明書
充填時將鎖蓋機扭力設定為 94
噴印瓶底
充填順序：下層精華→中層油→上層油
下層精華 雙管泵浦 速度3
中層油 泵浦式 充填速度 14
上層油 泵浦式 充填速度 8
充第三層油要注意出料管可以泡到第二層料表面 (如果沾到下層 會滴料)
中層油出白桶
上層油出藍桶</t>
  </si>
  <si>
    <t>MDC25C1K1P排瓶</t>
  </si>
  <si>
    <t>800(0.9-0.8-0.9-0.9-0.5)*
(充水-充油-充油-鎖-入箱)</t>
  </si>
  <si>
    <t>MDC25C1K1P充填</t>
  </si>
  <si>
    <t>MDC25D1F1</t>
  </si>
  <si>
    <t>泵浦式
黃管
抽料管
桌上型壓蓋機
夾瓶輸送帶
噴印機</t>
  </si>
  <si>
    <t>PET瓶身
PP壓頭
ABS霧面白上蓋
需拆袋</t>
  </si>
  <si>
    <t>MDC25D1F1P排瓶</t>
  </si>
  <si>
    <t>800(0.8-1.4-1.4-0.4)*
(充-鎖-蓋&amp;噴印-入箱)</t>
  </si>
  <si>
    <t>MDC25D1F1P充填</t>
  </si>
  <si>
    <t>MDC25E1H1</t>
  </si>
  <si>
    <t>MDC25E1H1P排瓶</t>
  </si>
  <si>
    <t>850(1-0.6-1.7-0.6)*
(充-放墊片-拆袋鎖蓋-入箱)</t>
  </si>
  <si>
    <t>MDC25E1H1P充填</t>
  </si>
  <si>
    <t>MDC25E2H1</t>
  </si>
  <si>
    <t>齒輪式
桌上型壓蓋機
夾瓶輸送帶
噴印機</t>
  </si>
  <si>
    <t>塑膠真空瓶(分內膽、瓶身、旋蓋)
拆袋</t>
  </si>
  <si>
    <t>MDC25E2H1P排瓶</t>
  </si>
  <si>
    <t>900(0.7-1.5-1.4-0.5)*
(充-鎖-組裝&amp;噴印-入箱)</t>
  </si>
  <si>
    <t>MDC25E2H1P充填</t>
  </si>
  <si>
    <t>MDC25G1F1</t>
  </si>
  <si>
    <t>泵浦式充
面膜機封</t>
  </si>
  <si>
    <t>10*15透明鋁袋</t>
  </si>
  <si>
    <t>MDC25G1F1N排瓶</t>
  </si>
  <si>
    <t>950(0.6-1-0.8-0.8-0.8)*
(手充-機封口-放噴印-接噴印-入袋裝箱)</t>
  </si>
  <si>
    <t>MDC25G1F1N充填</t>
  </si>
  <si>
    <t>[噴印機x1]</t>
  </si>
  <si>
    <t>1300(1-1-1)*
(放噴印-接噴印-入袋)</t>
  </si>
  <si>
    <t>MDC25G1F1N後加工</t>
  </si>
  <si>
    <t>MDD20D1K1</t>
  </si>
  <si>
    <t>噴印瓶底
瓶貼於瓶子高度置中黏貼</t>
  </si>
  <si>
    <t>MDD20D1K1N排瓶</t>
  </si>
  <si>
    <t>390(0.5-0.2-0.9-1.7-0.7)*
(充-塞-鎖-瓶貼-入箱)</t>
  </si>
  <si>
    <t>390</t>
  </si>
  <si>
    <t>MDD20D1K1N充填</t>
  </si>
  <si>
    <t>MDD20D2K1</t>
  </si>
  <si>
    <t>MDD20D2K1N排瓶</t>
  </si>
  <si>
    <t>MDD20D2K1N充填</t>
  </si>
  <si>
    <t>MDD21D1D1</t>
  </si>
  <si>
    <t>13.4(看液高)</t>
  </si>
  <si>
    <t>泵浦式黃管
啟益</t>
  </si>
  <si>
    <t>280(1)*瓶身問題，下次改進再測一次</t>
  </si>
  <si>
    <t>280</t>
  </si>
  <si>
    <t>噴印瓶底，注意規格
排瓶速度很慢，待矯正後重測</t>
  </si>
  <si>
    <t>MDD21D1D1N排瓶</t>
  </si>
  <si>
    <t>1000(0.8-2-0.6)*
(充-鎖-入箱)</t>
  </si>
  <si>
    <t>MDD21D1D1N充填</t>
  </si>
  <si>
    <t>MDD21D2F2</t>
  </si>
  <si>
    <t>32(看液高)</t>
  </si>
  <si>
    <t>泵浦式黃管
(禁用手拿管)
充填速度 8 /回流量 2
啟益D13000
W135；G1</t>
  </si>
  <si>
    <t>400(1)*</t>
  </si>
  <si>
    <t>壓頭方向:正視面向LOGO，壓頭朝左
看液高(須滿位)
注意小蓋易鬆脫，要蓋好</t>
  </si>
  <si>
    <t>MDD21D2F2N排瓶</t>
  </si>
  <si>
    <t>800(1-1.8-0.8)*
(充-鎖-入箱)</t>
  </si>
  <si>
    <t>MDD21D2F2N充填</t>
  </si>
  <si>
    <t>MDD21E1F1</t>
  </si>
  <si>
    <t>33(看液高)</t>
  </si>
  <si>
    <t>氣壓式
啟益</t>
  </si>
  <si>
    <t>壓頭方向:正視面向LOGO，壓頭朝左
看液高(須滿位)
注意小蓋易鬆脫，要蓋好
內料充填不要有氣泡</t>
  </si>
  <si>
    <t>MDD21E1F1N排瓶</t>
  </si>
  <si>
    <t>800(0.9-1.1-0.7)*
(充-鎖-入箱)</t>
  </si>
  <si>
    <t>MDD21E1F1N充填</t>
  </si>
  <si>
    <t>MDD21H1F1</t>
  </si>
  <si>
    <t>氣壓式
啟益:加粗0:間距1</t>
  </si>
  <si>
    <t>800(0.7-1.3-1-1)*
(充-塞-鎖-入箱)</t>
  </si>
  <si>
    <t>噴印瓶背最上方</t>
  </si>
  <si>
    <t>MDD21H1F1P充填</t>
  </si>
  <si>
    <t>MDD21H2F1</t>
  </si>
  <si>
    <t>MDD21H2F1P充填</t>
  </si>
  <si>
    <t>MDF25D1F1</t>
  </si>
  <si>
    <t>泵浦式
黃管
自動鎖蓋機
夾瓶輸送帶</t>
  </si>
  <si>
    <t>噴印瓶底
玻璃膠帽滴管
取消手拿管，油太稀會滴</t>
  </si>
  <si>
    <t>MDF25D1F1P排瓶</t>
  </si>
  <si>
    <t>[泵浦式充填機x1&amp;自動鎖蓋機x1&amp;夾瓶輸送帶x1噴印機x1]</t>
  </si>
  <si>
    <t>1100(1-0.5-0.6-1)*
(充-放滴管-自動鎖-入箱)</t>
  </si>
  <si>
    <t>MDF25D1F1P充填</t>
  </si>
  <si>
    <t>MDF25D1F2N</t>
  </si>
  <si>
    <t>MDF25D1F2</t>
  </si>
  <si>
    <t>潤顏抗皺奇蹟油30ML-裸瓶</t>
  </si>
  <si>
    <t>真空瓶+蓋</t>
  </si>
  <si>
    <t>MDF25D1F2N排瓶</t>
  </si>
  <si>
    <t>800(4)
(充-自動鎖-蓋-入箱)</t>
  </si>
  <si>
    <t>MDF25D1F2N充填</t>
  </si>
  <si>
    <t>MDF25D1K1N</t>
  </si>
  <si>
    <t>MDF25D1K1</t>
  </si>
  <si>
    <t>潤顏抗皺奇蹟油100ML-裸瓶</t>
  </si>
  <si>
    <t>MDF25D1K1N排瓶</t>
  </si>
  <si>
    <t>600(4)
(充-自動鎖-蓋-入箱)</t>
  </si>
  <si>
    <t>MDF25D1K1N充填</t>
  </si>
  <si>
    <t>MDF25D2F1</t>
  </si>
  <si>
    <t>玻璃滴管瓶</t>
  </si>
  <si>
    <t>MDF25D2F1P排瓶</t>
  </si>
  <si>
    <t>[泵浦式充填機x1&amp;自動鎖蓋機x1&amp;夾瓶輸送帶*1&amp;噴印機x1]</t>
  </si>
  <si>
    <t>1400(0.6-0.6-0.8-0.7)*
(充-放滴管-鎖-入箱)</t>
  </si>
  <si>
    <t>MDF25D2F1P充填</t>
  </si>
  <si>
    <t>MDJ20H1F1</t>
  </si>
  <si>
    <t>氣壓式
X
料斗</t>
  </si>
  <si>
    <t>800(0.88-1.17-0.95)*
(充-鎖-噴印入箱)</t>
  </si>
  <si>
    <t>噴印背面上方
每充填5kg，更換濾網避免破乳
有易破乳風險</t>
  </si>
  <si>
    <t>MDJ20H1F1P充填</t>
  </si>
  <si>
    <t>MDT24B1R1</t>
  </si>
  <si>
    <t>570(1)*</t>
  </si>
  <si>
    <t>570</t>
  </si>
  <si>
    <t>噴印於瓶底空白處
對齊瓶身正面
封口貼貼法請確認品質說明書
※不可使用去光水擦拭噴印</t>
  </si>
  <si>
    <t>MDT24B1R1N排瓶</t>
  </si>
  <si>
    <t>400(1.5-0.75-2.1-0.65)*
(充-鎖-貼-入箱)</t>
  </si>
  <si>
    <t>MDT24B1R1N充填</t>
  </si>
  <si>
    <t>MDX20C1F1P</t>
  </si>
  <si>
    <t>MDX20C1F1</t>
  </si>
  <si>
    <t>純粹燕窩．逆齡重生極潤青春露旅行品30ml</t>
  </si>
  <si>
    <t>噴印瓶底，不壓凹凸點</t>
  </si>
  <si>
    <t>MDX20C1F1P排瓶</t>
  </si>
  <si>
    <t>1200(0.9-0.7-1.3-1.1)*
(充-內塞-鎖-入箱)</t>
  </si>
  <si>
    <t>MDX20C1F1P充填</t>
  </si>
  <si>
    <t>MDX20C1M1</t>
  </si>
  <si>
    <t>噴印瓶底
隔板入箱</t>
  </si>
  <si>
    <t>MDX20C1M1P排瓶</t>
  </si>
  <si>
    <t>650(0.93-0.33-1-0.74)*
(充-塞-鎖-入箱)</t>
  </si>
  <si>
    <t>MDX20C1M1P充填</t>
  </si>
  <si>
    <t>MDX20D1C1P</t>
  </si>
  <si>
    <t>MDX20D1C1</t>
  </si>
  <si>
    <t>純粹燕窩．逆齡重生煥顏精華7ML</t>
  </si>
  <si>
    <t>MDX20D1C1P排瓶</t>
  </si>
  <si>
    <t>1200(0.55-1.65-1-0.8)*
(充-鎖-蓋-入箱)</t>
  </si>
  <si>
    <t>MDX20D1C1P充填</t>
  </si>
  <si>
    <t>MDX20D1F1</t>
  </si>
  <si>
    <t>870(1)*</t>
  </si>
  <si>
    <t>MDX20D1F1P排瓶</t>
  </si>
  <si>
    <t>1200(1-2-1)*
(充-鎖-入箱)</t>
  </si>
  <si>
    <t>MDX20D1F1P充填</t>
  </si>
  <si>
    <t>MDX20E1D1P</t>
  </si>
  <si>
    <t>MDX20E1D1</t>
  </si>
  <si>
    <t>純粹燕窩．逆齡重生修護晚霜旅行品13ml</t>
  </si>
  <si>
    <t>白色平口小霜瓶
噴印瓶底，不壓凹凸點</t>
  </si>
  <si>
    <t>MDX20E1D1P排瓶</t>
  </si>
  <si>
    <t>1000(0.9-0.6-1.6-0.9)*
(充-墊-鎖-入箱)</t>
  </si>
  <si>
    <t>MDX20E1D1P充填</t>
  </si>
  <si>
    <t>MDX20E1H1</t>
  </si>
  <si>
    <t>含拆貨，一天烘兩輪/每輪534pcs/每輪3.5hr/1人</t>
  </si>
  <si>
    <t>229(1)
瓶器吐鹼、異常才洗</t>
  </si>
  <si>
    <t>229</t>
  </si>
  <si>
    <t>MDX20E1H1P洗瓶</t>
  </si>
  <si>
    <t>MDX20E1H1P排瓶</t>
  </si>
  <si>
    <t>900(1-0.9-1-1.3)*
(充-墊-鎖-入箱)</t>
  </si>
  <si>
    <t>MDX20E1H1P充填</t>
  </si>
  <si>
    <t>MDX20E2D1P</t>
  </si>
  <si>
    <t>MDX20E2D1</t>
  </si>
  <si>
    <t>純粹燕窩．逆齡重生彈力乳液旅行品13ml</t>
  </si>
  <si>
    <t>MDX20E2D1P排瓶</t>
  </si>
  <si>
    <t>MDX20E2D1P充填</t>
  </si>
  <si>
    <t>MDX20E2H1</t>
  </si>
  <si>
    <t>MDX20E2H1P洗瓶</t>
  </si>
  <si>
    <t>MDX20E2H1P排瓶</t>
  </si>
  <si>
    <t>750(0.7-0.5-1-1)*
(充-墊-鎖-入箱)</t>
  </si>
  <si>
    <t>MDX20E2H1P充填</t>
  </si>
  <si>
    <t>MDX20F1C1P</t>
  </si>
  <si>
    <t>MDX20F1C1</t>
  </si>
  <si>
    <t>純粹燕窩．逆齡重生緊緻眼霜旅行品7ML</t>
  </si>
  <si>
    <t>MDX20F1C1P排瓶</t>
  </si>
  <si>
    <t>1000(0.8-1.3-0.9)*
(充-鎖-入箱)</t>
  </si>
  <si>
    <t>MDX20F1C1P充填</t>
  </si>
  <si>
    <t>MDX20F1D1</t>
  </si>
  <si>
    <t>噴印瓶底
首充時發現額定量15克會溢料
故實際充填14.6~14.8克</t>
  </si>
  <si>
    <t>MDX20F1D1P排瓶</t>
  </si>
  <si>
    <t>1200(0.77-0.74-1.25-1.24)*
(充-墊-鎖-入箱)</t>
  </si>
  <si>
    <t>MDX20F1D1P充填</t>
  </si>
  <si>
    <t>MDX20G111N</t>
  </si>
  <si>
    <t>MDX20G111</t>
  </si>
  <si>
    <t>純粹燕窩．逆齡重生高滲透修護面膜(1入)</t>
  </si>
  <si>
    <t>用面膜機封口溫度120度
鐵封條貼鐵氟龍膠帶避免白化
面膜機噴印背面正下方置中</t>
  </si>
  <si>
    <t>MDX20G111N排瓶</t>
  </si>
  <si>
    <t>1100(1-1)*
(充-驗噴印裝OPP袋入箱)
啟益噴印機架在面膜機上
封口完直接噴印</t>
  </si>
  <si>
    <t>MDX20G111N充填</t>
  </si>
  <si>
    <t>MDX20G131</t>
  </si>
  <si>
    <t>MDX20G131P排瓶</t>
  </si>
  <si>
    <t>1500(1-1)
(充-驗噴印入箱)
啟益噴印機架在面膜機上
封口完直接噴印</t>
  </si>
  <si>
    <t>MDX20G131P充填</t>
  </si>
  <si>
    <t>MEH20P2H1</t>
  </si>
  <si>
    <t>泵浦式
黃管
啟益</t>
  </si>
  <si>
    <t>噴印瓶底、中間凹洞與瓶器氣洞中間</t>
  </si>
  <si>
    <t>MEH20P2H1P排瓶</t>
  </si>
  <si>
    <t>900(0.9-1-1-1.1)*
(充-鎖-蓋-入箱)</t>
  </si>
  <si>
    <t>MEH20P2H1P充填</t>
  </si>
  <si>
    <t>MEH22P1N1</t>
  </si>
  <si>
    <t>含拆貨，一天烘兩輪(65度)/每輪120pcs/每輪3hr/1人</t>
  </si>
  <si>
    <t>240(1)*</t>
  </si>
  <si>
    <t>240</t>
  </si>
  <si>
    <t>瓶器需先水洗
水洗瓶要用手戳洗內部
充填前須先瓶底貼+噴印
料體於瓶身可以有氣泡
液面不能有深凹槽
瓶頸不能有料</t>
  </si>
  <si>
    <t>MEH22P1N1P洗瓶</t>
  </si>
  <si>
    <t>MEH22P1N1P排瓶</t>
  </si>
  <si>
    <t>180(1.2-0.8)*
(瓶底貼-噴印)</t>
  </si>
  <si>
    <t>180</t>
  </si>
  <si>
    <t>MEH22P1N1P前置</t>
  </si>
  <si>
    <t>[定量缸式充填機x1</t>
  </si>
  <si>
    <t>320(1-0.3-0.5-0.5)*
(充-墊片-鎖蓋-入箱)</t>
  </si>
  <si>
    <t>320</t>
  </si>
  <si>
    <t>MEH22P1N1P充填</t>
  </si>
  <si>
    <t>MEJ21E1L1</t>
  </si>
  <si>
    <t>600(0.8-1.4-0.9-0.9)*
(充-塞-鎖-入箱)</t>
  </si>
  <si>
    <t>噴印軟管背面上方
GR資料夾:X3L7:G2:H255:W190</t>
  </si>
  <si>
    <t>MEJ21E1L1P充填</t>
  </si>
  <si>
    <t>MEQ22G111N</t>
  </si>
  <si>
    <t>MEQ22G111</t>
  </si>
  <si>
    <t>AGE 新肌齡抗老逆齡生物纖維面膜30ML</t>
  </si>
  <si>
    <t>2
28</t>
  </si>
  <si>
    <t>泵浦式*2
白管*2
封口機
啟益</t>
  </si>
  <si>
    <t>400(1)*
(拆袋-入袋排籃)</t>
  </si>
  <si>
    <t>噴印指定位置
蠕動管式充填
封口機封口</t>
  </si>
  <si>
    <t>MEQ22G111N前置</t>
  </si>
  <si>
    <t>[泵浦式充填機x1]</t>
  </si>
  <si>
    <t>MEQ22G111N充填</t>
  </si>
  <si>
    <t>MER20C1P1</t>
  </si>
  <si>
    <t>650(1)*</t>
  </si>
  <si>
    <t>MER20C1P1P排瓶</t>
  </si>
  <si>
    <t>670(1.5-0.3-1.2-1.1)*
(充-塞-鎖-入箱)</t>
  </si>
  <si>
    <t>MER20C1P1P充填</t>
  </si>
  <si>
    <t>MER20D1F1</t>
  </si>
  <si>
    <t>噴印瓶底
同美白精華
檢查瓶器(氣洗)
霧瓶不後加工</t>
  </si>
  <si>
    <t>MER20D1F1P排瓶</t>
  </si>
  <si>
    <t>1200(0.73-0.48-0.75-0.92-1.12)*
(充-放丫頭-放鎖-上蓋-入箱)</t>
  </si>
  <si>
    <t>MER20D1F1P充填</t>
  </si>
  <si>
    <t>MER20D2F1</t>
  </si>
  <si>
    <t>噴印瓶底
吸管下次進貨應為廠商組好</t>
  </si>
  <si>
    <t>MER20D2F1P排瓶</t>
  </si>
  <si>
    <t>800(0.4-0.9-0.9-0.8-1)*
(充-組吸管-鎖-入箱)</t>
  </si>
  <si>
    <t>MER20D2F1P充填</t>
  </si>
  <si>
    <t>MER20E2H1</t>
  </si>
  <si>
    <t>MER20E2H1P排瓶</t>
  </si>
  <si>
    <t>880(1-0.6-1.2-1.2)*
(充-墊-鎖-入箱)</t>
  </si>
  <si>
    <t>880</t>
  </si>
  <si>
    <t>MER20E2H1P充填</t>
  </si>
  <si>
    <t>MER20F1F1</t>
  </si>
  <si>
    <t>650(0.8-1.1-1.1-1)*
(充-塞-鎖-入箱)</t>
  </si>
  <si>
    <t>噴印於瓶身背部</t>
  </si>
  <si>
    <t>MER20F1F1P充填</t>
  </si>
  <si>
    <t>MER23E1H1</t>
  </si>
  <si>
    <t>噴印瓶底
霧面玻璃吸管丫頭+蓋</t>
  </si>
  <si>
    <t>MER23E1H1P排瓶</t>
  </si>
  <si>
    <t>1000(0.9-0.7-0.6-0.8-1)*
(充-放頭-放鎖-蓋-入箱)</t>
  </si>
  <si>
    <t>MER23E1H1P充填</t>
  </si>
  <si>
    <t>MET21B1P1</t>
  </si>
  <si>
    <t>大型氣壓式
粗抽料管
自動鎖蓋機</t>
  </si>
  <si>
    <t>990(1)*</t>
  </si>
  <si>
    <t>990</t>
  </si>
  <si>
    <t>客供物料
噴印瓶底避開凹凸點
製造完須等兩周消泡再充填</t>
  </si>
  <si>
    <t>MET21B1P1T排瓶</t>
  </si>
  <si>
    <t>480(1-0.9-0.5-0.6)*
(充-鎖-噴印-入箱)</t>
  </si>
  <si>
    <t>MET21B1P1T充填</t>
  </si>
  <si>
    <t>MET21B1R1</t>
  </si>
  <si>
    <t>770(1)*</t>
  </si>
  <si>
    <t>客供物料
噴印瓶底
避開凹洞、回收標
製造完須等兩周消泡再充填</t>
  </si>
  <si>
    <t>MET21B1R1T排瓶</t>
  </si>
  <si>
    <t>350(1.7-1.3-1)*
(充-鎖-入箱)(開雙機)</t>
  </si>
  <si>
    <t>350</t>
  </si>
  <si>
    <t>MET21B1R1T充填</t>
  </si>
  <si>
    <t>MET21D1C1N</t>
  </si>
  <si>
    <t>MET21D1C1</t>
  </si>
  <si>
    <t>完肌晶顏精華油10ml</t>
  </si>
  <si>
    <t>噴印"瓶側"底部</t>
  </si>
  <si>
    <t>MET21D1C1N排瓶</t>
  </si>
  <si>
    <t>950(0.6-1.9-1.5)*
(充-鎖-入箱)(支援入箱)</t>
  </si>
  <si>
    <t>MET21D1C1N充填</t>
  </si>
  <si>
    <t>MET21D1F1P</t>
  </si>
  <si>
    <t>MET21D1F1</t>
  </si>
  <si>
    <t>完肌晶顏精華油30ml</t>
  </si>
  <si>
    <t>泵浦式
黃管
桌上型鎖蓋機</t>
  </si>
  <si>
    <t>MET21D1F1P排瓶</t>
  </si>
  <si>
    <t>900(0.7-0.9-1.4-1)*
(充-塞-鎖-入箱)</t>
  </si>
  <si>
    <t>MET21D1F1P充填</t>
  </si>
  <si>
    <t>MET21D1F2</t>
  </si>
  <si>
    <t>200目鐵網
100目絹網</t>
  </si>
  <si>
    <t>噴印瓶底
精油內塞/白安全扣蓋</t>
  </si>
  <si>
    <t>MET21D1F2P排瓶</t>
  </si>
  <si>
    <t>1000(0.79-0.83-1.2-1.18)*
(充-上塞上蓋-鎖-入箱)</t>
  </si>
  <si>
    <t>MET21D1F2P充填</t>
  </si>
  <si>
    <t>MET21D1K1</t>
  </si>
  <si>
    <t>MET21D1K1T排瓶</t>
  </si>
  <si>
    <t>640(0.94-1.93-1.13)*
(充-鎖-入箱)</t>
  </si>
  <si>
    <t>640</t>
  </si>
  <si>
    <t>MET21D1K1T充填</t>
  </si>
  <si>
    <t>MET21E1D1</t>
  </si>
  <si>
    <t>MET21E1D1N排瓶</t>
  </si>
  <si>
    <t>1000(0.8-0.5-1.3-1.4)*
(充-墊-鎖-入箱)</t>
  </si>
  <si>
    <t>MET21E1D1N充填</t>
  </si>
  <si>
    <t>MET21E1D1P</t>
  </si>
  <si>
    <t>MET21E1D1P排瓶</t>
  </si>
  <si>
    <t>800(1-1-1-1)*
(充-墊-鎖-入箱)</t>
  </si>
  <si>
    <t>MET21E1D1P充填</t>
  </si>
  <si>
    <t>MET21E1H1P</t>
  </si>
  <si>
    <t>MET21E1H1</t>
  </si>
  <si>
    <t>完肌晶顏豐華霜50ml</t>
  </si>
  <si>
    <t>MET21E1H1P排瓶</t>
  </si>
  <si>
    <t>750(1-1-1-1)*
(充-墊-鎖-入箱)</t>
  </si>
  <si>
    <t>MET21E1H1P充填</t>
  </si>
  <si>
    <t>MET21E1P1T</t>
  </si>
  <si>
    <t>MET21E1P1</t>
  </si>
  <si>
    <t>完肌晶顏豐華霜250ML</t>
  </si>
  <si>
    <t>客供物料
噴印瓶底
避開凹凸點、回收標</t>
  </si>
  <si>
    <t>MET21E1P1T排瓶</t>
  </si>
  <si>
    <t>460(1-0.9-0.5-0.6)*
(充-鎖-噴印-入箱)</t>
  </si>
  <si>
    <t>460</t>
  </si>
  <si>
    <t>MET21E1P1T充填</t>
  </si>
  <si>
    <t>MET21E2J1</t>
  </si>
  <si>
    <t>氣壓式
小定量缸
啟益噴印機</t>
  </si>
  <si>
    <t>850(0.9-1.5-0.6)*
(充-鎖-入箱)</t>
  </si>
  <si>
    <t>噴印軟管背面下方</t>
  </si>
  <si>
    <t>MET21E2J1P充填</t>
  </si>
  <si>
    <t>MET21E2J2</t>
  </si>
  <si>
    <t>760(1)*</t>
  </si>
  <si>
    <t>760</t>
  </si>
  <si>
    <t>空白玻璃瓶
噴印瓶底置中</t>
  </si>
  <si>
    <t>MET21E2J2P排瓶</t>
  </si>
  <si>
    <t>[定量缸式充填機x1&amp;自動鎖蓋機x1&amp;噴印機x1]</t>
  </si>
  <si>
    <t>770(0.77-1.31-0.97-0.95)*
(充-放丫頭-上蓋-入箱)</t>
  </si>
  <si>
    <t>MET21E2J2P充填</t>
  </si>
  <si>
    <t>MET21E2P1T</t>
  </si>
  <si>
    <t>MET21E2P1</t>
  </si>
  <si>
    <t>阿爾卑斯冰河CICA修護乳250ML</t>
  </si>
  <si>
    <t>MET21E2P1T排瓶</t>
  </si>
  <si>
    <t>MET21E2P1T充填</t>
  </si>
  <si>
    <t>MET25B1D1P</t>
  </si>
  <si>
    <t>MET25B1D1</t>
  </si>
  <si>
    <t>角質平滑3重酸精華凝露-盒裝15ML</t>
  </si>
  <si>
    <t>泵浦式
黃管
夾瓶輸送帶
噴印機</t>
  </si>
  <si>
    <t>200目絹網
100目鐵網</t>
  </si>
  <si>
    <t>玻璃瓶
壓頭
上蓋</t>
  </si>
  <si>
    <t>MET25B1D1P排瓶</t>
  </si>
  <si>
    <t>1300(0.9-1.1-1-0.8)*
(充填-手鎖-上蓋噴印-入箱)</t>
  </si>
  <si>
    <t>MET25B1D1P充填</t>
  </si>
  <si>
    <t>MET25B1F1</t>
  </si>
  <si>
    <t>泵浦式
黃管
自動鎖蓋機
夾瓶輸送帶
噴印機</t>
  </si>
  <si>
    <t>噴印瓶底
清晰可辨視
玻璃瓶+白丫頭+透明上蓋</t>
  </si>
  <si>
    <t>MET25B1F1P排瓶</t>
  </si>
  <si>
    <t>900(1-0.8-0.7-0.6)*
(充填-鎖-蓋噴印-入箱)</t>
  </si>
  <si>
    <t>MET25B1F1P充填</t>
  </si>
  <si>
    <t>MET25D1C1P</t>
  </si>
  <si>
    <t>MET25D1C1</t>
  </si>
  <si>
    <t>角質平滑5重酸精華液10ML</t>
  </si>
  <si>
    <t>泵浦式
夾瓶輸送帶x1
噴印機x1</t>
  </si>
  <si>
    <t>玻璃瓶+平蓋</t>
  </si>
  <si>
    <t>MET25D1C1P排瓶</t>
  </si>
  <si>
    <t>[泵浦式充填機x1&amp;夾瓶輸送帶*1&amp;噴印機x1]</t>
  </si>
  <si>
    <t>1000(0.5-1.6-0.6)*
(充-手鎖蓋噴印-入箱)</t>
  </si>
  <si>
    <t>MET25D1C1P充填</t>
  </si>
  <si>
    <t>MET25D1F1</t>
  </si>
  <si>
    <t>泵浦式
自動鎖蓋機x1
夾瓶輸送帶x1
噴印機x1</t>
  </si>
  <si>
    <t>MET25D1F1P排瓶</t>
  </si>
  <si>
    <t>1000(0.9-0.4-1.1-0.6)*
(充-放蓋-鎖-入箱)</t>
  </si>
  <si>
    <t>MET25D1F1P充填</t>
  </si>
  <si>
    <t>MET25D2D1</t>
  </si>
  <si>
    <t>泵浦式充填機
黃管
手拿管
啟益噴印機</t>
  </si>
  <si>
    <t>客供料
玻璃瓶+丫頭+上蓋</t>
  </si>
  <si>
    <t>MET25D2D1P排瓶</t>
  </si>
  <si>
    <t>1400(0.5-1.4-1-0.8)*
(充-手鎖壓頭-上蓋-入箱)</t>
  </si>
  <si>
    <t>MET25D2D1P充填</t>
  </si>
  <si>
    <t>MET25E1D1</t>
  </si>
  <si>
    <t>MET25E1D1P排瓶</t>
  </si>
  <si>
    <t>1100(0.8-1.2-0.8-0.7)*
(充-鎖-蓋-入箱)</t>
  </si>
  <si>
    <t>MET25E1D1P充填</t>
  </si>
  <si>
    <t>MET25E1F1</t>
  </si>
  <si>
    <t>氣壓式
自動鎖蓋機
啟益噴印機</t>
  </si>
  <si>
    <t>MET25E1F1P排瓶</t>
  </si>
  <si>
    <t>1000(1-0.9-0.9-0.7)*
(充-放壓頭鎖-上蓋-入箱)</t>
  </si>
  <si>
    <t>MET25E1F1P充填</t>
  </si>
  <si>
    <t>MEU21C1D2</t>
  </si>
  <si>
    <t>11.7(水)
2.8(乳)</t>
  </si>
  <si>
    <t>泵浦式(水)白管手拿管
泵浦式(乳)黃管</t>
  </si>
  <si>
    <t>噴印瓶底
噴印格式
XXXXXX
水項為第五碼數字表示
乳項為第六碼英文表示</t>
  </si>
  <si>
    <t>MEU21C1D2P排瓶</t>
  </si>
  <si>
    <t>[雙管泵浦式充填機x1&amp;泵浦式充填機x1&amp;噴印機x1]</t>
  </si>
  <si>
    <t>820(0.4-0.4-0.4-1.8-1)*
(充水-充乳-塞-鎖-入箱)</t>
  </si>
  <si>
    <t>820</t>
  </si>
  <si>
    <t>MEU21C1D2P充填</t>
  </si>
  <si>
    <t>MEU21C1L2</t>
  </si>
  <si>
    <t>96.6(水)
23.4(乳)</t>
  </si>
  <si>
    <t>雙管泵浦式(水)白管
泵浦式(乳)黃管</t>
  </si>
  <si>
    <t>200目鐵網(水)
200目絹網(水)
100目絹網(乳)</t>
  </si>
  <si>
    <t>充填後靜置(4 HR)後再進行噴印時確認是否依舊有斷裂
噴印瓶底
噴印格式
XXXXXX
水項為第五碼數字表示
乳項為第六碼英文表示</t>
  </si>
  <si>
    <t>MEU21C1L2P排瓶</t>
  </si>
  <si>
    <t>500(0.6-0.6-0.7-1.2-0.9)*
(充水-充乳-機器壓內塞-鎖蓋-入箱)</t>
  </si>
  <si>
    <t>MEU21C1L2P充填</t>
  </si>
  <si>
    <t>MEU21D1B1P</t>
  </si>
  <si>
    <t>MEU21D1B1</t>
  </si>
  <si>
    <t>黃金蠟菊超導精華5ML</t>
  </si>
  <si>
    <t>X
內含金箔</t>
  </si>
  <si>
    <t>MEU21D1B1P排瓶</t>
  </si>
  <si>
    <t>1200(0.4-1.8-1)*
(充-鎖-入箱)</t>
  </si>
  <si>
    <t>MEU21D1B1P充填</t>
  </si>
  <si>
    <t>MEU21D1B2P</t>
  </si>
  <si>
    <t>MEU21D1B2</t>
  </si>
  <si>
    <t>MEU21D1B2P排瓶</t>
  </si>
  <si>
    <t>MEU21D1B2P充填</t>
  </si>
  <si>
    <t>MEU21D1G1</t>
  </si>
  <si>
    <t>氣壓式
自動鎖蓋機(白輪)</t>
  </si>
  <si>
    <t>噴印瓶底與正面印刷同方向
充填看液高(以品質說明書為主)</t>
  </si>
  <si>
    <t>MEU21D1G1P排瓶</t>
  </si>
  <si>
    <t>850(0.85-0.45-0.6-1.1-1)*
(充-內塞-放滴管-放噴印-入箱)</t>
  </si>
  <si>
    <t>MEU21D1G1P充填</t>
  </si>
  <si>
    <t>MEU21D2B1</t>
  </si>
  <si>
    <t>泵浦式
黃管
手拿管
速度9回流2</t>
  </si>
  <si>
    <t>X
內含晶球</t>
  </si>
  <si>
    <t>3000(1)*</t>
  </si>
  <si>
    <t>3000</t>
  </si>
  <si>
    <t>內含晶球，需慢速充填
晶球破裂，內料將變濁
噴印瓶底</t>
  </si>
  <si>
    <t>MEU21D2B1P排瓶</t>
  </si>
  <si>
    <t>1200(0.3-1.7-1)*
(充-鎖-入箱)</t>
  </si>
  <si>
    <t>MEU21D2B1P充填</t>
  </si>
  <si>
    <t>MEU21D2F1</t>
  </si>
  <si>
    <t>小台氣壓優先
大台氣壓也可充填
料斗</t>
  </si>
  <si>
    <t>內含晶球，需慢速充填
藍線氣孔轉緊之後鬆半圈
橘線氣孔轉緊之後鬆一圈
白桶不用刮(每桶殘留約60克)
晶球破裂，內料將變濁
噴印瓶底
請生管注意不可分料</t>
  </si>
  <si>
    <t>MEU21D2F1P排瓶</t>
  </si>
  <si>
    <t>800(1-1-1)*
(充-鎖-入箱)</t>
  </si>
  <si>
    <t>MEU21D2F1P充填</t>
  </si>
  <si>
    <t>MEU21D3F1</t>
  </si>
  <si>
    <t>泵浦式
黃管
手拿管
抽料管
自動鎖蓋機
夾瓶輸送帶
啟益噴印機</t>
  </si>
  <si>
    <t>噴印瓶底
黑膠帽有白點為NG</t>
  </si>
  <si>
    <t>MEU21D3F1P排瓶</t>
  </si>
  <si>
    <t>1600(0.7-1.5-0.7)
(充-鎖-入箱)</t>
  </si>
  <si>
    <t>MEU21D3F1P充填</t>
  </si>
  <si>
    <t>MEU21D4F1</t>
  </si>
  <si>
    <t>泵浦式
黃管
手拿管
抽料管
自動鎖蓋機</t>
  </si>
  <si>
    <t>MEU21D4F1P排瓶</t>
  </si>
  <si>
    <t>1400(0.8-1.6-0.6)*
(充-放滴管鎖-入箱)</t>
  </si>
  <si>
    <t>MEU21D4F1P充填</t>
  </si>
  <si>
    <t>MEU21D5B1</t>
  </si>
  <si>
    <t>噴印瓶底
須清楚可辨識
看液高(照品質說明書)</t>
  </si>
  <si>
    <t>MEU21D5B1P排瓶</t>
  </si>
  <si>
    <t>1000(0.5-2.5-0.6)*
(充-鎖-入箱)</t>
  </si>
  <si>
    <t>MEU21D5B1P充填</t>
  </si>
  <si>
    <t>MEU21D5F1</t>
  </si>
  <si>
    <t>泵浦式
黃管
手拿管
自動鎖蓋機
夾瓶輸送帶
啟益噴印機</t>
  </si>
  <si>
    <t>噴印瓶底
清楚可辨識即可
黑膠帽有白點為NG</t>
  </si>
  <si>
    <t>MEU21D5F1P排瓶</t>
  </si>
  <si>
    <t>1500(0.9-1.4-0.7)
(充-鎖-入箱)</t>
  </si>
  <si>
    <t>MEU21D5F1P充填</t>
  </si>
  <si>
    <t>MEU21E1C1P</t>
  </si>
  <si>
    <t>MEU21E1C1</t>
  </si>
  <si>
    <t>杜鵑花酸白CC精華乳10ML</t>
  </si>
  <si>
    <t>泵浦式
黃管
啟益
(也可用氣壓式)</t>
  </si>
  <si>
    <t>1100(0.7-1.1-1.1-1.1)*
(充-塞-鎖-入箱)</t>
  </si>
  <si>
    <t>MEU21E1C1P充填</t>
  </si>
  <si>
    <t>MEU21E1J1</t>
  </si>
  <si>
    <t>泵浦式*2
黃管
自動鎖蓋</t>
  </si>
  <si>
    <t>MEU21E1J1P排瓶</t>
  </si>
  <si>
    <t>[泵浦式充填機x2&amp;自動鎖蓋機x1&amp;噴印機x1]</t>
  </si>
  <si>
    <t>1200(1.6-1.4-1)*
(充-自動鎖蓋-入箱)</t>
  </si>
  <si>
    <t>MEU21E1J1P充填</t>
  </si>
  <si>
    <t>MEU22A1K1</t>
  </si>
  <si>
    <t>大氣壓式
抽料管(大)
自動鎖蓋機</t>
  </si>
  <si>
    <t>460(1)*</t>
  </si>
  <si>
    <t>噴印瓶底
製造充填請間隔14天以上</t>
  </si>
  <si>
    <t>MEU22A1K1P排瓶</t>
  </si>
  <si>
    <t>470(1-0.8-0.8)*
(充-鎖-入箱)</t>
  </si>
  <si>
    <t>MEU22A1K1P充填</t>
  </si>
  <si>
    <t>MEU22D1B1P</t>
  </si>
  <si>
    <t>MEU22D1B1</t>
  </si>
  <si>
    <t>超能ABC音波精華5ML</t>
  </si>
  <si>
    <t>泵浦式
黃管
手拿管
啟益</t>
  </si>
  <si>
    <t>噴印瓶底
須清楚可辨視</t>
  </si>
  <si>
    <t>MEU22D1B1P排瓶</t>
  </si>
  <si>
    <t>1500(0.43-1.93-1.64)*
(充-鎖-入箱)</t>
  </si>
  <si>
    <t>MEU22D1B1P充填</t>
  </si>
  <si>
    <t>MEU22D1F1</t>
  </si>
  <si>
    <t>泵浦式
黃管+手拿管
唐亞
自動鎖蓋機</t>
  </si>
  <si>
    <t>MEU22D1F1P排瓶</t>
  </si>
  <si>
    <t>1300(0.9-0.6-0.7-0.7-1.1)*
(充填-放滴管-放鎖蓋機-噴印-入箱)</t>
  </si>
  <si>
    <t>MEU22D1F1P充填</t>
  </si>
  <si>
    <t>MEU22D2B1</t>
  </si>
  <si>
    <t>泵浦式
黃管蠕動管
黃管手拿管</t>
  </si>
  <si>
    <t>噴印瓶底置中避開模具編號
鎖後液面高度需高於瓶頸線下緣
牙口嚴禁沾到料</t>
  </si>
  <si>
    <t>MEU22D2B1P排瓶</t>
  </si>
  <si>
    <t>[泵浦式充填機x1&amp;小噴印機x1]</t>
  </si>
  <si>
    <t>1500(0.5-2.2-1.3)*
(充-鎖-入箱)</t>
  </si>
  <si>
    <t>MEU22D2B1P充填</t>
  </si>
  <si>
    <t>MEU22D2F1</t>
  </si>
  <si>
    <t>泵浦式
黃管蠕動管
黃管手拿管
自動鎖蓋機</t>
  </si>
  <si>
    <t>噴印瓶底
液面高度需高於瓶頸線下緣
牙口嚴禁沾到料</t>
  </si>
  <si>
    <t>MEU22D2F1P排瓶</t>
  </si>
  <si>
    <t>1200(0.9-0.5-1.3-1.3)*
(充-放滴管-噴印-入箱)</t>
  </si>
  <si>
    <t>MEU22D2F1P充填</t>
  </si>
  <si>
    <t>MEU22E1C1</t>
  </si>
  <si>
    <t>泵浦式
黃管
(也可用氣壓式)</t>
  </si>
  <si>
    <t>X
內含花瓣</t>
  </si>
  <si>
    <t>1000(0.8-1-1-1)*
(充-塞-鎖-入箱)</t>
  </si>
  <si>
    <t>MEU22E1C1P充填</t>
  </si>
  <si>
    <t>MEU22E1J1</t>
  </si>
  <si>
    <t>MEU22E1J1P排瓶</t>
  </si>
  <si>
    <t>700(0.8-0.5-1-1)*
(充-放蓋-鎖-入箱)</t>
  </si>
  <si>
    <t>MEU22E1J1P充填</t>
  </si>
  <si>
    <t>MEU22E2E1P</t>
  </si>
  <si>
    <t>MEU22E2E1</t>
  </si>
  <si>
    <t>黃金蠟菊全能乳霜20ML</t>
  </si>
  <si>
    <t>氣壓式
X
啟益</t>
  </si>
  <si>
    <t>噴印瓶底(只能用啟益噴印)</t>
  </si>
  <si>
    <t>MEU22E2E1P排瓶</t>
  </si>
  <si>
    <t>850(1-0.6-1.5-0.9)*
(充-墊片-鎖蓋-入箱)</t>
  </si>
  <si>
    <t>MEU22E2E1P充填</t>
  </si>
  <si>
    <t>MEU22E2J1</t>
  </si>
  <si>
    <t>MEU22E2J1P排瓶</t>
  </si>
  <si>
    <t>560(1-0.7-0.9-0.9)*
(充-墊&amp;放勺-鎖蓋-入箱)</t>
  </si>
  <si>
    <t>560</t>
  </si>
  <si>
    <t>MEU22E2J1P充填</t>
  </si>
  <si>
    <t>MEU22H1C1P</t>
  </si>
  <si>
    <t>MEU22H1C1</t>
  </si>
  <si>
    <t>鳶尾花A醇防曬素顏霜SPF50+★★★10ml</t>
  </si>
  <si>
    <t>1000(0.8-1.1-1.3-0.8)*
(充-塞-鎖-入箱)</t>
  </si>
  <si>
    <t>軟管
內料會出油，需邊攪邊充</t>
  </si>
  <si>
    <t>MEU22H1C1P充填</t>
  </si>
  <si>
    <t>MEU22H1F1</t>
  </si>
  <si>
    <t>泵浦式
黃管
桌上型壓蓋機</t>
  </si>
  <si>
    <t>有內外瓶
內料會出油，需邊攪邊充
(新版瓶器噴印須避開凹處)</t>
  </si>
  <si>
    <t>MEU22H1F1P排瓶</t>
  </si>
  <si>
    <t>850(0.68-0.85-1.86-0.61)*
(充-鎖內瓶-入外瓶壓環-入箱)</t>
  </si>
  <si>
    <t>MEU22H1F1P充填</t>
  </si>
  <si>
    <t>MEU24C1D1</t>
  </si>
  <si>
    <t>泵浦式
黃管
自動鎖蓋機
夾瓶輸送帶
啟益噴印機</t>
  </si>
  <si>
    <t>1100(1)</t>
  </si>
  <si>
    <t>噴印瓶底
玻璃瓶內塞電鍍蓋</t>
  </si>
  <si>
    <t>MEU24C1D1P排瓶</t>
  </si>
  <si>
    <t>1400(1-0.78-1.11-0.77)*
(充-塞-鎖-入箱)</t>
  </si>
  <si>
    <t>MEU24C1D1P充填</t>
  </si>
  <si>
    <t>MEU24C1L1</t>
  </si>
  <si>
    <t>大型氣壓式</t>
  </si>
  <si>
    <t>MEU24C1L1P排瓶</t>
  </si>
  <si>
    <t>750(1-1.5-0.8-0.6)*
(充-塞-鎖-入箱)</t>
  </si>
  <si>
    <t>MEU24C1L1P充填</t>
  </si>
  <si>
    <t>MEU24C2D1</t>
  </si>
  <si>
    <t>泵浦式(水)白管手拿管
泵浦式(乳)黃管
自動鎖蓋機
夾瓶輸送帶</t>
  </si>
  <si>
    <t>MEU24C2D1P排瓶</t>
  </si>
  <si>
    <t>[泵浦式充填機x2&amp;自動鎖蓋機x1&amp;夾瓶輸送帶x1&amp;噴印機x1]</t>
  </si>
  <si>
    <t>1200(0.4-0.7-0.6-1.3)*
(充水-充乳-塞-鎖-入箱)</t>
  </si>
  <si>
    <t>MEU24C2D1P充填</t>
  </si>
  <si>
    <t>MEU24C2L1</t>
  </si>
  <si>
    <t>650(1)</t>
  </si>
  <si>
    <t>MEU24C2L1P排瓶</t>
  </si>
  <si>
    <t>MEU24C2L1P充填</t>
  </si>
  <si>
    <t>MEU24P1N1</t>
  </si>
  <si>
    <t>450(1)
(瓶身易有刮痕)</t>
  </si>
  <si>
    <t>噴印瓶底
瓶身不能有黑痕
只能手鎖</t>
  </si>
  <si>
    <t>MEU24P1N1P排瓶</t>
  </si>
  <si>
    <t>500(1-1-1)*
(充-手鎖-入箱)</t>
  </si>
  <si>
    <t>MEU24P1N1P充填</t>
  </si>
  <si>
    <t>MEU25C1D1</t>
  </si>
  <si>
    <t>玻璃瓶
清晰可辨別
桌上型壓蓋機(壓內塞)</t>
  </si>
  <si>
    <t>MEU25C1D1P排瓶</t>
  </si>
  <si>
    <t>1100(0.7-1.5-1.2-0.6)*
(充-內塞-鎖-入箱)</t>
  </si>
  <si>
    <t>MEU25C1D1P充填</t>
  </si>
  <si>
    <t>MEU25C1L1</t>
  </si>
  <si>
    <t>玻璃瓶
充填至肩線</t>
  </si>
  <si>
    <t>MEU25C1L1P排瓶</t>
  </si>
  <si>
    <t>600(1-1-1-1)*
(充-鎖-蓋-入箱)</t>
  </si>
  <si>
    <t>MEU25C1L1P充填</t>
  </si>
  <si>
    <t>MEU25E1C1</t>
  </si>
  <si>
    <t>1350(1-2.2-0.7)*
(充-鎖壓頭-入箱)</t>
  </si>
  <si>
    <t>1350</t>
  </si>
  <si>
    <t>軟管
噴印瓶身背面上方</t>
  </si>
  <si>
    <t>MEU25E1C1P充填</t>
  </si>
  <si>
    <t>MEU25E1H1</t>
  </si>
  <si>
    <t>玻璃錐形瓶，電鍍壓頭
充填至指定高度
噴印瓶底，清晰可辨視</t>
  </si>
  <si>
    <t>MEU25E1H1P排瓶</t>
  </si>
  <si>
    <t>[泵浦式充填機x1&amp;自動鎖蓋機x1&amp;夾瓶輸送帶x1&amp;噴印機x1]</t>
  </si>
  <si>
    <t>800(0.9-0.7-1.6-0.8)*
(充-放壓頭鎖-拆袋上蓋-入箱)</t>
  </si>
  <si>
    <t>MEU25E1H1P充填</t>
  </si>
  <si>
    <t>MFF24E1H1</t>
  </si>
  <si>
    <t>噴印瓶底
避開三個模具標示</t>
  </si>
  <si>
    <t>MFF24E1H1P排瓶</t>
  </si>
  <si>
    <t>870(0.9-1-1.1-1)*
(充-鎖壓頭-上蓋-入箱)</t>
  </si>
  <si>
    <t>MFF24E1H1P充填</t>
  </si>
  <si>
    <t>MFH21B1K1</t>
  </si>
  <si>
    <t>450(1-0.7-0.6)*
(充-鎖-入箱)</t>
  </si>
  <si>
    <t>噴印軟管中間
回收標上方</t>
  </si>
  <si>
    <t>MFH21B1K1T充填</t>
  </si>
  <si>
    <t>MFH21C1N1</t>
  </si>
  <si>
    <t>MFH21C1N1P排瓶</t>
  </si>
  <si>
    <t>630(1-1.1-0.9-1)*
(充-鎖-蓋-入箱)</t>
  </si>
  <si>
    <t>630</t>
  </si>
  <si>
    <t>MFH21C1N1P充填</t>
  </si>
  <si>
    <t>MFH21D1F1</t>
  </si>
  <si>
    <t>噴印瓶底、對齊正面
避開模具號
待確產能(上次700(人為因素))2022/11/28</t>
  </si>
  <si>
    <t>MFH21D1F1P排瓶</t>
  </si>
  <si>
    <t>1000(0.6-0.6-1-0.8-1)*
(充-放滴管-鎖-噴-入箱)</t>
  </si>
  <si>
    <t>MFH21D1F1P充填</t>
  </si>
  <si>
    <t>MFH21E1K1</t>
  </si>
  <si>
    <t>氣壓式
X
自動鎖蓋機</t>
  </si>
  <si>
    <t>噴印瓶底、對齊正面</t>
  </si>
  <si>
    <t>MFH21E1K1P排瓶</t>
  </si>
  <si>
    <t>600(0.8-1.2-1-1)*
(充-鎖-蓋噴印-入箱)</t>
  </si>
  <si>
    <t>MFH21E1K1P充填</t>
  </si>
  <si>
    <t>MFH21G141</t>
  </si>
  <si>
    <t>[面膜機x1]</t>
  </si>
  <si>
    <t>面膜機
鋼印</t>
  </si>
  <si>
    <t>1428(1)*</t>
  </si>
  <si>
    <t>1428</t>
  </si>
  <si>
    <t>10*15
請注意製造量若介於100~200公斤之間
需要額外多做3%損耗量</t>
  </si>
  <si>
    <t>MFH21G141P充填</t>
  </si>
  <si>
    <t>MFH21Q1N1</t>
  </si>
  <si>
    <t>大氣壓式
抽料管
自動鎖蓋機</t>
  </si>
  <si>
    <t>噴印瓶底正面朝下置中
"日"須清楚
要刮料袋</t>
  </si>
  <si>
    <t>MFH21Q1N1T排瓶</t>
  </si>
  <si>
    <t>480(1-1-0.75)*
(充-鎖-入箱)</t>
  </si>
  <si>
    <t>MFH21Q1N1T充填</t>
  </si>
  <si>
    <t>MFY22D1F1</t>
  </si>
  <si>
    <t>醇項16
油項16</t>
  </si>
  <si>
    <t>泵浦式
黃管(油)
白管(醇)
手拿管(停用)</t>
  </si>
  <si>
    <t>噴印瓶底
噴印格式
XXXXXX
水項為第五碼數字表示
乳項為第六碼英文表示
-----------------------------------------
無水配方(機具乾燥化處理)
先油再醇、速度11不噴濺
油項攪勻再充(大葉片、攪拌設定600轉/10分鐘)
邊攪邊充(小葉片、儘量伸到料斗最低處)</t>
  </si>
  <si>
    <t>MFY22D1F1P排瓶</t>
  </si>
  <si>
    <t>550(0.8-0.9-1.3-0.4)*
(充油-充醇-鎖-入箱)</t>
  </si>
  <si>
    <t>MFY22D1F1P充填</t>
  </si>
  <si>
    <t>MGD22H1H1</t>
  </si>
  <si>
    <t>噴印瓶底凹洞內
新創力GR資料夾
W170、G0、B0、H255
噴印易掉!需裝箱測試</t>
  </si>
  <si>
    <t>MGD22H1H1P排瓶</t>
  </si>
  <si>
    <t>800(0.9-0.6-1.3-1.2)*
(充-珠塞-鎖-入箱)</t>
  </si>
  <si>
    <t>MGD22H1H1P充填</t>
  </si>
  <si>
    <t>MGD25H1H1</t>
  </si>
  <si>
    <t>850(1)</t>
  </si>
  <si>
    <t>MGD25H1H1P排瓶</t>
  </si>
  <si>
    <t>800(0.9-0.6-1.3-1.2)
(充-珠塞-鎖-入箱)</t>
  </si>
  <si>
    <t>MGD25H1H1P充填</t>
  </si>
  <si>
    <t>MGF23F1F1</t>
  </si>
  <si>
    <t>噴印瓶底
對齊正面噴印
避開中間凹點
雙層壓克力方形霜瓶
(內藍外透明)</t>
  </si>
  <si>
    <t>MGF23F1F1P排瓶</t>
  </si>
  <si>
    <t>600(4)
(充-墊-鎖-入箱)</t>
  </si>
  <si>
    <t>MGF23F1F1P充填</t>
  </si>
  <si>
    <t>MGF24H1H1</t>
  </si>
  <si>
    <t>750(1)</t>
  </si>
  <si>
    <t>噴印瓶底
噴印對正面LOGO，避開凹點</t>
  </si>
  <si>
    <t>MGF24H1H1P排瓶</t>
  </si>
  <si>
    <t>[定量缸式充填機*1、噴印機*1]洗機器120min人時</t>
  </si>
  <si>
    <t>800(0.9-0.9-1.2-1)*
(充-拆袋放壓頭-鎖蓋噴印-入箱)</t>
  </si>
  <si>
    <t>MGF24H1H1P充填</t>
  </si>
  <si>
    <t>MGF25D1F1</t>
  </si>
  <si>
    <t>MGF25D1F1P排瓶</t>
  </si>
  <si>
    <t>850(4)
(充-鎖-蓋-入箱)</t>
  </si>
  <si>
    <t>MGF25D1F1P充填</t>
  </si>
  <si>
    <t>MGF25D2F1</t>
  </si>
  <si>
    <t>1235(1)</t>
  </si>
  <si>
    <t>1235</t>
  </si>
  <si>
    <t>MGF25D2F1P排瓶</t>
  </si>
  <si>
    <t>1400(0.7-0.5-1.2-0.6)
(充-放滴管-鎖放噴印-入箱)</t>
  </si>
  <si>
    <t>MGF25D2F1P充填</t>
  </si>
  <si>
    <t>MGF25E1F1</t>
  </si>
  <si>
    <t>氣壓式
夾瓶輸送帶x1
噴印機x1</t>
  </si>
  <si>
    <t>塑膠霜瓶+墊片</t>
  </si>
  <si>
    <t>MGF25E1F1P排瓶</t>
  </si>
  <si>
    <t>800(1-0.4-0.9-0.7)*
(充-墊片-鎖蓋-入箱)</t>
  </si>
  <si>
    <t>MGF25E1F1P充填</t>
  </si>
  <si>
    <t>MGG22H1F1</t>
  </si>
  <si>
    <t>MGG22H1F1P排瓶</t>
  </si>
  <si>
    <t>520(0.5-1.3-1.2-0.9)*
(充-鎖-蓋-入箱)</t>
  </si>
  <si>
    <t>520</t>
  </si>
  <si>
    <t>MGG22H1F1P充填</t>
  </si>
  <si>
    <t>MGG24D1F1</t>
  </si>
  <si>
    <t>泵浦式
黃管(油)
白管(醇)
手拿管(停用)
夾瓶輸送帶</t>
  </si>
  <si>
    <t>MGG24D1F1P排瓶</t>
  </si>
  <si>
    <t>600(1-1-1.1-0.5)*
(充油-充醇-要塞一個墊片&amp;手鎖-入箱)</t>
  </si>
  <si>
    <t>MGG24D1F1P充填</t>
  </si>
  <si>
    <t>MGU22H2H1</t>
  </si>
  <si>
    <t>980(0.7-1.1-1.2-0.5)*
(充-塞-鎖-入箱)</t>
  </si>
  <si>
    <t>980</t>
  </si>
  <si>
    <t>噴印瓶背上方
大台氣壓式產能較慢(3000pcs降20%)</t>
  </si>
  <si>
    <t>MGU22H2H1P充填</t>
  </si>
  <si>
    <t>MGU23B1M1</t>
  </si>
  <si>
    <t>MGU23B1M1P排瓶</t>
  </si>
  <si>
    <t>650(1-1-1-1)*
(充-鎖-入箱)
(註：壓頭有小袋子需拆)</t>
  </si>
  <si>
    <t>MGU23B1M1P充填</t>
  </si>
  <si>
    <t>MGU24A1K1</t>
  </si>
  <si>
    <t>[齒輪式充填機x1&amp;噴印機x1]洗機器120min人時</t>
  </si>
  <si>
    <t>齒輪式充填
啟益噴印機</t>
  </si>
  <si>
    <t>520(1-0.9-0.8-0.8-0.6)*
(倒料-充-封口貼-鎖蓋-入箱)</t>
  </si>
  <si>
    <t>MGU24A1K1P充填</t>
  </si>
  <si>
    <t>MGU24C1K1</t>
  </si>
  <si>
    <t>600(1)</t>
  </si>
  <si>
    <t>噴印於瓶底空白處
避開模具號&amp;凹凸處</t>
  </si>
  <si>
    <t>MGU24C1K1P排瓶</t>
  </si>
  <si>
    <t>650(4)
(充-塞-蓋-鎖-入箱)</t>
  </si>
  <si>
    <t>MGU24C1K1P充填</t>
  </si>
  <si>
    <t>MGU24C2K1</t>
  </si>
  <si>
    <t>噴印瓶底
清晰可辨別</t>
  </si>
  <si>
    <t>MGU24C2K1P排瓶</t>
  </si>
  <si>
    <t>700(4)
(充-塞-鎖-入箱)</t>
  </si>
  <si>
    <t>MGU24C2K1P充填</t>
  </si>
  <si>
    <t>MGU24C3K1</t>
  </si>
  <si>
    <t>深色玻璃滴管電鍍瓶
只能用單管泵浦式充填
(雙管泵浦式白管會滴料)
自動鎖蓋機(換成白色摩擦輪)</t>
  </si>
  <si>
    <t>MGU24C3K1P排瓶</t>
  </si>
  <si>
    <t>650(1-0.6-1-0.4)*
(充-壓內塞-拆袋放蓋噴印-入箱)</t>
  </si>
  <si>
    <t>MGU24C3K1P充填</t>
  </si>
  <si>
    <t>MGU24D1F1</t>
  </si>
  <si>
    <t>噴印瓶底
避開凹凸處
出料口要對其瓶身正面 LOGO</t>
  </si>
  <si>
    <t>MGU24D1F1P排瓶</t>
  </si>
  <si>
    <t>600(0.4-0.6-2.2-0.7)*
(充-鎖內瓶-入外瓶鎖壓頭-入箱)</t>
  </si>
  <si>
    <t>MGU24D1F1P充填</t>
  </si>
  <si>
    <t>MGU24D2H1</t>
  </si>
  <si>
    <t>噴印瓶底
清晰可辨識即可
不須避開模具凹凸處</t>
  </si>
  <si>
    <t>MGU24D2H1P排瓶</t>
  </si>
  <si>
    <t>800(4)
(充-內塞-鎖-入箱)</t>
  </si>
  <si>
    <t>MGU24D2H1P充填</t>
  </si>
  <si>
    <t>MGU25D1E1</t>
  </si>
  <si>
    <t>泵浦式
黃管
手拿管
自動鎖蓋機
啟益噴印機</t>
  </si>
  <si>
    <t>噴印瓶底
純油(禁水)</t>
  </si>
  <si>
    <t>MGU25D1E1P排瓶</t>
  </si>
  <si>
    <t>950(0.7-1.3-0.9-1)*
(充-手鎖壓頭-拆袋上蓋噴印-入箱)</t>
  </si>
  <si>
    <t>MGU25D1E1P充填</t>
  </si>
  <si>
    <t>MGU25E1F1</t>
  </si>
  <si>
    <t>氣壓式
啟益噴印機
夾瓶輸送帶</t>
  </si>
  <si>
    <t>MGU25E1F1P排瓶</t>
  </si>
  <si>
    <t>680(1-1.2-0.9-0.3)*
(充-貼感壓墊片-鎖-入箱)</t>
  </si>
  <si>
    <t>MGU25E1F1P充填</t>
  </si>
  <si>
    <t>MGU25E2F1</t>
  </si>
  <si>
    <t>噴印瓶底
避開凹凸</t>
  </si>
  <si>
    <t>MGU25E2F1P排瓶</t>
  </si>
  <si>
    <t>900(1-1.5-0.5)*
(充-手鎖壓頭-入箱)</t>
  </si>
  <si>
    <t>MGU25E2F1P充填</t>
  </si>
  <si>
    <t>MGU25E3F1</t>
  </si>
  <si>
    <t>MGU25E3F1P排瓶</t>
  </si>
  <si>
    <t>850(1-1-1.3-0.6)*
(充-貼感壓墊片-鎖-入箱)</t>
  </si>
  <si>
    <t>MGU25E3F1P充填</t>
  </si>
  <si>
    <t>MHB22A1E1P</t>
  </si>
  <si>
    <t>MHB22A1E1</t>
  </si>
  <si>
    <t>寶貝2in1柔護沐浴泡泡20ML</t>
  </si>
  <si>
    <t>MHB22A1E1P排瓶</t>
  </si>
  <si>
    <t>700(0.6-2.4-0.8)*
(充-鎖-入箱)</t>
  </si>
  <si>
    <t>MHB22A1E1P充填</t>
  </si>
  <si>
    <t>MHB22A1P1</t>
  </si>
  <si>
    <t>MHB22A1P1P排瓶</t>
  </si>
  <si>
    <t>300(1-1-0.5-0.6)*
(充-放丫頭-鎖-入箱)</t>
  </si>
  <si>
    <t>MHB22A1P1P充填</t>
  </si>
  <si>
    <t>MHB22E1E1</t>
  </si>
  <si>
    <t>MHB22E1E1P排瓶</t>
  </si>
  <si>
    <t>800(0.7-1.5-1.1-0.7)*
(充-塞-鎖-入箱)</t>
  </si>
  <si>
    <t>MHB22E1E1P充填</t>
  </si>
  <si>
    <t>MHB22E1P1P</t>
  </si>
  <si>
    <t>MHB22E1P1</t>
  </si>
  <si>
    <t>寶貝柔潤護膚乳290ML</t>
  </si>
  <si>
    <t>大型氣壓式
自動鎖蓋機</t>
  </si>
  <si>
    <t>MHB22E1P1P排瓶</t>
  </si>
  <si>
    <t>300(1-0.8-0.4)*
(充-鎖-入箱)</t>
  </si>
  <si>
    <t>MHB22E1P1P充填</t>
  </si>
  <si>
    <t>MHC22B1M1</t>
  </si>
  <si>
    <t>大氣壓式
粗抽料管
自動鎖蓋機</t>
  </si>
  <si>
    <t>噴印瓶底
製造充填請間隔10天
噴印格式有改!!需注意</t>
  </si>
  <si>
    <t>MHC22B1M1P排瓶</t>
  </si>
  <si>
    <t>550(1-1-1)*
(充-鎖-入箱)</t>
  </si>
  <si>
    <t>MHC22B1M1P充填</t>
  </si>
  <si>
    <t>MHC22H1H1</t>
  </si>
  <si>
    <t>小台氣壓式充填
啟益</t>
  </si>
  <si>
    <t>700(1-1-0.8)*
(充-鎖-入箱)</t>
  </si>
  <si>
    <t>噴印軟管背部上方置中
噴印須避免散墨(啟益噴印)
掀蓋對齊軟管正面
噴印格式有改!!需注意</t>
  </si>
  <si>
    <t>MHC22H1H1P充填</t>
  </si>
  <si>
    <t>MHC23P1N1</t>
  </si>
  <si>
    <t>氣壓式(也可用大型)
取消桌上型鎖蓋機</t>
  </si>
  <si>
    <t>噴印瓶底
噴印避開回收標、模具號和凹槽
噴印格式有改!!需注意</t>
  </si>
  <si>
    <t>MHC23P1N1P排瓶</t>
  </si>
  <si>
    <t>500(0.9-0.16-1.14-0.8)*
(充-放壓頭-鎖-入箱)氣壓式
680(1.2-1.8-1)*
(充-手鎖壓頭-入箱)</t>
  </si>
  <si>
    <t>MHC23P1N1P充填</t>
  </si>
  <si>
    <t>MHC24C1K1</t>
  </si>
  <si>
    <t>大台定量缸慢速充填
粗抽料管</t>
  </si>
  <si>
    <t>噴印瓶底，字體需清晰可辨別
噴印格式有改!!需注意</t>
  </si>
  <si>
    <t>MHC24C1K1P排瓶</t>
  </si>
  <si>
    <t>650(1-1.5-1)*
(充-拆袋鎖壓頭上蓋-入箱)</t>
  </si>
  <si>
    <t>MHC24C1K1P充填</t>
  </si>
  <si>
    <t>MHC24H1H1</t>
  </si>
  <si>
    <t>MHC24H1H1P充填</t>
  </si>
  <si>
    <t>MHC24H2J1</t>
  </si>
  <si>
    <t>啟益
首選(泵浦式充填/黃管)
氣壓式也可充填(但清洗時間長)</t>
  </si>
  <si>
    <t>900(1-1.2-0.8-0.5)*
(充-塞-蓋-入箱)</t>
  </si>
  <si>
    <t>噴印瓶身背面上方
上蓋有定位點
掀蓋處在瓶身正面
噴印格式有改!!需注意不可有散墨</t>
  </si>
  <si>
    <t>MHC24H2J1P充填</t>
  </si>
  <si>
    <t>MHC25D3F1</t>
  </si>
  <si>
    <t>組裝</t>
  </si>
  <si>
    <t>泵浦式
手拿管
黃管
自動鎖蓋機</t>
  </si>
  <si>
    <t>450(1)
(中束玻璃&amp;膠帽組裝)</t>
  </si>
  <si>
    <t>噴印瓶底
首批訂單需組裝膠帽滴管</t>
  </si>
  <si>
    <t>MHC25D3F1P組裝</t>
  </si>
  <si>
    <t>MHC25D3F1P排瓶</t>
  </si>
  <si>
    <t>1000(1-0.8-1.3-0.9)*
(充填-內塞-鎖-入)</t>
  </si>
  <si>
    <t>MHC25D3F1P充填</t>
  </si>
  <si>
    <t>MHC25D4F1</t>
  </si>
  <si>
    <t>噴印瓶底
首批訂單需組裝膠帽滴管
出料口用100絹網</t>
  </si>
  <si>
    <t>MHC25D4F1P組裝</t>
  </si>
  <si>
    <t>MHC25D4F1P排瓶</t>
  </si>
  <si>
    <t>MHC25D4F1P充填</t>
  </si>
  <si>
    <t>MHC25D5G1</t>
  </si>
  <si>
    <t>氣壓式x1
自動鎖蓋機x1
夾瓶輸送帶x1
噴印機x1</t>
  </si>
  <si>
    <t>X
內含油珠</t>
  </si>
  <si>
    <t>透明玻璃壓頭瓶+上蓋
油珠破裂，內料將變濁
噴印瓶底</t>
  </si>
  <si>
    <t>MHC25D5G1P排瓶</t>
  </si>
  <si>
    <t>800(1-0.7-0.7-1.2)*
(充-放壓頭鎖-上蓋-入箱)</t>
  </si>
  <si>
    <t>MHC25D5G1P充填</t>
  </si>
  <si>
    <t>MHC25D6D1</t>
  </si>
  <si>
    <t>氣壓式x1
桌上型鎖蓋機x1
夾瓶輸送帶x1
噴印機x1</t>
  </si>
  <si>
    <t>油珠破裂，內料將變濁
噴印瓶底
吐鹼需洗瓶</t>
  </si>
  <si>
    <t>MHC25D6D1P洗瓶</t>
  </si>
  <si>
    <t>MHC25D6D1P排瓶</t>
  </si>
  <si>
    <t>950(1-1.4-0.6-1)*
(充填-拆袋鎖壓頭-上蓋-入箱)</t>
  </si>
  <si>
    <t>MHC25D6D1P充填</t>
  </si>
  <si>
    <t>MHC25D7F1</t>
  </si>
  <si>
    <t>噴印瓶底
出料口用100絹網</t>
  </si>
  <si>
    <t>MHC25D7F1P排瓶</t>
  </si>
  <si>
    <t>1300(1-0.8-1.3-0.9)*
(充填-內塞-鎖-入)</t>
  </si>
  <si>
    <t>MHC25D7F1P充填</t>
  </si>
  <si>
    <t>MHC25D8F1</t>
  </si>
  <si>
    <t>出料口使用100絹網 
抽料管不加濾網</t>
  </si>
  <si>
    <t>噴印瓶底
出料口用100絹網
自動鎖蓋機鎖蓋扭力78</t>
  </si>
  <si>
    <t>MHC25D8F1P排瓶</t>
  </si>
  <si>
    <t>MHC25D8F1P充填</t>
  </si>
  <si>
    <t>MHC25D9F1</t>
  </si>
  <si>
    <t>MHC25D9F1P排瓶</t>
  </si>
  <si>
    <t>MHC25D9F1P充填</t>
  </si>
  <si>
    <t>MHC25H1C1P</t>
  </si>
  <si>
    <t>MHC25H1C1</t>
  </si>
  <si>
    <t>DR. MAY美博士專業潤色清爽防曬10ML</t>
  </si>
  <si>
    <t>泵浦式/黃管首選
定量缸次選</t>
  </si>
  <si>
    <t>1000(0.6-1.2-0.8-0.9-0.5)*
(充-塞-貼-鎖-噴印-入箱)</t>
  </si>
  <si>
    <t>MHC25H1C1P充填</t>
  </si>
  <si>
    <t>MHC25H1G1</t>
  </si>
  <si>
    <t>1000(1-0.9-1-0.6)*
(充-內塞-鎖蓋-入箱)</t>
  </si>
  <si>
    <t>MHC25H1G1P充填</t>
  </si>
  <si>
    <t>MHC25H2J1</t>
  </si>
  <si>
    <t>700(4)
(充-塞-蓋-入箱)</t>
  </si>
  <si>
    <t>MHC25H2J1P充填</t>
  </si>
  <si>
    <t>MHC25H3C1P</t>
  </si>
  <si>
    <t>MHC25H3C1</t>
  </si>
  <si>
    <t>1000(0.6-1-0.9-1-0.5)*
(充-塞-貼-鎖&amp;噴印-入箱)</t>
  </si>
  <si>
    <t>軟管+內塞+鋁箔貼+旋蓋</t>
  </si>
  <si>
    <t>MHC25H3C1P充填</t>
  </si>
  <si>
    <t>MHC25H3G1</t>
  </si>
  <si>
    <t>900(1-0.8-0.9-0.9-0.5)*
(充-內塞-貼-鎖蓋-入箱)</t>
  </si>
  <si>
    <t>MHC25H3G1P充填</t>
  </si>
  <si>
    <t>MHE22D1C1</t>
  </si>
  <si>
    <t>泵浦式
白管
噴印機
夾瓶輸送帶</t>
  </si>
  <si>
    <t>噴印瓶底
20pcs入6兩袋&gt;兩排同向入袋&gt;熱封
500pcs(25袋)入箱&gt;躺放入箱</t>
  </si>
  <si>
    <t>MHE22D1C1N排瓶</t>
  </si>
  <si>
    <t>1550(0.4-2.2-0.4)*
(充-鎖-噴印)
1100(1)*(入袋-入箱)</t>
  </si>
  <si>
    <t>MHE22D1C1N充填</t>
  </si>
  <si>
    <t>1100(1)*(入袋-入箱)</t>
  </si>
  <si>
    <t>MHE22D1C1N後加工</t>
  </si>
  <si>
    <t>MHE22D1C2N</t>
  </si>
  <si>
    <t>MHE22D1C2</t>
  </si>
  <si>
    <t>玻尿酸保濕精粹10ml-無印刷</t>
  </si>
  <si>
    <t>泵浦式
白管
小噴印機</t>
  </si>
  <si>
    <t>MHE22D1C2N排瓶</t>
  </si>
  <si>
    <t>1000(4)*
(充-鎖頭-鎖蓋-噴印)
1000(1)*(入袋-入箱)</t>
  </si>
  <si>
    <t>MHE22D1C2N充填</t>
  </si>
  <si>
    <t>1000(1)(入袋-入箱)</t>
  </si>
  <si>
    <t>MHE22D1C2N後加工</t>
  </si>
  <si>
    <t>MHJ23D1F1</t>
  </si>
  <si>
    <t>含金箔
紫色漸層玻璃滴管瓶
噴印瓶底</t>
  </si>
  <si>
    <t>MHJ23D1F1P排瓶</t>
  </si>
  <si>
    <t>690(0.9-1.1-0.6)*
(充-放滴管噴印-入箱)</t>
  </si>
  <si>
    <t>690</t>
  </si>
  <si>
    <t>MHJ23D1F1P充填</t>
  </si>
  <si>
    <t>MHJ23D2F1</t>
  </si>
  <si>
    <t>紫色漸層玻璃滴管瓶
噴印瓶底
內含金箔需慢充</t>
  </si>
  <si>
    <t>MHJ23D2F1P排瓶</t>
  </si>
  <si>
    <t>700(1-1.2-0.6)*
(充-鎖-入箱)</t>
  </si>
  <si>
    <t>MHJ23D2F1P充填</t>
  </si>
  <si>
    <t>MHJ23D3F1</t>
  </si>
  <si>
    <t>噴印瓶底
霧面玻璃瓶</t>
  </si>
  <si>
    <t>MHJ23D3F1P排瓶</t>
  </si>
  <si>
    <t>850(0.8-0.4-0.9-0.9)*
(充-放滴管-鎖蓋-入箱)</t>
  </si>
  <si>
    <t>MHJ23D3F1P充填</t>
  </si>
  <si>
    <t>MHJ23D4F1</t>
  </si>
  <si>
    <t>噴印瓶底
綠色玻璃瓶</t>
  </si>
  <si>
    <t>MHJ23D4F1P排瓶</t>
  </si>
  <si>
    <t>MHJ23D4F1P充填</t>
  </si>
  <si>
    <t>MHJ23D551</t>
  </si>
  <si>
    <t>泵浦式
手拿管
黃管
料斗</t>
  </si>
  <si>
    <t>噴印瓶底
紫色滴管瓶</t>
  </si>
  <si>
    <t>MHJ23D551P排瓶</t>
  </si>
  <si>
    <t>1200(0.4-2.4-1.2)*
(充-鎖-入箱)</t>
  </si>
  <si>
    <t>MHJ23D551P充填</t>
  </si>
  <si>
    <t>MHJ23E1H1</t>
  </si>
  <si>
    <t>780(1)*</t>
  </si>
  <si>
    <t>霧面玻璃霜瓶
噴印瓶底
瓶蓋有方向性要求</t>
  </si>
  <si>
    <t>MHJ23E1H1P排瓶</t>
  </si>
  <si>
    <t>650(0.7-0.4-1.9-1)*
(充-墊-鎖-入箱)</t>
  </si>
  <si>
    <t>MHJ23E1H1P充填</t>
  </si>
  <si>
    <t>MHJ23M151</t>
  </si>
  <si>
    <t>MHJ23M151P排瓶</t>
  </si>
  <si>
    <t>1100(0.4-0.8-0.6-1)
(充-上蓋-壓蓋-噴印)</t>
  </si>
  <si>
    <t>MHJ23M151P充填</t>
  </si>
  <si>
    <t xml:space="preserve">MHJ24D1_ </t>
  </si>
  <si>
    <t>泵浦式/料斗
黃管/手拿管</t>
  </si>
  <si>
    <t>噴印瓶底
清晰可辨識</t>
  </si>
  <si>
    <t>MHJ24D1_ _ _排瓶</t>
  </si>
  <si>
    <t>750(0.5-1-0.5)*
(充-鎖-入箱)</t>
  </si>
  <si>
    <t>MHJ24D1_ _ _充填</t>
  </si>
  <si>
    <t>MHJ25M1F1</t>
  </si>
  <si>
    <t>泵浦式/料斗
黃管/手拿管
自動鎖蓋機
夾瓶輸送帶</t>
  </si>
  <si>
    <t>MHJ25M1F1P排瓶</t>
  </si>
  <si>
    <t>[泵浦式充填機x1&amp;自動鎖蓋機x1&amp;夾瓶輸送帶x1&amp;啟益噴印機x1]</t>
  </si>
  <si>
    <t>1200(1-0.7-0.9-0.8)*
(充-放蓋-鎖-入箱)</t>
  </si>
  <si>
    <t>MHJ25M1F1P充填</t>
  </si>
  <si>
    <t>MHJ25M2B1</t>
  </si>
  <si>
    <t>MHJ25M2B1N排瓶</t>
  </si>
  <si>
    <t>800(1-0.7-0.8-0.5)*
(充-塞-夾-噴印-入箱)</t>
  </si>
  <si>
    <t>MHJ25M2B1N充填</t>
  </si>
  <si>
    <t>MHK25B1N1</t>
  </si>
  <si>
    <t>氣壓式
夾瓶輸送帶
自動鎖蓋機
啟益噴印機</t>
  </si>
  <si>
    <t>塑膠丫頭瓶</t>
  </si>
  <si>
    <t>MHK25B1N1P排瓶</t>
  </si>
  <si>
    <t>600(1.4-0.9-0.7)*
(充-放壓頭鎖-入箱)</t>
  </si>
  <si>
    <t>MHK25B1N1P充填</t>
  </si>
  <si>
    <t>MHK25D1U1N</t>
  </si>
  <si>
    <t>MHK25D1U1</t>
  </si>
  <si>
    <t>多酸拋光精華1L(瓶蓋款)</t>
  </si>
  <si>
    <t>大氣壓式
自動鎖蓋機x1
夾瓶輸送帶x1
噴印機x1</t>
  </si>
  <si>
    <t>500(1)</t>
  </si>
  <si>
    <t>白色塑膠瓶</t>
  </si>
  <si>
    <t>MHK25D1U1N排瓶</t>
  </si>
  <si>
    <t>[大定量缸式充填機x1&amp;自動鎖蓋機x1&amp;夾瓶輸送帶*1&amp;噴印機x1]</t>
  </si>
  <si>
    <t>300(3)
(充-鎖-噴印-入箱)</t>
  </si>
  <si>
    <t>MHK25D1U1N充填</t>
  </si>
  <si>
    <t>MHK25D1U2</t>
  </si>
  <si>
    <t>MHK25D1U2N排瓶</t>
  </si>
  <si>
    <t>MHK25D1U2N充填</t>
  </si>
  <si>
    <t>MHK25D2U1N</t>
  </si>
  <si>
    <t>MHK25D2U1</t>
  </si>
  <si>
    <t>亮白淡斑精華1L(瓶蓋款)</t>
  </si>
  <si>
    <t>MHK25D2U1N排瓶</t>
  </si>
  <si>
    <t>MHK25D2U1N充填</t>
  </si>
  <si>
    <t>MHK25D2U2</t>
  </si>
  <si>
    <t>MHK25D2U2N排瓶</t>
  </si>
  <si>
    <t>MHK25D2U2N充填</t>
  </si>
  <si>
    <t>MHL24G1D1</t>
  </si>
  <si>
    <t>400(1)*
(生纖拆袋-入袋牌籃)</t>
  </si>
  <si>
    <t>噴印背面條碼下方</t>
  </si>
  <si>
    <t>MHL24G1D1N排瓶</t>
  </si>
  <si>
    <t>1100(1-1-1)
(充-封口-檢驗入箱)</t>
  </si>
  <si>
    <t>MHL24G1D1N充填</t>
  </si>
  <si>
    <t>MHM23C1M1</t>
  </si>
  <si>
    <t>雙管泵浦式
白管
自動鎖蓋機</t>
  </si>
  <si>
    <t>噴印瓶底
避模具號與定位點(對正面LOGO)
不能用黃管(充填量會不穩)</t>
  </si>
  <si>
    <t>MHM23C1M1P排瓶</t>
  </si>
  <si>
    <t>640(1-0.5-0.3-0.5-0.5)*
(充-塞-拆上蓋袋-機鎖-入箱)</t>
  </si>
  <si>
    <t>MHM23C1M1P充填</t>
  </si>
  <si>
    <t>MHM23D1B1P</t>
  </si>
  <si>
    <t>MHM23D1B1</t>
  </si>
  <si>
    <t>芙木之光多重玻尿酸保濕精華液試用品4ML</t>
  </si>
  <si>
    <t>透明玻璃滴管瓶</t>
  </si>
  <si>
    <t>MHM23D1B1P排瓶</t>
  </si>
  <si>
    <t>1200(0.38-1.7-0.92)*
(充-鎖-入箱)</t>
  </si>
  <si>
    <t>MHM23D1B1P充填</t>
  </si>
  <si>
    <t>MHM23D1F1</t>
  </si>
  <si>
    <t>MHM23D1F1P排瓶</t>
  </si>
  <si>
    <t>1000(0.8-0.7-1.5-0.7)*
(充-放滴管-噴印-入箱)</t>
  </si>
  <si>
    <t>MHM23D1F1P充填</t>
  </si>
  <si>
    <t>MHM23D2B1P</t>
  </si>
  <si>
    <t>MHM23D2B1</t>
  </si>
  <si>
    <t>芙木之光超能A醇煥顏精華液試用品4ML</t>
  </si>
  <si>
    <t>MHM23D2B1P排瓶</t>
  </si>
  <si>
    <t>1200(0.35-1.73-0.92)*
(充-鎖-入箱)</t>
  </si>
  <si>
    <t>MHM23D2B1P充填</t>
  </si>
  <si>
    <t>MHM23D2F1</t>
  </si>
  <si>
    <t>泵浦式
黃管
自動鎖蓋機
抽料管</t>
  </si>
  <si>
    <t>真空瓶
噴印瓶底，避開洞</t>
  </si>
  <si>
    <t>MHM23D2F1P排瓶</t>
  </si>
  <si>
    <t>950(0.6-0.6-0.8-1-0.8)*
(充-塞-放丫頭-上蓋-入箱)</t>
  </si>
  <si>
    <t>MHM23D2F1P充填</t>
  </si>
  <si>
    <t>MHM23D3B1P</t>
  </si>
  <si>
    <t>MHM23D3B1</t>
  </si>
  <si>
    <t>芙木之光極光透亮美白精華試用品4ML</t>
  </si>
  <si>
    <t>MHM23D3B1P排瓶</t>
  </si>
  <si>
    <t>1200(0.35-1.72-0.93)*
(充-鎖-入箱)</t>
  </si>
  <si>
    <t>MHM23D3B1P充填</t>
  </si>
  <si>
    <t>MHM23D3F1</t>
  </si>
  <si>
    <t>MHM23D3F1P排瓶</t>
  </si>
  <si>
    <t>1100(0.7-0.55-0.85-0.9-1)*
(充-塞-鎖-蓋-入箱)</t>
  </si>
  <si>
    <t>MHM23D3F1P充填</t>
  </si>
  <si>
    <t>MHM23D4F1</t>
  </si>
  <si>
    <t>泵浦式
黃管
BPT手拿管</t>
  </si>
  <si>
    <t>960(1)*</t>
  </si>
  <si>
    <t>960</t>
  </si>
  <si>
    <t>噴印瓶底
避開模具號
紅色玻璃特殊滴管瓶
牙口嚴禁沾到料</t>
  </si>
  <si>
    <t>MHM23D4F1P排瓶</t>
  </si>
  <si>
    <t>890(0.7-1.38-0.92)*
(充-鎖-入箱)</t>
  </si>
  <si>
    <t>890</t>
  </si>
  <si>
    <t>MHM23D4F1P充填</t>
  </si>
  <si>
    <t>MHM24E1H1</t>
  </si>
  <si>
    <t>MHM24E1H1P排瓶</t>
  </si>
  <si>
    <t>700(0.7-0.3-0.6-0.3-0.5-0.7)*
(充-拆壓頭袋-放鎖-拆上蓋袋-蓋噴-入箱)</t>
  </si>
  <si>
    <t>MHM24E1H1P充填</t>
  </si>
  <si>
    <t>MHR23C1L1</t>
  </si>
  <si>
    <t>噴印瓶底
瓶底避開中心凹槽及氣孔
塑膠真空瓶壓頭+氣密塞</t>
  </si>
  <si>
    <t>MHR23C1L1P排瓶</t>
  </si>
  <si>
    <t>730(1.05-0.38-0.82-0.75-0.96)*
(充-塞-鎖-蓋-入箱)</t>
  </si>
  <si>
    <t>730</t>
  </si>
  <si>
    <t>MHR23C1L1P充填</t>
  </si>
  <si>
    <t>MHR23D1G1</t>
  </si>
  <si>
    <t>排瓶(細管)</t>
  </si>
  <si>
    <t>泵浦式*2
白管&amp;黃管
手拿管</t>
  </si>
  <si>
    <t>900(1)</t>
  </si>
  <si>
    <t>噴印瓶底，對齊正面
瓶底避開中心凹槽
噴印格式
XXXXXX
水項為第五碼數字表示
油項為第六碼英文表示
用拉霸機鎖油鎖水以及組裝</t>
  </si>
  <si>
    <t>MHR23D1G1P排瓶(細管)</t>
  </si>
  <si>
    <t>排瓶(月亮杯)</t>
  </si>
  <si>
    <t>MHR23D1G1P排瓶(月亮杯)</t>
  </si>
  <si>
    <t>排瓶(外杯)</t>
  </si>
  <si>
    <t>670(1)</t>
  </si>
  <si>
    <t>MHR23D1G1P排瓶(外杯)</t>
  </si>
  <si>
    <t>250(0.33-0.15-0.62-1.7-0.82-0.38)*
(充油-充水-鎖油-鎖水-組裝-入箱)</t>
  </si>
  <si>
    <t>250</t>
  </si>
  <si>
    <t>MHR23D1G1P充填</t>
  </si>
  <si>
    <t>MHR23E1H1</t>
  </si>
  <si>
    <t>MHR23E1H1P排瓶</t>
  </si>
  <si>
    <t>950(1-0.42-0.8-0.81-0.88)*
(充-塞-鎖-蓋-入箱)</t>
  </si>
  <si>
    <t>MHR23E1H1P充填</t>
  </si>
  <si>
    <t>MHR24D1F1</t>
  </si>
  <si>
    <t>噴印瓶底
(泵浦速度19充填/三秒一罐檢雜質)</t>
  </si>
  <si>
    <t>MHR24D1F1P洗瓶</t>
  </si>
  <si>
    <t>MHR24D1F1P排瓶</t>
  </si>
  <si>
    <t>800(1-0.88-1)*
(充-自動鎖-入箱)</t>
  </si>
  <si>
    <t>MHR24D1F1P充填</t>
  </si>
  <si>
    <t>MHR24G151</t>
  </si>
  <si>
    <t>噴印鋁袋背面下方置中封口處</t>
  </si>
  <si>
    <t>MHR24G151P排瓶</t>
  </si>
  <si>
    <t>MHR24G151P充填</t>
  </si>
  <si>
    <t>MHR25A1F1P</t>
  </si>
  <si>
    <t>MHR25A1F1</t>
  </si>
  <si>
    <t>胺基酸全能保濕潔顏露35ML</t>
  </si>
  <si>
    <t>雙管泵浦式
白管
充填速度4
7.1出料頭
粗抽料管</t>
  </si>
  <si>
    <t>塑膠瓶
手鎖(機鎖上蓋會分離)</t>
  </si>
  <si>
    <t>MHR25A1F1P排瓶</t>
  </si>
  <si>
    <t>1000(0.9-0.7-1.1-1)*
(充-內塞-鎖蓋-入箱)</t>
  </si>
  <si>
    <t>MHR25A1F1P充填</t>
  </si>
  <si>
    <t>MHR25A1L1</t>
  </si>
  <si>
    <t>雙管泵浦式
白管
充填速度4
7.1出料頭
粗抽料管
自動鎖蓋機</t>
  </si>
  <si>
    <t>玻璃瓶按壓頭</t>
  </si>
  <si>
    <t>MHR25A1L1P排瓶</t>
  </si>
  <si>
    <t>[雙管泵浦式充填機x1&amp;噴印機x1&amp;自動鎖蓋機x1]</t>
  </si>
  <si>
    <t>580(1-0.6-1-0.9)*
(充-鎖-蓋-噴-入箱)</t>
  </si>
  <si>
    <t>580</t>
  </si>
  <si>
    <t>MHR25A1L1P充填</t>
  </si>
  <si>
    <t>MHR25C1C1N</t>
  </si>
  <si>
    <t>MHR25C1C1</t>
  </si>
  <si>
    <t>PDRN 超能安敏原生露10ML</t>
  </si>
  <si>
    <t>透明塑膠瓶+吸管壓頭&amp;上蓋</t>
  </si>
  <si>
    <t>MHR25C1C1N排瓶</t>
  </si>
  <si>
    <t>1200(4)
(充-鎖-噴印-入箱)</t>
  </si>
  <si>
    <t>MHR25C1C1N充填</t>
  </si>
  <si>
    <t>MHR25C1L1</t>
  </si>
  <si>
    <t>雙管泵浦式
自動鎖蓋機x1
夾瓶輸送帶x1
噴印機x1</t>
  </si>
  <si>
    <t>霧面玻璃瓶+壓頭+上蓋</t>
  </si>
  <si>
    <t>MHR25C1L1P排瓶</t>
  </si>
  <si>
    <t>750(1-1-0.8-1.2)*
(充-鎖-蓋&amp;噴印-入箱)</t>
  </si>
  <si>
    <t>MHR25C1L1P充填</t>
  </si>
  <si>
    <t>MHR25C2D1N</t>
  </si>
  <si>
    <t>MHR25C2D1</t>
  </si>
  <si>
    <t>PDRN 修護雙精萃噴霧14ML</t>
  </si>
  <si>
    <t>水項10.5g
油項3.5g</t>
  </si>
  <si>
    <t>泵浦式*2
白管
黃管
手拿管</t>
  </si>
  <si>
    <t>透明塑膠瓶+吸管噴嘴&amp;上蓋</t>
  </si>
  <si>
    <t>MHR25C2D1N排瓶</t>
  </si>
  <si>
    <t>950(0.6-0.6-1.5-1)*
(充水-充油-手鎖壓頭-入箱)</t>
  </si>
  <si>
    <t>MHR25C2D1N充填</t>
  </si>
  <si>
    <t>MHR25C2L1</t>
  </si>
  <si>
    <t>水項:90g
油項:30g</t>
  </si>
  <si>
    <t>霧面玻璃瓶+噴頭+上蓋</t>
  </si>
  <si>
    <t>MHR25C2L1P排瓶</t>
  </si>
  <si>
    <t>[泵浦式充填機x2&amp;自動鎖蓋機x1&amp;夾瓶輸送帶*1&amp;噴印機x1]</t>
  </si>
  <si>
    <t>600(1-0.8-0.7-1.5)*
(充-鎖-蓋-噴印-入箱)</t>
  </si>
  <si>
    <t>MHR25C2L1P充填</t>
  </si>
  <si>
    <t>MHR25D1G1</t>
  </si>
  <si>
    <t>方形毛玻璃滴管瓶</t>
  </si>
  <si>
    <t>MHR25D1G1P排瓶</t>
  </si>
  <si>
    <t>1100(1-1.7-1.3)*
(充-放壓頭手鎖-上蓋入箱)</t>
  </si>
  <si>
    <t>MHR25D1G1P充填</t>
  </si>
  <si>
    <t>MHR25E1C1N</t>
  </si>
  <si>
    <t>MHR25E1C1</t>
  </si>
  <si>
    <t>MHR25E1C1N排瓶</t>
  </si>
  <si>
    <t>[定量缸式充填機x1&amp;夾瓶輸送帶*1&amp;噴印機x1]</t>
  </si>
  <si>
    <t>MHR25E1C1N充填</t>
  </si>
  <si>
    <t>MHR25E1J1</t>
  </si>
  <si>
    <t>氣壓式
自動鎖蓋機x1
夾瓶輸送帶x1
噴印機x1</t>
  </si>
  <si>
    <t>MHR25E1J1P排瓶</t>
  </si>
  <si>
    <t>[定量缸式充填機x1&amp;自動鎖蓋機x1&amp;夾瓶輸送帶*1&amp;噴印機x1]</t>
  </si>
  <si>
    <t>750(1-1-0.9-1)*
(充-鎖-蓋&amp;噴印-入箱)</t>
  </si>
  <si>
    <t>MHR25E1J1P充填</t>
  </si>
  <si>
    <t>MHR25F1H1</t>
  </si>
  <si>
    <t>氣壓式
夾瓶輸送帶</t>
  </si>
  <si>
    <t>方形毛玻璃霜瓶
夾瓶輸送帶(夾有字的那面)</t>
  </si>
  <si>
    <t>MHR25F1H1P排瓶</t>
  </si>
  <si>
    <t>600(1-0.3-1-0.6)*
(充-墊片-鎖蓋-入箱)</t>
  </si>
  <si>
    <t>MHR25F1H1P充填</t>
  </si>
  <si>
    <t>MHR25H1F1</t>
  </si>
  <si>
    <t>氣壓式/齒輪式</t>
  </si>
  <si>
    <t>800(0.8-0.9-0.8-0.5)*
(充-內塞-鎖蓋-入箱)</t>
  </si>
  <si>
    <t>MHR25H1F1P充填</t>
  </si>
  <si>
    <t>MHT24E1B1N</t>
  </si>
  <si>
    <t>MHT24E1B1</t>
  </si>
  <si>
    <t>Hydro Cream 5ML試用包(暫)</t>
  </si>
  <si>
    <t>泵浦式
黃管
實驗室封口機</t>
  </si>
  <si>
    <t>600(1.3-0.8-0.8-0.1)*
(充填-封口-噴印檢查-包袋入箱)</t>
  </si>
  <si>
    <t>噴印正面右下 Age0+右方空白處
封口機轉速5，溫度120度，擋板需前移</t>
  </si>
  <si>
    <t>MHT24E1B1N充填</t>
  </si>
  <si>
    <t>MHT24E1H1</t>
  </si>
  <si>
    <t>800(3)
(充-鎖-入箱)</t>
  </si>
  <si>
    <t>噴印軟管背面上方
注意!僅噴印一行
不可壓到其他印刷</t>
  </si>
  <si>
    <t>MHT24E1H1P充填</t>
  </si>
  <si>
    <t>MHW23F1N1</t>
  </si>
  <si>
    <t>520(1-0.9-0.6)*
(充-鎖-入箱)</t>
  </si>
  <si>
    <t>旋蓋定位點
麻煩在未滑牙的狀況盡量落在正面
不用噴印(貼紙噴印)</t>
  </si>
  <si>
    <t>MHW23F1N1T充填</t>
  </si>
  <si>
    <t>MHW23F1N2T</t>
  </si>
  <si>
    <t>MHW23F1N2</t>
  </si>
  <si>
    <t>Ruo’s 凝時水漾舒緩凍膜200ml</t>
  </si>
  <si>
    <t>MHW23F1N2T排瓶</t>
  </si>
  <si>
    <t>400(3)*
(充-鎖-入箱)</t>
  </si>
  <si>
    <t>MHW23F1N2T充填</t>
  </si>
  <si>
    <t>MHW23F1R1</t>
  </si>
  <si>
    <t>噴印瓶底
避開凹凸處及回收標</t>
  </si>
  <si>
    <t>MHW23F1R1P排瓶</t>
  </si>
  <si>
    <t>200(1-1.34-0.42-0.35)*
(充-墊-鎖-入箱)</t>
  </si>
  <si>
    <t>MHW23F1R1P充填</t>
  </si>
  <si>
    <t>MHW23F1R2P</t>
  </si>
  <si>
    <t>MHW23F1R2</t>
  </si>
  <si>
    <t>Ruo’s 凝時水漾舒緩凍膜500ml</t>
  </si>
  <si>
    <t>噴印瓶底
避開凹凸處及回收標
取3cm圓貼，將挖棒固定貼在墊片上
貼半圓</t>
  </si>
  <si>
    <t>MHW23F1R2P排瓶</t>
  </si>
  <si>
    <t>150(3)*
(充-墊&amp;放挖棒-貼圓貼-鎖-入箱)</t>
  </si>
  <si>
    <t>150</t>
  </si>
  <si>
    <t>MHW23F1R2P充填</t>
  </si>
  <si>
    <t>MHW23F1W1</t>
  </si>
  <si>
    <t>5L安全環八角桶
不用噴印</t>
  </si>
  <si>
    <t>MHW23F1W1N排瓶</t>
  </si>
  <si>
    <t>20(3)*
(充-鎖-入箱)</t>
  </si>
  <si>
    <t>20</t>
  </si>
  <si>
    <t>MHW23F1W1N充填</t>
  </si>
  <si>
    <t>MHY23P1F1</t>
  </si>
  <si>
    <t>400(1-0.76-0.3)*
(充-鎖-入箱)</t>
  </si>
  <si>
    <t>軟管
瓶蓋要定位
噴印軟管背部
Made in Taiwan下方 小文字</t>
  </si>
  <si>
    <t>MHY23P1F1P充填</t>
  </si>
  <si>
    <t>MHY24P1N1</t>
  </si>
  <si>
    <t>氣壓式(也可用大型)
可以用自動鎖蓋機</t>
  </si>
  <si>
    <t>瓶底避凹凸點，對齊瓶身LOGO</t>
  </si>
  <si>
    <t>MHY24P1N1P排瓶</t>
  </si>
  <si>
    <t>500(1-0.5-0.7-0.7)*
(充-拆袋放壓頭-鎖壓頭-入箱)</t>
  </si>
  <si>
    <t>MHY24P1N1P充填</t>
  </si>
  <si>
    <t>MJA24D1F1</t>
  </si>
  <si>
    <t>MJA24D1F1P排瓶</t>
  </si>
  <si>
    <t>1100(0.7-0.5-1-0.8)*
(充-內塞-鎖-入箱)</t>
  </si>
  <si>
    <t>MJA24D1F1P充填</t>
  </si>
  <si>
    <t>MJA24E1H1</t>
  </si>
  <si>
    <t>MJA24E1H1P排瓶</t>
  </si>
  <si>
    <t>550(0.7-0.4-1.3-0.7)*
(充-墊片-鎖蓋-入箱)</t>
  </si>
  <si>
    <t>MJA24E1H1P充填</t>
  </si>
  <si>
    <t>MJB23D1F1</t>
  </si>
  <si>
    <t>泵浦式
黃管(油)
泵浦式
白管(醇)</t>
  </si>
  <si>
    <t>噴印瓶底(避開中間凹凸處)
噴印格式
XXXXXX
水項為第五碼數字表示
油項為第六碼英文表示
------------------------------------------
手鎖(機器鎖有滑牙風險)
------------------------------------------
無水配方(機具乾燥化處理)
先油再醇、速度11不噴濺
油項攪勻再充(大葉片、攪拌設定600轉/10分鐘)
邊攪邊充(小葉片、儘量伸到料斗最低處)</t>
  </si>
  <si>
    <t>MJB23D1F1P排瓶</t>
  </si>
  <si>
    <t>630(0.79-0.87-0.37-1.28-0.72)*
(充油-充醇-塞-手鎖-入箱)</t>
  </si>
  <si>
    <t>MJB23D1F1P充填</t>
  </si>
  <si>
    <t>MJB23D2F1</t>
  </si>
  <si>
    <t>泵浦式
白管
手拿管
抽料管</t>
  </si>
  <si>
    <t>200目鐵網
200目鐵網</t>
  </si>
  <si>
    <t>噴印瓶底(避開中間凹凸處)
避免滴管放入後溢料
------------------------------------------
手鎖(機器鎖有滑牙風險)</t>
  </si>
  <si>
    <t>MJB23D2F1P排瓶</t>
  </si>
  <si>
    <t>860(0.7-0.57-1.74-0.99)*
(充填-塞-鎖-入箱)</t>
  </si>
  <si>
    <t>MJB23D2F1P充填</t>
  </si>
  <si>
    <t>MJC24D1G1</t>
  </si>
  <si>
    <t>噴印瓶底(避開凹凸處)</t>
  </si>
  <si>
    <t>MJC24D1G1N排瓶</t>
  </si>
  <si>
    <t>900(0.7-1.7-1)
(充-鎖-入箱)</t>
  </si>
  <si>
    <t>MJC24D1G1N充填</t>
  </si>
  <si>
    <t>MJC24E1H1</t>
  </si>
  <si>
    <t>直接噴印會掉漆
須以酒精擦拭瓶底後再噴印
噴印瓶底(避開凹凸處)</t>
  </si>
  <si>
    <t>MJC24E1H1N排瓶</t>
  </si>
  <si>
    <t>700(0.9-0.5-1.3-1.1)
(充-墊-鎖-入箱)</t>
  </si>
  <si>
    <t>MJC24E1H1N充填</t>
  </si>
  <si>
    <t>MJC24Z1J1</t>
  </si>
  <si>
    <t>瓶器不噴印
由包裝廠噴印於「瓶貼」</t>
  </si>
  <si>
    <t>MJC24Z1J1P排瓶</t>
  </si>
  <si>
    <t>770(4)
(充-鎖-入箱)</t>
  </si>
  <si>
    <t>MJC24Z1J1P充填</t>
  </si>
  <si>
    <t>MJC24Z1J1N</t>
  </si>
  <si>
    <t>瑞士黑蜂外泌皮膚噴劑60ML 裸瓶</t>
  </si>
  <si>
    <t>MJC24Z1J1N排瓶</t>
  </si>
  <si>
    <t>MJC24Z1J1N充填</t>
  </si>
  <si>
    <t>MJC24Z2J1</t>
  </si>
  <si>
    <t>MJC24Z2J1P排瓶</t>
  </si>
  <si>
    <t>800(1-0.4-1)*
(充-鎖-入箱)</t>
  </si>
  <si>
    <t>MJC24Z2J1P充填</t>
  </si>
  <si>
    <t>MJC25D1G1</t>
  </si>
  <si>
    <t>泵浦式
黃管+手拿管
自動鎖蓋機
夾瓶輸送帶
啟益噴印機</t>
  </si>
  <si>
    <t>噴印瓶底
避開凸點</t>
  </si>
  <si>
    <t>MJC25D1G1P排瓶</t>
  </si>
  <si>
    <t>880(0.8-0.6-1.6-0.7)*
(充-放壓頭-拆袋上蓋-入箱)</t>
  </si>
  <si>
    <t>MJC25D1G1P充填</t>
  </si>
  <si>
    <t>MJC25D2G1</t>
  </si>
  <si>
    <t>泵浦式
黃管+手拿管
夾瓶輸送帶
啟益噴印機</t>
  </si>
  <si>
    <t>玻璃瓶
噴印瓶底</t>
  </si>
  <si>
    <t>MJC25D2G1P排瓶</t>
  </si>
  <si>
    <t>880(0.6-1.1-1.4-0.9)*
(充-手鎖-拆袋上蓋-入箱)</t>
  </si>
  <si>
    <t>MJC25D2G1P充填</t>
  </si>
  <si>
    <t>MJC25E1H1</t>
  </si>
  <si>
    <t>氣壓式
X
夾瓶輸送帶</t>
  </si>
  <si>
    <t>480(1)*</t>
  </si>
  <si>
    <t>MJC25E1H1P排瓶</t>
  </si>
  <si>
    <t>[定量缸式充填機x1&amp;夾瓶輸送帶x1&amp;噴印機x1]</t>
  </si>
  <si>
    <t>730(0.94-0.57-1.65-0.84)*
(充-放墊片-鎖-入箱)</t>
  </si>
  <si>
    <t>MJC25E1H1P充填</t>
  </si>
  <si>
    <t>MJC25E1R1T</t>
  </si>
  <si>
    <t>MJC25E1R1</t>
  </si>
  <si>
    <t>大氣壓式</t>
  </si>
  <si>
    <t>570(1)</t>
  </si>
  <si>
    <t>塑膠廣口瓶
有挖勺</t>
  </si>
  <si>
    <t>MJC25E1R1T排瓶</t>
  </si>
  <si>
    <t>400(4)
(充-墊-鎖-入箱)</t>
  </si>
  <si>
    <t>MJC25E1R1T充填</t>
  </si>
  <si>
    <t>MJC25E2H1</t>
  </si>
  <si>
    <t>氣壓式
X
夾瓶輸送帶
啟益噴印機</t>
  </si>
  <si>
    <t>480(1)</t>
  </si>
  <si>
    <t>噴印瓶底
噴印位置須避開凹凸處(已與業務確認)</t>
  </si>
  <si>
    <t>MJC25E2H1P排瓶</t>
  </si>
  <si>
    <t>800(1-0.6-1.6-0.8)*
(充-放墊片-鎖(拆小袋子)-入箱)</t>
  </si>
  <si>
    <t>MJC25E2H1P充填</t>
  </si>
  <si>
    <t>MJC25Z1J1</t>
  </si>
  <si>
    <t>MJC25Z1J1P排瓶</t>
  </si>
  <si>
    <t>MJC25Z1J1P充填</t>
  </si>
  <si>
    <t>MJC25Z1J1N</t>
  </si>
  <si>
    <t>瑞士黑蜂泌皮膚噴劑60ML裸瓶</t>
  </si>
  <si>
    <t>MJC25Z1J1N排瓶</t>
  </si>
  <si>
    <t>MJC25Z1J1N充填</t>
  </si>
  <si>
    <t>MJC25Z2J1</t>
  </si>
  <si>
    <t>瓶器不噴印
由包裝廠噴印於「瓶貼」
黃管/手拿管不行(會起泡)</t>
  </si>
  <si>
    <t>MJC25Z2J1P排瓶</t>
  </si>
  <si>
    <t>MJC25Z2J1P充填</t>
  </si>
  <si>
    <t>MJD23G111</t>
  </si>
  <si>
    <t>2300(1)*</t>
  </si>
  <si>
    <t>2300</t>
  </si>
  <si>
    <t>背面右下角空白處</t>
  </si>
  <si>
    <t>MJD23G111N排瓶</t>
  </si>
  <si>
    <t>MJD23G111N充填</t>
  </si>
  <si>
    <t>MJE24B1M1</t>
  </si>
  <si>
    <t>齒輪式
齒輪式充填速度550~700
(看內料硬度調整)
反轉3~4
小台定量缸推不動無法充填
配合製造出料時間進行充填
取消大定量缸過濾內料</t>
  </si>
  <si>
    <t>345(1)*
(一批52kg過濾1hr)</t>
  </si>
  <si>
    <t>345</t>
  </si>
  <si>
    <t>噴印瓶身背面上方
掀蓋對齊軟管正面
配合製造出料時間當天立刻充填
(充填人員延後上班)
預估一天兩批次
大台定量缸過濾(50目鐵網)
齒輪式充填(不加濾網)
充填速度550~700(看內料硬度調整)
反轉3~4
小台定量缸無法充填推不動</t>
  </si>
  <si>
    <t>MJE24B1M1P前置</t>
  </si>
  <si>
    <t>250(1-1-0.45-0.35-0.3)*
(揉料-充填-封口貼-鎖蓋-入箱)</t>
  </si>
  <si>
    <t>MJE24B1M1P充填</t>
  </si>
  <si>
    <t>1000(3)*
(封口貼-鎖蓋-入箱)</t>
  </si>
  <si>
    <t>MJE24B1M1P後加工</t>
  </si>
  <si>
    <t>MJE24H1H1</t>
  </si>
  <si>
    <t>780(1-0.8-0.7-0.5)*
(充-塞-鎖-入箱)</t>
  </si>
  <si>
    <t>噴印瓶身背面上方
只能用小台定量缸充填</t>
  </si>
  <si>
    <t>MJE24H1H1P充填</t>
  </si>
  <si>
    <t>MJE25B1M1</t>
  </si>
  <si>
    <t>[齒輪式充填機*1]洗機器120min人時</t>
  </si>
  <si>
    <t>MJE25B1M1前置</t>
  </si>
  <si>
    <t>齒輪式
齒輪式充填速度550~700
(看內料硬度調整)
反轉3~5
小台定量缸推不動無法充填
配合製造出料時間進行充填
取消大定量缸過濾內料</t>
  </si>
  <si>
    <t>220(1-1-0.45-0.35-0.3)*
(揉料-充填-封口貼-鎖蓋-入箱)</t>
  </si>
  <si>
    <t>220</t>
  </si>
  <si>
    <t>噴印瓶身背面上方
齒輪式充填
充填速度550~700(看內料硬度調整)
反轉3~5
小台定量缸無法充填推不動</t>
  </si>
  <si>
    <t>MJE25B1M1P充填</t>
  </si>
  <si>
    <t>[噴印機*1]</t>
  </si>
  <si>
    <t>1000(0.45-0.35-0.3)*
(封口貼-鎖蓋-入箱)</t>
  </si>
  <si>
    <t>MJE25B1M1後加工</t>
  </si>
  <si>
    <t>MJE25D1G1</t>
  </si>
  <si>
    <t>充填工序須全程戴手套!
充填不架濾網
30ML玻璃瓶身噴漸層色
壓頭PP/電鍍金中束
壓克力上蓋(全套袋)</t>
  </si>
  <si>
    <t>MJE25D1G1P排瓶</t>
  </si>
  <si>
    <t>800(1-0.5-0.8-1-0.7)*
(充-拆壓頭袋子-放壓頭機鎖-拆上蓋袋子+放上蓋-上蓋入箱)</t>
  </si>
  <si>
    <t>MJE25D1G1P充填</t>
  </si>
  <si>
    <t>MJE25E1G1</t>
  </si>
  <si>
    <t>氣壓式
齒輪式也可充填</t>
  </si>
  <si>
    <t>充填工序須全程戴手套!
30G玻璃瓶身噴漸層色
PP白墊片
壓克力上蓋
瓶身圓弧無法夾瓶噴印</t>
  </si>
  <si>
    <t>MJE25E1G1P排瓶</t>
  </si>
  <si>
    <t>900(0.9-0.5-1.5-1)*
(充-墊-鎖&amp;噴印-入箱)</t>
  </si>
  <si>
    <t>MJE25E1G1P充填</t>
  </si>
  <si>
    <t>MJE25G111N</t>
  </si>
  <si>
    <t>MJE25G111</t>
  </si>
  <si>
    <t>PDRN外泌體・賦時修護面膜28ML</t>
  </si>
  <si>
    <t>11*15
噴印參數:
預估線速度10
產品長度150
電眼朝五點鐘方向打斜
輸送帶刻度中央偏左</t>
  </si>
  <si>
    <t>MJE25G111N排瓶</t>
  </si>
  <si>
    <t>1000(1-1)*(充-封口)
1500(1-1-1)*(放噴印-接噴印-裝袋入箱)</t>
  </si>
  <si>
    <t>MJE25G111N充填</t>
  </si>
  <si>
    <t>1500(1-1-1)*(放噴印-接噴印-入袋)</t>
  </si>
  <si>
    <t>MJE25G111N後加工</t>
  </si>
  <si>
    <t>MJE25G141</t>
  </si>
  <si>
    <t>10*15
噴印參數:
預估線速度10
產品長度150
電眼朝五點鐘方向打斜
輸送帶刻度中央偏左</t>
  </si>
  <si>
    <t>MJE25G141P排瓶</t>
  </si>
  <si>
    <t>1000(1-1)*(充-封口)
1500(1-1)*(放噴印-入箱)</t>
  </si>
  <si>
    <t>MJE25G141P充填</t>
  </si>
  <si>
    <t>1500(1-1)*(放噴印-入箱)</t>
  </si>
  <si>
    <t>MJE25G141P後加工</t>
  </si>
  <si>
    <t>MJG24G111</t>
  </si>
  <si>
    <t>1250(1-1)*
(充-驗噴印裝半斤袋入箱)
啟益噴印機架在面膜機上
封口完直接噴印</t>
  </si>
  <si>
    <t>1250</t>
  </si>
  <si>
    <t>噴印鋁袋背面下方置中封口處上
注意:EXP 後面空一格 YYYY.MM.DD</t>
  </si>
  <si>
    <t>MJG24G111N充填</t>
  </si>
  <si>
    <t>MJG24G151P</t>
  </si>
  <si>
    <t>MJG24G151</t>
  </si>
  <si>
    <t xml:space="preserve">熹翠亮胜肽面膜27ML(盒裝) </t>
  </si>
  <si>
    <t>1500(1-1)*
(充-驗噴印入箱)
啟益噴印機架在面膜機上
封口完直接噴印</t>
  </si>
  <si>
    <t>MJG24G151P充填</t>
  </si>
  <si>
    <t>MJG24G2</t>
  </si>
  <si>
    <t>韶日｜抗老賦活面膜 25ml</t>
  </si>
  <si>
    <t>MJG24G211N充填</t>
  </si>
  <si>
    <t>MJG24G251P充填</t>
  </si>
  <si>
    <t>MJG24G211N</t>
  </si>
  <si>
    <t>MJG24G211</t>
  </si>
  <si>
    <t>MJG24G211N排瓶</t>
  </si>
  <si>
    <t>1000(2)(充-封口)
啟益噴印機架在面膜機上
封口完直接噴印</t>
  </si>
  <si>
    <t>MJG24G251</t>
  </si>
  <si>
    <t>MJG24G251P排瓶</t>
  </si>
  <si>
    <t>MJH25C1M1</t>
  </si>
  <si>
    <t>MJH25C1M1T排瓶</t>
  </si>
  <si>
    <t>MJH25C1M1T充填</t>
  </si>
  <si>
    <t>MJH25E1K1</t>
  </si>
  <si>
    <t>氣壓式
自動鎖蓋機
夾瓶輸送帶</t>
  </si>
  <si>
    <t>MJH25E1K1T排瓶</t>
  </si>
  <si>
    <t>600(1-0.7-0.7-0.6)*
(充-鎖-蓋-入箱)</t>
  </si>
  <si>
    <t>MJH25E1K1T充填</t>
  </si>
  <si>
    <t>MJJ24H1K1</t>
  </si>
  <si>
    <t>550(0.35-0.75-1-0.6-0.7-0.6)*
(軟管拆袋-充-內塞-封口貼-鎖蓋-入箱)</t>
  </si>
  <si>
    <t>噴印軟管背面尾端</t>
  </si>
  <si>
    <t>MJJ24H1K1P充填</t>
  </si>
  <si>
    <t>MJP24C1L1</t>
  </si>
  <si>
    <t>噴印瓶底空白處，避開凹點</t>
  </si>
  <si>
    <t>MJP24C1L1P排瓶</t>
  </si>
  <si>
    <t>800(0.7-0.6-1.8-0.9)*
(充填-內塞-鎖蓋-入箱)</t>
  </si>
  <si>
    <t>MJP24C1L1P充填</t>
  </si>
  <si>
    <t>MJP24D1F1</t>
  </si>
  <si>
    <t>噴印瓶底
霧面玻璃印刷瓶</t>
  </si>
  <si>
    <t>MJP24D1F1P排瓶</t>
  </si>
  <si>
    <t>1000(0.5-0.6-1-0.9)*
(充-放滴管-放噴印-入箱)</t>
  </si>
  <si>
    <t>MJP24D1F1P充填</t>
  </si>
  <si>
    <t>MJP24E1H1</t>
  </si>
  <si>
    <t>噴印瓶底中間空白處，避開凹點</t>
  </si>
  <si>
    <t>MJP24E1H1P排瓶</t>
  </si>
  <si>
    <t>900(4)(充-鎖-蓋-入箱)</t>
  </si>
  <si>
    <t>MJP24E1H1P充填</t>
  </si>
  <si>
    <t>MJP24H1F1</t>
  </si>
  <si>
    <t>MJP24H1F1P排瓶</t>
  </si>
  <si>
    <t>650(0.7-0.6-1-0.7)*
(充-鎖壓頭-上蓋-入箱)</t>
  </si>
  <si>
    <t>MJP24H1F1P充填</t>
  </si>
  <si>
    <t>MJR24P1H1</t>
  </si>
  <si>
    <t>180(1-0.3-0.2)*
(充-鎖-入箱)</t>
  </si>
  <si>
    <t>噴印瓶身背面上方</t>
  </si>
  <si>
    <t>MJR24P1H1N充填</t>
  </si>
  <si>
    <t>MJV24D1H1</t>
  </si>
  <si>
    <t>泵浦式
黃管
出料配件-短9.5mm
自動鎖蓋機
夾瓶輸送帶
噴印機</t>
  </si>
  <si>
    <t>噴印瓶底
噴印清晰可辨識 避開氣室孔
摩擦輪使用白色摩擦輪</t>
  </si>
  <si>
    <t>MJV24D1H1P排瓶</t>
  </si>
  <si>
    <t>1000(0.8-1.2-1.2-0.8)*
(充-鎖-蓋-入箱)</t>
  </si>
  <si>
    <t>MJV24D1H1P充填</t>
  </si>
  <si>
    <t>MJV25D1G1</t>
  </si>
  <si>
    <t>排瓶(內杯)</t>
  </si>
  <si>
    <t>泵浦式*2
黃管
手拿管
夾瓶輸送帶
啟益噴印機
手壓台</t>
  </si>
  <si>
    <t>1450(1)*</t>
  </si>
  <si>
    <t>1450</t>
  </si>
  <si>
    <t>MJV25D1G1P排瓶(內杯)</t>
  </si>
  <si>
    <t>MJV25D1G1P排瓶(外杯)</t>
  </si>
  <si>
    <t>450(0.7-0.4-1.3-1.6-1)*
(充油-充水-內外瓶組裝-放壓頭扣緊-入箱)</t>
  </si>
  <si>
    <t>MJV25D1G1P充填</t>
  </si>
  <si>
    <t>MJW24C1N1</t>
  </si>
  <si>
    <t>MJW24C1N1P充填</t>
  </si>
  <si>
    <t>MJY24H1H1</t>
  </si>
  <si>
    <t>啟益
泵浦式
黃管
夾瓶輸送帶</t>
  </si>
  <si>
    <t>噴印瓶底(避開回收標誌)
德昂空白箱
充-珠-內塞-鎖蓋-噴印
橢圓形塑膠瓶</t>
  </si>
  <si>
    <t>MJY24H1H1P排瓶</t>
  </si>
  <si>
    <t>[泵浦式充填機x1&amp;夾瓶輸送帶x1&amp;啟益噴印機x1]</t>
  </si>
  <si>
    <t>1000(1-0.75-1-0.6)*
(充-塞-鎖-入箱)</t>
  </si>
  <si>
    <t>MJY24H1H1P充填</t>
  </si>
  <si>
    <t>MKA24H1F1</t>
  </si>
  <si>
    <t>1600(1)</t>
  </si>
  <si>
    <t>有內外瓶
內料會出油，需邊攪邊充</t>
  </si>
  <si>
    <t>MKA24H1F1P排瓶</t>
  </si>
  <si>
    <t>800(0.72-0.8-1.73-0.75)*
(充-鎖內瓶-入外瓶組裝-入箱)</t>
  </si>
  <si>
    <t>MKA24H1F1P充填</t>
  </si>
  <si>
    <t>MKA24H1F1N</t>
  </si>
  <si>
    <t>A醇防曬素顏霜30ML-裸瓶(有印刷)</t>
  </si>
  <si>
    <t>不噴印
有內外瓶
內料會出油，需邊攪邊充</t>
  </si>
  <si>
    <t>MKA24H1F1N排瓶</t>
  </si>
  <si>
    <t>MKA24H1F1N充填</t>
  </si>
  <si>
    <t>MKA24H1F2N</t>
  </si>
  <si>
    <t>MKA24H1F2</t>
  </si>
  <si>
    <t>A醇防曬素顏霜30ML-裸瓶(無印刷)</t>
  </si>
  <si>
    <t>MKA24H1F2N排瓶</t>
  </si>
  <si>
    <t>MKA24H1F2N充填</t>
  </si>
  <si>
    <t>MKA24H1F3P</t>
  </si>
  <si>
    <t>MKA24H1F3</t>
  </si>
  <si>
    <t>AI智護光感防曬乳30ML-代工</t>
  </si>
  <si>
    <t>僅充填
真空內外瓶
噴印瓶底</t>
  </si>
  <si>
    <t>MKA24H1F3P排瓶</t>
  </si>
  <si>
    <t>1000(0.9-1.4-1.1-0.6)*
(充-鎖-入瓶&amp;壓頭-噴印入箱)</t>
  </si>
  <si>
    <t>MKA24H1F3P充填</t>
  </si>
  <si>
    <t>MKA24H1F4N</t>
  </si>
  <si>
    <t>MKA24H1F4</t>
  </si>
  <si>
    <t>AI智護光感防曬乳30ML-代工裸瓶(無印刷)</t>
  </si>
  <si>
    <t>不需噴印</t>
  </si>
  <si>
    <t>MKA24H1F4N排瓶</t>
  </si>
  <si>
    <t>MKA24H1F4N充填</t>
  </si>
  <si>
    <t>MKB25K1C1P</t>
  </si>
  <si>
    <t>MKB25K1C1</t>
  </si>
  <si>
    <t>Suncatcher陽光捕手精油10ML</t>
  </si>
  <si>
    <t>泵浦式/黃管
夾瓶輸送帶</t>
  </si>
  <si>
    <t>純油
玻璃瓶+鋼珠塞</t>
  </si>
  <si>
    <t>MKB25K1C1P排瓶</t>
  </si>
  <si>
    <t>950(0.4-1.5-1.1-0.8)*
(充-壓滾珠頭-鎖蓋-入箱)</t>
  </si>
  <si>
    <t>MKB25K1C1P充填</t>
  </si>
  <si>
    <t>MKB25K2C1P</t>
  </si>
  <si>
    <t>MKB25K2C1</t>
  </si>
  <si>
    <t>Dreamcatcher捕夢網精油10ML</t>
  </si>
  <si>
    <t>MKB25K2C1P排瓶</t>
  </si>
  <si>
    <t>MKB25K2C1P充填</t>
  </si>
  <si>
    <t>MKB25K3C1P</t>
  </si>
  <si>
    <t>MKB25K3C1</t>
  </si>
  <si>
    <t>GoodVibe好的共鳴精油10ML</t>
  </si>
  <si>
    <t>MKB25K3C1P排瓶</t>
  </si>
  <si>
    <t>MKB25K3C1P充填</t>
  </si>
  <si>
    <t>MKD25D1C1</t>
  </si>
  <si>
    <t>泵浦式
白管
手拿管</t>
  </si>
  <si>
    <t>X
內含藻針</t>
  </si>
  <si>
    <t>不架濾網
不用噴印</t>
  </si>
  <si>
    <t>MKD25D1C1N排瓶</t>
  </si>
  <si>
    <t>1200(4)
(充-鎖-蓋-入箱)</t>
  </si>
  <si>
    <t>MKD25D1C1N充填</t>
  </si>
  <si>
    <t>MKD25D3E1</t>
  </si>
  <si>
    <t>玻璃瓶</t>
  </si>
  <si>
    <t>MKD25D3E1P排瓶</t>
  </si>
  <si>
    <t>1250(0.7-1.4-0.9-1)*
(衝-放蓋自動鎖-蓋-入箱)</t>
  </si>
  <si>
    <t>MKD25D3E1P充填</t>
  </si>
  <si>
    <t>MKD25H1C1</t>
  </si>
  <si>
    <t>不用噴印</t>
  </si>
  <si>
    <t>MKD25H1C1N排瓶</t>
  </si>
  <si>
    <t>MKD25H1C1N充填</t>
  </si>
  <si>
    <t>MKD25H1H1</t>
  </si>
  <si>
    <t>900(0.7-0.9-1.2-0.6-0.6)*
(拆軟管袋-充填-手鎖壓頭-上蓋-入箱)</t>
  </si>
  <si>
    <t>軟管
不噴印</t>
  </si>
  <si>
    <t>MKD25H1H1P充填</t>
  </si>
  <si>
    <t>MKD25H2C1</t>
  </si>
  <si>
    <t>MKD25H2C1N排瓶</t>
  </si>
  <si>
    <t>MKD25H2C1N充填</t>
  </si>
  <si>
    <t>MKD25H3H1</t>
  </si>
  <si>
    <t>830(0.7-1-1-0.5-0.5)*
(拆軟管袋-充填-手鎖壓頭-上蓋-入箱)</t>
  </si>
  <si>
    <t>830</t>
  </si>
  <si>
    <t>MKD25H3H1P充填</t>
  </si>
  <si>
    <t>MKG25D1T1</t>
  </si>
  <si>
    <t>賣內料</t>
  </si>
  <si>
    <t>不過濾</t>
  </si>
  <si>
    <t>內含澡針</t>
  </si>
  <si>
    <t>MKG25D1T1N充填</t>
  </si>
  <si>
    <t>MKG25D2T1</t>
  </si>
  <si>
    <t>MKG25D2T1N充填</t>
  </si>
  <si>
    <t>MKG25D3T1</t>
  </si>
  <si>
    <t>MKG25D3T1N充填</t>
  </si>
  <si>
    <t>MKG25D4T1</t>
  </si>
  <si>
    <t>MKG25D4T1N充填</t>
  </si>
  <si>
    <t>MKH25M1U1</t>
  </si>
  <si>
    <t>製造充</t>
  </si>
  <si>
    <t>MKH25M1U1P充填</t>
  </si>
  <si>
    <t>MKU25F1C1P</t>
  </si>
  <si>
    <t>MKU25F1C1</t>
  </si>
  <si>
    <t>澄光潤澤2合1手部精華油10ML</t>
  </si>
  <si>
    <t>1000(0.9-0.8-0.9-0.4)*
(充-塞-鎖&amp;噴印-入箱)</t>
  </si>
  <si>
    <t>軟管+毛刷塞+蓋</t>
  </si>
  <si>
    <t>MKU25F1C1P充填</t>
  </si>
  <si>
    <t>MKU25F1F1</t>
  </si>
  <si>
    <t>玻璃瓶+塞+蓋(附滴管免安裝)
充填速度15/回流量5
不能用手拿管(會滴料)</t>
  </si>
  <si>
    <t>MKU25F1F1P排瓶</t>
  </si>
  <si>
    <t>850(1-0.6-0.8-0.5)*
(充-內塞-上蓋噴印-入箱)</t>
  </si>
  <si>
    <t>MKU25F1F1P充填</t>
  </si>
  <si>
    <t>MKW25H1F1</t>
  </si>
  <si>
    <t>MKW25H1F1P排瓶</t>
  </si>
  <si>
    <t>1200(4)
(充-鎖-蓋-噴印-入箱)</t>
  </si>
  <si>
    <t>MKW25H1F1P充填</t>
  </si>
  <si>
    <t>MKY25C1H1</t>
  </si>
  <si>
    <t>塑膠瓶+噴嘴+上蓋</t>
  </si>
  <si>
    <t>MKY25C1H1P排瓶</t>
  </si>
  <si>
    <t>1000(1-1.1-0.8-0.9)*
(充-放壓頭-上蓋噴印-入箱)</t>
  </si>
  <si>
    <t>MKY25C1H1P充填</t>
  </si>
  <si>
    <t>MKY25C1K1</t>
  </si>
  <si>
    <t>MKY25C1K1P排瓶</t>
  </si>
  <si>
    <t>850(1-1-0.9-0.8)*
(充-放壓頭鎖-上蓋-入箱)</t>
  </si>
  <si>
    <t>MKY25C1K1P充填</t>
  </si>
  <si>
    <t>MKY25D1D1</t>
  </si>
  <si>
    <t>泵浦式
黃管
手拿管
夾瓶輸送帶x1
噴印機x1</t>
  </si>
  <si>
    <t>紅色玻璃瓶+膠帽滴管
瓶器易掉漆
不適用圓盤自動充填機
鎖蓋機扭力過大會掉漆
(勿用鎖蓋機)</t>
  </si>
  <si>
    <t>MKY25D1D1P排瓶</t>
  </si>
  <si>
    <t>1400(0.7-1.7-0.6)*
(充-手鎖-入箱)</t>
  </si>
  <si>
    <t>MKY25D1D1P充填</t>
  </si>
  <si>
    <t>MKY25D1F1</t>
  </si>
  <si>
    <t>泵浦式
黃管
手拿管
自動鎖蓋機x1
夾瓶輸送帶x1
噴印機x1</t>
  </si>
  <si>
    <t>紅色玻璃瓶+膠帽滴管
瓶器底部易掉漆
不適用圓盤自動充填機</t>
  </si>
  <si>
    <t>MKY25D1F1P排瓶</t>
  </si>
  <si>
    <t>1300(0.8-0.6-0.8-0.7)*
(充-放滴管-放鎖蓋機-入箱)</t>
  </si>
  <si>
    <t>MKY25D1F1P充填</t>
  </si>
  <si>
    <t>MKY25D2F1</t>
  </si>
  <si>
    <t>只能用氣壓式x1
自動鎖蓋機x1
夾瓶輸送帶x1
噴印機x1</t>
  </si>
  <si>
    <t>MKY25D2F1P排瓶</t>
  </si>
  <si>
    <t>900(0.8-0.9-1.1-0.6)*
(充-放壓頭-上蓋噴印-入箱)</t>
  </si>
  <si>
    <t>MKY25D2F1P充填</t>
  </si>
  <si>
    <t>MKY25D2H1</t>
  </si>
  <si>
    <t>只能用氣壓式充填
自動鎖蓋機x1
夾瓶輸送帶x1
噴印機x1</t>
  </si>
  <si>
    <t>MKY25D2H1P排瓶</t>
  </si>
  <si>
    <t>800(1-0.8-1-0.6)*
(充-放壓頭-上蓋噴印-入箱)</t>
  </si>
  <si>
    <t>MKY25D2H1P充填</t>
  </si>
  <si>
    <t>MKY25E1F1</t>
  </si>
  <si>
    <t>氣壓式
桌上型壓蓋機
夾瓶輸送帶x1
噴印機x1</t>
  </si>
  <si>
    <t>真空胖瓶</t>
  </si>
  <si>
    <t>MKY25E1F1P排瓶</t>
  </si>
  <si>
    <t>850(1-1.3-0.6)*
(充-放壓頭-壓壓頭噴印-入箱)</t>
  </si>
  <si>
    <t>MKY25E1F1P充填</t>
  </si>
  <si>
    <t>MKY25E1H1</t>
  </si>
  <si>
    <t>MKY25E1H1P排瓶</t>
  </si>
  <si>
    <t>800(0.95-0.4-1-0.7)*
(充-放壓頭-壓壓頭噴印-入箱)</t>
  </si>
  <si>
    <t>MKY25E1H1P充填</t>
  </si>
  <si>
    <t>MKY25E2H1</t>
  </si>
  <si>
    <t>MKY25E2H1P排瓶</t>
  </si>
  <si>
    <t>850(1-1.2-0.7)*
(充-放壓頭壓蓋-入箱)</t>
  </si>
  <si>
    <t>MKY25E2H1P充填</t>
  </si>
  <si>
    <t>MLA25D1C1</t>
  </si>
  <si>
    <t>泵浦式
手拿管
黃管
料斗
夾瓶輸送帶
啟益噴印機
鋁蓋壓蓋機</t>
  </si>
  <si>
    <t>噴印瓶底
西林瓶</t>
  </si>
  <si>
    <t>MLA25D1C1N排瓶</t>
  </si>
  <si>
    <t>1200(0.6-1-0.7-0.7)*
(充-內塞鋁蓋-壓蓋噴印-入箱)</t>
  </si>
  <si>
    <t>MLA25D1C1N充填</t>
  </si>
  <si>
    <t>MLA25D251P</t>
  </si>
  <si>
    <t>MLA25D251</t>
  </si>
  <si>
    <t>亮麗一生完美外泌體10ML(盒裝)</t>
  </si>
  <si>
    <t>2000(1)</t>
  </si>
  <si>
    <t>MLA25D251P排瓶</t>
  </si>
  <si>
    <t>1200(0.6-1-0.7-0.7)
(充-內塞鋁蓋-壓蓋噴印-入箱)</t>
  </si>
  <si>
    <t>MLA25D251P充填</t>
  </si>
  <si>
    <t>MLA25D2C1</t>
  </si>
  <si>
    <t>MLA25D2C1N排瓶</t>
  </si>
  <si>
    <t>1400(0.6-1-0.7-0.7)*
(充-內塞鋁蓋-壓蓋噴印-入箱)</t>
  </si>
  <si>
    <t>MLA25D2C1N充填</t>
  </si>
  <si>
    <t>MLF25C1L1</t>
  </si>
  <si>
    <t>上層: 9 g
中層: 10.9 g
下層: 92.9 g</t>
  </si>
  <si>
    <t>1300(1)</t>
  </si>
  <si>
    <t>PET瓶身
PP白色噴頭
ABS上蓋/電鍍
噴印格式要特別仔細看品質說明書
噴印瓶底
充填順序：下層精華→中層油→上層油
下層精華 雙管泵浦 速度3
中層油 泵浦式 充填速度 14
上層油 泵浦式 充填速度 8
充第三層油要注意出料管可以泡到第二層料表面 (如果沾到下層 會滴料)
中層油出白桶
上層油出藍桶</t>
  </si>
  <si>
    <t>MLF25C1L1P排瓶</t>
  </si>
  <si>
    <t>800(0.9-0.8-0.9-0.9-0.5)
(充水-充油-充油-鎖-入箱)</t>
  </si>
  <si>
    <t>MLF25C1L1P充填</t>
  </si>
  <si>
    <t>MLG25D1F1</t>
  </si>
  <si>
    <t>玻璃瓶+電鍍膠帽滴管
噴印瓶底
方形滴管</t>
  </si>
  <si>
    <t>MLG25D1F1P排瓶</t>
  </si>
  <si>
    <t>1200(0.6-2.4-0.7)*
(充-手鎖方形滴管-入箱)</t>
  </si>
  <si>
    <t>MLG25D1F1P充填</t>
  </si>
  <si>
    <t>MLH25M1R1</t>
  </si>
  <si>
    <t>雙管泵浦式充填機x1
自動鎖蓋機x1
噴印機x1</t>
  </si>
  <si>
    <t>650(1)*含剪</t>
  </si>
  <si>
    <t>茶色PETG瓶
黑色壓頭(要剪管)</t>
  </si>
  <si>
    <t>MLH25M1R1N排瓶</t>
  </si>
  <si>
    <t>170(1-0.4-0.25)*
(充-鎖-入箱)</t>
  </si>
  <si>
    <t>170</t>
  </si>
  <si>
    <t>MLH25M1R1N充填</t>
  </si>
  <si>
    <t>MLH25M1W1</t>
  </si>
  <si>
    <t>大氣壓式x1
自動鎖蓋機x1
噴印機x1</t>
  </si>
  <si>
    <t>HDPE不透光白瓶
白上蓋</t>
  </si>
  <si>
    <t>MLH25M1W1N排瓶</t>
  </si>
  <si>
    <t>70(3)
(充-鎖-入箱)</t>
  </si>
  <si>
    <t>70</t>
  </si>
  <si>
    <t>MLH25M1W1N充填</t>
  </si>
  <si>
    <t>MLH25Q1R1</t>
  </si>
  <si>
    <t>MLH25Q1R1N排瓶</t>
  </si>
  <si>
    <t>MLH25Q1R1N充填</t>
  </si>
  <si>
    <t>MLH25Q1W1</t>
  </si>
  <si>
    <t>MLH25Q1W1N排瓶</t>
  </si>
  <si>
    <t>MLH25Q1W1N充填</t>
  </si>
  <si>
    <t>MLR25C1R1</t>
  </si>
  <si>
    <t>雙管泵浦式充填機
自動鎖蓋機
噴印機</t>
  </si>
  <si>
    <t>透明塑膠瓶+掀蓋
雙管泵浦充填速度9
不能使用齒輪式充填(內料太稀)</t>
  </si>
  <si>
    <t>MLR25C1R1T排瓶</t>
  </si>
  <si>
    <t>[雙管泵浦式充填機x1&amp;自動鎖蓋機x1&amp;噴印機x1]</t>
  </si>
  <si>
    <t>400(1-0.6-0.4)*
(充-鎖&amp;噴印-入箱)</t>
  </si>
  <si>
    <t>MLR25C1R1T充填</t>
  </si>
  <si>
    <t>MLR25C2R1</t>
  </si>
  <si>
    <t>MLR25C2R1T排瓶</t>
  </si>
  <si>
    <t>MLR25C2R1T充填</t>
  </si>
  <si>
    <t>MLT25K1K1</t>
  </si>
  <si>
    <t>雙管泵浦式充填機
白管
抽料管
自動鎖蓋機</t>
  </si>
  <si>
    <t>噴印瓶底
避光生產</t>
  </si>
  <si>
    <t>MLT25K1K1T排瓶</t>
  </si>
  <si>
    <t>[雙管泵浦式充填機x1&amp;自動鎖蓋機x1&amp;夾瓶輸送帶x1噴印機x1]</t>
  </si>
  <si>
    <t>950(1-1-1)*
(充-放壓頭鎖-入箱)</t>
  </si>
  <si>
    <t>MLT25K1K1T充填</t>
  </si>
  <si>
    <t>MLT25K1K2</t>
  </si>
  <si>
    <t>MLT25K1K2T排瓶</t>
  </si>
  <si>
    <t>MLT25K1K2T充填</t>
  </si>
  <si>
    <t>N1EXD3F1</t>
  </si>
  <si>
    <t>1600(1-0.7-1.3-0.7)*
(充-放蓋-鎖-入箱)</t>
  </si>
  <si>
    <t>透明棕色瓶/無印刷
18牙白色亮面-旋蓋
可用圓盤式自動充填機
(泵浦式速度19
自動充填速度80
理瓶轉盤50/充填轉盤40
鎖蓋扭力70(人工放蓋)
過濾用200目鐵網
噴印機參數(產品長度62)
可解決兩罐過密噴印時漏噴印狀況)</t>
  </si>
  <si>
    <t>PN1EXD3F1P充填</t>
  </si>
  <si>
    <t>PN1CAB1P1</t>
  </si>
  <si>
    <t>噴印瓶底
避開凹槽</t>
  </si>
  <si>
    <t>PN1CAB1P1P排瓶</t>
  </si>
  <si>
    <t>430(1-1.07-0.9)*
(充-鎖-入箱)</t>
  </si>
  <si>
    <t>430</t>
  </si>
  <si>
    <t>PN1CAB1P1P充填</t>
  </si>
  <si>
    <t>PN1CAD1F2</t>
  </si>
  <si>
    <t>PN1CAD1F2P排瓶</t>
  </si>
  <si>
    <t>850(0.9-1.1-1)*
(充-鎖-入箱)檢查滴管歪斜</t>
  </si>
  <si>
    <t>PN1CAD1F2P充填</t>
  </si>
  <si>
    <t>PN1CAD1F3P</t>
  </si>
  <si>
    <t>PN1CAD1F3</t>
  </si>
  <si>
    <t>積雪草B5修護純粹精華30ml-3入組</t>
  </si>
  <si>
    <t>PN1CAD1F3P排瓶</t>
  </si>
  <si>
    <t>1200(1-1-1)*
(充-鎖-入箱)檢查滴管歪斜</t>
  </si>
  <si>
    <t>PN1CAD1F3P充填</t>
  </si>
  <si>
    <t>PN1CAD2F1</t>
  </si>
  <si>
    <t>噴印瓶底
自動充填線標工
780(1-0.7)(機充手動放滴管-入箱)</t>
  </si>
  <si>
    <t>PN1CAD2F1P排瓶</t>
  </si>
  <si>
    <t>1800(1-1-1)*
(充-放滴管鎖-入箱)</t>
  </si>
  <si>
    <t>PN1CAD2F1P充填</t>
  </si>
  <si>
    <t>[泵浦式充填機x1&amp;圓盤式自動充填機x1&amp;噴印機x1]</t>
  </si>
  <si>
    <t>780(1-0.7)*
(機充手動放滴管-入箱)</t>
  </si>
  <si>
    <t>PN1CAD2H1P</t>
  </si>
  <si>
    <t>PN1CAD2H1</t>
  </si>
  <si>
    <t>極效積雪草B5舒敏修護精華-特規50ML</t>
  </si>
  <si>
    <t>泵浦式
自動鎖蓋機</t>
  </si>
  <si>
    <t>PN1CAD2H1P排瓶</t>
  </si>
  <si>
    <t>700(1-1-1-1)
(充-放鎖-噴-入箱)</t>
  </si>
  <si>
    <t>PN1CAD2H1P充填</t>
  </si>
  <si>
    <t>PN1CAD2K1P</t>
  </si>
  <si>
    <t>PN1CAD2K1</t>
  </si>
  <si>
    <t>極效積雪草B5舒敏修護精華-特規100ML</t>
  </si>
  <si>
    <t>泵浦式充填/黃管/手拿管
or定量缸充填/粗抽料管
自動鎖蓋機</t>
  </si>
  <si>
    <t>PN1CAD2K1P排瓶</t>
  </si>
  <si>
    <t>700(1-1-1)*
(充-放鎖-入箱)</t>
  </si>
  <si>
    <t>PN1CAD2K1P充填</t>
  </si>
  <si>
    <t>PN1CAE1D1</t>
  </si>
  <si>
    <t>1000(0.8-1.3-0.9-1)*
(充-鎖-入袋-入箱)</t>
  </si>
  <si>
    <t>噴印軟管背部上方置中
入3斤袋(12pcs/袋)
入袋後排成1列，避免噴印墨水相互沾染</t>
  </si>
  <si>
    <t>PN1CAE1D1N充填</t>
  </si>
  <si>
    <t>PN1CAE1H1</t>
  </si>
  <si>
    <t>PN1CAE1H1P充填</t>
  </si>
  <si>
    <t>PN1CAE2H1</t>
  </si>
  <si>
    <t>泵浦式
黃管
充填速度12回流量9</t>
  </si>
  <si>
    <t>420(0.8-0.6-0.5-0.5)*
(充-貼-鎖-入箱)</t>
  </si>
  <si>
    <t>噴印背面上方
請製造以白桶分裝</t>
  </si>
  <si>
    <t>PN1CAE2H1P充填</t>
  </si>
  <si>
    <t>PN1CAE3H1</t>
  </si>
  <si>
    <t>2000(1)
(上蓋墊片)</t>
  </si>
  <si>
    <t>PN1CAE3H1P前置</t>
  </si>
  <si>
    <t>PN1CAE3H1P排瓶</t>
  </si>
  <si>
    <t>700(1-1.1-1-0.5)*
(充-墊片-鎖蓋-入箱)</t>
  </si>
  <si>
    <t>PN1CAE3H1P充填</t>
  </si>
  <si>
    <t>PN1CAE4H1</t>
  </si>
  <si>
    <t>噴印瓶底
壓頭要正面對正面</t>
  </si>
  <si>
    <t>PN1CAE4H1P排瓶</t>
  </si>
  <si>
    <t>900(1-1.1-1-0.8)*
(充-放壓頭-壓頭轉正上蓋-上蓋入箱)</t>
  </si>
  <si>
    <t>PN1CAE4H1P充填</t>
  </si>
  <si>
    <t>PN1CED1F1</t>
  </si>
  <si>
    <t>29(B0AA)
30.4(B0BA)</t>
  </si>
  <si>
    <t>泵浦式
白管
手拿管
抽料管
自動鎖蓋機</t>
  </si>
  <si>
    <t>噴印瓶底
避免滴管放入後溢料</t>
  </si>
  <si>
    <t>PN1CED1F1P排瓶</t>
  </si>
  <si>
    <t>1400(0.9-1.3-0.6-1.2)*
(充-放鎖-噴-入箱)</t>
  </si>
  <si>
    <t>PN1CED1F1P充填</t>
  </si>
  <si>
    <t>PN1CED2F1</t>
  </si>
  <si>
    <t>玻璃瓶膠帽滴管</t>
  </si>
  <si>
    <t>PN1CED2F1P排瓶</t>
  </si>
  <si>
    <t>1000(4)
(充填-放上蓋-鎖蓋噴印-入箱)</t>
  </si>
  <si>
    <t>PN1CED2F1P充填</t>
  </si>
  <si>
    <t>PN1CEF1D1</t>
  </si>
  <si>
    <t>氣壓式首選
齒輪式次選(反轉關閉/充填速度150)
啟益</t>
  </si>
  <si>
    <t>900(0.9-1-1.1-0.5)*
(充-塞-鎖-入箱)</t>
  </si>
  <si>
    <t>噴印軟管背部上方置中
氣壓式充填參數
(小定量缸/充填中等速度/泵浦式出料管7.1mm)</t>
  </si>
  <si>
    <t>PN1CEF1D1P充填</t>
  </si>
  <si>
    <t>PN1EXD1F1</t>
  </si>
  <si>
    <t>PN1EXD1F1P排瓶</t>
  </si>
  <si>
    <t>PN1EXD1F1P充填</t>
  </si>
  <si>
    <t>PN1EXD1F2P</t>
  </si>
  <si>
    <t>PN1EXD1F2</t>
  </si>
  <si>
    <t>超未來外泌體時空精華-公關禮盒30ML</t>
  </si>
  <si>
    <t>PN1EXD1F2P排瓶</t>
  </si>
  <si>
    <t>PN1EXD1F2P充填</t>
  </si>
  <si>
    <t>PN1EXD2F1</t>
  </si>
  <si>
    <t>玻璃膠帽滴管</t>
  </si>
  <si>
    <t>PN1EXD2F1P排瓶</t>
  </si>
  <si>
    <t>PN1EXD2F1P充填</t>
  </si>
  <si>
    <t>PN1EXD3F1</t>
  </si>
  <si>
    <t>泵浦式
黃管
圓盤式自動充填機
夾瓶輸送帶</t>
  </si>
  <si>
    <t>透明棕色瓶/無印刷
18牙白色亮面-旋蓋
(泵浦式速度19
自動充填速度80
理瓶轉盤50/充填轉盤40
鎖蓋扭力70(人工放蓋)
過濾用200目鐵網
噴印機參數(產品長度62)
可解決兩罐過密噴印時漏噴印狀況)</t>
  </si>
  <si>
    <t>PN1EXD3F1P排瓶</t>
  </si>
  <si>
    <t>[圓盤式自動充填鎖蓋機x1&amp;夾瓶輸送帶x1&amp;噴印機x1]</t>
  </si>
  <si>
    <t>750(1-0.5)*
(放蓋-入箱)</t>
  </si>
  <si>
    <t>PN1HAA3N1</t>
  </si>
  <si>
    <t>噴印瓶底
鎖瓶時牙口必須乾燥</t>
  </si>
  <si>
    <t>PN1HAA3N1P排瓶</t>
  </si>
  <si>
    <t>450(1-1.3-0.8)*
(充-上壓頭&amp;鎖&amp;噴印-入箱)</t>
  </si>
  <si>
    <t>PN1HAA3N1P充填</t>
  </si>
  <si>
    <t>PN1HAA3N3P</t>
  </si>
  <si>
    <t>PN1HAA3N3</t>
  </si>
  <si>
    <t>入箱前目檢由3秒調為5秒
噴印瓶底
鎖瓶時牙口必須乾燥</t>
  </si>
  <si>
    <t>PN1HAA3N3P充填</t>
  </si>
  <si>
    <t>PN1HAA5N1</t>
  </si>
  <si>
    <t>PN1HAA5N1P排瓶</t>
  </si>
  <si>
    <t>450(1-0.5-0.5-1)*
(充-上壓頭-鎖&amp;噴印-入箱)</t>
  </si>
  <si>
    <t>PN1HAA5N1P充填</t>
  </si>
  <si>
    <t>單管泵浦式
雙管泵浦式
白管
自動鎖蓋機
夾瓶輸送帶</t>
  </si>
  <si>
    <t>[雙管泵浦式充填機x1、泵浦式充填機x1&amp;噴印機x1]</t>
  </si>
  <si>
    <t>700(1.5-0.7-0.6-1.2)
(充-上壓頭-鎖&amp;噴印-入箱)</t>
  </si>
  <si>
    <t>PN1HAB3P0</t>
  </si>
  <si>
    <t>PN1HAB3P0P排瓶</t>
  </si>
  <si>
    <t>500(1-0.5-0.8-0.9)*
(充-上丫頭-鎖-入箱)</t>
  </si>
  <si>
    <t>PN1HAB3P0P充填</t>
  </si>
  <si>
    <t>PN1HAB4P1</t>
  </si>
  <si>
    <t>PN1HAB4P1P排瓶</t>
  </si>
  <si>
    <t>500(1-0.5-0.8-0.9)
(充-上丫頭-鎖-入箱)</t>
  </si>
  <si>
    <t>PN1HAB4P1P充填</t>
  </si>
  <si>
    <t>PN1HAC3N1</t>
  </si>
  <si>
    <t>PN1HAC3N1P排瓶</t>
  </si>
  <si>
    <t>700(1-0.5-1.5-1)*(QS數據)
(充-塞-鎖-入箱)</t>
  </si>
  <si>
    <t>PN1HAC3N1P充填</t>
  </si>
  <si>
    <t>PN1HAD2F1</t>
  </si>
  <si>
    <t>29.7(B0BA)
30(B0AA)</t>
  </si>
  <si>
    <t>泵浦式
黃管
手拿管
自動鎖蓋機
夾瓶輸送帶
啟益噴印</t>
  </si>
  <si>
    <t>PN1HAD2F1P排瓶</t>
  </si>
  <si>
    <t>1400(0.7-0.5-1.2-0.6)*
(充-放滴管-鎖放噴印-入箱)</t>
  </si>
  <si>
    <t>PN1HAD2F1P充填</t>
  </si>
  <si>
    <t>PN1HAD2L1</t>
  </si>
  <si>
    <t>齒輪式充填/抽料管首選
大台定量缸/粗抽料管次選
自動鎖蓋機</t>
  </si>
  <si>
    <t>噴印瓶底,對齊瓶器正面
玻璃矮胖瓶器</t>
  </si>
  <si>
    <t>PN1HAD2L1P排瓶</t>
  </si>
  <si>
    <t>700(1-1-1-1)*
(充-鎖-噴-入箱)</t>
  </si>
  <si>
    <t>PN1HAD2L1P充填</t>
  </si>
  <si>
    <t>PN1HAD4C1</t>
  </si>
  <si>
    <t>玻尿酸超導潤澤精華-特規10ML</t>
  </si>
  <si>
    <t>泵浦式
黃管
手拿管
小噴印機</t>
  </si>
  <si>
    <t>1050(0.75-1.3-1.25-0.7)*
(充-塞-鎖-入箱)</t>
  </si>
  <si>
    <t>1050</t>
  </si>
  <si>
    <t>噴印軟管尾端</t>
  </si>
  <si>
    <t>PN1HAD4C1P充填</t>
  </si>
  <si>
    <t>PN1HAD4F1</t>
  </si>
  <si>
    <t>泵浦式
自動鎖蓋機
黃管
手拿管
夾瓶輸送帶
啟益噴印機</t>
  </si>
  <si>
    <t>噴印瓶底
藍色霧面玻璃印刷瓶</t>
  </si>
  <si>
    <t>PN1HAD4F1P排瓶</t>
  </si>
  <si>
    <t>1200(0.9-0.5-1.5-1.1)*
(充-放鎖-放噴印-入箱)</t>
  </si>
  <si>
    <t>PN1HAD4F1P充填</t>
  </si>
  <si>
    <t>PN1HAD5B1</t>
  </si>
  <si>
    <t>泵浦式
黃管
手拿管
抽料管</t>
  </si>
  <si>
    <t>PN1HAD5B1P排瓶</t>
  </si>
  <si>
    <t>2000(0.6-2.5-0.9)*
(充-鎖-入箱)</t>
  </si>
  <si>
    <t>PN1HAD5B1P充填</t>
  </si>
  <si>
    <t>PN1HAD5F1</t>
  </si>
  <si>
    <t>泵浦式
黃管
手拿管
抽料管
自動鎖蓋機
夾瓶輸送帶</t>
  </si>
  <si>
    <t>PN1HAD5F1P排瓶</t>
  </si>
  <si>
    <t>1200(0.9-0.5-0.7-0.8)*
(充-放滴管-放鎖蓋機-入箱)</t>
  </si>
  <si>
    <t>PN1HAD5F1P充填</t>
  </si>
  <si>
    <t>PN1HAD5H1</t>
  </si>
  <si>
    <t>PN1HAD5H1P排瓶</t>
  </si>
  <si>
    <t>1300(1-0.9-0.8)*
(充-放滴管鎖-入箱)</t>
  </si>
  <si>
    <t>PN1HAD5H1P充填</t>
  </si>
  <si>
    <t>PN1HAD6F1</t>
  </si>
  <si>
    <t>PN1HAD6F1P排瓶</t>
  </si>
  <si>
    <t>PN1HAD6F1P充填</t>
  </si>
  <si>
    <t>PN1HAE2C2P</t>
  </si>
  <si>
    <t>PN1HAE2C2</t>
  </si>
  <si>
    <t>玻尿酸保濕滲透乳液10ml</t>
  </si>
  <si>
    <t>1100(0.9-1.1-1)
(充-鎖-入箱)</t>
  </si>
  <si>
    <t>噴印:瓶背上方</t>
  </si>
  <si>
    <t>PN1HAE2C2P充填</t>
  </si>
  <si>
    <t>PN1HAE2F2P</t>
  </si>
  <si>
    <t>PN1HAE2F2</t>
  </si>
  <si>
    <t>玻尿酸保濕滲透乳液</t>
  </si>
  <si>
    <t>泵浦式
黃管
料斗
自動鎖蓋機
夾瓶輸送帶</t>
  </si>
  <si>
    <t>PN1HAE2F2P排瓶</t>
  </si>
  <si>
    <t>1200(1-1.1-0.8-0.4)*
(充-放鎖-蓋噴-入箱)</t>
  </si>
  <si>
    <t>PN1HAE2F2P充填</t>
  </si>
  <si>
    <t>PN1HAE2H2</t>
  </si>
  <si>
    <t>氣壓式
(大氣壓也可)
自動鎖蓋機
夾瓶輸送帶
啟益噴印機</t>
  </si>
  <si>
    <t>1600(1)*
(組內塞)</t>
  </si>
  <si>
    <t>PN1HAE2H2P前置</t>
  </si>
  <si>
    <t>PN1HAE2H2P排瓶</t>
  </si>
  <si>
    <t>[定量缸式充填機x1&amp;自動鎖蓋機x1&amp;夾瓶輸送帶*1&amp;啟益噴印機x1]</t>
  </si>
  <si>
    <t>1000(1-0.6-0.6-0.5)*
(充-自動鎖-蓋-入箱)</t>
  </si>
  <si>
    <t>PN1HAE2H2P充填</t>
  </si>
  <si>
    <t>PN1HAE2M2</t>
  </si>
  <si>
    <t>小台定量缸充填機(首選)
大台定量缸充填機(次選)
自動鎖蓋機</t>
  </si>
  <si>
    <t>PN1HAE2M2P排瓶</t>
  </si>
  <si>
    <t>750(1.2-0.8-0.8-1.2)*
(充-放壓頭-上蓋噴印-入箱)</t>
  </si>
  <si>
    <t>PN1HAE2M2P充填</t>
  </si>
  <si>
    <t>PN1HAE2M2N</t>
  </si>
  <si>
    <t>PN1HAE2M2N排瓶</t>
  </si>
  <si>
    <t>PN1HAE2M2N充填</t>
  </si>
  <si>
    <t>PN1HAE4H2</t>
  </si>
  <si>
    <t>2000(1)*
(放墊片)</t>
  </si>
  <si>
    <t>噴印瓶底，斜充正面不要有泡
充填出料管靠近瓶器正面logo</t>
  </si>
  <si>
    <t>PN1HAE4H2P前置</t>
  </si>
  <si>
    <t>PN1HAE4H2P排瓶</t>
  </si>
  <si>
    <t>900(1-2-1)*
上蓋需固定放在tray盤方便充填產線邊放墊片邊鎖蓋噴印</t>
  </si>
  <si>
    <t>PN1HAE4H2P充填</t>
  </si>
  <si>
    <t>PN1HAE5H1</t>
  </si>
  <si>
    <t>氣壓式
齒輪式也可
料斗</t>
  </si>
  <si>
    <t>PN1HAE5H1P排瓶</t>
  </si>
  <si>
    <t>750(1-1.2-1-0.5)*
(充-墊-鎖-入箱)</t>
  </si>
  <si>
    <t>PN1HAE5H1P充填</t>
  </si>
  <si>
    <t>PN1HAE6F1P</t>
  </si>
  <si>
    <t>PN1HAE6F1</t>
  </si>
  <si>
    <t>玻尿酸保濕水平衡滲透乳-特規30ML</t>
  </si>
  <si>
    <t>氣壓式
料斗
自動鎖蓋機
夾瓶輸送帶
啟益噴印機</t>
  </si>
  <si>
    <t>PN1HAE6F1P排瓶</t>
  </si>
  <si>
    <t>800(4)
(充-鎖-蓋-噴印-入箱)</t>
  </si>
  <si>
    <t>PN1HAE6F1P充填</t>
  </si>
  <si>
    <t>PN1HAE6H1</t>
  </si>
  <si>
    <t>PN1HAE6H1P排瓶</t>
  </si>
  <si>
    <t>1100(1-1-1-0.9)
(充-放鎖-蓋噴-入箱)</t>
  </si>
  <si>
    <t>PN1HAE6H1P充填</t>
  </si>
  <si>
    <t>PN1HAE6M1P</t>
  </si>
  <si>
    <t>PN1HAE6M1</t>
  </si>
  <si>
    <t>玻尿酸保濕水平衡滲透乳-盒裝150ML</t>
  </si>
  <si>
    <t>PN1HAE6M1P排瓶</t>
  </si>
  <si>
    <t>600(4)
(充-鎖-蓋-噴印-入箱)</t>
  </si>
  <si>
    <t>PN1HAE6M1P充填</t>
  </si>
  <si>
    <t>PN1HAE7H1</t>
  </si>
  <si>
    <t>氣壓式充填機
齒輪式充填機
料斗
夾瓶輸送帶
啟益噴印機</t>
  </si>
  <si>
    <t>噴印瓶底
玻璃霜瓶</t>
  </si>
  <si>
    <t>PN1HAE7H1P排瓶</t>
  </si>
  <si>
    <t>780(1-0.9-0.8-0.3)*
(充-墊-鎖-入箱)</t>
  </si>
  <si>
    <t>PN1HAE7H1P充填</t>
  </si>
  <si>
    <t>PN1HAF3G1</t>
  </si>
  <si>
    <t>氣壓式
小定量缸
可用齒輪式充填機</t>
  </si>
  <si>
    <t>800(1.2-1-1-0.8)
(充-塞-鎖-入箱)</t>
  </si>
  <si>
    <t>PN1HAF3G1P充填</t>
  </si>
  <si>
    <t>PN1LBQ1F1N</t>
  </si>
  <si>
    <t>PN1LBQ1F1</t>
  </si>
  <si>
    <t>癒創木絨花沐浴露30ml</t>
  </si>
  <si>
    <t>650(1-0.7-0.5-0.5)*
(充-鎖蓋-防偽貼-入箱)</t>
  </si>
  <si>
    <t>軟管
齒輪式充填
(充填速度500/回流量5)
製造要用100目鐵網過濾出料(減少內料的塊狀物)</t>
  </si>
  <si>
    <t>PN1LBQ1F1N充填</t>
  </si>
  <si>
    <t>PN1LBQ1R1P</t>
  </si>
  <si>
    <t>PN1LBQ1R1</t>
  </si>
  <si>
    <t>癒創木絨花沐浴露500ML</t>
  </si>
  <si>
    <t>齒輪式
大氣壓式(次選)
粗抽料管</t>
  </si>
  <si>
    <t>噴印瓶底
清晰可辨視
齒輪式充填機
(充填速度500)
製造完需要一週時間以上消泡再充填</t>
  </si>
  <si>
    <t>PN1LBQ1R1P排瓶</t>
  </si>
  <si>
    <t>280(1-0.5-0.5)*
(充-鎖-入箱)</t>
  </si>
  <si>
    <t>PN1LBQ1R1P充填</t>
  </si>
  <si>
    <t>PN1LBQ1W1</t>
  </si>
  <si>
    <t>齒輪式(首選)
大氣壓式</t>
  </si>
  <si>
    <t>塑膠桶+貼標
製造要用100目鐵網過濾出料(減少內料的塊狀物)</t>
  </si>
  <si>
    <t>PN1LBQ1W1N排瓶</t>
  </si>
  <si>
    <t>70(1-0.2-0.3)*
(充&amp;鎖-貼-入箱)</t>
  </si>
  <si>
    <t>PN1LBQ1W1N充填</t>
  </si>
  <si>
    <t>PN1LBQ2Q1P</t>
  </si>
  <si>
    <t>PN1LBQ2Q1</t>
  </si>
  <si>
    <t>蒼松木蘭潔手露350ML</t>
  </si>
  <si>
    <t>齒輪式
大台定量缸充填(次選)
粗抽料管</t>
  </si>
  <si>
    <t>噴印瓶底
清晰可辨視
齒輪式充填
(充填速度500)
製造完需要一週時間以上消泡再充填
不能用自動鎖蓋機(夾壞瓶身)</t>
  </si>
  <si>
    <t>PN1LBQ2Q1P排瓶</t>
  </si>
  <si>
    <t>350(1-0.5-0.5)*
(充-鎖-入箱)</t>
  </si>
  <si>
    <t>PN1LBQ2Q1P充填</t>
  </si>
  <si>
    <t>PN1LBQ2W1</t>
  </si>
  <si>
    <t>塑膠桶+貼標</t>
  </si>
  <si>
    <t>PN1LBQ2W1N排瓶</t>
  </si>
  <si>
    <t>20(1-0.2-0.3)*
(充&amp;鎖-貼-入箱)</t>
  </si>
  <si>
    <t>PN1LBQ2W1N充填</t>
  </si>
  <si>
    <t>PN1MAB1K1</t>
  </si>
  <si>
    <t xml:space="preserve">齒輪式(小型氣壓式)
</t>
  </si>
  <si>
    <t>噴印瓶背
Direction 上方空白處
齒輪式充填機
(充填速度300反轉關掉/止逆零件不裝)
料體太硬機器易跳異常</t>
  </si>
  <si>
    <t>PN1MAB1K1P充填</t>
  </si>
  <si>
    <t>PN1MAD1F1</t>
  </si>
  <si>
    <t>31(B0AA)
33(B0BA)</t>
  </si>
  <si>
    <t>噴印瓶底
牙口嚴禁沾到料</t>
  </si>
  <si>
    <t>PN1MAD1F1P排瓶</t>
  </si>
  <si>
    <t>1100(0.9-0.7-1.2-1.1)*
(充填-放上蓋-鎖蓋噴印-入箱)</t>
  </si>
  <si>
    <t>PN1MAD1F1P充填</t>
  </si>
  <si>
    <t>PN1MAF1E1</t>
  </si>
  <si>
    <t>[定量缸式充填機x1&amp;小噴印機x1]</t>
  </si>
  <si>
    <t>氣壓式
小噴印機</t>
  </si>
  <si>
    <t>1000(1-1-1-1)*
(充-塞-鎖-入箱)</t>
  </si>
  <si>
    <t>PN1MAF1E1P充填</t>
  </si>
  <si>
    <t>PN1N2F1Q1</t>
  </si>
  <si>
    <t>大型氣壓式
X</t>
  </si>
  <si>
    <t>PN1N2F1Q1P排瓶</t>
  </si>
  <si>
    <t>480(1.5-0.6-0.9-1)*
(充-墊-鎖-入箱)</t>
  </si>
  <si>
    <t>PN1N2F1Q1P充填</t>
  </si>
  <si>
    <t>PN1PRD1B1P</t>
  </si>
  <si>
    <t>PN1PRD1B1</t>
  </si>
  <si>
    <t>5酸拋光澎亮精華-特規5ML</t>
  </si>
  <si>
    <t>2900(1)*</t>
  </si>
  <si>
    <t>PN1PRD1B1P排瓶</t>
  </si>
  <si>
    <t>1150(0.5-1.5-1)*
(充-鎖-入箱)</t>
  </si>
  <si>
    <t>1150</t>
  </si>
  <si>
    <t>PN1PRD1B1P充填</t>
  </si>
  <si>
    <t>PN1PRD1D1</t>
  </si>
  <si>
    <t>PN1PRD1D1P排瓶</t>
  </si>
  <si>
    <t>1200(0.8-0.4-1.8-0.7)*
(充-放滴管-鎖-入箱)</t>
  </si>
  <si>
    <t>PN1PRD1D1P充填</t>
  </si>
  <si>
    <t>PN1PRD1F1</t>
  </si>
  <si>
    <t>PN1PRD1F1P排瓶</t>
  </si>
  <si>
    <t>[泵浦式充填機*1、自動鎖蓋機*1、夾瓶輸送帶*1、噴印機*1-架線90min]</t>
  </si>
  <si>
    <t>1350(1-0.6-1-0.8)*
(充-放滴管-鎖噴-入箱)</t>
  </si>
  <si>
    <t>PN1PRD1F1P充填</t>
  </si>
  <si>
    <t>PN1PRD2F1</t>
  </si>
  <si>
    <t>噴印瓶底
玻璃瓶+NBR白膠帽滴管</t>
  </si>
  <si>
    <t>PN1PRD2F1P排瓶</t>
  </si>
  <si>
    <t>1300(1-1-1)*
(充-放滴管鎖-入箱)</t>
  </si>
  <si>
    <t>PN1PRD2F1P充填</t>
  </si>
  <si>
    <t>PN1PRD3F1</t>
  </si>
  <si>
    <t>PN1PRD3F1P排瓶</t>
  </si>
  <si>
    <t>PN1PRD3F1P充填</t>
  </si>
  <si>
    <t>PN1PRF3H1</t>
  </si>
  <si>
    <t>氣壓式
X
啟益噴印機
夾瓶輸送帶</t>
  </si>
  <si>
    <t>PN1PRF3H1P排瓶</t>
  </si>
  <si>
    <t>[定量缸式充填機x1&amp;夾瓶輸送帶x1&amp;啟益噴印機x1]</t>
  </si>
  <si>
    <t>1200(1.5-0.45-1.4-0.65)*
(充-墊-鎖-入箱)</t>
  </si>
  <si>
    <t>PN1PRF3H1P充填</t>
  </si>
  <si>
    <t>PN1PRF4D1</t>
  </si>
  <si>
    <t>1150(1-1.1-1.1-0.6)*
(充-內塞-鎖蓋-入箱)</t>
  </si>
  <si>
    <t>軟管+尖嘴內塞+旋蓋
只能用氣壓充填
泵浦式充填量不穩</t>
  </si>
  <si>
    <t>PN1PRF4D1P充填</t>
  </si>
  <si>
    <t>PN1PRF5H1</t>
  </si>
  <si>
    <t>氣壓式
齒輪式次選
啟益噴印機
夾瓶輸送帶</t>
  </si>
  <si>
    <t>噴印瓶底
玻璃霜瓶+感壓墊片+上蓋</t>
  </si>
  <si>
    <t>PN1PRF5H1P排瓶</t>
  </si>
  <si>
    <t>850(1-0.3-1.1-0.6)*
(充-墊-鎖-入箱)</t>
  </si>
  <si>
    <t>PN1PRF5H1P充填</t>
  </si>
  <si>
    <t>PN1REC1M1</t>
  </si>
  <si>
    <t>玻璃瓶
電鍍，須戴手套
噴印瓶底
首選雙管充填/粗抽料管
次選小定量缸充填/粗抽料管
單管泵浦/齒輪式充填量不穩不能充</t>
  </si>
  <si>
    <t>PN1REC1M1P排瓶</t>
  </si>
  <si>
    <t>600(1-0.3-0.8-1-0.7)*
(充-塞-蓋-鎖-入箱)</t>
  </si>
  <si>
    <t>PN1REC1M1P充填</t>
  </si>
  <si>
    <t>PN1REC2M1</t>
  </si>
  <si>
    <t>齒輪式首選
雙管式泵浦次選
桌上型壓蓋機</t>
  </si>
  <si>
    <t>紫色霧面真空瓶+內塞+白色旋蓋
齒輪式(速度500/反轉1)</t>
  </si>
  <si>
    <t>PN1REC2M1P排瓶</t>
  </si>
  <si>
    <t>[齒輪式充填機x1&amp;桌上型壓蓋機x1&amp;噴印機x1]</t>
  </si>
  <si>
    <t>700(1-0.8-0.6-0.5)*
(充-塞-鎖-入箱)</t>
  </si>
  <si>
    <t>PN1REC2M1P充填</t>
  </si>
  <si>
    <t>PN1REC3M1</t>
  </si>
  <si>
    <t>雙管泵浦式(首選)
單管泵浦(次選)
白管
自動鎖蓋機</t>
  </si>
  <si>
    <t>出料口裝200鐵網 
抽料管不裝濾網</t>
  </si>
  <si>
    <t>噴印瓶底
雙管泵浦充填出料口長9.5MM
雙管充填速度10
單管充填速度16
玻璃透明棕色漸層瓶身
中孔內塞
內蓋PP+外蓋ABS/電鍍亮面金
須戴手套</t>
  </si>
  <si>
    <t>PN1REC3M1P排瓶</t>
  </si>
  <si>
    <t>700(1-0.9-1-1)*
(充-塞-鎖-入箱)</t>
  </si>
  <si>
    <t>PN1REC3M1P充填</t>
  </si>
  <si>
    <t>PN1RED1C1</t>
  </si>
  <si>
    <t>1000(0.7-1.1-1.2-0.9)*
(充-塞-鎖-入箱)</t>
  </si>
  <si>
    <t>PN1RED1C1P充填</t>
  </si>
  <si>
    <t>PN1RED1F1</t>
  </si>
  <si>
    <t>PN1RED1F1P排瓶</t>
  </si>
  <si>
    <t>1100(0.8-1-1.1-1)*
(充-鎖-蓋-入箱)</t>
  </si>
  <si>
    <t>PN1RED1F1P充填</t>
  </si>
  <si>
    <t>PN1RED2B1</t>
  </si>
  <si>
    <t>塑膠T瓶
中環蓋頭尖上蓋</t>
  </si>
  <si>
    <t>PN1RED2B1P排瓶</t>
  </si>
  <si>
    <t>1700(0.5-1.7-0.8)*
(充-鎖&amp;噴印-入箱)</t>
  </si>
  <si>
    <t>PN1RED2B1P充填</t>
  </si>
  <si>
    <t>PN1RED2F1</t>
  </si>
  <si>
    <t>泵浦式
手拿管
黃管
料斗
自動鎖蓋機
夾瓶輸送帶</t>
  </si>
  <si>
    <t>玻璃滴管瓶
電鍍，須戴手套
噴印瓶底</t>
  </si>
  <si>
    <t>PN1RED2F1P排瓶</t>
  </si>
  <si>
    <t>PN1RED2F1P充填</t>
  </si>
  <si>
    <t>PN1RED3F1</t>
  </si>
  <si>
    <t>PN1RED3F1P排瓶</t>
  </si>
  <si>
    <t>1300(1-1-1-1)*
(充-放壓頭鎖-上蓋噴印-上蓋入箱)</t>
  </si>
  <si>
    <t>PN1RED3F1P充填</t>
  </si>
  <si>
    <t>PN1RED4B1</t>
  </si>
  <si>
    <t>棕色點密瓶
中環蓋頭+尖上蓋(PP白色亮面)</t>
  </si>
  <si>
    <t>PN1RED4B1P排瓶</t>
  </si>
  <si>
    <t>1700(0.5-1.7-0.8)
(充-鎖&amp;噴印-入箱)</t>
  </si>
  <si>
    <t>PN1RED4B1P充填</t>
  </si>
  <si>
    <t>PN1RED4F1</t>
  </si>
  <si>
    <t>玻璃透明棕色漸層滴管瓶
NBR白色霧面膠帽/18牙氧化金亮面中束
電鍍，須戴手套
噴印瓶底
可用圓盤自動充填機</t>
  </si>
  <si>
    <t>PN1RED4F1P排瓶</t>
  </si>
  <si>
    <t>1500(0.8-1.3-0.8)*
(充-放滴管鎖-入箱)</t>
  </si>
  <si>
    <t>PN1RED4F1P充填</t>
  </si>
  <si>
    <t>[圓盤式自動充填機x1&amp;夾瓶輸送帶x1噴印機x1]</t>
  </si>
  <si>
    <t>700(1-0.5)*
(充-入箱)</t>
  </si>
  <si>
    <t>PN1REE1C1</t>
  </si>
  <si>
    <t>1.8%超效逆時A醇精華-特規10ML</t>
  </si>
  <si>
    <t>泵浦式
黃管
小噴印機</t>
  </si>
  <si>
    <t>1000(0.7-1.1-1.2-0.8)*
(充-塞-鎖-入箱)</t>
  </si>
  <si>
    <t>PN1REE1C1P充填</t>
  </si>
  <si>
    <t>PN1REE1F1</t>
  </si>
  <si>
    <t>噴印瓶底，避開洞</t>
  </si>
  <si>
    <t>PN1REE1F1P排瓶</t>
  </si>
  <si>
    <t>1300(1-0.9-0.9-0.9)*
(充-鎖-蓋-入箱)</t>
  </si>
  <si>
    <t>PN1REE1F1P充填</t>
  </si>
  <si>
    <t>PN1REE1H1</t>
  </si>
  <si>
    <t>PN1REE1H1P排瓶</t>
  </si>
  <si>
    <t>1100(1-0.5-1.2-0.91)
(充-鎖-蓋-入箱)</t>
  </si>
  <si>
    <t>PN1REE1H1P充填</t>
  </si>
  <si>
    <t>PN1REE2F1</t>
  </si>
  <si>
    <t>PN1REE2F1P排瓶</t>
  </si>
  <si>
    <t>850(0.95-0.4-1-0.7)*
(充-放壓頭-壓壓頭噴印-入箱)</t>
  </si>
  <si>
    <t>PN1REE2F1P充填</t>
  </si>
  <si>
    <t>PN1REE3H1</t>
  </si>
  <si>
    <t>齒輪式
夾瓶輸送帶
啟益噴印機</t>
  </si>
  <si>
    <t>玻璃霜瓶
電鍍，須戴手套
噴印瓶底
齒輪式充填首選
定量缸充填次選</t>
  </si>
  <si>
    <t>PN1REE3H1P排瓶</t>
  </si>
  <si>
    <t>900(1-0.8-1.2-1)*
(充-墊片-鎖蓋-入箱)</t>
  </si>
  <si>
    <t>PN1REE3H1P充填</t>
  </si>
  <si>
    <t>PN1REE4B1P</t>
  </si>
  <si>
    <t>PN1REE4B1</t>
  </si>
  <si>
    <t>1.8%超效逆時A醇精華-特規5ML</t>
  </si>
  <si>
    <t>點密瓶
中環蓋頭尖上蓋</t>
  </si>
  <si>
    <t>PN1REE4B1P排瓶</t>
  </si>
  <si>
    <t>1500(0.8-1.5-0.6)*
(充-鎖&amp;噴印-入箱)</t>
  </si>
  <si>
    <t>PN1REE4B1P充填</t>
  </si>
  <si>
    <t>PN1REE4F1</t>
  </si>
  <si>
    <t>PN1REE4F1P排瓶</t>
  </si>
  <si>
    <t>1400(1-1-1-1)*
(充-放壓頭鎖-上蓋噴印-上蓋入箱)</t>
  </si>
  <si>
    <t>PN1REE4F1P充填</t>
  </si>
  <si>
    <t>PN1REE4H1P</t>
  </si>
  <si>
    <t>PN1REE4H1</t>
  </si>
  <si>
    <t>PN1REE4H1P排瓶</t>
  </si>
  <si>
    <t>PN1REE4H1P充填</t>
  </si>
  <si>
    <t>PN1REE5C1P</t>
  </si>
  <si>
    <t>PN1REE5C1</t>
  </si>
  <si>
    <t>0.5%穩膚煥采A醇修護乳-特規10ML</t>
  </si>
  <si>
    <t>1400(1-1.2-0.7)*
(充-鎖-入箱)</t>
  </si>
  <si>
    <t>軟管紫色霧面
噴印瓶身背面上方</t>
  </si>
  <si>
    <t>PN1REE5C1P充填</t>
  </si>
  <si>
    <t>PN1REE5F1P</t>
  </si>
  <si>
    <t>PN1REE5F1</t>
  </si>
  <si>
    <t>0.5%穩膚煥采A醇修護乳-特規25ML</t>
  </si>
  <si>
    <t>1000(1-1-1)
(充-鎖-入箱)</t>
  </si>
  <si>
    <t>PN1REE5F1P充填</t>
  </si>
  <si>
    <t>PN1REE5H1</t>
  </si>
  <si>
    <t>PN1REE5H1P排瓶</t>
  </si>
  <si>
    <t>PN1REE5H1P充填</t>
  </si>
  <si>
    <t>PN1REE6H1</t>
  </si>
  <si>
    <t>齒輪式
夾瓶輸送帶
噴印機</t>
  </si>
  <si>
    <t>玻璃玻璃透明棕色漸層霜瓶
感壓墊片
ABS亮面電鍍金/2mm點膠覆膜墊片
須戴手套</t>
  </si>
  <si>
    <t>PN1REE6H1P排瓶</t>
  </si>
  <si>
    <t>[齒輪式充填機x1&amp;噴印機x1]</t>
  </si>
  <si>
    <t>700(1-1.8-0.7-0.5)*
(充-拆小袋子放墊片-鎖蓋噴印-入箱)</t>
  </si>
  <si>
    <t>PN1REE6H1P充填</t>
  </si>
  <si>
    <t>PN1REF1D1</t>
  </si>
  <si>
    <t>1.按摩頭凹槽對齊軟管正面
2.噴印於軟管背面尾端</t>
  </si>
  <si>
    <t>PN1REF1D1P充填</t>
  </si>
  <si>
    <t>PN1REF2F1</t>
  </si>
  <si>
    <t>氣壓式
齒輪式次選</t>
  </si>
  <si>
    <t>950(0.8-1-1-1)*
(充-塞-鎖&amp;噴印-入箱)</t>
  </si>
  <si>
    <t>軟管
電鍍，須戴手套</t>
  </si>
  <si>
    <t>PN1REF2F1P充填</t>
  </si>
  <si>
    <t>PN1REF3E1</t>
  </si>
  <si>
    <t>900(0.9-1.5-1-0.6)*
(充-塞-鎖-入箱)</t>
  </si>
  <si>
    <t>PN1REF3E1P充填</t>
  </si>
  <si>
    <t>PN1REF4F1</t>
  </si>
  <si>
    <t>氣壓式
齒輪式次要</t>
  </si>
  <si>
    <t>1100(1-1.1-1.1-0.7)*
(充-塞-鎖&amp;噴印-入箱)</t>
  </si>
  <si>
    <t>棕色燙金軟管+亮面/噴漆漸層
白色PP尖嘴內塞
PP/雙層旋蓋/電鍍亮面金</t>
  </si>
  <si>
    <t>PN1REF4F1P充填</t>
  </si>
  <si>
    <t>PN1SQD1F1</t>
  </si>
  <si>
    <t>25(B0AA)
25.5(B0BA)</t>
  </si>
  <si>
    <t>泵浦式
黃管
自動鎖蓋機
夾瓶噴印機</t>
  </si>
  <si>
    <t>PN1SQD1F1P排瓶</t>
  </si>
  <si>
    <t>1500(0.85-0.56-1.59-0.6)*
(充-放上蓋-機器鎖-入箱)</t>
  </si>
  <si>
    <t>PN1SQD1F1P充填</t>
  </si>
  <si>
    <t>PN1UVH7F2</t>
  </si>
  <si>
    <t>750(0.8-1.3-0.9-1)*
(充-塞-鎖-入箱)</t>
  </si>
  <si>
    <t>瓶身口徑過小的先挑起
若不足量再改用泵浦式充填
噴印於瓶背上方</t>
  </si>
  <si>
    <t>PN1UVH7F2P充填</t>
  </si>
  <si>
    <t>PN1UVH7H2</t>
  </si>
  <si>
    <t>800(1-1-1-1)*
(充-塞-鎖-入箱)</t>
  </si>
  <si>
    <t>噴印瓶背上方</t>
  </si>
  <si>
    <t>PN1UVH7H2P充填</t>
  </si>
  <si>
    <t>PN1UVH8F1P</t>
  </si>
  <si>
    <t>PN1UVH8F1</t>
  </si>
  <si>
    <t>全天候極效抗陽防曬乳 SPF50+ ★★★★ 30ml</t>
  </si>
  <si>
    <t>噴印瓶底(避開回收標誌)</t>
  </si>
  <si>
    <t>PN1UVH8F1P排瓶</t>
  </si>
  <si>
    <t>800(0.7-1-1.3-0.9)*
(充-塞-鎖-入箱)</t>
  </si>
  <si>
    <t>PN1UVH8F1P充填</t>
  </si>
  <si>
    <t>PN1UVH8H1</t>
  </si>
  <si>
    <t>PN1UVH8H1P排瓶</t>
  </si>
  <si>
    <t>900(0.9-0.7-1.3-1.1)*
(充-塞-鎖-入箱)</t>
  </si>
  <si>
    <t>PN1UVH8H1P充填</t>
  </si>
  <si>
    <t>PN1UVH9F1</t>
  </si>
  <si>
    <t>850(0.8-1.3-1-0.9)*
(充-塞-鎖-入箱)</t>
  </si>
  <si>
    <t>噴印軟管背部上方置中</t>
  </si>
  <si>
    <t>PN1UVH9F1P充填</t>
  </si>
  <si>
    <t>PN1UVHAH1</t>
  </si>
  <si>
    <t>啟益
氣壓式</t>
  </si>
  <si>
    <t>PN1UVHAH1P充填</t>
  </si>
  <si>
    <t>PN1UVHBH1</t>
  </si>
  <si>
    <t>啟益
泵浦式
黃管</t>
  </si>
  <si>
    <t>PN1UVHBH1P排瓶</t>
  </si>
  <si>
    <t>PN1UVHBH1P充填</t>
  </si>
  <si>
    <t>PN1UVHCF1</t>
  </si>
  <si>
    <t>啟益
氣壓式
X</t>
  </si>
  <si>
    <t>1000(1-1.1-1.1-0.6)*
(充-塞-鎖-入箱)</t>
  </si>
  <si>
    <t>PN1UVHCF1P充填</t>
  </si>
  <si>
    <t>PN1UVHDH1</t>
  </si>
  <si>
    <t>50目鐵網/充一批次換一張</t>
  </si>
  <si>
    <t>860(1-1.03-0.8-0.47)*
(充-塞-鎖-入箱)</t>
  </si>
  <si>
    <t>PN1UVHDH1P充填</t>
  </si>
  <si>
    <t>PN1VCC1M1</t>
  </si>
  <si>
    <t>首選大台氣壓充填(藍桶for抽料管)
齒輪式充填機(出藍桶)
自動鎖蓋機</t>
  </si>
  <si>
    <t>PN1VCC1M1P排瓶</t>
  </si>
  <si>
    <t>[單管泵浦式充填機x1&amp;噴印機x1]</t>
  </si>
  <si>
    <t>700(0.9-1-1.4-0.7)*
(充-塞-拆袋&amp;鎖-入箱)</t>
  </si>
  <si>
    <t>PN1VCC1M1P充填</t>
  </si>
  <si>
    <t>PN1VCD3A2N</t>
  </si>
  <si>
    <t>PN1VCD3A2</t>
  </si>
  <si>
    <t>極透光亮白淡斑精華-試用包2ML</t>
  </si>
  <si>
    <t>PN1VCD3A2N充填</t>
  </si>
  <si>
    <t>PN1VCD3D1</t>
  </si>
  <si>
    <t>含拆貨，一天烘兩輪/每輪2880pcs/每輪3.5hr/1人</t>
  </si>
  <si>
    <t>2880/3hr/輪</t>
  </si>
  <si>
    <t>噴印瓶底
充填速度5</t>
  </si>
  <si>
    <t>PN1VCD3D1P洗瓶</t>
  </si>
  <si>
    <t>PN1VCD3D1P排瓶</t>
  </si>
  <si>
    <t>800(0.7-2.1-1.2)*
(充-鎖+驗+噴-入箱)</t>
  </si>
  <si>
    <t>PN1VCD3D1P充填</t>
  </si>
  <si>
    <t>PN1VCD3D2</t>
  </si>
  <si>
    <t>100目鐵網
200目絹網</t>
  </si>
  <si>
    <t>2880(3.5hr/輪)</t>
  </si>
  <si>
    <t>2880</t>
  </si>
  <si>
    <t>PN1VCD3D2P洗瓶</t>
  </si>
  <si>
    <t>PN1VCD3D2P排瓶</t>
  </si>
  <si>
    <t>1250(0.7-1.5-0.7)*
(充-手鎖滴管-入箱)</t>
  </si>
  <si>
    <t>PN1VCD3D2P充填</t>
  </si>
  <si>
    <t>PN1VCD3F1</t>
  </si>
  <si>
    <t>1664/3hr/輪</t>
  </si>
  <si>
    <t>PN1VCD3F1P洗瓶</t>
  </si>
  <si>
    <t>1235(1)*</t>
  </si>
  <si>
    <t>PN1VCD3F1P排瓶</t>
  </si>
  <si>
    <t>PN1VCD3F1P充填</t>
  </si>
  <si>
    <t>PN1VCD3F2P</t>
  </si>
  <si>
    <t>PN1VCD3F2</t>
  </si>
  <si>
    <t>泵浦式(1、2)
黃管(1、2)
手拿管(1)
自動鎖蓋機(1)
噴印機(1、2)
圓盤式自動線(2)</t>
  </si>
  <si>
    <t>噴印瓶底
[烘箱*1]含拆貨，一天烘兩輪/每輪1664pcs/每輪3hr/1人
(泵浦速度19充填)
圓盤式自動線=泵浦式-手動蓋&amp;自動鎖&amp;噴-入箱</t>
  </si>
  <si>
    <t>PN1VCD3F2P洗瓶</t>
  </si>
  <si>
    <t>PN1VCD3F2P排瓶</t>
  </si>
  <si>
    <t>1400(0.7-0.5-1.2-0.6)*
(充-放滴管-鎖放噴印-入箱)
750(1-0.5)*
(圓盤式自動線)</t>
  </si>
  <si>
    <t>PN1VCD3F2P充填</t>
  </si>
  <si>
    <t>充填1</t>
  </si>
  <si>
    <t>[圓盤式自動充填機x1&amp;泵浦式充填機x1&amp;噴印機x1]</t>
  </si>
  <si>
    <t>750(1-0.5)*
(圓盤式自動線)</t>
  </si>
  <si>
    <t>PN1VCD3F2P充填1</t>
  </si>
  <si>
    <t>PN1VCD3H2P</t>
  </si>
  <si>
    <t>PN1VCD3H2</t>
  </si>
  <si>
    <t>極透光亮白淡斑精華-盒裝50ML</t>
  </si>
  <si>
    <t>900(3.5hr/輪)</t>
  </si>
  <si>
    <t>噴印瓶底
鎖瓶注意吸管勿歪斜
充填速度19/三秒一罐瓶器轉一圈檢驗</t>
  </si>
  <si>
    <t>PN1VCD3H2P洗瓶</t>
  </si>
  <si>
    <t>PN1VCD3H2P排瓶</t>
  </si>
  <si>
    <t>700(0.98-1.11-0.91)*
(充-鎖+檢+噴-入箱)
[烘箱*1]含拆貨，一天烘兩輪/每輪900pcs/每輪3.5hr/1人</t>
  </si>
  <si>
    <t>PN1VCD3H2P充填</t>
  </si>
  <si>
    <t>PN1VCD3K2P洗瓶</t>
  </si>
  <si>
    <t>PN1VCD3K2</t>
  </si>
  <si>
    <t>含拆貨，一天烘三輪/每輪468pcs/每輪3hr/1人</t>
  </si>
  <si>
    <t>175(1)</t>
  </si>
  <si>
    <t>175</t>
  </si>
  <si>
    <t>PN1VCD3K2P洗瓶洗瓶</t>
  </si>
  <si>
    <t>PN1VCD3K2P</t>
  </si>
  <si>
    <t>極透光亮白淡斑精華-特規100ML</t>
  </si>
  <si>
    <t>泵浦式
黃管
手拿管
(或齒輪式+粗抽料管)
夾瓶輸送帶</t>
  </si>
  <si>
    <t>噴印瓶底
滴管滑牙需用手鎖
氣吹即可不用水洗</t>
  </si>
  <si>
    <t>PN1VCD3K2P排瓶</t>
  </si>
  <si>
    <t>[泵浦式充填機x1&amp;夾瓶輸送帶X1&amp;噴印機x1]</t>
  </si>
  <si>
    <t>750(0.8-1.2-0.4)*
(充-手鎖滴管-入箱)</t>
  </si>
  <si>
    <t>PN1VCD3K2P充填</t>
  </si>
  <si>
    <t>PN1VCE1C1P</t>
  </si>
  <si>
    <t>PN1VCE1C1</t>
  </si>
  <si>
    <t>極透光無瑕淨膚霜-特規10ML</t>
  </si>
  <si>
    <t>PN1VCE1C1P排瓶</t>
  </si>
  <si>
    <t>[定量缸式充填機x1、噴印機x1]洗機器120min人時</t>
  </si>
  <si>
    <t>1000(1-1.8-1)*
(充-放墊片+鎖蓋噴-入箱)</t>
  </si>
  <si>
    <t>PN1VCE1C1P充填</t>
  </si>
  <si>
    <t>PN1VCE1H1</t>
  </si>
  <si>
    <t>PN1VCE1H1P排瓶</t>
  </si>
  <si>
    <t>800(0.8-0.5-0.9-0.9-0.9)*
(充-拆上蓋袋-放墊片上蓋-鎖-入箱)</t>
  </si>
  <si>
    <t>PN1VCE1H1P充填</t>
  </si>
  <si>
    <t>PN1YLC2M2</t>
  </si>
  <si>
    <t>229(1)</t>
  </si>
  <si>
    <t>噴印瓶底
所有品項玻璃瓶留倉超過半年需水洗</t>
  </si>
  <si>
    <t>PN1YLC2M2P洗瓶</t>
  </si>
  <si>
    <t>PN1YLC2M2P排瓶</t>
  </si>
  <si>
    <t>700(1-0.3-0.9-0.8-1)*
(充-塞-蓋-鎖-入箱)</t>
  </si>
  <si>
    <t>PN1YLC2M2P充填</t>
  </si>
  <si>
    <t>PN1YLD2F2</t>
  </si>
  <si>
    <t>醇項15(B0AA)
油項15(B0AA)
醇項15(B0BA)
油項15(B0BA)</t>
  </si>
  <si>
    <t>PN1YLD2F2P排瓶</t>
  </si>
  <si>
    <t>570(0.7-1-1.3-1)*
(充油-充醇-鎖-入箱)</t>
  </si>
  <si>
    <t>PN1YLD2F2P充填</t>
  </si>
  <si>
    <t>PN1YLE1F1</t>
  </si>
  <si>
    <t>PN1YLE1F1P排瓶</t>
  </si>
  <si>
    <t>900(0.8-0.5-1.3-1.4)*
(充-墊-鎖-入箱)</t>
  </si>
  <si>
    <t>PN1YLE1F1P充填</t>
  </si>
  <si>
    <t>PN1YLF2C1P</t>
  </si>
  <si>
    <t>PN1YLF2C1</t>
  </si>
  <si>
    <t>胜肽撫紋賦活眼霜10ml</t>
  </si>
  <si>
    <t>960(0.8-1.2-1-1)*
(充-塞-鎖-入箱)</t>
  </si>
  <si>
    <t>PN1YLF2C1P充填</t>
  </si>
  <si>
    <t>PN1YLF2G1</t>
  </si>
  <si>
    <t>氣壓式
小定量缸</t>
  </si>
  <si>
    <t>850(1.2-1-1-0.8)*
(充-塞-鎖-入箱)</t>
  </si>
  <si>
    <t>PN1YLF2G1P充填</t>
  </si>
  <si>
    <t>PN2YLC1D1P</t>
  </si>
  <si>
    <t>PN2YLC1D1</t>
  </si>
  <si>
    <t>再生極透光活膚液10ML</t>
  </si>
  <si>
    <t>噴印瓶底
塑膠瓶平蓋</t>
  </si>
  <si>
    <t>PN2YLC1D1P排瓶</t>
  </si>
  <si>
    <t>1600(0.51-0.79-1.75-0.95)*
(充-塞-鎖-入箱)</t>
  </si>
  <si>
    <t>PN2YLC1D1P充填</t>
  </si>
  <si>
    <t>PN2YLC1M1</t>
  </si>
  <si>
    <t>PN2YLC1M1P排瓶</t>
  </si>
  <si>
    <t>550(1-0.8-0.9-0.8)*
(充-塞-鎖-入箱)</t>
  </si>
  <si>
    <t>PN2YLC1M1P充填</t>
  </si>
  <si>
    <t>PN3HAA4L1</t>
  </si>
  <si>
    <t>單管泵浦式/黃管
黃管要用全新的
7.1mm出料管/充填速度10
自動鎖蓋機</t>
  </si>
  <si>
    <t>噴印瓶底
鎖瓶時牙口必須乾燥
齒輪式跟氣壓會滴料
黃管要用全新的</t>
  </si>
  <si>
    <t>PN3HAA4L1P排瓶</t>
  </si>
  <si>
    <t>500(1-0.8-0.7-0.5)*
(充-鎖-蓋&amp;噴印-入箱)</t>
  </si>
  <si>
    <t>PN3HAA4L1P充填</t>
  </si>
  <si>
    <t>PN3MAD1F1</t>
  </si>
  <si>
    <t>31(B0AC)
31(B0BA)</t>
  </si>
  <si>
    <t>泵浦式
黃管
BPT手拿管
夾瓶噴印機
自動鎖蓋機</t>
  </si>
  <si>
    <t>PN3MAD1F1P排瓶</t>
  </si>
  <si>
    <t>1300(1-1.1-0.9-1)*
(充-放蓋-鎖-入箱)</t>
  </si>
  <si>
    <t>PN3MAD1F1P充填</t>
  </si>
  <si>
    <t>MET25D2F1</t>
  </si>
  <si>
    <t>泵浦式充填機
黃管
手拿管
自動鎖蓋機
啟益噴印機</t>
  </si>
  <si>
    <t>MET25D2F1P排瓶</t>
  </si>
  <si>
    <t>1400(0.8-1.1-1.2-0.9)*
(充-鎖-蓋-入箱)</t>
  </si>
  <si>
    <t>MET25D2F1P充填</t>
  </si>
  <si>
    <t>PN1VCD3C2</t>
  </si>
  <si>
    <t>PN1VCD3C2P排瓶</t>
  </si>
  <si>
    <t>2000(0.8-2.2-0.9)*
(充-鎖-入箱)</t>
  </si>
  <si>
    <t>PN1VCD3C2P充填</t>
  </si>
  <si>
    <t>MHC25H4G1P</t>
  </si>
  <si>
    <t>MHC25H4G1</t>
  </si>
  <si>
    <t>DR. MAY 美博士專業潤色清爽防曬乳-紫色40ml</t>
  </si>
  <si>
    <t>900(4)
(充-塞-貼-鎖-入箱)</t>
  </si>
  <si>
    <t>軟管+內塞+鋁封口貼+旋蓋</t>
  </si>
  <si>
    <t>MHC25H4G1P充填</t>
  </si>
  <si>
    <t>MLA25D2C2N</t>
  </si>
  <si>
    <t>MLA25D2C2</t>
  </si>
  <si>
    <t>亮麗一生完美外泌體10ML-裸瓶</t>
  </si>
  <si>
    <t>泵浦式
手拿管
黃管(用新的)
料斗
夾瓶輸送帶
啟益噴印機
鋁蓋壓蓋機</t>
  </si>
  <si>
    <t>黃管一律拿新的
噴印瓶底
10ML咖啡色西林卡口瓶身
長灰內塞
霧面玫瑰金鋁蓋+本色上蓋</t>
  </si>
  <si>
    <t>MLA25D2C2N排瓶</t>
  </si>
  <si>
    <t>1400(0.6-1-0.7-0.7)
(充-內塞鋁蓋-壓蓋噴印-入箱)</t>
  </si>
  <si>
    <t>MLA25D2C2N充填</t>
  </si>
  <si>
    <t>MLA26D161</t>
  </si>
  <si>
    <t>1900(1)*</t>
  </si>
  <si>
    <t>1900</t>
  </si>
  <si>
    <t>噴印瓶底
10ML透明西林卡口瓶身+鍍金印刷
灰色內塞
霧面玫瑰金鋁蓋
充填速度5/回流量3
蠕動管黃管要用新的
(內料很水避免滴料)</t>
  </si>
  <si>
    <t>MLA26D161P排瓶</t>
  </si>
  <si>
    <t>1250(0.7-0.8-0.7-0.8)*
(充-內塞鋁蓋-壓蓋噴印-入箱)</t>
  </si>
  <si>
    <t>MLA26D161P充填</t>
  </si>
  <si>
    <t>[啟益噴印機x1]</t>
  </si>
  <si>
    <t>1500(1)
(紙盒噴印)</t>
  </si>
  <si>
    <t>MLA26D161P後加工</t>
  </si>
  <si>
    <t>MKY26E1N1</t>
  </si>
  <si>
    <t>650(3)
(充-鎖蓋-入箱)</t>
  </si>
  <si>
    <t>MKY26E1N1P充填</t>
  </si>
  <si>
    <t>MKY26E2N1P</t>
  </si>
  <si>
    <t>MKY26E2N1</t>
  </si>
  <si>
    <t>淨透嫩白身體乳200ml</t>
  </si>
  <si>
    <t>軟管+掀蓋</t>
  </si>
  <si>
    <t>MKY26E2N1P充填</t>
  </si>
  <si>
    <t>MKY26H1F1</t>
  </si>
  <si>
    <t>850(4)
(充-塞-鎖-入箱)</t>
  </si>
  <si>
    <t>軟管+尖嘴塞+上蓋</t>
  </si>
  <si>
    <t>MKY26H1F1P充填</t>
  </si>
  <si>
    <t>MKY26Z1H1</t>
  </si>
  <si>
    <t>泵浦式
白管
抽料管
自動鎖蓋機
夾瓶輸送帶
啟益噴印機</t>
  </si>
  <si>
    <t>真空瓶+噴頭+上蓋</t>
  </si>
  <si>
    <t>MKY26Z1H1P排瓶</t>
  </si>
  <si>
    <t>[泵浦式充填機x1&amp;自動鎖蓋機x1&amp;夾瓶輸送帶*1&amp;啟益噴印機x1]</t>
  </si>
  <si>
    <t>1000(4)
(充-放壓頭-上蓋噴印-入箱)</t>
  </si>
  <si>
    <t>MKY26Z1H1P充填</t>
  </si>
  <si>
    <t>MAW26D131</t>
  </si>
  <si>
    <t>300(1)</t>
  </si>
  <si>
    <t>瓶身+粉殼內膽+壓頭+底蓋+針頭內塞</t>
  </si>
  <si>
    <t>MAW26D131P排瓶</t>
  </si>
  <si>
    <t>400(4)
(充-裝粉-壓粉-組裝-噴印入箱)</t>
  </si>
  <si>
    <t>MAW26D131P充填</t>
  </si>
  <si>
    <t>MJC25E4H1P</t>
  </si>
  <si>
    <t>MJC25E4H1</t>
  </si>
  <si>
    <t>妍洵-己簡‧齡 賦活外泌保濕乳霜50ml</t>
  </si>
  <si>
    <t>玻璃霜瓶+手拉墊片+上蓋</t>
  </si>
  <si>
    <t>MJC25E4H1P排瓶</t>
  </si>
  <si>
    <t>800(1-0.6-1.6-0.8)*
(充-墊片-拆袋鎖蓋-入箱)</t>
  </si>
  <si>
    <t>MJC25E4H1P充填</t>
  </si>
  <si>
    <t>MJC25E4R1</t>
  </si>
  <si>
    <t>塑膠霜瓶+挖勺+手拉墊片+上蓋</t>
  </si>
  <si>
    <t>MJC25E4R1P排瓶</t>
  </si>
  <si>
    <t>150(3)
(充-墊&amp;放挖棒-鎖-入箱)</t>
  </si>
  <si>
    <t>MJC25E4R1P充填</t>
  </si>
  <si>
    <t>MCQ26D1M1</t>
  </si>
  <si>
    <t>氣壓式
啟益噴印機
自動鎖蓋機</t>
  </si>
  <si>
    <t>MCQ26D1M1N排瓶</t>
  </si>
  <si>
    <t>MCQ26D1M1N充填</t>
  </si>
  <si>
    <t>500(1)貼瓶</t>
  </si>
  <si>
    <t>MCQ26D1M1N後加工</t>
  </si>
  <si>
    <t>MBY26H1H1P</t>
  </si>
  <si>
    <t>MBY26H1H1</t>
  </si>
  <si>
    <t>BB 玻尿酸B5柔肌涼感防曬乳-盒裝50ML</t>
  </si>
  <si>
    <t>900(1-1.3-0.5)*
(充-鎖&amp;噴印-入箱)</t>
  </si>
  <si>
    <t>軟管+掀蓋
掀蓋對齊軟管正面</t>
  </si>
  <si>
    <t>MBY26H1H1P充填</t>
  </si>
  <si>
    <t>MDX26C1M1</t>
  </si>
  <si>
    <t>MDX26C1M1P排瓶</t>
  </si>
  <si>
    <t>650(0.93-0.33-1-0.74)
(充-塞-鎖-入箱)</t>
  </si>
  <si>
    <t>MDX26C1M1P充填</t>
  </si>
  <si>
    <t>MDX26C1F1P</t>
  </si>
  <si>
    <t>MDX26C1F1</t>
  </si>
  <si>
    <t>MDX26C1F1P排瓶</t>
  </si>
  <si>
    <t>1200(0.9-0.7-1.3-1.1)
(充-塞-鎖-入箱)</t>
  </si>
  <si>
    <t>MDX26C1F1P充填</t>
  </si>
  <si>
    <t>MDX26E1H1</t>
  </si>
  <si>
    <t>MDX26E1H1P洗瓶</t>
  </si>
  <si>
    <t>MDX26E1H1P排瓶</t>
  </si>
  <si>
    <t>900(0.8-0.6-1.3-1.3)
(充-墊-鎖-入箱)</t>
  </si>
  <si>
    <t>MDX26E1H1P充填</t>
  </si>
  <si>
    <t>MDX26E2H1</t>
  </si>
  <si>
    <t>MDX26E2H1P洗瓶</t>
  </si>
  <si>
    <t>MDX26E2H1P排瓶</t>
  </si>
  <si>
    <t>MDX26E2H1P充填</t>
  </si>
  <si>
    <t>MDX26E2D1P</t>
  </si>
  <si>
    <t>MDX26E2D1</t>
  </si>
  <si>
    <t>純粹燕窩．逆齡重生彈力乳液旅行品15ml</t>
  </si>
  <si>
    <t>MDX26E2D1P排瓶</t>
  </si>
  <si>
    <t>1000(0.9-0.6-1.6-0.9)
(充-墊-鎖-入箱)</t>
  </si>
  <si>
    <t>MDX26E2D1P充填</t>
  </si>
  <si>
    <t>MDX26E1D1P</t>
  </si>
  <si>
    <t>MDX26E1D1</t>
  </si>
  <si>
    <t>純粹燕窩．逆齡重生修護晚霜旅行品15ml</t>
  </si>
  <si>
    <t>MDX26E1D1P排瓶</t>
  </si>
  <si>
    <t>MDX26E1D1P充填</t>
  </si>
  <si>
    <t>MDX26F1C1P</t>
  </si>
  <si>
    <t>MDX26F1C1</t>
  </si>
  <si>
    <t>純粹燕窩．逆齡重生緊緻眼霜旅行品7ml</t>
  </si>
  <si>
    <t>MDX26F1C1P排瓶</t>
  </si>
  <si>
    <t>1000(0.8-1.3-0.9)
(充-鎖-入箱)</t>
  </si>
  <si>
    <t>MDX26F1C1P充填</t>
  </si>
  <si>
    <t>MDX26F1D1</t>
  </si>
  <si>
    <t>MDX26F1D1P排瓶</t>
  </si>
  <si>
    <t>1200(0.77-0.74-1.25-1.24)
(充-墊-鎖-入箱)</t>
  </si>
  <si>
    <t>MDX26F1D1P充填</t>
  </si>
  <si>
    <t>MHC25H322P</t>
  </si>
  <si>
    <t>MHC25H322</t>
  </si>
  <si>
    <t>DR. MAY 美博士專業潤色清爽防曬40ml-2入/MOMO通路</t>
  </si>
  <si>
    <t>900(1-0.8-0.9-0.9-0.5)
(充-內塞-貼-鎖蓋-入箱)</t>
  </si>
  <si>
    <t>MHC25H322P充填</t>
  </si>
  <si>
    <t>MHC26H1C1</t>
  </si>
  <si>
    <t>泵浦式/黃管首選
定量缸次選
啟益噴印機</t>
  </si>
  <si>
    <t>1000(0.6-1.2-0.8-0.9-0.5)
(充-塞-貼-鎖-噴印-入箱)</t>
  </si>
  <si>
    <t>MHC26H1C1P充填</t>
  </si>
  <si>
    <t>MDC26P1F1P</t>
  </si>
  <si>
    <t>MDC26P1F1</t>
  </si>
  <si>
    <t>液體護手霜30ML</t>
  </si>
  <si>
    <t>泵浦式
黃管
啟益噴印機</t>
  </si>
  <si>
    <t>塑膠圓餅狀瓶身+噴頭壓扣+矽膠套</t>
  </si>
  <si>
    <t>MDC26P1F1P排瓶</t>
  </si>
  <si>
    <t>800(3)
(充-壓&amp;噴印-入箱)</t>
  </si>
  <si>
    <t>MDC26P1F1P充填</t>
  </si>
  <si>
    <t>MJC26Z1J1</t>
  </si>
  <si>
    <t>泵浦式
白管
自動鎖蓋機
夾瓶輸送帶</t>
  </si>
  <si>
    <t>MJC26Z1J1P排瓶</t>
  </si>
  <si>
    <t>[泵浦式充填機x1&amp;自動鎖蓋機x1&amp;夾瓶輸送帶*1]</t>
  </si>
  <si>
    <t>800(1-0.4-1)
(充-鎖-入箱)</t>
  </si>
  <si>
    <t>MJC26Z1J1P充填</t>
  </si>
  <si>
    <t>MJC26E1H1P</t>
  </si>
  <si>
    <t>MJC26E1H1</t>
  </si>
  <si>
    <t>MJC26E1H1P排瓶</t>
  </si>
  <si>
    <t>730(4)
(充-墊-鎖-入箱)</t>
  </si>
  <si>
    <t>MJC26E1H1P充填</t>
  </si>
  <si>
    <t>MJC26E1R1</t>
  </si>
  <si>
    <t>MJC26E1R1P排瓶</t>
  </si>
  <si>
    <t>MJC26E1R1P充填</t>
  </si>
  <si>
    <t>MJC26D1G1P</t>
  </si>
  <si>
    <t>MJC26D1G1</t>
  </si>
  <si>
    <t>MJC26D1G1P排瓶</t>
  </si>
  <si>
    <t>880(0.8-0.6-1.6-0.7)
(充-放壓頭-上蓋-入箱)</t>
  </si>
  <si>
    <t>MJC26D1G1P充填</t>
  </si>
  <si>
    <t>MDD26H1F1</t>
  </si>
  <si>
    <t>800(0.7-1.3-1-1)
(充-塞-鎖-入箱)</t>
  </si>
  <si>
    <t>MDD26H1F1P充填</t>
  </si>
  <si>
    <t>MDD26H2F1</t>
  </si>
  <si>
    <t>MDD26H2F1P充填</t>
  </si>
  <si>
    <t>PN1FOD1F1</t>
  </si>
  <si>
    <t>噴印瓶底
霧面玻璃印刷瓶
白色霧面膠帽/白色亮面中束/玻璃滴管</t>
  </si>
  <si>
    <t>PN1FOD1F1P排瓶</t>
  </si>
  <si>
    <t>PN1FOD1F1P充填</t>
  </si>
  <si>
    <t>PN1LBP1H1</t>
  </si>
  <si>
    <t>800(4)
(充-鎖-入箱)</t>
  </si>
  <si>
    <t>鋁塑管+上蓋</t>
  </si>
  <si>
    <t>PN1LBP1H1P充填</t>
  </si>
  <si>
    <t>PN1LBP2H1</t>
  </si>
  <si>
    <t>PN1LBP2H1P充填</t>
  </si>
  <si>
    <t>PN1FOD2F1</t>
  </si>
  <si>
    <t>透明棕色玻璃瓶+白色膠帽中束滴管</t>
  </si>
  <si>
    <t>PN1FOD2F1P排瓶</t>
  </si>
  <si>
    <t>1300(3)
(充-放滴管-鎖放噴印-入箱)</t>
  </si>
  <si>
    <t>PN1FOD2F1P充填</t>
  </si>
  <si>
    <t>PN1FOD3F1</t>
  </si>
  <si>
    <t>PN1FOD3F1P排瓶</t>
  </si>
  <si>
    <t>PN1FOD3F1P充填</t>
  </si>
  <si>
    <t>PN1FOD4F1</t>
  </si>
  <si>
    <t>PN1FOD4F1P排瓶</t>
  </si>
  <si>
    <t>PN1FOD4F1P充填</t>
  </si>
  <si>
    <t>PN1FOD5F1</t>
  </si>
  <si>
    <t>PN1FOD5F1P排瓶</t>
  </si>
  <si>
    <t>PN1FOD5F1P充填</t>
  </si>
  <si>
    <t>工單</t>
  </si>
  <si>
    <t>Cat</t>
  </si>
  <si>
    <t>項目</t>
  </si>
  <si>
    <t>需求總批次</t>
  </si>
  <si>
    <t>當日安排批數</t>
  </si>
  <si>
    <t>一批時間</t>
  </si>
  <si>
    <t>Slot 範圍</t>
  </si>
  <si>
    <t>Slots 數</t>
  </si>
  <si>
    <t>類型</t>
  </si>
  <si>
    <t>Min</t>
  </si>
  <si>
    <t>Need slot</t>
  </si>
  <si>
    <t>Slot from</t>
  </si>
  <si>
    <t>Slot end</t>
  </si>
  <si>
    <t>Cat4</t>
  </si>
  <si>
    <t>4</t>
  </si>
  <si>
    <t>120</t>
  </si>
  <si>
    <t>96</t>
  </si>
  <si>
    <t>5</t>
  </si>
  <si>
    <t>2023年12月5日</t>
  </si>
  <si>
    <t>119-24</t>
  </si>
  <si>
    <t>正常</t>
  </si>
  <si>
    <t>119</t>
  </si>
  <si>
    <t>24</t>
  </si>
  <si>
    <t>2023年12月4日</t>
  </si>
  <si>
    <t>119-96</t>
  </si>
  <si>
    <t>185</t>
  </si>
  <si>
    <t>2023年8月21日</t>
  </si>
  <si>
    <t>55</t>
  </si>
  <si>
    <t>7</t>
  </si>
  <si>
    <t>2023年8月20日</t>
  </si>
  <si>
    <t>30-24</t>
  </si>
  <si>
    <t>35</t>
  </si>
  <si>
    <t>30</t>
  </si>
  <si>
    <t>89</t>
  </si>
  <si>
    <t>119-31</t>
  </si>
  <si>
    <t>445</t>
  </si>
  <si>
    <t>31</t>
  </si>
  <si>
    <t>48</t>
  </si>
  <si>
    <t>2023年8月19日</t>
  </si>
  <si>
    <t>119-72</t>
  </si>
  <si>
    <t>72</t>
  </si>
  <si>
    <t>3</t>
  </si>
  <si>
    <t>2023年8月17日</t>
  </si>
  <si>
    <t>93-24</t>
  </si>
  <si>
    <t>93</t>
  </si>
  <si>
    <t>26</t>
  </si>
  <si>
    <t>119-94</t>
  </si>
  <si>
    <t>130</t>
  </si>
  <si>
    <t>94</t>
  </si>
  <si>
    <t>2023年8月16日</t>
  </si>
  <si>
    <t>43</t>
  </si>
  <si>
    <t>2023年8月15日</t>
  </si>
  <si>
    <t>119-77</t>
  </si>
  <si>
    <t>215</t>
  </si>
  <si>
    <t>77</t>
  </si>
  <si>
    <t>125</t>
  </si>
  <si>
    <t>2023年8月13日</t>
  </si>
  <si>
    <t>29</t>
  </si>
  <si>
    <t>2023年8月12日</t>
  </si>
  <si>
    <t>119-91</t>
  </si>
  <si>
    <t>145</t>
  </si>
  <si>
    <t>91</t>
  </si>
  <si>
    <t>2023年8月10日</t>
  </si>
  <si>
    <t>119-90</t>
  </si>
  <si>
    <t>90</t>
  </si>
  <si>
    <t>174</t>
  </si>
  <si>
    <t>2023年8月7日</t>
  </si>
  <si>
    <t>10</t>
  </si>
  <si>
    <t>2023年8月6日</t>
  </si>
  <si>
    <t>41-32</t>
  </si>
  <si>
    <t>50</t>
  </si>
  <si>
    <t>41</t>
  </si>
  <si>
    <t>32</t>
  </si>
  <si>
    <t>18</t>
  </si>
  <si>
    <t>8</t>
  </si>
  <si>
    <t>31-24</t>
  </si>
  <si>
    <t>40</t>
  </si>
  <si>
    <t>78</t>
  </si>
  <si>
    <t>119-42</t>
  </si>
  <si>
    <t>42</t>
  </si>
  <si>
    <t>2023年8月5日</t>
  </si>
  <si>
    <t>119-110</t>
  </si>
  <si>
    <t>110</t>
  </si>
  <si>
    <t>100</t>
  </si>
  <si>
    <t>2023年7月30日</t>
  </si>
  <si>
    <t>2023年7月29日</t>
  </si>
  <si>
    <t>119-116</t>
  </si>
  <si>
    <t>116</t>
  </si>
  <si>
    <t>2023年7月27日</t>
  </si>
  <si>
    <t>79-77</t>
  </si>
  <si>
    <t>15</t>
  </si>
  <si>
    <t>79</t>
  </si>
  <si>
    <t>119-80</t>
  </si>
  <si>
    <t>80</t>
  </si>
  <si>
    <t>2023年7月26日</t>
  </si>
  <si>
    <t>2023年7月25日</t>
  </si>
  <si>
    <t>115-61</t>
  </si>
  <si>
    <t>275</t>
  </si>
  <si>
    <t>115</t>
  </si>
  <si>
    <t>61</t>
  </si>
  <si>
    <t>34</t>
  </si>
  <si>
    <t>2023年7月23日</t>
  </si>
  <si>
    <t>67-34</t>
  </si>
  <si>
    <t>67</t>
  </si>
  <si>
    <t>12</t>
  </si>
  <si>
    <t>33-24</t>
  </si>
  <si>
    <t>33</t>
  </si>
  <si>
    <t>52</t>
  </si>
  <si>
    <t>119-68</t>
  </si>
  <si>
    <t>260</t>
  </si>
  <si>
    <t>68</t>
  </si>
  <si>
    <t>2</t>
  </si>
  <si>
    <t>2023年7月22日</t>
  </si>
  <si>
    <t>119-118</t>
  </si>
  <si>
    <t>118</t>
  </si>
  <si>
    <t>2023年7月20日</t>
  </si>
  <si>
    <t>2023年7月19日</t>
  </si>
  <si>
    <t>95-72</t>
  </si>
  <si>
    <t>95</t>
  </si>
  <si>
    <t>82</t>
  </si>
  <si>
    <t>2023年7月18日</t>
  </si>
  <si>
    <t>119-38</t>
  </si>
  <si>
    <t>410</t>
  </si>
  <si>
    <t>38</t>
  </si>
  <si>
    <t>2023年7月16日</t>
  </si>
  <si>
    <t>14</t>
  </si>
  <si>
    <t>2023年7月15日</t>
  </si>
  <si>
    <t>119-106</t>
  </si>
  <si>
    <t>106</t>
  </si>
  <si>
    <t>2023年7月13日</t>
  </si>
  <si>
    <t>2023年7月12日</t>
  </si>
  <si>
    <t>90-24</t>
  </si>
  <si>
    <t>335</t>
  </si>
  <si>
    <t>P130</t>
  </si>
  <si>
    <t>75</t>
  </si>
  <si>
    <t>2023年7月11日</t>
  </si>
  <si>
    <t>66-24</t>
  </si>
  <si>
    <t>66</t>
  </si>
  <si>
    <t>53</t>
  </si>
  <si>
    <t>119-67</t>
  </si>
  <si>
    <t>265</t>
  </si>
  <si>
    <t>2023年7月10日</t>
  </si>
  <si>
    <t>87-50</t>
  </si>
  <si>
    <t>190</t>
  </si>
  <si>
    <t>87</t>
  </si>
  <si>
    <t>P131</t>
  </si>
  <si>
    <t>49-24</t>
  </si>
  <si>
    <t>49</t>
  </si>
  <si>
    <t>119-88</t>
  </si>
  <si>
    <t>160</t>
  </si>
  <si>
    <t>88</t>
  </si>
  <si>
    <t>P123</t>
  </si>
  <si>
    <t>225</t>
  </si>
  <si>
    <t>47</t>
  </si>
  <si>
    <t>2023年7月9日</t>
  </si>
  <si>
    <t>70-24</t>
  </si>
  <si>
    <t>235</t>
  </si>
  <si>
    <t>119-71</t>
  </si>
  <si>
    <t>245</t>
  </si>
  <si>
    <t>71</t>
  </si>
  <si>
    <t>2023年7月8日</t>
  </si>
  <si>
    <t>P122</t>
  </si>
  <si>
    <t>2023年7月7日</t>
  </si>
  <si>
    <t>37-24</t>
  </si>
  <si>
    <t>37</t>
  </si>
  <si>
    <t>2023年7月6日</t>
  </si>
  <si>
    <t>2023年7月5日</t>
  </si>
  <si>
    <t>2023年7月4日</t>
  </si>
  <si>
    <t>60-24</t>
  </si>
  <si>
    <t>60</t>
  </si>
  <si>
    <t>19</t>
  </si>
  <si>
    <t>119-101</t>
  </si>
  <si>
    <t>101</t>
  </si>
  <si>
    <t>100-61</t>
  </si>
  <si>
    <t>25</t>
  </si>
  <si>
    <t>2023年7月3日</t>
  </si>
  <si>
    <t>56-32</t>
  </si>
  <si>
    <t>56</t>
  </si>
  <si>
    <t>63</t>
  </si>
  <si>
    <t>119-57</t>
  </si>
  <si>
    <t>315</t>
  </si>
  <si>
    <t>57</t>
  </si>
  <si>
    <t>1</t>
  </si>
  <si>
    <t>2023年7月2日</t>
  </si>
  <si>
    <t>55-55</t>
  </si>
  <si>
    <t>54-47</t>
  </si>
  <si>
    <t>54</t>
  </si>
  <si>
    <t>135</t>
  </si>
  <si>
    <t>23</t>
  </si>
  <si>
    <t>46-24</t>
  </si>
  <si>
    <t>46</t>
  </si>
  <si>
    <t>17</t>
  </si>
  <si>
    <t>119-103</t>
  </si>
  <si>
    <t>85</t>
  </si>
  <si>
    <t>103</t>
  </si>
  <si>
    <t>102-56</t>
  </si>
  <si>
    <t>102</t>
  </si>
  <si>
    <t>2023年7月1日</t>
  </si>
  <si>
    <t>16</t>
  </si>
  <si>
    <t>2023年6月30日</t>
  </si>
  <si>
    <t>119-104</t>
  </si>
  <si>
    <t>104</t>
  </si>
  <si>
    <t>103-80</t>
  </si>
  <si>
    <t>2023年6月27日</t>
  </si>
  <si>
    <t>57-38</t>
  </si>
  <si>
    <t>62</t>
  </si>
  <si>
    <t>119-58</t>
  </si>
  <si>
    <t>58</t>
  </si>
  <si>
    <t>2023年6月26日</t>
  </si>
  <si>
    <t>68-26</t>
  </si>
  <si>
    <t>22</t>
  </si>
  <si>
    <t>25-24</t>
  </si>
  <si>
    <t>11</t>
  </si>
  <si>
    <t>119-109</t>
  </si>
  <si>
    <t>109</t>
  </si>
  <si>
    <t>108-69</t>
  </si>
  <si>
    <t>108</t>
  </si>
  <si>
    <t>69</t>
  </si>
  <si>
    <t>2023年6月25日</t>
  </si>
  <si>
    <t>99-66</t>
  </si>
  <si>
    <t>99</t>
  </si>
  <si>
    <t>65-26</t>
  </si>
  <si>
    <t>65</t>
  </si>
  <si>
    <t>119-100</t>
  </si>
  <si>
    <t>P095</t>
  </si>
  <si>
    <t>165</t>
  </si>
  <si>
    <t>2023年6月20日</t>
  </si>
  <si>
    <t>P094</t>
  </si>
  <si>
    <t>27</t>
  </si>
  <si>
    <t>2023年6月19日</t>
  </si>
  <si>
    <t>50-24</t>
  </si>
  <si>
    <t>119-51</t>
  </si>
  <si>
    <t>51</t>
  </si>
  <si>
    <t>2023年6月18日</t>
  </si>
  <si>
    <t>P092</t>
  </si>
  <si>
    <t>2023年6月17日</t>
  </si>
  <si>
    <t>77-30</t>
  </si>
  <si>
    <t>P091</t>
  </si>
  <si>
    <t>6</t>
  </si>
  <si>
    <t>29-24</t>
  </si>
  <si>
    <t>119-78</t>
  </si>
  <si>
    <t>210</t>
  </si>
  <si>
    <t>P090</t>
  </si>
  <si>
    <t>2023年6月16日</t>
  </si>
  <si>
    <t>P089</t>
  </si>
  <si>
    <t>212</t>
  </si>
  <si>
    <t>2023年6月15日</t>
  </si>
  <si>
    <t>2023年6月14日</t>
  </si>
  <si>
    <t>2023年6月13日</t>
  </si>
  <si>
    <t>P088</t>
  </si>
  <si>
    <t>105-24</t>
  </si>
  <si>
    <t>105</t>
  </si>
  <si>
    <t>2023年6月12日</t>
  </si>
  <si>
    <t>2023年6月11日</t>
  </si>
  <si>
    <t>85-24</t>
  </si>
  <si>
    <t>119-86</t>
  </si>
  <si>
    <t>86</t>
  </si>
  <si>
    <t>2023年6月10日</t>
  </si>
  <si>
    <t>2023年6月9日</t>
  </si>
  <si>
    <t>65-48</t>
  </si>
  <si>
    <t>47-45</t>
  </si>
  <si>
    <t>45</t>
  </si>
  <si>
    <t>44-43</t>
  </si>
  <si>
    <t>44</t>
  </si>
  <si>
    <t>42-24</t>
  </si>
  <si>
    <t>119-66</t>
  </si>
  <si>
    <t>270</t>
  </si>
  <si>
    <t>2023年6月8日</t>
  </si>
  <si>
    <t>2023年6月7日</t>
  </si>
  <si>
    <t>2023年6月6日</t>
  </si>
  <si>
    <t>90-48</t>
  </si>
  <si>
    <t>47-24</t>
  </si>
  <si>
    <t>2023年6月5日</t>
  </si>
  <si>
    <t>83-24</t>
  </si>
  <si>
    <t>83</t>
  </si>
  <si>
    <t>36</t>
  </si>
  <si>
    <t>119-84</t>
  </si>
  <si>
    <t>84</t>
  </si>
  <si>
    <t>2023年6月4日</t>
  </si>
  <si>
    <t>119-117</t>
  </si>
  <si>
    <t>117</t>
  </si>
  <si>
    <t>218</t>
  </si>
  <si>
    <t>116-24</t>
  </si>
  <si>
    <t>465</t>
  </si>
  <si>
    <t>2023年6月3日</t>
  </si>
  <si>
    <t>2023年6月2日</t>
  </si>
  <si>
    <t>90-43</t>
  </si>
  <si>
    <t>2023年6月1日</t>
  </si>
  <si>
    <t>2023年5月31日</t>
  </si>
  <si>
    <t>103-24</t>
  </si>
  <si>
    <t>2023年5月30日</t>
  </si>
  <si>
    <t>99-78</t>
  </si>
  <si>
    <t>147</t>
  </si>
  <si>
    <t>77-24</t>
  </si>
  <si>
    <t>2023年5月29日</t>
  </si>
  <si>
    <t>26-24</t>
  </si>
  <si>
    <t>119-27</t>
  </si>
  <si>
    <t>2023年5月28日</t>
  </si>
  <si>
    <t>87-38</t>
  </si>
  <si>
    <t>P049</t>
  </si>
  <si>
    <t>2023年5月27日</t>
  </si>
  <si>
    <t>98-88</t>
  </si>
  <si>
    <t>98</t>
  </si>
  <si>
    <t>64</t>
  </si>
  <si>
    <t>87-24</t>
  </si>
  <si>
    <t>21</t>
  </si>
  <si>
    <t>119-99</t>
  </si>
  <si>
    <t>2023年5月26日</t>
  </si>
  <si>
    <t>92-58</t>
  </si>
  <si>
    <t>92</t>
  </si>
  <si>
    <t>57-40</t>
  </si>
  <si>
    <t>39-24</t>
  </si>
  <si>
    <t>39</t>
  </si>
  <si>
    <t>116-93</t>
  </si>
  <si>
    <t>2023年5月25日</t>
  </si>
  <si>
    <t>2023年5月24日</t>
  </si>
  <si>
    <t>2023年5月23日</t>
  </si>
  <si>
    <t>2023年5月22日</t>
  </si>
  <si>
    <t>83-77</t>
  </si>
  <si>
    <t>76-61</t>
  </si>
  <si>
    <t>76</t>
  </si>
  <si>
    <t>60-31</t>
  </si>
  <si>
    <t>P037</t>
  </si>
  <si>
    <t>119-119</t>
  </si>
  <si>
    <t>加班</t>
  </si>
  <si>
    <t>2023年5月21日</t>
  </si>
  <si>
    <t>86-24</t>
  </si>
  <si>
    <t>119-87</t>
  </si>
  <si>
    <t>2023年5月20日</t>
  </si>
  <si>
    <t>72-41</t>
  </si>
  <si>
    <t>40-24</t>
  </si>
  <si>
    <t>119-73</t>
  </si>
  <si>
    <t>73</t>
  </si>
  <si>
    <t>2023年5月19日</t>
  </si>
  <si>
    <t>2023年5月18日</t>
  </si>
  <si>
    <t>52-24</t>
  </si>
  <si>
    <t>119-113</t>
  </si>
  <si>
    <t>113</t>
  </si>
  <si>
    <t>112-53</t>
  </si>
  <si>
    <t>112</t>
  </si>
  <si>
    <t>2023年5月17日</t>
  </si>
  <si>
    <t>108-34</t>
  </si>
  <si>
    <t>375</t>
  </si>
  <si>
    <t>2023年5月16日</t>
  </si>
  <si>
    <t>134</t>
  </si>
  <si>
    <t>2023年5月15日</t>
  </si>
  <si>
    <t>67-24</t>
  </si>
  <si>
    <t>28</t>
  </si>
  <si>
    <t>2023年5月14日</t>
  </si>
  <si>
    <t>51-24</t>
  </si>
  <si>
    <t>140</t>
  </si>
  <si>
    <t>119-52</t>
  </si>
  <si>
    <t>340</t>
  </si>
  <si>
    <t>2023年5月13日</t>
  </si>
  <si>
    <t>61-24</t>
  </si>
  <si>
    <t>119-62</t>
  </si>
  <si>
    <t>290</t>
  </si>
  <si>
    <t>328</t>
  </si>
  <si>
    <t>2023年5月12日</t>
  </si>
  <si>
    <t>2023年5月11日</t>
  </si>
  <si>
    <t>2023年5月10日</t>
  </si>
  <si>
    <t>2023年5月9日</t>
  </si>
  <si>
    <t>2023年5月8日</t>
  </si>
  <si>
    <t>2023年5月7日</t>
  </si>
  <si>
    <t>93-54</t>
  </si>
  <si>
    <t>53-24</t>
  </si>
  <si>
    <t>2023年5月6日</t>
  </si>
  <si>
    <t>2023年5月5日</t>
  </si>
  <si>
    <t>2023年5月4日</t>
  </si>
  <si>
    <t>2023年5月3日</t>
  </si>
  <si>
    <t>62-24</t>
  </si>
  <si>
    <t>195</t>
  </si>
  <si>
    <t>119-63</t>
  </si>
  <si>
    <t>285</t>
  </si>
  <si>
    <t>2023年5月2日</t>
  </si>
  <si>
    <t>119-114</t>
  </si>
  <si>
    <t>114</t>
  </si>
  <si>
    <t>113-24</t>
  </si>
  <si>
    <t>2023年5月1日</t>
  </si>
  <si>
    <t>99-85</t>
  </si>
  <si>
    <t>84-24</t>
  </si>
  <si>
    <t>305</t>
  </si>
  <si>
    <t>2023年4月30日</t>
  </si>
  <si>
    <t>59</t>
  </si>
  <si>
    <t>119-61</t>
  </si>
  <si>
    <t>295</t>
  </si>
  <si>
    <t>2023年4月29日</t>
  </si>
  <si>
    <t>75-24</t>
  </si>
  <si>
    <t>118-116</t>
  </si>
  <si>
    <t>115-76</t>
  </si>
  <si>
    <t>2023年4月28日</t>
  </si>
  <si>
    <t>91-24</t>
  </si>
  <si>
    <t>119-92</t>
  </si>
  <si>
    <t>2023年4月27日</t>
  </si>
  <si>
    <t>73-24</t>
  </si>
  <si>
    <t>109-74</t>
  </si>
  <si>
    <t>74</t>
  </si>
  <si>
    <t>2023年4月26日</t>
  </si>
  <si>
    <t>49-36</t>
  </si>
  <si>
    <t>35-24</t>
  </si>
  <si>
    <t>119-50</t>
  </si>
  <si>
    <t>2023年4月25日</t>
  </si>
  <si>
    <t>P025</t>
  </si>
  <si>
    <t>119-69</t>
  </si>
  <si>
    <t>255</t>
  </si>
  <si>
    <t>2023年4月24日</t>
  </si>
  <si>
    <t>2023年4月23日</t>
  </si>
  <si>
    <t>100-24</t>
  </si>
  <si>
    <t>385</t>
  </si>
  <si>
    <t>2023年4月22日</t>
  </si>
  <si>
    <t>2023年4月21日</t>
  </si>
  <si>
    <t>2023年4月18日</t>
  </si>
  <si>
    <t>2023年4月13日</t>
  </si>
  <si>
    <t>169</t>
  </si>
  <si>
    <t>2023年4月11日</t>
  </si>
  <si>
    <t>2023年4月10日</t>
  </si>
  <si>
    <t>119-47</t>
  </si>
  <si>
    <t>365</t>
  </si>
  <si>
    <t>2023年4月9日</t>
  </si>
  <si>
    <t>13</t>
  </si>
  <si>
    <t>2023年4月8日</t>
  </si>
  <si>
    <t>119-107</t>
  </si>
  <si>
    <t>107</t>
  </si>
  <si>
    <t>P093</t>
  </si>
  <si>
    <t>2023年4月6日</t>
  </si>
  <si>
    <t>2023年4月5日</t>
  </si>
  <si>
    <t>2023年4月4日</t>
  </si>
  <si>
    <t>2023年4月3日</t>
  </si>
  <si>
    <t>81</t>
  </si>
  <si>
    <t>2023年4月2日</t>
  </si>
  <si>
    <t>119-39</t>
  </si>
  <si>
    <t>405</t>
  </si>
  <si>
    <t>2023年3月26日</t>
  </si>
  <si>
    <t>2023年3月21日</t>
  </si>
  <si>
    <t>2023年3月20日</t>
  </si>
  <si>
    <t>2023年3月5日</t>
  </si>
  <si>
    <t>2023年3月4日</t>
  </si>
  <si>
    <t>256</t>
  </si>
  <si>
    <t>2023年2月23日</t>
  </si>
  <si>
    <t>2023年2月22日</t>
  </si>
  <si>
    <t>2023年2月21日</t>
  </si>
  <si>
    <t>119-56</t>
  </si>
  <si>
    <t>2023年2月13日</t>
  </si>
  <si>
    <t>119-93</t>
  </si>
  <si>
    <t>2023年2月12日</t>
  </si>
  <si>
    <t>2023年2月11日</t>
  </si>
  <si>
    <t>P006</t>
  </si>
  <si>
    <t>2023年2月8日</t>
  </si>
  <si>
    <t>Cat3</t>
  </si>
  <si>
    <t>排瓶項</t>
  </si>
  <si>
    <t>2023年12月1日</t>
  </si>
  <si>
    <t>107-33</t>
  </si>
  <si>
    <t>107-84</t>
  </si>
  <si>
    <t>107-12</t>
  </si>
  <si>
    <t>2023年2月10日</t>
  </si>
  <si>
    <t>107-80</t>
  </si>
  <si>
    <t>107-81</t>
  </si>
  <si>
    <t>261</t>
  </si>
  <si>
    <t>2023年2月16日</t>
  </si>
  <si>
    <t>107-39</t>
  </si>
  <si>
    <t>2023年2月17日</t>
  </si>
  <si>
    <t>2023年2月20日</t>
  </si>
  <si>
    <t>107-44</t>
  </si>
  <si>
    <t>2023年2月28日</t>
  </si>
  <si>
    <t>107-92</t>
  </si>
  <si>
    <t>2023年2月9日</t>
  </si>
  <si>
    <t>2023年3月17日</t>
  </si>
  <si>
    <t>2023年3月1日</t>
  </si>
  <si>
    <t>2023年3月23日</t>
  </si>
  <si>
    <t>2023年3月24日</t>
  </si>
  <si>
    <t>107-78</t>
  </si>
  <si>
    <t>2023年3月28日</t>
  </si>
  <si>
    <t>107-95</t>
  </si>
  <si>
    <t>2023年3月29日</t>
  </si>
  <si>
    <t>2023年3月2日</t>
  </si>
  <si>
    <t>107-54</t>
  </si>
  <si>
    <t>2023年3月30日</t>
  </si>
  <si>
    <t>2023年3月31日</t>
  </si>
  <si>
    <t>107-107</t>
  </si>
  <si>
    <t>106-12</t>
  </si>
  <si>
    <t>475</t>
  </si>
  <si>
    <t>2023年3月3日</t>
  </si>
  <si>
    <t>107-60</t>
  </si>
  <si>
    <t>88-42</t>
  </si>
  <si>
    <t>107-22</t>
  </si>
  <si>
    <t>107-89</t>
  </si>
  <si>
    <t>41-12</t>
  </si>
  <si>
    <t>2023年4月12日</t>
  </si>
  <si>
    <t>24-17</t>
  </si>
  <si>
    <t>88-12</t>
  </si>
  <si>
    <t>107-25</t>
  </si>
  <si>
    <t>415</t>
  </si>
  <si>
    <t>72-12</t>
  </si>
  <si>
    <t>86-73</t>
  </si>
  <si>
    <t>107-87</t>
  </si>
  <si>
    <t>2023年4月14日</t>
  </si>
  <si>
    <t>107-100</t>
  </si>
  <si>
    <t>99-64</t>
  </si>
  <si>
    <t>2023年4月17日</t>
  </si>
  <si>
    <t>107-51</t>
  </si>
  <si>
    <t>89-12</t>
  </si>
  <si>
    <t>107-90</t>
  </si>
  <si>
    <t>14-12</t>
  </si>
  <si>
    <t>50-15</t>
  </si>
  <si>
    <t>32-32</t>
  </si>
  <si>
    <t>32-12</t>
  </si>
  <si>
    <t>31-12</t>
  </si>
  <si>
    <t>2023年4月19日</t>
  </si>
  <si>
    <t>59-57</t>
  </si>
  <si>
    <t>97-60</t>
  </si>
  <si>
    <t>97</t>
  </si>
  <si>
    <t>16-12</t>
  </si>
  <si>
    <t>107-98</t>
  </si>
  <si>
    <t>56-17</t>
  </si>
  <si>
    <t>2023年4月20日</t>
  </si>
  <si>
    <t>107-15</t>
  </si>
  <si>
    <t>107-104</t>
  </si>
  <si>
    <t>40-26</t>
  </si>
  <si>
    <t>25-12</t>
  </si>
  <si>
    <t>107-41</t>
  </si>
  <si>
    <t>107-53</t>
  </si>
  <si>
    <t>54-12</t>
  </si>
  <si>
    <t>99-55</t>
  </si>
  <si>
    <t>107-75</t>
  </si>
  <si>
    <t>90-12</t>
  </si>
  <si>
    <t>395</t>
  </si>
  <si>
    <t>107-70</t>
  </si>
  <si>
    <t>107-91</t>
  </si>
  <si>
    <t>57-28</t>
  </si>
  <si>
    <t>23-12</t>
  </si>
  <si>
    <t>107-24</t>
  </si>
  <si>
    <t>146</t>
  </si>
  <si>
    <t>107-58</t>
  </si>
  <si>
    <t>107-97</t>
  </si>
  <si>
    <t>96-12</t>
  </si>
  <si>
    <t>425</t>
  </si>
  <si>
    <t>70-31</t>
  </si>
  <si>
    <t>30-12</t>
  </si>
  <si>
    <t>104-71</t>
  </si>
  <si>
    <t>107-105</t>
  </si>
  <si>
    <t>2023年4月7日</t>
  </si>
  <si>
    <t>104-12</t>
  </si>
  <si>
    <t>71-29</t>
  </si>
  <si>
    <t>107-72</t>
  </si>
  <si>
    <t>69-15</t>
  </si>
  <si>
    <t>70-47</t>
  </si>
  <si>
    <t>107-71</t>
  </si>
  <si>
    <t>46-12</t>
  </si>
  <si>
    <t>89-50</t>
  </si>
  <si>
    <t>49-12</t>
  </si>
  <si>
    <t>53-12</t>
  </si>
  <si>
    <t>107-85</t>
  </si>
  <si>
    <t>77-12</t>
  </si>
  <si>
    <t>330</t>
  </si>
  <si>
    <t>13-12</t>
  </si>
  <si>
    <t>106-99</t>
  </si>
  <si>
    <t>107-14</t>
  </si>
  <si>
    <t>98-61</t>
  </si>
  <si>
    <t>27-12</t>
  </si>
  <si>
    <t>67-28</t>
  </si>
  <si>
    <t>97-68</t>
  </si>
  <si>
    <t>107-35</t>
  </si>
  <si>
    <t>34-12</t>
  </si>
  <si>
    <t>17-12</t>
  </si>
  <si>
    <t>24-18</t>
  </si>
  <si>
    <t>28-12</t>
  </si>
  <si>
    <t>107-29</t>
  </si>
  <si>
    <t>24-12</t>
  </si>
  <si>
    <t>46-25</t>
  </si>
  <si>
    <t>96-77</t>
  </si>
  <si>
    <t>76-47</t>
  </si>
  <si>
    <t>94-77</t>
  </si>
  <si>
    <t>76-12</t>
  </si>
  <si>
    <t>325</t>
  </si>
  <si>
    <t>33-12</t>
  </si>
  <si>
    <t>57-34</t>
  </si>
  <si>
    <t>24-15</t>
  </si>
  <si>
    <t>89-40</t>
  </si>
  <si>
    <t>39-29</t>
  </si>
  <si>
    <t>45-33</t>
  </si>
  <si>
    <t>96-46</t>
  </si>
  <si>
    <t>79-12</t>
  </si>
  <si>
    <t>101-80</t>
  </si>
  <si>
    <t>107-102</t>
  </si>
  <si>
    <t>74-12</t>
  </si>
  <si>
    <t>94-12</t>
  </si>
  <si>
    <t>93-12</t>
  </si>
  <si>
    <t>9</t>
  </si>
  <si>
    <t>107-99</t>
  </si>
  <si>
    <t>107-94</t>
  </si>
  <si>
    <t>98-12</t>
  </si>
  <si>
    <t>435</t>
  </si>
  <si>
    <t>554</t>
  </si>
  <si>
    <t>46-45</t>
  </si>
  <si>
    <t>49-47</t>
  </si>
  <si>
    <t>44-12</t>
  </si>
  <si>
    <t>67-50</t>
  </si>
  <si>
    <t>424</t>
  </si>
  <si>
    <t>107-68</t>
  </si>
  <si>
    <t>105-12</t>
  </si>
  <si>
    <t>107-106</t>
  </si>
  <si>
    <t>78-45</t>
  </si>
  <si>
    <t>107-79</t>
  </si>
  <si>
    <t>2023年6月22日</t>
  </si>
  <si>
    <t>107-96</t>
  </si>
  <si>
    <t>2023年6月23日</t>
  </si>
  <si>
    <t>107-88</t>
  </si>
  <si>
    <t>73-50</t>
  </si>
  <si>
    <t>97-74</t>
  </si>
  <si>
    <t>53-14</t>
  </si>
  <si>
    <t>87-54</t>
  </si>
  <si>
    <t>56-14</t>
  </si>
  <si>
    <t>96-57</t>
  </si>
  <si>
    <t>45-26</t>
  </si>
  <si>
    <t>107-46</t>
  </si>
  <si>
    <t>2023年6月28日</t>
  </si>
  <si>
    <t>107-48</t>
  </si>
  <si>
    <t>2023年6月29日</t>
  </si>
  <si>
    <t>68-45</t>
  </si>
  <si>
    <t>107-69</t>
  </si>
  <si>
    <t>107-26</t>
  </si>
  <si>
    <t>20-12</t>
  </si>
  <si>
    <t>107-21</t>
  </si>
  <si>
    <t>92-45</t>
  </si>
  <si>
    <t>107-93</t>
  </si>
  <si>
    <t>14-14</t>
  </si>
  <si>
    <t>15-15</t>
  </si>
  <si>
    <t>33-16</t>
  </si>
  <si>
    <t>107-34</t>
  </si>
  <si>
    <t>370</t>
  </si>
  <si>
    <t>85-23</t>
  </si>
  <si>
    <t>107-86</t>
  </si>
  <si>
    <t>22-12</t>
  </si>
  <si>
    <t>92-50</t>
  </si>
  <si>
    <t>98-59</t>
  </si>
  <si>
    <t>97-23</t>
  </si>
  <si>
    <t>40-12</t>
  </si>
  <si>
    <t>107-65</t>
  </si>
  <si>
    <t>64-12</t>
  </si>
  <si>
    <t>2023年7月14日</t>
  </si>
  <si>
    <t>2023年7月17日</t>
  </si>
  <si>
    <t>99-58</t>
  </si>
  <si>
    <t>107-38</t>
  </si>
  <si>
    <t>37-12</t>
  </si>
  <si>
    <t>107-82</t>
  </si>
  <si>
    <t>81-58</t>
  </si>
  <si>
    <t>2023年7月21日</t>
  </si>
  <si>
    <t>21-12</t>
  </si>
  <si>
    <t>63-21</t>
  </si>
  <si>
    <t>55-22</t>
  </si>
  <si>
    <t>107-56</t>
  </si>
  <si>
    <t>107-64</t>
  </si>
  <si>
    <t>2023年7月24日</t>
  </si>
  <si>
    <t>61-61</t>
  </si>
  <si>
    <t>60-12</t>
  </si>
  <si>
    <t>99-62</t>
  </si>
  <si>
    <t>103-49</t>
  </si>
  <si>
    <t>63-61</t>
  </si>
  <si>
    <t>103-64</t>
  </si>
  <si>
    <t>2023年7月28日</t>
  </si>
  <si>
    <t>106-102</t>
  </si>
  <si>
    <t>57-25</t>
  </si>
  <si>
    <t>67-58</t>
  </si>
  <si>
    <t>107-61</t>
  </si>
  <si>
    <t>78-54</t>
  </si>
  <si>
    <t>103-79</t>
  </si>
  <si>
    <t>78-49</t>
  </si>
  <si>
    <t>2023年8月11日</t>
  </si>
  <si>
    <t>2023年8月14日</t>
  </si>
  <si>
    <t>107-63</t>
  </si>
  <si>
    <t>107-103</t>
  </si>
  <si>
    <t>87-32</t>
  </si>
  <si>
    <t>102-88</t>
  </si>
  <si>
    <t>154</t>
  </si>
  <si>
    <t>107-50</t>
  </si>
  <si>
    <t>59-34</t>
  </si>
  <si>
    <t>2023年8月18日</t>
  </si>
  <si>
    <t>18-12</t>
  </si>
  <si>
    <t>107-19</t>
  </si>
  <si>
    <t>2023年8月2日</t>
  </si>
  <si>
    <t>58-49</t>
  </si>
  <si>
    <t>69-59</t>
  </si>
  <si>
    <t>2023年8月3日</t>
  </si>
  <si>
    <t>2023年8月4日</t>
  </si>
  <si>
    <t>19-12</t>
  </si>
  <si>
    <t>29-20</t>
  </si>
  <si>
    <t>107-30</t>
  </si>
  <si>
    <t>2023年8月8日</t>
  </si>
  <si>
    <t>97-61</t>
  </si>
  <si>
    <t>2023年8月9日</t>
  </si>
  <si>
    <t>Seq</t>
  </si>
  <si>
    <t>需求總單位</t>
  </si>
  <si>
    <t>當日安排單位</t>
  </si>
  <si>
    <t>單位時間(min)</t>
  </si>
  <si>
    <t>總時間(min)</t>
  </si>
  <si>
    <t>Need Unit</t>
  </si>
  <si>
    <t>最早Slot索引</t>
  </si>
  <si>
    <t>最晚Slot索引</t>
  </si>
  <si>
    <t>11:50-13:55</t>
  </si>
  <si>
    <t>16:20-17:30</t>
  </si>
  <si>
    <t>Cat2</t>
  </si>
  <si>
    <t>製造項</t>
  </si>
  <si>
    <t>攪料+清洗</t>
  </si>
  <si>
    <t>1.0</t>
  </si>
  <si>
    <t>14:55-16:55</t>
  </si>
  <si>
    <t>10:00-17:55</t>
  </si>
  <si>
    <t>10:35-17:55</t>
  </si>
  <si>
    <t>13:10-17:55</t>
  </si>
  <si>
    <t>3.0</t>
  </si>
  <si>
    <t>155</t>
  </si>
  <si>
    <t>09:15-16:55</t>
  </si>
  <si>
    <t>14:25-16:55</t>
  </si>
  <si>
    <t>10:00-14:20</t>
  </si>
  <si>
    <t>12:25-17:55</t>
  </si>
  <si>
    <t>10:00-17:05</t>
  </si>
  <si>
    <t>12:40-17:55</t>
  </si>
  <si>
    <t>2.0</t>
  </si>
  <si>
    <t>11:20-16:55</t>
  </si>
  <si>
    <t>10:00-11:45</t>
  </si>
  <si>
    <t>11:50-17:55</t>
  </si>
  <si>
    <t>11:40-16:15</t>
  </si>
  <si>
    <t>11:25-14:50</t>
  </si>
  <si>
    <t>10:00-16:55</t>
  </si>
  <si>
    <t>13:30-16:55</t>
  </si>
  <si>
    <t>10:00-10:30</t>
  </si>
  <si>
    <t>14:00-17:55</t>
  </si>
  <si>
    <t>10:00-13:05</t>
  </si>
  <si>
    <t>17:35-17:55</t>
  </si>
  <si>
    <t>11:35-14:20</t>
  </si>
  <si>
    <t>14:25-17:55</t>
  </si>
  <si>
    <t>14:15-17:55</t>
  </si>
  <si>
    <t>11:50-13:25</t>
  </si>
  <si>
    <t>11:30-16:55</t>
  </si>
  <si>
    <t>10:20-15:45</t>
  </si>
  <si>
    <t>14:20-17:35</t>
  </si>
  <si>
    <t>14:10-17:15</t>
  </si>
  <si>
    <t>15:20-16:55</t>
  </si>
  <si>
    <t>14:05-17:55</t>
  </si>
  <si>
    <t>14:40-17:55</t>
  </si>
  <si>
    <t>09:10-11:15</t>
  </si>
  <si>
    <t>15:35-17:55</t>
  </si>
  <si>
    <t>17:10-17:55</t>
  </si>
  <si>
    <t>6.0</t>
  </si>
  <si>
    <t>15:50-16:55</t>
  </si>
  <si>
    <t>17:40-17:55</t>
  </si>
  <si>
    <t>10:00-14:00</t>
  </si>
  <si>
    <t>14:20-17:55</t>
  </si>
  <si>
    <t>14:40-16:55</t>
  </si>
  <si>
    <t>11:30-17:55</t>
  </si>
  <si>
    <t>14:50-17:55</t>
  </si>
  <si>
    <t>2023年8月1日</t>
  </si>
  <si>
    <t>11:10-16:55</t>
  </si>
  <si>
    <t>2023年7月31日</t>
  </si>
  <si>
    <t>14:05-16:55</t>
  </si>
  <si>
    <t>15:35-17:35</t>
  </si>
  <si>
    <t>13:50-14:35</t>
  </si>
  <si>
    <t>14:00-16:55</t>
  </si>
  <si>
    <t>17:20-17:55</t>
  </si>
  <si>
    <t>10:30-16:55</t>
  </si>
  <si>
    <t>10:40-11:25</t>
  </si>
  <si>
    <t>13:55-14:45</t>
  </si>
  <si>
    <t>14:20-16:55</t>
  </si>
  <si>
    <t>13:05-15:30</t>
  </si>
  <si>
    <t>14:05-17:05</t>
  </si>
  <si>
    <t>12:40-15:45</t>
  </si>
  <si>
    <t>13:40-17:55</t>
  </si>
  <si>
    <t>12:50-16:55</t>
  </si>
  <si>
    <t>10:00-10:35</t>
  </si>
  <si>
    <t>13:05-13:50</t>
  </si>
  <si>
    <t>11:10-14:00</t>
  </si>
  <si>
    <t>10:00-12:20</t>
  </si>
  <si>
    <t>17:15-17:55</t>
  </si>
  <si>
    <t>10:00-12:35</t>
  </si>
  <si>
    <t>17:30-17:55</t>
  </si>
  <si>
    <t>09:20-11:15</t>
  </si>
  <si>
    <t>13:55-17:10</t>
  </si>
  <si>
    <t>10:50-13:35</t>
  </si>
  <si>
    <t>16:00-17:55</t>
  </si>
  <si>
    <t>15:00-16:55</t>
  </si>
  <si>
    <t>13:05-17:35</t>
  </si>
  <si>
    <t>10:45-14:15</t>
  </si>
  <si>
    <t>14:10-16:55</t>
  </si>
  <si>
    <t>10:00-10:45</t>
  </si>
  <si>
    <t>17:50-17:55</t>
  </si>
  <si>
    <t>17:05-17:55</t>
  </si>
  <si>
    <t>15:05-16:55</t>
  </si>
  <si>
    <t>13:50-15:45</t>
  </si>
  <si>
    <t>10:00-12:05</t>
  </si>
  <si>
    <t>09:20-11:05</t>
  </si>
  <si>
    <t>16:05-16:55</t>
  </si>
  <si>
    <t>14:05-14:15</t>
  </si>
  <si>
    <t>14:05-14:05</t>
  </si>
  <si>
    <t>09:10-10:25</t>
  </si>
  <si>
    <t>10:00-17:45</t>
  </si>
  <si>
    <t>15:50-17:55</t>
  </si>
  <si>
    <t>12:10-17:55</t>
  </si>
  <si>
    <t>09:10-11:25</t>
  </si>
  <si>
    <t>11:10-17:55</t>
  </si>
  <si>
    <t>13:50-17:15</t>
  </si>
  <si>
    <t>14:45-17:55</t>
  </si>
  <si>
    <t>13:00-17:55</t>
  </si>
  <si>
    <t>09:30-16:55</t>
  </si>
  <si>
    <t>13:15-16:55</t>
  </si>
  <si>
    <t>16:50-17:55</t>
  </si>
  <si>
    <t>11:45-17:55</t>
  </si>
  <si>
    <t>10:00-16:45</t>
  </si>
  <si>
    <t>13:30-15:30</t>
  </si>
  <si>
    <t>11:05-13:45</t>
  </si>
  <si>
    <t>11:40-16:55</t>
  </si>
  <si>
    <t>12:50-17:55</t>
  </si>
  <si>
    <t>4.0</t>
  </si>
  <si>
    <t>09:00-16:55</t>
  </si>
  <si>
    <t>0</t>
  </si>
  <si>
    <t>17:55-17:55</t>
  </si>
  <si>
    <t>10:20-11:25</t>
  </si>
  <si>
    <t>17:15-17:50</t>
  </si>
  <si>
    <t>17:30-17:50</t>
  </si>
  <si>
    <t>09:10-10:15</t>
  </si>
  <si>
    <t>11:10-12:45</t>
  </si>
  <si>
    <t>16:30-17:55</t>
  </si>
  <si>
    <t>12:45-14:40</t>
  </si>
  <si>
    <t>13:10-14:35</t>
  </si>
  <si>
    <t>10:20-11:45</t>
  </si>
  <si>
    <t>16:15-16:55</t>
  </si>
  <si>
    <t>13:30-16:15</t>
  </si>
  <si>
    <t>2023年6月21日</t>
  </si>
  <si>
    <t>10:10-13:25</t>
  </si>
  <si>
    <t>09:45-13:10</t>
  </si>
  <si>
    <t>12:20-15:45</t>
  </si>
  <si>
    <t>10:00-10:50</t>
  </si>
  <si>
    <t>16:45-17:55</t>
  </si>
  <si>
    <t>10:00-12:40</t>
  </si>
  <si>
    <t>10:15-16:55</t>
  </si>
  <si>
    <t>10:00-10:05</t>
  </si>
  <si>
    <t>10:45-17:55</t>
  </si>
  <si>
    <t>09:40-16:55</t>
  </si>
  <si>
    <t>12:00-16:55</t>
  </si>
  <si>
    <t>13:20-16:55</t>
  </si>
  <si>
    <t>10:00-17:50</t>
  </si>
  <si>
    <t>16:55-17:55</t>
  </si>
  <si>
    <t>2023年3月27日</t>
  </si>
  <si>
    <t>09:35-14:10</t>
  </si>
  <si>
    <t>2023年3月22日</t>
  </si>
  <si>
    <t>2023年3月16日</t>
  </si>
  <si>
    <t>2023年3月15日</t>
  </si>
  <si>
    <t>2023年3月14日</t>
  </si>
  <si>
    <t>2023年3月13日</t>
  </si>
  <si>
    <t>2023年3月10日</t>
  </si>
  <si>
    <t>10:00-12:25</t>
  </si>
  <si>
    <t>17:45-17:55</t>
  </si>
  <si>
    <t>14:15-16:55</t>
  </si>
  <si>
    <t>13:45-17:00</t>
  </si>
  <si>
    <t>15:10-17:05</t>
  </si>
  <si>
    <t>13:30-14:35</t>
  </si>
  <si>
    <t>10:10-13:40</t>
  </si>
  <si>
    <t>13:10-15:05</t>
  </si>
  <si>
    <t>12:20-13:25</t>
  </si>
  <si>
    <t>16:20-17:55</t>
  </si>
  <si>
    <t>17:00-17:55</t>
  </si>
  <si>
    <t>16:10-17:55</t>
  </si>
  <si>
    <t>10:00-10:40</t>
  </si>
  <si>
    <t>10:40-13:15</t>
  </si>
  <si>
    <t>12:55-13:05</t>
  </si>
  <si>
    <t>10:15-10:15</t>
  </si>
  <si>
    <t>14:50-16:10</t>
  </si>
  <si>
    <t>12:45-12:50</t>
  </si>
  <si>
    <t>10:10-10:10</t>
  </si>
  <si>
    <t>13:25-14:45</t>
  </si>
  <si>
    <t>13:10-16:40</t>
  </si>
  <si>
    <t>11:25-12:15</t>
  </si>
  <si>
    <t>09:15-11:35</t>
  </si>
  <si>
    <t>12:20-16:25</t>
  </si>
  <si>
    <t>12:55-15:20</t>
  </si>
  <si>
    <t>11:55-15:05</t>
  </si>
  <si>
    <t>14:40-17:05</t>
  </si>
  <si>
    <t>14:05-17:10</t>
  </si>
  <si>
    <t>09:00-09:55</t>
  </si>
  <si>
    <t>10:00-11:20</t>
  </si>
  <si>
    <t>13:50-17:55</t>
  </si>
  <si>
    <t>11:50-16:55</t>
  </si>
  <si>
    <t>12:45-16:40</t>
  </si>
  <si>
    <t>12:50-17:00</t>
  </si>
  <si>
    <t>10:55-16:05</t>
  </si>
  <si>
    <t>12:45-15:30</t>
  </si>
  <si>
    <t>11:15-16:55</t>
  </si>
  <si>
    <t>09:50-11:55</t>
  </si>
  <si>
    <t>10:00-11:05</t>
  </si>
  <si>
    <t>11:45-12:45</t>
  </si>
  <si>
    <t>09:40-11:35</t>
  </si>
  <si>
    <t>10:00-11:40</t>
  </si>
  <si>
    <t>11:05-17:55</t>
  </si>
  <si>
    <t>10:00-15:20</t>
  </si>
  <si>
    <t>11:25-17:55</t>
  </si>
  <si>
    <t>09:00-11:45</t>
  </si>
  <si>
    <t>15:40-17:25</t>
  </si>
  <si>
    <t>10:15-11:00</t>
  </si>
  <si>
    <t>0.28</t>
  </si>
  <si>
    <t>09:35-10:25</t>
  </si>
  <si>
    <t>13:40-16:55</t>
  </si>
  <si>
    <t>10:00-15:35</t>
  </si>
  <si>
    <t>10:00-10:10</t>
  </si>
  <si>
    <t>15:10-16:55</t>
  </si>
  <si>
    <t>15:25-17:00</t>
  </si>
  <si>
    <t>12:25-15:15</t>
  </si>
  <si>
    <t>11:20-14:35</t>
  </si>
  <si>
    <t>10:15-17:55</t>
  </si>
  <si>
    <t>11:50-13:45</t>
  </si>
  <si>
    <t>09:40-13:35</t>
  </si>
  <si>
    <t>13:00-16:55</t>
  </si>
  <si>
    <t>10:00-11:15</t>
  </si>
  <si>
    <t>10:10-17:55</t>
  </si>
  <si>
    <t>10:50-17:55</t>
  </si>
  <si>
    <t>11:20-14:05</t>
  </si>
  <si>
    <t>11:05-12:50</t>
  </si>
  <si>
    <t>09:20-11:50</t>
  </si>
  <si>
    <t>10:25-12:55</t>
  </si>
  <si>
    <t>15:25-16:50</t>
  </si>
  <si>
    <t>10:00-11:00</t>
  </si>
  <si>
    <t>11:50-14:20</t>
  </si>
  <si>
    <t>10:30-11:00</t>
  </si>
  <si>
    <t>10:00-10:25</t>
  </si>
  <si>
    <t>10:00-13:25</t>
  </si>
  <si>
    <t>15:30-17:55</t>
  </si>
  <si>
    <t>16:05-17:55</t>
  </si>
  <si>
    <t>10:00-17:00</t>
  </si>
  <si>
    <t>11:00-17:55</t>
  </si>
  <si>
    <t>10:10-12:40</t>
  </si>
  <si>
    <t>10:00-15:25</t>
  </si>
  <si>
    <t>13:30-17:55</t>
  </si>
  <si>
    <t>12:50-14:55</t>
  </si>
  <si>
    <t>10:00-17:10</t>
  </si>
  <si>
    <t>15:15-17:55</t>
  </si>
  <si>
    <t>10:00-12:55</t>
  </si>
  <si>
    <t>10:00-12:50</t>
  </si>
  <si>
    <t>14:55-17:55</t>
  </si>
  <si>
    <t>15:00-17:55</t>
  </si>
  <si>
    <t>11:00-16:55</t>
  </si>
  <si>
    <t>11:30-14:05</t>
  </si>
  <si>
    <t>10:15-13:10</t>
  </si>
  <si>
    <t>14:20-17:15</t>
  </si>
  <si>
    <t>13:40-15:10</t>
  </si>
  <si>
    <t>10:00-16:20</t>
  </si>
  <si>
    <t>10:00-16:50</t>
  </si>
  <si>
    <t>16:35-17:55</t>
  </si>
  <si>
    <t>7.0</t>
  </si>
  <si>
    <t>11:45-16:55</t>
  </si>
  <si>
    <t>16:15-17:55</t>
  </si>
  <si>
    <t>10:45-16:55</t>
  </si>
  <si>
    <t>12:55-14:50</t>
  </si>
  <si>
    <t>11:25-14:55</t>
  </si>
  <si>
    <t>15:25-16:55</t>
  </si>
  <si>
    <t>10:00-17:40</t>
  </si>
  <si>
    <t>16:25-17:55</t>
  </si>
  <si>
    <t>10:00-11:50</t>
  </si>
  <si>
    <t>11:55-17:55</t>
  </si>
  <si>
    <t>13:10-16:25</t>
  </si>
  <si>
    <t>10:15-14:45</t>
  </si>
  <si>
    <t>14:30-16:55</t>
  </si>
  <si>
    <t>13:35-17:15</t>
  </si>
  <si>
    <t>13:25-17:55</t>
  </si>
  <si>
    <t>13:50-16:55</t>
  </si>
  <si>
    <t>10:00-13:30</t>
  </si>
  <si>
    <t>10:25-13:40</t>
  </si>
  <si>
    <t>10:00-11:35</t>
  </si>
  <si>
    <t>15:35-16:55</t>
  </si>
  <si>
    <t>10:00-15:10</t>
  </si>
  <si>
    <t>14:55-17:40</t>
  </si>
  <si>
    <t>11:10-12:20</t>
  </si>
  <si>
    <t>11:20-13:45</t>
  </si>
  <si>
    <t>10:00-10:20</t>
  </si>
  <si>
    <t>10:00-16:25</t>
  </si>
  <si>
    <t>15:15-16:55</t>
  </si>
  <si>
    <t>14:00-17:05</t>
  </si>
  <si>
    <t>10:00-10:55</t>
  </si>
  <si>
    <t>11:00-14:15</t>
  </si>
  <si>
    <t>10:20-16:55</t>
  </si>
  <si>
    <t>13:15-17:55</t>
  </si>
  <si>
    <t>11:50-15:15</t>
  </si>
  <si>
    <t>15:05-16:10</t>
  </si>
  <si>
    <t>10:25-11:00</t>
  </si>
  <si>
    <t>13:55-16:55</t>
  </si>
  <si>
    <t>10:00-15:00</t>
  </si>
  <si>
    <t>10:00-11:30</t>
  </si>
  <si>
    <t>12:45-16:55</t>
  </si>
  <si>
    <t>12:30-16:20</t>
  </si>
  <si>
    <t>13:45-13:55</t>
  </si>
  <si>
    <t>11:40-11:40</t>
  </si>
  <si>
    <t>14:10-15:30</t>
  </si>
  <si>
    <t>10:00-16:30</t>
  </si>
  <si>
    <t>11:00-13:35</t>
  </si>
  <si>
    <t>11:35-14:50</t>
  </si>
  <si>
    <t>16:40-17:55</t>
  </si>
  <si>
    <t>2023年2月27日</t>
  </si>
  <si>
    <t>12:15-17:55</t>
  </si>
  <si>
    <t>2023年2月15日</t>
  </si>
  <si>
    <t>10:50-16:55</t>
  </si>
  <si>
    <t>2023年2月14日</t>
  </si>
  <si>
    <t>15:45-17:55</t>
  </si>
  <si>
    <t>15:40-17:55</t>
  </si>
  <si>
    <t>2023年11月30日</t>
  </si>
  <si>
    <t>子任務ID</t>
  </si>
  <si>
    <t>P129_C4_19</t>
  </si>
  <si>
    <t>P129_C3_18</t>
  </si>
  <si>
    <t>P129_1</t>
  </si>
  <si>
    <t>13:10-15:10</t>
  </si>
  <si>
    <t>Cat1</t>
  </si>
  <si>
    <t>14:50-15:10</t>
  </si>
  <si>
    <t>P128_C4_19</t>
  </si>
  <si>
    <t>P128_C3_18</t>
  </si>
  <si>
    <t>P128_1</t>
  </si>
  <si>
    <t>P128_2</t>
  </si>
  <si>
    <t>P128_3</t>
  </si>
  <si>
    <t>P128_4</t>
  </si>
  <si>
    <t>16:25-16:55</t>
  </si>
  <si>
    <t>P127_C4_19</t>
  </si>
  <si>
    <t>P127_C3_18</t>
  </si>
  <si>
    <t>10:55-17:05</t>
  </si>
  <si>
    <t>P127_C3_16</t>
  </si>
  <si>
    <t>P127_1</t>
  </si>
  <si>
    <t>10:10-15:45</t>
  </si>
  <si>
    <t>14:45-15:40</t>
  </si>
  <si>
    <t>P127_2</t>
  </si>
  <si>
    <t>16:00-16:55</t>
  </si>
  <si>
    <t>P127_3</t>
  </si>
  <si>
    <t>P127_4</t>
  </si>
  <si>
    <t>P127_5</t>
  </si>
  <si>
    <t>P126_C4_19</t>
  </si>
  <si>
    <t>P126_C3_18</t>
  </si>
  <si>
    <t>P126_1</t>
  </si>
  <si>
    <t>09:40-13:05</t>
  </si>
  <si>
    <t>10:55-11:15</t>
  </si>
  <si>
    <t>P126_2</t>
  </si>
  <si>
    <t>11:20-14:45</t>
  </si>
  <si>
    <t>11:20-11:40</t>
  </si>
  <si>
    <t>P126_3</t>
  </si>
  <si>
    <t>11:45-15:10</t>
  </si>
  <si>
    <t>12:05-12:25</t>
  </si>
  <si>
    <t>P126_4</t>
  </si>
  <si>
    <t>12:30-15:55</t>
  </si>
  <si>
    <t>15:45-16:05</t>
  </si>
  <si>
    <t>P125_C4_19</t>
  </si>
  <si>
    <t>P125_C3_18</t>
  </si>
  <si>
    <t>P125_1</t>
  </si>
  <si>
    <t>16:00-16:20</t>
  </si>
  <si>
    <t>P125_2</t>
  </si>
  <si>
    <t>16:10-16:55</t>
  </si>
  <si>
    <t>P124_C4_19</t>
  </si>
  <si>
    <t>P124_C3_18</t>
  </si>
  <si>
    <t>P124_1</t>
  </si>
  <si>
    <t>09:15-10:50</t>
  </si>
  <si>
    <t>11:00-11:15</t>
  </si>
  <si>
    <t>P122_1</t>
  </si>
  <si>
    <t>P122_2</t>
  </si>
  <si>
    <t>09:40-11:15</t>
  </si>
  <si>
    <t>P122_3</t>
  </si>
  <si>
    <t>09:20-14:45</t>
  </si>
  <si>
    <t>P122_4</t>
  </si>
  <si>
    <t>10:30-15:55</t>
  </si>
  <si>
    <t>P122_5</t>
  </si>
  <si>
    <t>09:20-12:35</t>
  </si>
  <si>
    <t>12:40-15:55</t>
  </si>
  <si>
    <t>P122_6</t>
  </si>
  <si>
    <t>12:00-13:35</t>
  </si>
  <si>
    <t>P121_C4_19</t>
  </si>
  <si>
    <t>P121_C3_18</t>
  </si>
  <si>
    <t>P121_1</t>
  </si>
  <si>
    <t>16:35-16:55</t>
  </si>
  <si>
    <t>P120_C4_19</t>
  </si>
  <si>
    <t>P120_C3_18</t>
  </si>
  <si>
    <t>P120_1</t>
  </si>
  <si>
    <t>10:25-11:15</t>
  </si>
  <si>
    <t>P119_C4_19</t>
  </si>
  <si>
    <t>P119_C3_18</t>
  </si>
  <si>
    <t>P119_1</t>
  </si>
  <si>
    <t>P119_2</t>
  </si>
  <si>
    <t>P119_3</t>
  </si>
  <si>
    <t>P119_4</t>
  </si>
  <si>
    <t>15:45-16:55</t>
  </si>
  <si>
    <t>P118_C4_19</t>
  </si>
  <si>
    <t>P118_C3_18</t>
  </si>
  <si>
    <t>P118_1</t>
  </si>
  <si>
    <t>P117_C4_19</t>
  </si>
  <si>
    <t>P117_C3_18</t>
  </si>
  <si>
    <t>P117_1</t>
  </si>
  <si>
    <t>P117_2</t>
  </si>
  <si>
    <t>P117_3</t>
  </si>
  <si>
    <t>P116_C4_19</t>
  </si>
  <si>
    <t>P116_C3_18</t>
  </si>
  <si>
    <t>P116_1</t>
  </si>
  <si>
    <t>11:40-14:35</t>
  </si>
  <si>
    <t>P115_C4_19</t>
  </si>
  <si>
    <t>P115_C3_18</t>
  </si>
  <si>
    <t>P115_1</t>
  </si>
  <si>
    <t>P114_C4_19</t>
  </si>
  <si>
    <t>P114_C3_18</t>
  </si>
  <si>
    <t>P114_1</t>
  </si>
  <si>
    <t>13:05-15:40</t>
  </si>
  <si>
    <t>13:15-13:35</t>
  </si>
  <si>
    <t>P113_C4_19</t>
  </si>
  <si>
    <t>P113_C3_18</t>
  </si>
  <si>
    <t>P113_1</t>
  </si>
  <si>
    <t>P112_C4_19</t>
  </si>
  <si>
    <t>P112_1</t>
  </si>
  <si>
    <t>11:25-15:30</t>
  </si>
  <si>
    <t>14:30-15:55</t>
  </si>
  <si>
    <t>P111_C4_19</t>
  </si>
  <si>
    <t>P111_C3_18</t>
  </si>
  <si>
    <t>P111_1</t>
  </si>
  <si>
    <t>13:40-15:15</t>
  </si>
  <si>
    <t>P110_C4_19</t>
  </si>
  <si>
    <t>P110_C3_18</t>
  </si>
  <si>
    <t>P110_1</t>
  </si>
  <si>
    <t>14:50-15:55</t>
  </si>
  <si>
    <t>P109_C4_19</t>
  </si>
  <si>
    <t>P109_1</t>
  </si>
  <si>
    <t>10:10-13:35</t>
  </si>
  <si>
    <t>09:35-11:15</t>
  </si>
  <si>
    <t>P109_2</t>
  </si>
  <si>
    <t>10:45-14:10</t>
  </si>
  <si>
    <t>10:15-11:55</t>
  </si>
  <si>
    <t>P108_C4_19</t>
  </si>
  <si>
    <t>P108_C3_18</t>
  </si>
  <si>
    <t>P108_1</t>
  </si>
  <si>
    <t>P107_C4_19</t>
  </si>
  <si>
    <t>P107_C3_18</t>
  </si>
  <si>
    <t>P107_1</t>
  </si>
  <si>
    <t>P107_2</t>
  </si>
  <si>
    <t>P106_C4_19</t>
  </si>
  <si>
    <t>P106_C3_18</t>
  </si>
  <si>
    <t>P106_1</t>
  </si>
  <si>
    <t>P105_C4_19</t>
  </si>
  <si>
    <t>P105_C3_18</t>
  </si>
  <si>
    <t>P105_1</t>
  </si>
  <si>
    <t>P105_2</t>
  </si>
  <si>
    <t>15:40-16:55</t>
  </si>
  <si>
    <t>P104_C4_19</t>
  </si>
  <si>
    <t>P104_C3_18</t>
  </si>
  <si>
    <t>P104_1</t>
  </si>
  <si>
    <t>15:35-16:30</t>
  </si>
  <si>
    <t>P103_C4_19</t>
  </si>
  <si>
    <t>P103_C3_18</t>
  </si>
  <si>
    <t>P103_1</t>
  </si>
  <si>
    <t>P103_2</t>
  </si>
  <si>
    <t>P102_C4_19</t>
  </si>
  <si>
    <t>P102_C3_18</t>
  </si>
  <si>
    <t>P102_1</t>
  </si>
  <si>
    <t>P101_C4_19</t>
  </si>
  <si>
    <t>P101_C3_18</t>
  </si>
  <si>
    <t>P101_1</t>
  </si>
  <si>
    <t>10:35-10:55</t>
  </si>
  <si>
    <t>P101_2</t>
  </si>
  <si>
    <t>09:05-16:00</t>
  </si>
  <si>
    <t>14:50-15:35</t>
  </si>
  <si>
    <t>P101_3</t>
  </si>
  <si>
    <t>P100_C4_19</t>
  </si>
  <si>
    <t>P100_C3_18</t>
  </si>
  <si>
    <t>P100_1</t>
  </si>
  <si>
    <t>11:10-14:50</t>
  </si>
  <si>
    <t>15:30-16:25</t>
  </si>
  <si>
    <t>P100_2</t>
  </si>
  <si>
    <t>P100_3</t>
  </si>
  <si>
    <t>P100_4</t>
  </si>
  <si>
    <t>P099_C4_19</t>
  </si>
  <si>
    <t>P099_C3_18</t>
  </si>
  <si>
    <t>P099_1</t>
  </si>
  <si>
    <t>P098_C4_19</t>
  </si>
  <si>
    <t>P098_C3_18</t>
  </si>
  <si>
    <t>P098_1</t>
  </si>
  <si>
    <t>P098_2</t>
  </si>
  <si>
    <t>P098_3</t>
  </si>
  <si>
    <t>P098_4</t>
  </si>
  <si>
    <t>P097_C4_19</t>
  </si>
  <si>
    <t>P097_C3_18</t>
  </si>
  <si>
    <t>P097_1</t>
  </si>
  <si>
    <t>09:00-11:35</t>
  </si>
  <si>
    <t>14:55-15:20</t>
  </si>
  <si>
    <t>P097_2</t>
  </si>
  <si>
    <t>16:30-16:55</t>
  </si>
  <si>
    <t>P096_C4_19</t>
  </si>
  <si>
    <t>P096_1</t>
  </si>
  <si>
    <t>09:40-14:15</t>
  </si>
  <si>
    <t>09:40-10:45</t>
  </si>
  <si>
    <t>P096_2</t>
  </si>
  <si>
    <t>10:50-15:25</t>
  </si>
  <si>
    <t>13:50-14:55</t>
  </si>
  <si>
    <t>P087_C4_19</t>
  </si>
  <si>
    <t>P087_C3_18</t>
  </si>
  <si>
    <t>277</t>
  </si>
  <si>
    <t>10:55-17:55</t>
  </si>
  <si>
    <t>P087_1</t>
  </si>
  <si>
    <t>12:30-16:55</t>
  </si>
  <si>
    <t>P086_C4_19</t>
  </si>
  <si>
    <t>P086_C3_18</t>
  </si>
  <si>
    <t>P086_1</t>
  </si>
  <si>
    <t>09:20-10:25</t>
  </si>
  <si>
    <t>P085_C4_19</t>
  </si>
  <si>
    <t>P085_C3_18</t>
  </si>
  <si>
    <t>P085_1</t>
  </si>
  <si>
    <t>P084_C4_19</t>
  </si>
  <si>
    <t>P084_C3_18</t>
  </si>
  <si>
    <t>P084_1</t>
  </si>
  <si>
    <t>13:00-13:45</t>
  </si>
  <si>
    <t>P083_C4_19</t>
  </si>
  <si>
    <t>P083_C3_18</t>
  </si>
  <si>
    <t>P083_1</t>
  </si>
  <si>
    <t>10:40-12:55</t>
  </si>
  <si>
    <t>13:15-13:45</t>
  </si>
  <si>
    <t>P082_C4_19</t>
  </si>
  <si>
    <t>P082_1</t>
  </si>
  <si>
    <t>P081_C4_19</t>
  </si>
  <si>
    <t>14:50-16:15</t>
  </si>
  <si>
    <t>P081_C3_18</t>
  </si>
  <si>
    <t>17:25-17:55</t>
  </si>
  <si>
    <t>P081_1</t>
  </si>
  <si>
    <t>P080_C4_19</t>
  </si>
  <si>
    <t>P080_C3_18</t>
  </si>
  <si>
    <t>P080_1</t>
  </si>
  <si>
    <t>11:20-13:15</t>
  </si>
  <si>
    <t>13:10-13:55</t>
  </si>
  <si>
    <t>P079_C4_19</t>
  </si>
  <si>
    <t>P079_1</t>
  </si>
  <si>
    <t>P078_C4_19</t>
  </si>
  <si>
    <t>10:00-12:30</t>
  </si>
  <si>
    <t>10:25-17:55</t>
  </si>
  <si>
    <t>455</t>
  </si>
  <si>
    <t>P078_C3_18</t>
  </si>
  <si>
    <t>P078_1</t>
  </si>
  <si>
    <t>09:00-15:40</t>
  </si>
  <si>
    <t>13:40-16:05</t>
  </si>
  <si>
    <t>P078_2</t>
  </si>
  <si>
    <t>P077_C4_19</t>
  </si>
  <si>
    <t>P077_C3_18</t>
  </si>
  <si>
    <t>P077_1</t>
  </si>
  <si>
    <t>P076_C4_19</t>
  </si>
  <si>
    <t>10:00-16:15</t>
  </si>
  <si>
    <t>380</t>
  </si>
  <si>
    <t>P076_1</t>
  </si>
  <si>
    <t>10:25-12:40</t>
  </si>
  <si>
    <t>09:45-10:15</t>
  </si>
  <si>
    <t>P076_2</t>
  </si>
  <si>
    <t>10:10-14:45</t>
  </si>
  <si>
    <t>09:50-10:55</t>
  </si>
  <si>
    <t>P076_3</t>
  </si>
  <si>
    <t>11:00-15:35</t>
  </si>
  <si>
    <t>14:30-15:35</t>
  </si>
  <si>
    <t>P076_4</t>
  </si>
  <si>
    <t>P076_5</t>
  </si>
  <si>
    <t>P076_6</t>
  </si>
  <si>
    <t>P076_7</t>
  </si>
  <si>
    <t>P075_C4_19</t>
  </si>
  <si>
    <t>P075_C3_18</t>
  </si>
  <si>
    <t>P075_1</t>
  </si>
  <si>
    <t>P075_2</t>
  </si>
  <si>
    <t>P075_3</t>
  </si>
  <si>
    <t>P075_4</t>
  </si>
  <si>
    <t>P075_5</t>
  </si>
  <si>
    <t>2023年3月9日</t>
  </si>
  <si>
    <t>P074_C4_19</t>
  </si>
  <si>
    <t>P074_C3_18</t>
  </si>
  <si>
    <t>P074_C3_17</t>
  </si>
  <si>
    <t>10:00-13:45</t>
  </si>
  <si>
    <t>230</t>
  </si>
  <si>
    <t>P074_1</t>
  </si>
  <si>
    <t>P074_2</t>
  </si>
  <si>
    <t>P074_3</t>
  </si>
  <si>
    <t>P073_C4_19</t>
  </si>
  <si>
    <t>P073_C3_18</t>
  </si>
  <si>
    <t>P073_1</t>
  </si>
  <si>
    <t>09:30-10:35</t>
  </si>
  <si>
    <t>12:25-13:10</t>
  </si>
  <si>
    <t>P072_C4_19</t>
  </si>
  <si>
    <t>P072_C3_18</t>
  </si>
  <si>
    <t>P072_1</t>
  </si>
  <si>
    <t>11:15-12:20</t>
  </si>
  <si>
    <t>14:10-14:55</t>
  </si>
  <si>
    <t>P071_C4_19</t>
  </si>
  <si>
    <t>P071_C3_18</t>
  </si>
  <si>
    <t>P071_1</t>
  </si>
  <si>
    <t>10:05-11:10</t>
  </si>
  <si>
    <t>13:20-14:05</t>
  </si>
  <si>
    <t>P070_C4_19</t>
  </si>
  <si>
    <t>10:00-14:45</t>
  </si>
  <si>
    <t>P070_C3_18</t>
  </si>
  <si>
    <t>14:40-17:45</t>
  </si>
  <si>
    <t>P070_1</t>
  </si>
  <si>
    <t>P070_2</t>
  </si>
  <si>
    <t>P070_3</t>
  </si>
  <si>
    <t>P070_4</t>
  </si>
  <si>
    <t>P069_C4_19</t>
  </si>
  <si>
    <t>14:35-14:45</t>
  </si>
  <si>
    <t>P069_C3_18</t>
  </si>
  <si>
    <t>17:20-17:20</t>
  </si>
  <si>
    <t>P069_1</t>
  </si>
  <si>
    <t>15:55-16:55</t>
  </si>
  <si>
    <t>P068_C4_19</t>
  </si>
  <si>
    <t>14:25-14:30</t>
  </si>
  <si>
    <t>P068_C3_18</t>
  </si>
  <si>
    <t>17:15-17:15</t>
  </si>
  <si>
    <t>P068_1</t>
  </si>
  <si>
    <t>14:50-15:50</t>
  </si>
  <si>
    <t>P067_C4_19</t>
  </si>
  <si>
    <t>P067_1</t>
  </si>
  <si>
    <t>11:00-12:25</t>
  </si>
  <si>
    <t>P066_C4_19</t>
  </si>
  <si>
    <t>13:05-16:35</t>
  </si>
  <si>
    <t>P066_1</t>
  </si>
  <si>
    <t>12:15-14:35</t>
  </si>
  <si>
    <t>10:20-10:40</t>
  </si>
  <si>
    <t>P065_C4_19</t>
  </si>
  <si>
    <t>10:00-12:45</t>
  </si>
  <si>
    <t>P065_C3_18</t>
  </si>
  <si>
    <t>11:10-13:35</t>
  </si>
  <si>
    <t>P065_1</t>
  </si>
  <si>
    <t>09:15-12:25</t>
  </si>
  <si>
    <t>13:40-14:05</t>
  </si>
  <si>
    <t>P065_2</t>
  </si>
  <si>
    <t>P065_3</t>
  </si>
  <si>
    <t>P064_C4_19</t>
  </si>
  <si>
    <t>P064_C3_18</t>
  </si>
  <si>
    <t>P064_1</t>
  </si>
  <si>
    <t>10:40-11:35</t>
  </si>
  <si>
    <t>12:40-14:05</t>
  </si>
  <si>
    <t>P063_C4_19</t>
  </si>
  <si>
    <t>10:00-13:00</t>
  </si>
  <si>
    <t>P063_1</t>
  </si>
  <si>
    <t>10:50-15:55</t>
  </si>
  <si>
    <t>P062_C4_19</t>
  </si>
  <si>
    <t>P062_C3_18</t>
  </si>
  <si>
    <t>10:05-14:15</t>
  </si>
  <si>
    <t>P062_1</t>
  </si>
  <si>
    <t>P061_C4_19</t>
  </si>
  <si>
    <t>12:35-17:45</t>
  </si>
  <si>
    <t>P061_C3_18</t>
  </si>
  <si>
    <t>11:50-14:35</t>
  </si>
  <si>
    <t>P061_1</t>
  </si>
  <si>
    <t>10:50-16:30</t>
  </si>
  <si>
    <t>10:00-15:40</t>
  </si>
  <si>
    <t>P060_C4_19</t>
  </si>
  <si>
    <t>P060_1</t>
  </si>
  <si>
    <t>09:30-11:35</t>
  </si>
  <si>
    <t>13:20-13:35</t>
  </si>
  <si>
    <t>P059_C4_19</t>
  </si>
  <si>
    <t>14:10-17:55</t>
  </si>
  <si>
    <t>P059_C3_18</t>
  </si>
  <si>
    <t>12:35-17:55</t>
  </si>
  <si>
    <t>P059_1</t>
  </si>
  <si>
    <t>14:10-14:25</t>
  </si>
  <si>
    <t>P058_C4_19</t>
  </si>
  <si>
    <t>10:00-14:05</t>
  </si>
  <si>
    <t>P058_C3_18</t>
  </si>
  <si>
    <t>P058_1</t>
  </si>
  <si>
    <t>P057_C4_19</t>
  </si>
  <si>
    <t>13:05-17:55</t>
  </si>
  <si>
    <t>P057_1</t>
  </si>
  <si>
    <t>12:20-15:55</t>
  </si>
  <si>
    <t>09:55-10:15</t>
  </si>
  <si>
    <t>P057_2</t>
  </si>
  <si>
    <t>10:20-13:55</t>
  </si>
  <si>
    <t>15:20-15:40</t>
  </si>
  <si>
    <t>P057_3</t>
  </si>
  <si>
    <t>16:10-16:30</t>
  </si>
  <si>
    <t>P057_4</t>
  </si>
  <si>
    <t>P057_5</t>
  </si>
  <si>
    <t>P056_C4_19</t>
  </si>
  <si>
    <t>12:00-13:45</t>
  </si>
  <si>
    <t>P056_C3_18</t>
  </si>
  <si>
    <t>16:30-17:15</t>
  </si>
  <si>
    <t>P056_2</t>
  </si>
  <si>
    <t>P056_1</t>
  </si>
  <si>
    <t>P055_C4_19</t>
  </si>
  <si>
    <t>10:00-11:55</t>
  </si>
  <si>
    <t>P055_C3_18</t>
  </si>
  <si>
    <t>15:20-17:55</t>
  </si>
  <si>
    <t>P055_1</t>
  </si>
  <si>
    <t>14:10-15:55</t>
  </si>
  <si>
    <t>12:30-14:05</t>
  </si>
  <si>
    <t>P054_C4_19</t>
  </si>
  <si>
    <t>12:50-15:40</t>
  </si>
  <si>
    <t>P054_C3_18</t>
  </si>
  <si>
    <t>P054_1</t>
  </si>
  <si>
    <t>10:45-13:35</t>
  </si>
  <si>
    <t>14:10-15:45</t>
  </si>
  <si>
    <t>P053_C4_19</t>
  </si>
  <si>
    <t>13:00-16:15</t>
  </si>
  <si>
    <t>P053_1</t>
  </si>
  <si>
    <t>09:10-12:35</t>
  </si>
  <si>
    <t>14:25-16:05</t>
  </si>
  <si>
    <t>P053_2</t>
  </si>
  <si>
    <t>P052_C4_19</t>
  </si>
  <si>
    <t>12:45-17:55</t>
  </si>
  <si>
    <t>P052_C3_18</t>
  </si>
  <si>
    <t>P052_1</t>
  </si>
  <si>
    <t>13:00-15:15</t>
  </si>
  <si>
    <t>15:10-16:05</t>
  </si>
  <si>
    <t>P051_C4_19</t>
  </si>
  <si>
    <t>13:30-15:25</t>
  </si>
  <si>
    <t>P051_1</t>
  </si>
  <si>
    <t>P050_C4_19</t>
  </si>
  <si>
    <t>P050_C3_18</t>
  </si>
  <si>
    <t>P050_1</t>
  </si>
  <si>
    <t>10:40-13:25</t>
  </si>
  <si>
    <t>P050_2</t>
  </si>
  <si>
    <t>P050_3</t>
  </si>
  <si>
    <t>P050_4</t>
  </si>
  <si>
    <t>P048_C4_19</t>
  </si>
  <si>
    <t>10:35-13:25</t>
  </si>
  <si>
    <t>P048_C3_18</t>
  </si>
  <si>
    <t>P048_1</t>
  </si>
  <si>
    <t>P047_C4_19</t>
  </si>
  <si>
    <t>P047_C3_18</t>
  </si>
  <si>
    <t>P047_1</t>
  </si>
  <si>
    <t>P046_C4_19</t>
  </si>
  <si>
    <t>12:10-12:40</t>
  </si>
  <si>
    <t>P046_C3_18</t>
  </si>
  <si>
    <t>P046_1</t>
  </si>
  <si>
    <t>11:40-15:05</t>
  </si>
  <si>
    <t>P045_C4_19</t>
  </si>
  <si>
    <t>10:50-12:05</t>
  </si>
  <si>
    <t>P045_C3_18</t>
  </si>
  <si>
    <t>P045_1</t>
  </si>
  <si>
    <t>12:15-15:40</t>
  </si>
  <si>
    <t>P044_C4_19</t>
  </si>
  <si>
    <t>P044_C3_18</t>
  </si>
  <si>
    <t>P044_1</t>
  </si>
  <si>
    <t>12:25-14:20</t>
  </si>
  <si>
    <t>15:45-16:30</t>
  </si>
  <si>
    <t>P043_C4_19</t>
  </si>
  <si>
    <t>P043_1</t>
  </si>
  <si>
    <t>15:30-16:55</t>
  </si>
  <si>
    <t>P043_2</t>
  </si>
  <si>
    <t>10:00-11:25</t>
  </si>
  <si>
    <t>P043_3</t>
  </si>
  <si>
    <t>P043_4</t>
  </si>
  <si>
    <t>11:40-14:10</t>
  </si>
  <si>
    <t>14:50-15:15</t>
  </si>
  <si>
    <t>P042_C4_19</t>
  </si>
  <si>
    <t>15:10-17:55</t>
  </si>
  <si>
    <t>P042_1</t>
  </si>
  <si>
    <t>10:15-12:20</t>
  </si>
  <si>
    <t>P041_C4_19</t>
  </si>
  <si>
    <t>P041_2</t>
  </si>
  <si>
    <t>P041_1</t>
  </si>
  <si>
    <t>10:00-13:55</t>
  </si>
  <si>
    <t>P041_3</t>
  </si>
  <si>
    <t>11:45-13:25</t>
  </si>
  <si>
    <t>13:30-15:10</t>
  </si>
  <si>
    <t>P040_C4_19</t>
  </si>
  <si>
    <t>10:00-14:30</t>
  </si>
  <si>
    <t>P040_C3_18</t>
  </si>
  <si>
    <t>P040_1</t>
  </si>
  <si>
    <t>10:15-15:40</t>
  </si>
  <si>
    <t>P040_2</t>
  </si>
  <si>
    <t>09:35-14:15</t>
  </si>
  <si>
    <t>P040_3</t>
  </si>
  <si>
    <t>14:20-16:05</t>
  </si>
  <si>
    <t>09:30-11:00</t>
  </si>
  <si>
    <t>11:05-15:45</t>
  </si>
  <si>
    <t>P039_C4_19</t>
  </si>
  <si>
    <t>P039_C3_18</t>
  </si>
  <si>
    <t>P039_1</t>
  </si>
  <si>
    <t>P039_2</t>
  </si>
  <si>
    <t>P039_3</t>
  </si>
  <si>
    <t>P038_C4_19</t>
  </si>
  <si>
    <t>10:10-15:05</t>
  </si>
  <si>
    <t>P038_C3_18</t>
  </si>
  <si>
    <t>P038_1</t>
  </si>
  <si>
    <t>P038_2</t>
  </si>
  <si>
    <t>P038_3</t>
  </si>
  <si>
    <t>P038_4</t>
  </si>
  <si>
    <t>P036_C4_19</t>
  </si>
  <si>
    <t>P036_C3_18</t>
  </si>
  <si>
    <t>P036_1</t>
  </si>
  <si>
    <t>P035_C4_19</t>
  </si>
  <si>
    <t>10:00-10:00</t>
  </si>
  <si>
    <t>P035_C3_18</t>
  </si>
  <si>
    <t>P035_1</t>
  </si>
  <si>
    <t>09:05-09:45</t>
  </si>
  <si>
    <t>P035_2</t>
  </si>
  <si>
    <t>14:00-15:25</t>
  </si>
  <si>
    <t>P035_3</t>
  </si>
  <si>
    <t>5.0</t>
  </si>
  <si>
    <t>P034_C4_19</t>
  </si>
  <si>
    <t>10:00-16:05</t>
  </si>
  <si>
    <t>P034_C3_18</t>
  </si>
  <si>
    <t>P034_1</t>
  </si>
  <si>
    <t>P033_C4_19</t>
  </si>
  <si>
    <t>14:35-16:30</t>
  </si>
  <si>
    <t>P033_C3_18</t>
  </si>
  <si>
    <t>P033_1</t>
  </si>
  <si>
    <t>14:05-15:35</t>
  </si>
  <si>
    <t>P032_C4_19</t>
  </si>
  <si>
    <t>10:05-17:55</t>
  </si>
  <si>
    <t>P032_C3_18</t>
  </si>
  <si>
    <t>P032_1</t>
  </si>
  <si>
    <t>09:05-10:10</t>
  </si>
  <si>
    <t>P032_2</t>
  </si>
  <si>
    <t>P032_3</t>
  </si>
  <si>
    <t>10:15-11:25</t>
  </si>
  <si>
    <t>11:30-12:40</t>
  </si>
  <si>
    <t>12:45-13:55</t>
  </si>
  <si>
    <t>P032_4</t>
  </si>
  <si>
    <t>10:00-15:45</t>
  </si>
  <si>
    <t>10:10-16:20</t>
  </si>
  <si>
    <t>P032_5</t>
  </si>
  <si>
    <t>P032_6</t>
  </si>
  <si>
    <t>P031_C4_19</t>
  </si>
  <si>
    <t>10:15-13:30</t>
  </si>
  <si>
    <t>P031_C3_18</t>
  </si>
  <si>
    <t>12:05-14:45</t>
  </si>
  <si>
    <t>P031_1</t>
  </si>
  <si>
    <t>P030_C4_19</t>
  </si>
  <si>
    <t>13:35-17:55</t>
  </si>
  <si>
    <t>P030_1</t>
  </si>
  <si>
    <t>09:40-10:25</t>
  </si>
  <si>
    <t>P030_2</t>
  </si>
  <si>
    <t>14:55-15:40</t>
  </si>
  <si>
    <t>P030_3</t>
  </si>
  <si>
    <t>P030_4</t>
  </si>
  <si>
    <t>P030_5</t>
  </si>
  <si>
    <t>P030_6</t>
  </si>
  <si>
    <t>P030_7</t>
  </si>
  <si>
    <t>P030_8</t>
  </si>
  <si>
    <t>P029_C4_19</t>
  </si>
  <si>
    <t>P029_C3_18</t>
  </si>
  <si>
    <t>P029_1</t>
  </si>
  <si>
    <t>15:35-16:20</t>
  </si>
  <si>
    <t>P028_C4_19</t>
  </si>
  <si>
    <t>P028_C3_18</t>
  </si>
  <si>
    <t>P028_1</t>
  </si>
  <si>
    <t>15:40-16:05</t>
  </si>
  <si>
    <t>P027_C4_19</t>
  </si>
  <si>
    <t>P027_C3_18</t>
  </si>
  <si>
    <t>P027_1</t>
  </si>
  <si>
    <t>13:00-16:05</t>
  </si>
  <si>
    <t>P026_C4_19</t>
  </si>
  <si>
    <t>P026_C3_18</t>
  </si>
  <si>
    <t>P026_1</t>
  </si>
  <si>
    <t>09:40-16:05</t>
  </si>
  <si>
    <t>14:55-16:05</t>
  </si>
  <si>
    <t>P024_C4_19</t>
  </si>
  <si>
    <t>P024_C3_18</t>
  </si>
  <si>
    <t>P024_1</t>
  </si>
  <si>
    <t>12:35-14:10</t>
  </si>
  <si>
    <t>P023_C4_19</t>
  </si>
  <si>
    <t>15:05-17:55</t>
  </si>
  <si>
    <t>P023_C3_18</t>
  </si>
  <si>
    <t>P023_1</t>
  </si>
  <si>
    <t>14:20-15:40</t>
  </si>
  <si>
    <t>P022_C4_19</t>
  </si>
  <si>
    <t>P022_C3_18</t>
  </si>
  <si>
    <t>P022_1</t>
  </si>
  <si>
    <t>P021_C4_19</t>
  </si>
  <si>
    <t>12:50-15:35</t>
  </si>
  <si>
    <t>P021_C3_18</t>
  </si>
  <si>
    <t>P021_1</t>
  </si>
  <si>
    <t>P020_C4_19</t>
  </si>
  <si>
    <t>P020_1</t>
  </si>
  <si>
    <t>12:25-14:50</t>
  </si>
  <si>
    <t>P019_C4_19</t>
  </si>
  <si>
    <t>P019_C3_18</t>
  </si>
  <si>
    <t>P019_1</t>
  </si>
  <si>
    <t>13:35-15:15</t>
  </si>
  <si>
    <t>15:25-15:40</t>
  </si>
  <si>
    <t>P018_C4_19</t>
  </si>
  <si>
    <t>11:55-15:00</t>
  </si>
  <si>
    <t>P018_1</t>
  </si>
  <si>
    <t>10:40-12:20</t>
  </si>
  <si>
    <t>P017_C4_19</t>
  </si>
  <si>
    <t>10:00-17:20</t>
  </si>
  <si>
    <t>P017_1</t>
  </si>
  <si>
    <t>P017_2</t>
  </si>
  <si>
    <t>P016_C4_19</t>
  </si>
  <si>
    <t>11:10-17:35</t>
  </si>
  <si>
    <t>P016_1</t>
  </si>
  <si>
    <t>09:05-12:30</t>
  </si>
  <si>
    <t>P015_C4_19</t>
  </si>
  <si>
    <t>10:00-14:15</t>
  </si>
  <si>
    <t>P015_1</t>
  </si>
  <si>
    <t>10:35-15:10</t>
  </si>
  <si>
    <t>P015_2</t>
  </si>
  <si>
    <t>P014_C4_19</t>
  </si>
  <si>
    <t>P014_C3_18</t>
  </si>
  <si>
    <t>P014_1</t>
  </si>
  <si>
    <t>P013_C4_19</t>
  </si>
  <si>
    <t>13:00-14:05</t>
  </si>
  <si>
    <t>P013_C3_18</t>
  </si>
  <si>
    <t>P013_1</t>
  </si>
  <si>
    <t>13:30-16:30</t>
  </si>
  <si>
    <t>14:10-15:25</t>
  </si>
  <si>
    <t>P012_C4_19</t>
  </si>
  <si>
    <t>P012_C3_18</t>
  </si>
  <si>
    <t>P012_1</t>
  </si>
  <si>
    <t>16:40-16:55</t>
  </si>
  <si>
    <t>P011_C4_19</t>
  </si>
  <si>
    <t>P011_1</t>
  </si>
  <si>
    <t>P011_2</t>
  </si>
  <si>
    <t>P010_C4_19</t>
  </si>
  <si>
    <t>10:25-14:15</t>
  </si>
  <si>
    <t>P010_C3_18</t>
  </si>
  <si>
    <t>P010_1</t>
  </si>
  <si>
    <t>P009_C4_19</t>
  </si>
  <si>
    <t>11:40-11:50</t>
  </si>
  <si>
    <t>P009_C3_18</t>
  </si>
  <si>
    <t>P009_1</t>
  </si>
  <si>
    <t>12:55-14:15</t>
  </si>
  <si>
    <t>14:15-15:15</t>
  </si>
  <si>
    <t>P008_C4_19</t>
  </si>
  <si>
    <t>P008_1</t>
  </si>
  <si>
    <t>P008_2</t>
  </si>
  <si>
    <t>P008_3</t>
  </si>
  <si>
    <t>P008_4</t>
  </si>
  <si>
    <t>P007_C4_19</t>
  </si>
  <si>
    <t>10:15-10:40</t>
  </si>
  <si>
    <t>P007_C3_18</t>
  </si>
  <si>
    <t>P007_1</t>
  </si>
  <si>
    <t>12:45-13:35</t>
  </si>
  <si>
    <t>P005_C4_19</t>
  </si>
  <si>
    <t>P005_C3_18</t>
  </si>
  <si>
    <t>P005_2</t>
  </si>
  <si>
    <t>P005_1</t>
  </si>
  <si>
    <t>P004_C4_19</t>
  </si>
  <si>
    <t>P004_C3_18</t>
  </si>
  <si>
    <t>P004_1</t>
  </si>
  <si>
    <t>P004_2</t>
  </si>
  <si>
    <t>P004_3</t>
  </si>
  <si>
    <t>P003_C4_19</t>
  </si>
  <si>
    <t>P003_2</t>
  </si>
  <si>
    <t>10:15-16:10</t>
  </si>
  <si>
    <t>P003_1</t>
  </si>
  <si>
    <t>2023年2月7日</t>
  </si>
  <si>
    <t>P002_C4_19</t>
  </si>
  <si>
    <t>P002_C3_18</t>
  </si>
  <si>
    <t>P002_1</t>
  </si>
  <si>
    <t>P001_C4_19</t>
  </si>
  <si>
    <t>P001_C3_18</t>
  </si>
  <si>
    <t>P001_1</t>
  </si>
  <si>
    <t>2023年11月29日</t>
  </si>
  <si>
    <t>14:15-16:15</t>
  </si>
  <si>
    <t>10:35-13:05</t>
  </si>
  <si>
    <t>09:50-12:35</t>
  </si>
  <si>
    <t>09:00-09:25</t>
  </si>
  <si>
    <t>P127_6</t>
  </si>
  <si>
    <t>13:45-14:05</t>
  </si>
  <si>
    <t>12:40-16:05</t>
  </si>
  <si>
    <t>10:50-14:05</t>
  </si>
  <si>
    <t>09:50-13:05</t>
  </si>
  <si>
    <t>10:20-13:35</t>
  </si>
  <si>
    <t>15:35-15:55</t>
  </si>
  <si>
    <t>09:55-10:45</t>
  </si>
  <si>
    <t>09:00-17:05</t>
  </si>
  <si>
    <t>490</t>
  </si>
  <si>
    <t>12:00-14:15</t>
  </si>
  <si>
    <t>09:00-14:45</t>
  </si>
  <si>
    <t>10:50-17:15</t>
  </si>
  <si>
    <t>11:15-13:50</t>
  </si>
  <si>
    <t>09:30-13:35</t>
  </si>
  <si>
    <t>10:25-13:50</t>
  </si>
  <si>
    <t>14:00-15:55</t>
  </si>
  <si>
    <t>15:10-17:00</t>
  </si>
  <si>
    <t>13:10-14:00</t>
  </si>
  <si>
    <t>14:00-15:15</t>
  </si>
  <si>
    <t>09:30-10:45</t>
  </si>
  <si>
    <t>14:35-15:30</t>
  </si>
  <si>
    <t>09:15-12:05</t>
  </si>
  <si>
    <t>P103_3</t>
  </si>
  <si>
    <t>10:20-13:45</t>
  </si>
  <si>
    <t>13:35-13:55</t>
  </si>
  <si>
    <t>09:35-11:40</t>
  </si>
  <si>
    <t>P099_2</t>
  </si>
  <si>
    <t>12:40-16:55</t>
  </si>
  <si>
    <t>11:20-13:55</t>
  </si>
  <si>
    <t>09:00-11:15</t>
  </si>
  <si>
    <t>10:35-11:05</t>
  </si>
  <si>
    <t>12:00-13:05</t>
  </si>
  <si>
    <t>P096_3</t>
  </si>
  <si>
    <t>13:10-15:25</t>
  </si>
  <si>
    <t>14:25-14:55</t>
  </si>
  <si>
    <t>11:10-11:55</t>
  </si>
  <si>
    <t>13:15-14:20</t>
  </si>
  <si>
    <t>10:55-13:10</t>
  </si>
  <si>
    <t>16:40-17:20</t>
  </si>
  <si>
    <t>10:05-12:00</t>
  </si>
  <si>
    <t>12:30-13:15</t>
  </si>
  <si>
    <t>10:30-17:45</t>
  </si>
  <si>
    <t>12:50-17:45</t>
  </si>
  <si>
    <t>10:20-10:50</t>
  </si>
  <si>
    <t>09:00-13:35</t>
  </si>
  <si>
    <t>10:00-14:35</t>
  </si>
  <si>
    <t>12:30-13:35</t>
  </si>
  <si>
    <t>15:10-16:15</t>
  </si>
  <si>
    <t>12:20-16:55</t>
  </si>
  <si>
    <t>10:05-10:50</t>
  </si>
  <si>
    <t>12:05-13:10</t>
  </si>
  <si>
    <t>15:15-16:35</t>
  </si>
  <si>
    <t>11:25-12:25</t>
  </si>
  <si>
    <t>13:50-15:10</t>
  </si>
  <si>
    <t>10:20-11:20</t>
  </si>
  <si>
    <t>10:40-14:45</t>
  </si>
  <si>
    <t>12:20-13:45</t>
  </si>
  <si>
    <t>10:40-13:00</t>
  </si>
  <si>
    <t>13:45-16:55</t>
  </si>
  <si>
    <t>10:20-11:15</t>
  </si>
  <si>
    <t>09:50-11:15</t>
  </si>
  <si>
    <t>09:00-14:05</t>
  </si>
  <si>
    <t>09:25-13:00</t>
  </si>
  <si>
    <t>11:20-14:55</t>
  </si>
  <si>
    <t>14:40-15:00</t>
  </si>
  <si>
    <t>13:30-15:15</t>
  </si>
  <si>
    <t>13:25-15:40</t>
  </si>
  <si>
    <t>09:45-13:40</t>
  </si>
  <si>
    <t>15:00-16:25</t>
  </si>
  <si>
    <t>P051_2</t>
  </si>
  <si>
    <t>15:05-15:25</t>
  </si>
  <si>
    <t>P048_2</t>
  </si>
  <si>
    <t>09:15-11:45</t>
  </si>
  <si>
    <t>09:55-13:20</t>
  </si>
  <si>
    <t>14:45-15:05</t>
  </si>
  <si>
    <t>11:15-14:40</t>
  </si>
  <si>
    <t>13:45-15:40</t>
  </si>
  <si>
    <t>12:40-13:25</t>
  </si>
  <si>
    <t>09:40-17:20</t>
  </si>
  <si>
    <t>10:15-12:45</t>
  </si>
  <si>
    <t>12:15-12:40</t>
  </si>
  <si>
    <t>11:35-13:40</t>
  </si>
  <si>
    <t>12:15-12:35</t>
  </si>
  <si>
    <t>09:30-12:25</t>
  </si>
  <si>
    <t>09:15-10:55</t>
  </si>
  <si>
    <t>09:10-13:50</t>
  </si>
  <si>
    <t>13:55-15:40</t>
  </si>
  <si>
    <t>13:25-14:55</t>
  </si>
  <si>
    <t>09:15-09:55</t>
  </si>
  <si>
    <t>12:30-13:55</t>
  </si>
  <si>
    <t>P035_4</t>
  </si>
  <si>
    <t>09:00-11:00</t>
  </si>
  <si>
    <t>P034_2</t>
  </si>
  <si>
    <t>09:50-11:20</t>
  </si>
  <si>
    <t>10:20-13:30</t>
  </si>
  <si>
    <t>09:50-10:10</t>
  </si>
  <si>
    <t>10:15-13:25</t>
  </si>
  <si>
    <t>14:05-14:25</t>
  </si>
  <si>
    <t>P030_9</t>
  </si>
  <si>
    <t>11:10-12:15</t>
  </si>
  <si>
    <t>15:00-15:45</t>
  </si>
  <si>
    <t>10:55-13:20</t>
  </si>
  <si>
    <t>10:15-13:20</t>
  </si>
  <si>
    <t>11:25-11:45</t>
  </si>
  <si>
    <t>P026_2</t>
  </si>
  <si>
    <t>11:50-16:05</t>
  </si>
  <si>
    <t>15:20-16:05</t>
  </si>
  <si>
    <t>12:40-14:15</t>
  </si>
  <si>
    <t>14:15-14:35</t>
  </si>
  <si>
    <t>10:20-11:40</t>
  </si>
  <si>
    <t>09:50-14:45</t>
  </si>
  <si>
    <t>P022_2</t>
  </si>
  <si>
    <t>11:00-11:20</t>
  </si>
  <si>
    <t>09:05-10:45</t>
  </si>
  <si>
    <t>10:55-14:10</t>
  </si>
  <si>
    <t>14:40-15:15</t>
  </si>
  <si>
    <t>P017_3</t>
  </si>
  <si>
    <t>16:20-16:55</t>
  </si>
  <si>
    <t>09:25-11:05</t>
  </si>
  <si>
    <t>12:30-14:10</t>
  </si>
  <si>
    <t>11:05-13:20</t>
  </si>
  <si>
    <t>13:45-14:15</t>
  </si>
  <si>
    <t>13:25-16:25</t>
  </si>
  <si>
    <t>14:40-15:55</t>
  </si>
  <si>
    <t>14:20-14:35</t>
  </si>
  <si>
    <t>11:15-15:25</t>
  </si>
  <si>
    <t>11:05-13:40</t>
  </si>
  <si>
    <t>P010_2</t>
  </si>
  <si>
    <t>14:40-15:40</t>
  </si>
  <si>
    <t>12:50-15:25</t>
  </si>
  <si>
    <t>15:00-16:35</t>
  </si>
  <si>
    <t>14:50-16:35</t>
  </si>
  <si>
    <t>10:00-15:55</t>
  </si>
  <si>
    <t>12:00-15:55</t>
  </si>
  <si>
    <t>13:00-15:35</t>
  </si>
  <si>
    <t>訂單需求的數量(pcs)</t>
  </si>
  <si>
    <t>充填重量(g/pcs)</t>
  </si>
  <si>
    <t>表定產能(pcs/hr)</t>
  </si>
  <si>
    <t>表定產能(g/批次)</t>
  </si>
  <si>
    <t>表定產能(pcs/批次)</t>
  </si>
  <si>
    <t>製造類型工序耗時 (h)</t>
  </si>
  <si>
    <t>充填類型工序耗時 (h)</t>
  </si>
  <si>
    <t>充填類型工序耗時（5分鐘單位）</t>
  </si>
  <si>
    <t>項目工序總耗時(h)</t>
  </si>
  <si>
    <t>總工序耗時(h)</t>
  </si>
  <si>
    <t>一、條件總覽</t>
  </si>
  <si>
    <t>資源條件</t>
  </si>
  <si>
    <t>時間Slot 以5min 為單位</t>
  </si>
  <si>
    <t>人力類型為製造類型時.每日最大排程為 8 小時，對應為9:00開始17:00結束. 人力2人</t>
  </si>
  <si>
    <t>人力類型為充填類型時.每日最大排程為 8 小時，對應為10:00開始18:00結束. 人力5人</t>
  </si>
  <si>
    <t>每種機器類型僅有 1 台，同一個slot不能重複使用</t>
  </si>
  <si>
    <t>{</t>
  </si>
  <si>
    <t>"machine_resource_tables": [</t>
  </si>
  <si>
    <t>"name": "精機",</t>
  </si>
  <si>
    <t>"slots": "0–95",</t>
  </si>
  <si>
    <t>"count_per_slot": 1</t>
  </si>
  <si>
    <t>},</t>
  </si>
  <si>
    <t>"name": "排瓶機",</t>
  </si>
  <si>
    <t>"slots": "12–107",</t>
  </si>
  <si>
    <t>"name": "充填機",</t>
  </si>
  <si>
    <t>"name": "預攪機",</t>
  </si>
  <si>
    <t>"name": "大機",</t>
  </si>
  <si>
    <t>"name": "小乳機",</t>
  </si>
  <si>
    <t>"name": "大乳機",</t>
  </si>
  <si>
    <t>"name": "落地機",</t>
  </si>
  <si>
    <t>}</t>
  </si>
  <si>
    <t>],</t>
  </si>
  <si>
    <t>"human_resource_tables": [</t>
  </si>
  <si>
    <t>"name": "製造類型",</t>
  </si>
  <si>
    <t>"headcount_per_slot": 2</t>
  </si>
  <si>
    <t>"name": "充填類型",</t>
  </si>
  <si>
    <t>"headcount_per_slot": 5</t>
  </si>
  <si>
    <t>"overtime_machine_tables": [</t>
  </si>
  <si>
    <t>"overtime_human_tables": [</t>
  </si>
  <si>
    <t>]</t>
  </si>
  <si>
    <t>製造類型與充填類型順序條件</t>
  </si>
  <si>
    <t>依「到客戶倉庫日」由遠至近排序，同日再依「訂單編號」排序</t>
  </si>
  <si>
    <t>拉式排程反推順序應為 Cat4 -&gt; Cat3-&gt;Cat2-&gt;Cat1 (缺的就跳過). 且從當天的最後一個slot往回推</t>
  </si>
  <si>
    <t>"order_execution_sequence": {</t>
  </si>
  <si>
    <t>"primary": "到客戶倉庫日（遠期優先，asc）",</t>
  </si>
  <si>
    <t>"secondary": "訂單編號（字典序 asc）"</t>
  </si>
  <si>
    <t>CAT邏輯</t>
  </si>
  <si>
    <t>"Cat4": {</t>
  </si>
  <si>
    <t>"process_sequence": ["後加工", "充填"],</t>
  </si>
  <si>
    <t>"need_origin": "時間準備表「充填類型工序耗時（5分鐘單位）」",</t>
  </si>
  <si>
    <t>"need_to_slots": "need（格）= 該欄位值，無需換算",</t>
  </si>
  <si>
    <t>"slot_range": "12–107（10:00–18:00）",</t>
  </si>
  <si>
    <t>"start_point": "到客戶倉庫日前一天最後格 slot 107",</t>
  </si>
  <si>
    <t>"available_slot_search": [</t>
  </si>
  <si>
    <t>"正常：machine_used['充填機'] 未佔用 &amp; human_used['充填類型'] &lt;5",</t>
  </si>
  <si>
    <t>"加班：machine_ot['充填機'] 未佔用 &amp; human_ot['充填類型'] &lt;5"</t>
  </si>
  <si>
    <t>"overflow": "若當日正常格不足，date–1 繼續在加班表掃，直至 need≤0",</t>
  </si>
  <si>
    <t>"loop_end": "need≤0 停止",</t>
  </si>
  <si>
    <t>"mark_overtime": "當日期 &lt; 物料齊料點時",</t>
  </si>
  <si>
    <t>"record_to": ["加班機台佔用表", "加班人力佔用表"]</t>
  </si>
  <si>
    <t>"Cat4_human_usage": {</t>
  </si>
  <si>
    <t>"source": "時間準備表「表定產能人數」欄位",</t>
  </si>
  <si>
    <t>"per_slot": {</t>
  </si>
  <si>
    <t>"value": "表定產能人數",</t>
  </si>
  <si>
    <t>"meaning": "該機台在每個 slot 需要用到的人力"</t>
  </si>
  <si>
    <t>"assignment": {</t>
  </si>
  <si>
    <t>"normal": "每佔用一個 slot，就在 human_used['充填類型'][(date, slot)] 累加 value",</t>
  </si>
  <si>
    <t>"overtime": "加班時段佔用則在 human_ot['充填類型'][(date, slot)] 累加value，不回補正常表"</t>
  </si>
  <si>
    <t>"constraint": "任一 slot 的 human_used['充填類型'] 不得超過 5"</t>
  </si>
  <si>
    <t>"overtime_condition": {</t>
  </si>
  <si>
    <t>"common": "任何佔用的 slot 早於「原料齊料點」日期，或該日正常時段可用 slot 不足必須進入加班段時，皆登記於加班資源表",</t>
  </si>
  <si>
    <t>"Cat3": {</t>
  </si>
  <si>
    <t>"process_sequence": ["排瓶", "洗瓶", "前置"],</t>
  </si>
  <si>
    <t>"need_to_slots": "同 Cat4",</t>
  </si>
  <si>
    <t>"slot_range": "12–107",</t>
  </si>
  <si>
    <t>"start_point": "Cat4 最早佔用 slot 前一天最後格" 沒有Cat4 則為"到客戶倉庫日前一天最後格 slot 107",</t>
  </si>
  <si>
    <t>"正常：machine_used['排瓶機'] 未佔用 &amp; human_used['充填類型'] &lt;5",</t>
  </si>
  <si>
    <t>"加班：machine_ot['排瓶機'] 未佔用 &amp; human_ot['充填類型'] &lt;5"</t>
  </si>
  <si>
    <t>"overflow": "同 Cat4",</t>
  </si>
  <si>
    <t>"loop_end": "need≤0 停止"</t>
  </si>
  <si>
    <t>"Cat3_human_usage": {</t>
  </si>
  <si>
    <t>"Cat2": {</t>
  </si>
  <si>
    <t>"process_sequence": ["清洗", "攪料"],</t>
  </si>
  <si>
    <t>1 (6)</t>
  </si>
  <si>
    <t>2(5)</t>
  </si>
  <si>
    <t>2 (4)</t>
  </si>
  <si>
    <t>"need_origin": "時間準備表中該機工序=攪料 的「需求批次」",</t>
  </si>
  <si>
    <t>"mark_overtime": "當日期 &lt; 原料齊料點時"+1day,</t>
  </si>
  <si>
    <t>"batch_time": "攪料(min)+清洗(min)",</t>
  </si>
  <si>
    <t>"daily_availability": {</t>
  </si>
  <si>
    <t>1 (3)</t>
  </si>
  <si>
    <t>2(2)</t>
  </si>
  <si>
    <t>2 (1)</t>
  </si>
  <si>
    <t>"machine_slots": "該日該機未佔用格數",</t>
  </si>
  <si>
    <t>"human_slots": "該日人力&lt;2人的格數",</t>
  </si>
  <si>
    <t>"daily_minutes": "min(machine_slots,human_slots)*5",</t>
  </si>
  <si>
    <t>"daily_max_batches": "⌊daily_minutes÷batch_time⌋（至少1）"</t>
  </si>
  <si>
    <t>2 (2)</t>
  </si>
  <si>
    <t>"拆單": [</t>
  </si>
  <si>
    <t>"rem=需求批次, date=目標階段首佔用前一天最後格",</t>
  </si>
  <si>
    <t>"while rem&gt;0:",</t>
  </si>
  <si>
    <t>" recalc daily_max_batches",</t>
  </si>
  <si>
    <t>" take=min(rem,daily_max_batches)",</t>
  </si>
  <si>
    <t>" need_slots=ceil(take*batch_time/5)",</t>
  </si>
  <si>
    <t>" occupy from last available格往前 need_slots",</t>
  </si>
  <si>
    <t>" rem-=take; date–=1"</t>
  </si>
  <si>
    <t>"machine_used[機器] 未佔用",</t>
  </si>
  <si>
    <t>"human_used['製造類型']&lt;2"</t>
  </si>
  <si>
    <t>"loop_end": "rem=0 停止"</t>
  </si>
  <si>
    <t>"Cat1": {</t>
  </si>
  <si>
    <t>"process_sequence": ["預攪"],</t>
  </si>
  <si>
    <t>"need_origin": "對應 Cat2 工單的「當日批數」",</t>
  </si>
  <si>
    <t>"batch_time": "預攪(min)",</t>
  </si>
  <si>
    <t>"need_to_slots": "ceil(當日批數*batch_time/5)",</t>
  </si>
  <si>
    <t>"start_point": "對應 Cat2 工單首佔用 slot 前一天最後格",</t>
  </si>
  <si>
    <t>"machine_used['預攪機'] 未佔用",</t>
  </si>
  <si>
    <t>"overflow": "正常不足→登記於加班表，不回補正常表",</t>
  </si>
  <si>
    <t>"loop_end": "need_slots 全部佔用完畢"</t>
  </si>
  <si>
    <t>"mark_overtime": "當日期 &lt; 原料齊料點時",</t>
  </si>
  <si>
    <t>欄位名稱</t>
  </si>
  <si>
    <t>資料型態</t>
  </si>
  <si>
    <t>說明</t>
  </si>
  <si>
    <t>文字</t>
  </si>
  <si>
    <t>訂單唯一識別碼</t>
  </si>
  <si>
    <t>對應產品的核心編號</t>
  </si>
  <si>
    <t>數值</t>
  </si>
  <si>
    <t>訂單要求的總數量 (pcs)</t>
  </si>
  <si>
    <t>水項、乳項、油項、醇項、充填項. 
 5個項目</t>
  </si>
  <si>
    <t>大、小、小乳、大乳、精、填. 
 6種攪料程序</t>
  </si>
  <si>
    <t>整數</t>
  </si>
  <si>
    <t>工序在項目中執行的順序編號.
 工序順序數值不一定連續 但可以表示順序.</t>
  </si>
  <si>
    <t>工序名稱: 預攪、攪料、清洗、前置、洗瓶、充填、排瓶、後加工</t>
  </si>
  <si>
    <t>工序使用的機器類型資源，精機、預攪機、大機、小乳機、大乳機、落地機、排瓶機、充填機</t>
  </si>
  <si>
    <t>此工序所需的作業分鐘數</t>
  </si>
  <si>
    <t>每個pcs的重量 (g/pcs)，如 42g/pcs（僅製造類型）</t>
  </si>
  <si>
    <t>該工序每小時可生產數量（僅充填類型）</t>
  </si>
  <si>
    <t>該工序每批次可產出的總重量（僅製造類型）</t>
  </si>
  <si>
    <t>該工序每批次的製造數量（僅製造類型）</t>
  </si>
  <si>
    <t>此工序每個時間slot表定人力需求</t>
  </si>
  <si>
    <t>工序所屬人力資源分類（充填類型／製造類型）</t>
  </si>
  <si>
    <t>該工序需要的製造類型生產批次數. 充填類型用pcs當單位 所以需求批次為零. (參考)</t>
  </si>
  <si>
    <t>訂單的製造類型單一工序耗時(參考)</t>
  </si>
  <si>
    <t>訂單的充填類型單一工序耗時(參考)</t>
  </si>
  <si>
    <t>同一訂單、同一項目的所有工序總耗時(參考)</t>
  </si>
  <si>
    <t>同一訂單的所有工序總耗時. 各項單一工序耗時的總和
 (參考)</t>
  </si>
  <si>
    <t>日期時間</t>
  </si>
  <si>
    <t>預計交貨日 Slot 0 開始時結算</t>
  </si>
  <si>
    <t>原料到齊時間. Slot 0 開始時到</t>
  </si>
  <si>
    <t>包材等到齊時間Slot 0 開始時到</t>
  </si>
  <si>
    <t>P005-乳項-1</t>
  </si>
  <si>
    <t>95-8</t>
  </si>
  <si>
    <t>P005-乳項-2</t>
  </si>
  <si>
    <t>95-52</t>
  </si>
  <si>
    <t>P005-水項-1</t>
  </si>
  <si>
    <t>95-36</t>
  </si>
  <si>
    <t>95-26</t>
  </si>
  <si>
    <t>Date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</si>
  <si>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</si>
  <si>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</si>
  <si>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</si>
  <si>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</si>
  <si>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</si>
  <si>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</si>
  <si>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</si>
  <si>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</si>
  <si>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</si>
  <si>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</si>
  <si>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</si>
  <si>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</si>
  <si>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</si>
  <si>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</si>
  <si>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</si>
  <si>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</si>
  <si>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</si>
  <si>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</si>
  <si>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</si>
  <si>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</si>
  <si>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</si>
  <si>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</si>
  <si>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</si>
  <si>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</si>
  <si>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</si>
  <si>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</si>
  <si>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</si>
  <si>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</si>
  <si>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</si>
  <si>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</si>
  <si>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</si>
  <si>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</si>
  <si>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</si>
  <si>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</si>
  <si>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</si>
  <si>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</si>
  <si>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</si>
  <si>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</si>
  <si>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</si>
  <si>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</si>
  <si>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</si>
  <si>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</si>
  <si>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</si>
  <si>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</si>
  <si>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</si>
  <si>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</si>
  <si>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</si>
  <si>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</si>
  <si>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</si>
  <si>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</si>
  <si>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</si>
  <si>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</si>
  <si>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</si>
  <si>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</si>
  <si>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</si>
  <si>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</si>
  <si>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</si>
  <si>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</si>
  <si>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</si>
  <si>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</si>
  <si>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</si>
  <si>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</si>
  <si>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</si>
  <si>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</si>
  <si>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</si>
  <si>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</si>
  <si>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</si>
  <si>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</si>
  <si>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</si>
  <si>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</si>
  <si>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</si>
  <si>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</si>
  <si>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</si>
  <si>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</si>
  <si>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</si>
  <si>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</si>
  <si>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</si>
  <si>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</si>
  <si>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</si>
  <si>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</si>
  <si>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</si>
  <si>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</si>
  <si>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</si>
  <si>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</si>
  <si>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</si>
  <si>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</si>
  <si>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</si>
  <si>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</si>
  <si>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</si>
  <si>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</si>
  <si>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</si>
  <si>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</si>
  <si>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</si>
  <si>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</si>
  <si>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</si>
  <si>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</si>
  <si>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</si>
  <si>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</si>
  <si>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</si>
  <si>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</si>
  <si>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</si>
  <si>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</si>
  <si>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</si>
  <si>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</si>
  <si>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</si>
  <si>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</si>
  <si>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</si>
  <si>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</si>
  <si>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</si>
  <si>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</si>
  <si>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</si>
  <si>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</si>
  <si>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</si>
  <si>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</si>
  <si>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</si>
  <si>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</si>
  <si>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</si>
  <si>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</si>
  <si>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</si>
  <si>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</si>
  <si>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</si>
  <si>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</si>
  <si>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</si>
  <si>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</si>
  <si>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</si>
  <si>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</si>
  <si>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</si>
  <si>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</si>
  <si>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</si>
  <si>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</si>
  <si>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</si>
  <si>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</si>
  <si>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</si>
  <si>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</si>
  <si>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</si>
  <si>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</si>
  <si>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</si>
  <si>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</si>
  <si>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</si>
  <si>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</si>
  <si>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</si>
  <si>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</si>
  <si>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</si>
  <si>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</si>
  <si>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</si>
  <si>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</si>
  <si>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</si>
  <si>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</si>
  <si>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</si>
  <si>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</si>
  <si>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</si>
  <si>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</si>
  <si>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</si>
  <si>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</si>
  <si>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</si>
  <si>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</si>
  <si>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</si>
  <si>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</si>
  <si>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</si>
  <si>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</si>
  <si>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</si>
  <si>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</si>
  <si>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</si>
  <si>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</si>
  <si>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</si>
  <si>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</si>
  <si>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</si>
  <si>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</si>
  <si>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</si>
  <si>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</si>
  <si>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</si>
  <si>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</si>
  <si>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</si>
  <si>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</si>
  <si>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</si>
  <si>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</si>
  <si>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</si>
  <si>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</si>
  <si>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</si>
  <si>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</si>
  <si>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</si>
  <si>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</si>
  <si>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</si>
  <si>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</si>
  <si>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</si>
  <si>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</si>
  <si>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</si>
  <si>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</si>
  <si>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</si>
  <si>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</si>
  <si>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</si>
  <si>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</si>
  <si>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</si>
  <si>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</si>
  <si>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</si>
  <si>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</si>
  <si>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</si>
  <si>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</si>
  <si>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</si>
  <si>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</si>
  <si>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</si>
  <si>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</si>
  <si>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</si>
  <si>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</si>
  <si>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</si>
  <si>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</si>
  <si>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</si>
  <si>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</si>
  <si>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</si>
  <si>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</si>
  <si>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</si>
  <si>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</si>
  <si>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</si>
  <si>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</si>
  <si>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</si>
  <si>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</si>
  <si>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</si>
  <si>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</si>
  <si>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</si>
  <si>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</si>
  <si>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</si>
  <si>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</si>
  <si>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</si>
  <si>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</si>
  <si>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</si>
  <si>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</si>
  <si>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</si>
  <si>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</si>
  <si>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</si>
  <si>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</si>
  <si>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</si>
  <si>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</si>
  <si>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</si>
  <si>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</si>
  <si>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</si>
  <si>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</si>
  <si>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</si>
  <si>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</si>
  <si>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</si>
  <si>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</si>
  <si>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</si>
  <si>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</si>
  <si>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</si>
  <si>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</si>
  <si>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</si>
  <si>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</si>
  <si>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</si>
  <si>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</si>
  <si>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</si>
  <si>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</si>
  <si>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</si>
  <si>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</si>
  <si>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</si>
  <si>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</si>
  <si>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</si>
  <si>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</si>
  <si>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</si>
  <si>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</si>
  <si>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</si>
  <si>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</si>
  <si>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</si>
  <si>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</si>
  <si>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</si>
  <si>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</si>
  <si>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</si>
  <si>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</si>
  <si>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</si>
  <si>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</si>
  <si>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</si>
  <si>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</si>
  <si>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</si>
  <si>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</si>
  <si>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</si>
  <si>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</si>
  <si>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</si>
  <si>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</si>
  <si>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</si>
  <si>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</si>
  <si>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</si>
  <si>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</si>
  <si>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</si>
  <si>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</si>
  <si>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</si>
  <si>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</si>
  <si>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</si>
  <si>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</si>
  <si>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</si>
  <si>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</si>
  <si>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</si>
  <si>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</si>
  <si>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</si>
  <si>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</si>
  <si>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</si>
  <si>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</si>
  <si>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</si>
  <si>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</si>
  <si>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</si>
  <si>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</si>
  <si>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</si>
  <si>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</si>
  <si>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</si>
  <si>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</si>
  <si>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</si>
  <si>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</si>
  <si>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</si>
  <si>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</si>
  <si>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</si>
  <si>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</si>
  <si>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</si>
  <si>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</si>
  <si>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</si>
  <si>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</si>
  <si>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</si>
  <si>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</si>
  <si>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</si>
  <si>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</si>
  <si>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</si>
  <si>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</si>
  <si>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</si>
  <si>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</si>
  <si>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</si>
  <si>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</si>
  <si>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</si>
  <si>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</si>
  <si>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</si>
  <si>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</si>
  <si>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</si>
  <si>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</si>
  <si>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</si>
  <si>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</si>
  <si>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</si>
  <si>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</si>
  <si>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</si>
  <si>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</si>
  <si>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</si>
  <si>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</si>
  <si>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</si>
  <si>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</si>
  <si>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</si>
  <si>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</si>
  <si>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</si>
  <si>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</si>
  <si>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</si>
  <si>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</si>
  <si>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</si>
  <si>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</si>
  <si>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</si>
  <si>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</si>
  <si>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</si>
  <si>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</si>
  <si>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</si>
  <si>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</si>
  <si>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</si>
  <si>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</si>
  <si>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</si>
  <si>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</si>
  <si>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</si>
  <si>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</si>
  <si>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</si>
  <si>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</si>
  <si>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</si>
  <si>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</si>
  <si>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</si>
  <si>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</si>
  <si>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</si>
  <si>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</si>
  <si>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</si>
  <si>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</si>
  <si>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</si>
  <si>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</si>
  <si>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</si>
  <si>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</si>
  <si>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</si>
  <si>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</si>
  <si>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</si>
  <si>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</si>
  <si>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</si>
  <si>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</si>
  <si>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</si>
  <si>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</si>
  <si>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</si>
  <si>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</si>
  <si>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</si>
  <si>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</si>
  <si>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</si>
  <si>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</si>
  <si>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</si>
  <si>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</si>
  <si>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</si>
  <si>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</si>
  <si>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</si>
  <si>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</si>
  <si>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</si>
  <si>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</si>
  <si>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</si>
  <si>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</si>
  <si>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</si>
  <si>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</si>
  <si>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</si>
  <si>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</si>
  <si>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</si>
  <si>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</si>
  <si>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</si>
  <si>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</si>
  <si>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</si>
  <si>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</si>
  <si>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</si>
  <si>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</si>
  <si>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</si>
  <si>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</si>
  <si>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</si>
  <si>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</si>
  <si>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</si>
  <si>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</si>
  <si>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</si>
  <si>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</si>
  <si>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</si>
  <si>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</si>
  <si>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</si>
  <si>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</si>
  <si>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</si>
  <si>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</si>
  <si>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</si>
  <si>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</si>
  <si>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</si>
  <si>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</si>
  <si>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</si>
  <si>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</si>
  <si>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</si>
  <si>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</si>
  <si>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</si>
  <si>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</si>
  <si>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</si>
  <si>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</si>
  <si>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</si>
  <si>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</si>
  <si>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</si>
  <si>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</si>
  <si>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</si>
  <si>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</si>
  <si>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</si>
  <si>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</si>
  <si>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</si>
  <si>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</si>
  <si>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</si>
  <si>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</si>
  <si>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</si>
  <si>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</si>
  <si>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</si>
  <si>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</si>
  <si>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</si>
  <si>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</si>
  <si>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</si>
  <si>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</si>
  <si>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</si>
  <si>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</si>
  <si>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</si>
  <si>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</si>
  <si>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</si>
  <si>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</si>
  <si>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</si>
  <si>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</si>
  <si>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</si>
  <si>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</si>
  <si>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</si>
  <si>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</si>
  <si>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</si>
  <si>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</si>
  <si>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</si>
  <si>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</si>
  <si>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</si>
  <si>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</si>
  <si>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</si>
  <si>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</si>
  <si>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</si>
  <si>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</si>
  <si>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</si>
  <si>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</si>
  <si>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</si>
  <si>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</si>
  <si>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</si>
  <si>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</si>
  <si>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</si>
  <si>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</si>
  <si>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</si>
  <si>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</si>
  <si>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</si>
  <si>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</si>
  <si>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</si>
  <si>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</si>
  <si>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</si>
  <si>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</si>
  <si>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</si>
  <si>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</si>
  <si>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</si>
  <si>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</si>
  <si>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</si>
  <si>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</si>
  <si>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</si>
  <si>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</si>
  <si>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</si>
  <si>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</si>
  <si>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</si>
  <si>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</si>
  <si>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</si>
  <si>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</si>
  <si>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</si>
  <si>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</si>
  <si>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</si>
  <si>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</si>
  <si>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</si>
  <si>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</si>
  <si>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</si>
  <si>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</si>
  <si>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</si>
  <si>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</si>
  <si>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</si>
  <si>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</si>
  <si>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</si>
  <si>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</si>
  <si>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</si>
  <si>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</si>
  <si>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</si>
  <si>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</si>
  <si>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</si>
  <si>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</si>
  <si>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</si>
  <si>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</si>
  <si>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</si>
  <si>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</si>
  <si>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</si>
  <si>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</si>
  <si>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</si>
  <si>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</si>
  <si>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</si>
  <si>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</si>
  <si>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</si>
  <si>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</si>
  <si>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</si>
  <si>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</si>
  <si>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</si>
  <si>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</si>
  <si>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</si>
  <si>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</si>
  <si>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</si>
  <si>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</si>
  <si>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</si>
  <si>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</si>
  <si>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</si>
  <si>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</si>
  <si>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</si>
  <si>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</si>
  <si>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</si>
  <si>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</si>
  <si>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</si>
  <si>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</si>
  <si>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</si>
  <si>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</si>
  <si>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</si>
  <si>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</si>
  <si>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</si>
  <si>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</si>
  <si>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</si>
  <si>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</si>
  <si>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</si>
  <si>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</si>
  <si>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</si>
  <si>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</si>
  <si>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</si>
  <si>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</si>
  <si>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</si>
  <si>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</si>
  <si>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</si>
  <si>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</si>
  <si>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</si>
  <si>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</si>
  <si>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</si>
  <si>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</si>
  <si>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</si>
  <si>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</si>
  <si>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</si>
  <si>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</si>
  <si>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</si>
  <si>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</si>
  <si>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</si>
  <si>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</si>
  <si>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</si>
  <si>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</si>
  <si>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</si>
  <si>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</si>
  <si>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</si>
  <si>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</si>
  <si>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</si>
  <si>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</si>
  <si>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</si>
  <si>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</si>
  <si>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</si>
  <si>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</si>
  <si>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</si>
  <si>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</si>
  <si>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</si>
  <si>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</si>
  <si>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</si>
  <si>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</si>
  <si>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</si>
  <si>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</si>
  <si>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</si>
  <si>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</si>
  <si>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</si>
  <si>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</si>
  <si>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</si>
  <si>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</si>
  <si>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</si>
  <si>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</si>
  <si>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</si>
  <si>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</si>
  <si>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</si>
  <si>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</si>
  <si>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</si>
  <si>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</si>
  <si>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</si>
  <si>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</si>
  <si>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</si>
  <si>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</si>
  <si>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</si>
  <si>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</si>
  <si>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</si>
  <si>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</si>
  <si>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</si>
  <si>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</si>
  <si>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</si>
  <si>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</si>
  <si>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</si>
  <si>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</si>
  <si>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</si>
  <si>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</si>
  <si>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</si>
  <si>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</si>
  <si>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</si>
  <si>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</si>
  <si>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</si>
  <si>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</si>
  <si>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</si>
  <si>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</si>
  <si>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</si>
  <si>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</si>
  <si>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</si>
  <si>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</si>
  <si>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</si>
  <si>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</si>
  <si>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</si>
  <si>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</si>
  <si>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</si>
  <si>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</si>
  <si>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</si>
  <si>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</si>
  <si>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</si>
  <si>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</si>
  <si>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</si>
  <si>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</si>
  <si>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</si>
  <si>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沒有訂單</t>
  </si>
  <si>
    <t>已處理</t>
  </si>
  <si>
    <t>雙劑型，不確定可以怎麼表示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</si>
</sst>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d/m/yyyy"/>
    <numFmt numFmtId="178" formatCode="#,##0.0000"/>
    <numFmt numFmtId="179" formatCode="yyyy\-mm\-dd\ hh:mm:ss"/>
    <numFmt numFmtId="180" formatCode="yyyy\-mm\-dd\ h:mm:ss"/>
    <numFmt numFmtId="181" formatCode="m&quot;月&quot;d&quot;日&quot;"/>
  </numFmts>
  <fonts count="44">
    <font>
      <sz val="10"/>
      <color rgb="FF000000"/>
      <name val="Arial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rgb="FF000000"/>
      <name val="&quot;Aptos Narrow&quot;"/>
    </font>
    <font>
      <sz val="11"/>
      <color rgb="FF006100"/>
      <name val="&quot;Aptos Narrow&quot;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FF0000"/>
      <name val="Arial"/>
      <family val="2"/>
      <scheme val="minor"/>
    </font>
    <font>
      <sz val="11"/>
      <color rgb="FFB7B7B7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sz val="10"/>
      <color theme="1"/>
      <name val="&quot;Google Sans Mono&quot;"/>
    </font>
    <font>
      <sz val="10"/>
      <color rgb="FF1F1F1F"/>
      <name val="&quot;Google Sans Mono&quot;"/>
    </font>
    <font>
      <sz val="10"/>
      <color rgb="FFFF0000"/>
      <name val="Arial"/>
      <family val="2"/>
    </font>
    <font>
      <sz val="12"/>
      <color rgb="FFFFFFFF"/>
      <name val="PMingLiU"/>
      <family val="1"/>
      <charset val="136"/>
    </font>
    <font>
      <sz val="12"/>
      <color rgb="FF000000"/>
      <name val="PMingLiU"/>
      <family val="1"/>
      <charset val="136"/>
    </font>
    <font>
      <sz val="12"/>
      <color rgb="FF000000"/>
      <name val="Calibri"/>
      <family val="2"/>
    </font>
    <font>
      <sz val="12"/>
      <color rgb="FF000000"/>
      <name val="Microsoft JhengHei"/>
      <family val="2"/>
      <charset val="136"/>
    </font>
    <font>
      <sz val="12"/>
      <color rgb="FFFF0000"/>
      <name val="PMingLiU"/>
      <family val="1"/>
      <charset val="136"/>
    </font>
    <font>
      <sz val="12"/>
      <color rgb="FFFF0000"/>
      <name val="Calibri"/>
      <family val="2"/>
    </font>
    <font>
      <sz val="12"/>
      <color rgb="FFFF0000"/>
      <name val="Microsoft JhengHei"/>
      <family val="2"/>
      <charset val="136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&quot;Aptos Narrow&quot;"/>
    </font>
    <font>
      <sz val="11"/>
      <color rgb="FF9C0006"/>
      <name val="Calibri"/>
      <family val="2"/>
    </font>
    <font>
      <b/>
      <sz val="11"/>
      <color rgb="FF9C0006"/>
      <name val="&quot;Aptos Narrow&quot;"/>
    </font>
    <font>
      <sz val="11"/>
      <color rgb="FFFF0000"/>
      <name val="Calibri"/>
      <family val="2"/>
    </font>
    <font>
      <u/>
      <sz val="10"/>
      <color rgb="FF0000FF"/>
      <name val="Arial"/>
      <family val="2"/>
    </font>
    <font>
      <sz val="11"/>
      <color rgb="FF000000"/>
      <name val="PMingLiU"/>
      <family val="1"/>
      <charset val="136"/>
    </font>
    <font>
      <b/>
      <sz val="13"/>
      <color rgb="FF4F81BD"/>
      <name val="Calibri"/>
      <family val="2"/>
    </font>
    <font>
      <b/>
      <sz val="11"/>
      <color rgb="FF4F81BD"/>
      <name val="Calibri"/>
      <family val="2"/>
    </font>
    <font>
      <b/>
      <sz val="11"/>
      <color rgb="FF000000"/>
      <name val="PMingLiU"/>
      <family val="1"/>
      <charset val="136"/>
    </font>
    <font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color theme="1"/>
      <name val="Calibri"/>
      <family val="2"/>
    </font>
    <font>
      <sz val="12"/>
      <color theme="1"/>
      <name val="PMingLiU"/>
      <family val="1"/>
      <charset val="136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C6EFCE"/>
        <bgColor rgb="FFC6EFCE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0F4F9"/>
        <bgColor rgb="FFF0F4F9"/>
      </patternFill>
    </fill>
    <fill>
      <patternFill patternType="solid">
        <fgColor rgb="FF4F81BD"/>
        <bgColor rgb="FF4F81BD"/>
      </patternFill>
    </fill>
    <fill>
      <patternFill patternType="solid">
        <fgColor rgb="FFFF0000"/>
        <bgColor rgb="FFFF0000"/>
      </patternFill>
    </fill>
    <fill>
      <patternFill patternType="solid">
        <fgColor rgb="FFC0E6F5"/>
        <bgColor rgb="FFC0E6F5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DCE6F1"/>
        <bgColor rgb="FFDCE6F1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44B3E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/>
    <xf numFmtId="0" fontId="3" fillId="7" borderId="2" xfId="0" applyFont="1" applyFill="1" applyBorder="1"/>
    <xf numFmtId="0" fontId="2" fillId="0" borderId="0" xfId="0" applyFont="1"/>
    <xf numFmtId="176" fontId="2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8" borderId="1" xfId="0" applyFont="1" applyFill="1" applyBorder="1"/>
    <xf numFmtId="0" fontId="4" fillId="5" borderId="1" xfId="0" applyFont="1" applyFill="1" applyBorder="1" applyAlignment="1">
      <alignment horizontal="right"/>
    </xf>
    <xf numFmtId="11" fontId="4" fillId="0" borderId="0" xfId="0" applyNumberFormat="1" applyFont="1" applyAlignment="1">
      <alignment horizontal="right"/>
    </xf>
    <xf numFmtId="0" fontId="6" fillId="2" borderId="0" xfId="0" applyFont="1" applyFill="1"/>
    <xf numFmtId="0" fontId="7" fillId="0" borderId="0" xfId="0" applyFont="1"/>
    <xf numFmtId="0" fontId="6" fillId="0" borderId="0" xfId="0" applyFont="1"/>
    <xf numFmtId="0" fontId="6" fillId="2" borderId="0" xfId="0" applyFont="1" applyFill="1" applyAlignment="1">
      <alignment horizontal="right"/>
    </xf>
    <xf numFmtId="0" fontId="7" fillId="2" borderId="0" xfId="0" applyFont="1" applyFill="1"/>
    <xf numFmtId="0" fontId="8" fillId="0" borderId="0" xfId="0" applyFont="1"/>
    <xf numFmtId="0" fontId="8" fillId="9" borderId="0" xfId="0" applyFont="1" applyFill="1"/>
    <xf numFmtId="0" fontId="8" fillId="10" borderId="0" xfId="0" applyFont="1" applyFill="1"/>
    <xf numFmtId="0" fontId="9" fillId="0" borderId="0" xfId="0" applyFont="1"/>
    <xf numFmtId="0" fontId="10" fillId="0" borderId="0" xfId="0" applyFont="1"/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14" fontId="13" fillId="13" borderId="0" xfId="0" applyNumberFormat="1" applyFont="1" applyFill="1"/>
    <xf numFmtId="0" fontId="14" fillId="13" borderId="0" xfId="0" applyFont="1" applyFill="1"/>
    <xf numFmtId="0" fontId="13" fillId="13" borderId="0" xfId="0" applyFont="1" applyFill="1"/>
    <xf numFmtId="176" fontId="15" fillId="0" borderId="0" xfId="0" applyNumberFormat="1" applyFont="1"/>
    <xf numFmtId="0" fontId="16" fillId="14" borderId="3" xfId="0" applyFont="1" applyFill="1" applyBorder="1"/>
    <xf numFmtId="0" fontId="16" fillId="14" borderId="1" xfId="0" applyFont="1" applyFill="1" applyBorder="1"/>
    <xf numFmtId="0" fontId="17" fillId="15" borderId="0" xfId="0" applyFont="1" applyFill="1"/>
    <xf numFmtId="0" fontId="17" fillId="0" borderId="0" xfId="0" applyFont="1"/>
    <xf numFmtId="0" fontId="18" fillId="0" borderId="0" xfId="0" applyFont="1" applyAlignment="1">
      <alignment horizontal="right"/>
    </xf>
    <xf numFmtId="0" fontId="19" fillId="0" borderId="0" xfId="0" applyFont="1"/>
    <xf numFmtId="0" fontId="17" fillId="0" borderId="0" xfId="0" applyFont="1" applyAlignment="1">
      <alignment horizontal="right"/>
    </xf>
    <xf numFmtId="3" fontId="17" fillId="0" borderId="0" xfId="0" applyNumberFormat="1" applyFont="1"/>
    <xf numFmtId="0" fontId="20" fillId="0" borderId="0" xfId="0" applyFont="1"/>
    <xf numFmtId="0" fontId="21" fillId="0" borderId="0" xfId="0" applyFont="1" applyAlignment="1">
      <alignment horizontal="right"/>
    </xf>
    <xf numFmtId="0" fontId="22" fillId="0" borderId="0" xfId="0" applyFont="1"/>
    <xf numFmtId="0" fontId="20" fillId="0" borderId="0" xfId="0" applyFont="1" applyAlignment="1">
      <alignment horizontal="right"/>
    </xf>
    <xf numFmtId="3" fontId="20" fillId="0" borderId="0" xfId="0" applyNumberFormat="1" applyFont="1"/>
    <xf numFmtId="0" fontId="15" fillId="0" borderId="0" xfId="0" applyFont="1"/>
    <xf numFmtId="0" fontId="17" fillId="5" borderId="0" xfId="0" applyFont="1" applyFill="1" applyAlignment="1">
      <alignment horizontal="right"/>
    </xf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3" fontId="2" fillId="0" borderId="0" xfId="0" applyNumberFormat="1" applyFont="1"/>
    <xf numFmtId="14" fontId="2" fillId="0" borderId="0" xfId="0" applyNumberFormat="1" applyFont="1"/>
    <xf numFmtId="0" fontId="4" fillId="16" borderId="4" xfId="0" applyFont="1" applyFill="1" applyBorder="1"/>
    <xf numFmtId="0" fontId="23" fillId="0" borderId="0" xfId="0" applyFont="1"/>
    <xf numFmtId="0" fontId="24" fillId="17" borderId="1" xfId="0" applyFont="1" applyFill="1" applyBorder="1"/>
    <xf numFmtId="0" fontId="26" fillId="19" borderId="7" xfId="0" applyFont="1" applyFill="1" applyBorder="1"/>
    <xf numFmtId="0" fontId="27" fillId="16" borderId="1" xfId="0" applyFont="1" applyFill="1" applyBorder="1"/>
    <xf numFmtId="0" fontId="28" fillId="20" borderId="1" xfId="0" applyFont="1" applyFill="1" applyBorder="1"/>
    <xf numFmtId="3" fontId="28" fillId="20" borderId="1" xfId="0" applyNumberFormat="1" applyFont="1" applyFill="1" applyBorder="1"/>
    <xf numFmtId="0" fontId="23" fillId="20" borderId="1" xfId="0" applyFont="1" applyFill="1" applyBorder="1"/>
    <xf numFmtId="9" fontId="23" fillId="20" borderId="1" xfId="0" applyNumberFormat="1" applyFont="1" applyFill="1" applyBorder="1" applyAlignment="1">
      <alignment horizontal="right"/>
    </xf>
    <xf numFmtId="3" fontId="23" fillId="20" borderId="1" xfId="0" applyNumberFormat="1" applyFont="1" applyFill="1" applyBorder="1" applyAlignment="1">
      <alignment horizontal="right"/>
    </xf>
    <xf numFmtId="0" fontId="27" fillId="16" borderId="4" xfId="0" applyFont="1" applyFill="1" applyBorder="1"/>
    <xf numFmtId="0" fontId="29" fillId="20" borderId="4" xfId="0" applyFont="1" applyFill="1" applyBorder="1"/>
    <xf numFmtId="3" fontId="23" fillId="20" borderId="1" xfId="0" applyNumberFormat="1" applyFont="1" applyFill="1" applyBorder="1"/>
    <xf numFmtId="0" fontId="27" fillId="0" borderId="0" xfId="0" applyFont="1"/>
    <xf numFmtId="177" fontId="4" fillId="0" borderId="0" xfId="0" applyNumberFormat="1" applyFont="1" applyAlignment="1">
      <alignment horizontal="right"/>
    </xf>
    <xf numFmtId="9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27" fillId="0" borderId="8" xfId="0" applyFont="1" applyBorder="1"/>
    <xf numFmtId="3" fontId="23" fillId="0" borderId="0" xfId="0" applyNumberFormat="1" applyFont="1"/>
    <xf numFmtId="3" fontId="23" fillId="0" borderId="0" xfId="0" applyNumberFormat="1" applyFont="1" applyAlignment="1">
      <alignment horizontal="right"/>
    </xf>
    <xf numFmtId="0" fontId="27" fillId="16" borderId="9" xfId="0" applyFont="1" applyFill="1" applyBorder="1"/>
    <xf numFmtId="0" fontId="27" fillId="16" borderId="9" xfId="0" applyFont="1" applyFill="1" applyBorder="1" applyAlignment="1">
      <alignment horizontal="right"/>
    </xf>
    <xf numFmtId="0" fontId="30" fillId="20" borderId="1" xfId="0" applyFont="1" applyFill="1" applyBorder="1"/>
    <xf numFmtId="0" fontId="2" fillId="5" borderId="1" xfId="0" applyFont="1" applyFill="1" applyBorder="1"/>
    <xf numFmtId="178" fontId="2" fillId="0" borderId="0" xfId="0" applyNumberFormat="1" applyFont="1"/>
    <xf numFmtId="0" fontId="31" fillId="0" borderId="0" xfId="0" applyFont="1"/>
    <xf numFmtId="0" fontId="2" fillId="0" borderId="0" xfId="0" quotePrefix="1" applyFont="1"/>
    <xf numFmtId="0" fontId="2" fillId="4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  <xf numFmtId="0" fontId="2" fillId="15" borderId="1" xfId="0" applyFont="1" applyFill="1" applyBorder="1"/>
    <xf numFmtId="0" fontId="26" fillId="0" borderId="10" xfId="0" applyFont="1" applyBorder="1" applyAlignment="1">
      <alignment horizontal="center" vertical="top"/>
    </xf>
    <xf numFmtId="0" fontId="26" fillId="0" borderId="11" xfId="0" applyFont="1" applyBorder="1" applyAlignment="1">
      <alignment horizontal="center" vertical="top"/>
    </xf>
    <xf numFmtId="0" fontId="32" fillId="0" borderId="0" xfId="0" applyFont="1"/>
    <xf numFmtId="0" fontId="32" fillId="0" borderId="0" xfId="0" applyFont="1" applyAlignment="1">
      <alignment horizontal="right"/>
    </xf>
    <xf numFmtId="11" fontId="32" fillId="0" borderId="0" xfId="0" applyNumberFormat="1" applyFont="1" applyAlignment="1">
      <alignment horizontal="right"/>
    </xf>
    <xf numFmtId="179" fontId="32" fillId="0" borderId="0" xfId="0" applyNumberFormat="1" applyFont="1" applyAlignment="1">
      <alignment horizontal="right"/>
    </xf>
    <xf numFmtId="179" fontId="32" fillId="0" borderId="0" xfId="0" applyNumberFormat="1" applyFont="1"/>
    <xf numFmtId="11" fontId="32" fillId="0" borderId="0" xfId="0" applyNumberFormat="1" applyFont="1"/>
    <xf numFmtId="0" fontId="18" fillId="0" borderId="0" xfId="0" applyFont="1"/>
    <xf numFmtId="179" fontId="18" fillId="0" borderId="0" xfId="0" applyNumberFormat="1" applyFont="1"/>
    <xf numFmtId="11" fontId="18" fillId="0" borderId="0" xfId="0" applyNumberFormat="1" applyFont="1"/>
    <xf numFmtId="180" fontId="18" fillId="0" borderId="0" xfId="0" applyNumberFormat="1" applyFont="1"/>
    <xf numFmtId="180" fontId="32" fillId="0" borderId="0" xfId="0" applyNumberFormat="1" applyFont="1" applyAlignment="1">
      <alignment horizontal="right"/>
    </xf>
    <xf numFmtId="0" fontId="33" fillId="0" borderId="0" xfId="0" applyFont="1"/>
    <xf numFmtId="0" fontId="34" fillId="0" borderId="0" xfId="0" applyFont="1"/>
    <xf numFmtId="0" fontId="23" fillId="5" borderId="1" xfId="0" applyFont="1" applyFill="1" applyBorder="1"/>
    <xf numFmtId="0" fontId="35" fillId="0" borderId="0" xfId="0" applyFont="1"/>
    <xf numFmtId="0" fontId="2" fillId="23" borderId="1" xfId="0" applyFont="1" applyFill="1" applyBorder="1"/>
    <xf numFmtId="0" fontId="2" fillId="0" borderId="12" xfId="0" applyFont="1" applyBorder="1"/>
    <xf numFmtId="0" fontId="2" fillId="6" borderId="1" xfId="0" applyFont="1" applyFill="1" applyBorder="1"/>
    <xf numFmtId="0" fontId="2" fillId="24" borderId="1" xfId="0" applyFont="1" applyFill="1" applyBorder="1"/>
    <xf numFmtId="0" fontId="23" fillId="25" borderId="1" xfId="0" applyFont="1" applyFill="1" applyBorder="1"/>
    <xf numFmtId="0" fontId="36" fillId="0" borderId="10" xfId="0" applyFont="1" applyBorder="1" applyAlignment="1">
      <alignment vertical="top"/>
    </xf>
    <xf numFmtId="0" fontId="36" fillId="0" borderId="11" xfId="0" applyFont="1" applyBorder="1" applyAlignment="1">
      <alignment vertical="top"/>
    </xf>
    <xf numFmtId="0" fontId="36" fillId="0" borderId="13" xfId="0" applyFont="1" applyBorder="1" applyAlignment="1">
      <alignment vertical="top"/>
    </xf>
    <xf numFmtId="0" fontId="36" fillId="0" borderId="14" xfId="0" applyFont="1" applyBorder="1" applyAlignment="1">
      <alignment vertical="top"/>
    </xf>
    <xf numFmtId="0" fontId="37" fillId="0" borderId="10" xfId="0" applyFont="1" applyBorder="1" applyAlignment="1">
      <alignment horizontal="left" vertical="top"/>
    </xf>
    <xf numFmtId="0" fontId="37" fillId="21" borderId="10" xfId="0" applyFont="1" applyFill="1" applyBorder="1" applyAlignment="1">
      <alignment horizontal="left" vertical="top"/>
    </xf>
    <xf numFmtId="0" fontId="37" fillId="0" borderId="15" xfId="0" applyFont="1" applyBorder="1" applyAlignment="1">
      <alignment horizontal="left" vertical="top"/>
    </xf>
    <xf numFmtId="0" fontId="38" fillId="26" borderId="1" xfId="0" applyFont="1" applyFill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40" fillId="0" borderId="0" xfId="0" applyFont="1" applyAlignment="1">
      <alignment horizontal="right"/>
    </xf>
    <xf numFmtId="181" fontId="39" fillId="12" borderId="1" xfId="0" applyNumberFormat="1" applyFont="1" applyFill="1" applyBorder="1" applyAlignment="1">
      <alignment horizontal="right"/>
    </xf>
    <xf numFmtId="181" fontId="39" fillId="27" borderId="1" xfId="0" applyNumberFormat="1" applyFont="1" applyFill="1" applyBorder="1" applyAlignment="1">
      <alignment horizontal="right"/>
    </xf>
    <xf numFmtId="181" fontId="39" fillId="28" borderId="1" xfId="0" applyNumberFormat="1" applyFont="1" applyFill="1" applyBorder="1" applyAlignment="1">
      <alignment horizontal="right"/>
    </xf>
    <xf numFmtId="181" fontId="39" fillId="29" borderId="1" xfId="0" applyNumberFormat="1" applyFont="1" applyFill="1" applyBorder="1" applyAlignment="1">
      <alignment horizontal="right"/>
    </xf>
    <xf numFmtId="0" fontId="38" fillId="0" borderId="0" xfId="0" applyFont="1" applyAlignment="1">
      <alignment horizontal="right"/>
    </xf>
    <xf numFmtId="0" fontId="38" fillId="5" borderId="1" xfId="0" applyFont="1" applyFill="1" applyBorder="1"/>
    <xf numFmtId="181" fontId="39" fillId="6" borderId="1" xfId="0" applyNumberFormat="1" applyFont="1" applyFill="1" applyBorder="1" applyAlignment="1">
      <alignment horizontal="right"/>
    </xf>
    <xf numFmtId="181" fontId="39" fillId="30" borderId="1" xfId="0" applyNumberFormat="1" applyFont="1" applyFill="1" applyBorder="1" applyAlignment="1">
      <alignment horizontal="right"/>
    </xf>
    <xf numFmtId="0" fontId="41" fillId="31" borderId="16" xfId="0" applyFont="1" applyFill="1" applyBorder="1"/>
    <xf numFmtId="0" fontId="41" fillId="0" borderId="17" xfId="0" applyFont="1" applyBorder="1"/>
    <xf numFmtId="0" fontId="41" fillId="0" borderId="0" xfId="0" applyFont="1"/>
    <xf numFmtId="0" fontId="4" fillId="0" borderId="0" xfId="0" applyFont="1"/>
    <xf numFmtId="0" fontId="0" fillId="0" borderId="0" xfId="0"/>
    <xf numFmtId="0" fontId="24" fillId="18" borderId="5" xfId="0" applyFont="1" applyFill="1" applyBorder="1"/>
    <xf numFmtId="0" fontId="25" fillId="0" borderId="6" xfId="0" applyFont="1" applyBorder="1"/>
    <xf numFmtId="0" fontId="27" fillId="16" borderId="5" xfId="0" applyFont="1" applyFill="1" applyBorder="1"/>
  </cellXfs>
  <cellStyles count="1">
    <cellStyle name="一般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r-CYDqto9_JPJdqjSx-y5U0sTTNyAEXF9dUz3aM8snc/edit?gid=12756841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34343"/>
    <outlinePr summaryBelow="0" summaryRight="0"/>
  </sheetPr>
  <dimension ref="A1:AE1000"/>
  <sheetViews>
    <sheetView workbookViewId="0"/>
  </sheetViews>
  <sheetFormatPr defaultColWidth="12.61328125" defaultRowHeight="15" customHeight="1"/>
  <cols>
    <col min="1" max="1" width="23.4609375" customWidth="1"/>
    <col min="2" max="6" width="12.61328125" customWidth="1"/>
  </cols>
  <sheetData>
    <row r="1" spans="1:3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7" t="s">
        <v>0</v>
      </c>
      <c r="AE1" s="8" t="s">
        <v>29</v>
      </c>
    </row>
    <row r="2" spans="1:31" ht="15.75" customHeight="1">
      <c r="A2" s="9" t="s">
        <v>30</v>
      </c>
      <c r="B2" s="9" t="s">
        <v>31</v>
      </c>
      <c r="C2" s="9" t="s">
        <v>32</v>
      </c>
      <c r="D2" s="9">
        <v>10000</v>
      </c>
      <c r="E2" s="10">
        <v>44909</v>
      </c>
      <c r="F2" s="10">
        <v>44862</v>
      </c>
      <c r="G2" s="10">
        <v>44876</v>
      </c>
      <c r="H2" s="9">
        <v>4.9000000000000004</v>
      </c>
      <c r="I2" s="9">
        <v>50</v>
      </c>
      <c r="J2" s="9">
        <v>1</v>
      </c>
      <c r="K2" s="9" t="s">
        <v>33</v>
      </c>
      <c r="L2" s="9">
        <v>25</v>
      </c>
      <c r="M2" s="9">
        <v>70</v>
      </c>
      <c r="N2" s="9">
        <v>15</v>
      </c>
      <c r="O2" s="9">
        <v>1</v>
      </c>
      <c r="P2" s="9">
        <v>1</v>
      </c>
      <c r="Q2" s="9">
        <v>1</v>
      </c>
      <c r="R2" s="9">
        <v>0</v>
      </c>
      <c r="S2" s="9">
        <v>0</v>
      </c>
      <c r="T2" s="9">
        <v>1600</v>
      </c>
      <c r="U2" s="9">
        <v>1000</v>
      </c>
      <c r="V2" s="9">
        <v>0</v>
      </c>
      <c r="W2" s="9">
        <v>0</v>
      </c>
      <c r="X2" s="9">
        <v>0</v>
      </c>
      <c r="Y2" s="9">
        <v>1</v>
      </c>
      <c r="Z2" s="9">
        <v>4</v>
      </c>
      <c r="AA2" s="9">
        <v>0</v>
      </c>
      <c r="AB2" s="10">
        <v>45266</v>
      </c>
      <c r="AC2" s="11"/>
      <c r="AD2" s="12"/>
      <c r="AE2" s="12"/>
    </row>
    <row r="3" spans="1:31" ht="15.75" customHeight="1">
      <c r="A3" s="9" t="s">
        <v>34</v>
      </c>
      <c r="B3" s="9" t="s">
        <v>35</v>
      </c>
      <c r="C3" s="9" t="s">
        <v>36</v>
      </c>
      <c r="D3" s="9">
        <v>70</v>
      </c>
      <c r="E3" s="10">
        <v>45051</v>
      </c>
      <c r="F3" s="10">
        <v>45027</v>
      </c>
      <c r="G3" s="10">
        <v>45001</v>
      </c>
      <c r="H3" s="9">
        <v>99.1</v>
      </c>
      <c r="I3" s="9">
        <v>7</v>
      </c>
      <c r="J3" s="9">
        <v>1</v>
      </c>
      <c r="K3" s="9" t="s">
        <v>33</v>
      </c>
      <c r="L3" s="9">
        <v>65</v>
      </c>
      <c r="M3" s="9">
        <v>65</v>
      </c>
      <c r="N3" s="9">
        <v>20</v>
      </c>
      <c r="O3" s="9">
        <v>1</v>
      </c>
      <c r="P3" s="9">
        <v>1</v>
      </c>
      <c r="Q3" s="9">
        <v>1</v>
      </c>
      <c r="R3" s="9">
        <v>0</v>
      </c>
      <c r="S3" s="9">
        <v>0</v>
      </c>
      <c r="T3" s="9">
        <v>1000</v>
      </c>
      <c r="U3" s="9">
        <v>390</v>
      </c>
      <c r="V3" s="9">
        <v>0</v>
      </c>
      <c r="W3" s="9">
        <v>0</v>
      </c>
      <c r="X3" s="9">
        <v>0</v>
      </c>
      <c r="Y3" s="9">
        <v>1</v>
      </c>
      <c r="Z3" s="9">
        <v>4</v>
      </c>
      <c r="AA3" s="9">
        <v>0</v>
      </c>
      <c r="AB3" s="10">
        <v>45051</v>
      </c>
      <c r="AC3" s="11"/>
      <c r="AD3" s="12"/>
      <c r="AE3" s="12"/>
    </row>
    <row r="4" spans="1:31" ht="15.75" customHeight="1">
      <c r="A4" s="9" t="s">
        <v>37</v>
      </c>
      <c r="B4" s="9" t="s">
        <v>38</v>
      </c>
      <c r="C4" s="9" t="s">
        <v>39</v>
      </c>
      <c r="D4" s="9">
        <v>10000</v>
      </c>
      <c r="E4" s="10">
        <v>44998</v>
      </c>
      <c r="F4" s="10">
        <v>44915</v>
      </c>
      <c r="G4" s="10">
        <v>44960</v>
      </c>
      <c r="H4" s="9">
        <v>11.7</v>
      </c>
      <c r="I4" s="9">
        <v>117</v>
      </c>
      <c r="J4" s="9">
        <v>1</v>
      </c>
      <c r="K4" s="9" t="s">
        <v>40</v>
      </c>
      <c r="L4" s="9">
        <v>70</v>
      </c>
      <c r="M4" s="9">
        <v>70</v>
      </c>
      <c r="N4" s="9">
        <v>30</v>
      </c>
      <c r="O4" s="9">
        <v>1</v>
      </c>
      <c r="P4" s="9">
        <v>1</v>
      </c>
      <c r="Q4" s="9">
        <v>1</v>
      </c>
      <c r="R4" s="9">
        <v>0</v>
      </c>
      <c r="S4" s="9">
        <v>0</v>
      </c>
      <c r="T4" s="9">
        <v>1100</v>
      </c>
      <c r="U4" s="9">
        <v>820</v>
      </c>
      <c r="V4" s="9">
        <v>0</v>
      </c>
      <c r="W4" s="9">
        <v>0</v>
      </c>
      <c r="X4" s="9">
        <v>0</v>
      </c>
      <c r="Y4" s="9">
        <v>1</v>
      </c>
      <c r="Z4" s="9">
        <v>4</v>
      </c>
      <c r="AA4" s="9">
        <v>0</v>
      </c>
      <c r="AB4" s="10">
        <v>44991</v>
      </c>
      <c r="AC4" s="11"/>
      <c r="AD4" s="12"/>
      <c r="AE4" s="13"/>
    </row>
    <row r="5" spans="1:31" ht="15.75" customHeight="1">
      <c r="A5" s="9" t="s">
        <v>41</v>
      </c>
      <c r="B5" s="9" t="s">
        <v>38</v>
      </c>
      <c r="C5" s="9" t="s">
        <v>39</v>
      </c>
      <c r="D5" s="9">
        <v>184</v>
      </c>
      <c r="E5" s="10">
        <v>44998</v>
      </c>
      <c r="F5" s="10">
        <v>44915</v>
      </c>
      <c r="G5" s="10">
        <v>44960</v>
      </c>
      <c r="H5" s="9">
        <v>11.7</v>
      </c>
      <c r="I5" s="9">
        <v>3</v>
      </c>
      <c r="J5" s="9">
        <v>1</v>
      </c>
      <c r="K5" s="9" t="s">
        <v>40</v>
      </c>
      <c r="L5" s="9">
        <v>70</v>
      </c>
      <c r="M5" s="9">
        <v>70</v>
      </c>
      <c r="N5" s="9">
        <v>30</v>
      </c>
      <c r="O5" s="9">
        <v>1</v>
      </c>
      <c r="P5" s="9">
        <v>1</v>
      </c>
      <c r="Q5" s="9">
        <v>1</v>
      </c>
      <c r="R5" s="9">
        <v>0</v>
      </c>
      <c r="S5" s="9">
        <v>0</v>
      </c>
      <c r="T5" s="9">
        <v>1100</v>
      </c>
      <c r="U5" s="9">
        <v>820</v>
      </c>
      <c r="V5" s="9">
        <v>0</v>
      </c>
      <c r="W5" s="9">
        <v>0</v>
      </c>
      <c r="X5" s="9">
        <v>0</v>
      </c>
      <c r="Y5" s="9">
        <v>1</v>
      </c>
      <c r="Z5" s="9">
        <v>4</v>
      </c>
      <c r="AA5" s="9">
        <v>0</v>
      </c>
      <c r="AB5" s="10">
        <v>44966</v>
      </c>
      <c r="AC5" s="11"/>
      <c r="AD5" s="12"/>
      <c r="AE5" s="13"/>
    </row>
    <row r="6" spans="1:31" ht="15.75" customHeight="1">
      <c r="A6" s="9" t="s">
        <v>42</v>
      </c>
      <c r="B6" s="9" t="s">
        <v>43</v>
      </c>
      <c r="C6" s="9" t="s">
        <v>44</v>
      </c>
      <c r="D6" s="9">
        <v>6000</v>
      </c>
      <c r="E6" s="10">
        <v>45058</v>
      </c>
      <c r="F6" s="10">
        <v>45027</v>
      </c>
      <c r="G6" s="10">
        <v>45002</v>
      </c>
      <c r="H6" s="9">
        <v>30</v>
      </c>
      <c r="I6" s="9">
        <v>180</v>
      </c>
      <c r="J6" s="9">
        <v>3</v>
      </c>
      <c r="K6" s="9" t="s">
        <v>33</v>
      </c>
      <c r="L6" s="9">
        <v>35</v>
      </c>
      <c r="M6" s="9">
        <v>125</v>
      </c>
      <c r="N6" s="9">
        <v>15</v>
      </c>
      <c r="O6" s="9">
        <v>1</v>
      </c>
      <c r="P6" s="9">
        <v>1</v>
      </c>
      <c r="Q6" s="9">
        <v>1</v>
      </c>
      <c r="R6" s="9">
        <v>0</v>
      </c>
      <c r="S6" s="9">
        <v>0</v>
      </c>
      <c r="T6" s="9">
        <v>0</v>
      </c>
      <c r="U6" s="9">
        <v>750</v>
      </c>
      <c r="V6" s="9">
        <v>0</v>
      </c>
      <c r="W6" s="9">
        <v>0</v>
      </c>
      <c r="X6" s="9">
        <v>0</v>
      </c>
      <c r="Y6" s="9">
        <v>0</v>
      </c>
      <c r="Z6" s="9">
        <v>4</v>
      </c>
      <c r="AA6" s="9">
        <v>0</v>
      </c>
      <c r="AB6" s="10">
        <v>45043</v>
      </c>
      <c r="AC6" s="11"/>
      <c r="AD6" s="12"/>
      <c r="AE6" s="12"/>
    </row>
    <row r="7" spans="1:31" ht="15.75" customHeight="1">
      <c r="A7" s="9" t="s">
        <v>45</v>
      </c>
      <c r="B7" s="9" t="s">
        <v>46</v>
      </c>
      <c r="C7" s="9" t="s">
        <v>47</v>
      </c>
      <c r="D7" s="9">
        <v>3783</v>
      </c>
      <c r="E7" s="10">
        <v>45061</v>
      </c>
      <c r="F7" s="10">
        <v>44959</v>
      </c>
      <c r="G7" s="10">
        <v>44974</v>
      </c>
      <c r="H7" s="9">
        <v>42.5</v>
      </c>
      <c r="I7" s="9">
        <v>161</v>
      </c>
      <c r="J7" s="9">
        <v>4</v>
      </c>
      <c r="K7" s="9" t="s">
        <v>48</v>
      </c>
      <c r="L7" s="9">
        <v>40</v>
      </c>
      <c r="M7" s="9">
        <v>140</v>
      </c>
      <c r="N7" s="9">
        <v>60</v>
      </c>
      <c r="O7" s="9">
        <v>1</v>
      </c>
      <c r="P7" s="9">
        <v>1</v>
      </c>
      <c r="Q7" s="9">
        <v>1</v>
      </c>
      <c r="R7" s="9">
        <v>0</v>
      </c>
      <c r="S7" s="9">
        <v>0</v>
      </c>
      <c r="T7" s="9">
        <v>0</v>
      </c>
      <c r="U7" s="9">
        <v>420</v>
      </c>
      <c r="V7" s="9">
        <v>0</v>
      </c>
      <c r="W7" s="9">
        <v>0</v>
      </c>
      <c r="X7" s="9">
        <v>0</v>
      </c>
      <c r="Y7" s="9">
        <v>0</v>
      </c>
      <c r="Z7" s="9">
        <v>3</v>
      </c>
      <c r="AA7" s="9">
        <v>0</v>
      </c>
      <c r="AB7" s="10">
        <v>45026</v>
      </c>
      <c r="AC7" s="11"/>
      <c r="AD7" s="12"/>
      <c r="AE7" s="12"/>
    </row>
    <row r="8" spans="1:31" ht="15.75" customHeight="1">
      <c r="A8" s="9" t="s">
        <v>49</v>
      </c>
      <c r="B8" s="9" t="s">
        <v>50</v>
      </c>
      <c r="C8" s="9" t="s">
        <v>51</v>
      </c>
      <c r="D8" s="9">
        <v>2544</v>
      </c>
      <c r="E8" s="10">
        <v>45063</v>
      </c>
      <c r="F8" s="10">
        <v>45022</v>
      </c>
      <c r="G8" s="10">
        <v>44979</v>
      </c>
      <c r="H8" s="9">
        <v>90</v>
      </c>
      <c r="I8" s="9">
        <v>229</v>
      </c>
      <c r="J8" s="9">
        <v>1</v>
      </c>
      <c r="K8" s="9" t="s">
        <v>40</v>
      </c>
      <c r="L8" s="9">
        <v>50</v>
      </c>
      <c r="M8" s="9">
        <v>90</v>
      </c>
      <c r="N8" s="9">
        <v>30</v>
      </c>
      <c r="O8" s="9">
        <v>1</v>
      </c>
      <c r="P8" s="9">
        <v>1</v>
      </c>
      <c r="Q8" s="9">
        <v>1</v>
      </c>
      <c r="R8" s="9">
        <v>0</v>
      </c>
      <c r="S8" s="9">
        <v>0</v>
      </c>
      <c r="T8" s="9">
        <v>1</v>
      </c>
      <c r="U8" s="9">
        <v>900</v>
      </c>
      <c r="V8" s="9">
        <v>0</v>
      </c>
      <c r="W8" s="9">
        <v>0</v>
      </c>
      <c r="X8" s="9">
        <v>0</v>
      </c>
      <c r="Y8" s="9">
        <v>1</v>
      </c>
      <c r="Z8" s="9">
        <v>4</v>
      </c>
      <c r="AA8" s="9">
        <v>0</v>
      </c>
      <c r="AB8" s="10">
        <v>45040</v>
      </c>
      <c r="AC8" s="11"/>
      <c r="AD8" s="12"/>
      <c r="AE8" s="12"/>
    </row>
    <row r="9" spans="1:31" ht="15.75" customHeight="1">
      <c r="A9" s="9" t="s">
        <v>52</v>
      </c>
      <c r="B9" s="9" t="s">
        <v>53</v>
      </c>
      <c r="C9" s="9" t="s">
        <v>54</v>
      </c>
      <c r="D9" s="9">
        <v>2000</v>
      </c>
      <c r="E9" s="10">
        <v>45054</v>
      </c>
      <c r="F9" s="10">
        <v>45015</v>
      </c>
      <c r="G9" s="10">
        <v>44973</v>
      </c>
      <c r="H9" s="9">
        <v>31.45</v>
      </c>
      <c r="I9" s="9">
        <v>63</v>
      </c>
      <c r="J9" s="9">
        <v>2</v>
      </c>
      <c r="K9" s="9" t="s">
        <v>48</v>
      </c>
      <c r="L9" s="9">
        <v>75</v>
      </c>
      <c r="M9" s="9">
        <v>165</v>
      </c>
      <c r="N9" s="9">
        <v>90</v>
      </c>
      <c r="O9" s="9">
        <v>1</v>
      </c>
      <c r="P9" s="9">
        <v>1</v>
      </c>
      <c r="Q9" s="9">
        <v>1</v>
      </c>
      <c r="R9" s="9">
        <v>0</v>
      </c>
      <c r="S9" s="9">
        <v>0</v>
      </c>
      <c r="T9" s="9">
        <v>0</v>
      </c>
      <c r="U9" s="9">
        <v>800</v>
      </c>
      <c r="V9" s="9">
        <v>0</v>
      </c>
      <c r="W9" s="9">
        <v>0</v>
      </c>
      <c r="X9" s="9">
        <v>0</v>
      </c>
      <c r="Y9" s="9">
        <v>0</v>
      </c>
      <c r="Z9" s="9">
        <v>3</v>
      </c>
      <c r="AA9" s="9">
        <v>0</v>
      </c>
      <c r="AB9" s="10">
        <v>45030</v>
      </c>
      <c r="AC9" s="11"/>
      <c r="AD9" s="12"/>
      <c r="AE9" s="12"/>
    </row>
    <row r="10" spans="1:31" ht="15.75" customHeight="1">
      <c r="A10" s="9" t="s">
        <v>55</v>
      </c>
      <c r="B10" s="9" t="s">
        <v>56</v>
      </c>
      <c r="C10" s="9" t="s">
        <v>57</v>
      </c>
      <c r="D10" s="9">
        <v>10000</v>
      </c>
      <c r="E10" s="10">
        <v>45055</v>
      </c>
      <c r="F10" s="10">
        <v>44987</v>
      </c>
      <c r="G10" s="10">
        <v>44939</v>
      </c>
      <c r="H10" s="9">
        <v>5</v>
      </c>
      <c r="I10" s="9">
        <v>50</v>
      </c>
      <c r="J10" s="9">
        <v>1</v>
      </c>
      <c r="K10" s="9" t="s">
        <v>33</v>
      </c>
      <c r="L10" s="9">
        <v>20</v>
      </c>
      <c r="M10" s="9">
        <v>80</v>
      </c>
      <c r="N10" s="9">
        <v>25</v>
      </c>
      <c r="O10" s="9">
        <v>1</v>
      </c>
      <c r="P10" s="9">
        <v>1</v>
      </c>
      <c r="Q10" s="9">
        <v>1</v>
      </c>
      <c r="R10" s="9">
        <v>0</v>
      </c>
      <c r="S10" s="9">
        <v>0</v>
      </c>
      <c r="T10" s="9">
        <v>1</v>
      </c>
      <c r="U10" s="9">
        <v>1</v>
      </c>
      <c r="V10" s="9">
        <v>0</v>
      </c>
      <c r="W10" s="9">
        <v>0</v>
      </c>
      <c r="X10" s="9">
        <v>0</v>
      </c>
      <c r="Y10" s="9">
        <v>1</v>
      </c>
      <c r="Z10" s="9">
        <v>4</v>
      </c>
      <c r="AA10" s="9">
        <v>0</v>
      </c>
      <c r="AB10" s="10">
        <v>45044</v>
      </c>
      <c r="AC10" s="11"/>
      <c r="AD10" s="12"/>
      <c r="AE10" s="12"/>
    </row>
    <row r="11" spans="1:31" ht="15.75" customHeight="1">
      <c r="A11" s="9" t="s">
        <v>58</v>
      </c>
      <c r="B11" s="9" t="s">
        <v>59</v>
      </c>
      <c r="C11" s="9" t="s">
        <v>60</v>
      </c>
      <c r="D11" s="9">
        <v>10000</v>
      </c>
      <c r="E11" s="10">
        <v>44986</v>
      </c>
      <c r="F11" s="10">
        <v>44959</v>
      </c>
      <c r="G11" s="10">
        <v>44922</v>
      </c>
      <c r="H11" s="9">
        <v>100</v>
      </c>
      <c r="I11" s="9">
        <v>1000</v>
      </c>
      <c r="J11" s="9">
        <v>3</v>
      </c>
      <c r="K11" s="9" t="s">
        <v>40</v>
      </c>
      <c r="L11" s="9">
        <v>25</v>
      </c>
      <c r="M11" s="9">
        <v>320</v>
      </c>
      <c r="N11" s="9">
        <v>50</v>
      </c>
      <c r="O11" s="9">
        <v>1</v>
      </c>
      <c r="P11" s="9">
        <v>1</v>
      </c>
      <c r="Q11" s="9">
        <v>1</v>
      </c>
      <c r="R11" s="9">
        <v>0</v>
      </c>
      <c r="S11" s="9">
        <v>0</v>
      </c>
      <c r="T11" s="9">
        <v>460</v>
      </c>
      <c r="U11" s="9">
        <v>470</v>
      </c>
      <c r="V11" s="9">
        <v>0</v>
      </c>
      <c r="W11" s="9">
        <v>0</v>
      </c>
      <c r="X11" s="9">
        <v>0</v>
      </c>
      <c r="Y11" s="9">
        <v>1</v>
      </c>
      <c r="Z11" s="9">
        <v>3</v>
      </c>
      <c r="AA11" s="9">
        <v>0</v>
      </c>
      <c r="AB11" s="10">
        <v>44981</v>
      </c>
      <c r="AC11" s="14"/>
      <c r="AD11" s="12"/>
      <c r="AE11" s="12"/>
    </row>
    <row r="12" spans="1:31" ht="15.75" customHeight="1">
      <c r="A12" s="9" t="s">
        <v>61</v>
      </c>
      <c r="B12" s="9" t="s">
        <v>62</v>
      </c>
      <c r="C12" s="9" t="s">
        <v>63</v>
      </c>
      <c r="D12" s="9">
        <v>3100</v>
      </c>
      <c r="E12" s="10">
        <v>45061</v>
      </c>
      <c r="F12" s="10">
        <v>44973</v>
      </c>
      <c r="G12" s="10">
        <v>45044</v>
      </c>
      <c r="H12" s="9">
        <v>15</v>
      </c>
      <c r="I12" s="9">
        <v>47</v>
      </c>
      <c r="J12" s="9">
        <v>1</v>
      </c>
      <c r="K12" s="9" t="s">
        <v>33</v>
      </c>
      <c r="L12" s="9">
        <v>0</v>
      </c>
      <c r="M12" s="9">
        <v>90</v>
      </c>
      <c r="N12" s="9">
        <v>15</v>
      </c>
      <c r="O12" s="9">
        <v>1</v>
      </c>
      <c r="P12" s="9">
        <v>1</v>
      </c>
      <c r="Q12" s="9">
        <v>1</v>
      </c>
      <c r="R12" s="9">
        <v>0</v>
      </c>
      <c r="S12" s="9">
        <v>0</v>
      </c>
      <c r="T12" s="9">
        <v>0</v>
      </c>
      <c r="U12" s="9">
        <v>1000</v>
      </c>
      <c r="V12" s="9">
        <v>0</v>
      </c>
      <c r="W12" s="9">
        <v>0</v>
      </c>
      <c r="X12" s="9">
        <v>0</v>
      </c>
      <c r="Y12" s="9">
        <v>0</v>
      </c>
      <c r="Z12" s="9">
        <v>4</v>
      </c>
      <c r="AA12" s="9">
        <v>0</v>
      </c>
      <c r="AB12" s="10">
        <v>45054</v>
      </c>
      <c r="AC12" s="11"/>
      <c r="AD12" s="12"/>
      <c r="AE12" s="12"/>
    </row>
    <row r="13" spans="1:31" ht="15.75" customHeight="1">
      <c r="A13" s="9" t="s">
        <v>64</v>
      </c>
      <c r="B13" s="9" t="s">
        <v>65</v>
      </c>
      <c r="C13" s="9" t="s">
        <v>66</v>
      </c>
      <c r="D13" s="9">
        <v>15000</v>
      </c>
      <c r="E13" s="10">
        <v>45161</v>
      </c>
      <c r="F13" s="10">
        <v>44973</v>
      </c>
      <c r="G13" s="10">
        <v>45028</v>
      </c>
      <c r="H13" s="9">
        <v>30.6</v>
      </c>
      <c r="I13" s="9">
        <v>460</v>
      </c>
      <c r="J13" s="9">
        <v>5</v>
      </c>
      <c r="K13" s="9" t="s">
        <v>33</v>
      </c>
      <c r="L13" s="9">
        <v>100</v>
      </c>
      <c r="M13" s="9">
        <v>115</v>
      </c>
      <c r="N13" s="9">
        <v>50</v>
      </c>
      <c r="O13" s="9">
        <v>1</v>
      </c>
      <c r="P13" s="9">
        <v>1</v>
      </c>
      <c r="Q13" s="9">
        <v>1</v>
      </c>
      <c r="R13" s="9">
        <v>0</v>
      </c>
      <c r="S13" s="9">
        <v>554</v>
      </c>
      <c r="T13" s="9">
        <v>1235</v>
      </c>
      <c r="U13" s="9">
        <v>800</v>
      </c>
      <c r="V13" s="9">
        <v>0</v>
      </c>
      <c r="W13" s="9">
        <v>0</v>
      </c>
      <c r="X13" s="9">
        <v>1</v>
      </c>
      <c r="Y13" s="9">
        <v>1</v>
      </c>
      <c r="Z13" s="9">
        <v>3</v>
      </c>
      <c r="AA13" s="9">
        <v>0</v>
      </c>
      <c r="AB13" s="10">
        <v>45118</v>
      </c>
      <c r="AC13" s="11"/>
      <c r="AD13" s="12"/>
      <c r="AE13" s="12"/>
    </row>
    <row r="14" spans="1:31" ht="15.75" customHeight="1">
      <c r="A14" s="9" t="s">
        <v>64</v>
      </c>
      <c r="B14" s="9" t="s">
        <v>65</v>
      </c>
      <c r="C14" s="9" t="s">
        <v>66</v>
      </c>
      <c r="D14" s="9">
        <v>15000</v>
      </c>
      <c r="E14" s="10">
        <v>45161</v>
      </c>
      <c r="F14" s="10">
        <v>44973</v>
      </c>
      <c r="G14" s="10">
        <v>45028</v>
      </c>
      <c r="H14" s="9">
        <v>30.6</v>
      </c>
      <c r="I14" s="9">
        <v>460</v>
      </c>
      <c r="J14" s="9">
        <v>5</v>
      </c>
      <c r="K14" s="9" t="s">
        <v>33</v>
      </c>
      <c r="L14" s="9">
        <v>100</v>
      </c>
      <c r="M14" s="9">
        <v>115</v>
      </c>
      <c r="N14" s="9">
        <v>50</v>
      </c>
      <c r="O14" s="9">
        <v>1</v>
      </c>
      <c r="P14" s="9">
        <v>1</v>
      </c>
      <c r="Q14" s="9">
        <v>1</v>
      </c>
      <c r="R14" s="9">
        <v>0</v>
      </c>
      <c r="S14" s="9">
        <v>554</v>
      </c>
      <c r="T14" s="9">
        <v>1235</v>
      </c>
      <c r="U14" s="9">
        <v>800</v>
      </c>
      <c r="V14" s="9">
        <v>0</v>
      </c>
      <c r="W14" s="9">
        <v>0</v>
      </c>
      <c r="X14" s="9">
        <v>1</v>
      </c>
      <c r="Y14" s="9">
        <v>1</v>
      </c>
      <c r="Z14" s="9">
        <v>3</v>
      </c>
      <c r="AA14" s="9">
        <v>0</v>
      </c>
      <c r="AB14" s="10">
        <v>45118</v>
      </c>
      <c r="AC14" s="11"/>
      <c r="AD14" s="12"/>
      <c r="AE14" s="13"/>
    </row>
    <row r="15" spans="1:31" ht="15.75" customHeight="1">
      <c r="A15" s="9" t="s">
        <v>67</v>
      </c>
      <c r="B15" s="9" t="s">
        <v>68</v>
      </c>
      <c r="C15" s="9" t="s">
        <v>69</v>
      </c>
      <c r="D15" s="9">
        <v>30000</v>
      </c>
      <c r="E15" s="10">
        <v>45063</v>
      </c>
      <c r="F15" s="10">
        <v>45009</v>
      </c>
      <c r="G15" s="10">
        <v>45044</v>
      </c>
      <c r="H15" s="9">
        <v>31</v>
      </c>
      <c r="I15" s="9">
        <v>930</v>
      </c>
      <c r="J15" s="9">
        <v>3</v>
      </c>
      <c r="K15" s="9" t="s">
        <v>40</v>
      </c>
      <c r="L15" s="9">
        <v>25</v>
      </c>
      <c r="M15" s="9">
        <v>120</v>
      </c>
      <c r="N15" s="9">
        <v>30</v>
      </c>
      <c r="O15" s="9">
        <v>1</v>
      </c>
      <c r="P15" s="9">
        <v>1</v>
      </c>
      <c r="Q15" s="9">
        <v>1</v>
      </c>
      <c r="R15" s="9">
        <v>0</v>
      </c>
      <c r="S15" s="9">
        <v>0</v>
      </c>
      <c r="T15" s="9">
        <v>2</v>
      </c>
      <c r="U15" s="9">
        <v>1</v>
      </c>
      <c r="V15" s="9">
        <v>0</v>
      </c>
      <c r="W15" s="9">
        <v>0</v>
      </c>
      <c r="X15" s="9">
        <v>0</v>
      </c>
      <c r="Y15" s="9">
        <v>1</v>
      </c>
      <c r="Z15" s="9">
        <v>2</v>
      </c>
      <c r="AA15" s="9">
        <v>0</v>
      </c>
      <c r="AB15" s="10">
        <v>45062</v>
      </c>
      <c r="AC15" s="11"/>
      <c r="AD15" s="12"/>
      <c r="AE15" s="12"/>
    </row>
    <row r="16" spans="1:31" ht="15.75" customHeight="1">
      <c r="A16" s="9" t="s">
        <v>70</v>
      </c>
      <c r="B16" s="9" t="s">
        <v>62</v>
      </c>
      <c r="C16" s="9" t="s">
        <v>63</v>
      </c>
      <c r="D16" s="9">
        <v>6500</v>
      </c>
      <c r="E16" s="10">
        <v>45058</v>
      </c>
      <c r="F16" s="10">
        <v>44993</v>
      </c>
      <c r="G16" s="10">
        <v>45044</v>
      </c>
      <c r="H16" s="9">
        <v>15</v>
      </c>
      <c r="I16" s="9">
        <v>98</v>
      </c>
      <c r="J16" s="9">
        <v>2</v>
      </c>
      <c r="K16" s="9" t="s">
        <v>33</v>
      </c>
      <c r="L16" s="9">
        <v>0</v>
      </c>
      <c r="M16" s="9">
        <v>90</v>
      </c>
      <c r="N16" s="9">
        <v>15</v>
      </c>
      <c r="O16" s="9">
        <v>1</v>
      </c>
      <c r="P16" s="9">
        <v>1</v>
      </c>
      <c r="Q16" s="9">
        <v>1</v>
      </c>
      <c r="R16" s="9">
        <v>0</v>
      </c>
      <c r="S16" s="9">
        <v>0</v>
      </c>
      <c r="T16" s="9">
        <v>0</v>
      </c>
      <c r="U16" s="9">
        <v>1000</v>
      </c>
      <c r="V16" s="9">
        <v>0</v>
      </c>
      <c r="W16" s="9">
        <v>0</v>
      </c>
      <c r="X16" s="9">
        <v>0</v>
      </c>
      <c r="Y16" s="9">
        <v>0</v>
      </c>
      <c r="Z16" s="9">
        <v>4</v>
      </c>
      <c r="AA16" s="9">
        <v>0</v>
      </c>
      <c r="AB16" s="10">
        <v>45050</v>
      </c>
      <c r="AC16" s="11"/>
      <c r="AD16" s="12"/>
      <c r="AE16" s="12"/>
    </row>
    <row r="17" spans="1:31" ht="15.75" customHeight="1">
      <c r="A17" s="9" t="s">
        <v>71</v>
      </c>
      <c r="B17" s="9" t="s">
        <v>72</v>
      </c>
      <c r="C17" s="9" t="s">
        <v>73</v>
      </c>
      <c r="D17" s="9">
        <v>2094</v>
      </c>
      <c r="E17" s="10">
        <v>45065</v>
      </c>
      <c r="F17" s="10">
        <v>45044</v>
      </c>
      <c r="G17" s="10">
        <v>45044</v>
      </c>
      <c r="H17" s="9">
        <v>150</v>
      </c>
      <c r="I17" s="9">
        <v>315</v>
      </c>
      <c r="J17" s="9">
        <v>4</v>
      </c>
      <c r="K17" s="9" t="s">
        <v>74</v>
      </c>
      <c r="L17" s="9">
        <v>25</v>
      </c>
      <c r="M17" s="9">
        <v>180</v>
      </c>
      <c r="N17" s="9">
        <v>40</v>
      </c>
      <c r="O17" s="9">
        <v>1</v>
      </c>
      <c r="P17" s="9">
        <v>1</v>
      </c>
      <c r="Q17" s="9">
        <v>1</v>
      </c>
      <c r="R17" s="9">
        <v>0</v>
      </c>
      <c r="S17" s="9">
        <v>0</v>
      </c>
      <c r="T17" s="9">
        <v>700</v>
      </c>
      <c r="U17" s="9">
        <v>500</v>
      </c>
      <c r="V17" s="9">
        <v>0</v>
      </c>
      <c r="W17" s="9">
        <v>0</v>
      </c>
      <c r="X17" s="9">
        <v>0</v>
      </c>
      <c r="Y17" s="9">
        <v>1</v>
      </c>
      <c r="Z17" s="9">
        <v>4</v>
      </c>
      <c r="AA17" s="9">
        <v>0</v>
      </c>
      <c r="AB17" s="10">
        <v>45042</v>
      </c>
      <c r="AC17" s="11"/>
      <c r="AD17" s="12"/>
      <c r="AE17" s="12"/>
    </row>
    <row r="18" spans="1:31" ht="15.75" customHeight="1">
      <c r="A18" s="9" t="s">
        <v>75</v>
      </c>
      <c r="B18" s="9" t="s">
        <v>76</v>
      </c>
      <c r="C18" s="9" t="s">
        <v>77</v>
      </c>
      <c r="D18" s="9">
        <v>10000</v>
      </c>
      <c r="E18" s="10">
        <v>45065</v>
      </c>
      <c r="F18" s="10">
        <v>45028</v>
      </c>
      <c r="G18" s="10">
        <v>45037</v>
      </c>
      <c r="H18" s="9">
        <v>30.2</v>
      </c>
      <c r="I18" s="9">
        <v>302</v>
      </c>
      <c r="J18" s="9">
        <v>3</v>
      </c>
      <c r="K18" s="9" t="s">
        <v>33</v>
      </c>
      <c r="L18" s="9">
        <v>25</v>
      </c>
      <c r="M18" s="9">
        <v>110</v>
      </c>
      <c r="N18" s="9">
        <v>20</v>
      </c>
      <c r="O18" s="9">
        <v>1</v>
      </c>
      <c r="P18" s="9">
        <v>1</v>
      </c>
      <c r="Q18" s="9">
        <v>1</v>
      </c>
      <c r="R18" s="9">
        <v>0</v>
      </c>
      <c r="S18" s="9">
        <v>0</v>
      </c>
      <c r="T18" s="9">
        <v>1</v>
      </c>
      <c r="U18" s="9">
        <v>1</v>
      </c>
      <c r="V18" s="9">
        <v>0</v>
      </c>
      <c r="W18" s="9">
        <v>0</v>
      </c>
      <c r="X18" s="9">
        <v>0</v>
      </c>
      <c r="Y18" s="9">
        <v>1</v>
      </c>
      <c r="Z18" s="9">
        <v>4</v>
      </c>
      <c r="AA18" s="9">
        <v>0</v>
      </c>
      <c r="AB18" s="10">
        <v>45055</v>
      </c>
      <c r="AC18" s="11"/>
      <c r="AD18" s="12"/>
      <c r="AE18" s="12"/>
    </row>
    <row r="19" spans="1:31" ht="15.75" customHeight="1">
      <c r="A19" s="9" t="s">
        <v>78</v>
      </c>
      <c r="B19" s="9" t="s">
        <v>79</v>
      </c>
      <c r="C19" s="9" t="s">
        <v>80</v>
      </c>
      <c r="D19" s="9">
        <v>3000</v>
      </c>
      <c r="E19" s="10">
        <v>45051</v>
      </c>
      <c r="F19" s="10">
        <v>45008</v>
      </c>
      <c r="G19" s="10">
        <v>45030</v>
      </c>
      <c r="H19" s="9">
        <v>30</v>
      </c>
      <c r="I19" s="9">
        <v>90</v>
      </c>
      <c r="J19" s="9">
        <v>1</v>
      </c>
      <c r="K19" s="9" t="s">
        <v>74</v>
      </c>
      <c r="L19" s="9">
        <v>45</v>
      </c>
      <c r="M19" s="9">
        <v>180</v>
      </c>
      <c r="N19" s="9">
        <v>40</v>
      </c>
      <c r="O19" s="9">
        <v>1</v>
      </c>
      <c r="P19" s="9">
        <v>1</v>
      </c>
      <c r="Q19" s="9">
        <v>1</v>
      </c>
      <c r="R19" s="9">
        <v>0</v>
      </c>
      <c r="S19" s="9">
        <v>0</v>
      </c>
      <c r="T19" s="9">
        <v>750</v>
      </c>
      <c r="U19" s="9">
        <v>770</v>
      </c>
      <c r="V19" s="9">
        <v>0</v>
      </c>
      <c r="W19" s="9">
        <v>0</v>
      </c>
      <c r="X19" s="9">
        <v>0</v>
      </c>
      <c r="Y19" s="9">
        <v>1</v>
      </c>
      <c r="Z19" s="9">
        <v>4</v>
      </c>
      <c r="AA19" s="9">
        <v>0</v>
      </c>
      <c r="AB19" s="10">
        <v>45042</v>
      </c>
      <c r="AC19" s="14"/>
      <c r="AD19" s="12"/>
      <c r="AE19" s="13"/>
    </row>
    <row r="20" spans="1:31" ht="15.75" customHeight="1">
      <c r="A20" s="9" t="s">
        <v>81</v>
      </c>
      <c r="B20" s="9" t="s">
        <v>79</v>
      </c>
      <c r="C20" s="9" t="s">
        <v>80</v>
      </c>
      <c r="D20" s="9">
        <v>1700</v>
      </c>
      <c r="E20" s="10">
        <v>44974</v>
      </c>
      <c r="F20" s="10">
        <v>44957</v>
      </c>
      <c r="G20" s="10">
        <v>44886</v>
      </c>
      <c r="H20" s="9">
        <v>30</v>
      </c>
      <c r="I20" s="9">
        <v>51</v>
      </c>
      <c r="J20" s="9">
        <v>1</v>
      </c>
      <c r="K20" s="9" t="s">
        <v>48</v>
      </c>
      <c r="L20" s="9">
        <v>45</v>
      </c>
      <c r="M20" s="9">
        <v>130</v>
      </c>
      <c r="N20" s="9">
        <v>30</v>
      </c>
      <c r="O20" s="9">
        <v>1</v>
      </c>
      <c r="P20" s="9">
        <v>1</v>
      </c>
      <c r="Q20" s="9">
        <v>1</v>
      </c>
      <c r="R20" s="9">
        <v>0</v>
      </c>
      <c r="S20" s="9">
        <v>0</v>
      </c>
      <c r="T20" s="9">
        <v>750</v>
      </c>
      <c r="U20" s="9">
        <v>770</v>
      </c>
      <c r="V20" s="9">
        <v>0</v>
      </c>
      <c r="W20" s="9">
        <v>0</v>
      </c>
      <c r="X20" s="9">
        <v>0</v>
      </c>
      <c r="Y20" s="9">
        <v>1</v>
      </c>
      <c r="Z20" s="9">
        <v>4</v>
      </c>
      <c r="AA20" s="9">
        <v>0</v>
      </c>
      <c r="AB20" s="10">
        <v>44971</v>
      </c>
      <c r="AC20" s="14"/>
      <c r="AD20" s="12"/>
      <c r="AE20" s="12"/>
    </row>
    <row r="21" spans="1:31" ht="15.75" customHeight="1">
      <c r="A21" s="9" t="s">
        <v>82</v>
      </c>
      <c r="B21" s="9" t="s">
        <v>83</v>
      </c>
      <c r="C21" s="9" t="s">
        <v>84</v>
      </c>
      <c r="D21" s="9">
        <v>2000</v>
      </c>
      <c r="E21" s="10">
        <v>45044</v>
      </c>
      <c r="F21" s="10">
        <v>44993</v>
      </c>
      <c r="G21" s="10">
        <v>44972</v>
      </c>
      <c r="H21" s="9">
        <v>100</v>
      </c>
      <c r="I21" s="9">
        <v>200</v>
      </c>
      <c r="J21" s="9">
        <v>1</v>
      </c>
      <c r="K21" s="9" t="s">
        <v>40</v>
      </c>
      <c r="L21" s="9">
        <v>55</v>
      </c>
      <c r="M21" s="9">
        <v>130</v>
      </c>
      <c r="N21" s="9">
        <v>30</v>
      </c>
      <c r="O21" s="9">
        <v>1</v>
      </c>
      <c r="P21" s="9">
        <v>1</v>
      </c>
      <c r="Q21" s="9">
        <v>1</v>
      </c>
      <c r="R21" s="9">
        <v>0</v>
      </c>
      <c r="S21" s="9">
        <v>0</v>
      </c>
      <c r="T21" s="9">
        <v>800</v>
      </c>
      <c r="U21" s="9">
        <v>600</v>
      </c>
      <c r="V21" s="9">
        <v>0</v>
      </c>
      <c r="W21" s="9">
        <v>0</v>
      </c>
      <c r="X21" s="9">
        <v>0</v>
      </c>
      <c r="Y21" s="9">
        <v>1</v>
      </c>
      <c r="Z21" s="9">
        <v>5</v>
      </c>
      <c r="AA21" s="9">
        <v>0</v>
      </c>
      <c r="AB21" s="10">
        <v>45035</v>
      </c>
      <c r="AC21" s="14"/>
      <c r="AD21" s="12"/>
      <c r="AE21" s="12"/>
    </row>
    <row r="22" spans="1:31" ht="15.75" customHeight="1">
      <c r="A22" s="9" t="s">
        <v>85</v>
      </c>
      <c r="B22" s="9" t="s">
        <v>31</v>
      </c>
      <c r="C22" s="9" t="s">
        <v>32</v>
      </c>
      <c r="D22" s="9">
        <v>10000</v>
      </c>
      <c r="E22" s="10">
        <v>45063</v>
      </c>
      <c r="F22" s="10">
        <v>44993</v>
      </c>
      <c r="G22" s="10">
        <v>45030</v>
      </c>
      <c r="H22" s="9">
        <v>4.9000000000000004</v>
      </c>
      <c r="I22" s="9">
        <v>50</v>
      </c>
      <c r="J22" s="9">
        <v>1</v>
      </c>
      <c r="K22" s="9" t="s">
        <v>33</v>
      </c>
      <c r="L22" s="9">
        <v>25</v>
      </c>
      <c r="M22" s="9">
        <v>70</v>
      </c>
      <c r="N22" s="9">
        <v>15</v>
      </c>
      <c r="O22" s="9">
        <v>1</v>
      </c>
      <c r="P22" s="9">
        <v>1</v>
      </c>
      <c r="Q22" s="9">
        <v>1</v>
      </c>
      <c r="R22" s="9">
        <v>0</v>
      </c>
      <c r="S22" s="9">
        <v>0</v>
      </c>
      <c r="T22" s="9">
        <v>1600</v>
      </c>
      <c r="U22" s="9">
        <v>1000</v>
      </c>
      <c r="V22" s="9">
        <v>0</v>
      </c>
      <c r="W22" s="9">
        <v>0</v>
      </c>
      <c r="X22" s="9">
        <v>0</v>
      </c>
      <c r="Y22" s="9">
        <v>1</v>
      </c>
      <c r="Z22" s="9">
        <v>4</v>
      </c>
      <c r="AA22" s="9">
        <v>0</v>
      </c>
      <c r="AB22" s="10">
        <v>45054</v>
      </c>
      <c r="AC22" s="11"/>
      <c r="AD22" s="12"/>
      <c r="AE22" s="13"/>
    </row>
    <row r="23" spans="1:31" ht="15.75" customHeight="1">
      <c r="A23" s="9" t="s">
        <v>86</v>
      </c>
      <c r="B23" s="9" t="s">
        <v>87</v>
      </c>
      <c r="C23" s="9" t="s">
        <v>88</v>
      </c>
      <c r="D23" s="9">
        <v>5000</v>
      </c>
      <c r="E23" s="10">
        <v>45063</v>
      </c>
      <c r="F23" s="10">
        <v>44993</v>
      </c>
      <c r="G23" s="10">
        <v>45044</v>
      </c>
      <c r="H23" s="9">
        <v>30.6</v>
      </c>
      <c r="I23" s="9">
        <v>153</v>
      </c>
      <c r="J23" s="9">
        <v>1</v>
      </c>
      <c r="K23" s="9" t="s">
        <v>40</v>
      </c>
      <c r="L23" s="9">
        <v>25</v>
      </c>
      <c r="M23" s="9">
        <v>70</v>
      </c>
      <c r="N23" s="9">
        <v>30</v>
      </c>
      <c r="O23" s="9">
        <v>1</v>
      </c>
      <c r="P23" s="9">
        <v>1</v>
      </c>
      <c r="Q23" s="9">
        <v>1</v>
      </c>
      <c r="R23" s="9">
        <v>0</v>
      </c>
      <c r="S23" s="9">
        <v>0</v>
      </c>
      <c r="T23" s="9">
        <v>1600</v>
      </c>
      <c r="U23" s="9">
        <v>1500</v>
      </c>
      <c r="V23" s="9">
        <v>0</v>
      </c>
      <c r="W23" s="9">
        <v>0</v>
      </c>
      <c r="X23" s="9">
        <v>0</v>
      </c>
      <c r="Y23" s="9">
        <v>1</v>
      </c>
      <c r="Z23" s="9">
        <v>3</v>
      </c>
      <c r="AA23" s="9">
        <v>0</v>
      </c>
      <c r="AB23" s="10">
        <v>45050</v>
      </c>
      <c r="AC23" s="11"/>
      <c r="AD23" s="12"/>
      <c r="AE23" s="12"/>
    </row>
    <row r="24" spans="1:31" ht="15.75" customHeight="1">
      <c r="A24" s="9" t="s">
        <v>89</v>
      </c>
      <c r="B24" s="9" t="s">
        <v>90</v>
      </c>
      <c r="C24" s="9" t="s">
        <v>91</v>
      </c>
      <c r="D24" s="9">
        <v>1250</v>
      </c>
      <c r="E24" s="10">
        <v>45062</v>
      </c>
      <c r="F24" s="10">
        <v>45016</v>
      </c>
      <c r="G24" s="10">
        <v>45044</v>
      </c>
      <c r="H24" s="9">
        <v>28.3</v>
      </c>
      <c r="I24" s="9">
        <v>36</v>
      </c>
      <c r="J24" s="9">
        <v>1</v>
      </c>
      <c r="K24" s="9" t="s">
        <v>40</v>
      </c>
      <c r="L24" s="9">
        <v>25</v>
      </c>
      <c r="M24" s="9">
        <v>120</v>
      </c>
      <c r="N24" s="9">
        <v>30</v>
      </c>
      <c r="O24" s="9">
        <v>1</v>
      </c>
      <c r="P24" s="9">
        <v>1</v>
      </c>
      <c r="Q24" s="9">
        <v>1</v>
      </c>
      <c r="R24" s="9">
        <v>0</v>
      </c>
      <c r="S24" s="9">
        <v>0</v>
      </c>
      <c r="T24" s="9">
        <v>0</v>
      </c>
      <c r="U24" s="9">
        <v>1</v>
      </c>
      <c r="V24" s="9">
        <v>0</v>
      </c>
      <c r="W24" s="9">
        <v>0</v>
      </c>
      <c r="X24" s="9">
        <v>0</v>
      </c>
      <c r="Y24" s="9">
        <v>0</v>
      </c>
      <c r="Z24" s="9">
        <v>3</v>
      </c>
      <c r="AA24" s="9">
        <v>0</v>
      </c>
      <c r="AB24" s="10">
        <v>45055</v>
      </c>
      <c r="AC24" s="11"/>
      <c r="AD24" s="12"/>
      <c r="AE24" s="12"/>
    </row>
    <row r="25" spans="1:31" ht="15.75" customHeight="1">
      <c r="A25" s="9" t="s">
        <v>92</v>
      </c>
      <c r="B25" s="9" t="s">
        <v>93</v>
      </c>
      <c r="C25" s="9" t="s">
        <v>94</v>
      </c>
      <c r="D25" s="9">
        <v>25000</v>
      </c>
      <c r="E25" s="10">
        <v>45048</v>
      </c>
      <c r="F25" s="10">
        <v>45027</v>
      </c>
      <c r="G25" s="10">
        <v>45040</v>
      </c>
      <c r="H25" s="9">
        <v>20</v>
      </c>
      <c r="I25" s="9">
        <v>500</v>
      </c>
      <c r="J25" s="9">
        <v>5</v>
      </c>
      <c r="K25" s="9" t="s">
        <v>74</v>
      </c>
      <c r="L25" s="9">
        <v>25</v>
      </c>
      <c r="M25" s="9">
        <v>190</v>
      </c>
      <c r="N25" s="9">
        <v>40</v>
      </c>
      <c r="O25" s="9">
        <v>1</v>
      </c>
      <c r="P25" s="9">
        <v>1</v>
      </c>
      <c r="Q25" s="9">
        <v>1</v>
      </c>
      <c r="R25" s="9">
        <v>0</v>
      </c>
      <c r="S25" s="9">
        <v>0</v>
      </c>
      <c r="T25" s="9">
        <v>0</v>
      </c>
      <c r="U25" s="9">
        <v>800</v>
      </c>
      <c r="V25" s="9">
        <v>0</v>
      </c>
      <c r="W25" s="9">
        <v>0</v>
      </c>
      <c r="X25" s="9">
        <v>0</v>
      </c>
      <c r="Y25" s="9">
        <v>0</v>
      </c>
      <c r="Z25" s="9">
        <v>4</v>
      </c>
      <c r="AA25" s="9">
        <v>0</v>
      </c>
      <c r="AB25" s="10">
        <v>45057</v>
      </c>
      <c r="AC25" s="14"/>
      <c r="AD25" s="12"/>
      <c r="AE25" s="12"/>
    </row>
    <row r="26" spans="1:31" ht="15.75" customHeight="1">
      <c r="A26" s="9" t="s">
        <v>95</v>
      </c>
      <c r="B26" s="9" t="s">
        <v>96</v>
      </c>
      <c r="C26" s="9" t="s">
        <v>97</v>
      </c>
      <c r="D26" s="9">
        <v>3000</v>
      </c>
      <c r="E26" s="10">
        <v>45071</v>
      </c>
      <c r="F26" s="10">
        <v>44994</v>
      </c>
      <c r="G26" s="10">
        <v>44977</v>
      </c>
      <c r="H26" s="9">
        <v>30.9</v>
      </c>
      <c r="I26" s="9">
        <v>93</v>
      </c>
      <c r="J26" s="9">
        <v>1</v>
      </c>
      <c r="K26" s="9" t="s">
        <v>33</v>
      </c>
      <c r="L26" s="9">
        <v>50</v>
      </c>
      <c r="M26" s="9">
        <v>55</v>
      </c>
      <c r="N26" s="9">
        <v>15</v>
      </c>
      <c r="O26" s="9">
        <v>1</v>
      </c>
      <c r="P26" s="9">
        <v>1</v>
      </c>
      <c r="Q26" s="9">
        <v>1</v>
      </c>
      <c r="R26" s="9">
        <v>0</v>
      </c>
      <c r="S26" s="9">
        <v>0</v>
      </c>
      <c r="T26" s="9">
        <v>1</v>
      </c>
      <c r="U26" s="9">
        <v>1</v>
      </c>
      <c r="V26" s="9">
        <v>0</v>
      </c>
      <c r="W26" s="9">
        <v>0</v>
      </c>
      <c r="X26" s="9">
        <v>0</v>
      </c>
      <c r="Y26" s="9">
        <v>1</v>
      </c>
      <c r="Z26" s="9">
        <v>4</v>
      </c>
      <c r="AA26" s="9">
        <v>0</v>
      </c>
      <c r="AB26" s="10">
        <v>45012</v>
      </c>
      <c r="AC26" s="11"/>
      <c r="AD26" s="12"/>
      <c r="AE26" s="12"/>
    </row>
    <row r="27" spans="1:31" ht="15.75" customHeight="1">
      <c r="A27" s="9" t="s">
        <v>98</v>
      </c>
      <c r="B27" s="9" t="s">
        <v>99</v>
      </c>
      <c r="C27" s="9" t="s">
        <v>100</v>
      </c>
      <c r="D27" s="9">
        <v>3000</v>
      </c>
      <c r="E27" s="10">
        <v>45068</v>
      </c>
      <c r="F27" s="10">
        <v>45027</v>
      </c>
      <c r="G27" s="10">
        <v>45027</v>
      </c>
      <c r="H27" s="9">
        <v>31.7</v>
      </c>
      <c r="I27" s="9">
        <v>96</v>
      </c>
      <c r="J27" s="9">
        <v>1</v>
      </c>
      <c r="K27" s="9" t="s">
        <v>33</v>
      </c>
      <c r="L27" s="9">
        <v>0</v>
      </c>
      <c r="M27" s="9">
        <v>160</v>
      </c>
      <c r="N27" s="9">
        <v>30</v>
      </c>
      <c r="O27" s="9">
        <v>1</v>
      </c>
      <c r="P27" s="9">
        <v>1</v>
      </c>
      <c r="Q27" s="9">
        <v>1</v>
      </c>
      <c r="R27" s="9">
        <v>0</v>
      </c>
      <c r="S27" s="9">
        <v>0</v>
      </c>
      <c r="T27" s="9">
        <v>660</v>
      </c>
      <c r="U27" s="9">
        <v>800</v>
      </c>
      <c r="V27" s="9">
        <v>0</v>
      </c>
      <c r="W27" s="9">
        <v>0</v>
      </c>
      <c r="X27" s="9">
        <v>0</v>
      </c>
      <c r="Y27" s="9">
        <v>1</v>
      </c>
      <c r="Z27" s="9">
        <v>4</v>
      </c>
      <c r="AA27" s="9">
        <v>0</v>
      </c>
      <c r="AB27" s="10">
        <v>45056</v>
      </c>
      <c r="AC27" s="11"/>
      <c r="AD27" s="12"/>
      <c r="AE27" s="12"/>
    </row>
    <row r="28" spans="1:31" ht="15.75" customHeight="1">
      <c r="A28" s="9" t="s">
        <v>101</v>
      </c>
      <c r="B28" s="9" t="s">
        <v>102</v>
      </c>
      <c r="C28" s="9" t="s">
        <v>103</v>
      </c>
      <c r="D28" s="9">
        <v>1000</v>
      </c>
      <c r="E28" s="10">
        <v>45055</v>
      </c>
      <c r="F28" s="10">
        <v>45016</v>
      </c>
      <c r="G28" s="10">
        <v>45036</v>
      </c>
      <c r="H28" s="9">
        <v>49.7</v>
      </c>
      <c r="I28" s="9">
        <v>50</v>
      </c>
      <c r="J28" s="9">
        <v>1</v>
      </c>
      <c r="K28" s="9" t="s">
        <v>48</v>
      </c>
      <c r="L28" s="9">
        <v>80</v>
      </c>
      <c r="M28" s="9">
        <v>140</v>
      </c>
      <c r="N28" s="9">
        <v>45</v>
      </c>
      <c r="O28" s="9">
        <v>1</v>
      </c>
      <c r="P28" s="9">
        <v>1</v>
      </c>
      <c r="Q28" s="9">
        <v>1</v>
      </c>
      <c r="R28" s="9">
        <v>0</v>
      </c>
      <c r="S28" s="9">
        <v>0</v>
      </c>
      <c r="T28" s="9">
        <v>1500</v>
      </c>
      <c r="U28" s="9">
        <v>900</v>
      </c>
      <c r="V28" s="9">
        <v>0</v>
      </c>
      <c r="W28" s="9">
        <v>0</v>
      </c>
      <c r="X28" s="9">
        <v>0</v>
      </c>
      <c r="Y28" s="9">
        <v>1</v>
      </c>
      <c r="Z28" s="9">
        <v>4</v>
      </c>
      <c r="AA28" s="9">
        <v>0</v>
      </c>
      <c r="AB28" s="10">
        <v>45044</v>
      </c>
      <c r="AC28" s="14"/>
      <c r="AD28" s="12"/>
      <c r="AE28" s="12"/>
    </row>
    <row r="29" spans="1:31" ht="15.75" customHeight="1">
      <c r="A29" s="9" t="s">
        <v>104</v>
      </c>
      <c r="B29" s="9" t="s">
        <v>105</v>
      </c>
      <c r="C29" s="9" t="s">
        <v>106</v>
      </c>
      <c r="D29" s="9">
        <v>5500</v>
      </c>
      <c r="E29" s="10">
        <v>45075</v>
      </c>
      <c r="F29" s="10">
        <v>45026</v>
      </c>
      <c r="G29" s="10">
        <v>45034</v>
      </c>
      <c r="H29" s="9">
        <v>150</v>
      </c>
      <c r="I29" s="9">
        <v>825</v>
      </c>
      <c r="J29" s="9">
        <v>3</v>
      </c>
      <c r="K29" s="9" t="s">
        <v>40</v>
      </c>
      <c r="L29" s="9">
        <v>30</v>
      </c>
      <c r="M29" s="9">
        <v>95</v>
      </c>
      <c r="N29" s="9">
        <v>30</v>
      </c>
      <c r="O29" s="9">
        <v>1</v>
      </c>
      <c r="P29" s="9">
        <v>1</v>
      </c>
      <c r="Q29" s="9">
        <v>1</v>
      </c>
      <c r="R29" s="9">
        <v>0</v>
      </c>
      <c r="S29" s="9">
        <v>0</v>
      </c>
      <c r="T29" s="9">
        <v>800</v>
      </c>
      <c r="U29" s="9">
        <v>550</v>
      </c>
      <c r="V29" s="9">
        <v>0</v>
      </c>
      <c r="W29" s="9">
        <v>0</v>
      </c>
      <c r="X29" s="9">
        <v>0</v>
      </c>
      <c r="Y29" s="9">
        <v>1</v>
      </c>
      <c r="Z29" s="9">
        <v>4</v>
      </c>
      <c r="AA29" s="9">
        <v>0</v>
      </c>
      <c r="AB29" s="10">
        <v>45044</v>
      </c>
      <c r="AC29" s="11"/>
      <c r="AD29" s="12"/>
      <c r="AE29" s="12"/>
    </row>
    <row r="30" spans="1:31" ht="15.75" customHeight="1">
      <c r="A30" s="9" t="s">
        <v>107</v>
      </c>
      <c r="B30" s="9" t="s">
        <v>108</v>
      </c>
      <c r="C30" s="9" t="s">
        <v>109</v>
      </c>
      <c r="D30" s="9">
        <v>5000</v>
      </c>
      <c r="E30" s="10">
        <v>45075</v>
      </c>
      <c r="F30" s="10">
        <v>45027</v>
      </c>
      <c r="G30" s="10">
        <v>45056</v>
      </c>
      <c r="H30" s="9">
        <v>128</v>
      </c>
      <c r="I30" s="9">
        <v>640</v>
      </c>
      <c r="J30" s="9">
        <v>7</v>
      </c>
      <c r="K30" s="9" t="s">
        <v>33</v>
      </c>
      <c r="L30" s="9">
        <v>90</v>
      </c>
      <c r="M30" s="9">
        <v>35</v>
      </c>
      <c r="N30" s="9">
        <v>10</v>
      </c>
      <c r="O30" s="9">
        <v>1</v>
      </c>
      <c r="P30" s="9">
        <v>1</v>
      </c>
      <c r="Q30" s="9">
        <v>1</v>
      </c>
      <c r="R30" s="9">
        <v>0</v>
      </c>
      <c r="S30" s="9">
        <v>0</v>
      </c>
      <c r="T30" s="9">
        <v>600</v>
      </c>
      <c r="U30" s="9">
        <v>700</v>
      </c>
      <c r="V30" s="9">
        <v>0</v>
      </c>
      <c r="W30" s="9">
        <v>0</v>
      </c>
      <c r="X30" s="9">
        <v>0</v>
      </c>
      <c r="Y30" s="9">
        <v>1</v>
      </c>
      <c r="Z30" s="9">
        <v>4</v>
      </c>
      <c r="AA30" s="9">
        <v>0</v>
      </c>
      <c r="AB30" s="10">
        <v>45064</v>
      </c>
      <c r="AC30" s="11"/>
      <c r="AD30" s="12"/>
      <c r="AE30" s="12"/>
    </row>
    <row r="31" spans="1:31" ht="15.75" customHeight="1">
      <c r="A31" s="9" t="s">
        <v>110</v>
      </c>
      <c r="B31" s="9" t="s">
        <v>111</v>
      </c>
      <c r="C31" s="9" t="s">
        <v>112</v>
      </c>
      <c r="D31" s="9">
        <v>4478</v>
      </c>
      <c r="E31" s="10">
        <v>45072</v>
      </c>
      <c r="F31" s="10">
        <v>45050</v>
      </c>
      <c r="G31" s="10">
        <v>45056</v>
      </c>
      <c r="H31" s="9">
        <v>370</v>
      </c>
      <c r="I31" s="9">
        <v>1657</v>
      </c>
      <c r="J31" s="9">
        <v>17</v>
      </c>
      <c r="K31" s="9" t="s">
        <v>33</v>
      </c>
      <c r="L31" s="9">
        <v>75</v>
      </c>
      <c r="M31" s="9">
        <v>60</v>
      </c>
      <c r="N31" s="9">
        <v>10</v>
      </c>
      <c r="O31" s="9">
        <v>1</v>
      </c>
      <c r="P31" s="9">
        <v>1</v>
      </c>
      <c r="Q31" s="9">
        <v>1</v>
      </c>
      <c r="R31" s="9">
        <v>0</v>
      </c>
      <c r="S31" s="9">
        <v>0</v>
      </c>
      <c r="T31" s="9">
        <v>570</v>
      </c>
      <c r="U31" s="9">
        <v>480</v>
      </c>
      <c r="V31" s="9">
        <v>0</v>
      </c>
      <c r="W31" s="9">
        <v>0</v>
      </c>
      <c r="X31" s="9">
        <v>0</v>
      </c>
      <c r="Y31" s="9">
        <v>1</v>
      </c>
      <c r="Z31" s="9">
        <v>4</v>
      </c>
      <c r="AA31" s="9">
        <v>0</v>
      </c>
      <c r="AB31" s="10">
        <v>45065</v>
      </c>
      <c r="AC31" s="15"/>
      <c r="AD31" s="12"/>
      <c r="AE31" s="12"/>
    </row>
    <row r="32" spans="1:31" ht="15.75" customHeight="1">
      <c r="A32" s="9" t="s">
        <v>113</v>
      </c>
      <c r="B32" s="9" t="s">
        <v>114</v>
      </c>
      <c r="C32" s="9" t="s">
        <v>115</v>
      </c>
      <c r="D32" s="9">
        <v>2000</v>
      </c>
      <c r="E32" s="10">
        <v>45072</v>
      </c>
      <c r="F32" s="10">
        <v>45051</v>
      </c>
      <c r="G32" s="10">
        <v>45063</v>
      </c>
      <c r="H32" s="9">
        <v>32.4</v>
      </c>
      <c r="I32" s="9">
        <v>65</v>
      </c>
      <c r="J32" s="9">
        <v>1</v>
      </c>
      <c r="K32" s="9" t="s">
        <v>33</v>
      </c>
      <c r="L32" s="9">
        <v>25</v>
      </c>
      <c r="M32" s="9">
        <v>80</v>
      </c>
      <c r="N32" s="9">
        <v>15</v>
      </c>
      <c r="O32" s="9">
        <v>1</v>
      </c>
      <c r="P32" s="9">
        <v>1</v>
      </c>
      <c r="Q32" s="9">
        <v>1</v>
      </c>
      <c r="R32" s="9">
        <v>0</v>
      </c>
      <c r="S32" s="9">
        <v>0</v>
      </c>
      <c r="T32" s="9">
        <v>570</v>
      </c>
      <c r="U32" s="9">
        <v>1</v>
      </c>
      <c r="V32" s="9">
        <v>0</v>
      </c>
      <c r="W32" s="9">
        <v>0</v>
      </c>
      <c r="X32" s="9">
        <v>0</v>
      </c>
      <c r="Y32" s="9">
        <v>1</v>
      </c>
      <c r="Z32" s="9">
        <v>4</v>
      </c>
      <c r="AA32" s="9">
        <v>0</v>
      </c>
      <c r="AB32" s="10">
        <v>45070</v>
      </c>
      <c r="AC32" s="11"/>
      <c r="AD32" s="12"/>
      <c r="AE32" s="12"/>
    </row>
    <row r="33" spans="1:31" ht="15.75" customHeight="1">
      <c r="A33" s="9" t="s">
        <v>116</v>
      </c>
      <c r="B33" s="9" t="s">
        <v>117</v>
      </c>
      <c r="C33" s="9" t="s">
        <v>118</v>
      </c>
      <c r="D33" s="9">
        <v>4000</v>
      </c>
      <c r="E33" s="10">
        <v>45071</v>
      </c>
      <c r="F33" s="10">
        <v>45027</v>
      </c>
      <c r="G33" s="10">
        <v>45044</v>
      </c>
      <c r="H33" s="9">
        <v>200.9</v>
      </c>
      <c r="I33" s="9">
        <v>804</v>
      </c>
      <c r="J33" s="9">
        <v>8</v>
      </c>
      <c r="K33" s="9" t="s">
        <v>74</v>
      </c>
      <c r="L33" s="9">
        <v>25</v>
      </c>
      <c r="M33" s="9">
        <v>180</v>
      </c>
      <c r="N33" s="9">
        <v>40</v>
      </c>
      <c r="O33" s="9">
        <v>1</v>
      </c>
      <c r="P33" s="9">
        <v>1</v>
      </c>
      <c r="Q33" s="9">
        <v>1</v>
      </c>
      <c r="R33" s="9">
        <v>0</v>
      </c>
      <c r="S33" s="9">
        <v>0</v>
      </c>
      <c r="T33" s="9">
        <v>0</v>
      </c>
      <c r="U33" s="9">
        <v>500</v>
      </c>
      <c r="V33" s="9">
        <v>0</v>
      </c>
      <c r="W33" s="9">
        <v>0</v>
      </c>
      <c r="X33" s="9">
        <v>0</v>
      </c>
      <c r="Y33" s="9">
        <v>0</v>
      </c>
      <c r="Z33" s="9">
        <v>3</v>
      </c>
      <c r="AA33" s="9">
        <v>0</v>
      </c>
      <c r="AB33" s="10">
        <v>45061</v>
      </c>
      <c r="AC33" s="11"/>
      <c r="AD33" s="12"/>
      <c r="AE33" s="12"/>
    </row>
    <row r="34" spans="1:31" ht="15.75" customHeight="1">
      <c r="A34" s="9" t="s">
        <v>119</v>
      </c>
      <c r="B34" s="9" t="s">
        <v>120</v>
      </c>
      <c r="C34" s="9" t="s">
        <v>121</v>
      </c>
      <c r="D34" s="9">
        <v>3000</v>
      </c>
      <c r="E34" s="10">
        <v>45071</v>
      </c>
      <c r="F34" s="10">
        <v>45027</v>
      </c>
      <c r="G34" s="10">
        <v>45044</v>
      </c>
      <c r="H34" s="9">
        <v>15</v>
      </c>
      <c r="I34" s="9">
        <v>45</v>
      </c>
      <c r="J34" s="9">
        <v>1</v>
      </c>
      <c r="K34" s="9" t="s">
        <v>48</v>
      </c>
      <c r="L34" s="9">
        <v>25</v>
      </c>
      <c r="M34" s="9">
        <v>160</v>
      </c>
      <c r="N34" s="9">
        <v>40</v>
      </c>
      <c r="O34" s="9">
        <v>1</v>
      </c>
      <c r="P34" s="9">
        <v>1</v>
      </c>
      <c r="Q34" s="9">
        <v>1</v>
      </c>
      <c r="R34" s="9">
        <v>0</v>
      </c>
      <c r="S34" s="9">
        <v>0</v>
      </c>
      <c r="T34" s="9">
        <v>1</v>
      </c>
      <c r="U34" s="9">
        <v>900</v>
      </c>
      <c r="V34" s="9">
        <v>0</v>
      </c>
      <c r="W34" s="9">
        <v>0</v>
      </c>
      <c r="X34" s="9">
        <v>0</v>
      </c>
      <c r="Y34" s="9">
        <v>1</v>
      </c>
      <c r="Z34" s="9">
        <v>4</v>
      </c>
      <c r="AA34" s="9">
        <v>0</v>
      </c>
      <c r="AB34" s="10">
        <v>45058</v>
      </c>
      <c r="AC34" s="11"/>
      <c r="AD34" s="12"/>
      <c r="AE34" s="13"/>
    </row>
    <row r="35" spans="1:31" ht="15.75" customHeight="1">
      <c r="A35" s="9" t="s">
        <v>122</v>
      </c>
      <c r="B35" s="9" t="s">
        <v>123</v>
      </c>
      <c r="C35" s="9" t="s">
        <v>124</v>
      </c>
      <c r="D35" s="9">
        <v>5000</v>
      </c>
      <c r="E35" s="10">
        <v>45075</v>
      </c>
      <c r="F35" s="10">
        <v>45027</v>
      </c>
      <c r="G35" s="10">
        <v>44979</v>
      </c>
      <c r="H35" s="9">
        <v>9.1999999999999993</v>
      </c>
      <c r="I35" s="9">
        <v>46</v>
      </c>
      <c r="J35" s="9">
        <v>1</v>
      </c>
      <c r="K35" s="9" t="s">
        <v>33</v>
      </c>
      <c r="L35" s="9">
        <v>25</v>
      </c>
      <c r="M35" s="9">
        <v>80</v>
      </c>
      <c r="N35" s="9">
        <v>15</v>
      </c>
      <c r="O35" s="9">
        <v>1</v>
      </c>
      <c r="P35" s="9">
        <v>1</v>
      </c>
      <c r="Q35" s="9">
        <v>1</v>
      </c>
      <c r="R35" s="9">
        <v>0</v>
      </c>
      <c r="S35" s="9">
        <v>0</v>
      </c>
      <c r="T35" s="9">
        <v>1700</v>
      </c>
      <c r="U35" s="9">
        <v>1700</v>
      </c>
      <c r="V35" s="9">
        <v>0</v>
      </c>
      <c r="W35" s="9">
        <v>0</v>
      </c>
      <c r="X35" s="9">
        <v>0</v>
      </c>
      <c r="Y35" s="9">
        <v>1</v>
      </c>
      <c r="Z35" s="9">
        <v>4</v>
      </c>
      <c r="AA35" s="9">
        <v>0</v>
      </c>
      <c r="AB35" s="10">
        <v>45048</v>
      </c>
      <c r="AC35" s="11"/>
      <c r="AD35" s="12"/>
      <c r="AE35" s="12"/>
    </row>
    <row r="36" spans="1:31" ht="15.75" customHeight="1">
      <c r="A36" s="9" t="s">
        <v>125</v>
      </c>
      <c r="B36" s="9" t="s">
        <v>126</v>
      </c>
      <c r="C36" s="9" t="s">
        <v>127</v>
      </c>
      <c r="D36" s="9">
        <v>15</v>
      </c>
      <c r="E36" s="10">
        <v>45075</v>
      </c>
      <c r="F36" s="10">
        <v>45069</v>
      </c>
      <c r="G36" s="10">
        <v>45069</v>
      </c>
      <c r="H36" s="9">
        <v>416.6</v>
      </c>
      <c r="I36" s="9">
        <v>7</v>
      </c>
      <c r="J36" s="9">
        <v>1</v>
      </c>
      <c r="K36" s="9" t="s">
        <v>40</v>
      </c>
      <c r="L36" s="9">
        <v>25</v>
      </c>
      <c r="M36" s="9">
        <v>180</v>
      </c>
      <c r="N36" s="9">
        <v>30</v>
      </c>
      <c r="O36" s="9">
        <v>1</v>
      </c>
      <c r="P36" s="9">
        <v>1</v>
      </c>
      <c r="Q36" s="9">
        <v>1</v>
      </c>
      <c r="R36" s="9">
        <v>0</v>
      </c>
      <c r="S36" s="9">
        <v>0</v>
      </c>
      <c r="T36" s="9">
        <v>860</v>
      </c>
      <c r="U36" s="9">
        <v>440</v>
      </c>
      <c r="V36" s="9">
        <v>0</v>
      </c>
      <c r="W36" s="9">
        <v>0</v>
      </c>
      <c r="X36" s="9">
        <v>0</v>
      </c>
      <c r="Y36" s="9">
        <v>1</v>
      </c>
      <c r="Z36" s="9">
        <v>3</v>
      </c>
      <c r="AA36" s="9">
        <v>0</v>
      </c>
      <c r="AB36" s="10">
        <v>45070</v>
      </c>
      <c r="AC36" s="11"/>
      <c r="AD36" s="12"/>
      <c r="AE36" s="12"/>
    </row>
    <row r="37" spans="1:31" ht="15.75" customHeight="1">
      <c r="A37" s="9" t="s">
        <v>128</v>
      </c>
      <c r="B37" s="9" t="s">
        <v>129</v>
      </c>
      <c r="C37" s="9" t="s">
        <v>130</v>
      </c>
      <c r="D37" s="9">
        <v>10000</v>
      </c>
      <c r="E37" s="10">
        <v>45077</v>
      </c>
      <c r="F37" s="10">
        <v>45034</v>
      </c>
      <c r="G37" s="10">
        <v>45054</v>
      </c>
      <c r="H37" s="9">
        <v>50</v>
      </c>
      <c r="I37" s="9">
        <v>500</v>
      </c>
      <c r="J37" s="9">
        <v>7</v>
      </c>
      <c r="K37" s="9" t="s">
        <v>33</v>
      </c>
      <c r="L37" s="9">
        <v>95</v>
      </c>
      <c r="M37" s="9">
        <v>80</v>
      </c>
      <c r="N37" s="9">
        <v>30</v>
      </c>
      <c r="O37" s="9">
        <v>1</v>
      </c>
      <c r="P37" s="9">
        <v>1</v>
      </c>
      <c r="Q37" s="9">
        <v>1</v>
      </c>
      <c r="R37" s="9">
        <v>0</v>
      </c>
      <c r="S37" s="9">
        <v>0</v>
      </c>
      <c r="T37" s="9">
        <v>1100</v>
      </c>
      <c r="U37" s="9">
        <v>900</v>
      </c>
      <c r="V37" s="9">
        <v>0</v>
      </c>
      <c r="W37" s="9">
        <v>0</v>
      </c>
      <c r="X37" s="9">
        <v>0</v>
      </c>
      <c r="Y37" s="9">
        <v>1</v>
      </c>
      <c r="Z37" s="9">
        <v>4</v>
      </c>
      <c r="AA37" s="9">
        <v>0</v>
      </c>
      <c r="AB37" s="10">
        <v>45069</v>
      </c>
      <c r="AC37" s="11"/>
      <c r="AD37" s="12"/>
      <c r="AE37" s="12"/>
    </row>
    <row r="38" spans="1:31" ht="15.75" customHeight="1">
      <c r="A38" s="9" t="s">
        <v>131</v>
      </c>
      <c r="B38" s="9" t="s">
        <v>132</v>
      </c>
      <c r="C38" s="9" t="s">
        <v>133</v>
      </c>
      <c r="D38" s="9">
        <v>10000</v>
      </c>
      <c r="E38" s="10">
        <v>44980</v>
      </c>
      <c r="F38" s="10">
        <v>44726</v>
      </c>
      <c r="G38" s="10">
        <v>44726</v>
      </c>
      <c r="H38" s="9">
        <v>10.1</v>
      </c>
      <c r="I38" s="9">
        <v>101</v>
      </c>
      <c r="J38" s="9">
        <v>1</v>
      </c>
      <c r="K38" s="9" t="s">
        <v>74</v>
      </c>
      <c r="L38" s="9">
        <v>135</v>
      </c>
      <c r="M38" s="9">
        <v>200</v>
      </c>
      <c r="N38" s="9">
        <v>40</v>
      </c>
      <c r="O38" s="9">
        <v>1</v>
      </c>
      <c r="P38" s="9">
        <v>1</v>
      </c>
      <c r="Q38" s="9">
        <v>1</v>
      </c>
      <c r="R38" s="9">
        <v>0</v>
      </c>
      <c r="S38" s="9">
        <v>0</v>
      </c>
      <c r="T38" s="9">
        <v>0</v>
      </c>
      <c r="U38" s="9">
        <v>1000</v>
      </c>
      <c r="V38" s="9">
        <v>0</v>
      </c>
      <c r="W38" s="9">
        <v>0</v>
      </c>
      <c r="X38" s="9">
        <v>0</v>
      </c>
      <c r="Y38" s="9">
        <v>0</v>
      </c>
      <c r="Z38" s="9">
        <v>4</v>
      </c>
      <c r="AA38" s="9">
        <v>0</v>
      </c>
      <c r="AB38" s="10">
        <v>44970</v>
      </c>
      <c r="AC38" s="11"/>
      <c r="AD38" s="12"/>
      <c r="AE38" s="12"/>
    </row>
    <row r="39" spans="1:31" ht="15.75" customHeight="1">
      <c r="A39" s="9" t="s">
        <v>134</v>
      </c>
      <c r="B39" s="9" t="s">
        <v>132</v>
      </c>
      <c r="C39" s="9" t="s">
        <v>133</v>
      </c>
      <c r="D39" s="9">
        <v>10000</v>
      </c>
      <c r="E39" s="10">
        <v>45077</v>
      </c>
      <c r="F39" s="10">
        <v>45013</v>
      </c>
      <c r="G39" s="10">
        <v>45058</v>
      </c>
      <c r="H39" s="9">
        <v>10.1</v>
      </c>
      <c r="I39" s="9">
        <v>101</v>
      </c>
      <c r="J39" s="9">
        <v>1</v>
      </c>
      <c r="K39" s="9" t="s">
        <v>74</v>
      </c>
      <c r="L39" s="9">
        <v>135</v>
      </c>
      <c r="M39" s="9">
        <v>200</v>
      </c>
      <c r="N39" s="9">
        <v>40</v>
      </c>
      <c r="O39" s="9">
        <v>1</v>
      </c>
      <c r="P39" s="9">
        <v>1</v>
      </c>
      <c r="Q39" s="9">
        <v>1</v>
      </c>
      <c r="R39" s="9">
        <v>0</v>
      </c>
      <c r="S39" s="9">
        <v>0</v>
      </c>
      <c r="T39" s="9">
        <v>0</v>
      </c>
      <c r="U39" s="9">
        <v>1000</v>
      </c>
      <c r="V39" s="9">
        <v>0</v>
      </c>
      <c r="W39" s="9">
        <v>0</v>
      </c>
      <c r="X39" s="9">
        <v>0</v>
      </c>
      <c r="Y39" s="9">
        <v>0</v>
      </c>
      <c r="Z39" s="9">
        <v>4</v>
      </c>
      <c r="AA39" s="9">
        <v>0</v>
      </c>
      <c r="AB39" s="10">
        <v>45063</v>
      </c>
      <c r="AC39" s="11"/>
      <c r="AD39" s="12"/>
      <c r="AE39" s="12"/>
    </row>
    <row r="40" spans="1:31" ht="15.75" customHeight="1">
      <c r="A40" s="9" t="s">
        <v>135</v>
      </c>
      <c r="B40" s="9" t="s">
        <v>136</v>
      </c>
      <c r="C40" s="9" t="s">
        <v>137</v>
      </c>
      <c r="D40" s="9">
        <v>2000</v>
      </c>
      <c r="E40" s="10">
        <v>45070</v>
      </c>
      <c r="F40" s="10">
        <v>45023</v>
      </c>
      <c r="G40" s="10">
        <v>45065</v>
      </c>
      <c r="H40" s="9">
        <v>120</v>
      </c>
      <c r="I40" s="9">
        <v>240</v>
      </c>
      <c r="J40" s="9">
        <v>1</v>
      </c>
      <c r="K40" s="9" t="s">
        <v>40</v>
      </c>
      <c r="L40" s="9">
        <v>30</v>
      </c>
      <c r="M40" s="9">
        <v>120</v>
      </c>
      <c r="N40" s="9">
        <v>30</v>
      </c>
      <c r="O40" s="9">
        <v>1</v>
      </c>
      <c r="P40" s="9">
        <v>1</v>
      </c>
      <c r="Q40" s="9">
        <v>1</v>
      </c>
      <c r="R40" s="9">
        <v>0</v>
      </c>
      <c r="S40" s="9">
        <v>0</v>
      </c>
      <c r="T40" s="9">
        <v>440</v>
      </c>
      <c r="U40" s="9">
        <v>600</v>
      </c>
      <c r="V40" s="9">
        <v>0</v>
      </c>
      <c r="W40" s="9">
        <v>0</v>
      </c>
      <c r="X40" s="9">
        <v>0</v>
      </c>
      <c r="Y40" s="9">
        <v>1</v>
      </c>
      <c r="Z40" s="9">
        <v>4</v>
      </c>
      <c r="AA40" s="9">
        <v>0</v>
      </c>
      <c r="AB40" s="10">
        <v>45072</v>
      </c>
      <c r="AC40" s="14"/>
      <c r="AD40" s="12"/>
      <c r="AE40" s="12"/>
    </row>
    <row r="41" spans="1:31" ht="15.75" customHeight="1">
      <c r="A41" s="9" t="s">
        <v>138</v>
      </c>
      <c r="B41" s="9" t="s">
        <v>139</v>
      </c>
      <c r="C41" s="9" t="s">
        <v>140</v>
      </c>
      <c r="D41" s="9">
        <v>10000</v>
      </c>
      <c r="E41" s="10">
        <v>45082</v>
      </c>
      <c r="F41" s="10">
        <v>45034</v>
      </c>
      <c r="G41" s="10">
        <v>45065</v>
      </c>
      <c r="H41" s="9">
        <v>10.1</v>
      </c>
      <c r="I41" s="9">
        <v>101</v>
      </c>
      <c r="J41" s="9">
        <v>1</v>
      </c>
      <c r="K41" s="9" t="s">
        <v>33</v>
      </c>
      <c r="L41" s="9">
        <v>25</v>
      </c>
      <c r="M41" s="9">
        <v>110</v>
      </c>
      <c r="N41" s="9">
        <v>20</v>
      </c>
      <c r="O41" s="9">
        <v>1</v>
      </c>
      <c r="P41" s="9">
        <v>1</v>
      </c>
      <c r="Q41" s="9">
        <v>1</v>
      </c>
      <c r="R41" s="9">
        <v>0</v>
      </c>
      <c r="S41" s="9">
        <v>0</v>
      </c>
      <c r="T41" s="9">
        <v>0</v>
      </c>
      <c r="U41" s="9">
        <v>1</v>
      </c>
      <c r="V41" s="9">
        <v>0</v>
      </c>
      <c r="W41" s="9">
        <v>0</v>
      </c>
      <c r="X41" s="9">
        <v>0</v>
      </c>
      <c r="Y41" s="9">
        <v>0</v>
      </c>
      <c r="Z41" s="9">
        <v>4</v>
      </c>
      <c r="AA41" s="9">
        <v>0</v>
      </c>
      <c r="AB41" s="10">
        <v>45072</v>
      </c>
      <c r="AC41" s="11"/>
      <c r="AD41" s="12"/>
      <c r="AE41" s="12"/>
    </row>
    <row r="42" spans="1:31" ht="15.75" customHeight="1">
      <c r="A42" s="9" t="s">
        <v>141</v>
      </c>
      <c r="B42" s="9" t="s">
        <v>142</v>
      </c>
      <c r="C42" s="9" t="s">
        <v>143</v>
      </c>
      <c r="D42" s="9">
        <v>2500</v>
      </c>
      <c r="E42" s="10">
        <v>45076</v>
      </c>
      <c r="F42" s="10">
        <v>45027</v>
      </c>
      <c r="G42" s="10">
        <v>45058</v>
      </c>
      <c r="H42" s="9">
        <v>175</v>
      </c>
      <c r="I42" s="9">
        <v>438</v>
      </c>
      <c r="J42" s="9">
        <v>9</v>
      </c>
      <c r="K42" s="9" t="s">
        <v>74</v>
      </c>
      <c r="L42" s="9">
        <v>25</v>
      </c>
      <c r="M42" s="9">
        <v>180</v>
      </c>
      <c r="N42" s="9">
        <v>30</v>
      </c>
      <c r="O42" s="9">
        <v>1</v>
      </c>
      <c r="P42" s="9">
        <v>1</v>
      </c>
      <c r="Q42" s="9">
        <v>1</v>
      </c>
      <c r="R42" s="9">
        <v>0</v>
      </c>
      <c r="S42" s="9">
        <v>0</v>
      </c>
      <c r="T42" s="9">
        <v>800</v>
      </c>
      <c r="U42" s="9">
        <v>500</v>
      </c>
      <c r="V42" s="9">
        <v>0</v>
      </c>
      <c r="W42" s="9">
        <v>0</v>
      </c>
      <c r="X42" s="9">
        <v>0</v>
      </c>
      <c r="Y42" s="9">
        <v>1</v>
      </c>
      <c r="Z42" s="9">
        <v>3</v>
      </c>
      <c r="AA42" s="9">
        <v>0</v>
      </c>
      <c r="AB42" s="10">
        <v>45072</v>
      </c>
      <c r="AC42" s="14"/>
      <c r="AD42" s="12"/>
      <c r="AE42" s="12"/>
    </row>
    <row r="43" spans="1:31" ht="15.75" customHeight="1">
      <c r="A43" s="9" t="s">
        <v>144</v>
      </c>
      <c r="B43" s="9" t="s">
        <v>145</v>
      </c>
      <c r="C43" s="9" t="s">
        <v>146</v>
      </c>
      <c r="D43" s="9">
        <v>11921</v>
      </c>
      <c r="E43" s="10">
        <v>45082</v>
      </c>
      <c r="F43" s="10">
        <v>44987</v>
      </c>
      <c r="G43" s="10">
        <v>45023</v>
      </c>
      <c r="H43" s="9">
        <v>40</v>
      </c>
      <c r="I43" s="9">
        <v>477</v>
      </c>
      <c r="J43" s="9">
        <v>10</v>
      </c>
      <c r="K43" s="9" t="s">
        <v>74</v>
      </c>
      <c r="L43" s="9">
        <v>30</v>
      </c>
      <c r="M43" s="9">
        <v>180</v>
      </c>
      <c r="N43" s="9">
        <v>40</v>
      </c>
      <c r="O43" s="9">
        <v>1</v>
      </c>
      <c r="P43" s="9">
        <v>1</v>
      </c>
      <c r="Q43" s="9">
        <v>1</v>
      </c>
      <c r="R43" s="9">
        <v>0</v>
      </c>
      <c r="S43" s="9">
        <v>0</v>
      </c>
      <c r="T43" s="9">
        <v>0</v>
      </c>
      <c r="U43" s="9">
        <v>850</v>
      </c>
      <c r="V43" s="9">
        <v>0</v>
      </c>
      <c r="W43" s="9">
        <v>0</v>
      </c>
      <c r="X43" s="9">
        <v>0</v>
      </c>
      <c r="Y43" s="9">
        <v>0</v>
      </c>
      <c r="Z43" s="9">
        <v>4</v>
      </c>
      <c r="AA43" s="9">
        <v>0</v>
      </c>
      <c r="AB43" s="10">
        <v>45028</v>
      </c>
      <c r="AC43" s="11"/>
      <c r="AD43" s="12"/>
      <c r="AE43" s="12"/>
    </row>
    <row r="44" spans="1:31" ht="15.75" customHeight="1">
      <c r="A44" s="9" t="s">
        <v>147</v>
      </c>
      <c r="B44" s="9" t="s">
        <v>148</v>
      </c>
      <c r="C44" s="9" t="s">
        <v>149</v>
      </c>
      <c r="D44" s="9">
        <v>640</v>
      </c>
      <c r="E44" s="10">
        <v>45086</v>
      </c>
      <c r="F44" s="10">
        <v>45050</v>
      </c>
      <c r="G44" s="10">
        <v>45055</v>
      </c>
      <c r="H44" s="9">
        <v>250</v>
      </c>
      <c r="I44" s="9">
        <v>160</v>
      </c>
      <c r="J44" s="9">
        <v>1</v>
      </c>
      <c r="K44" s="9" t="s">
        <v>40</v>
      </c>
      <c r="L44" s="9">
        <v>25</v>
      </c>
      <c r="M44" s="9">
        <v>180</v>
      </c>
      <c r="N44" s="9">
        <v>30</v>
      </c>
      <c r="O44" s="9">
        <v>1</v>
      </c>
      <c r="P44" s="9">
        <v>1</v>
      </c>
      <c r="Q44" s="9">
        <v>1</v>
      </c>
      <c r="R44" s="9">
        <v>0</v>
      </c>
      <c r="S44" s="9">
        <v>0</v>
      </c>
      <c r="T44" s="9">
        <v>990</v>
      </c>
      <c r="U44" s="9">
        <v>480</v>
      </c>
      <c r="V44" s="9">
        <v>0</v>
      </c>
      <c r="W44" s="9">
        <v>0</v>
      </c>
      <c r="X44" s="9">
        <v>0</v>
      </c>
      <c r="Y44" s="9">
        <v>1</v>
      </c>
      <c r="Z44" s="9">
        <v>3</v>
      </c>
      <c r="AA44" s="9">
        <v>0</v>
      </c>
      <c r="AB44" s="10">
        <v>45077</v>
      </c>
      <c r="AC44" s="11"/>
      <c r="AD44" s="12"/>
      <c r="AE44" s="13"/>
    </row>
    <row r="45" spans="1:31" ht="15.75" customHeight="1">
      <c r="A45" s="9" t="s">
        <v>150</v>
      </c>
      <c r="B45" s="9" t="s">
        <v>151</v>
      </c>
      <c r="C45" s="9" t="s">
        <v>152</v>
      </c>
      <c r="D45" s="9">
        <v>200</v>
      </c>
      <c r="E45" s="10">
        <v>45086</v>
      </c>
      <c r="F45" s="10">
        <v>45050</v>
      </c>
      <c r="G45" s="10">
        <v>45044</v>
      </c>
      <c r="H45" s="9">
        <v>500</v>
      </c>
      <c r="I45" s="9">
        <v>100</v>
      </c>
      <c r="J45" s="9">
        <v>1</v>
      </c>
      <c r="K45" s="9" t="s">
        <v>40</v>
      </c>
      <c r="L45" s="9">
        <v>25</v>
      </c>
      <c r="M45" s="9">
        <v>180</v>
      </c>
      <c r="N45" s="9">
        <v>30</v>
      </c>
      <c r="O45" s="9">
        <v>1</v>
      </c>
      <c r="P45" s="9">
        <v>1</v>
      </c>
      <c r="Q45" s="9">
        <v>1</v>
      </c>
      <c r="R45" s="9">
        <v>0</v>
      </c>
      <c r="S45" s="9">
        <v>0</v>
      </c>
      <c r="T45" s="9">
        <v>770</v>
      </c>
      <c r="U45" s="9">
        <v>350</v>
      </c>
      <c r="V45" s="9">
        <v>0</v>
      </c>
      <c r="W45" s="9">
        <v>0</v>
      </c>
      <c r="X45" s="9">
        <v>0</v>
      </c>
      <c r="Y45" s="9">
        <v>1</v>
      </c>
      <c r="Z45" s="9">
        <v>4</v>
      </c>
      <c r="AA45" s="9">
        <v>0</v>
      </c>
      <c r="AB45" s="10">
        <v>45077</v>
      </c>
      <c r="AC45" s="11"/>
      <c r="AD45" s="12"/>
      <c r="AE45" s="13"/>
    </row>
    <row r="46" spans="1:31" ht="15.75" customHeight="1">
      <c r="A46" s="9" t="s">
        <v>153</v>
      </c>
      <c r="B46" s="9" t="s">
        <v>154</v>
      </c>
      <c r="C46" s="9" t="s">
        <v>155</v>
      </c>
      <c r="D46" s="9">
        <v>1460</v>
      </c>
      <c r="E46" s="10">
        <v>45086</v>
      </c>
      <c r="F46" s="10">
        <v>44987</v>
      </c>
      <c r="G46" s="10">
        <v>45037</v>
      </c>
      <c r="H46" s="9">
        <v>8</v>
      </c>
      <c r="I46" s="9">
        <v>12</v>
      </c>
      <c r="J46" s="9">
        <v>1</v>
      </c>
      <c r="K46" s="9" t="s">
        <v>48</v>
      </c>
      <c r="L46" s="9">
        <v>25</v>
      </c>
      <c r="M46" s="9">
        <v>125</v>
      </c>
      <c r="N46" s="9">
        <v>30</v>
      </c>
      <c r="O46" s="9">
        <v>1</v>
      </c>
      <c r="P46" s="9">
        <v>1</v>
      </c>
      <c r="Q46" s="9">
        <v>1</v>
      </c>
      <c r="R46" s="9">
        <v>0</v>
      </c>
      <c r="S46" s="9">
        <v>0</v>
      </c>
      <c r="T46" s="9">
        <v>1400</v>
      </c>
      <c r="U46" s="9">
        <v>1000</v>
      </c>
      <c r="V46" s="9">
        <v>0</v>
      </c>
      <c r="W46" s="9">
        <v>0</v>
      </c>
      <c r="X46" s="9">
        <v>0</v>
      </c>
      <c r="Y46" s="9">
        <v>1</v>
      </c>
      <c r="Z46" s="9">
        <v>4</v>
      </c>
      <c r="AA46" s="9">
        <v>0</v>
      </c>
      <c r="AB46" s="10">
        <v>45082</v>
      </c>
      <c r="AC46" s="11"/>
      <c r="AD46" s="12"/>
      <c r="AE46" s="12"/>
    </row>
    <row r="47" spans="1:31" ht="15.75" customHeight="1">
      <c r="A47" s="9" t="s">
        <v>156</v>
      </c>
      <c r="B47" s="9" t="s">
        <v>157</v>
      </c>
      <c r="C47" s="9" t="s">
        <v>158</v>
      </c>
      <c r="D47" s="9">
        <v>2500</v>
      </c>
      <c r="E47" s="10">
        <v>45086</v>
      </c>
      <c r="F47" s="10">
        <v>45055</v>
      </c>
      <c r="G47" s="10">
        <v>45037</v>
      </c>
      <c r="H47" s="9">
        <v>62</v>
      </c>
      <c r="I47" s="9">
        <v>155</v>
      </c>
      <c r="J47" s="9">
        <v>3</v>
      </c>
      <c r="K47" s="9" t="s">
        <v>48</v>
      </c>
      <c r="L47" s="9">
        <v>25</v>
      </c>
      <c r="M47" s="9">
        <v>125</v>
      </c>
      <c r="N47" s="9">
        <v>30</v>
      </c>
      <c r="O47" s="9">
        <v>1</v>
      </c>
      <c r="P47" s="9">
        <v>1</v>
      </c>
      <c r="Q47" s="9">
        <v>1</v>
      </c>
      <c r="R47" s="9">
        <v>0</v>
      </c>
      <c r="S47" s="9">
        <v>0</v>
      </c>
      <c r="T47" s="9">
        <v>1400</v>
      </c>
      <c r="U47" s="9">
        <v>870</v>
      </c>
      <c r="V47" s="9">
        <v>0</v>
      </c>
      <c r="W47" s="9">
        <v>0</v>
      </c>
      <c r="X47" s="9">
        <v>0</v>
      </c>
      <c r="Y47" s="9">
        <v>1</v>
      </c>
      <c r="Z47" s="9">
        <v>3</v>
      </c>
      <c r="AA47" s="9">
        <v>0</v>
      </c>
      <c r="AB47" s="10">
        <v>45082</v>
      </c>
      <c r="AC47" s="11"/>
      <c r="AD47" s="12"/>
      <c r="AE47" s="12"/>
    </row>
    <row r="48" spans="1:31" ht="15.75" customHeight="1">
      <c r="A48" s="9" t="s">
        <v>156</v>
      </c>
      <c r="B48" s="9" t="s">
        <v>157</v>
      </c>
      <c r="C48" s="9" t="s">
        <v>158</v>
      </c>
      <c r="D48" s="9">
        <v>2500</v>
      </c>
      <c r="E48" s="10">
        <v>45086</v>
      </c>
      <c r="F48" s="10">
        <v>45055</v>
      </c>
      <c r="G48" s="10">
        <v>45037</v>
      </c>
      <c r="H48" s="9">
        <v>62</v>
      </c>
      <c r="I48" s="9">
        <v>155</v>
      </c>
      <c r="J48" s="9">
        <v>3</v>
      </c>
      <c r="K48" s="9" t="s">
        <v>48</v>
      </c>
      <c r="L48" s="9">
        <v>25</v>
      </c>
      <c r="M48" s="9">
        <v>125</v>
      </c>
      <c r="N48" s="9">
        <v>30</v>
      </c>
      <c r="O48" s="9">
        <v>1</v>
      </c>
      <c r="P48" s="9">
        <v>1</v>
      </c>
      <c r="Q48" s="9">
        <v>1</v>
      </c>
      <c r="R48" s="9">
        <v>0</v>
      </c>
      <c r="S48" s="9">
        <v>0</v>
      </c>
      <c r="T48" s="9">
        <v>1400</v>
      </c>
      <c r="U48" s="9">
        <v>870</v>
      </c>
      <c r="V48" s="9">
        <v>0</v>
      </c>
      <c r="W48" s="9">
        <v>0</v>
      </c>
      <c r="X48" s="9">
        <v>0</v>
      </c>
      <c r="Y48" s="9">
        <v>1</v>
      </c>
      <c r="Z48" s="9">
        <v>3</v>
      </c>
      <c r="AA48" s="9">
        <v>0</v>
      </c>
      <c r="AB48" s="10">
        <v>45083</v>
      </c>
      <c r="AC48" s="11"/>
      <c r="AD48" s="12"/>
      <c r="AE48" s="12"/>
    </row>
    <row r="49" spans="1:31" ht="15.75" customHeight="1">
      <c r="A49" s="9" t="s">
        <v>159</v>
      </c>
      <c r="B49" s="9" t="s">
        <v>160</v>
      </c>
      <c r="C49" s="9" t="s">
        <v>161</v>
      </c>
      <c r="D49" s="9">
        <v>1660</v>
      </c>
      <c r="E49" s="10">
        <v>45089</v>
      </c>
      <c r="F49" s="10">
        <v>45029</v>
      </c>
      <c r="G49" s="10">
        <v>45079</v>
      </c>
      <c r="H49" s="9">
        <v>60</v>
      </c>
      <c r="I49" s="9">
        <v>100</v>
      </c>
      <c r="J49" s="9">
        <v>2</v>
      </c>
      <c r="K49" s="9" t="s">
        <v>48</v>
      </c>
      <c r="L49" s="9">
        <v>90</v>
      </c>
      <c r="M49" s="9">
        <v>150</v>
      </c>
      <c r="N49" s="9">
        <v>90</v>
      </c>
      <c r="O49" s="9">
        <v>1</v>
      </c>
      <c r="P49" s="9">
        <v>1</v>
      </c>
      <c r="Q49" s="9">
        <v>1</v>
      </c>
      <c r="R49" s="9">
        <v>0</v>
      </c>
      <c r="S49" s="9">
        <v>0</v>
      </c>
      <c r="T49" s="9">
        <v>0</v>
      </c>
      <c r="U49" s="9">
        <v>850</v>
      </c>
      <c r="V49" s="9">
        <v>0</v>
      </c>
      <c r="W49" s="9">
        <v>0</v>
      </c>
      <c r="X49" s="9">
        <v>0</v>
      </c>
      <c r="Y49" s="9">
        <v>0</v>
      </c>
      <c r="Z49" s="9">
        <v>4</v>
      </c>
      <c r="AA49" s="9">
        <v>0</v>
      </c>
      <c r="AB49" s="10">
        <v>45082</v>
      </c>
      <c r="AC49" s="11"/>
      <c r="AD49" s="12"/>
      <c r="AE49" s="12"/>
    </row>
    <row r="50" spans="1:31" ht="15.75" customHeight="1">
      <c r="A50" s="9" t="s">
        <v>162</v>
      </c>
      <c r="B50" s="9" t="s">
        <v>50</v>
      </c>
      <c r="C50" s="9" t="s">
        <v>51</v>
      </c>
      <c r="D50" s="9">
        <v>2385</v>
      </c>
      <c r="E50" s="10">
        <v>45085</v>
      </c>
      <c r="F50" s="10">
        <v>45022</v>
      </c>
      <c r="G50" s="10">
        <v>45065</v>
      </c>
      <c r="H50" s="9">
        <v>90</v>
      </c>
      <c r="I50" s="9">
        <v>215</v>
      </c>
      <c r="J50" s="9">
        <v>1</v>
      </c>
      <c r="K50" s="9" t="s">
        <v>40</v>
      </c>
      <c r="L50" s="9">
        <v>50</v>
      </c>
      <c r="M50" s="9">
        <v>90</v>
      </c>
      <c r="N50" s="9">
        <v>30</v>
      </c>
      <c r="O50" s="9">
        <v>1</v>
      </c>
      <c r="P50" s="9">
        <v>1</v>
      </c>
      <c r="Q50" s="9">
        <v>1</v>
      </c>
      <c r="R50" s="9">
        <v>0</v>
      </c>
      <c r="S50" s="9">
        <v>0</v>
      </c>
      <c r="T50" s="9">
        <v>1</v>
      </c>
      <c r="U50" s="9">
        <v>900</v>
      </c>
      <c r="V50" s="9">
        <v>0</v>
      </c>
      <c r="W50" s="9">
        <v>0</v>
      </c>
      <c r="X50" s="9">
        <v>0</v>
      </c>
      <c r="Y50" s="9">
        <v>1</v>
      </c>
      <c r="Z50" s="9">
        <v>4</v>
      </c>
      <c r="AA50" s="9">
        <v>0</v>
      </c>
      <c r="AB50" s="10">
        <v>45075</v>
      </c>
      <c r="AC50" s="11"/>
      <c r="AD50" s="12"/>
      <c r="AE50" s="12"/>
    </row>
    <row r="51" spans="1:31" ht="15.75" customHeight="1">
      <c r="A51" s="9" t="s">
        <v>163</v>
      </c>
      <c r="B51" s="9" t="s">
        <v>164</v>
      </c>
      <c r="C51" s="9" t="s">
        <v>165</v>
      </c>
      <c r="D51" s="9">
        <v>1180</v>
      </c>
      <c r="E51" s="10">
        <v>45076</v>
      </c>
      <c r="F51" s="10">
        <v>45050</v>
      </c>
      <c r="G51" s="10">
        <v>45036</v>
      </c>
      <c r="H51" s="9">
        <v>170</v>
      </c>
      <c r="I51" s="9">
        <v>201</v>
      </c>
      <c r="J51" s="9">
        <v>5</v>
      </c>
      <c r="K51" s="9" t="s">
        <v>48</v>
      </c>
      <c r="L51" s="9">
        <v>35</v>
      </c>
      <c r="M51" s="9">
        <v>140</v>
      </c>
      <c r="N51" s="9">
        <v>40</v>
      </c>
      <c r="O51" s="9">
        <v>1</v>
      </c>
      <c r="P51" s="9">
        <v>1</v>
      </c>
      <c r="Q51" s="9">
        <v>1</v>
      </c>
      <c r="R51" s="9">
        <v>0</v>
      </c>
      <c r="S51" s="9">
        <v>40</v>
      </c>
      <c r="T51" s="9">
        <v>400</v>
      </c>
      <c r="U51" s="9">
        <v>190</v>
      </c>
      <c r="V51" s="9">
        <v>0</v>
      </c>
      <c r="W51" s="9">
        <v>0</v>
      </c>
      <c r="X51" s="9">
        <v>1</v>
      </c>
      <c r="Y51" s="9">
        <v>1</v>
      </c>
      <c r="Z51" s="9">
        <v>4</v>
      </c>
      <c r="AA51" s="9">
        <v>0</v>
      </c>
      <c r="AB51" s="10">
        <v>45070</v>
      </c>
      <c r="AC51" s="14"/>
      <c r="AD51" s="12"/>
      <c r="AE51" s="12"/>
    </row>
    <row r="52" spans="1:31" ht="15.75" customHeight="1">
      <c r="A52" s="9" t="s">
        <v>166</v>
      </c>
      <c r="B52" s="9" t="s">
        <v>167</v>
      </c>
      <c r="C52" s="9" t="s">
        <v>168</v>
      </c>
      <c r="D52" s="9">
        <v>10000</v>
      </c>
      <c r="E52" s="10">
        <v>45086</v>
      </c>
      <c r="F52" s="10">
        <v>45055</v>
      </c>
      <c r="G52" s="10">
        <v>45050</v>
      </c>
      <c r="H52" s="9">
        <v>30</v>
      </c>
      <c r="I52" s="9">
        <v>300</v>
      </c>
      <c r="J52" s="9">
        <v>3</v>
      </c>
      <c r="K52" s="9" t="s">
        <v>74</v>
      </c>
      <c r="L52" s="9">
        <v>25</v>
      </c>
      <c r="M52" s="9">
        <v>180</v>
      </c>
      <c r="N52" s="9">
        <v>40</v>
      </c>
      <c r="O52" s="9">
        <v>1</v>
      </c>
      <c r="P52" s="9">
        <v>1</v>
      </c>
      <c r="Q52" s="9">
        <v>1</v>
      </c>
      <c r="R52" s="9">
        <v>0</v>
      </c>
      <c r="S52" s="9">
        <v>0</v>
      </c>
      <c r="T52" s="9">
        <v>1</v>
      </c>
      <c r="U52" s="9">
        <v>1</v>
      </c>
      <c r="V52" s="9">
        <v>0</v>
      </c>
      <c r="W52" s="9">
        <v>0</v>
      </c>
      <c r="X52" s="9">
        <v>0</v>
      </c>
      <c r="Y52" s="9">
        <v>1</v>
      </c>
      <c r="Z52" s="9">
        <v>4</v>
      </c>
      <c r="AA52" s="9">
        <v>0</v>
      </c>
      <c r="AB52" s="10">
        <v>45076</v>
      </c>
      <c r="AC52" s="14"/>
      <c r="AD52" s="12"/>
      <c r="AE52" s="12"/>
    </row>
    <row r="53" spans="1:31" ht="15.75" customHeight="1">
      <c r="A53" s="9" t="s">
        <v>169</v>
      </c>
      <c r="B53" s="9" t="s">
        <v>170</v>
      </c>
      <c r="C53" s="9" t="s">
        <v>171</v>
      </c>
      <c r="D53" s="9">
        <v>20000</v>
      </c>
      <c r="E53" s="10">
        <v>45097</v>
      </c>
      <c r="F53" s="10">
        <v>45055</v>
      </c>
      <c r="G53" s="10">
        <v>45065</v>
      </c>
      <c r="H53" s="9">
        <v>10</v>
      </c>
      <c r="I53" s="9">
        <v>200</v>
      </c>
      <c r="J53" s="9">
        <v>2</v>
      </c>
      <c r="K53" s="9" t="s">
        <v>74</v>
      </c>
      <c r="L53" s="9">
        <v>25</v>
      </c>
      <c r="M53" s="9">
        <v>180</v>
      </c>
      <c r="N53" s="9">
        <v>40</v>
      </c>
      <c r="O53" s="9">
        <v>1</v>
      </c>
      <c r="P53" s="9">
        <v>1</v>
      </c>
      <c r="Q53" s="9">
        <v>1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4</v>
      </c>
      <c r="AA53" s="9">
        <v>0</v>
      </c>
      <c r="AB53" s="10">
        <v>45079</v>
      </c>
      <c r="AC53" s="11"/>
      <c r="AD53" s="12"/>
      <c r="AE53" s="12"/>
    </row>
    <row r="54" spans="1:31" ht="15.75" customHeight="1">
      <c r="A54" s="9" t="s">
        <v>172</v>
      </c>
      <c r="B54" s="9" t="s">
        <v>173</v>
      </c>
      <c r="C54" s="9" t="s">
        <v>174</v>
      </c>
      <c r="D54" s="9">
        <v>2500</v>
      </c>
      <c r="E54" s="10">
        <v>45090</v>
      </c>
      <c r="F54" s="10">
        <v>45062</v>
      </c>
      <c r="G54" s="10">
        <v>44992</v>
      </c>
      <c r="H54" s="9">
        <v>40</v>
      </c>
      <c r="I54" s="9">
        <v>100</v>
      </c>
      <c r="J54" s="9">
        <v>2</v>
      </c>
      <c r="K54" s="9" t="s">
        <v>48</v>
      </c>
      <c r="L54" s="9">
        <v>105</v>
      </c>
      <c r="M54" s="9">
        <v>120</v>
      </c>
      <c r="N54" s="9">
        <v>90</v>
      </c>
      <c r="O54" s="9">
        <v>1</v>
      </c>
      <c r="P54" s="9">
        <v>1</v>
      </c>
      <c r="Q54" s="9">
        <v>1</v>
      </c>
      <c r="R54" s="9">
        <v>0</v>
      </c>
      <c r="S54" s="9">
        <v>0</v>
      </c>
      <c r="T54" s="9">
        <v>0</v>
      </c>
      <c r="U54" s="9">
        <v>750</v>
      </c>
      <c r="V54" s="9">
        <v>0</v>
      </c>
      <c r="W54" s="9">
        <v>0</v>
      </c>
      <c r="X54" s="9">
        <v>0</v>
      </c>
      <c r="Y54" s="9">
        <v>0</v>
      </c>
      <c r="Z54" s="9">
        <v>4</v>
      </c>
      <c r="AA54" s="9">
        <v>0</v>
      </c>
      <c r="AB54" s="10">
        <v>45076</v>
      </c>
      <c r="AC54" s="11"/>
      <c r="AD54" s="12"/>
      <c r="AE54" s="12"/>
    </row>
    <row r="55" spans="1:31" ht="15.75" customHeight="1">
      <c r="A55" s="9" t="s">
        <v>175</v>
      </c>
      <c r="B55" s="9" t="s">
        <v>176</v>
      </c>
      <c r="C55" s="9" t="s">
        <v>177</v>
      </c>
      <c r="D55" s="9">
        <v>2000</v>
      </c>
      <c r="E55" s="10">
        <v>45091</v>
      </c>
      <c r="F55" s="10">
        <v>45064</v>
      </c>
      <c r="G55" s="10">
        <v>45076</v>
      </c>
      <c r="H55" s="9">
        <v>35.5</v>
      </c>
      <c r="I55" s="9">
        <v>71</v>
      </c>
      <c r="J55" s="9">
        <v>1</v>
      </c>
      <c r="K55" s="9" t="s">
        <v>33</v>
      </c>
      <c r="L55" s="9">
        <v>100</v>
      </c>
      <c r="M55" s="9">
        <v>160</v>
      </c>
      <c r="N55" s="9">
        <v>15</v>
      </c>
      <c r="O55" s="9">
        <v>1</v>
      </c>
      <c r="P55" s="9">
        <v>1</v>
      </c>
      <c r="Q55" s="9">
        <v>1</v>
      </c>
      <c r="R55" s="9">
        <v>0</v>
      </c>
      <c r="S55" s="9">
        <v>0</v>
      </c>
      <c r="T55" s="9">
        <v>1</v>
      </c>
      <c r="U55" s="9">
        <v>700</v>
      </c>
      <c r="V55" s="9">
        <v>0</v>
      </c>
      <c r="W55" s="9">
        <v>0</v>
      </c>
      <c r="X55" s="9">
        <v>0</v>
      </c>
      <c r="Y55" s="9">
        <v>1</v>
      </c>
      <c r="Z55" s="9">
        <v>3</v>
      </c>
      <c r="AA55" s="9">
        <v>0</v>
      </c>
      <c r="AB55" s="10">
        <v>45085</v>
      </c>
      <c r="AC55" s="11"/>
      <c r="AD55" s="12"/>
      <c r="AE55" s="12"/>
    </row>
    <row r="56" spans="1:31" ht="15.75" customHeight="1">
      <c r="A56" s="9" t="s">
        <v>178</v>
      </c>
      <c r="B56" s="9" t="s">
        <v>38</v>
      </c>
      <c r="C56" s="9" t="s">
        <v>39</v>
      </c>
      <c r="D56" s="9">
        <v>10000</v>
      </c>
      <c r="E56" s="10">
        <v>45092</v>
      </c>
      <c r="F56" s="10">
        <v>44999</v>
      </c>
      <c r="G56" s="10">
        <v>44977</v>
      </c>
      <c r="H56" s="9">
        <v>11.7</v>
      </c>
      <c r="I56" s="9">
        <v>117</v>
      </c>
      <c r="J56" s="9">
        <v>1</v>
      </c>
      <c r="K56" s="9" t="s">
        <v>40</v>
      </c>
      <c r="L56" s="9">
        <v>70</v>
      </c>
      <c r="M56" s="9">
        <v>70</v>
      </c>
      <c r="N56" s="9">
        <v>30</v>
      </c>
      <c r="O56" s="9">
        <v>1</v>
      </c>
      <c r="P56" s="9">
        <v>1</v>
      </c>
      <c r="Q56" s="9">
        <v>1</v>
      </c>
      <c r="R56" s="9">
        <v>0</v>
      </c>
      <c r="S56" s="9">
        <v>0</v>
      </c>
      <c r="T56" s="9">
        <v>1100</v>
      </c>
      <c r="U56" s="9">
        <v>820</v>
      </c>
      <c r="V56" s="9">
        <v>0</v>
      </c>
      <c r="W56" s="9">
        <v>0</v>
      </c>
      <c r="X56" s="9">
        <v>0</v>
      </c>
      <c r="Y56" s="9">
        <v>1</v>
      </c>
      <c r="Z56" s="9">
        <v>4</v>
      </c>
      <c r="AA56" s="9">
        <v>0</v>
      </c>
      <c r="AB56" s="10">
        <v>45089</v>
      </c>
      <c r="AC56" s="11"/>
      <c r="AD56" s="12"/>
      <c r="AE56" s="12"/>
    </row>
    <row r="57" spans="1:31" ht="15.75" customHeight="1">
      <c r="A57" s="9" t="s">
        <v>179</v>
      </c>
      <c r="B57" s="9" t="s">
        <v>65</v>
      </c>
      <c r="C57" s="9" t="s">
        <v>66</v>
      </c>
      <c r="D57" s="9">
        <v>15000</v>
      </c>
      <c r="E57" s="10">
        <v>45107</v>
      </c>
      <c r="F57" s="10">
        <v>44973</v>
      </c>
      <c r="G57" s="10">
        <v>45035</v>
      </c>
      <c r="H57" s="9">
        <v>30.6</v>
      </c>
      <c r="I57" s="9">
        <v>460</v>
      </c>
      <c r="J57" s="9">
        <v>5</v>
      </c>
      <c r="K57" s="9" t="s">
        <v>33</v>
      </c>
      <c r="L57" s="9">
        <v>100</v>
      </c>
      <c r="M57" s="9">
        <v>115</v>
      </c>
      <c r="N57" s="9">
        <v>50</v>
      </c>
      <c r="O57" s="9">
        <v>1</v>
      </c>
      <c r="P57" s="9">
        <v>1</v>
      </c>
      <c r="Q57" s="9">
        <v>1</v>
      </c>
      <c r="R57" s="9">
        <v>0</v>
      </c>
      <c r="S57" s="9">
        <v>554</v>
      </c>
      <c r="T57" s="9">
        <v>1235</v>
      </c>
      <c r="U57" s="9">
        <v>800</v>
      </c>
      <c r="V57" s="9">
        <v>0</v>
      </c>
      <c r="W57" s="9">
        <v>0</v>
      </c>
      <c r="X57" s="9">
        <v>1</v>
      </c>
      <c r="Y57" s="9">
        <v>1</v>
      </c>
      <c r="Z57" s="9">
        <v>3</v>
      </c>
      <c r="AA57" s="9">
        <v>0</v>
      </c>
      <c r="AB57" s="10">
        <v>45040</v>
      </c>
      <c r="AC57" s="11"/>
      <c r="AD57" s="12"/>
      <c r="AE57" s="12"/>
    </row>
    <row r="58" spans="1:31" ht="15.75" customHeight="1">
      <c r="A58" s="9" t="s">
        <v>180</v>
      </c>
      <c r="B58" s="9" t="s">
        <v>181</v>
      </c>
      <c r="C58" s="9" t="s">
        <v>182</v>
      </c>
      <c r="D58" s="9">
        <v>10000</v>
      </c>
      <c r="E58" s="10">
        <v>45107</v>
      </c>
      <c r="F58" s="10">
        <v>44978</v>
      </c>
      <c r="G58" s="10">
        <v>44981</v>
      </c>
      <c r="H58" s="9">
        <v>50</v>
      </c>
      <c r="I58" s="9">
        <v>500</v>
      </c>
      <c r="J58" s="9">
        <v>5</v>
      </c>
      <c r="K58" s="9" t="s">
        <v>74</v>
      </c>
      <c r="L58" s="9">
        <v>25</v>
      </c>
      <c r="M58" s="9">
        <v>180</v>
      </c>
      <c r="N58" s="9">
        <v>40</v>
      </c>
      <c r="O58" s="9">
        <v>1</v>
      </c>
      <c r="P58" s="9">
        <v>1</v>
      </c>
      <c r="Q58" s="9">
        <v>1</v>
      </c>
      <c r="R58" s="9">
        <v>1600</v>
      </c>
      <c r="S58" s="9">
        <v>0</v>
      </c>
      <c r="T58" s="9">
        <v>1600</v>
      </c>
      <c r="U58" s="9">
        <v>1000</v>
      </c>
      <c r="V58" s="9">
        <v>0</v>
      </c>
      <c r="W58" s="9">
        <v>1</v>
      </c>
      <c r="X58" s="9">
        <v>0</v>
      </c>
      <c r="Y58" s="9">
        <v>1</v>
      </c>
      <c r="Z58" s="9">
        <v>4</v>
      </c>
      <c r="AA58" s="9">
        <v>0</v>
      </c>
      <c r="AB58" s="10">
        <v>45007</v>
      </c>
      <c r="AC58" s="11"/>
      <c r="AD58" s="12"/>
      <c r="AE58" s="12"/>
    </row>
    <row r="59" spans="1:31" ht="15.75" customHeight="1">
      <c r="A59" s="9" t="s">
        <v>183</v>
      </c>
      <c r="B59" s="9" t="s">
        <v>184</v>
      </c>
      <c r="C59" s="9" t="s">
        <v>185</v>
      </c>
      <c r="D59" s="9">
        <v>1000</v>
      </c>
      <c r="E59" s="10">
        <v>45093</v>
      </c>
      <c r="F59" s="10">
        <v>45027</v>
      </c>
      <c r="G59" s="10">
        <v>45079</v>
      </c>
      <c r="H59" s="9">
        <v>16</v>
      </c>
      <c r="I59" s="9">
        <v>16</v>
      </c>
      <c r="J59" s="9">
        <v>1</v>
      </c>
      <c r="K59" s="9" t="s">
        <v>33</v>
      </c>
      <c r="L59" s="9">
        <v>0</v>
      </c>
      <c r="M59" s="9">
        <v>190</v>
      </c>
      <c r="N59" s="9">
        <v>10</v>
      </c>
      <c r="O59" s="9">
        <v>1</v>
      </c>
      <c r="P59" s="9">
        <v>1</v>
      </c>
      <c r="Q59" s="9">
        <v>1</v>
      </c>
      <c r="R59" s="9">
        <v>0</v>
      </c>
      <c r="S59" s="9">
        <v>0</v>
      </c>
      <c r="T59" s="9">
        <v>1200</v>
      </c>
      <c r="U59" s="9">
        <v>550</v>
      </c>
      <c r="V59" s="9">
        <v>0</v>
      </c>
      <c r="W59" s="9">
        <v>0</v>
      </c>
      <c r="X59" s="9">
        <v>0</v>
      </c>
      <c r="Y59" s="9">
        <v>1</v>
      </c>
      <c r="Z59" s="9">
        <v>4</v>
      </c>
      <c r="AA59" s="9">
        <v>0</v>
      </c>
      <c r="AB59" s="10">
        <v>45089</v>
      </c>
      <c r="AC59" s="11"/>
      <c r="AD59" s="12"/>
      <c r="AE59" s="12"/>
    </row>
    <row r="60" spans="1:31" ht="15.75" customHeight="1">
      <c r="A60" s="9" t="s">
        <v>186</v>
      </c>
      <c r="B60" s="9" t="s">
        <v>187</v>
      </c>
      <c r="C60" s="9" t="s">
        <v>188</v>
      </c>
      <c r="D60" s="9">
        <v>10000</v>
      </c>
      <c r="E60" s="10">
        <v>45097</v>
      </c>
      <c r="F60" s="10">
        <v>45055</v>
      </c>
      <c r="G60" s="10">
        <v>45065</v>
      </c>
      <c r="H60" s="9">
        <v>29.7</v>
      </c>
      <c r="I60" s="9">
        <v>297</v>
      </c>
      <c r="J60" s="9">
        <v>3</v>
      </c>
      <c r="K60" s="9" t="s">
        <v>33</v>
      </c>
      <c r="L60" s="9">
        <v>20</v>
      </c>
      <c r="M60" s="9">
        <v>110</v>
      </c>
      <c r="N60" s="9">
        <v>20</v>
      </c>
      <c r="O60" s="9">
        <v>1</v>
      </c>
      <c r="P60" s="9">
        <v>1</v>
      </c>
      <c r="Q60" s="9">
        <v>1</v>
      </c>
      <c r="R60" s="9">
        <v>0</v>
      </c>
      <c r="S60" s="9">
        <v>0</v>
      </c>
      <c r="T60" s="9">
        <v>600</v>
      </c>
      <c r="U60" s="9">
        <v>1</v>
      </c>
      <c r="V60" s="9">
        <v>0</v>
      </c>
      <c r="W60" s="9">
        <v>0</v>
      </c>
      <c r="X60" s="9">
        <v>0</v>
      </c>
      <c r="Y60" s="9">
        <v>1</v>
      </c>
      <c r="Z60" s="9">
        <v>4</v>
      </c>
      <c r="AA60" s="9">
        <v>0</v>
      </c>
      <c r="AB60" s="10">
        <v>45089</v>
      </c>
      <c r="AC60" s="11"/>
      <c r="AD60" s="12"/>
      <c r="AE60" s="12"/>
    </row>
    <row r="61" spans="1:31" ht="15.75" customHeight="1">
      <c r="A61" s="9" t="s">
        <v>189</v>
      </c>
      <c r="B61" s="9" t="s">
        <v>190</v>
      </c>
      <c r="C61" s="9" t="s">
        <v>44</v>
      </c>
      <c r="D61" s="9">
        <v>20000</v>
      </c>
      <c r="E61" s="10">
        <v>45107</v>
      </c>
      <c r="F61" s="10">
        <v>44987</v>
      </c>
      <c r="G61" s="10">
        <v>44986</v>
      </c>
      <c r="H61" s="9">
        <v>50</v>
      </c>
      <c r="I61" s="9">
        <v>1000</v>
      </c>
      <c r="J61" s="9">
        <v>15</v>
      </c>
      <c r="K61" s="9" t="s">
        <v>33</v>
      </c>
      <c r="L61" s="9">
        <v>35</v>
      </c>
      <c r="M61" s="9">
        <v>125</v>
      </c>
      <c r="N61" s="9">
        <v>15</v>
      </c>
      <c r="O61" s="9">
        <v>1</v>
      </c>
      <c r="P61" s="9">
        <v>1</v>
      </c>
      <c r="Q61" s="9">
        <v>1</v>
      </c>
      <c r="R61" s="9">
        <v>0</v>
      </c>
      <c r="S61" s="9">
        <v>0</v>
      </c>
      <c r="T61" s="9">
        <v>0</v>
      </c>
      <c r="U61" s="9">
        <v>800</v>
      </c>
      <c r="V61" s="9">
        <v>0</v>
      </c>
      <c r="W61" s="9">
        <v>0</v>
      </c>
      <c r="X61" s="9">
        <v>0</v>
      </c>
      <c r="Y61" s="9">
        <v>0</v>
      </c>
      <c r="Z61" s="9">
        <v>4</v>
      </c>
      <c r="AA61" s="9">
        <v>0</v>
      </c>
      <c r="AB61" s="10">
        <v>45023</v>
      </c>
      <c r="AC61" s="11"/>
      <c r="AD61" s="12"/>
      <c r="AE61" s="12"/>
    </row>
    <row r="62" spans="1:31" ht="15.75" customHeight="1">
      <c r="A62" s="9" t="s">
        <v>191</v>
      </c>
      <c r="B62" s="9" t="s">
        <v>192</v>
      </c>
      <c r="C62" s="9" t="s">
        <v>193</v>
      </c>
      <c r="D62" s="9">
        <v>10000</v>
      </c>
      <c r="E62" s="10">
        <v>45103</v>
      </c>
      <c r="F62" s="10">
        <v>45055</v>
      </c>
      <c r="G62" s="10">
        <v>45064</v>
      </c>
      <c r="H62" s="9">
        <v>10.1</v>
      </c>
      <c r="I62" s="9">
        <v>101</v>
      </c>
      <c r="J62" s="9">
        <v>1</v>
      </c>
      <c r="K62" s="9" t="s">
        <v>33</v>
      </c>
      <c r="L62" s="9">
        <v>20</v>
      </c>
      <c r="M62" s="9">
        <v>110</v>
      </c>
      <c r="N62" s="9">
        <v>20</v>
      </c>
      <c r="O62" s="9">
        <v>1</v>
      </c>
      <c r="P62" s="9">
        <v>1</v>
      </c>
      <c r="Q62" s="9">
        <v>1</v>
      </c>
      <c r="R62" s="9">
        <v>0</v>
      </c>
      <c r="S62" s="9">
        <v>0</v>
      </c>
      <c r="T62" s="9">
        <v>0</v>
      </c>
      <c r="U62" s="9">
        <v>1</v>
      </c>
      <c r="V62" s="9">
        <v>0</v>
      </c>
      <c r="W62" s="9">
        <v>0</v>
      </c>
      <c r="X62" s="9">
        <v>0</v>
      </c>
      <c r="Y62" s="9">
        <v>0</v>
      </c>
      <c r="Z62" s="9">
        <v>4</v>
      </c>
      <c r="AA62" s="9">
        <v>0</v>
      </c>
      <c r="AB62" s="10">
        <v>45091</v>
      </c>
      <c r="AC62" s="11"/>
      <c r="AD62" s="12"/>
      <c r="AE62" s="12"/>
    </row>
    <row r="63" spans="1:31" ht="15.75" customHeight="1">
      <c r="A63" s="9" t="s">
        <v>194</v>
      </c>
      <c r="B63" s="9" t="s">
        <v>195</v>
      </c>
      <c r="C63" s="9" t="s">
        <v>196</v>
      </c>
      <c r="D63" s="9">
        <v>2000</v>
      </c>
      <c r="E63" s="10">
        <v>45098</v>
      </c>
      <c r="F63" s="10">
        <v>45050</v>
      </c>
      <c r="G63" s="10">
        <v>45084</v>
      </c>
      <c r="H63" s="9">
        <v>8</v>
      </c>
      <c r="I63" s="9">
        <v>16</v>
      </c>
      <c r="J63" s="9">
        <v>1</v>
      </c>
      <c r="K63" s="9" t="s">
        <v>33</v>
      </c>
      <c r="L63" s="9">
        <v>20</v>
      </c>
      <c r="M63" s="9">
        <v>105</v>
      </c>
      <c r="N63" s="9">
        <v>15</v>
      </c>
      <c r="O63" s="9">
        <v>1</v>
      </c>
      <c r="P63" s="9">
        <v>1</v>
      </c>
      <c r="Q63" s="9">
        <v>1</v>
      </c>
      <c r="R63" s="9">
        <v>0</v>
      </c>
      <c r="S63" s="9">
        <v>1</v>
      </c>
      <c r="T63" s="9">
        <v>1850</v>
      </c>
      <c r="U63" s="9">
        <v>1500</v>
      </c>
      <c r="V63" s="9">
        <v>0</v>
      </c>
      <c r="W63" s="9">
        <v>0</v>
      </c>
      <c r="X63" s="9">
        <v>1</v>
      </c>
      <c r="Y63" s="9">
        <v>1</v>
      </c>
      <c r="Z63" s="9">
        <v>4</v>
      </c>
      <c r="AA63" s="9">
        <v>0</v>
      </c>
      <c r="AB63" s="10">
        <v>45090</v>
      </c>
      <c r="AC63" s="11"/>
      <c r="AD63" s="12"/>
      <c r="AE63" s="12"/>
    </row>
    <row r="64" spans="1:31" ht="15.75" customHeight="1">
      <c r="A64" s="9" t="s">
        <v>197</v>
      </c>
      <c r="B64" s="9" t="s">
        <v>198</v>
      </c>
      <c r="C64" s="9" t="s">
        <v>199</v>
      </c>
      <c r="D64" s="9">
        <v>2504</v>
      </c>
      <c r="E64" s="10">
        <v>45103</v>
      </c>
      <c r="F64" s="10">
        <v>45050</v>
      </c>
      <c r="G64" s="10">
        <v>45010</v>
      </c>
      <c r="H64" s="9">
        <v>206</v>
      </c>
      <c r="I64" s="9">
        <v>516</v>
      </c>
      <c r="J64" s="9">
        <v>2</v>
      </c>
      <c r="K64" s="9" t="s">
        <v>40</v>
      </c>
      <c r="L64" s="9">
        <v>0</v>
      </c>
      <c r="M64" s="9">
        <v>315</v>
      </c>
      <c r="N64" s="9">
        <v>30</v>
      </c>
      <c r="O64" s="9">
        <v>1</v>
      </c>
      <c r="P64" s="9">
        <v>1</v>
      </c>
      <c r="Q64" s="9">
        <v>1</v>
      </c>
      <c r="R64" s="9">
        <v>0</v>
      </c>
      <c r="S64" s="9">
        <v>0</v>
      </c>
      <c r="T64" s="9">
        <v>900</v>
      </c>
      <c r="U64" s="9">
        <v>480</v>
      </c>
      <c r="V64" s="9">
        <v>0</v>
      </c>
      <c r="W64" s="9">
        <v>0</v>
      </c>
      <c r="X64" s="9">
        <v>0</v>
      </c>
      <c r="Y64" s="9">
        <v>1</v>
      </c>
      <c r="Z64" s="9">
        <v>4</v>
      </c>
      <c r="AA64" s="9">
        <v>0</v>
      </c>
      <c r="AB64" s="10">
        <v>45092</v>
      </c>
      <c r="AC64" s="11"/>
      <c r="AD64" s="12"/>
      <c r="AE64" s="12"/>
    </row>
    <row r="65" spans="1:31" ht="15.75" customHeight="1">
      <c r="A65" s="9" t="s">
        <v>200</v>
      </c>
      <c r="B65" s="9" t="s">
        <v>201</v>
      </c>
      <c r="C65" s="9" t="s">
        <v>202</v>
      </c>
      <c r="D65" s="9">
        <v>2504</v>
      </c>
      <c r="E65" s="10">
        <v>45103</v>
      </c>
      <c r="F65" s="10">
        <v>45050</v>
      </c>
      <c r="G65" s="10">
        <v>45010</v>
      </c>
      <c r="H65" s="9">
        <v>202</v>
      </c>
      <c r="I65" s="9">
        <v>506</v>
      </c>
      <c r="J65" s="9">
        <v>2</v>
      </c>
      <c r="K65" s="9" t="s">
        <v>40</v>
      </c>
      <c r="L65" s="9">
        <v>70</v>
      </c>
      <c r="M65" s="9">
        <v>130</v>
      </c>
      <c r="N65" s="9">
        <v>30</v>
      </c>
      <c r="O65" s="9">
        <v>1</v>
      </c>
      <c r="P65" s="9">
        <v>1</v>
      </c>
      <c r="Q65" s="9">
        <v>1</v>
      </c>
      <c r="R65" s="9">
        <v>0</v>
      </c>
      <c r="S65" s="9">
        <v>0</v>
      </c>
      <c r="T65" s="9">
        <v>600</v>
      </c>
      <c r="U65" s="9">
        <v>630</v>
      </c>
      <c r="V65" s="9">
        <v>0</v>
      </c>
      <c r="W65" s="9">
        <v>0</v>
      </c>
      <c r="X65" s="9">
        <v>0</v>
      </c>
      <c r="Y65" s="9">
        <v>1</v>
      </c>
      <c r="Z65" s="9">
        <v>4</v>
      </c>
      <c r="AA65" s="9">
        <v>0</v>
      </c>
      <c r="AB65" s="10">
        <v>45091</v>
      </c>
      <c r="AC65" s="11"/>
      <c r="AD65" s="12"/>
      <c r="AE65" s="12"/>
    </row>
    <row r="66" spans="1:31" ht="15.75" customHeight="1">
      <c r="A66" s="9" t="s">
        <v>203</v>
      </c>
      <c r="B66" s="9" t="s">
        <v>204</v>
      </c>
      <c r="C66" s="9" t="s">
        <v>205</v>
      </c>
      <c r="D66" s="9">
        <v>2511</v>
      </c>
      <c r="E66" s="10">
        <v>45103</v>
      </c>
      <c r="F66" s="10">
        <v>45050</v>
      </c>
      <c r="G66" s="10">
        <v>45010</v>
      </c>
      <c r="H66" s="9">
        <v>100.3</v>
      </c>
      <c r="I66" s="9">
        <v>252</v>
      </c>
      <c r="J66" s="9">
        <v>1</v>
      </c>
      <c r="K66" s="9" t="s">
        <v>40</v>
      </c>
      <c r="L66" s="9">
        <v>0</v>
      </c>
      <c r="M66" s="9">
        <v>280</v>
      </c>
      <c r="N66" s="9">
        <v>30</v>
      </c>
      <c r="O66" s="9">
        <v>1</v>
      </c>
      <c r="P66" s="9">
        <v>1</v>
      </c>
      <c r="Q66" s="9">
        <v>1</v>
      </c>
      <c r="R66" s="9">
        <v>0</v>
      </c>
      <c r="S66" s="9">
        <v>0</v>
      </c>
      <c r="T66" s="9">
        <v>0</v>
      </c>
      <c r="U66" s="9">
        <v>450</v>
      </c>
      <c r="V66" s="9">
        <v>0</v>
      </c>
      <c r="W66" s="9">
        <v>0</v>
      </c>
      <c r="X66" s="9">
        <v>0</v>
      </c>
      <c r="Y66" s="9">
        <v>0</v>
      </c>
      <c r="Z66" s="9">
        <v>3</v>
      </c>
      <c r="AA66" s="9">
        <v>0</v>
      </c>
      <c r="AB66" s="10">
        <v>45082</v>
      </c>
      <c r="AC66" s="11"/>
      <c r="AD66" s="12"/>
      <c r="AE66" s="12"/>
    </row>
    <row r="67" spans="1:31" ht="15.75" customHeight="1">
      <c r="A67" s="9" t="s">
        <v>206</v>
      </c>
      <c r="B67" s="9" t="s">
        <v>207</v>
      </c>
      <c r="C67" s="9" t="s">
        <v>208</v>
      </c>
      <c r="D67" s="9">
        <v>2500</v>
      </c>
      <c r="E67" s="10">
        <v>45103</v>
      </c>
      <c r="F67" s="10">
        <v>45010</v>
      </c>
      <c r="G67" s="10">
        <v>45010</v>
      </c>
      <c r="H67" s="9">
        <v>30.5</v>
      </c>
      <c r="I67" s="9">
        <v>77</v>
      </c>
      <c r="J67" s="9">
        <v>1</v>
      </c>
      <c r="K67" s="9" t="s">
        <v>33</v>
      </c>
      <c r="L67" s="9">
        <v>90</v>
      </c>
      <c r="M67" s="9">
        <v>50</v>
      </c>
      <c r="N67" s="9">
        <v>10</v>
      </c>
      <c r="O67" s="9">
        <v>1</v>
      </c>
      <c r="P67" s="9">
        <v>1</v>
      </c>
      <c r="Q67" s="9">
        <v>1</v>
      </c>
      <c r="R67" s="9">
        <v>0</v>
      </c>
      <c r="S67" s="9">
        <v>0</v>
      </c>
      <c r="T67" s="9">
        <v>800</v>
      </c>
      <c r="U67" s="9">
        <v>1000</v>
      </c>
      <c r="V67" s="9">
        <v>0</v>
      </c>
      <c r="W67" s="9">
        <v>0</v>
      </c>
      <c r="X67" s="9">
        <v>0</v>
      </c>
      <c r="Y67" s="9">
        <v>1</v>
      </c>
      <c r="Z67" s="9">
        <v>4</v>
      </c>
      <c r="AA67" s="9">
        <v>0</v>
      </c>
      <c r="AB67" s="10">
        <v>45076</v>
      </c>
      <c r="AC67" s="11"/>
      <c r="AD67" s="12"/>
      <c r="AE67" s="12"/>
    </row>
    <row r="68" spans="1:31" ht="15.75" customHeight="1">
      <c r="A68" s="9" t="s">
        <v>209</v>
      </c>
      <c r="B68" s="9" t="s">
        <v>210</v>
      </c>
      <c r="C68" s="9" t="s">
        <v>211</v>
      </c>
      <c r="D68" s="9">
        <v>2500</v>
      </c>
      <c r="E68" s="10">
        <v>45103</v>
      </c>
      <c r="F68" s="10">
        <v>45050</v>
      </c>
      <c r="G68" s="10">
        <v>45010</v>
      </c>
      <c r="H68" s="9">
        <v>100</v>
      </c>
      <c r="I68" s="9">
        <v>250</v>
      </c>
      <c r="J68" s="9">
        <v>5</v>
      </c>
      <c r="K68" s="9" t="s">
        <v>48</v>
      </c>
      <c r="L68" s="9">
        <v>30</v>
      </c>
      <c r="M68" s="9">
        <v>155</v>
      </c>
      <c r="N68" s="9">
        <v>40</v>
      </c>
      <c r="O68" s="9">
        <v>1</v>
      </c>
      <c r="P68" s="9">
        <v>1</v>
      </c>
      <c r="Q68" s="9">
        <v>1</v>
      </c>
      <c r="R68" s="9">
        <v>0</v>
      </c>
      <c r="S68" s="9">
        <v>0</v>
      </c>
      <c r="T68" s="9">
        <v>1000</v>
      </c>
      <c r="U68" s="9">
        <v>600</v>
      </c>
      <c r="V68" s="9">
        <v>0</v>
      </c>
      <c r="W68" s="9">
        <v>0</v>
      </c>
      <c r="X68" s="9">
        <v>0</v>
      </c>
      <c r="Y68" s="9">
        <v>1</v>
      </c>
      <c r="Z68" s="9">
        <v>4</v>
      </c>
      <c r="AA68" s="9">
        <v>0</v>
      </c>
      <c r="AB68" s="10">
        <v>45084</v>
      </c>
      <c r="AC68" s="11"/>
      <c r="AD68" s="12"/>
      <c r="AE68" s="12"/>
    </row>
    <row r="69" spans="1:31" ht="15.75" customHeight="1">
      <c r="A69" s="9" t="s">
        <v>212</v>
      </c>
      <c r="B69" s="9" t="s">
        <v>213</v>
      </c>
      <c r="C69" s="9" t="s">
        <v>214</v>
      </c>
      <c r="D69" s="9">
        <v>1273</v>
      </c>
      <c r="E69" s="10">
        <v>45103</v>
      </c>
      <c r="F69" s="10">
        <v>45050</v>
      </c>
      <c r="G69" s="10">
        <v>45010</v>
      </c>
      <c r="H69" s="9">
        <v>25.3</v>
      </c>
      <c r="I69" s="9">
        <v>33</v>
      </c>
      <c r="J69" s="9">
        <v>1</v>
      </c>
      <c r="K69" s="9" t="s">
        <v>40</v>
      </c>
      <c r="L69" s="9">
        <v>25</v>
      </c>
      <c r="M69" s="9">
        <v>115</v>
      </c>
      <c r="N69" s="9">
        <v>30</v>
      </c>
      <c r="O69" s="9">
        <v>1</v>
      </c>
      <c r="P69" s="9">
        <v>1</v>
      </c>
      <c r="Q69" s="9">
        <v>1</v>
      </c>
      <c r="R69" s="9">
        <v>0</v>
      </c>
      <c r="S69" s="9">
        <v>0</v>
      </c>
      <c r="T69" s="9">
        <v>0</v>
      </c>
      <c r="U69" s="9">
        <v>1428</v>
      </c>
      <c r="V69" s="9">
        <v>0</v>
      </c>
      <c r="W69" s="9">
        <v>0</v>
      </c>
      <c r="X69" s="9">
        <v>0</v>
      </c>
      <c r="Y69" s="9">
        <v>0</v>
      </c>
      <c r="Z69" s="9">
        <v>1</v>
      </c>
      <c r="AA69" s="9">
        <v>0</v>
      </c>
      <c r="AB69" s="10">
        <v>45082</v>
      </c>
      <c r="AC69" s="11"/>
      <c r="AD69" s="12"/>
      <c r="AE69" s="12"/>
    </row>
    <row r="70" spans="1:31" ht="15.75" customHeight="1">
      <c r="A70" s="9" t="s">
        <v>215</v>
      </c>
      <c r="B70" s="9" t="s">
        <v>142</v>
      </c>
      <c r="C70" s="9" t="s">
        <v>143</v>
      </c>
      <c r="D70" s="9">
        <v>2500</v>
      </c>
      <c r="E70" s="10">
        <v>45106</v>
      </c>
      <c r="F70" s="10">
        <v>45068</v>
      </c>
      <c r="G70" s="10">
        <v>45058</v>
      </c>
      <c r="H70" s="9">
        <v>175</v>
      </c>
      <c r="I70" s="9">
        <v>438</v>
      </c>
      <c r="J70" s="9">
        <v>9</v>
      </c>
      <c r="K70" s="9" t="s">
        <v>74</v>
      </c>
      <c r="L70" s="9">
        <v>25</v>
      </c>
      <c r="M70" s="9">
        <v>180</v>
      </c>
      <c r="N70" s="9">
        <v>30</v>
      </c>
      <c r="O70" s="9">
        <v>1</v>
      </c>
      <c r="P70" s="9">
        <v>1</v>
      </c>
      <c r="Q70" s="9">
        <v>1</v>
      </c>
      <c r="R70" s="9">
        <v>0</v>
      </c>
      <c r="S70" s="9">
        <v>0</v>
      </c>
      <c r="T70" s="9">
        <v>800</v>
      </c>
      <c r="U70" s="9">
        <v>500</v>
      </c>
      <c r="V70" s="9">
        <v>0</v>
      </c>
      <c r="W70" s="9">
        <v>0</v>
      </c>
      <c r="X70" s="9">
        <v>0</v>
      </c>
      <c r="Y70" s="9">
        <v>1</v>
      </c>
      <c r="Z70" s="9">
        <v>3</v>
      </c>
      <c r="AA70" s="9">
        <v>0</v>
      </c>
      <c r="AB70" s="10">
        <v>45093</v>
      </c>
      <c r="AC70" s="11"/>
      <c r="AD70" s="12"/>
      <c r="AE70" s="12"/>
    </row>
    <row r="71" spans="1:31" ht="15.75" customHeight="1">
      <c r="A71" s="9" t="s">
        <v>216</v>
      </c>
      <c r="B71" s="9" t="s">
        <v>217</v>
      </c>
      <c r="C71" s="9" t="s">
        <v>218</v>
      </c>
      <c r="D71" s="9">
        <v>2500</v>
      </c>
      <c r="E71" s="10">
        <v>45104</v>
      </c>
      <c r="F71" s="10">
        <v>45069</v>
      </c>
      <c r="G71" s="10">
        <v>45057</v>
      </c>
      <c r="H71" s="9">
        <v>51.5</v>
      </c>
      <c r="I71" s="9">
        <v>129</v>
      </c>
      <c r="J71" s="9">
        <v>2</v>
      </c>
      <c r="K71" s="9" t="s">
        <v>33</v>
      </c>
      <c r="L71" s="9">
        <v>45</v>
      </c>
      <c r="M71" s="9">
        <v>105</v>
      </c>
      <c r="N71" s="9">
        <v>20</v>
      </c>
      <c r="O71" s="9">
        <v>1</v>
      </c>
      <c r="P71" s="9">
        <v>1</v>
      </c>
      <c r="Q71" s="9">
        <v>1</v>
      </c>
      <c r="R71" s="9">
        <v>0</v>
      </c>
      <c r="S71" s="9">
        <v>0</v>
      </c>
      <c r="T71" s="9">
        <v>0</v>
      </c>
      <c r="U71" s="9">
        <v>700</v>
      </c>
      <c r="V71" s="9">
        <v>0</v>
      </c>
      <c r="W71" s="9">
        <v>0</v>
      </c>
      <c r="X71" s="9">
        <v>0</v>
      </c>
      <c r="Y71" s="9">
        <v>0</v>
      </c>
      <c r="Z71" s="9">
        <v>3</v>
      </c>
      <c r="AA71" s="9">
        <v>0</v>
      </c>
      <c r="AB71" s="10">
        <v>45094</v>
      </c>
      <c r="AC71" s="14"/>
      <c r="AD71" s="12"/>
      <c r="AE71" s="12"/>
    </row>
    <row r="72" spans="1:31" ht="15.75" customHeight="1">
      <c r="A72" s="9" t="s">
        <v>219</v>
      </c>
      <c r="B72" s="9" t="s">
        <v>220</v>
      </c>
      <c r="C72" s="9" t="s">
        <v>221</v>
      </c>
      <c r="D72" s="9">
        <v>1500</v>
      </c>
      <c r="E72" s="10">
        <v>45106</v>
      </c>
      <c r="F72" s="10">
        <v>45086</v>
      </c>
      <c r="G72" s="10">
        <v>45089</v>
      </c>
      <c r="H72" s="9">
        <v>10</v>
      </c>
      <c r="I72" s="9">
        <v>15</v>
      </c>
      <c r="J72" s="9">
        <v>1</v>
      </c>
      <c r="K72" s="9" t="s">
        <v>33</v>
      </c>
      <c r="L72" s="9">
        <v>50</v>
      </c>
      <c r="M72" s="9">
        <v>60</v>
      </c>
      <c r="N72" s="9">
        <v>10</v>
      </c>
      <c r="O72" s="9">
        <v>1</v>
      </c>
      <c r="P72" s="9">
        <v>1</v>
      </c>
      <c r="Q72" s="9">
        <v>1</v>
      </c>
      <c r="R72" s="9">
        <v>0</v>
      </c>
      <c r="S72" s="9">
        <v>0</v>
      </c>
      <c r="T72" s="9">
        <v>1</v>
      </c>
      <c r="U72" s="9">
        <v>850</v>
      </c>
      <c r="V72" s="9">
        <v>0</v>
      </c>
      <c r="W72" s="9">
        <v>0</v>
      </c>
      <c r="X72" s="9">
        <v>0</v>
      </c>
      <c r="Y72" s="9">
        <v>1</v>
      </c>
      <c r="Z72" s="9">
        <v>4</v>
      </c>
      <c r="AA72" s="9">
        <v>0</v>
      </c>
      <c r="AB72" s="10">
        <v>45104</v>
      </c>
      <c r="AC72" s="11"/>
      <c r="AD72" s="12"/>
      <c r="AE72" s="12"/>
    </row>
    <row r="73" spans="1:31" ht="15.75" customHeight="1">
      <c r="A73" s="9" t="s">
        <v>222</v>
      </c>
      <c r="B73" s="9" t="s">
        <v>220</v>
      </c>
      <c r="C73" s="9" t="s">
        <v>221</v>
      </c>
      <c r="D73" s="9">
        <v>3000</v>
      </c>
      <c r="E73" s="10">
        <v>45106</v>
      </c>
      <c r="F73" s="10">
        <v>45086</v>
      </c>
      <c r="G73" s="10">
        <v>45089</v>
      </c>
      <c r="H73" s="9">
        <v>10</v>
      </c>
      <c r="I73" s="9">
        <v>30</v>
      </c>
      <c r="J73" s="9">
        <v>1</v>
      </c>
      <c r="K73" s="9" t="s">
        <v>33</v>
      </c>
      <c r="L73" s="9">
        <v>50</v>
      </c>
      <c r="M73" s="9">
        <v>60</v>
      </c>
      <c r="N73" s="9">
        <v>10</v>
      </c>
      <c r="O73" s="9">
        <v>1</v>
      </c>
      <c r="P73" s="9">
        <v>1</v>
      </c>
      <c r="Q73" s="9">
        <v>1</v>
      </c>
      <c r="R73" s="9">
        <v>0</v>
      </c>
      <c r="S73" s="9">
        <v>0</v>
      </c>
      <c r="T73" s="9">
        <v>1</v>
      </c>
      <c r="U73" s="9">
        <v>850</v>
      </c>
      <c r="V73" s="9">
        <v>0</v>
      </c>
      <c r="W73" s="9">
        <v>0</v>
      </c>
      <c r="X73" s="9">
        <v>0</v>
      </c>
      <c r="Y73" s="9">
        <v>1</v>
      </c>
      <c r="Z73" s="9">
        <v>4</v>
      </c>
      <c r="AA73" s="9">
        <v>0</v>
      </c>
      <c r="AB73" s="10">
        <v>45104</v>
      </c>
      <c r="AC73" s="11"/>
      <c r="AD73" s="12"/>
      <c r="AE73" s="12"/>
    </row>
    <row r="74" spans="1:31" ht="15.75" customHeight="1">
      <c r="A74" s="9" t="s">
        <v>223</v>
      </c>
      <c r="B74" s="9" t="s">
        <v>224</v>
      </c>
      <c r="C74" s="9" t="s">
        <v>225</v>
      </c>
      <c r="D74" s="9">
        <v>3000</v>
      </c>
      <c r="E74" s="10">
        <v>45106</v>
      </c>
      <c r="F74" s="10">
        <v>45063</v>
      </c>
      <c r="G74" s="10">
        <v>45089</v>
      </c>
      <c r="H74" s="9">
        <v>1.72</v>
      </c>
      <c r="I74" s="9">
        <v>6</v>
      </c>
      <c r="J74" s="9">
        <v>1</v>
      </c>
      <c r="K74" s="9" t="s">
        <v>33</v>
      </c>
      <c r="L74" s="9">
        <v>50</v>
      </c>
      <c r="M74" s="9">
        <v>60</v>
      </c>
      <c r="N74" s="9">
        <v>10</v>
      </c>
      <c r="O74" s="9">
        <v>1</v>
      </c>
      <c r="P74" s="9">
        <v>1</v>
      </c>
      <c r="Q74" s="9">
        <v>1</v>
      </c>
      <c r="R74" s="9">
        <v>0</v>
      </c>
      <c r="S74" s="9">
        <v>0</v>
      </c>
      <c r="T74" s="9">
        <v>1</v>
      </c>
      <c r="U74" s="9">
        <v>900</v>
      </c>
      <c r="V74" s="9">
        <v>0</v>
      </c>
      <c r="W74" s="9">
        <v>0</v>
      </c>
      <c r="X74" s="9">
        <v>0</v>
      </c>
      <c r="Y74" s="9">
        <v>1</v>
      </c>
      <c r="Z74" s="9">
        <v>4</v>
      </c>
      <c r="AA74" s="9">
        <v>0</v>
      </c>
      <c r="AB74" s="10">
        <v>45104</v>
      </c>
      <c r="AC74" s="11"/>
      <c r="AD74" s="12"/>
      <c r="AE74" s="12"/>
    </row>
    <row r="75" spans="1:31" ht="15.75" customHeight="1">
      <c r="A75" s="9" t="s">
        <v>226</v>
      </c>
      <c r="B75" s="9" t="s">
        <v>227</v>
      </c>
      <c r="C75" s="9" t="s">
        <v>228</v>
      </c>
      <c r="D75" s="9">
        <v>7790</v>
      </c>
      <c r="E75" s="10">
        <v>45111</v>
      </c>
      <c r="F75" s="10">
        <v>44959</v>
      </c>
      <c r="G75" s="10">
        <v>44975</v>
      </c>
      <c r="H75" s="9">
        <v>312</v>
      </c>
      <c r="I75" s="9">
        <v>2431</v>
      </c>
      <c r="J75" s="9">
        <v>6</v>
      </c>
      <c r="K75" s="9" t="s">
        <v>40</v>
      </c>
      <c r="L75" s="9">
        <v>50</v>
      </c>
      <c r="M75" s="9">
        <v>105</v>
      </c>
      <c r="N75" s="9">
        <v>30</v>
      </c>
      <c r="O75" s="9">
        <v>1</v>
      </c>
      <c r="P75" s="9">
        <v>1</v>
      </c>
      <c r="Q75" s="9">
        <v>1</v>
      </c>
      <c r="R75" s="9">
        <v>0</v>
      </c>
      <c r="S75" s="9">
        <v>0</v>
      </c>
      <c r="T75" s="9">
        <v>670</v>
      </c>
      <c r="U75" s="9">
        <v>430</v>
      </c>
      <c r="V75" s="9">
        <v>0</v>
      </c>
      <c r="W75" s="9">
        <v>0</v>
      </c>
      <c r="X75" s="9">
        <v>0</v>
      </c>
      <c r="Y75" s="9">
        <v>1</v>
      </c>
      <c r="Z75" s="9">
        <v>3</v>
      </c>
      <c r="AA75" s="9">
        <v>0</v>
      </c>
      <c r="AB75" s="10">
        <v>45091</v>
      </c>
      <c r="AC75" s="11"/>
      <c r="AD75" s="12"/>
      <c r="AE75" s="12"/>
    </row>
    <row r="76" spans="1:31" ht="15.75" customHeight="1">
      <c r="A76" s="9" t="s">
        <v>229</v>
      </c>
      <c r="B76" s="9" t="s">
        <v>35</v>
      </c>
      <c r="C76" s="9" t="s">
        <v>36</v>
      </c>
      <c r="D76" s="9">
        <v>40</v>
      </c>
      <c r="E76" s="10">
        <v>45105</v>
      </c>
      <c r="F76" s="10">
        <v>45063</v>
      </c>
      <c r="G76" s="10">
        <v>45055</v>
      </c>
      <c r="H76" s="9">
        <v>99.1</v>
      </c>
      <c r="I76" s="9">
        <v>4</v>
      </c>
      <c r="J76" s="9">
        <v>1</v>
      </c>
      <c r="K76" s="9" t="s">
        <v>33</v>
      </c>
      <c r="L76" s="9">
        <v>65</v>
      </c>
      <c r="M76" s="9">
        <v>65</v>
      </c>
      <c r="N76" s="9">
        <v>20</v>
      </c>
      <c r="O76" s="9">
        <v>1</v>
      </c>
      <c r="P76" s="9">
        <v>1</v>
      </c>
      <c r="Q76" s="9">
        <v>1</v>
      </c>
      <c r="R76" s="9">
        <v>0</v>
      </c>
      <c r="S76" s="9">
        <v>0</v>
      </c>
      <c r="T76" s="9">
        <v>1000</v>
      </c>
      <c r="U76" s="9">
        <v>390</v>
      </c>
      <c r="V76" s="9">
        <v>0</v>
      </c>
      <c r="W76" s="9">
        <v>0</v>
      </c>
      <c r="X76" s="9">
        <v>0</v>
      </c>
      <c r="Y76" s="9">
        <v>1</v>
      </c>
      <c r="Z76" s="9">
        <v>4</v>
      </c>
      <c r="AA76" s="9">
        <v>0</v>
      </c>
      <c r="AB76" s="10">
        <v>45097</v>
      </c>
      <c r="AC76" s="11"/>
      <c r="AD76" s="12"/>
      <c r="AE76" s="12"/>
    </row>
    <row r="77" spans="1:31" ht="15.75" customHeight="1">
      <c r="A77" s="9" t="s">
        <v>230</v>
      </c>
      <c r="B77" s="9" t="s">
        <v>35</v>
      </c>
      <c r="C77" s="9" t="s">
        <v>36</v>
      </c>
      <c r="D77" s="9">
        <v>70</v>
      </c>
      <c r="E77" s="10">
        <v>45105</v>
      </c>
      <c r="F77" s="10">
        <v>45070</v>
      </c>
      <c r="G77" s="10">
        <v>45086</v>
      </c>
      <c r="H77" s="9">
        <v>99.1</v>
      </c>
      <c r="I77" s="9">
        <v>7</v>
      </c>
      <c r="J77" s="9">
        <v>1</v>
      </c>
      <c r="K77" s="9" t="s">
        <v>33</v>
      </c>
      <c r="L77" s="9">
        <v>65</v>
      </c>
      <c r="M77" s="9">
        <v>65</v>
      </c>
      <c r="N77" s="9">
        <v>20</v>
      </c>
      <c r="O77" s="9">
        <v>1</v>
      </c>
      <c r="P77" s="9">
        <v>1</v>
      </c>
      <c r="Q77" s="9">
        <v>1</v>
      </c>
      <c r="R77" s="9">
        <v>0</v>
      </c>
      <c r="S77" s="9">
        <v>0</v>
      </c>
      <c r="T77" s="9">
        <v>1000</v>
      </c>
      <c r="U77" s="9">
        <v>390</v>
      </c>
      <c r="V77" s="9">
        <v>0</v>
      </c>
      <c r="W77" s="9">
        <v>0</v>
      </c>
      <c r="X77" s="9">
        <v>0</v>
      </c>
      <c r="Y77" s="9">
        <v>1</v>
      </c>
      <c r="Z77" s="9">
        <v>4</v>
      </c>
      <c r="AA77" s="9">
        <v>0</v>
      </c>
      <c r="AB77" s="10">
        <v>45097</v>
      </c>
      <c r="AC77" s="11"/>
      <c r="AD77" s="12"/>
      <c r="AE77" s="12"/>
    </row>
    <row r="78" spans="1:31" ht="15.75" customHeight="1">
      <c r="A78" s="9" t="s">
        <v>231</v>
      </c>
      <c r="B78" s="9" t="s">
        <v>173</v>
      </c>
      <c r="C78" s="9" t="s">
        <v>174</v>
      </c>
      <c r="D78" s="9">
        <v>2500</v>
      </c>
      <c r="E78" s="10">
        <v>45112</v>
      </c>
      <c r="F78" s="10">
        <v>45083</v>
      </c>
      <c r="G78" s="10">
        <v>45058</v>
      </c>
      <c r="H78" s="9">
        <v>40</v>
      </c>
      <c r="I78" s="9">
        <v>100</v>
      </c>
      <c r="J78" s="9">
        <v>2</v>
      </c>
      <c r="K78" s="9" t="s">
        <v>48</v>
      </c>
      <c r="L78" s="9">
        <v>105</v>
      </c>
      <c r="M78" s="9">
        <v>120</v>
      </c>
      <c r="N78" s="9">
        <v>90</v>
      </c>
      <c r="O78" s="9">
        <v>1</v>
      </c>
      <c r="P78" s="9">
        <v>1</v>
      </c>
      <c r="Q78" s="9">
        <v>1</v>
      </c>
      <c r="R78" s="9">
        <v>0</v>
      </c>
      <c r="S78" s="9">
        <v>0</v>
      </c>
      <c r="T78" s="9">
        <v>0</v>
      </c>
      <c r="U78" s="9">
        <v>750</v>
      </c>
      <c r="V78" s="9">
        <v>0</v>
      </c>
      <c r="W78" s="9">
        <v>0</v>
      </c>
      <c r="X78" s="9">
        <v>0</v>
      </c>
      <c r="Y78" s="9">
        <v>0</v>
      </c>
      <c r="Z78" s="9">
        <v>4</v>
      </c>
      <c r="AA78" s="9">
        <v>0</v>
      </c>
      <c r="AB78" s="10">
        <v>45103</v>
      </c>
      <c r="AC78" s="11"/>
      <c r="AD78" s="12"/>
      <c r="AE78" s="12"/>
    </row>
    <row r="79" spans="1:31" ht="15.75" customHeight="1">
      <c r="A79" s="9" t="s">
        <v>232</v>
      </c>
      <c r="B79" s="9" t="s">
        <v>50</v>
      </c>
      <c r="C79" s="9" t="s">
        <v>51</v>
      </c>
      <c r="D79" s="9">
        <v>2544</v>
      </c>
      <c r="E79" s="10">
        <v>45112</v>
      </c>
      <c r="F79" s="10">
        <v>45083</v>
      </c>
      <c r="G79" s="10">
        <v>45086</v>
      </c>
      <c r="H79" s="9">
        <v>90</v>
      </c>
      <c r="I79" s="9">
        <v>229</v>
      </c>
      <c r="J79" s="9">
        <v>1</v>
      </c>
      <c r="K79" s="9" t="s">
        <v>40</v>
      </c>
      <c r="L79" s="9">
        <v>50</v>
      </c>
      <c r="M79" s="9">
        <v>90</v>
      </c>
      <c r="N79" s="9">
        <v>30</v>
      </c>
      <c r="O79" s="9">
        <v>1</v>
      </c>
      <c r="P79" s="9">
        <v>1</v>
      </c>
      <c r="Q79" s="9">
        <v>1</v>
      </c>
      <c r="R79" s="9">
        <v>0</v>
      </c>
      <c r="S79" s="9">
        <v>0</v>
      </c>
      <c r="T79" s="9">
        <v>1</v>
      </c>
      <c r="U79" s="9">
        <v>900</v>
      </c>
      <c r="V79" s="9">
        <v>0</v>
      </c>
      <c r="W79" s="9">
        <v>0</v>
      </c>
      <c r="X79" s="9">
        <v>0</v>
      </c>
      <c r="Y79" s="9">
        <v>1</v>
      </c>
      <c r="Z79" s="9">
        <v>4</v>
      </c>
      <c r="AA79" s="9">
        <v>0</v>
      </c>
      <c r="AB79" s="10">
        <v>45103</v>
      </c>
      <c r="AC79" s="11"/>
      <c r="AD79" s="12"/>
      <c r="AE79" s="12"/>
    </row>
    <row r="80" spans="1:31" ht="15.75" customHeight="1">
      <c r="A80" s="9" t="s">
        <v>233</v>
      </c>
      <c r="B80" s="9" t="s">
        <v>234</v>
      </c>
      <c r="C80" s="9" t="s">
        <v>235</v>
      </c>
      <c r="D80" s="9">
        <v>10000</v>
      </c>
      <c r="E80" s="10">
        <v>45055</v>
      </c>
      <c r="F80" s="10">
        <v>45083</v>
      </c>
      <c r="G80" s="10">
        <v>45086</v>
      </c>
      <c r="H80" s="9">
        <v>31.4</v>
      </c>
      <c r="I80" s="9">
        <v>314</v>
      </c>
      <c r="J80" s="9">
        <v>1</v>
      </c>
      <c r="K80" s="9" t="s">
        <v>40</v>
      </c>
      <c r="L80" s="9">
        <v>60</v>
      </c>
      <c r="M80" s="9">
        <v>110</v>
      </c>
      <c r="N80" s="9">
        <v>30</v>
      </c>
      <c r="O80" s="9">
        <v>1</v>
      </c>
      <c r="P80" s="9">
        <v>1</v>
      </c>
      <c r="Q80" s="9">
        <v>1</v>
      </c>
      <c r="R80" s="9">
        <v>0</v>
      </c>
      <c r="S80" s="9">
        <v>0</v>
      </c>
      <c r="T80" s="9">
        <v>1300</v>
      </c>
      <c r="U80" s="9">
        <v>1200</v>
      </c>
      <c r="V80" s="9">
        <v>0</v>
      </c>
      <c r="W80" s="9">
        <v>0</v>
      </c>
      <c r="X80" s="9">
        <v>0</v>
      </c>
      <c r="Y80" s="9">
        <v>1</v>
      </c>
      <c r="Z80" s="9">
        <v>4</v>
      </c>
      <c r="AA80" s="9">
        <v>0</v>
      </c>
      <c r="AB80" s="10">
        <v>45041</v>
      </c>
      <c r="AC80" s="14"/>
      <c r="AD80" s="12"/>
      <c r="AE80" s="12"/>
    </row>
    <row r="81" spans="1:31" ht="15.75" customHeight="1">
      <c r="A81" s="9" t="s">
        <v>236</v>
      </c>
      <c r="B81" s="9" t="s">
        <v>237</v>
      </c>
      <c r="C81" s="9" t="s">
        <v>238</v>
      </c>
      <c r="D81" s="9">
        <v>15000</v>
      </c>
      <c r="E81" s="10">
        <v>45124</v>
      </c>
      <c r="F81" s="10">
        <v>44990</v>
      </c>
      <c r="G81" s="10">
        <v>44904</v>
      </c>
      <c r="H81" s="9">
        <v>0</v>
      </c>
      <c r="I81" s="9">
        <v>0</v>
      </c>
      <c r="J81" s="9">
        <v>0</v>
      </c>
      <c r="K81" s="9" t="s">
        <v>33</v>
      </c>
      <c r="L81" s="9">
        <v>90</v>
      </c>
      <c r="M81" s="9">
        <v>50</v>
      </c>
      <c r="N81" s="9">
        <v>10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650</v>
      </c>
      <c r="U81" s="9">
        <v>850</v>
      </c>
      <c r="V81" s="9">
        <v>0</v>
      </c>
      <c r="W81" s="9">
        <v>0</v>
      </c>
      <c r="X81" s="9">
        <v>0</v>
      </c>
      <c r="Y81" s="9">
        <v>1</v>
      </c>
      <c r="Z81" s="9">
        <v>3</v>
      </c>
      <c r="AA81" s="9">
        <v>0</v>
      </c>
      <c r="AB81" s="10">
        <v>45098</v>
      </c>
      <c r="AC81" s="11"/>
      <c r="AD81" s="12"/>
      <c r="AE81" s="12"/>
    </row>
    <row r="82" spans="1:31" ht="15.75" customHeight="1">
      <c r="A82" s="9" t="s">
        <v>236</v>
      </c>
      <c r="B82" s="9" t="s">
        <v>237</v>
      </c>
      <c r="C82" s="9" t="s">
        <v>238</v>
      </c>
      <c r="D82" s="9">
        <v>15000</v>
      </c>
      <c r="E82" s="10">
        <v>45124</v>
      </c>
      <c r="F82" s="10">
        <v>44990</v>
      </c>
      <c r="G82" s="10">
        <v>44904</v>
      </c>
      <c r="H82" s="9">
        <v>0</v>
      </c>
      <c r="I82" s="9">
        <v>0</v>
      </c>
      <c r="J82" s="9">
        <v>0</v>
      </c>
      <c r="K82" s="9" t="s">
        <v>33</v>
      </c>
      <c r="L82" s="9">
        <v>90</v>
      </c>
      <c r="M82" s="9">
        <v>50</v>
      </c>
      <c r="N82" s="9">
        <v>10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650</v>
      </c>
      <c r="U82" s="9">
        <v>850</v>
      </c>
      <c r="V82" s="9">
        <v>0</v>
      </c>
      <c r="W82" s="9">
        <v>0</v>
      </c>
      <c r="X82" s="9">
        <v>0</v>
      </c>
      <c r="Y82" s="9">
        <v>1</v>
      </c>
      <c r="Z82" s="9">
        <v>3</v>
      </c>
      <c r="AA82" s="9">
        <v>0</v>
      </c>
      <c r="AB82" s="10">
        <v>45098</v>
      </c>
      <c r="AC82" s="11"/>
      <c r="AD82" s="12"/>
      <c r="AE82" s="12"/>
    </row>
    <row r="83" spans="1:31" ht="15.75" customHeight="1">
      <c r="A83" s="9" t="s">
        <v>236</v>
      </c>
      <c r="B83" s="9" t="s">
        <v>237</v>
      </c>
      <c r="C83" s="9" t="s">
        <v>238</v>
      </c>
      <c r="D83" s="9">
        <v>15000</v>
      </c>
      <c r="E83" s="10">
        <v>45124</v>
      </c>
      <c r="F83" s="10">
        <v>44990</v>
      </c>
      <c r="G83" s="10">
        <v>44904</v>
      </c>
      <c r="H83" s="9">
        <v>0</v>
      </c>
      <c r="I83" s="9">
        <v>0</v>
      </c>
      <c r="J83" s="9">
        <v>0</v>
      </c>
      <c r="K83" s="9" t="s">
        <v>33</v>
      </c>
      <c r="L83" s="9">
        <v>90</v>
      </c>
      <c r="M83" s="9">
        <v>50</v>
      </c>
      <c r="N83" s="9">
        <v>10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650</v>
      </c>
      <c r="U83" s="9">
        <v>850</v>
      </c>
      <c r="V83" s="9">
        <v>0</v>
      </c>
      <c r="W83" s="9">
        <v>0</v>
      </c>
      <c r="X83" s="9">
        <v>0</v>
      </c>
      <c r="Y83" s="9">
        <v>1</v>
      </c>
      <c r="Z83" s="9">
        <v>3</v>
      </c>
      <c r="AA83" s="9">
        <v>0</v>
      </c>
      <c r="AB83" s="10">
        <v>45098</v>
      </c>
      <c r="AC83" s="11"/>
      <c r="AD83" s="12"/>
      <c r="AE83" s="12"/>
    </row>
    <row r="84" spans="1:31" ht="15.75" customHeight="1">
      <c r="A84" s="9" t="s">
        <v>236</v>
      </c>
      <c r="B84" s="9" t="s">
        <v>237</v>
      </c>
      <c r="C84" s="9" t="s">
        <v>238</v>
      </c>
      <c r="D84" s="9">
        <v>3360</v>
      </c>
      <c r="E84" s="10">
        <v>45124</v>
      </c>
      <c r="F84" s="10">
        <v>44973</v>
      </c>
      <c r="G84" s="10">
        <v>44904</v>
      </c>
      <c r="H84" s="9">
        <v>0</v>
      </c>
      <c r="I84" s="9">
        <v>0</v>
      </c>
      <c r="J84" s="9">
        <v>0</v>
      </c>
      <c r="K84" s="9" t="s">
        <v>33</v>
      </c>
      <c r="L84" s="9">
        <v>90</v>
      </c>
      <c r="M84" s="9">
        <v>50</v>
      </c>
      <c r="N84" s="9">
        <v>10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650</v>
      </c>
      <c r="U84" s="9">
        <v>850</v>
      </c>
      <c r="V84" s="9">
        <v>0</v>
      </c>
      <c r="W84" s="9">
        <v>0</v>
      </c>
      <c r="X84" s="9">
        <v>0</v>
      </c>
      <c r="Y84" s="9">
        <v>1</v>
      </c>
      <c r="Z84" s="9">
        <v>3</v>
      </c>
      <c r="AA84" s="9">
        <v>0</v>
      </c>
      <c r="AB84" s="10">
        <v>45098</v>
      </c>
      <c r="AC84" s="11"/>
      <c r="AD84" s="12"/>
      <c r="AE84" s="12"/>
    </row>
    <row r="85" spans="1:31" ht="15.75" customHeight="1">
      <c r="A85" s="9" t="s">
        <v>236</v>
      </c>
      <c r="B85" s="9" t="s">
        <v>237</v>
      </c>
      <c r="C85" s="9" t="s">
        <v>238</v>
      </c>
      <c r="D85" s="9">
        <v>3360</v>
      </c>
      <c r="E85" s="10">
        <v>45124</v>
      </c>
      <c r="F85" s="10">
        <v>44973</v>
      </c>
      <c r="G85" s="10">
        <v>44904</v>
      </c>
      <c r="H85" s="9">
        <v>0</v>
      </c>
      <c r="I85" s="9">
        <v>0</v>
      </c>
      <c r="J85" s="9">
        <v>0</v>
      </c>
      <c r="K85" s="9" t="s">
        <v>33</v>
      </c>
      <c r="L85" s="9">
        <v>90</v>
      </c>
      <c r="M85" s="9">
        <v>50</v>
      </c>
      <c r="N85" s="9">
        <v>10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650</v>
      </c>
      <c r="U85" s="9">
        <v>850</v>
      </c>
      <c r="V85" s="9">
        <v>0</v>
      </c>
      <c r="W85" s="9">
        <v>0</v>
      </c>
      <c r="X85" s="9">
        <v>0</v>
      </c>
      <c r="Y85" s="9">
        <v>1</v>
      </c>
      <c r="Z85" s="9">
        <v>3</v>
      </c>
      <c r="AA85" s="9">
        <v>0</v>
      </c>
      <c r="AB85" s="10">
        <v>45098</v>
      </c>
      <c r="AC85" s="11"/>
      <c r="AD85" s="12"/>
      <c r="AE85" s="12"/>
    </row>
    <row r="86" spans="1:31" ht="15.75" customHeight="1">
      <c r="A86" s="9" t="s">
        <v>236</v>
      </c>
      <c r="B86" s="9" t="s">
        <v>237</v>
      </c>
      <c r="C86" s="9" t="s">
        <v>238</v>
      </c>
      <c r="D86" s="9">
        <v>3360</v>
      </c>
      <c r="E86" s="10">
        <v>45124</v>
      </c>
      <c r="F86" s="10">
        <v>44973</v>
      </c>
      <c r="G86" s="10">
        <v>44904</v>
      </c>
      <c r="H86" s="9">
        <v>0</v>
      </c>
      <c r="I86" s="9">
        <v>0</v>
      </c>
      <c r="J86" s="9">
        <v>0</v>
      </c>
      <c r="K86" s="9" t="s">
        <v>33</v>
      </c>
      <c r="L86" s="9">
        <v>90</v>
      </c>
      <c r="M86" s="9">
        <v>50</v>
      </c>
      <c r="N86" s="9">
        <v>10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650</v>
      </c>
      <c r="U86" s="9">
        <v>850</v>
      </c>
      <c r="V86" s="9">
        <v>0</v>
      </c>
      <c r="W86" s="9">
        <v>0</v>
      </c>
      <c r="X86" s="9">
        <v>0</v>
      </c>
      <c r="Y86" s="9">
        <v>1</v>
      </c>
      <c r="Z86" s="9">
        <v>3</v>
      </c>
      <c r="AA86" s="9">
        <v>0</v>
      </c>
      <c r="AB86" s="10">
        <v>45098</v>
      </c>
      <c r="AC86" s="11"/>
      <c r="AD86" s="12"/>
      <c r="AE86" s="12"/>
    </row>
    <row r="87" spans="1:31" ht="15.75" customHeight="1">
      <c r="A87" s="9" t="s">
        <v>236</v>
      </c>
      <c r="B87" s="9" t="s">
        <v>237</v>
      </c>
      <c r="C87" s="9" t="s">
        <v>238</v>
      </c>
      <c r="D87" s="9">
        <v>11640</v>
      </c>
      <c r="E87" s="10">
        <v>45124</v>
      </c>
      <c r="F87" s="10">
        <v>44973</v>
      </c>
      <c r="G87" s="10">
        <v>44904</v>
      </c>
      <c r="H87" s="9">
        <v>0</v>
      </c>
      <c r="I87" s="9">
        <v>0</v>
      </c>
      <c r="J87" s="9">
        <v>0</v>
      </c>
      <c r="K87" s="9" t="s">
        <v>33</v>
      </c>
      <c r="L87" s="9">
        <v>90</v>
      </c>
      <c r="M87" s="9">
        <v>50</v>
      </c>
      <c r="N87" s="9">
        <v>10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650</v>
      </c>
      <c r="U87" s="9">
        <v>850</v>
      </c>
      <c r="V87" s="9">
        <v>0</v>
      </c>
      <c r="W87" s="9">
        <v>0</v>
      </c>
      <c r="X87" s="9">
        <v>0</v>
      </c>
      <c r="Y87" s="9">
        <v>1</v>
      </c>
      <c r="Z87" s="9">
        <v>3</v>
      </c>
      <c r="AA87" s="9">
        <v>0</v>
      </c>
      <c r="AB87" s="10">
        <v>45023</v>
      </c>
      <c r="AC87" s="11"/>
      <c r="AD87" s="12"/>
      <c r="AE87" s="12"/>
    </row>
    <row r="88" spans="1:31" ht="15.75" customHeight="1">
      <c r="A88" s="9" t="s">
        <v>236</v>
      </c>
      <c r="B88" s="9" t="s">
        <v>237</v>
      </c>
      <c r="C88" s="9" t="s">
        <v>238</v>
      </c>
      <c r="D88" s="9">
        <v>11640</v>
      </c>
      <c r="E88" s="10">
        <v>45124</v>
      </c>
      <c r="F88" s="10">
        <v>44973</v>
      </c>
      <c r="G88" s="10">
        <v>44904</v>
      </c>
      <c r="H88" s="9">
        <v>0</v>
      </c>
      <c r="I88" s="9">
        <v>0</v>
      </c>
      <c r="J88" s="9">
        <v>0</v>
      </c>
      <c r="K88" s="9" t="s">
        <v>33</v>
      </c>
      <c r="L88" s="9">
        <v>90</v>
      </c>
      <c r="M88" s="9">
        <v>50</v>
      </c>
      <c r="N88" s="9">
        <v>10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650</v>
      </c>
      <c r="U88" s="9">
        <v>850</v>
      </c>
      <c r="V88" s="9">
        <v>0</v>
      </c>
      <c r="W88" s="9">
        <v>0</v>
      </c>
      <c r="X88" s="9">
        <v>0</v>
      </c>
      <c r="Y88" s="9">
        <v>1</v>
      </c>
      <c r="Z88" s="9">
        <v>3</v>
      </c>
      <c r="AA88" s="9">
        <v>0</v>
      </c>
      <c r="AB88" s="10">
        <v>45098</v>
      </c>
      <c r="AC88" s="11"/>
      <c r="AD88" s="12"/>
      <c r="AE88" s="12"/>
    </row>
    <row r="89" spans="1:31" ht="15.75" customHeight="1">
      <c r="A89" s="9" t="s">
        <v>236</v>
      </c>
      <c r="B89" s="9" t="s">
        <v>237</v>
      </c>
      <c r="C89" s="9" t="s">
        <v>238</v>
      </c>
      <c r="D89" s="9">
        <v>11640</v>
      </c>
      <c r="E89" s="10">
        <v>45124</v>
      </c>
      <c r="F89" s="10">
        <v>44973</v>
      </c>
      <c r="G89" s="10">
        <v>44904</v>
      </c>
      <c r="H89" s="9">
        <v>0</v>
      </c>
      <c r="I89" s="9">
        <v>0</v>
      </c>
      <c r="J89" s="9">
        <v>0</v>
      </c>
      <c r="K89" s="9" t="s">
        <v>33</v>
      </c>
      <c r="L89" s="9">
        <v>90</v>
      </c>
      <c r="M89" s="9">
        <v>50</v>
      </c>
      <c r="N89" s="9">
        <v>10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650</v>
      </c>
      <c r="U89" s="9">
        <v>850</v>
      </c>
      <c r="V89" s="9">
        <v>0</v>
      </c>
      <c r="W89" s="9">
        <v>0</v>
      </c>
      <c r="X89" s="9">
        <v>0</v>
      </c>
      <c r="Y89" s="9">
        <v>1</v>
      </c>
      <c r="Z89" s="9">
        <v>3</v>
      </c>
      <c r="AA89" s="9">
        <v>0</v>
      </c>
      <c r="AB89" s="10">
        <v>45098</v>
      </c>
      <c r="AC89" s="11"/>
      <c r="AD89" s="12"/>
      <c r="AE89" s="12"/>
    </row>
    <row r="90" spans="1:31" ht="15.75" customHeight="1">
      <c r="A90" s="9" t="s">
        <v>239</v>
      </c>
      <c r="B90" s="9" t="s">
        <v>160</v>
      </c>
      <c r="C90" s="9" t="s">
        <v>161</v>
      </c>
      <c r="D90" s="9">
        <v>1660</v>
      </c>
      <c r="E90" s="10">
        <v>45119</v>
      </c>
      <c r="F90" s="10">
        <v>45069</v>
      </c>
      <c r="G90" s="10">
        <v>45079</v>
      </c>
      <c r="H90" s="9">
        <v>60</v>
      </c>
      <c r="I90" s="9">
        <v>100</v>
      </c>
      <c r="J90" s="9">
        <v>2</v>
      </c>
      <c r="K90" s="9" t="s">
        <v>48</v>
      </c>
      <c r="L90" s="9">
        <v>90</v>
      </c>
      <c r="M90" s="9">
        <v>150</v>
      </c>
      <c r="N90" s="9">
        <v>90</v>
      </c>
      <c r="O90" s="9">
        <v>1</v>
      </c>
      <c r="P90" s="9">
        <v>1</v>
      </c>
      <c r="Q90" s="9">
        <v>1</v>
      </c>
      <c r="R90" s="9">
        <v>0</v>
      </c>
      <c r="S90" s="9">
        <v>0</v>
      </c>
      <c r="T90" s="9">
        <v>0</v>
      </c>
      <c r="U90" s="9">
        <v>850</v>
      </c>
      <c r="V90" s="9">
        <v>0</v>
      </c>
      <c r="W90" s="9">
        <v>0</v>
      </c>
      <c r="X90" s="9">
        <v>0</v>
      </c>
      <c r="Y90" s="9">
        <v>0</v>
      </c>
      <c r="Z90" s="9">
        <v>4</v>
      </c>
      <c r="AA90" s="9">
        <v>0</v>
      </c>
      <c r="AB90" s="10">
        <v>45110</v>
      </c>
      <c r="AC90" s="11"/>
      <c r="AD90" s="12"/>
      <c r="AE90" s="12"/>
    </row>
    <row r="91" spans="1:31" ht="15.75" customHeight="1">
      <c r="A91" s="9" t="s">
        <v>240</v>
      </c>
      <c r="B91" s="9" t="s">
        <v>241</v>
      </c>
      <c r="C91" s="9" t="s">
        <v>242</v>
      </c>
      <c r="D91" s="9">
        <v>1000</v>
      </c>
      <c r="E91" s="10">
        <v>45117</v>
      </c>
      <c r="F91" s="10">
        <v>45050</v>
      </c>
      <c r="G91" s="10">
        <v>45086</v>
      </c>
      <c r="H91" s="9">
        <v>44.5</v>
      </c>
      <c r="I91" s="9">
        <v>45</v>
      </c>
      <c r="J91" s="9">
        <v>1</v>
      </c>
      <c r="K91" s="9" t="s">
        <v>33</v>
      </c>
      <c r="L91" s="9">
        <v>0</v>
      </c>
      <c r="M91" s="9">
        <v>30</v>
      </c>
      <c r="N91" s="9">
        <v>15</v>
      </c>
      <c r="O91" s="9">
        <v>1</v>
      </c>
      <c r="P91" s="9">
        <v>1</v>
      </c>
      <c r="Q91" s="9">
        <v>1</v>
      </c>
      <c r="R91" s="9">
        <v>0</v>
      </c>
      <c r="S91" s="9">
        <v>0</v>
      </c>
      <c r="T91" s="9">
        <v>700</v>
      </c>
      <c r="U91" s="9">
        <v>700</v>
      </c>
      <c r="V91" s="9">
        <v>0</v>
      </c>
      <c r="W91" s="9">
        <v>0</v>
      </c>
      <c r="X91" s="9">
        <v>0</v>
      </c>
      <c r="Y91" s="9">
        <v>1</v>
      </c>
      <c r="Z91" s="9">
        <v>4</v>
      </c>
      <c r="AA91" s="9">
        <v>0</v>
      </c>
      <c r="AB91" s="10">
        <v>45097</v>
      </c>
      <c r="AC91" s="11"/>
      <c r="AD91" s="12"/>
      <c r="AE91" s="12"/>
    </row>
    <row r="92" spans="1:31" ht="15.75" customHeight="1">
      <c r="A92" s="9" t="s">
        <v>243</v>
      </c>
      <c r="B92" s="9" t="s">
        <v>244</v>
      </c>
      <c r="C92" s="9" t="s">
        <v>245</v>
      </c>
      <c r="D92" s="9">
        <v>1000</v>
      </c>
      <c r="E92" s="10">
        <v>45120</v>
      </c>
      <c r="F92" s="10">
        <v>45027</v>
      </c>
      <c r="G92" s="10">
        <v>45091</v>
      </c>
      <c r="H92" s="9">
        <v>48.5</v>
      </c>
      <c r="I92" s="9">
        <v>49</v>
      </c>
      <c r="J92" s="9">
        <v>1</v>
      </c>
      <c r="K92" s="9" t="s">
        <v>33</v>
      </c>
      <c r="L92" s="9">
        <v>35</v>
      </c>
      <c r="M92" s="9">
        <v>125</v>
      </c>
      <c r="N92" s="9">
        <v>15</v>
      </c>
      <c r="O92" s="9">
        <v>1</v>
      </c>
      <c r="P92" s="9">
        <v>1</v>
      </c>
      <c r="Q92" s="9">
        <v>1</v>
      </c>
      <c r="R92" s="9">
        <v>0</v>
      </c>
      <c r="S92" s="9">
        <v>0</v>
      </c>
      <c r="T92" s="9">
        <v>1</v>
      </c>
      <c r="U92" s="9">
        <v>1</v>
      </c>
      <c r="V92" s="9">
        <v>0</v>
      </c>
      <c r="W92" s="9">
        <v>0</v>
      </c>
      <c r="X92" s="9">
        <v>0</v>
      </c>
      <c r="Y92" s="9">
        <v>1</v>
      </c>
      <c r="Z92" s="9">
        <v>4</v>
      </c>
      <c r="AA92" s="9">
        <v>0</v>
      </c>
      <c r="AB92" s="10">
        <v>45104</v>
      </c>
      <c r="AC92" s="11"/>
      <c r="AD92" s="12"/>
      <c r="AE92" s="12"/>
    </row>
    <row r="93" spans="1:31" ht="15.75" customHeight="1">
      <c r="A93" s="9" t="s">
        <v>246</v>
      </c>
      <c r="B93" s="9" t="s">
        <v>247</v>
      </c>
      <c r="C93" s="9" t="s">
        <v>248</v>
      </c>
      <c r="D93" s="9">
        <v>3000</v>
      </c>
      <c r="E93" s="10">
        <v>45121</v>
      </c>
      <c r="F93" s="10">
        <v>45079</v>
      </c>
      <c r="G93" s="10">
        <v>45093</v>
      </c>
      <c r="H93" s="9">
        <v>15</v>
      </c>
      <c r="I93" s="9">
        <v>45</v>
      </c>
      <c r="J93" s="9">
        <v>1</v>
      </c>
      <c r="K93" s="9" t="s">
        <v>33</v>
      </c>
      <c r="L93" s="9">
        <v>70</v>
      </c>
      <c r="M93" s="9">
        <v>40</v>
      </c>
      <c r="N93" s="9">
        <v>10</v>
      </c>
      <c r="O93" s="9">
        <v>1</v>
      </c>
      <c r="P93" s="9">
        <v>1</v>
      </c>
      <c r="Q93" s="9">
        <v>1</v>
      </c>
      <c r="R93" s="9">
        <v>0</v>
      </c>
      <c r="S93" s="9">
        <v>0</v>
      </c>
      <c r="T93" s="9">
        <v>2000</v>
      </c>
      <c r="U93" s="9">
        <v>1800</v>
      </c>
      <c r="V93" s="9">
        <v>0</v>
      </c>
      <c r="W93" s="9">
        <v>0</v>
      </c>
      <c r="X93" s="9">
        <v>0</v>
      </c>
      <c r="Y93" s="9">
        <v>1</v>
      </c>
      <c r="Z93" s="9">
        <v>4</v>
      </c>
      <c r="AA93" s="9">
        <v>0</v>
      </c>
      <c r="AB93" s="10">
        <v>45105</v>
      </c>
      <c r="AC93" s="11"/>
      <c r="AD93" s="12"/>
      <c r="AE93" s="12"/>
    </row>
    <row r="94" spans="1:31" ht="15.75" customHeight="1">
      <c r="A94" s="9" t="s">
        <v>249</v>
      </c>
      <c r="B94" s="9" t="s">
        <v>250</v>
      </c>
      <c r="C94" s="9" t="s">
        <v>251</v>
      </c>
      <c r="D94" s="9">
        <v>10000</v>
      </c>
      <c r="E94" s="10">
        <v>45110</v>
      </c>
      <c r="F94" s="10">
        <v>45071</v>
      </c>
      <c r="G94" s="10">
        <v>45056</v>
      </c>
      <c r="H94" s="9">
        <v>96.6</v>
      </c>
      <c r="I94" s="9">
        <v>966</v>
      </c>
      <c r="J94" s="9">
        <v>3</v>
      </c>
      <c r="K94" s="9" t="s">
        <v>40</v>
      </c>
      <c r="L94" s="9">
        <v>70</v>
      </c>
      <c r="M94" s="9">
        <v>70</v>
      </c>
      <c r="N94" s="9">
        <v>30</v>
      </c>
      <c r="O94" s="9">
        <v>1</v>
      </c>
      <c r="P94" s="9">
        <v>1</v>
      </c>
      <c r="Q94" s="9">
        <v>1</v>
      </c>
      <c r="R94" s="9">
        <v>0</v>
      </c>
      <c r="S94" s="9">
        <v>0</v>
      </c>
      <c r="T94" s="9">
        <v>650</v>
      </c>
      <c r="U94" s="9">
        <v>500</v>
      </c>
      <c r="V94" s="9">
        <v>0</v>
      </c>
      <c r="W94" s="9">
        <v>0</v>
      </c>
      <c r="X94" s="9">
        <v>0</v>
      </c>
      <c r="Y94" s="9">
        <v>1</v>
      </c>
      <c r="Z94" s="9">
        <v>4</v>
      </c>
      <c r="AA94" s="9">
        <v>0</v>
      </c>
      <c r="AB94" s="10">
        <v>45096</v>
      </c>
      <c r="AC94" s="11"/>
      <c r="AD94" s="12"/>
      <c r="AE94" s="12"/>
    </row>
    <row r="95" spans="1:31" ht="15.75" customHeight="1">
      <c r="A95" s="9" t="s">
        <v>252</v>
      </c>
      <c r="B95" s="9" t="s">
        <v>111</v>
      </c>
      <c r="C95" s="9" t="s">
        <v>112</v>
      </c>
      <c r="D95" s="9">
        <v>5000</v>
      </c>
      <c r="E95" s="10">
        <v>45126</v>
      </c>
      <c r="F95" s="10">
        <v>45079</v>
      </c>
      <c r="G95" s="10">
        <v>45114</v>
      </c>
      <c r="H95" s="9">
        <v>370</v>
      </c>
      <c r="I95" s="9">
        <v>1850</v>
      </c>
      <c r="J95" s="9">
        <v>19</v>
      </c>
      <c r="K95" s="9" t="s">
        <v>33</v>
      </c>
      <c r="L95" s="9">
        <v>75</v>
      </c>
      <c r="M95" s="9">
        <v>60</v>
      </c>
      <c r="N95" s="9">
        <v>10</v>
      </c>
      <c r="O95" s="9">
        <v>1</v>
      </c>
      <c r="P95" s="9">
        <v>1</v>
      </c>
      <c r="Q95" s="9">
        <v>1</v>
      </c>
      <c r="R95" s="9">
        <v>0</v>
      </c>
      <c r="S95" s="9">
        <v>0</v>
      </c>
      <c r="T95" s="9">
        <v>570</v>
      </c>
      <c r="U95" s="9">
        <v>480</v>
      </c>
      <c r="V95" s="9">
        <v>0</v>
      </c>
      <c r="W95" s="9">
        <v>0</v>
      </c>
      <c r="X95" s="9">
        <v>0</v>
      </c>
      <c r="Y95" s="9">
        <v>1</v>
      </c>
      <c r="Z95" s="9">
        <v>4</v>
      </c>
      <c r="AA95" s="9">
        <v>0</v>
      </c>
      <c r="AB95" s="10">
        <v>45121</v>
      </c>
      <c r="AC95" s="11"/>
      <c r="AD95" s="12"/>
      <c r="AE95" s="12"/>
    </row>
    <row r="96" spans="1:31" ht="15.75" customHeight="1">
      <c r="A96" s="9" t="s">
        <v>253</v>
      </c>
      <c r="B96" s="9" t="s">
        <v>56</v>
      </c>
      <c r="C96" s="9" t="s">
        <v>57</v>
      </c>
      <c r="D96" s="9">
        <v>10000</v>
      </c>
      <c r="E96" s="10">
        <v>45061</v>
      </c>
      <c r="F96" s="10">
        <v>44987</v>
      </c>
      <c r="G96" s="10">
        <v>44939</v>
      </c>
      <c r="H96" s="9">
        <v>5</v>
      </c>
      <c r="I96" s="9">
        <v>50</v>
      </c>
      <c r="J96" s="9">
        <v>1</v>
      </c>
      <c r="K96" s="9" t="s">
        <v>33</v>
      </c>
      <c r="L96" s="9">
        <v>20</v>
      </c>
      <c r="M96" s="9">
        <v>80</v>
      </c>
      <c r="N96" s="9">
        <v>25</v>
      </c>
      <c r="O96" s="9">
        <v>1</v>
      </c>
      <c r="P96" s="9">
        <v>1</v>
      </c>
      <c r="Q96" s="9">
        <v>1</v>
      </c>
      <c r="R96" s="9">
        <v>0</v>
      </c>
      <c r="S96" s="9">
        <v>0</v>
      </c>
      <c r="T96" s="9">
        <v>1</v>
      </c>
      <c r="U96" s="9">
        <v>1</v>
      </c>
      <c r="V96" s="9">
        <v>0</v>
      </c>
      <c r="W96" s="9">
        <v>0</v>
      </c>
      <c r="X96" s="9">
        <v>0</v>
      </c>
      <c r="Y96" s="9">
        <v>1</v>
      </c>
      <c r="Z96" s="9">
        <v>4</v>
      </c>
      <c r="AA96" s="9">
        <v>0</v>
      </c>
      <c r="AB96" s="10">
        <v>45050</v>
      </c>
      <c r="AC96" s="11"/>
      <c r="AD96" s="12"/>
      <c r="AE96" s="12"/>
    </row>
    <row r="97" spans="1:31" ht="15.75" customHeight="1">
      <c r="A97" s="9" t="s">
        <v>254</v>
      </c>
      <c r="B97" s="9" t="s">
        <v>255</v>
      </c>
      <c r="C97" s="9" t="s">
        <v>256</v>
      </c>
      <c r="D97" s="9">
        <v>620</v>
      </c>
      <c r="E97" s="10">
        <v>45121</v>
      </c>
      <c r="F97" s="10">
        <v>45092</v>
      </c>
      <c r="G97" s="10">
        <v>45082</v>
      </c>
      <c r="H97" s="9">
        <v>28.5</v>
      </c>
      <c r="I97" s="9">
        <v>18</v>
      </c>
      <c r="J97" s="9">
        <v>1</v>
      </c>
      <c r="K97" s="9" t="s">
        <v>33</v>
      </c>
      <c r="L97" s="9">
        <v>0</v>
      </c>
      <c r="M97" s="9">
        <v>55</v>
      </c>
      <c r="N97" s="9">
        <v>15</v>
      </c>
      <c r="O97" s="9">
        <v>1</v>
      </c>
      <c r="P97" s="9">
        <v>1</v>
      </c>
      <c r="Q97" s="9">
        <v>1</v>
      </c>
      <c r="R97" s="9">
        <v>0</v>
      </c>
      <c r="S97" s="9">
        <v>0</v>
      </c>
      <c r="T97" s="9">
        <v>1500</v>
      </c>
      <c r="U97" s="9">
        <v>1000</v>
      </c>
      <c r="V97" s="9">
        <v>0</v>
      </c>
      <c r="W97" s="9">
        <v>0</v>
      </c>
      <c r="X97" s="9">
        <v>0</v>
      </c>
      <c r="Y97" s="9">
        <v>1</v>
      </c>
      <c r="Z97" s="9">
        <v>4</v>
      </c>
      <c r="AA97" s="9">
        <v>0</v>
      </c>
      <c r="AB97" s="10">
        <v>45112</v>
      </c>
      <c r="AC97" s="11"/>
      <c r="AD97" s="12"/>
      <c r="AE97" s="12"/>
    </row>
    <row r="98" spans="1:31" ht="15.75" customHeight="1">
      <c r="A98" s="9" t="s">
        <v>257</v>
      </c>
      <c r="B98" s="9" t="s">
        <v>258</v>
      </c>
      <c r="C98" s="9" t="s">
        <v>259</v>
      </c>
      <c r="D98" s="9">
        <v>50</v>
      </c>
      <c r="E98" s="10">
        <v>45121</v>
      </c>
      <c r="F98" s="10">
        <v>45084</v>
      </c>
      <c r="G98" s="10">
        <v>45110</v>
      </c>
      <c r="H98" s="9">
        <v>95.1</v>
      </c>
      <c r="I98" s="9">
        <v>5</v>
      </c>
      <c r="J98" s="9">
        <v>1</v>
      </c>
      <c r="K98" s="9" t="s">
        <v>33</v>
      </c>
      <c r="L98" s="9">
        <v>0</v>
      </c>
      <c r="M98" s="9">
        <v>55</v>
      </c>
      <c r="N98" s="9">
        <v>15</v>
      </c>
      <c r="O98" s="9">
        <v>1</v>
      </c>
      <c r="P98" s="9">
        <v>1</v>
      </c>
      <c r="Q98" s="9">
        <v>1</v>
      </c>
      <c r="R98" s="9">
        <v>0</v>
      </c>
      <c r="S98" s="9">
        <v>0</v>
      </c>
      <c r="T98" s="9">
        <v>1100</v>
      </c>
      <c r="U98" s="9">
        <v>640</v>
      </c>
      <c r="V98" s="9">
        <v>0</v>
      </c>
      <c r="W98" s="9">
        <v>0</v>
      </c>
      <c r="X98" s="9">
        <v>0</v>
      </c>
      <c r="Y98" s="9">
        <v>1</v>
      </c>
      <c r="Z98" s="9">
        <v>4</v>
      </c>
      <c r="AA98" s="9">
        <v>0</v>
      </c>
      <c r="AB98" s="10">
        <v>45112</v>
      </c>
      <c r="AC98" s="11"/>
      <c r="AD98" s="12"/>
      <c r="AE98" s="12"/>
    </row>
    <row r="99" spans="1:31" ht="15.75" customHeight="1">
      <c r="A99" s="9" t="s">
        <v>260</v>
      </c>
      <c r="B99" s="9" t="s">
        <v>261</v>
      </c>
      <c r="C99" s="9" t="s">
        <v>262</v>
      </c>
      <c r="D99" s="9">
        <v>1500</v>
      </c>
      <c r="E99" s="10">
        <v>45125</v>
      </c>
      <c r="F99" s="10">
        <v>45097</v>
      </c>
      <c r="G99" s="10">
        <v>45093</v>
      </c>
      <c r="H99" s="9">
        <v>118.8</v>
      </c>
      <c r="I99" s="9">
        <v>179</v>
      </c>
      <c r="J99" s="9">
        <v>2</v>
      </c>
      <c r="K99" s="9" t="s">
        <v>40</v>
      </c>
      <c r="L99" s="9">
        <v>30</v>
      </c>
      <c r="M99" s="9">
        <v>130</v>
      </c>
      <c r="N99" s="9">
        <v>30</v>
      </c>
      <c r="O99" s="9">
        <v>1</v>
      </c>
      <c r="P99" s="9">
        <v>1</v>
      </c>
      <c r="Q99" s="9">
        <v>1</v>
      </c>
      <c r="R99" s="9">
        <v>0</v>
      </c>
      <c r="S99" s="9">
        <v>0</v>
      </c>
      <c r="T99" s="9">
        <v>550</v>
      </c>
      <c r="U99" s="9">
        <v>720</v>
      </c>
      <c r="V99" s="9">
        <v>0</v>
      </c>
      <c r="W99" s="9">
        <v>0</v>
      </c>
      <c r="X99" s="9">
        <v>0</v>
      </c>
      <c r="Y99" s="9">
        <v>1</v>
      </c>
      <c r="Z99" s="9">
        <v>3</v>
      </c>
      <c r="AA99" s="9">
        <v>0</v>
      </c>
      <c r="AB99" s="10">
        <v>45114</v>
      </c>
      <c r="AC99" s="11"/>
      <c r="AD99" s="12"/>
      <c r="AE99" s="12"/>
    </row>
    <row r="100" spans="1:31" ht="15.75" customHeight="1">
      <c r="A100" s="9" t="s">
        <v>263</v>
      </c>
      <c r="B100" s="9" t="s">
        <v>76</v>
      </c>
      <c r="C100" s="9" t="s">
        <v>77</v>
      </c>
      <c r="D100" s="9">
        <v>10000</v>
      </c>
      <c r="E100" s="10">
        <v>45127</v>
      </c>
      <c r="F100" s="10">
        <v>45113</v>
      </c>
      <c r="G100" s="10">
        <v>45098</v>
      </c>
      <c r="H100" s="9">
        <v>30.2</v>
      </c>
      <c r="I100" s="9">
        <v>302</v>
      </c>
      <c r="J100" s="9">
        <v>3</v>
      </c>
      <c r="K100" s="9" t="s">
        <v>33</v>
      </c>
      <c r="L100" s="9">
        <v>25</v>
      </c>
      <c r="M100" s="9">
        <v>110</v>
      </c>
      <c r="N100" s="9">
        <v>20</v>
      </c>
      <c r="O100" s="9">
        <v>1</v>
      </c>
      <c r="P100" s="9">
        <v>1</v>
      </c>
      <c r="Q100" s="9">
        <v>1</v>
      </c>
      <c r="R100" s="9">
        <v>0</v>
      </c>
      <c r="S100" s="9">
        <v>0</v>
      </c>
      <c r="T100" s="9">
        <v>1</v>
      </c>
      <c r="U100" s="9">
        <v>1</v>
      </c>
      <c r="V100" s="9">
        <v>0</v>
      </c>
      <c r="W100" s="9">
        <v>0</v>
      </c>
      <c r="X100" s="9">
        <v>0</v>
      </c>
      <c r="Y100" s="9">
        <v>1</v>
      </c>
      <c r="Z100" s="9">
        <v>4</v>
      </c>
      <c r="AA100" s="9">
        <v>0</v>
      </c>
      <c r="AB100" s="10">
        <v>45124</v>
      </c>
      <c r="AC100" s="11"/>
      <c r="AD100" s="12"/>
      <c r="AE100" s="12"/>
    </row>
    <row r="101" spans="1:31" ht="15.75" customHeight="1">
      <c r="A101" s="9" t="s">
        <v>264</v>
      </c>
      <c r="B101" s="9" t="s">
        <v>265</v>
      </c>
      <c r="C101" s="9" t="s">
        <v>266</v>
      </c>
      <c r="D101" s="9">
        <v>10000</v>
      </c>
      <c r="E101" s="10">
        <v>45135</v>
      </c>
      <c r="F101" s="10">
        <v>45089</v>
      </c>
      <c r="G101" s="10">
        <v>45093</v>
      </c>
      <c r="H101" s="9">
        <v>5</v>
      </c>
      <c r="I101" s="9">
        <v>50</v>
      </c>
      <c r="J101" s="9">
        <v>1</v>
      </c>
      <c r="K101" s="9" t="s">
        <v>33</v>
      </c>
      <c r="L101" s="9">
        <v>95</v>
      </c>
      <c r="M101" s="9">
        <v>110</v>
      </c>
      <c r="N101" s="9">
        <v>30</v>
      </c>
      <c r="O101" s="9">
        <v>1</v>
      </c>
      <c r="P101" s="9">
        <v>1</v>
      </c>
      <c r="Q101" s="9">
        <v>1</v>
      </c>
      <c r="R101" s="9">
        <v>0</v>
      </c>
      <c r="S101" s="9">
        <v>0</v>
      </c>
      <c r="T101" s="9">
        <v>3000</v>
      </c>
      <c r="U101" s="9">
        <v>1200</v>
      </c>
      <c r="V101" s="9">
        <v>0</v>
      </c>
      <c r="W101" s="9">
        <v>0</v>
      </c>
      <c r="X101" s="9">
        <v>0</v>
      </c>
      <c r="Y101" s="9">
        <v>1</v>
      </c>
      <c r="Z101" s="9">
        <v>3</v>
      </c>
      <c r="AA101" s="9">
        <v>0</v>
      </c>
      <c r="AB101" s="10">
        <v>45117</v>
      </c>
      <c r="AC101" s="11"/>
      <c r="AD101" s="12"/>
      <c r="AE101" s="12"/>
    </row>
    <row r="102" spans="1:31" ht="15.75" customHeight="1">
      <c r="A102" s="9" t="s">
        <v>267</v>
      </c>
      <c r="B102" s="9" t="s">
        <v>268</v>
      </c>
      <c r="C102" s="9" t="s">
        <v>269</v>
      </c>
      <c r="D102" s="9">
        <v>5000</v>
      </c>
      <c r="E102" s="10">
        <v>45124</v>
      </c>
      <c r="F102" s="10">
        <v>45076</v>
      </c>
      <c r="G102" s="10">
        <v>45063</v>
      </c>
      <c r="H102" s="9">
        <v>50</v>
      </c>
      <c r="I102" s="9">
        <v>250</v>
      </c>
      <c r="J102" s="9">
        <v>4</v>
      </c>
      <c r="K102" s="9" t="s">
        <v>33</v>
      </c>
      <c r="L102" s="9">
        <v>35</v>
      </c>
      <c r="M102" s="9">
        <v>125</v>
      </c>
      <c r="N102" s="9">
        <v>15</v>
      </c>
      <c r="O102" s="9">
        <v>1</v>
      </c>
      <c r="P102" s="9">
        <v>1</v>
      </c>
      <c r="Q102" s="9">
        <v>1</v>
      </c>
      <c r="R102" s="9">
        <v>0</v>
      </c>
      <c r="S102" s="9">
        <v>0</v>
      </c>
      <c r="T102" s="9">
        <v>0</v>
      </c>
      <c r="U102" s="9">
        <v>980</v>
      </c>
      <c r="V102" s="9">
        <v>0</v>
      </c>
      <c r="W102" s="9">
        <v>0</v>
      </c>
      <c r="X102" s="9">
        <v>0</v>
      </c>
      <c r="Y102" s="9">
        <v>0</v>
      </c>
      <c r="Z102" s="9">
        <v>4</v>
      </c>
      <c r="AA102" s="9">
        <v>0</v>
      </c>
      <c r="AB102" s="10">
        <v>45105</v>
      </c>
      <c r="AC102" s="11"/>
      <c r="AD102" s="12"/>
      <c r="AE102" s="12"/>
    </row>
    <row r="103" spans="1:31" ht="15.75" customHeight="1">
      <c r="A103" s="9" t="s">
        <v>270</v>
      </c>
      <c r="B103" s="9" t="s">
        <v>126</v>
      </c>
      <c r="C103" s="9" t="s">
        <v>127</v>
      </c>
      <c r="D103" s="9">
        <v>3000</v>
      </c>
      <c r="E103" s="10">
        <v>45134</v>
      </c>
      <c r="F103" s="10">
        <v>45113</v>
      </c>
      <c r="G103" s="10">
        <v>45092</v>
      </c>
      <c r="H103" s="9">
        <v>416.6</v>
      </c>
      <c r="I103" s="9">
        <v>1250</v>
      </c>
      <c r="J103" s="9">
        <v>4</v>
      </c>
      <c r="K103" s="9" t="s">
        <v>40</v>
      </c>
      <c r="L103" s="9">
        <v>25</v>
      </c>
      <c r="M103" s="9">
        <v>180</v>
      </c>
      <c r="N103" s="9">
        <v>30</v>
      </c>
      <c r="O103" s="9">
        <v>1</v>
      </c>
      <c r="P103" s="9">
        <v>1</v>
      </c>
      <c r="Q103" s="9">
        <v>1</v>
      </c>
      <c r="R103" s="9">
        <v>0</v>
      </c>
      <c r="S103" s="9">
        <v>0</v>
      </c>
      <c r="T103" s="9">
        <v>860</v>
      </c>
      <c r="U103" s="9">
        <v>440</v>
      </c>
      <c r="V103" s="9">
        <v>0</v>
      </c>
      <c r="W103" s="9">
        <v>0</v>
      </c>
      <c r="X103" s="9">
        <v>0</v>
      </c>
      <c r="Y103" s="9">
        <v>1</v>
      </c>
      <c r="Z103" s="9">
        <v>3</v>
      </c>
      <c r="AA103" s="9">
        <v>0</v>
      </c>
      <c r="AB103" s="10">
        <v>45126</v>
      </c>
      <c r="AC103" s="11"/>
      <c r="AD103" s="12"/>
      <c r="AE103" s="12"/>
    </row>
    <row r="104" spans="1:31" ht="15.75" customHeight="1">
      <c r="A104" s="9" t="s">
        <v>271</v>
      </c>
      <c r="B104" s="9" t="s">
        <v>272</v>
      </c>
      <c r="C104" s="9" t="s">
        <v>273</v>
      </c>
      <c r="D104" s="9">
        <v>70</v>
      </c>
      <c r="E104" s="10">
        <v>45138</v>
      </c>
      <c r="F104" s="10">
        <v>45117</v>
      </c>
      <c r="G104" s="10">
        <v>45117</v>
      </c>
      <c r="H104" s="9">
        <v>101.9</v>
      </c>
      <c r="I104" s="9">
        <v>8</v>
      </c>
      <c r="J104" s="9">
        <v>1</v>
      </c>
      <c r="K104" s="9" t="s">
        <v>33</v>
      </c>
      <c r="L104" s="9">
        <v>60</v>
      </c>
      <c r="M104" s="9">
        <v>60</v>
      </c>
      <c r="N104" s="9">
        <v>20</v>
      </c>
      <c r="O104" s="9">
        <v>1</v>
      </c>
      <c r="P104" s="9">
        <v>1</v>
      </c>
      <c r="Q104" s="9">
        <v>1</v>
      </c>
      <c r="R104" s="9">
        <v>0</v>
      </c>
      <c r="S104" s="9">
        <v>0</v>
      </c>
      <c r="T104" s="9">
        <v>1000</v>
      </c>
      <c r="U104" s="9">
        <v>390</v>
      </c>
      <c r="V104" s="9">
        <v>0</v>
      </c>
      <c r="W104" s="9">
        <v>0</v>
      </c>
      <c r="X104" s="9">
        <v>0</v>
      </c>
      <c r="Y104" s="9">
        <v>1</v>
      </c>
      <c r="Z104" s="9">
        <v>4</v>
      </c>
      <c r="AA104" s="9">
        <v>0</v>
      </c>
      <c r="AB104" s="10">
        <v>45135</v>
      </c>
      <c r="AC104" s="11"/>
      <c r="AD104" s="12"/>
      <c r="AE104" s="12"/>
    </row>
    <row r="105" spans="1:31" ht="15.75" customHeight="1">
      <c r="A105" s="9" t="s">
        <v>274</v>
      </c>
      <c r="B105" s="9" t="s">
        <v>275</v>
      </c>
      <c r="C105" s="9" t="s">
        <v>276</v>
      </c>
      <c r="D105" s="9">
        <v>1000</v>
      </c>
      <c r="E105" s="10">
        <v>45139</v>
      </c>
      <c r="F105" s="10">
        <v>45111</v>
      </c>
      <c r="G105" s="10">
        <v>45120</v>
      </c>
      <c r="H105" s="9">
        <v>166.5</v>
      </c>
      <c r="I105" s="9">
        <v>167</v>
      </c>
      <c r="J105" s="9">
        <v>3</v>
      </c>
      <c r="K105" s="9" t="s">
        <v>33</v>
      </c>
      <c r="L105" s="9">
        <v>80</v>
      </c>
      <c r="M105" s="9">
        <v>45</v>
      </c>
      <c r="N105" s="9">
        <v>10</v>
      </c>
      <c r="O105" s="9">
        <v>1</v>
      </c>
      <c r="P105" s="9">
        <v>1</v>
      </c>
      <c r="Q105" s="9">
        <v>1</v>
      </c>
      <c r="R105" s="9">
        <v>0</v>
      </c>
      <c r="S105" s="9">
        <v>0</v>
      </c>
      <c r="T105" s="9">
        <v>360</v>
      </c>
      <c r="U105" s="9">
        <v>500</v>
      </c>
      <c r="V105" s="9">
        <v>0</v>
      </c>
      <c r="W105" s="9">
        <v>0</v>
      </c>
      <c r="X105" s="9">
        <v>0</v>
      </c>
      <c r="Y105" s="9">
        <v>1</v>
      </c>
      <c r="Z105" s="9">
        <v>4</v>
      </c>
      <c r="AA105" s="9">
        <v>0</v>
      </c>
      <c r="AB105" s="10">
        <v>45127</v>
      </c>
      <c r="AC105" s="11"/>
      <c r="AD105" s="12"/>
      <c r="AE105" s="12"/>
    </row>
    <row r="106" spans="1:31" ht="15.75" customHeight="1">
      <c r="A106" s="9" t="s">
        <v>277</v>
      </c>
      <c r="B106" s="9" t="s">
        <v>50</v>
      </c>
      <c r="C106" s="9" t="s">
        <v>51</v>
      </c>
      <c r="D106" s="9">
        <v>2544</v>
      </c>
      <c r="E106" s="10">
        <v>45146</v>
      </c>
      <c r="F106" s="10">
        <v>45111</v>
      </c>
      <c r="G106" s="10">
        <v>45072</v>
      </c>
      <c r="H106" s="9">
        <v>90</v>
      </c>
      <c r="I106" s="9">
        <v>229</v>
      </c>
      <c r="J106" s="9">
        <v>1</v>
      </c>
      <c r="K106" s="9" t="s">
        <v>40</v>
      </c>
      <c r="L106" s="9">
        <v>50</v>
      </c>
      <c r="M106" s="9">
        <v>90</v>
      </c>
      <c r="N106" s="9">
        <v>30</v>
      </c>
      <c r="O106" s="9">
        <v>1</v>
      </c>
      <c r="P106" s="9">
        <v>1</v>
      </c>
      <c r="Q106" s="9">
        <v>1</v>
      </c>
      <c r="R106" s="9">
        <v>0</v>
      </c>
      <c r="S106" s="9">
        <v>0</v>
      </c>
      <c r="T106" s="9">
        <v>1</v>
      </c>
      <c r="U106" s="9">
        <v>900</v>
      </c>
      <c r="V106" s="9">
        <v>0</v>
      </c>
      <c r="W106" s="9">
        <v>0</v>
      </c>
      <c r="X106" s="9">
        <v>0</v>
      </c>
      <c r="Y106" s="9">
        <v>1</v>
      </c>
      <c r="Z106" s="9">
        <v>4</v>
      </c>
      <c r="AA106" s="9">
        <v>0</v>
      </c>
      <c r="AB106" s="10">
        <v>45131</v>
      </c>
      <c r="AC106" s="11"/>
      <c r="AD106" s="12"/>
      <c r="AE106" s="12"/>
    </row>
    <row r="107" spans="1:31" ht="15.75" customHeight="1">
      <c r="A107" s="9" t="s">
        <v>278</v>
      </c>
      <c r="B107" s="9" t="s">
        <v>279</v>
      </c>
      <c r="C107" s="9" t="s">
        <v>280</v>
      </c>
      <c r="D107" s="9">
        <v>1100</v>
      </c>
      <c r="E107" s="10">
        <v>45139</v>
      </c>
      <c r="F107" s="10">
        <v>45114</v>
      </c>
      <c r="G107" s="10">
        <v>45098</v>
      </c>
      <c r="H107" s="9">
        <v>50</v>
      </c>
      <c r="I107" s="9">
        <v>55</v>
      </c>
      <c r="J107" s="9">
        <v>1</v>
      </c>
      <c r="K107" s="9" t="s">
        <v>33</v>
      </c>
      <c r="L107" s="9">
        <v>50</v>
      </c>
      <c r="M107" s="9">
        <v>95</v>
      </c>
      <c r="N107" s="9">
        <v>20</v>
      </c>
      <c r="O107" s="9">
        <v>1</v>
      </c>
      <c r="P107" s="9">
        <v>1</v>
      </c>
      <c r="Q107" s="9">
        <v>1</v>
      </c>
      <c r="R107" s="9">
        <v>0</v>
      </c>
      <c r="S107" s="9">
        <v>0</v>
      </c>
      <c r="T107" s="9">
        <v>1200</v>
      </c>
      <c r="U107" s="9">
        <v>1100</v>
      </c>
      <c r="V107" s="9">
        <v>0</v>
      </c>
      <c r="W107" s="9">
        <v>0</v>
      </c>
      <c r="X107" s="9">
        <v>0</v>
      </c>
      <c r="Y107" s="9">
        <v>1</v>
      </c>
      <c r="Z107" s="9">
        <v>4</v>
      </c>
      <c r="AA107" s="9">
        <v>0</v>
      </c>
      <c r="AB107" s="10">
        <v>45131</v>
      </c>
      <c r="AC107" s="11"/>
      <c r="AD107" s="12"/>
      <c r="AE107" s="12"/>
    </row>
    <row r="108" spans="1:31" ht="15.75" customHeight="1">
      <c r="A108" s="9" t="s">
        <v>281</v>
      </c>
      <c r="B108" s="9" t="s">
        <v>173</v>
      </c>
      <c r="C108" s="9" t="s">
        <v>174</v>
      </c>
      <c r="D108" s="9">
        <v>2500</v>
      </c>
      <c r="E108" s="10">
        <v>45146</v>
      </c>
      <c r="F108" s="10">
        <v>45092</v>
      </c>
      <c r="G108" s="10">
        <v>45072</v>
      </c>
      <c r="H108" s="9">
        <v>40</v>
      </c>
      <c r="I108" s="9">
        <v>100</v>
      </c>
      <c r="J108" s="9">
        <v>2</v>
      </c>
      <c r="K108" s="9" t="s">
        <v>48</v>
      </c>
      <c r="L108" s="9">
        <v>105</v>
      </c>
      <c r="M108" s="9">
        <v>120</v>
      </c>
      <c r="N108" s="9">
        <v>90</v>
      </c>
      <c r="O108" s="9">
        <v>1</v>
      </c>
      <c r="P108" s="9">
        <v>1</v>
      </c>
      <c r="Q108" s="9">
        <v>1</v>
      </c>
      <c r="R108" s="9">
        <v>0</v>
      </c>
      <c r="S108" s="9">
        <v>0</v>
      </c>
      <c r="T108" s="9">
        <v>0</v>
      </c>
      <c r="U108" s="9">
        <v>750</v>
      </c>
      <c r="V108" s="9">
        <v>0</v>
      </c>
      <c r="W108" s="9">
        <v>0</v>
      </c>
      <c r="X108" s="9">
        <v>0</v>
      </c>
      <c r="Y108" s="9">
        <v>0</v>
      </c>
      <c r="Z108" s="9">
        <v>4</v>
      </c>
      <c r="AA108" s="9">
        <v>0</v>
      </c>
      <c r="AB108" s="10">
        <v>45118</v>
      </c>
      <c r="AC108" s="11"/>
      <c r="AD108" s="12"/>
      <c r="AE108" s="12"/>
    </row>
    <row r="109" spans="1:31" ht="15.75" customHeight="1">
      <c r="A109" s="9" t="s">
        <v>282</v>
      </c>
      <c r="B109" s="9" t="s">
        <v>283</v>
      </c>
      <c r="C109" s="9" t="s">
        <v>284</v>
      </c>
      <c r="D109" s="9">
        <v>5000</v>
      </c>
      <c r="E109" s="10">
        <v>45146</v>
      </c>
      <c r="F109" s="10">
        <v>45015</v>
      </c>
      <c r="G109" s="10">
        <v>44967</v>
      </c>
      <c r="H109" s="9">
        <v>30.3</v>
      </c>
      <c r="I109" s="9">
        <v>152</v>
      </c>
      <c r="J109" s="9">
        <v>1</v>
      </c>
      <c r="K109" s="9" t="s">
        <v>40</v>
      </c>
      <c r="L109" s="9">
        <v>70</v>
      </c>
      <c r="M109" s="9">
        <v>90</v>
      </c>
      <c r="N109" s="9">
        <v>30</v>
      </c>
      <c r="O109" s="9">
        <v>1</v>
      </c>
      <c r="P109" s="9">
        <v>1</v>
      </c>
      <c r="Q109" s="9">
        <v>1</v>
      </c>
      <c r="R109" s="9">
        <v>0</v>
      </c>
      <c r="S109" s="9">
        <v>0</v>
      </c>
      <c r="T109" s="9">
        <v>1600</v>
      </c>
      <c r="U109" s="9">
        <v>1600</v>
      </c>
      <c r="V109" s="9">
        <v>0</v>
      </c>
      <c r="W109" s="9">
        <v>0</v>
      </c>
      <c r="X109" s="9">
        <v>0</v>
      </c>
      <c r="Y109" s="9">
        <v>1</v>
      </c>
      <c r="Z109" s="9">
        <v>3</v>
      </c>
      <c r="AA109" s="9">
        <v>0</v>
      </c>
      <c r="AB109" s="10">
        <v>45119</v>
      </c>
      <c r="AC109" s="11"/>
      <c r="AD109" s="12"/>
      <c r="AE109" s="12"/>
    </row>
    <row r="110" spans="1:31" ht="15.75" customHeight="1">
      <c r="A110" s="9" t="s">
        <v>285</v>
      </c>
      <c r="B110" s="9" t="s">
        <v>167</v>
      </c>
      <c r="C110" s="9" t="s">
        <v>168</v>
      </c>
      <c r="D110" s="9">
        <v>5000</v>
      </c>
      <c r="E110" s="10">
        <v>45144</v>
      </c>
      <c r="F110" s="10">
        <v>45128</v>
      </c>
      <c r="G110" s="10">
        <v>45142</v>
      </c>
      <c r="H110" s="9">
        <v>30</v>
      </c>
      <c r="I110" s="9">
        <v>150</v>
      </c>
      <c r="J110" s="9">
        <v>2</v>
      </c>
      <c r="K110" s="9" t="s">
        <v>74</v>
      </c>
      <c r="L110" s="9">
        <v>25</v>
      </c>
      <c r="M110" s="9">
        <v>180</v>
      </c>
      <c r="N110" s="9">
        <v>40</v>
      </c>
      <c r="O110" s="9">
        <v>1</v>
      </c>
      <c r="P110" s="9">
        <v>1</v>
      </c>
      <c r="Q110" s="9">
        <v>1</v>
      </c>
      <c r="R110" s="9">
        <v>0</v>
      </c>
      <c r="S110" s="9">
        <v>0</v>
      </c>
      <c r="T110" s="9">
        <v>1</v>
      </c>
      <c r="U110" s="9">
        <v>1</v>
      </c>
      <c r="V110" s="9">
        <v>0</v>
      </c>
      <c r="W110" s="9">
        <v>0</v>
      </c>
      <c r="X110" s="9">
        <v>0</v>
      </c>
      <c r="Y110" s="9">
        <v>1</v>
      </c>
      <c r="Z110" s="9">
        <v>4</v>
      </c>
      <c r="AA110" s="9">
        <v>0</v>
      </c>
      <c r="AB110" s="10">
        <v>45133</v>
      </c>
      <c r="AC110" s="14"/>
      <c r="AD110" s="12"/>
      <c r="AE110" s="12"/>
    </row>
    <row r="111" spans="1:31" ht="15.75" customHeight="1">
      <c r="A111" s="9" t="s">
        <v>286</v>
      </c>
      <c r="B111" s="9" t="s">
        <v>287</v>
      </c>
      <c r="C111" s="9" t="s">
        <v>288</v>
      </c>
      <c r="D111" s="9">
        <v>7000</v>
      </c>
      <c r="E111" s="10">
        <v>45135</v>
      </c>
      <c r="F111" s="10">
        <v>45064</v>
      </c>
      <c r="G111" s="10">
        <v>45124</v>
      </c>
      <c r="H111" s="9">
        <v>35.5</v>
      </c>
      <c r="I111" s="9">
        <v>249</v>
      </c>
      <c r="J111" s="9">
        <v>4</v>
      </c>
      <c r="K111" s="9" t="s">
        <v>33</v>
      </c>
      <c r="L111" s="9">
        <v>100</v>
      </c>
      <c r="M111" s="9">
        <v>160</v>
      </c>
      <c r="N111" s="9">
        <v>15</v>
      </c>
      <c r="O111" s="9">
        <v>1</v>
      </c>
      <c r="P111" s="9">
        <v>1</v>
      </c>
      <c r="Q111" s="9">
        <v>1</v>
      </c>
      <c r="R111" s="9">
        <v>0</v>
      </c>
      <c r="S111" s="9">
        <v>0</v>
      </c>
      <c r="T111" s="9">
        <v>1</v>
      </c>
      <c r="U111" s="9">
        <v>700</v>
      </c>
      <c r="V111" s="9">
        <v>0</v>
      </c>
      <c r="W111" s="9">
        <v>0</v>
      </c>
      <c r="X111" s="9">
        <v>0</v>
      </c>
      <c r="Y111" s="9">
        <v>1</v>
      </c>
      <c r="Z111" s="9">
        <v>3</v>
      </c>
      <c r="AA111" s="9">
        <v>0</v>
      </c>
      <c r="AB111" s="10">
        <v>45128</v>
      </c>
      <c r="AC111" s="11"/>
      <c r="AD111" s="12"/>
      <c r="AE111" s="12"/>
    </row>
    <row r="112" spans="1:31" ht="15.75" customHeight="1">
      <c r="A112" s="9" t="s">
        <v>289</v>
      </c>
      <c r="B112" s="9" t="s">
        <v>287</v>
      </c>
      <c r="C112" s="9" t="s">
        <v>288</v>
      </c>
      <c r="D112" s="9">
        <v>1000</v>
      </c>
      <c r="E112" s="10">
        <v>45147</v>
      </c>
      <c r="F112" s="10">
        <v>45064</v>
      </c>
      <c r="G112" s="10">
        <v>45138</v>
      </c>
      <c r="H112" s="9">
        <v>35.5</v>
      </c>
      <c r="I112" s="9">
        <v>36</v>
      </c>
      <c r="J112" s="9">
        <v>1</v>
      </c>
      <c r="K112" s="9" t="s">
        <v>33</v>
      </c>
      <c r="L112" s="9">
        <v>100</v>
      </c>
      <c r="M112" s="9">
        <v>160</v>
      </c>
      <c r="N112" s="9">
        <v>15</v>
      </c>
      <c r="O112" s="9">
        <v>1</v>
      </c>
      <c r="P112" s="9">
        <v>1</v>
      </c>
      <c r="Q112" s="9">
        <v>1</v>
      </c>
      <c r="R112" s="9">
        <v>0</v>
      </c>
      <c r="S112" s="9">
        <v>0</v>
      </c>
      <c r="T112" s="9">
        <v>1</v>
      </c>
      <c r="U112" s="9">
        <v>700</v>
      </c>
      <c r="V112" s="9">
        <v>0</v>
      </c>
      <c r="W112" s="9">
        <v>0</v>
      </c>
      <c r="X112" s="9">
        <v>0</v>
      </c>
      <c r="Y112" s="9">
        <v>1</v>
      </c>
      <c r="Z112" s="9">
        <v>3</v>
      </c>
      <c r="AA112" s="9">
        <v>0</v>
      </c>
      <c r="AB112" s="10">
        <v>45145</v>
      </c>
      <c r="AC112" s="11"/>
      <c r="AD112" s="12"/>
      <c r="AE112" s="12"/>
    </row>
    <row r="113" spans="1:31" ht="15.75" customHeight="1">
      <c r="A113" s="9" t="s">
        <v>290</v>
      </c>
      <c r="B113" s="9" t="s">
        <v>217</v>
      </c>
      <c r="C113" s="9" t="s">
        <v>218</v>
      </c>
      <c r="D113" s="9">
        <v>3000</v>
      </c>
      <c r="E113" s="10">
        <v>45148</v>
      </c>
      <c r="F113" s="10">
        <v>45114</v>
      </c>
      <c r="G113" s="10">
        <v>45103</v>
      </c>
      <c r="H113" s="9">
        <v>51.5</v>
      </c>
      <c r="I113" s="9">
        <v>155</v>
      </c>
      <c r="J113" s="9">
        <v>2</v>
      </c>
      <c r="K113" s="9" t="s">
        <v>33</v>
      </c>
      <c r="L113" s="9">
        <v>45</v>
      </c>
      <c r="M113" s="9">
        <v>105</v>
      </c>
      <c r="N113" s="9">
        <v>20</v>
      </c>
      <c r="O113" s="9">
        <v>1</v>
      </c>
      <c r="P113" s="9">
        <v>1</v>
      </c>
      <c r="Q113" s="9">
        <v>1</v>
      </c>
      <c r="R113" s="9">
        <v>0</v>
      </c>
      <c r="S113" s="9">
        <v>0</v>
      </c>
      <c r="T113" s="9">
        <v>0</v>
      </c>
      <c r="U113" s="9">
        <v>700</v>
      </c>
      <c r="V113" s="9">
        <v>0</v>
      </c>
      <c r="W113" s="9">
        <v>0</v>
      </c>
      <c r="X113" s="9">
        <v>0</v>
      </c>
      <c r="Y113" s="9">
        <v>0</v>
      </c>
      <c r="Z113" s="9">
        <v>3</v>
      </c>
      <c r="AA113" s="9">
        <v>0</v>
      </c>
      <c r="AB113" s="10">
        <v>45131</v>
      </c>
      <c r="AC113" s="11"/>
      <c r="AD113" s="12"/>
      <c r="AE113" s="12"/>
    </row>
    <row r="114" spans="1:31" ht="15.75" customHeight="1">
      <c r="A114" s="9" t="s">
        <v>291</v>
      </c>
      <c r="B114" s="9" t="s">
        <v>292</v>
      </c>
      <c r="C114" s="9" t="s">
        <v>293</v>
      </c>
      <c r="D114" s="9">
        <v>950</v>
      </c>
      <c r="E114" s="10">
        <v>45149</v>
      </c>
      <c r="F114" s="10">
        <v>45120</v>
      </c>
      <c r="G114" s="10">
        <v>45127</v>
      </c>
      <c r="H114" s="9">
        <v>60</v>
      </c>
      <c r="I114" s="9">
        <v>57</v>
      </c>
      <c r="J114" s="9">
        <v>2</v>
      </c>
      <c r="K114" s="9" t="s">
        <v>48</v>
      </c>
      <c r="L114" s="9">
        <v>25</v>
      </c>
      <c r="M114" s="9">
        <v>130</v>
      </c>
      <c r="N114" s="9">
        <v>30</v>
      </c>
      <c r="O114" s="9">
        <v>1</v>
      </c>
      <c r="P114" s="9">
        <v>1</v>
      </c>
      <c r="Q114" s="9">
        <v>1</v>
      </c>
      <c r="R114" s="9">
        <v>0</v>
      </c>
      <c r="S114" s="9">
        <v>0</v>
      </c>
      <c r="T114" s="9">
        <v>0</v>
      </c>
      <c r="U114" s="9">
        <v>750</v>
      </c>
      <c r="V114" s="9">
        <v>0</v>
      </c>
      <c r="W114" s="9">
        <v>0</v>
      </c>
      <c r="X114" s="9">
        <v>0</v>
      </c>
      <c r="Y114" s="9">
        <v>0</v>
      </c>
      <c r="Z114" s="9">
        <v>3</v>
      </c>
      <c r="AA114" s="9">
        <v>0</v>
      </c>
      <c r="AB114" s="10">
        <v>45142</v>
      </c>
      <c r="AC114" s="11"/>
      <c r="AD114" s="12"/>
      <c r="AE114" s="12"/>
    </row>
    <row r="115" spans="1:31" ht="15.75" customHeight="1">
      <c r="A115" s="9" t="s">
        <v>294</v>
      </c>
      <c r="B115" s="9" t="s">
        <v>295</v>
      </c>
      <c r="C115" s="9" t="s">
        <v>296</v>
      </c>
      <c r="D115" s="9">
        <v>640</v>
      </c>
      <c r="E115" s="10">
        <v>45149</v>
      </c>
      <c r="F115" s="10">
        <v>45120</v>
      </c>
      <c r="G115" s="10">
        <v>45131</v>
      </c>
      <c r="H115" s="9">
        <v>60.4</v>
      </c>
      <c r="I115" s="9">
        <v>39</v>
      </c>
      <c r="J115" s="9">
        <v>1</v>
      </c>
      <c r="K115" s="9" t="s">
        <v>48</v>
      </c>
      <c r="L115" s="9">
        <v>25</v>
      </c>
      <c r="M115" s="9">
        <v>130</v>
      </c>
      <c r="N115" s="9">
        <v>30</v>
      </c>
      <c r="O115" s="9">
        <v>1</v>
      </c>
      <c r="P115" s="9">
        <v>1</v>
      </c>
      <c r="Q115" s="9">
        <v>1</v>
      </c>
      <c r="R115" s="9">
        <v>0</v>
      </c>
      <c r="S115" s="9">
        <v>0</v>
      </c>
      <c r="T115" s="9">
        <v>760</v>
      </c>
      <c r="U115" s="9">
        <v>770</v>
      </c>
      <c r="V115" s="9">
        <v>0</v>
      </c>
      <c r="W115" s="9">
        <v>0</v>
      </c>
      <c r="X115" s="9">
        <v>0</v>
      </c>
      <c r="Y115" s="9">
        <v>1</v>
      </c>
      <c r="Z115" s="9">
        <v>4</v>
      </c>
      <c r="AA115" s="9">
        <v>0</v>
      </c>
      <c r="AB115" s="10">
        <v>45145</v>
      </c>
      <c r="AC115" s="11"/>
      <c r="AD115" s="12"/>
      <c r="AE115" s="12"/>
    </row>
    <row r="116" spans="1:31" ht="15.75" customHeight="1">
      <c r="A116" s="9" t="s">
        <v>297</v>
      </c>
      <c r="B116" s="9" t="s">
        <v>187</v>
      </c>
      <c r="C116" s="9" t="s">
        <v>188</v>
      </c>
      <c r="D116" s="9">
        <v>10000</v>
      </c>
      <c r="E116" s="10">
        <v>45152</v>
      </c>
      <c r="F116" s="10">
        <v>45128</v>
      </c>
      <c r="G116" s="10">
        <v>45148</v>
      </c>
      <c r="H116" s="9">
        <v>29.7</v>
      </c>
      <c r="I116" s="9">
        <v>297</v>
      </c>
      <c r="J116" s="9">
        <v>3</v>
      </c>
      <c r="K116" s="9" t="s">
        <v>33</v>
      </c>
      <c r="L116" s="9">
        <v>20</v>
      </c>
      <c r="M116" s="9">
        <v>110</v>
      </c>
      <c r="N116" s="9">
        <v>20</v>
      </c>
      <c r="O116" s="9">
        <v>1</v>
      </c>
      <c r="P116" s="9">
        <v>1</v>
      </c>
      <c r="Q116" s="9">
        <v>1</v>
      </c>
      <c r="R116" s="9">
        <v>0</v>
      </c>
      <c r="S116" s="9">
        <v>0</v>
      </c>
      <c r="T116" s="9">
        <v>600</v>
      </c>
      <c r="U116" s="9">
        <v>1</v>
      </c>
      <c r="V116" s="9">
        <v>0</v>
      </c>
      <c r="W116" s="9">
        <v>0</v>
      </c>
      <c r="X116" s="9">
        <v>0</v>
      </c>
      <c r="Y116" s="9">
        <v>1</v>
      </c>
      <c r="Z116" s="9">
        <v>4</v>
      </c>
      <c r="AA116" s="9">
        <v>0</v>
      </c>
      <c r="AB116" s="10">
        <v>45138</v>
      </c>
      <c r="AC116" s="14"/>
      <c r="AD116" s="12"/>
      <c r="AE116" s="12"/>
    </row>
    <row r="117" spans="1:31" ht="15.75" customHeight="1">
      <c r="A117" s="9" t="s">
        <v>298</v>
      </c>
      <c r="B117" s="9" t="s">
        <v>99</v>
      </c>
      <c r="C117" s="9" t="s">
        <v>100</v>
      </c>
      <c r="D117" s="9">
        <v>2000</v>
      </c>
      <c r="E117" s="10">
        <v>45148</v>
      </c>
      <c r="F117" s="10">
        <v>45128</v>
      </c>
      <c r="G117" s="10">
        <v>45128</v>
      </c>
      <c r="H117" s="9">
        <v>31.7</v>
      </c>
      <c r="I117" s="9">
        <v>64</v>
      </c>
      <c r="J117" s="9">
        <v>1</v>
      </c>
      <c r="K117" s="9" t="s">
        <v>33</v>
      </c>
      <c r="L117" s="9">
        <v>0</v>
      </c>
      <c r="M117" s="9">
        <v>160</v>
      </c>
      <c r="N117" s="9">
        <v>30</v>
      </c>
      <c r="O117" s="9">
        <v>1</v>
      </c>
      <c r="P117" s="9">
        <v>1</v>
      </c>
      <c r="Q117" s="9">
        <v>1</v>
      </c>
      <c r="R117" s="9">
        <v>0</v>
      </c>
      <c r="S117" s="9">
        <v>0</v>
      </c>
      <c r="T117" s="9">
        <v>660</v>
      </c>
      <c r="U117" s="9">
        <v>800</v>
      </c>
      <c r="V117" s="9">
        <v>0</v>
      </c>
      <c r="W117" s="9">
        <v>0</v>
      </c>
      <c r="X117" s="9">
        <v>0</v>
      </c>
      <c r="Y117" s="9">
        <v>1</v>
      </c>
      <c r="Z117" s="9">
        <v>4</v>
      </c>
      <c r="AA117" s="9">
        <v>0</v>
      </c>
      <c r="AB117" s="10">
        <v>45149</v>
      </c>
      <c r="AC117" s="14"/>
      <c r="AD117" s="12"/>
      <c r="AE117" s="12"/>
    </row>
    <row r="118" spans="1:31" ht="15.75" customHeight="1">
      <c r="A118" s="9" t="s">
        <v>299</v>
      </c>
      <c r="B118" s="9" t="s">
        <v>300</v>
      </c>
      <c r="C118" s="9" t="s">
        <v>301</v>
      </c>
      <c r="D118" s="9">
        <v>1000</v>
      </c>
      <c r="E118" s="10">
        <v>45154</v>
      </c>
      <c r="F118" s="10">
        <v>45057</v>
      </c>
      <c r="G118" s="10">
        <v>45110</v>
      </c>
      <c r="H118" s="9">
        <v>96.6</v>
      </c>
      <c r="I118" s="9">
        <v>97</v>
      </c>
      <c r="J118" s="9">
        <v>1</v>
      </c>
      <c r="K118" s="9" t="s">
        <v>33</v>
      </c>
      <c r="L118" s="9">
        <v>0</v>
      </c>
      <c r="M118" s="9">
        <v>150</v>
      </c>
      <c r="N118" s="9">
        <v>30</v>
      </c>
      <c r="O118" s="9">
        <v>1</v>
      </c>
      <c r="P118" s="9">
        <v>1</v>
      </c>
      <c r="Q118" s="9">
        <v>1</v>
      </c>
      <c r="R118" s="9">
        <v>0</v>
      </c>
      <c r="S118" s="9">
        <v>0</v>
      </c>
      <c r="T118" s="9">
        <v>1</v>
      </c>
      <c r="U118" s="9">
        <v>480</v>
      </c>
      <c r="V118" s="9">
        <v>0</v>
      </c>
      <c r="W118" s="9">
        <v>0</v>
      </c>
      <c r="X118" s="9">
        <v>0</v>
      </c>
      <c r="Y118" s="9">
        <v>1</v>
      </c>
      <c r="Z118" s="9">
        <v>3</v>
      </c>
      <c r="AA118" s="9">
        <v>0</v>
      </c>
      <c r="AB118" s="10">
        <v>45114</v>
      </c>
      <c r="AC118" s="11"/>
      <c r="AD118" s="12"/>
      <c r="AE118" s="12"/>
    </row>
    <row r="119" spans="1:31" ht="15.75" customHeight="1">
      <c r="A119" s="9" t="s">
        <v>302</v>
      </c>
      <c r="B119" s="9" t="s">
        <v>111</v>
      </c>
      <c r="C119" s="9" t="s">
        <v>112</v>
      </c>
      <c r="D119" s="9">
        <v>5000</v>
      </c>
      <c r="E119" s="10">
        <v>45156</v>
      </c>
      <c r="F119" s="10">
        <v>45134</v>
      </c>
      <c r="G119" s="10">
        <v>45147</v>
      </c>
      <c r="H119" s="9">
        <v>370</v>
      </c>
      <c r="I119" s="9">
        <v>1850</v>
      </c>
      <c r="J119" s="9">
        <v>19</v>
      </c>
      <c r="K119" s="9" t="s">
        <v>33</v>
      </c>
      <c r="L119" s="9">
        <v>75</v>
      </c>
      <c r="M119" s="9">
        <v>60</v>
      </c>
      <c r="N119" s="9">
        <v>10</v>
      </c>
      <c r="O119" s="9">
        <v>1</v>
      </c>
      <c r="P119" s="9">
        <v>1</v>
      </c>
      <c r="Q119" s="9">
        <v>1</v>
      </c>
      <c r="R119" s="9">
        <v>0</v>
      </c>
      <c r="S119" s="9">
        <v>0</v>
      </c>
      <c r="T119" s="9">
        <v>570</v>
      </c>
      <c r="U119" s="9">
        <v>480</v>
      </c>
      <c r="V119" s="9">
        <v>0</v>
      </c>
      <c r="W119" s="9">
        <v>0</v>
      </c>
      <c r="X119" s="9">
        <v>0</v>
      </c>
      <c r="Y119" s="9">
        <v>1</v>
      </c>
      <c r="Z119" s="9">
        <v>4</v>
      </c>
      <c r="AA119" s="9">
        <v>0</v>
      </c>
      <c r="AB119" s="10">
        <v>45152</v>
      </c>
      <c r="AC119" s="15"/>
      <c r="AD119" s="12"/>
      <c r="AE119" s="12"/>
    </row>
    <row r="120" spans="1:31" ht="15.75" customHeight="1">
      <c r="A120" s="9" t="s">
        <v>303</v>
      </c>
      <c r="B120" s="9" t="s">
        <v>304</v>
      </c>
      <c r="C120" s="9" t="s">
        <v>305</v>
      </c>
      <c r="D120" s="9">
        <v>10000</v>
      </c>
      <c r="E120" s="10">
        <v>45155</v>
      </c>
      <c r="F120" s="10">
        <v>45064</v>
      </c>
      <c r="G120" s="10">
        <v>45138</v>
      </c>
      <c r="H120" s="9">
        <v>35.5</v>
      </c>
      <c r="I120" s="9">
        <v>355</v>
      </c>
      <c r="J120" s="9">
        <v>5</v>
      </c>
      <c r="K120" s="9" t="s">
        <v>33</v>
      </c>
      <c r="L120" s="9">
        <v>100</v>
      </c>
      <c r="M120" s="9">
        <v>160</v>
      </c>
      <c r="N120" s="9">
        <v>15</v>
      </c>
      <c r="O120" s="9">
        <v>1</v>
      </c>
      <c r="P120" s="9">
        <v>1</v>
      </c>
      <c r="Q120" s="9">
        <v>1</v>
      </c>
      <c r="R120" s="9">
        <v>0</v>
      </c>
      <c r="S120" s="9">
        <v>0</v>
      </c>
      <c r="T120" s="9">
        <v>900</v>
      </c>
      <c r="U120" s="9">
        <v>690</v>
      </c>
      <c r="V120" s="9">
        <v>0</v>
      </c>
      <c r="W120" s="9">
        <v>0</v>
      </c>
      <c r="X120" s="9">
        <v>0</v>
      </c>
      <c r="Y120" s="9">
        <v>1</v>
      </c>
      <c r="Z120" s="9">
        <v>3</v>
      </c>
      <c r="AA120" s="9">
        <v>0</v>
      </c>
      <c r="AB120" s="10">
        <v>45146</v>
      </c>
      <c r="AC120" s="11"/>
      <c r="AD120" s="12"/>
      <c r="AE120" s="12"/>
    </row>
    <row r="121" spans="1:31" ht="15.75" customHeight="1">
      <c r="A121" s="9" t="s">
        <v>306</v>
      </c>
      <c r="B121" s="9" t="s">
        <v>234</v>
      </c>
      <c r="C121" s="9" t="s">
        <v>235</v>
      </c>
      <c r="D121" s="9">
        <v>10000</v>
      </c>
      <c r="E121" s="10">
        <v>45089</v>
      </c>
      <c r="F121" s="10">
        <v>44987</v>
      </c>
      <c r="G121" s="10">
        <v>44721</v>
      </c>
      <c r="H121" s="9">
        <v>31.4</v>
      </c>
      <c r="I121" s="9">
        <v>314</v>
      </c>
      <c r="J121" s="9">
        <v>1</v>
      </c>
      <c r="K121" s="9" t="s">
        <v>40</v>
      </c>
      <c r="L121" s="9">
        <v>60</v>
      </c>
      <c r="M121" s="9">
        <v>110</v>
      </c>
      <c r="N121" s="9">
        <v>30</v>
      </c>
      <c r="O121" s="9">
        <v>1</v>
      </c>
      <c r="P121" s="9">
        <v>1</v>
      </c>
      <c r="Q121" s="9">
        <v>1</v>
      </c>
      <c r="R121" s="9">
        <v>0</v>
      </c>
      <c r="S121" s="9">
        <v>0</v>
      </c>
      <c r="T121" s="9">
        <v>1300</v>
      </c>
      <c r="U121" s="9">
        <v>1200</v>
      </c>
      <c r="V121" s="9">
        <v>0</v>
      </c>
      <c r="W121" s="9">
        <v>0</v>
      </c>
      <c r="X121" s="9">
        <v>0</v>
      </c>
      <c r="Y121" s="9">
        <v>1</v>
      </c>
      <c r="Z121" s="9">
        <v>4</v>
      </c>
      <c r="AA121" s="9">
        <v>0</v>
      </c>
      <c r="AB121" s="10">
        <v>45079</v>
      </c>
      <c r="AC121" s="11"/>
      <c r="AD121" s="12"/>
      <c r="AE121" s="12"/>
    </row>
    <row r="122" spans="1:31" ht="15.75" customHeight="1">
      <c r="A122" s="9" t="s">
        <v>307</v>
      </c>
      <c r="B122" s="9" t="s">
        <v>234</v>
      </c>
      <c r="C122" s="9" t="s">
        <v>235</v>
      </c>
      <c r="D122" s="9">
        <v>10000</v>
      </c>
      <c r="E122" s="10">
        <v>45155</v>
      </c>
      <c r="F122" s="10">
        <v>45104</v>
      </c>
      <c r="G122" s="10">
        <v>45132</v>
      </c>
      <c r="H122" s="9">
        <v>31.4</v>
      </c>
      <c r="I122" s="9">
        <v>314</v>
      </c>
      <c r="J122" s="9">
        <v>1</v>
      </c>
      <c r="K122" s="9" t="s">
        <v>40</v>
      </c>
      <c r="L122" s="9">
        <v>60</v>
      </c>
      <c r="M122" s="9">
        <v>110</v>
      </c>
      <c r="N122" s="9">
        <v>30</v>
      </c>
      <c r="O122" s="9">
        <v>1</v>
      </c>
      <c r="P122" s="9">
        <v>1</v>
      </c>
      <c r="Q122" s="9">
        <v>1</v>
      </c>
      <c r="R122" s="9">
        <v>0</v>
      </c>
      <c r="S122" s="9">
        <v>0</v>
      </c>
      <c r="T122" s="9">
        <v>1300</v>
      </c>
      <c r="U122" s="9">
        <v>1200</v>
      </c>
      <c r="V122" s="9">
        <v>0</v>
      </c>
      <c r="W122" s="9">
        <v>0</v>
      </c>
      <c r="X122" s="9">
        <v>0</v>
      </c>
      <c r="Y122" s="9">
        <v>1</v>
      </c>
      <c r="Z122" s="9">
        <v>4</v>
      </c>
      <c r="AA122" s="9">
        <v>0</v>
      </c>
      <c r="AB122" s="10">
        <v>45134</v>
      </c>
      <c r="AC122" s="11"/>
      <c r="AD122" s="12"/>
      <c r="AE122" s="12"/>
    </row>
    <row r="123" spans="1:31" ht="15.75" customHeight="1">
      <c r="A123" s="9" t="s">
        <v>308</v>
      </c>
      <c r="B123" s="9" t="s">
        <v>309</v>
      </c>
      <c r="C123" s="9" t="s">
        <v>310</v>
      </c>
      <c r="D123" s="9">
        <v>5000</v>
      </c>
      <c r="E123" s="10">
        <v>45156</v>
      </c>
      <c r="F123" s="10">
        <v>45076</v>
      </c>
      <c r="G123" s="10">
        <v>45062</v>
      </c>
      <c r="H123" s="9">
        <v>30.6</v>
      </c>
      <c r="I123" s="9">
        <v>153</v>
      </c>
      <c r="J123" s="9">
        <v>1</v>
      </c>
      <c r="K123" s="9" t="s">
        <v>40</v>
      </c>
      <c r="L123" s="9">
        <v>55</v>
      </c>
      <c r="M123" s="9">
        <v>100</v>
      </c>
      <c r="N123" s="9">
        <v>30</v>
      </c>
      <c r="O123" s="9">
        <v>1</v>
      </c>
      <c r="P123" s="9">
        <v>1</v>
      </c>
      <c r="Q123" s="9">
        <v>1</v>
      </c>
      <c r="R123" s="9">
        <v>0</v>
      </c>
      <c r="S123" s="9">
        <v>0</v>
      </c>
      <c r="T123" s="9">
        <v>1500</v>
      </c>
      <c r="U123" s="9">
        <v>1300</v>
      </c>
      <c r="V123" s="9">
        <v>0</v>
      </c>
      <c r="W123" s="9">
        <v>0</v>
      </c>
      <c r="X123" s="9">
        <v>0</v>
      </c>
      <c r="Y123" s="9">
        <v>1</v>
      </c>
      <c r="Z123" s="9">
        <v>4</v>
      </c>
      <c r="AA123" s="9">
        <v>0</v>
      </c>
      <c r="AB123" s="10">
        <v>45113</v>
      </c>
      <c r="AC123" s="11"/>
      <c r="AD123" s="12"/>
      <c r="AE123" s="12"/>
    </row>
    <row r="124" spans="1:31" ht="15.75" customHeight="1">
      <c r="A124" s="9" t="s">
        <v>64</v>
      </c>
      <c r="B124" s="9" t="s">
        <v>65</v>
      </c>
      <c r="C124" s="9" t="s">
        <v>66</v>
      </c>
      <c r="D124" s="9">
        <v>5000</v>
      </c>
      <c r="E124" s="10">
        <v>45167</v>
      </c>
      <c r="F124" s="10">
        <v>44904</v>
      </c>
      <c r="G124" s="10">
        <v>44904</v>
      </c>
      <c r="H124" s="9">
        <v>30.6</v>
      </c>
      <c r="I124" s="9">
        <v>153</v>
      </c>
      <c r="J124" s="9">
        <v>2</v>
      </c>
      <c r="K124" s="9" t="s">
        <v>33</v>
      </c>
      <c r="L124" s="9">
        <v>100</v>
      </c>
      <c r="M124" s="9">
        <v>115</v>
      </c>
      <c r="N124" s="9">
        <v>50</v>
      </c>
      <c r="O124" s="9">
        <v>1</v>
      </c>
      <c r="P124" s="9">
        <v>1</v>
      </c>
      <c r="Q124" s="9">
        <v>1</v>
      </c>
      <c r="R124" s="9">
        <v>0</v>
      </c>
      <c r="S124" s="9">
        <v>554</v>
      </c>
      <c r="T124" s="9">
        <v>1235</v>
      </c>
      <c r="U124" s="9">
        <v>800</v>
      </c>
      <c r="V124" s="9">
        <v>0</v>
      </c>
      <c r="W124" s="9">
        <v>0</v>
      </c>
      <c r="X124" s="9">
        <v>1</v>
      </c>
      <c r="Y124" s="9">
        <v>1</v>
      </c>
      <c r="Z124" s="9">
        <v>3</v>
      </c>
      <c r="AA124" s="9">
        <v>0</v>
      </c>
      <c r="AB124" s="10">
        <v>45119</v>
      </c>
      <c r="AC124" s="11"/>
      <c r="AD124" s="12"/>
      <c r="AE124" s="12"/>
    </row>
    <row r="125" spans="1:31" ht="15.75" customHeight="1">
      <c r="A125" s="9" t="s">
        <v>64</v>
      </c>
      <c r="B125" s="9" t="s">
        <v>65</v>
      </c>
      <c r="C125" s="9" t="s">
        <v>66</v>
      </c>
      <c r="D125" s="9">
        <v>5000</v>
      </c>
      <c r="E125" s="10">
        <v>45167</v>
      </c>
      <c r="F125" s="10">
        <v>44904</v>
      </c>
      <c r="G125" s="10">
        <v>44904</v>
      </c>
      <c r="H125" s="9">
        <v>30.6</v>
      </c>
      <c r="I125" s="9">
        <v>153</v>
      </c>
      <c r="J125" s="9">
        <v>2</v>
      </c>
      <c r="K125" s="9" t="s">
        <v>33</v>
      </c>
      <c r="L125" s="9">
        <v>100</v>
      </c>
      <c r="M125" s="9">
        <v>115</v>
      </c>
      <c r="N125" s="9">
        <v>50</v>
      </c>
      <c r="O125" s="9">
        <v>1</v>
      </c>
      <c r="P125" s="9">
        <v>1</v>
      </c>
      <c r="Q125" s="9">
        <v>1</v>
      </c>
      <c r="R125" s="9">
        <v>0</v>
      </c>
      <c r="S125" s="9">
        <v>554</v>
      </c>
      <c r="T125" s="9">
        <v>1235</v>
      </c>
      <c r="U125" s="9">
        <v>800</v>
      </c>
      <c r="V125" s="9">
        <v>0</v>
      </c>
      <c r="W125" s="9">
        <v>0</v>
      </c>
      <c r="X125" s="9">
        <v>1</v>
      </c>
      <c r="Y125" s="9">
        <v>1</v>
      </c>
      <c r="Z125" s="9">
        <v>3</v>
      </c>
      <c r="AA125" s="9">
        <v>0</v>
      </c>
      <c r="AB125" s="10">
        <v>45118</v>
      </c>
      <c r="AC125" s="11"/>
      <c r="AD125" s="12"/>
      <c r="AE125" s="12"/>
    </row>
    <row r="126" spans="1:31" ht="15.75" customHeight="1">
      <c r="A126" s="9" t="s">
        <v>311</v>
      </c>
      <c r="B126" s="9" t="s">
        <v>312</v>
      </c>
      <c r="C126" s="9" t="s">
        <v>313</v>
      </c>
      <c r="D126" s="9">
        <v>10000</v>
      </c>
      <c r="E126" s="10">
        <v>45127</v>
      </c>
      <c r="F126" s="10">
        <v>44839</v>
      </c>
      <c r="G126" s="10">
        <v>45093</v>
      </c>
      <c r="H126" s="9">
        <v>31.5</v>
      </c>
      <c r="I126" s="9">
        <v>315</v>
      </c>
      <c r="J126" s="9">
        <v>7</v>
      </c>
      <c r="K126" s="9" t="s">
        <v>48</v>
      </c>
      <c r="L126" s="9">
        <v>60</v>
      </c>
      <c r="M126" s="9">
        <v>120</v>
      </c>
      <c r="N126" s="9">
        <v>105</v>
      </c>
      <c r="O126" s="9">
        <v>1</v>
      </c>
      <c r="P126" s="9">
        <v>1</v>
      </c>
      <c r="Q126" s="9">
        <v>1</v>
      </c>
      <c r="R126" s="9">
        <v>0</v>
      </c>
      <c r="S126" s="9">
        <v>0</v>
      </c>
      <c r="T126" s="9">
        <v>2000</v>
      </c>
      <c r="U126" s="9">
        <v>890</v>
      </c>
      <c r="V126" s="9">
        <v>0</v>
      </c>
      <c r="W126" s="9">
        <v>0</v>
      </c>
      <c r="X126" s="9">
        <v>0</v>
      </c>
      <c r="Y126" s="9">
        <v>1</v>
      </c>
      <c r="Z126" s="9">
        <v>4</v>
      </c>
      <c r="AA126" s="9">
        <v>0</v>
      </c>
      <c r="AB126" s="10">
        <v>45110</v>
      </c>
      <c r="AC126" s="11"/>
      <c r="AD126" s="12"/>
      <c r="AE126" s="12"/>
    </row>
    <row r="127" spans="1:31" ht="15.75" customHeight="1">
      <c r="A127" s="9" t="s">
        <v>314</v>
      </c>
      <c r="B127" s="9" t="s">
        <v>87</v>
      </c>
      <c r="C127" s="9" t="s">
        <v>88</v>
      </c>
      <c r="D127" s="9">
        <v>5000</v>
      </c>
      <c r="E127" s="10">
        <v>45160</v>
      </c>
      <c r="F127" s="10">
        <v>45114</v>
      </c>
      <c r="G127" s="10">
        <v>45132</v>
      </c>
      <c r="H127" s="9">
        <v>30.6</v>
      </c>
      <c r="I127" s="9">
        <v>153</v>
      </c>
      <c r="J127" s="9">
        <v>1</v>
      </c>
      <c r="K127" s="9" t="s">
        <v>40</v>
      </c>
      <c r="L127" s="9">
        <v>25</v>
      </c>
      <c r="M127" s="9">
        <v>70</v>
      </c>
      <c r="N127" s="9">
        <v>30</v>
      </c>
      <c r="O127" s="9">
        <v>1</v>
      </c>
      <c r="P127" s="9">
        <v>1</v>
      </c>
      <c r="Q127" s="9">
        <v>1</v>
      </c>
      <c r="R127" s="9">
        <v>0</v>
      </c>
      <c r="S127" s="9">
        <v>0</v>
      </c>
      <c r="T127" s="9">
        <v>1600</v>
      </c>
      <c r="U127" s="9">
        <v>1500</v>
      </c>
      <c r="V127" s="9">
        <v>0</v>
      </c>
      <c r="W127" s="9">
        <v>0</v>
      </c>
      <c r="X127" s="9">
        <v>0</v>
      </c>
      <c r="Y127" s="9">
        <v>1</v>
      </c>
      <c r="Z127" s="9">
        <v>3</v>
      </c>
      <c r="AA127" s="9">
        <v>0</v>
      </c>
      <c r="AB127" s="10">
        <v>45135</v>
      </c>
      <c r="AC127" s="11"/>
      <c r="AD127" s="12"/>
      <c r="AE127" s="12"/>
    </row>
    <row r="128" spans="1:31" ht="15.75" customHeight="1">
      <c r="A128" s="9" t="s">
        <v>315</v>
      </c>
      <c r="B128" s="9" t="s">
        <v>316</v>
      </c>
      <c r="C128" s="9" t="s">
        <v>317</v>
      </c>
      <c r="D128" s="9">
        <v>3000</v>
      </c>
      <c r="E128" s="10">
        <v>45161</v>
      </c>
      <c r="F128" s="10">
        <v>45071</v>
      </c>
      <c r="G128" s="10">
        <v>45149</v>
      </c>
      <c r="H128" s="9">
        <v>16.5</v>
      </c>
      <c r="I128" s="9">
        <v>50</v>
      </c>
      <c r="J128" s="9">
        <v>1</v>
      </c>
      <c r="K128" s="9" t="s">
        <v>33</v>
      </c>
      <c r="L128" s="9">
        <v>20</v>
      </c>
      <c r="M128" s="9">
        <v>85</v>
      </c>
      <c r="N128" s="9">
        <v>15</v>
      </c>
      <c r="O128" s="9">
        <v>1</v>
      </c>
      <c r="P128" s="9">
        <v>1</v>
      </c>
      <c r="Q128" s="9">
        <v>1</v>
      </c>
      <c r="R128" s="9">
        <v>0</v>
      </c>
      <c r="S128" s="9">
        <v>0</v>
      </c>
      <c r="T128" s="9">
        <v>800</v>
      </c>
      <c r="U128" s="9">
        <v>850</v>
      </c>
      <c r="V128" s="9">
        <v>0</v>
      </c>
      <c r="W128" s="9">
        <v>0</v>
      </c>
      <c r="X128" s="9">
        <v>0</v>
      </c>
      <c r="Y128" s="9">
        <v>1</v>
      </c>
      <c r="Z128" s="9">
        <v>3</v>
      </c>
      <c r="AA128" s="9">
        <v>0</v>
      </c>
      <c r="AB128" s="10">
        <v>45154</v>
      </c>
      <c r="AC128" s="11"/>
      <c r="AD128" s="12"/>
      <c r="AE128" s="12"/>
    </row>
    <row r="129" spans="1:31" ht="15.75" customHeight="1">
      <c r="A129" s="9" t="s">
        <v>318</v>
      </c>
      <c r="B129" s="9" t="s">
        <v>167</v>
      </c>
      <c r="C129" s="9" t="s">
        <v>168</v>
      </c>
      <c r="D129" s="9">
        <v>5000</v>
      </c>
      <c r="E129" s="10">
        <v>45162</v>
      </c>
      <c r="F129" s="10">
        <v>45128</v>
      </c>
      <c r="G129" s="10">
        <v>45126</v>
      </c>
      <c r="H129" s="9">
        <v>30</v>
      </c>
      <c r="I129" s="9">
        <v>150</v>
      </c>
      <c r="J129" s="9">
        <v>2</v>
      </c>
      <c r="K129" s="9" t="s">
        <v>74</v>
      </c>
      <c r="L129" s="9">
        <v>25</v>
      </c>
      <c r="M129" s="9">
        <v>180</v>
      </c>
      <c r="N129" s="9">
        <v>40</v>
      </c>
      <c r="O129" s="9">
        <v>1</v>
      </c>
      <c r="P129" s="9">
        <v>1</v>
      </c>
      <c r="Q129" s="9">
        <v>1</v>
      </c>
      <c r="R129" s="9">
        <v>0</v>
      </c>
      <c r="S129" s="9">
        <v>0</v>
      </c>
      <c r="T129" s="9">
        <v>1</v>
      </c>
      <c r="U129" s="9">
        <v>1</v>
      </c>
      <c r="V129" s="9">
        <v>0</v>
      </c>
      <c r="W129" s="9">
        <v>0</v>
      </c>
      <c r="X129" s="9">
        <v>0</v>
      </c>
      <c r="Y129" s="9">
        <v>1</v>
      </c>
      <c r="Z129" s="9">
        <v>4</v>
      </c>
      <c r="AA129" s="9">
        <v>0</v>
      </c>
      <c r="AB129" s="10">
        <v>45160</v>
      </c>
      <c r="AC129" s="11"/>
      <c r="AD129" s="12"/>
      <c r="AE129" s="12"/>
    </row>
    <row r="130" spans="1:31" ht="15.75" customHeight="1">
      <c r="A130" s="9" t="s">
        <v>319</v>
      </c>
      <c r="B130" s="9" t="s">
        <v>181</v>
      </c>
      <c r="C130" s="9" t="s">
        <v>182</v>
      </c>
      <c r="D130" s="9">
        <v>10000</v>
      </c>
      <c r="E130" s="10">
        <v>45166</v>
      </c>
      <c r="F130" s="10">
        <v>44978</v>
      </c>
      <c r="G130" s="10">
        <v>44981</v>
      </c>
      <c r="H130" s="9">
        <v>50</v>
      </c>
      <c r="I130" s="9">
        <v>500</v>
      </c>
      <c r="J130" s="9">
        <v>5</v>
      </c>
      <c r="K130" s="9" t="s">
        <v>74</v>
      </c>
      <c r="L130" s="9">
        <v>25</v>
      </c>
      <c r="M130" s="9">
        <v>180</v>
      </c>
      <c r="N130" s="9">
        <v>40</v>
      </c>
      <c r="O130" s="9">
        <v>1</v>
      </c>
      <c r="P130" s="9">
        <v>1</v>
      </c>
      <c r="Q130" s="9">
        <v>1</v>
      </c>
      <c r="R130" s="9">
        <v>1600</v>
      </c>
      <c r="S130" s="9">
        <v>0</v>
      </c>
      <c r="T130" s="9">
        <v>1600</v>
      </c>
      <c r="U130" s="9">
        <v>1000</v>
      </c>
      <c r="V130" s="9">
        <v>0</v>
      </c>
      <c r="W130" s="9">
        <v>1</v>
      </c>
      <c r="X130" s="9">
        <v>0</v>
      </c>
      <c r="Y130" s="9">
        <v>1</v>
      </c>
      <c r="Z130" s="9">
        <v>4</v>
      </c>
      <c r="AA130" s="9">
        <v>0</v>
      </c>
      <c r="AB130" s="10">
        <v>45120</v>
      </c>
      <c r="AC130" s="11"/>
      <c r="AD130" s="12"/>
      <c r="AE130" s="12"/>
    </row>
    <row r="131" spans="1:31" ht="15.75" customHeight="1">
      <c r="A131" s="9" t="s">
        <v>320</v>
      </c>
      <c r="B131" s="9" t="s">
        <v>321</v>
      </c>
      <c r="C131" s="9" t="s">
        <v>322</v>
      </c>
      <c r="D131" s="9">
        <v>4000</v>
      </c>
      <c r="E131" s="10">
        <v>45163</v>
      </c>
      <c r="F131" s="10">
        <v>45134</v>
      </c>
      <c r="G131" s="10">
        <v>45126</v>
      </c>
      <c r="H131" s="9">
        <v>303</v>
      </c>
      <c r="I131" s="9">
        <v>1212</v>
      </c>
      <c r="J131" s="9">
        <v>4</v>
      </c>
      <c r="K131" s="9" t="s">
        <v>40</v>
      </c>
      <c r="L131" s="9">
        <v>25</v>
      </c>
      <c r="M131" s="9">
        <v>180</v>
      </c>
      <c r="N131" s="9">
        <v>30</v>
      </c>
      <c r="O131" s="9">
        <v>1</v>
      </c>
      <c r="P131" s="9">
        <v>1</v>
      </c>
      <c r="Q131" s="9">
        <v>1</v>
      </c>
      <c r="R131" s="9">
        <v>0</v>
      </c>
      <c r="S131" s="9">
        <v>0</v>
      </c>
      <c r="T131" s="9">
        <v>860</v>
      </c>
      <c r="U131" s="9">
        <v>500</v>
      </c>
      <c r="V131" s="9">
        <v>0</v>
      </c>
      <c r="W131" s="9">
        <v>0</v>
      </c>
      <c r="X131" s="9">
        <v>0</v>
      </c>
      <c r="Y131" s="9">
        <v>1</v>
      </c>
      <c r="Z131" s="9">
        <v>3</v>
      </c>
      <c r="AA131" s="9">
        <v>0</v>
      </c>
      <c r="AB131" s="10">
        <v>45156</v>
      </c>
      <c r="AC131" s="11"/>
      <c r="AD131" s="12"/>
      <c r="AE131" s="12"/>
    </row>
    <row r="132" spans="1:31" ht="15.75" customHeight="1">
      <c r="A132" s="9" t="s">
        <v>323</v>
      </c>
      <c r="B132" s="9" t="s">
        <v>324</v>
      </c>
      <c r="C132" s="9" t="s">
        <v>325</v>
      </c>
      <c r="D132" s="9">
        <v>10000</v>
      </c>
      <c r="E132" s="10">
        <v>45166</v>
      </c>
      <c r="F132" s="10">
        <v>45085</v>
      </c>
      <c r="G132" s="10">
        <v>45159</v>
      </c>
      <c r="H132" s="9">
        <v>48.2</v>
      </c>
      <c r="I132" s="9">
        <v>482</v>
      </c>
      <c r="J132" s="9">
        <v>10</v>
      </c>
      <c r="K132" s="9" t="s">
        <v>48</v>
      </c>
      <c r="L132" s="9">
        <v>35</v>
      </c>
      <c r="M132" s="9">
        <v>125</v>
      </c>
      <c r="N132" s="9">
        <v>30</v>
      </c>
      <c r="O132" s="9">
        <v>1</v>
      </c>
      <c r="P132" s="9">
        <v>1</v>
      </c>
      <c r="Q132" s="9">
        <v>1</v>
      </c>
      <c r="R132" s="9">
        <v>0</v>
      </c>
      <c r="S132" s="9">
        <v>0</v>
      </c>
      <c r="T132" s="9">
        <v>780</v>
      </c>
      <c r="U132" s="9">
        <v>650</v>
      </c>
      <c r="V132" s="9">
        <v>0</v>
      </c>
      <c r="W132" s="9">
        <v>0</v>
      </c>
      <c r="X132" s="9">
        <v>0</v>
      </c>
      <c r="Y132" s="9">
        <v>1</v>
      </c>
      <c r="Z132" s="9">
        <v>4</v>
      </c>
      <c r="AA132" s="9">
        <v>0</v>
      </c>
      <c r="AB132" s="10">
        <v>45160</v>
      </c>
      <c r="AC132" s="11"/>
      <c r="AD132" s="12"/>
      <c r="AE132" s="12"/>
    </row>
    <row r="133" spans="1:31" ht="15.75" customHeight="1">
      <c r="A133" s="9" t="s">
        <v>326</v>
      </c>
      <c r="B133" s="9" t="s">
        <v>327</v>
      </c>
      <c r="C133" s="9" t="s">
        <v>328</v>
      </c>
      <c r="D133" s="9">
        <v>2000</v>
      </c>
      <c r="E133" s="10">
        <v>45166</v>
      </c>
      <c r="F133" s="10">
        <v>45142</v>
      </c>
      <c r="G133" s="10">
        <v>45155</v>
      </c>
      <c r="H133" s="9">
        <v>30.2</v>
      </c>
      <c r="I133" s="9">
        <v>61</v>
      </c>
      <c r="J133" s="9">
        <v>1</v>
      </c>
      <c r="K133" s="9" t="s">
        <v>33</v>
      </c>
      <c r="L133" s="9">
        <v>25</v>
      </c>
      <c r="M133" s="9">
        <v>110</v>
      </c>
      <c r="N133" s="9">
        <v>15</v>
      </c>
      <c r="O133" s="9">
        <v>1</v>
      </c>
      <c r="P133" s="9">
        <v>1</v>
      </c>
      <c r="Q133" s="9">
        <v>1</v>
      </c>
      <c r="R133" s="9">
        <v>0</v>
      </c>
      <c r="S133" s="9">
        <v>0</v>
      </c>
      <c r="T133" s="9">
        <v>1</v>
      </c>
      <c r="U133" s="9">
        <v>950</v>
      </c>
      <c r="V133" s="9">
        <v>0</v>
      </c>
      <c r="W133" s="9">
        <v>0</v>
      </c>
      <c r="X133" s="9">
        <v>0</v>
      </c>
      <c r="Y133" s="9">
        <v>1</v>
      </c>
      <c r="Z133" s="9">
        <v>4</v>
      </c>
      <c r="AA133" s="9">
        <v>0</v>
      </c>
      <c r="AB133" s="10">
        <v>45156</v>
      </c>
      <c r="AC133" s="15"/>
      <c r="AD133" s="12"/>
      <c r="AE133" s="12"/>
    </row>
    <row r="134" spans="1:31" ht="15.75" customHeight="1">
      <c r="E134" s="10"/>
      <c r="F134" s="10"/>
      <c r="G134" s="10"/>
    </row>
    <row r="135" spans="1:31" ht="15.75" customHeight="1">
      <c r="E135" s="10"/>
      <c r="F135" s="10"/>
      <c r="G135" s="10"/>
    </row>
    <row r="136" spans="1:31" ht="15.75" customHeight="1">
      <c r="E136" s="10"/>
      <c r="F136" s="10"/>
      <c r="G136" s="10"/>
    </row>
    <row r="137" spans="1:31" ht="15.75" customHeight="1">
      <c r="E137" s="10"/>
      <c r="F137" s="10"/>
      <c r="G137" s="10"/>
    </row>
    <row r="138" spans="1:31" ht="15.75" customHeight="1">
      <c r="E138" s="10"/>
      <c r="F138" s="10"/>
      <c r="G138" s="10"/>
    </row>
    <row r="139" spans="1:31" ht="15.75" customHeight="1">
      <c r="E139" s="10"/>
      <c r="F139" s="10"/>
      <c r="G139" s="10"/>
    </row>
    <row r="140" spans="1:31" ht="15.75" customHeight="1">
      <c r="E140" s="10"/>
      <c r="F140" s="10"/>
      <c r="G140" s="10"/>
    </row>
    <row r="141" spans="1:31" ht="15.75" customHeight="1">
      <c r="E141" s="10"/>
      <c r="F141" s="10"/>
      <c r="G141" s="10"/>
    </row>
    <row r="142" spans="1:31" ht="15.75" customHeight="1">
      <c r="E142" s="10"/>
      <c r="F142" s="10"/>
      <c r="G142" s="10"/>
    </row>
    <row r="143" spans="1:31" ht="15.75" customHeight="1">
      <c r="E143" s="10"/>
      <c r="F143" s="10"/>
      <c r="G143" s="10"/>
    </row>
    <row r="144" spans="1:31" ht="15.75" customHeight="1">
      <c r="E144" s="10"/>
      <c r="F144" s="10"/>
      <c r="G144" s="10"/>
    </row>
    <row r="145" spans="5:7" ht="15.75" customHeight="1">
      <c r="E145" s="10"/>
      <c r="F145" s="10"/>
      <c r="G145" s="10"/>
    </row>
    <row r="146" spans="5:7" ht="15.75" customHeight="1">
      <c r="E146" s="10"/>
      <c r="F146" s="10"/>
      <c r="G146" s="10"/>
    </row>
    <row r="147" spans="5:7" ht="15.75" customHeight="1">
      <c r="E147" s="10"/>
      <c r="F147" s="10"/>
      <c r="G147" s="10"/>
    </row>
    <row r="148" spans="5:7" ht="15.75" customHeight="1">
      <c r="E148" s="10"/>
      <c r="F148" s="10"/>
      <c r="G148" s="10"/>
    </row>
    <row r="149" spans="5:7" ht="15.75" customHeight="1">
      <c r="E149" s="10"/>
      <c r="F149" s="10"/>
      <c r="G149" s="10"/>
    </row>
    <row r="150" spans="5:7" ht="15.75" customHeight="1">
      <c r="E150" s="10"/>
      <c r="F150" s="10"/>
      <c r="G150" s="10"/>
    </row>
    <row r="151" spans="5:7" ht="15.75" customHeight="1">
      <c r="E151" s="10"/>
      <c r="F151" s="10"/>
      <c r="G151" s="10"/>
    </row>
    <row r="152" spans="5:7" ht="15.75" customHeight="1">
      <c r="E152" s="10"/>
      <c r="F152" s="10"/>
      <c r="G152" s="10"/>
    </row>
    <row r="153" spans="5:7" ht="15.75" customHeight="1">
      <c r="E153" s="10"/>
      <c r="F153" s="10"/>
      <c r="G153" s="10"/>
    </row>
    <row r="154" spans="5:7" ht="15.75" customHeight="1">
      <c r="E154" s="10"/>
      <c r="F154" s="10"/>
      <c r="G154" s="10"/>
    </row>
    <row r="155" spans="5:7" ht="15.75" customHeight="1">
      <c r="E155" s="10"/>
      <c r="F155" s="10"/>
      <c r="G155" s="10"/>
    </row>
    <row r="156" spans="5:7" ht="15.75" customHeight="1">
      <c r="E156" s="10"/>
      <c r="F156" s="10"/>
      <c r="G156" s="10"/>
    </row>
    <row r="157" spans="5:7" ht="15.75" customHeight="1">
      <c r="E157" s="10"/>
      <c r="F157" s="10"/>
      <c r="G157" s="10"/>
    </row>
    <row r="158" spans="5:7" ht="15.75" customHeight="1">
      <c r="E158" s="10"/>
      <c r="F158" s="10"/>
      <c r="G158" s="10"/>
    </row>
    <row r="159" spans="5:7" ht="15.75" customHeight="1">
      <c r="E159" s="10"/>
      <c r="F159" s="10"/>
      <c r="G159" s="10"/>
    </row>
    <row r="160" spans="5:7" ht="15.75" customHeight="1">
      <c r="E160" s="10"/>
      <c r="F160" s="10"/>
      <c r="G160" s="10"/>
    </row>
    <row r="161" spans="5:7" ht="15.75" customHeight="1">
      <c r="E161" s="10"/>
      <c r="F161" s="10"/>
      <c r="G161" s="10"/>
    </row>
    <row r="162" spans="5:7" ht="15.75" customHeight="1">
      <c r="E162" s="10"/>
      <c r="F162" s="10"/>
      <c r="G162" s="10"/>
    </row>
    <row r="163" spans="5:7" ht="15.75" customHeight="1">
      <c r="E163" s="10"/>
      <c r="F163" s="10"/>
      <c r="G163" s="10"/>
    </row>
    <row r="164" spans="5:7" ht="15.75" customHeight="1">
      <c r="E164" s="10"/>
      <c r="F164" s="10"/>
      <c r="G164" s="10"/>
    </row>
    <row r="165" spans="5:7" ht="15.75" customHeight="1">
      <c r="E165" s="10"/>
      <c r="F165" s="10"/>
      <c r="G165" s="10"/>
    </row>
    <row r="166" spans="5:7" ht="15.75" customHeight="1">
      <c r="E166" s="10"/>
      <c r="F166" s="10"/>
      <c r="G166" s="10"/>
    </row>
    <row r="167" spans="5:7" ht="15.75" customHeight="1">
      <c r="E167" s="10"/>
      <c r="F167" s="10"/>
      <c r="G167" s="10"/>
    </row>
    <row r="168" spans="5:7" ht="15.75" customHeight="1">
      <c r="E168" s="10"/>
      <c r="F168" s="10"/>
      <c r="G168" s="10"/>
    </row>
    <row r="169" spans="5:7" ht="15.75" customHeight="1">
      <c r="E169" s="10"/>
      <c r="F169" s="10"/>
      <c r="G169" s="10"/>
    </row>
    <row r="170" spans="5:7" ht="15.75" customHeight="1">
      <c r="E170" s="10"/>
      <c r="F170" s="10"/>
      <c r="G170" s="10"/>
    </row>
    <row r="171" spans="5:7" ht="15.75" customHeight="1">
      <c r="E171" s="10"/>
      <c r="F171" s="10"/>
      <c r="G171" s="10"/>
    </row>
    <row r="172" spans="5:7" ht="15.75" customHeight="1">
      <c r="E172" s="10"/>
      <c r="F172" s="10"/>
      <c r="G172" s="10"/>
    </row>
    <row r="173" spans="5:7" ht="15.75" customHeight="1">
      <c r="E173" s="10"/>
      <c r="F173" s="10"/>
      <c r="G173" s="10"/>
    </row>
    <row r="174" spans="5:7" ht="15.75" customHeight="1">
      <c r="E174" s="10"/>
      <c r="F174" s="10"/>
      <c r="G174" s="10"/>
    </row>
    <row r="175" spans="5:7" ht="15.75" customHeight="1">
      <c r="E175" s="10"/>
      <c r="F175" s="10"/>
      <c r="G175" s="10"/>
    </row>
    <row r="176" spans="5:7" ht="15.75" customHeight="1">
      <c r="E176" s="10"/>
      <c r="F176" s="10"/>
      <c r="G176" s="10"/>
    </row>
    <row r="177" spans="5:7" ht="15.75" customHeight="1">
      <c r="E177" s="10"/>
      <c r="F177" s="10"/>
      <c r="G177" s="10"/>
    </row>
    <row r="178" spans="5:7" ht="15.75" customHeight="1">
      <c r="E178" s="10"/>
      <c r="F178" s="10"/>
      <c r="G178" s="10"/>
    </row>
    <row r="179" spans="5:7" ht="15.75" customHeight="1">
      <c r="E179" s="10"/>
      <c r="F179" s="10"/>
      <c r="G179" s="10"/>
    </row>
    <row r="180" spans="5:7" ht="15.75" customHeight="1">
      <c r="E180" s="10"/>
      <c r="F180" s="10"/>
      <c r="G180" s="10"/>
    </row>
    <row r="181" spans="5:7" ht="15.75" customHeight="1">
      <c r="E181" s="10"/>
      <c r="F181" s="10"/>
      <c r="G181" s="10"/>
    </row>
    <row r="182" spans="5:7" ht="15.75" customHeight="1">
      <c r="E182" s="10"/>
      <c r="F182" s="10"/>
      <c r="G182" s="10"/>
    </row>
    <row r="183" spans="5:7" ht="15.75" customHeight="1">
      <c r="E183" s="10"/>
      <c r="F183" s="10"/>
      <c r="G183" s="10"/>
    </row>
    <row r="184" spans="5:7" ht="15.75" customHeight="1">
      <c r="E184" s="10"/>
      <c r="F184" s="10"/>
      <c r="G184" s="10"/>
    </row>
    <row r="185" spans="5:7" ht="15.75" customHeight="1">
      <c r="E185" s="10"/>
      <c r="F185" s="10"/>
      <c r="G185" s="10"/>
    </row>
    <row r="186" spans="5:7" ht="15.75" customHeight="1">
      <c r="E186" s="10"/>
      <c r="F186" s="10"/>
      <c r="G186" s="10"/>
    </row>
    <row r="187" spans="5:7" ht="15.75" customHeight="1">
      <c r="E187" s="10"/>
      <c r="F187" s="10"/>
      <c r="G187" s="10"/>
    </row>
    <row r="188" spans="5:7" ht="15.75" customHeight="1">
      <c r="E188" s="10"/>
      <c r="F188" s="10"/>
      <c r="G188" s="10"/>
    </row>
    <row r="189" spans="5:7" ht="15.75" customHeight="1">
      <c r="E189" s="10"/>
      <c r="F189" s="10"/>
      <c r="G189" s="10"/>
    </row>
    <row r="190" spans="5:7" ht="15.75" customHeight="1">
      <c r="E190" s="10"/>
      <c r="F190" s="10"/>
      <c r="G190" s="10"/>
    </row>
    <row r="191" spans="5:7" ht="15.75" customHeight="1">
      <c r="E191" s="10"/>
      <c r="F191" s="10"/>
      <c r="G191" s="10"/>
    </row>
    <row r="192" spans="5:7" ht="15.75" customHeight="1">
      <c r="E192" s="10"/>
      <c r="F192" s="10"/>
      <c r="G192" s="10"/>
    </row>
    <row r="193" spans="5:7" ht="15.75" customHeight="1">
      <c r="E193" s="10"/>
      <c r="F193" s="10"/>
      <c r="G193" s="10"/>
    </row>
    <row r="194" spans="5:7" ht="15.75" customHeight="1">
      <c r="E194" s="10"/>
      <c r="F194" s="10"/>
      <c r="G194" s="10"/>
    </row>
    <row r="195" spans="5:7" ht="15.75" customHeight="1">
      <c r="E195" s="10"/>
      <c r="F195" s="10"/>
      <c r="G195" s="10"/>
    </row>
    <row r="196" spans="5:7" ht="15.75" customHeight="1">
      <c r="E196" s="10"/>
      <c r="F196" s="10"/>
      <c r="G196" s="10"/>
    </row>
    <row r="197" spans="5:7" ht="15.75" customHeight="1">
      <c r="E197" s="10"/>
      <c r="F197" s="10"/>
      <c r="G197" s="10"/>
    </row>
    <row r="198" spans="5:7" ht="15.75" customHeight="1">
      <c r="E198" s="10"/>
      <c r="F198" s="10"/>
      <c r="G198" s="10"/>
    </row>
    <row r="199" spans="5:7" ht="15.75" customHeight="1">
      <c r="E199" s="10"/>
      <c r="F199" s="10"/>
      <c r="G199" s="10"/>
    </row>
    <row r="200" spans="5:7" ht="15.75" customHeight="1">
      <c r="E200" s="10"/>
      <c r="F200" s="10"/>
      <c r="G200" s="10"/>
    </row>
    <row r="201" spans="5:7" ht="15.75" customHeight="1">
      <c r="E201" s="10"/>
      <c r="F201" s="10"/>
      <c r="G201" s="10"/>
    </row>
    <row r="202" spans="5:7" ht="15.75" customHeight="1">
      <c r="E202" s="10"/>
      <c r="F202" s="10"/>
      <c r="G202" s="10"/>
    </row>
    <row r="203" spans="5:7" ht="15.75" customHeight="1">
      <c r="E203" s="10"/>
      <c r="F203" s="10"/>
      <c r="G203" s="10"/>
    </row>
    <row r="204" spans="5:7" ht="15.75" customHeight="1">
      <c r="E204" s="10"/>
      <c r="F204" s="10"/>
      <c r="G204" s="10"/>
    </row>
    <row r="205" spans="5:7" ht="15.75" customHeight="1">
      <c r="E205" s="10"/>
      <c r="F205" s="10"/>
      <c r="G205" s="10"/>
    </row>
    <row r="206" spans="5:7" ht="15.75" customHeight="1">
      <c r="E206" s="10"/>
      <c r="F206" s="10"/>
      <c r="G206" s="10"/>
    </row>
    <row r="207" spans="5:7" ht="15.75" customHeight="1">
      <c r="E207" s="10"/>
      <c r="F207" s="10"/>
      <c r="G207" s="10"/>
    </row>
    <row r="208" spans="5:7" ht="15.75" customHeight="1">
      <c r="E208" s="10"/>
      <c r="F208" s="10"/>
      <c r="G208" s="10"/>
    </row>
    <row r="209" spans="5:7" ht="15.75" customHeight="1">
      <c r="E209" s="10"/>
      <c r="F209" s="10"/>
      <c r="G209" s="10"/>
    </row>
    <row r="210" spans="5:7" ht="15.75" customHeight="1">
      <c r="E210" s="10"/>
      <c r="F210" s="10"/>
      <c r="G210" s="10"/>
    </row>
    <row r="211" spans="5:7" ht="15.75" customHeight="1">
      <c r="E211" s="10"/>
      <c r="F211" s="10"/>
      <c r="G211" s="10"/>
    </row>
    <row r="212" spans="5:7" ht="15.75" customHeight="1">
      <c r="E212" s="10"/>
      <c r="F212" s="10"/>
      <c r="G212" s="10"/>
    </row>
    <row r="213" spans="5:7" ht="15.75" customHeight="1">
      <c r="E213" s="10"/>
      <c r="F213" s="10"/>
      <c r="G213" s="10"/>
    </row>
    <row r="214" spans="5:7" ht="15.75" customHeight="1">
      <c r="E214" s="10"/>
      <c r="F214" s="10"/>
      <c r="G214" s="10"/>
    </row>
    <row r="215" spans="5:7" ht="15.75" customHeight="1">
      <c r="E215" s="10"/>
      <c r="F215" s="10"/>
      <c r="G215" s="10"/>
    </row>
    <row r="216" spans="5:7" ht="15.75" customHeight="1">
      <c r="E216" s="10"/>
      <c r="F216" s="10"/>
      <c r="G216" s="10"/>
    </row>
    <row r="217" spans="5:7" ht="15.75" customHeight="1">
      <c r="E217" s="10"/>
      <c r="F217" s="10"/>
      <c r="G217" s="10"/>
    </row>
    <row r="218" spans="5:7" ht="15.75" customHeight="1">
      <c r="E218" s="10"/>
      <c r="F218" s="10"/>
      <c r="G218" s="10"/>
    </row>
    <row r="219" spans="5:7" ht="15.75" customHeight="1">
      <c r="E219" s="10"/>
      <c r="F219" s="10"/>
      <c r="G219" s="10"/>
    </row>
    <row r="220" spans="5:7" ht="15.75" customHeight="1">
      <c r="E220" s="10"/>
      <c r="F220" s="10"/>
      <c r="G220" s="10"/>
    </row>
    <row r="221" spans="5:7" ht="15.75" customHeight="1">
      <c r="E221" s="10"/>
      <c r="F221" s="10"/>
      <c r="G221" s="10"/>
    </row>
    <row r="222" spans="5:7" ht="15.75" customHeight="1">
      <c r="E222" s="10"/>
      <c r="F222" s="10"/>
      <c r="G222" s="10"/>
    </row>
    <row r="223" spans="5:7" ht="15.75" customHeight="1">
      <c r="E223" s="10"/>
      <c r="F223" s="10"/>
      <c r="G223" s="10"/>
    </row>
    <row r="224" spans="5: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34343"/>
    <outlinePr summaryBelow="0" summaryRight="0"/>
  </sheetPr>
  <dimension ref="A1:AB1000"/>
  <sheetViews>
    <sheetView workbookViewId="0"/>
  </sheetViews>
  <sheetFormatPr defaultColWidth="12.61328125" defaultRowHeight="15" customHeight="1"/>
  <cols>
    <col min="1" max="1" width="23.4609375" customWidth="1"/>
    <col min="2" max="2" width="12.61328125" customWidth="1"/>
    <col min="3" max="3" width="20.15234375" customWidth="1"/>
    <col min="4" max="6" width="12.6132812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spans="1:28" ht="15.75" customHeight="1">
      <c r="A2" s="9" t="s">
        <v>30</v>
      </c>
      <c r="B2" s="9" t="s">
        <v>31</v>
      </c>
      <c r="C2" s="9" t="s">
        <v>32</v>
      </c>
      <c r="D2" s="9">
        <v>10000</v>
      </c>
      <c r="E2" s="10">
        <v>44909</v>
      </c>
      <c r="F2" s="10">
        <v>44862</v>
      </c>
      <c r="G2" s="10">
        <v>44876</v>
      </c>
      <c r="H2" s="9">
        <v>4.9000000000000004</v>
      </c>
      <c r="I2" s="9">
        <v>50</v>
      </c>
      <c r="J2" s="9">
        <v>1</v>
      </c>
      <c r="K2" s="9" t="s">
        <v>33</v>
      </c>
      <c r="L2" s="9">
        <v>25</v>
      </c>
      <c r="M2" s="9">
        <v>70</v>
      </c>
      <c r="N2" s="9">
        <v>15</v>
      </c>
      <c r="O2" s="9">
        <v>1</v>
      </c>
      <c r="P2" s="9">
        <v>1</v>
      </c>
      <c r="Q2" s="9">
        <v>1</v>
      </c>
      <c r="R2" s="9">
        <v>0</v>
      </c>
      <c r="S2" s="9">
        <v>0</v>
      </c>
      <c r="T2" s="9">
        <v>1600</v>
      </c>
      <c r="U2" s="9">
        <v>1000</v>
      </c>
      <c r="V2" s="9">
        <v>0</v>
      </c>
      <c r="W2" s="9">
        <v>0</v>
      </c>
      <c r="X2" s="9">
        <v>0</v>
      </c>
      <c r="Y2" s="9">
        <v>1</v>
      </c>
      <c r="Z2" s="9">
        <v>4</v>
      </c>
      <c r="AA2" s="9">
        <v>0</v>
      </c>
      <c r="AB2" s="10">
        <v>45266</v>
      </c>
    </row>
    <row r="3" spans="1:28" ht="15.75" customHeight="1">
      <c r="A3" s="9" t="s">
        <v>34</v>
      </c>
      <c r="B3" s="9" t="s">
        <v>35</v>
      </c>
      <c r="C3" s="9" t="s">
        <v>36</v>
      </c>
      <c r="D3" s="9">
        <v>70</v>
      </c>
      <c r="E3" s="10">
        <v>45051</v>
      </c>
      <c r="F3" s="10">
        <v>45027</v>
      </c>
      <c r="G3" s="10">
        <v>45001</v>
      </c>
      <c r="H3" s="9">
        <v>99.1</v>
      </c>
      <c r="I3" s="9">
        <v>7</v>
      </c>
      <c r="J3" s="9">
        <v>1</v>
      </c>
      <c r="K3" s="9" t="s">
        <v>33</v>
      </c>
      <c r="L3" s="9">
        <v>65</v>
      </c>
      <c r="M3" s="9">
        <v>65</v>
      </c>
      <c r="N3" s="9">
        <v>20</v>
      </c>
      <c r="O3" s="9">
        <v>1</v>
      </c>
      <c r="P3" s="9">
        <v>1</v>
      </c>
      <c r="Q3" s="9">
        <v>1</v>
      </c>
      <c r="R3" s="9">
        <v>0</v>
      </c>
      <c r="S3" s="9">
        <v>0</v>
      </c>
      <c r="T3" s="9">
        <v>1000</v>
      </c>
      <c r="U3" s="9">
        <v>390</v>
      </c>
      <c r="V3" s="9">
        <v>0</v>
      </c>
      <c r="W3" s="9">
        <v>0</v>
      </c>
      <c r="X3" s="9">
        <v>0</v>
      </c>
      <c r="Y3" s="9">
        <v>1</v>
      </c>
      <c r="Z3" s="9">
        <v>4</v>
      </c>
      <c r="AA3" s="9">
        <v>0</v>
      </c>
      <c r="AB3" s="10">
        <v>45051</v>
      </c>
    </row>
    <row r="4" spans="1:28" ht="15.75" customHeight="1">
      <c r="A4" s="9" t="s">
        <v>37</v>
      </c>
      <c r="B4" s="9" t="s">
        <v>38</v>
      </c>
      <c r="C4" s="9" t="s">
        <v>39</v>
      </c>
      <c r="D4" s="9">
        <v>10000</v>
      </c>
      <c r="E4" s="10">
        <v>44998</v>
      </c>
      <c r="F4" s="10">
        <v>44915</v>
      </c>
      <c r="G4" s="10">
        <v>44960</v>
      </c>
      <c r="H4" s="9">
        <v>11.7</v>
      </c>
      <c r="I4" s="9">
        <v>117</v>
      </c>
      <c r="J4" s="9">
        <v>1</v>
      </c>
      <c r="K4" s="9" t="s">
        <v>40</v>
      </c>
      <c r="L4" s="9">
        <v>70</v>
      </c>
      <c r="M4" s="9">
        <v>70</v>
      </c>
      <c r="N4" s="9">
        <v>30</v>
      </c>
      <c r="O4" s="9">
        <v>1</v>
      </c>
      <c r="P4" s="9">
        <v>1</v>
      </c>
      <c r="Q4" s="9">
        <v>1</v>
      </c>
      <c r="R4" s="9">
        <v>0</v>
      </c>
      <c r="S4" s="9">
        <v>0</v>
      </c>
      <c r="T4" s="9">
        <v>1100</v>
      </c>
      <c r="U4" s="9">
        <v>820</v>
      </c>
      <c r="V4" s="9">
        <v>0</v>
      </c>
      <c r="W4" s="9">
        <v>0</v>
      </c>
      <c r="X4" s="9">
        <v>0</v>
      </c>
      <c r="Y4" s="9">
        <v>1</v>
      </c>
      <c r="Z4" s="9">
        <v>4</v>
      </c>
      <c r="AA4" s="9">
        <v>0</v>
      </c>
      <c r="AB4" s="10">
        <v>44991</v>
      </c>
    </row>
    <row r="5" spans="1:28" ht="15.75" customHeight="1">
      <c r="A5" s="9" t="s">
        <v>41</v>
      </c>
      <c r="B5" s="9" t="s">
        <v>38</v>
      </c>
      <c r="C5" s="9" t="s">
        <v>39</v>
      </c>
      <c r="D5" s="9">
        <v>184</v>
      </c>
      <c r="E5" s="10">
        <v>44998</v>
      </c>
      <c r="F5" s="10">
        <v>44915</v>
      </c>
      <c r="G5" s="10">
        <v>44960</v>
      </c>
      <c r="H5" s="9">
        <v>11.7</v>
      </c>
      <c r="I5" s="9">
        <v>3</v>
      </c>
      <c r="J5" s="9">
        <v>1</v>
      </c>
      <c r="K5" s="9" t="s">
        <v>40</v>
      </c>
      <c r="L5" s="9">
        <v>70</v>
      </c>
      <c r="M5" s="9">
        <v>70</v>
      </c>
      <c r="N5" s="9">
        <v>30</v>
      </c>
      <c r="O5" s="9">
        <v>1</v>
      </c>
      <c r="P5" s="9">
        <v>1</v>
      </c>
      <c r="Q5" s="9">
        <v>1</v>
      </c>
      <c r="R5" s="9">
        <v>0</v>
      </c>
      <c r="S5" s="9">
        <v>0</v>
      </c>
      <c r="T5" s="9">
        <v>1100</v>
      </c>
      <c r="U5" s="9">
        <v>820</v>
      </c>
      <c r="V5" s="9">
        <v>0</v>
      </c>
      <c r="W5" s="9">
        <v>0</v>
      </c>
      <c r="X5" s="9">
        <v>0</v>
      </c>
      <c r="Y5" s="9">
        <v>1</v>
      </c>
      <c r="Z5" s="9">
        <v>4</v>
      </c>
      <c r="AA5" s="9">
        <v>0</v>
      </c>
      <c r="AB5" s="10">
        <v>44966</v>
      </c>
    </row>
    <row r="6" spans="1:28" ht="15.75" customHeight="1">
      <c r="A6" s="9" t="s">
        <v>42</v>
      </c>
      <c r="B6" s="9" t="s">
        <v>43</v>
      </c>
      <c r="C6" s="9" t="s">
        <v>44</v>
      </c>
      <c r="D6" s="9">
        <v>6000</v>
      </c>
      <c r="E6" s="10">
        <v>45058</v>
      </c>
      <c r="F6" s="10">
        <v>45027</v>
      </c>
      <c r="G6" s="10">
        <v>45002</v>
      </c>
      <c r="H6" s="9">
        <v>30</v>
      </c>
      <c r="I6" s="9">
        <v>180</v>
      </c>
      <c r="J6" s="9">
        <v>3</v>
      </c>
      <c r="K6" s="9" t="s">
        <v>33</v>
      </c>
      <c r="L6" s="9">
        <v>35</v>
      </c>
      <c r="M6" s="9">
        <v>125</v>
      </c>
      <c r="N6" s="9">
        <v>15</v>
      </c>
      <c r="O6" s="9">
        <v>1</v>
      </c>
      <c r="P6" s="9">
        <v>1</v>
      </c>
      <c r="Q6" s="9">
        <v>1</v>
      </c>
      <c r="R6" s="9">
        <v>0</v>
      </c>
      <c r="S6" s="9">
        <v>0</v>
      </c>
      <c r="T6" s="9">
        <v>0</v>
      </c>
      <c r="U6" s="9">
        <v>750</v>
      </c>
      <c r="V6" s="9">
        <v>0</v>
      </c>
      <c r="W6" s="9">
        <v>0</v>
      </c>
      <c r="X6" s="9">
        <v>0</v>
      </c>
      <c r="Y6" s="9">
        <v>0</v>
      </c>
      <c r="Z6" s="9">
        <v>4</v>
      </c>
      <c r="AA6" s="9">
        <v>0</v>
      </c>
      <c r="AB6" s="10">
        <v>45043</v>
      </c>
    </row>
    <row r="7" spans="1:28" ht="15.75" customHeight="1">
      <c r="A7" s="9" t="s">
        <v>45</v>
      </c>
      <c r="B7" s="9" t="s">
        <v>46</v>
      </c>
      <c r="C7" s="9" t="s">
        <v>47</v>
      </c>
      <c r="D7" s="9">
        <v>3783</v>
      </c>
      <c r="E7" s="10">
        <v>45061</v>
      </c>
      <c r="F7" s="10">
        <v>44959</v>
      </c>
      <c r="G7" s="10">
        <v>44974</v>
      </c>
      <c r="H7" s="9">
        <v>42.5</v>
      </c>
      <c r="I7" s="9">
        <v>161</v>
      </c>
      <c r="J7" s="9">
        <v>4</v>
      </c>
      <c r="K7" s="9" t="s">
        <v>48</v>
      </c>
      <c r="L7" s="9">
        <v>40</v>
      </c>
      <c r="M7" s="9">
        <v>140</v>
      </c>
      <c r="N7" s="9">
        <v>60</v>
      </c>
      <c r="O7" s="9">
        <v>1</v>
      </c>
      <c r="P7" s="9">
        <v>1</v>
      </c>
      <c r="Q7" s="9">
        <v>1</v>
      </c>
      <c r="R7" s="9">
        <v>0</v>
      </c>
      <c r="S7" s="9">
        <v>0</v>
      </c>
      <c r="T7" s="9">
        <v>0</v>
      </c>
      <c r="U7" s="9">
        <v>420</v>
      </c>
      <c r="V7" s="9">
        <v>0</v>
      </c>
      <c r="W7" s="9">
        <v>0</v>
      </c>
      <c r="X7" s="9">
        <v>0</v>
      </c>
      <c r="Y7" s="9">
        <v>0</v>
      </c>
      <c r="Z7" s="9">
        <v>3</v>
      </c>
      <c r="AA7" s="9">
        <v>0</v>
      </c>
      <c r="AB7" s="10">
        <v>45026</v>
      </c>
    </row>
    <row r="8" spans="1:28" ht="15.75" customHeight="1">
      <c r="A8" s="9" t="s">
        <v>49</v>
      </c>
      <c r="B8" s="9" t="s">
        <v>50</v>
      </c>
      <c r="C8" s="9" t="s">
        <v>51</v>
      </c>
      <c r="D8" s="9">
        <v>2544</v>
      </c>
      <c r="E8" s="10">
        <v>45063</v>
      </c>
      <c r="F8" s="10">
        <v>45022</v>
      </c>
      <c r="G8" s="10">
        <v>44979</v>
      </c>
      <c r="H8" s="9">
        <v>90</v>
      </c>
      <c r="I8" s="9">
        <v>229</v>
      </c>
      <c r="J8" s="9">
        <v>1</v>
      </c>
      <c r="K8" s="9" t="s">
        <v>40</v>
      </c>
      <c r="L8" s="9">
        <v>50</v>
      </c>
      <c r="M8" s="9">
        <v>90</v>
      </c>
      <c r="N8" s="9">
        <v>30</v>
      </c>
      <c r="O8" s="9">
        <v>1</v>
      </c>
      <c r="P8" s="9">
        <v>1</v>
      </c>
      <c r="Q8" s="9">
        <v>1</v>
      </c>
      <c r="R8" s="9">
        <v>0</v>
      </c>
      <c r="S8" s="9">
        <v>0</v>
      </c>
      <c r="T8" s="9">
        <v>1</v>
      </c>
      <c r="U8" s="9">
        <v>900</v>
      </c>
      <c r="V8" s="9">
        <v>0</v>
      </c>
      <c r="W8" s="9">
        <v>0</v>
      </c>
      <c r="X8" s="9">
        <v>0</v>
      </c>
      <c r="Y8" s="9">
        <v>1</v>
      </c>
      <c r="Z8" s="9">
        <v>4</v>
      </c>
      <c r="AA8" s="9">
        <v>0</v>
      </c>
      <c r="AB8" s="10">
        <v>45040</v>
      </c>
    </row>
    <row r="9" spans="1:28" ht="15.75" customHeight="1">
      <c r="A9" s="9" t="s">
        <v>52</v>
      </c>
      <c r="B9" s="9" t="s">
        <v>53</v>
      </c>
      <c r="C9" s="9" t="s">
        <v>54</v>
      </c>
      <c r="D9" s="9">
        <v>2000</v>
      </c>
      <c r="E9" s="10">
        <v>45054</v>
      </c>
      <c r="F9" s="10">
        <v>45015</v>
      </c>
      <c r="G9" s="10">
        <v>44973</v>
      </c>
      <c r="H9" s="9">
        <v>31.45</v>
      </c>
      <c r="I9" s="9">
        <v>63</v>
      </c>
      <c r="J9" s="9">
        <v>2</v>
      </c>
      <c r="K9" s="9" t="s">
        <v>48</v>
      </c>
      <c r="L9" s="9">
        <v>75</v>
      </c>
      <c r="M9" s="9">
        <v>165</v>
      </c>
      <c r="N9" s="9">
        <v>90</v>
      </c>
      <c r="O9" s="9">
        <v>1</v>
      </c>
      <c r="P9" s="9">
        <v>1</v>
      </c>
      <c r="Q9" s="9">
        <v>1</v>
      </c>
      <c r="R9" s="9">
        <v>0</v>
      </c>
      <c r="S9" s="9">
        <v>0</v>
      </c>
      <c r="T9" s="9">
        <v>0</v>
      </c>
      <c r="U9" s="9">
        <v>800</v>
      </c>
      <c r="V9" s="9">
        <v>0</v>
      </c>
      <c r="W9" s="9">
        <v>0</v>
      </c>
      <c r="X9" s="9">
        <v>0</v>
      </c>
      <c r="Y9" s="9">
        <v>0</v>
      </c>
      <c r="Z9" s="9">
        <v>3</v>
      </c>
      <c r="AA9" s="9">
        <v>0</v>
      </c>
      <c r="AB9" s="10">
        <v>45030</v>
      </c>
    </row>
    <row r="10" spans="1:28" ht="15.75" customHeight="1">
      <c r="A10" s="9" t="s">
        <v>55</v>
      </c>
      <c r="B10" s="9" t="s">
        <v>56</v>
      </c>
      <c r="C10" s="9" t="s">
        <v>57</v>
      </c>
      <c r="D10" s="9">
        <v>10000</v>
      </c>
      <c r="E10" s="10">
        <v>45055</v>
      </c>
      <c r="F10" s="10">
        <v>44987</v>
      </c>
      <c r="G10" s="10">
        <v>44939</v>
      </c>
      <c r="H10" s="9">
        <v>5</v>
      </c>
      <c r="I10" s="9">
        <v>50</v>
      </c>
      <c r="J10" s="9">
        <v>1</v>
      </c>
      <c r="K10" s="9" t="s">
        <v>33</v>
      </c>
      <c r="L10" s="9">
        <v>20</v>
      </c>
      <c r="M10" s="9">
        <v>80</v>
      </c>
      <c r="N10" s="9">
        <v>25</v>
      </c>
      <c r="O10" s="9">
        <v>1</v>
      </c>
      <c r="P10" s="9">
        <v>1</v>
      </c>
      <c r="Q10" s="9">
        <v>1</v>
      </c>
      <c r="R10" s="9">
        <v>0</v>
      </c>
      <c r="S10" s="9">
        <v>0</v>
      </c>
      <c r="T10" s="9">
        <v>1</v>
      </c>
      <c r="U10" s="9">
        <v>1</v>
      </c>
      <c r="V10" s="9">
        <v>0</v>
      </c>
      <c r="W10" s="9">
        <v>0</v>
      </c>
      <c r="X10" s="9">
        <v>0</v>
      </c>
      <c r="Y10" s="9">
        <v>1</v>
      </c>
      <c r="Z10" s="9">
        <v>4</v>
      </c>
      <c r="AA10" s="9">
        <v>0</v>
      </c>
      <c r="AB10" s="10">
        <v>45044</v>
      </c>
    </row>
    <row r="11" spans="1:28" ht="15.75" customHeight="1">
      <c r="A11" s="9" t="s">
        <v>58</v>
      </c>
      <c r="B11" s="9" t="s">
        <v>59</v>
      </c>
      <c r="C11" s="9" t="s">
        <v>60</v>
      </c>
      <c r="D11" s="9">
        <v>10000</v>
      </c>
      <c r="E11" s="10">
        <v>44986</v>
      </c>
      <c r="F11" s="10">
        <v>44959</v>
      </c>
      <c r="G11" s="10">
        <v>44922</v>
      </c>
      <c r="H11" s="9">
        <v>100</v>
      </c>
      <c r="I11" s="9">
        <v>1000</v>
      </c>
      <c r="J11" s="9">
        <v>3</v>
      </c>
      <c r="K11" s="9" t="s">
        <v>40</v>
      </c>
      <c r="L11" s="9">
        <v>25</v>
      </c>
      <c r="M11" s="9">
        <v>320</v>
      </c>
      <c r="N11" s="9">
        <v>50</v>
      </c>
      <c r="O11" s="9">
        <v>1</v>
      </c>
      <c r="P11" s="9">
        <v>1</v>
      </c>
      <c r="Q11" s="9">
        <v>1</v>
      </c>
      <c r="R11" s="9">
        <v>0</v>
      </c>
      <c r="S11" s="9">
        <v>0</v>
      </c>
      <c r="T11" s="9">
        <v>460</v>
      </c>
      <c r="U11" s="9">
        <v>470</v>
      </c>
      <c r="V11" s="9">
        <v>0</v>
      </c>
      <c r="W11" s="9">
        <v>0</v>
      </c>
      <c r="X11" s="9">
        <v>0</v>
      </c>
      <c r="Y11" s="9">
        <v>1</v>
      </c>
      <c r="Z11" s="9">
        <v>3</v>
      </c>
      <c r="AA11" s="9">
        <v>0</v>
      </c>
      <c r="AB11" s="10">
        <v>44981</v>
      </c>
    </row>
    <row r="12" spans="1:28" ht="15.75" customHeight="1">
      <c r="A12" s="9" t="s">
        <v>61</v>
      </c>
      <c r="B12" s="9" t="s">
        <v>62</v>
      </c>
      <c r="C12" s="9" t="s">
        <v>63</v>
      </c>
      <c r="D12" s="9">
        <v>3100</v>
      </c>
      <c r="E12" s="10">
        <v>45061</v>
      </c>
      <c r="F12" s="10">
        <v>44973</v>
      </c>
      <c r="G12" s="10">
        <v>45044</v>
      </c>
      <c r="H12" s="9">
        <v>15</v>
      </c>
      <c r="I12" s="9">
        <v>47</v>
      </c>
      <c r="J12" s="9">
        <v>1</v>
      </c>
      <c r="K12" s="9" t="s">
        <v>33</v>
      </c>
      <c r="L12" s="9">
        <v>0</v>
      </c>
      <c r="M12" s="9">
        <v>90</v>
      </c>
      <c r="N12" s="9">
        <v>15</v>
      </c>
      <c r="O12" s="9">
        <v>1</v>
      </c>
      <c r="P12" s="9">
        <v>1</v>
      </c>
      <c r="Q12" s="9">
        <v>1</v>
      </c>
      <c r="R12" s="9">
        <v>0</v>
      </c>
      <c r="S12" s="9">
        <v>0</v>
      </c>
      <c r="T12" s="9">
        <v>0</v>
      </c>
      <c r="U12" s="9">
        <v>1000</v>
      </c>
      <c r="V12" s="9">
        <v>0</v>
      </c>
      <c r="W12" s="9">
        <v>0</v>
      </c>
      <c r="X12" s="9">
        <v>0</v>
      </c>
      <c r="Y12" s="9">
        <v>0</v>
      </c>
      <c r="Z12" s="9">
        <v>4</v>
      </c>
      <c r="AA12" s="9">
        <v>0</v>
      </c>
      <c r="AB12" s="10">
        <v>45054</v>
      </c>
    </row>
    <row r="13" spans="1:28" ht="15.75" customHeight="1">
      <c r="A13" s="9" t="s">
        <v>64</v>
      </c>
      <c r="B13" s="9" t="s">
        <v>65</v>
      </c>
      <c r="C13" s="9" t="s">
        <v>66</v>
      </c>
      <c r="D13" s="9">
        <v>15000</v>
      </c>
      <c r="E13" s="10">
        <v>45161</v>
      </c>
      <c r="F13" s="10">
        <v>44973</v>
      </c>
      <c r="G13" s="10">
        <v>45028</v>
      </c>
      <c r="H13" s="9">
        <v>30.6</v>
      </c>
      <c r="I13" s="9">
        <v>460</v>
      </c>
      <c r="J13" s="9">
        <v>5</v>
      </c>
      <c r="K13" s="9" t="s">
        <v>33</v>
      </c>
      <c r="L13" s="9">
        <v>100</v>
      </c>
      <c r="M13" s="9">
        <v>115</v>
      </c>
      <c r="N13" s="9">
        <v>50</v>
      </c>
      <c r="O13" s="9">
        <v>1</v>
      </c>
      <c r="P13" s="9">
        <v>1</v>
      </c>
      <c r="Q13" s="9">
        <v>1</v>
      </c>
      <c r="R13" s="9">
        <v>0</v>
      </c>
      <c r="S13" s="9">
        <v>554</v>
      </c>
      <c r="T13" s="9">
        <v>1235</v>
      </c>
      <c r="U13" s="9">
        <v>800</v>
      </c>
      <c r="V13" s="9">
        <v>0</v>
      </c>
      <c r="W13" s="9">
        <v>0</v>
      </c>
      <c r="X13" s="9">
        <v>1</v>
      </c>
      <c r="Y13" s="9">
        <v>1</v>
      </c>
      <c r="Z13" s="9">
        <v>3</v>
      </c>
      <c r="AA13" s="9">
        <v>0</v>
      </c>
      <c r="AB13" s="10">
        <v>45118</v>
      </c>
    </row>
    <row r="14" spans="1:28" ht="15.75" customHeight="1">
      <c r="A14" s="9" t="s">
        <v>64</v>
      </c>
      <c r="B14" s="9" t="s">
        <v>65</v>
      </c>
      <c r="C14" s="9" t="s">
        <v>66</v>
      </c>
      <c r="D14" s="9">
        <v>15000</v>
      </c>
      <c r="E14" s="10">
        <v>45161</v>
      </c>
      <c r="F14" s="10">
        <v>44973</v>
      </c>
      <c r="G14" s="10">
        <v>45028</v>
      </c>
      <c r="H14" s="9">
        <v>30.6</v>
      </c>
      <c r="I14" s="9">
        <v>460</v>
      </c>
      <c r="J14" s="9">
        <v>5</v>
      </c>
      <c r="K14" s="9" t="s">
        <v>33</v>
      </c>
      <c r="L14" s="9">
        <v>100</v>
      </c>
      <c r="M14" s="9">
        <v>115</v>
      </c>
      <c r="N14" s="9">
        <v>50</v>
      </c>
      <c r="O14" s="9">
        <v>1</v>
      </c>
      <c r="P14" s="9">
        <v>1</v>
      </c>
      <c r="Q14" s="9">
        <v>1</v>
      </c>
      <c r="R14" s="9">
        <v>0</v>
      </c>
      <c r="S14" s="9">
        <v>554</v>
      </c>
      <c r="T14" s="9">
        <v>1235</v>
      </c>
      <c r="U14" s="9">
        <v>800</v>
      </c>
      <c r="V14" s="9">
        <v>0</v>
      </c>
      <c r="W14" s="9">
        <v>0</v>
      </c>
      <c r="X14" s="9">
        <v>1</v>
      </c>
      <c r="Y14" s="9">
        <v>1</v>
      </c>
      <c r="Z14" s="9">
        <v>3</v>
      </c>
      <c r="AA14" s="9">
        <v>0</v>
      </c>
      <c r="AB14" s="10">
        <v>45118</v>
      </c>
    </row>
    <row r="15" spans="1:28" ht="15.75" customHeight="1">
      <c r="A15" s="9" t="s">
        <v>67</v>
      </c>
      <c r="B15" s="9" t="s">
        <v>68</v>
      </c>
      <c r="C15" s="9" t="s">
        <v>69</v>
      </c>
      <c r="D15" s="9">
        <v>30000</v>
      </c>
      <c r="E15" s="10">
        <v>45063</v>
      </c>
      <c r="F15" s="10">
        <v>45009</v>
      </c>
      <c r="G15" s="10">
        <v>45044</v>
      </c>
      <c r="H15" s="9">
        <v>31</v>
      </c>
      <c r="I15" s="9">
        <v>930</v>
      </c>
      <c r="J15" s="9">
        <v>3</v>
      </c>
      <c r="K15" s="9" t="s">
        <v>40</v>
      </c>
      <c r="L15" s="9">
        <v>25</v>
      </c>
      <c r="M15" s="9">
        <v>120</v>
      </c>
      <c r="N15" s="9">
        <v>30</v>
      </c>
      <c r="O15" s="9">
        <v>1</v>
      </c>
      <c r="P15" s="9">
        <v>1</v>
      </c>
      <c r="Q15" s="9">
        <v>1</v>
      </c>
      <c r="R15" s="9">
        <v>0</v>
      </c>
      <c r="S15" s="9">
        <v>0</v>
      </c>
      <c r="T15" s="9">
        <v>2</v>
      </c>
      <c r="U15" s="9">
        <v>1</v>
      </c>
      <c r="V15" s="9">
        <v>0</v>
      </c>
      <c r="W15" s="9">
        <v>0</v>
      </c>
      <c r="X15" s="9">
        <v>0</v>
      </c>
      <c r="Y15" s="9">
        <v>1</v>
      </c>
      <c r="Z15" s="9">
        <v>2</v>
      </c>
      <c r="AA15" s="9">
        <v>0</v>
      </c>
      <c r="AB15" s="10">
        <v>45062</v>
      </c>
    </row>
    <row r="16" spans="1:28" ht="15.75" customHeight="1">
      <c r="A16" s="9" t="s">
        <v>70</v>
      </c>
      <c r="B16" s="9" t="s">
        <v>62</v>
      </c>
      <c r="C16" s="9" t="s">
        <v>63</v>
      </c>
      <c r="D16" s="9">
        <v>6500</v>
      </c>
      <c r="E16" s="10">
        <v>45058</v>
      </c>
      <c r="F16" s="10">
        <v>44993</v>
      </c>
      <c r="G16" s="10">
        <v>45044</v>
      </c>
      <c r="H16" s="9">
        <v>15</v>
      </c>
      <c r="I16" s="9">
        <v>98</v>
      </c>
      <c r="J16" s="9">
        <v>2</v>
      </c>
      <c r="K16" s="9" t="s">
        <v>33</v>
      </c>
      <c r="L16" s="9">
        <v>0</v>
      </c>
      <c r="M16" s="9">
        <v>90</v>
      </c>
      <c r="N16" s="9">
        <v>15</v>
      </c>
      <c r="O16" s="9">
        <v>1</v>
      </c>
      <c r="P16" s="9">
        <v>1</v>
      </c>
      <c r="Q16" s="9">
        <v>1</v>
      </c>
      <c r="R16" s="9">
        <v>0</v>
      </c>
      <c r="S16" s="9">
        <v>0</v>
      </c>
      <c r="T16" s="9">
        <v>0</v>
      </c>
      <c r="U16" s="9">
        <v>1000</v>
      </c>
      <c r="V16" s="9">
        <v>0</v>
      </c>
      <c r="W16" s="9">
        <v>0</v>
      </c>
      <c r="X16" s="9">
        <v>0</v>
      </c>
      <c r="Y16" s="9">
        <v>0</v>
      </c>
      <c r="Z16" s="9">
        <v>4</v>
      </c>
      <c r="AA16" s="9">
        <v>0</v>
      </c>
      <c r="AB16" s="10">
        <v>45050</v>
      </c>
    </row>
    <row r="17" spans="1:28" ht="15.75" customHeight="1">
      <c r="A17" s="9" t="s">
        <v>71</v>
      </c>
      <c r="B17" s="9" t="s">
        <v>72</v>
      </c>
      <c r="C17" s="9" t="s">
        <v>73</v>
      </c>
      <c r="D17" s="9">
        <v>2094</v>
      </c>
      <c r="E17" s="10">
        <v>45065</v>
      </c>
      <c r="F17" s="10">
        <v>45044</v>
      </c>
      <c r="G17" s="10">
        <v>45044</v>
      </c>
      <c r="H17" s="9">
        <v>150</v>
      </c>
      <c r="I17" s="9">
        <v>315</v>
      </c>
      <c r="J17" s="9">
        <v>4</v>
      </c>
      <c r="K17" s="9" t="s">
        <v>74</v>
      </c>
      <c r="L17" s="9">
        <v>25</v>
      </c>
      <c r="M17" s="9">
        <v>180</v>
      </c>
      <c r="N17" s="9">
        <v>40</v>
      </c>
      <c r="O17" s="9">
        <v>1</v>
      </c>
      <c r="P17" s="9">
        <v>1</v>
      </c>
      <c r="Q17" s="9">
        <v>1</v>
      </c>
      <c r="R17" s="9">
        <v>0</v>
      </c>
      <c r="S17" s="9">
        <v>0</v>
      </c>
      <c r="T17" s="9">
        <v>700</v>
      </c>
      <c r="U17" s="9">
        <v>500</v>
      </c>
      <c r="V17" s="9">
        <v>0</v>
      </c>
      <c r="W17" s="9">
        <v>0</v>
      </c>
      <c r="X17" s="9">
        <v>0</v>
      </c>
      <c r="Y17" s="9">
        <v>1</v>
      </c>
      <c r="Z17" s="9">
        <v>4</v>
      </c>
      <c r="AA17" s="9">
        <v>0</v>
      </c>
      <c r="AB17" s="10">
        <v>45042</v>
      </c>
    </row>
    <row r="18" spans="1:28" ht="15.75" customHeight="1">
      <c r="A18" s="9" t="s">
        <v>75</v>
      </c>
      <c r="B18" s="9" t="s">
        <v>76</v>
      </c>
      <c r="C18" s="9" t="s">
        <v>77</v>
      </c>
      <c r="D18" s="9">
        <v>10000</v>
      </c>
      <c r="E18" s="10">
        <v>45065</v>
      </c>
      <c r="F18" s="10">
        <v>45028</v>
      </c>
      <c r="G18" s="10">
        <v>45037</v>
      </c>
      <c r="H18" s="9">
        <v>30.2</v>
      </c>
      <c r="I18" s="9">
        <v>302</v>
      </c>
      <c r="J18" s="9">
        <v>3</v>
      </c>
      <c r="K18" s="9" t="s">
        <v>33</v>
      </c>
      <c r="L18" s="9">
        <v>25</v>
      </c>
      <c r="M18" s="9">
        <v>110</v>
      </c>
      <c r="N18" s="9">
        <v>20</v>
      </c>
      <c r="O18" s="9">
        <v>1</v>
      </c>
      <c r="P18" s="9">
        <v>1</v>
      </c>
      <c r="Q18" s="9">
        <v>1</v>
      </c>
      <c r="R18" s="9">
        <v>0</v>
      </c>
      <c r="S18" s="9">
        <v>0</v>
      </c>
      <c r="T18" s="9">
        <v>1</v>
      </c>
      <c r="U18" s="9">
        <v>1</v>
      </c>
      <c r="V18" s="9">
        <v>0</v>
      </c>
      <c r="W18" s="9">
        <v>0</v>
      </c>
      <c r="X18" s="9">
        <v>0</v>
      </c>
      <c r="Y18" s="9">
        <v>1</v>
      </c>
      <c r="Z18" s="9">
        <v>4</v>
      </c>
      <c r="AA18" s="9">
        <v>0</v>
      </c>
      <c r="AB18" s="10">
        <v>45055</v>
      </c>
    </row>
    <row r="19" spans="1:28" ht="15.75" customHeight="1">
      <c r="A19" s="9" t="s">
        <v>78</v>
      </c>
      <c r="B19" s="9" t="s">
        <v>79</v>
      </c>
      <c r="C19" s="9" t="s">
        <v>80</v>
      </c>
      <c r="D19" s="9">
        <v>3000</v>
      </c>
      <c r="E19" s="10">
        <v>45051</v>
      </c>
      <c r="F19" s="10">
        <v>45008</v>
      </c>
      <c r="G19" s="10">
        <v>45030</v>
      </c>
      <c r="H19" s="9">
        <v>30</v>
      </c>
      <c r="I19" s="9">
        <v>90</v>
      </c>
      <c r="J19" s="9">
        <v>1</v>
      </c>
      <c r="K19" s="9" t="s">
        <v>74</v>
      </c>
      <c r="L19" s="9">
        <v>45</v>
      </c>
      <c r="M19" s="9">
        <v>180</v>
      </c>
      <c r="N19" s="9">
        <v>40</v>
      </c>
      <c r="O19" s="9">
        <v>1</v>
      </c>
      <c r="P19" s="9">
        <v>1</v>
      </c>
      <c r="Q19" s="9">
        <v>1</v>
      </c>
      <c r="R19" s="9">
        <v>0</v>
      </c>
      <c r="S19" s="9">
        <v>0</v>
      </c>
      <c r="T19" s="9">
        <v>750</v>
      </c>
      <c r="U19" s="9">
        <v>770</v>
      </c>
      <c r="V19" s="9">
        <v>0</v>
      </c>
      <c r="W19" s="9">
        <v>0</v>
      </c>
      <c r="X19" s="9">
        <v>0</v>
      </c>
      <c r="Y19" s="9">
        <v>1</v>
      </c>
      <c r="Z19" s="9">
        <v>4</v>
      </c>
      <c r="AA19" s="9">
        <v>0</v>
      </c>
      <c r="AB19" s="10">
        <v>45042</v>
      </c>
    </row>
    <row r="20" spans="1:28" ht="15.75" customHeight="1">
      <c r="A20" s="9" t="s">
        <v>81</v>
      </c>
      <c r="B20" s="9" t="s">
        <v>79</v>
      </c>
      <c r="C20" s="9" t="s">
        <v>80</v>
      </c>
      <c r="D20" s="9">
        <v>1700</v>
      </c>
      <c r="E20" s="10">
        <v>44974</v>
      </c>
      <c r="F20" s="10">
        <v>44957</v>
      </c>
      <c r="G20" s="10">
        <v>44886</v>
      </c>
      <c r="H20" s="9">
        <v>30</v>
      </c>
      <c r="I20" s="9">
        <v>51</v>
      </c>
      <c r="J20" s="9">
        <v>1</v>
      </c>
      <c r="K20" s="9" t="s">
        <v>48</v>
      </c>
      <c r="L20" s="9">
        <v>45</v>
      </c>
      <c r="M20" s="9">
        <v>130</v>
      </c>
      <c r="N20" s="9">
        <v>30</v>
      </c>
      <c r="O20" s="9">
        <v>1</v>
      </c>
      <c r="P20" s="9">
        <v>1</v>
      </c>
      <c r="Q20" s="9">
        <v>1</v>
      </c>
      <c r="R20" s="9">
        <v>0</v>
      </c>
      <c r="S20" s="9">
        <v>0</v>
      </c>
      <c r="T20" s="9">
        <v>750</v>
      </c>
      <c r="U20" s="9">
        <v>770</v>
      </c>
      <c r="V20" s="9">
        <v>0</v>
      </c>
      <c r="W20" s="9">
        <v>0</v>
      </c>
      <c r="X20" s="9">
        <v>0</v>
      </c>
      <c r="Y20" s="9">
        <v>1</v>
      </c>
      <c r="Z20" s="9">
        <v>4</v>
      </c>
      <c r="AA20" s="9">
        <v>0</v>
      </c>
      <c r="AB20" s="10">
        <v>44971</v>
      </c>
    </row>
    <row r="21" spans="1:28" ht="15.75" customHeight="1">
      <c r="A21" s="9" t="s">
        <v>82</v>
      </c>
      <c r="B21" s="9" t="s">
        <v>83</v>
      </c>
      <c r="C21" s="9" t="s">
        <v>84</v>
      </c>
      <c r="D21" s="9">
        <v>2000</v>
      </c>
      <c r="E21" s="10">
        <v>45044</v>
      </c>
      <c r="F21" s="10">
        <v>44993</v>
      </c>
      <c r="G21" s="10">
        <v>44972</v>
      </c>
      <c r="H21" s="9">
        <v>100</v>
      </c>
      <c r="I21" s="9">
        <v>200</v>
      </c>
      <c r="J21" s="9">
        <v>1</v>
      </c>
      <c r="K21" s="9" t="s">
        <v>40</v>
      </c>
      <c r="L21" s="9">
        <v>55</v>
      </c>
      <c r="M21" s="9">
        <v>130</v>
      </c>
      <c r="N21" s="9">
        <v>30</v>
      </c>
      <c r="O21" s="9">
        <v>1</v>
      </c>
      <c r="P21" s="9">
        <v>1</v>
      </c>
      <c r="Q21" s="9">
        <v>1</v>
      </c>
      <c r="R21" s="9">
        <v>0</v>
      </c>
      <c r="S21" s="9">
        <v>0</v>
      </c>
      <c r="T21" s="9">
        <v>800</v>
      </c>
      <c r="U21" s="9">
        <v>600</v>
      </c>
      <c r="V21" s="9">
        <v>0</v>
      </c>
      <c r="W21" s="9">
        <v>0</v>
      </c>
      <c r="X21" s="9">
        <v>0</v>
      </c>
      <c r="Y21" s="9">
        <v>1</v>
      </c>
      <c r="Z21" s="9">
        <v>5</v>
      </c>
      <c r="AA21" s="9">
        <v>0</v>
      </c>
      <c r="AB21" s="10">
        <v>45035</v>
      </c>
    </row>
    <row r="22" spans="1:28" ht="15.75" customHeight="1">
      <c r="A22" s="9" t="s">
        <v>85</v>
      </c>
      <c r="B22" s="9" t="s">
        <v>31</v>
      </c>
      <c r="C22" s="9" t="s">
        <v>32</v>
      </c>
      <c r="D22" s="9">
        <v>10000</v>
      </c>
      <c r="E22" s="10">
        <v>45063</v>
      </c>
      <c r="F22" s="10">
        <v>44993</v>
      </c>
      <c r="G22" s="10">
        <v>45030</v>
      </c>
      <c r="H22" s="9">
        <v>4.9000000000000004</v>
      </c>
      <c r="I22" s="9">
        <v>50</v>
      </c>
      <c r="J22" s="9">
        <v>1</v>
      </c>
      <c r="K22" s="9" t="s">
        <v>33</v>
      </c>
      <c r="L22" s="9">
        <v>25</v>
      </c>
      <c r="M22" s="9">
        <v>70</v>
      </c>
      <c r="N22" s="9">
        <v>15</v>
      </c>
      <c r="O22" s="9">
        <v>1</v>
      </c>
      <c r="P22" s="9">
        <v>1</v>
      </c>
      <c r="Q22" s="9">
        <v>1</v>
      </c>
      <c r="R22" s="9">
        <v>0</v>
      </c>
      <c r="S22" s="9">
        <v>0</v>
      </c>
      <c r="T22" s="9">
        <v>1600</v>
      </c>
      <c r="U22" s="9">
        <v>1000</v>
      </c>
      <c r="V22" s="9">
        <v>0</v>
      </c>
      <c r="W22" s="9">
        <v>0</v>
      </c>
      <c r="X22" s="9">
        <v>0</v>
      </c>
      <c r="Y22" s="9">
        <v>1</v>
      </c>
      <c r="Z22" s="9">
        <v>4</v>
      </c>
      <c r="AA22" s="9">
        <v>0</v>
      </c>
      <c r="AB22" s="10">
        <v>45054</v>
      </c>
    </row>
    <row r="23" spans="1:28" ht="15.75" customHeight="1">
      <c r="A23" s="9" t="s">
        <v>86</v>
      </c>
      <c r="B23" s="9" t="s">
        <v>87</v>
      </c>
      <c r="C23" s="9" t="s">
        <v>88</v>
      </c>
      <c r="D23" s="9">
        <v>5000</v>
      </c>
      <c r="E23" s="10">
        <v>45063</v>
      </c>
      <c r="F23" s="10">
        <v>44993</v>
      </c>
      <c r="G23" s="10">
        <v>45044</v>
      </c>
      <c r="H23" s="9">
        <v>30.6</v>
      </c>
      <c r="I23" s="9">
        <v>153</v>
      </c>
      <c r="J23" s="9">
        <v>1</v>
      </c>
      <c r="K23" s="9" t="s">
        <v>40</v>
      </c>
      <c r="L23" s="9">
        <v>25</v>
      </c>
      <c r="M23" s="9">
        <v>70</v>
      </c>
      <c r="N23" s="9">
        <v>30</v>
      </c>
      <c r="O23" s="9">
        <v>1</v>
      </c>
      <c r="P23" s="9">
        <v>1</v>
      </c>
      <c r="Q23" s="9">
        <v>1</v>
      </c>
      <c r="R23" s="9">
        <v>0</v>
      </c>
      <c r="S23" s="9">
        <v>0</v>
      </c>
      <c r="T23" s="9">
        <v>1600</v>
      </c>
      <c r="U23" s="9">
        <v>1500</v>
      </c>
      <c r="V23" s="9">
        <v>0</v>
      </c>
      <c r="W23" s="9">
        <v>0</v>
      </c>
      <c r="X23" s="9">
        <v>0</v>
      </c>
      <c r="Y23" s="9">
        <v>1</v>
      </c>
      <c r="Z23" s="9">
        <v>3</v>
      </c>
      <c r="AA23" s="9">
        <v>0</v>
      </c>
      <c r="AB23" s="10">
        <v>45050</v>
      </c>
    </row>
    <row r="24" spans="1:28" ht="15.75" customHeight="1">
      <c r="A24" s="9" t="s">
        <v>89</v>
      </c>
      <c r="B24" s="9" t="s">
        <v>90</v>
      </c>
      <c r="C24" s="9" t="s">
        <v>91</v>
      </c>
      <c r="D24" s="9">
        <v>1250</v>
      </c>
      <c r="E24" s="10">
        <v>45062</v>
      </c>
      <c r="F24" s="10">
        <v>45016</v>
      </c>
      <c r="G24" s="10">
        <v>45044</v>
      </c>
      <c r="H24" s="9">
        <v>28.3</v>
      </c>
      <c r="I24" s="9">
        <v>36</v>
      </c>
      <c r="J24" s="9">
        <v>1</v>
      </c>
      <c r="K24" s="9" t="s">
        <v>40</v>
      </c>
      <c r="L24" s="9">
        <v>25</v>
      </c>
      <c r="M24" s="9">
        <v>120</v>
      </c>
      <c r="N24" s="9">
        <v>30</v>
      </c>
      <c r="O24" s="9">
        <v>1</v>
      </c>
      <c r="P24" s="9">
        <v>1</v>
      </c>
      <c r="Q24" s="9">
        <v>1</v>
      </c>
      <c r="R24" s="9">
        <v>0</v>
      </c>
      <c r="S24" s="9">
        <v>0</v>
      </c>
      <c r="T24" s="9">
        <v>0</v>
      </c>
      <c r="U24" s="9">
        <v>1</v>
      </c>
      <c r="V24" s="9">
        <v>0</v>
      </c>
      <c r="W24" s="9">
        <v>0</v>
      </c>
      <c r="X24" s="9">
        <v>0</v>
      </c>
      <c r="Y24" s="9">
        <v>0</v>
      </c>
      <c r="Z24" s="9">
        <v>3</v>
      </c>
      <c r="AA24" s="9">
        <v>0</v>
      </c>
      <c r="AB24" s="10">
        <v>45055</v>
      </c>
    </row>
    <row r="25" spans="1:28" ht="15.75" customHeight="1">
      <c r="A25" s="9" t="s">
        <v>92</v>
      </c>
      <c r="B25" s="9" t="s">
        <v>93</v>
      </c>
      <c r="C25" s="9" t="s">
        <v>94</v>
      </c>
      <c r="D25" s="9">
        <v>25000</v>
      </c>
      <c r="E25" s="10">
        <v>45048</v>
      </c>
      <c r="F25" s="10">
        <v>45027</v>
      </c>
      <c r="G25" s="10">
        <v>45040</v>
      </c>
      <c r="H25" s="9">
        <v>20</v>
      </c>
      <c r="I25" s="9">
        <v>500</v>
      </c>
      <c r="J25" s="9">
        <v>5</v>
      </c>
      <c r="K25" s="9" t="s">
        <v>74</v>
      </c>
      <c r="L25" s="9">
        <v>25</v>
      </c>
      <c r="M25" s="9">
        <v>190</v>
      </c>
      <c r="N25" s="9">
        <v>40</v>
      </c>
      <c r="O25" s="9">
        <v>1</v>
      </c>
      <c r="P25" s="9">
        <v>1</v>
      </c>
      <c r="Q25" s="9">
        <v>1</v>
      </c>
      <c r="R25" s="9">
        <v>0</v>
      </c>
      <c r="S25" s="9">
        <v>0</v>
      </c>
      <c r="T25" s="9">
        <v>0</v>
      </c>
      <c r="U25" s="9">
        <v>800</v>
      </c>
      <c r="V25" s="9">
        <v>0</v>
      </c>
      <c r="W25" s="9">
        <v>0</v>
      </c>
      <c r="X25" s="9">
        <v>0</v>
      </c>
      <c r="Y25" s="9">
        <v>0</v>
      </c>
      <c r="Z25" s="9">
        <v>4</v>
      </c>
      <c r="AA25" s="9">
        <v>0</v>
      </c>
      <c r="AB25" s="10">
        <v>45057</v>
      </c>
    </row>
    <row r="26" spans="1:28" ht="15.75" customHeight="1">
      <c r="A26" s="9" t="s">
        <v>95</v>
      </c>
      <c r="B26" s="9" t="s">
        <v>96</v>
      </c>
      <c r="C26" s="9" t="s">
        <v>97</v>
      </c>
      <c r="D26" s="9">
        <v>3000</v>
      </c>
      <c r="E26" s="10">
        <v>45071</v>
      </c>
      <c r="F26" s="10">
        <v>44994</v>
      </c>
      <c r="G26" s="10">
        <v>44977</v>
      </c>
      <c r="H26" s="9">
        <v>30.9</v>
      </c>
      <c r="I26" s="9">
        <v>93</v>
      </c>
      <c r="J26" s="9">
        <v>1</v>
      </c>
      <c r="K26" s="9" t="s">
        <v>33</v>
      </c>
      <c r="L26" s="9">
        <v>50</v>
      </c>
      <c r="M26" s="9">
        <v>55</v>
      </c>
      <c r="N26" s="9">
        <v>15</v>
      </c>
      <c r="O26" s="9">
        <v>1</v>
      </c>
      <c r="P26" s="9">
        <v>1</v>
      </c>
      <c r="Q26" s="9">
        <v>1</v>
      </c>
      <c r="R26" s="9">
        <v>0</v>
      </c>
      <c r="S26" s="9">
        <v>0</v>
      </c>
      <c r="T26" s="9">
        <v>1</v>
      </c>
      <c r="U26" s="9">
        <v>1</v>
      </c>
      <c r="V26" s="9">
        <v>0</v>
      </c>
      <c r="W26" s="9">
        <v>0</v>
      </c>
      <c r="X26" s="9">
        <v>0</v>
      </c>
      <c r="Y26" s="9">
        <v>1</v>
      </c>
      <c r="Z26" s="9">
        <v>4</v>
      </c>
      <c r="AA26" s="9">
        <v>0</v>
      </c>
      <c r="AB26" s="10">
        <v>45012</v>
      </c>
    </row>
    <row r="27" spans="1:28" ht="15.75" customHeight="1">
      <c r="A27" s="9" t="s">
        <v>98</v>
      </c>
      <c r="B27" s="9" t="s">
        <v>99</v>
      </c>
      <c r="C27" s="9" t="s">
        <v>100</v>
      </c>
      <c r="D27" s="9">
        <v>3000</v>
      </c>
      <c r="E27" s="10">
        <v>45068</v>
      </c>
      <c r="F27" s="10">
        <v>45027</v>
      </c>
      <c r="G27" s="10">
        <v>45027</v>
      </c>
      <c r="H27" s="9">
        <v>31.7</v>
      </c>
      <c r="I27" s="9">
        <v>96</v>
      </c>
      <c r="J27" s="9">
        <v>1</v>
      </c>
      <c r="K27" s="9" t="s">
        <v>33</v>
      </c>
      <c r="L27" s="9">
        <v>0</v>
      </c>
      <c r="M27" s="9">
        <v>160</v>
      </c>
      <c r="N27" s="9">
        <v>30</v>
      </c>
      <c r="O27" s="9">
        <v>1</v>
      </c>
      <c r="P27" s="9">
        <v>1</v>
      </c>
      <c r="Q27" s="9">
        <v>1</v>
      </c>
      <c r="R27" s="9">
        <v>0</v>
      </c>
      <c r="S27" s="9">
        <v>0</v>
      </c>
      <c r="T27" s="9">
        <v>660</v>
      </c>
      <c r="U27" s="9">
        <v>800</v>
      </c>
      <c r="V27" s="9">
        <v>0</v>
      </c>
      <c r="W27" s="9">
        <v>0</v>
      </c>
      <c r="X27" s="9">
        <v>0</v>
      </c>
      <c r="Y27" s="9">
        <v>1</v>
      </c>
      <c r="Z27" s="9">
        <v>4</v>
      </c>
      <c r="AA27" s="9">
        <v>0</v>
      </c>
      <c r="AB27" s="10">
        <v>45056</v>
      </c>
    </row>
    <row r="28" spans="1:28" ht="15.75" customHeight="1">
      <c r="A28" s="9" t="s">
        <v>101</v>
      </c>
      <c r="B28" s="9" t="s">
        <v>102</v>
      </c>
      <c r="C28" s="9" t="s">
        <v>103</v>
      </c>
      <c r="D28" s="9">
        <v>1000</v>
      </c>
      <c r="E28" s="10">
        <v>45055</v>
      </c>
      <c r="F28" s="10">
        <v>45016</v>
      </c>
      <c r="G28" s="10">
        <v>45036</v>
      </c>
      <c r="H28" s="9">
        <v>49.7</v>
      </c>
      <c r="I28" s="9">
        <v>50</v>
      </c>
      <c r="J28" s="9">
        <v>1</v>
      </c>
      <c r="K28" s="9" t="s">
        <v>48</v>
      </c>
      <c r="L28" s="9">
        <v>80</v>
      </c>
      <c r="M28" s="9">
        <v>140</v>
      </c>
      <c r="N28" s="9">
        <v>45</v>
      </c>
      <c r="O28" s="9">
        <v>1</v>
      </c>
      <c r="P28" s="9">
        <v>1</v>
      </c>
      <c r="Q28" s="9">
        <v>1</v>
      </c>
      <c r="R28" s="9">
        <v>0</v>
      </c>
      <c r="S28" s="9">
        <v>0</v>
      </c>
      <c r="T28" s="9">
        <v>1500</v>
      </c>
      <c r="U28" s="9">
        <v>900</v>
      </c>
      <c r="V28" s="9">
        <v>0</v>
      </c>
      <c r="W28" s="9">
        <v>0</v>
      </c>
      <c r="X28" s="9">
        <v>0</v>
      </c>
      <c r="Y28" s="9">
        <v>1</v>
      </c>
      <c r="Z28" s="9">
        <v>4</v>
      </c>
      <c r="AA28" s="9">
        <v>0</v>
      </c>
      <c r="AB28" s="10">
        <v>45044</v>
      </c>
    </row>
    <row r="29" spans="1:28" ht="15.75" customHeight="1">
      <c r="A29" s="9" t="s">
        <v>104</v>
      </c>
      <c r="B29" s="9" t="s">
        <v>105</v>
      </c>
      <c r="C29" s="9" t="s">
        <v>106</v>
      </c>
      <c r="D29" s="9">
        <v>5500</v>
      </c>
      <c r="E29" s="10">
        <v>45075</v>
      </c>
      <c r="F29" s="10">
        <v>45026</v>
      </c>
      <c r="G29" s="10">
        <v>45034</v>
      </c>
      <c r="H29" s="9">
        <v>150</v>
      </c>
      <c r="I29" s="9">
        <v>825</v>
      </c>
      <c r="J29" s="9">
        <v>3</v>
      </c>
      <c r="K29" s="9" t="s">
        <v>40</v>
      </c>
      <c r="L29" s="9">
        <v>30</v>
      </c>
      <c r="M29" s="9">
        <v>95</v>
      </c>
      <c r="N29" s="9">
        <v>30</v>
      </c>
      <c r="O29" s="9">
        <v>1</v>
      </c>
      <c r="P29" s="9">
        <v>1</v>
      </c>
      <c r="Q29" s="9">
        <v>1</v>
      </c>
      <c r="R29" s="9">
        <v>0</v>
      </c>
      <c r="S29" s="9">
        <v>0</v>
      </c>
      <c r="T29" s="9">
        <v>800</v>
      </c>
      <c r="U29" s="9">
        <v>550</v>
      </c>
      <c r="V29" s="9">
        <v>0</v>
      </c>
      <c r="W29" s="9">
        <v>0</v>
      </c>
      <c r="X29" s="9">
        <v>0</v>
      </c>
      <c r="Y29" s="9">
        <v>1</v>
      </c>
      <c r="Z29" s="9">
        <v>4</v>
      </c>
      <c r="AA29" s="9">
        <v>0</v>
      </c>
      <c r="AB29" s="10">
        <v>45044</v>
      </c>
    </row>
    <row r="30" spans="1:28" ht="15.75" customHeight="1">
      <c r="A30" s="9" t="s">
        <v>107</v>
      </c>
      <c r="B30" s="9" t="s">
        <v>108</v>
      </c>
      <c r="C30" s="9" t="s">
        <v>109</v>
      </c>
      <c r="D30" s="9">
        <v>5000</v>
      </c>
      <c r="E30" s="10">
        <v>45075</v>
      </c>
      <c r="F30" s="10">
        <v>45027</v>
      </c>
      <c r="G30" s="10">
        <v>45056</v>
      </c>
      <c r="H30" s="9">
        <v>128</v>
      </c>
      <c r="I30" s="9">
        <v>640</v>
      </c>
      <c r="J30" s="9">
        <v>7</v>
      </c>
      <c r="K30" s="9" t="s">
        <v>33</v>
      </c>
      <c r="L30" s="9">
        <v>90</v>
      </c>
      <c r="M30" s="9">
        <v>35</v>
      </c>
      <c r="N30" s="9">
        <v>10</v>
      </c>
      <c r="O30" s="9">
        <v>1</v>
      </c>
      <c r="P30" s="9">
        <v>1</v>
      </c>
      <c r="Q30" s="9">
        <v>1</v>
      </c>
      <c r="R30" s="9">
        <v>0</v>
      </c>
      <c r="S30" s="9">
        <v>0</v>
      </c>
      <c r="T30" s="9">
        <v>600</v>
      </c>
      <c r="U30" s="9">
        <v>700</v>
      </c>
      <c r="V30" s="9">
        <v>0</v>
      </c>
      <c r="W30" s="9">
        <v>0</v>
      </c>
      <c r="X30" s="9">
        <v>0</v>
      </c>
      <c r="Y30" s="9">
        <v>1</v>
      </c>
      <c r="Z30" s="9">
        <v>4</v>
      </c>
      <c r="AA30" s="9">
        <v>0</v>
      </c>
      <c r="AB30" s="10">
        <v>45064</v>
      </c>
    </row>
    <row r="31" spans="1:28" ht="15.75" customHeight="1">
      <c r="A31" s="9" t="s">
        <v>110</v>
      </c>
      <c r="B31" s="9" t="s">
        <v>111</v>
      </c>
      <c r="C31" s="9" t="s">
        <v>112</v>
      </c>
      <c r="D31" s="9">
        <v>4478</v>
      </c>
      <c r="E31" s="10">
        <v>45072</v>
      </c>
      <c r="F31" s="10">
        <v>45050</v>
      </c>
      <c r="G31" s="10">
        <v>45056</v>
      </c>
      <c r="H31" s="9">
        <v>370</v>
      </c>
      <c r="I31" s="9">
        <v>1657</v>
      </c>
      <c r="J31" s="9">
        <v>17</v>
      </c>
      <c r="K31" s="9" t="s">
        <v>33</v>
      </c>
      <c r="L31" s="9">
        <v>75</v>
      </c>
      <c r="M31" s="9">
        <v>60</v>
      </c>
      <c r="N31" s="9">
        <v>10</v>
      </c>
      <c r="O31" s="9">
        <v>1</v>
      </c>
      <c r="P31" s="9">
        <v>1</v>
      </c>
      <c r="Q31" s="9">
        <v>1</v>
      </c>
      <c r="R31" s="9">
        <v>0</v>
      </c>
      <c r="S31" s="9">
        <v>0</v>
      </c>
      <c r="T31" s="9">
        <v>570</v>
      </c>
      <c r="U31" s="9">
        <v>480</v>
      </c>
      <c r="V31" s="9">
        <v>0</v>
      </c>
      <c r="W31" s="9">
        <v>0</v>
      </c>
      <c r="X31" s="9">
        <v>0</v>
      </c>
      <c r="Y31" s="9">
        <v>1</v>
      </c>
      <c r="Z31" s="9">
        <v>4</v>
      </c>
      <c r="AA31" s="9">
        <v>0</v>
      </c>
      <c r="AB31" s="10">
        <v>45065</v>
      </c>
    </row>
    <row r="32" spans="1:28" ht="15.75" customHeight="1">
      <c r="A32" s="9" t="s">
        <v>113</v>
      </c>
      <c r="B32" s="9" t="s">
        <v>114</v>
      </c>
      <c r="C32" s="9" t="s">
        <v>115</v>
      </c>
      <c r="D32" s="9">
        <v>2000</v>
      </c>
      <c r="E32" s="10">
        <v>45072</v>
      </c>
      <c r="F32" s="10">
        <v>45051</v>
      </c>
      <c r="G32" s="10">
        <v>45063</v>
      </c>
      <c r="H32" s="9">
        <v>32.4</v>
      </c>
      <c r="I32" s="9">
        <v>65</v>
      </c>
      <c r="J32" s="9">
        <v>1</v>
      </c>
      <c r="K32" s="9" t="s">
        <v>33</v>
      </c>
      <c r="L32" s="9">
        <v>25</v>
      </c>
      <c r="M32" s="9">
        <v>80</v>
      </c>
      <c r="N32" s="9">
        <v>15</v>
      </c>
      <c r="O32" s="9">
        <v>1</v>
      </c>
      <c r="P32" s="9">
        <v>1</v>
      </c>
      <c r="Q32" s="9">
        <v>1</v>
      </c>
      <c r="R32" s="9">
        <v>0</v>
      </c>
      <c r="S32" s="9">
        <v>0</v>
      </c>
      <c r="T32" s="9">
        <v>570</v>
      </c>
      <c r="U32" s="9">
        <v>1</v>
      </c>
      <c r="V32" s="9">
        <v>0</v>
      </c>
      <c r="W32" s="9">
        <v>0</v>
      </c>
      <c r="X32" s="9">
        <v>0</v>
      </c>
      <c r="Y32" s="9">
        <v>1</v>
      </c>
      <c r="Z32" s="9">
        <v>4</v>
      </c>
      <c r="AA32" s="9">
        <v>0</v>
      </c>
      <c r="AB32" s="10">
        <v>45070</v>
      </c>
    </row>
    <row r="33" spans="1:28" ht="15.75" customHeight="1">
      <c r="A33" s="9" t="s">
        <v>116</v>
      </c>
      <c r="B33" s="9" t="s">
        <v>117</v>
      </c>
      <c r="C33" s="9" t="s">
        <v>118</v>
      </c>
      <c r="D33" s="9">
        <v>4000</v>
      </c>
      <c r="E33" s="10">
        <v>45071</v>
      </c>
      <c r="F33" s="10">
        <v>45027</v>
      </c>
      <c r="G33" s="10">
        <v>45044</v>
      </c>
      <c r="H33" s="9">
        <v>200.9</v>
      </c>
      <c r="I33" s="9">
        <v>804</v>
      </c>
      <c r="J33" s="9">
        <v>8</v>
      </c>
      <c r="K33" s="9" t="s">
        <v>74</v>
      </c>
      <c r="L33" s="9">
        <v>25</v>
      </c>
      <c r="M33" s="9">
        <v>180</v>
      </c>
      <c r="N33" s="9">
        <v>40</v>
      </c>
      <c r="O33" s="9">
        <v>1</v>
      </c>
      <c r="P33" s="9">
        <v>1</v>
      </c>
      <c r="Q33" s="9">
        <v>1</v>
      </c>
      <c r="R33" s="9">
        <v>0</v>
      </c>
      <c r="S33" s="9">
        <v>0</v>
      </c>
      <c r="T33" s="9">
        <v>0</v>
      </c>
      <c r="U33" s="9">
        <v>500</v>
      </c>
      <c r="V33" s="9">
        <v>0</v>
      </c>
      <c r="W33" s="9">
        <v>0</v>
      </c>
      <c r="X33" s="9">
        <v>0</v>
      </c>
      <c r="Y33" s="9">
        <v>0</v>
      </c>
      <c r="Z33" s="9">
        <v>3</v>
      </c>
      <c r="AA33" s="9">
        <v>0</v>
      </c>
      <c r="AB33" s="10">
        <v>45061</v>
      </c>
    </row>
    <row r="34" spans="1:28" ht="15.75" customHeight="1">
      <c r="A34" s="9" t="s">
        <v>119</v>
      </c>
      <c r="B34" s="9" t="s">
        <v>120</v>
      </c>
      <c r="C34" s="9" t="s">
        <v>121</v>
      </c>
      <c r="D34" s="9">
        <v>3000</v>
      </c>
      <c r="E34" s="10">
        <v>45071</v>
      </c>
      <c r="F34" s="10">
        <v>45027</v>
      </c>
      <c r="G34" s="10">
        <v>45044</v>
      </c>
      <c r="H34" s="9">
        <v>15</v>
      </c>
      <c r="I34" s="9">
        <v>45</v>
      </c>
      <c r="J34" s="9">
        <v>1</v>
      </c>
      <c r="K34" s="9" t="s">
        <v>48</v>
      </c>
      <c r="L34" s="9">
        <v>25</v>
      </c>
      <c r="M34" s="9">
        <v>160</v>
      </c>
      <c r="N34" s="9">
        <v>40</v>
      </c>
      <c r="O34" s="9">
        <v>1</v>
      </c>
      <c r="P34" s="9">
        <v>1</v>
      </c>
      <c r="Q34" s="9">
        <v>1</v>
      </c>
      <c r="R34" s="9">
        <v>0</v>
      </c>
      <c r="S34" s="9">
        <v>0</v>
      </c>
      <c r="T34" s="9">
        <v>1</v>
      </c>
      <c r="U34" s="9">
        <v>900</v>
      </c>
      <c r="V34" s="9">
        <v>0</v>
      </c>
      <c r="W34" s="9">
        <v>0</v>
      </c>
      <c r="X34" s="9">
        <v>0</v>
      </c>
      <c r="Y34" s="9">
        <v>1</v>
      </c>
      <c r="Z34" s="9">
        <v>4</v>
      </c>
      <c r="AA34" s="9">
        <v>0</v>
      </c>
      <c r="AB34" s="10">
        <v>45058</v>
      </c>
    </row>
    <row r="35" spans="1:28" ht="15.75" customHeight="1">
      <c r="A35" s="9" t="s">
        <v>122</v>
      </c>
      <c r="B35" s="9" t="s">
        <v>123</v>
      </c>
      <c r="C35" s="9" t="s">
        <v>124</v>
      </c>
      <c r="D35" s="9">
        <v>5000</v>
      </c>
      <c r="E35" s="10">
        <v>45075</v>
      </c>
      <c r="F35" s="10">
        <v>45027</v>
      </c>
      <c r="G35" s="10">
        <v>44979</v>
      </c>
      <c r="H35" s="9">
        <v>9.1999999999999993</v>
      </c>
      <c r="I35" s="9">
        <v>46</v>
      </c>
      <c r="J35" s="9">
        <v>1</v>
      </c>
      <c r="K35" s="9" t="s">
        <v>33</v>
      </c>
      <c r="L35" s="9">
        <v>25</v>
      </c>
      <c r="M35" s="9">
        <v>80</v>
      </c>
      <c r="N35" s="9">
        <v>15</v>
      </c>
      <c r="O35" s="9">
        <v>1</v>
      </c>
      <c r="P35" s="9">
        <v>1</v>
      </c>
      <c r="Q35" s="9">
        <v>1</v>
      </c>
      <c r="R35" s="9">
        <v>0</v>
      </c>
      <c r="S35" s="9">
        <v>0</v>
      </c>
      <c r="T35" s="9">
        <v>1700</v>
      </c>
      <c r="U35" s="9">
        <v>1700</v>
      </c>
      <c r="V35" s="9">
        <v>0</v>
      </c>
      <c r="W35" s="9">
        <v>0</v>
      </c>
      <c r="X35" s="9">
        <v>0</v>
      </c>
      <c r="Y35" s="9">
        <v>1</v>
      </c>
      <c r="Z35" s="9">
        <v>4</v>
      </c>
      <c r="AA35" s="9">
        <v>0</v>
      </c>
      <c r="AB35" s="10">
        <v>45048</v>
      </c>
    </row>
    <row r="36" spans="1:28" ht="15.75" customHeight="1">
      <c r="A36" s="9" t="s">
        <v>125</v>
      </c>
      <c r="B36" s="9" t="s">
        <v>126</v>
      </c>
      <c r="C36" s="9" t="s">
        <v>127</v>
      </c>
      <c r="D36" s="9">
        <v>15</v>
      </c>
      <c r="E36" s="10">
        <v>45075</v>
      </c>
      <c r="F36" s="10">
        <v>45069</v>
      </c>
      <c r="G36" s="10">
        <v>45069</v>
      </c>
      <c r="H36" s="9">
        <v>416.6</v>
      </c>
      <c r="I36" s="9">
        <v>7</v>
      </c>
      <c r="J36" s="9">
        <v>1</v>
      </c>
      <c r="K36" s="9" t="s">
        <v>40</v>
      </c>
      <c r="L36" s="9">
        <v>25</v>
      </c>
      <c r="M36" s="9">
        <v>180</v>
      </c>
      <c r="N36" s="9">
        <v>30</v>
      </c>
      <c r="O36" s="9">
        <v>1</v>
      </c>
      <c r="P36" s="9">
        <v>1</v>
      </c>
      <c r="Q36" s="9">
        <v>1</v>
      </c>
      <c r="R36" s="9">
        <v>0</v>
      </c>
      <c r="S36" s="9">
        <v>0</v>
      </c>
      <c r="T36" s="9">
        <v>860</v>
      </c>
      <c r="U36" s="9">
        <v>440</v>
      </c>
      <c r="V36" s="9">
        <v>0</v>
      </c>
      <c r="W36" s="9">
        <v>0</v>
      </c>
      <c r="X36" s="9">
        <v>0</v>
      </c>
      <c r="Y36" s="9">
        <v>1</v>
      </c>
      <c r="Z36" s="9">
        <v>3</v>
      </c>
      <c r="AA36" s="9">
        <v>0</v>
      </c>
      <c r="AB36" s="10">
        <v>45070</v>
      </c>
    </row>
    <row r="37" spans="1:28" ht="15.75" customHeight="1">
      <c r="A37" s="9" t="s">
        <v>128</v>
      </c>
      <c r="B37" s="9" t="s">
        <v>129</v>
      </c>
      <c r="C37" s="9" t="s">
        <v>130</v>
      </c>
      <c r="D37" s="9">
        <v>10000</v>
      </c>
      <c r="E37" s="10">
        <v>45077</v>
      </c>
      <c r="F37" s="10">
        <v>45034</v>
      </c>
      <c r="G37" s="10">
        <v>45054</v>
      </c>
      <c r="H37" s="9">
        <v>50</v>
      </c>
      <c r="I37" s="9">
        <v>500</v>
      </c>
      <c r="J37" s="9">
        <v>7</v>
      </c>
      <c r="K37" s="9" t="s">
        <v>33</v>
      </c>
      <c r="L37" s="9">
        <v>95</v>
      </c>
      <c r="M37" s="9">
        <v>80</v>
      </c>
      <c r="N37" s="9">
        <v>30</v>
      </c>
      <c r="O37" s="9">
        <v>1</v>
      </c>
      <c r="P37" s="9">
        <v>1</v>
      </c>
      <c r="Q37" s="9">
        <v>1</v>
      </c>
      <c r="R37" s="9">
        <v>0</v>
      </c>
      <c r="S37" s="9">
        <v>0</v>
      </c>
      <c r="T37" s="9">
        <v>1100</v>
      </c>
      <c r="U37" s="9">
        <v>900</v>
      </c>
      <c r="V37" s="9">
        <v>0</v>
      </c>
      <c r="W37" s="9">
        <v>0</v>
      </c>
      <c r="X37" s="9">
        <v>0</v>
      </c>
      <c r="Y37" s="9">
        <v>1</v>
      </c>
      <c r="Z37" s="9">
        <v>4</v>
      </c>
      <c r="AA37" s="9">
        <v>0</v>
      </c>
      <c r="AB37" s="10">
        <v>45069</v>
      </c>
    </row>
    <row r="38" spans="1:28" ht="15.75" customHeight="1">
      <c r="A38" s="9" t="s">
        <v>131</v>
      </c>
      <c r="B38" s="9" t="s">
        <v>132</v>
      </c>
      <c r="C38" s="9" t="s">
        <v>133</v>
      </c>
      <c r="D38" s="9">
        <v>10000</v>
      </c>
      <c r="E38" s="10">
        <v>44980</v>
      </c>
      <c r="F38" s="10">
        <v>44726</v>
      </c>
      <c r="G38" s="10">
        <v>44726</v>
      </c>
      <c r="H38" s="9">
        <v>10.1</v>
      </c>
      <c r="I38" s="9">
        <v>101</v>
      </c>
      <c r="J38" s="9">
        <v>1</v>
      </c>
      <c r="K38" s="9" t="s">
        <v>74</v>
      </c>
      <c r="L38" s="9">
        <v>135</v>
      </c>
      <c r="M38" s="9">
        <v>200</v>
      </c>
      <c r="N38" s="9">
        <v>40</v>
      </c>
      <c r="O38" s="9">
        <v>1</v>
      </c>
      <c r="P38" s="9">
        <v>1</v>
      </c>
      <c r="Q38" s="9">
        <v>1</v>
      </c>
      <c r="R38" s="9">
        <v>0</v>
      </c>
      <c r="S38" s="9">
        <v>0</v>
      </c>
      <c r="T38" s="9">
        <v>0</v>
      </c>
      <c r="U38" s="9">
        <v>1000</v>
      </c>
      <c r="V38" s="9">
        <v>0</v>
      </c>
      <c r="W38" s="9">
        <v>0</v>
      </c>
      <c r="X38" s="9">
        <v>0</v>
      </c>
      <c r="Y38" s="9">
        <v>0</v>
      </c>
      <c r="Z38" s="9">
        <v>4</v>
      </c>
      <c r="AA38" s="9">
        <v>0</v>
      </c>
      <c r="AB38" s="10">
        <v>44970</v>
      </c>
    </row>
    <row r="39" spans="1:28" ht="15.75" customHeight="1">
      <c r="A39" s="9" t="s">
        <v>134</v>
      </c>
      <c r="B39" s="9" t="s">
        <v>132</v>
      </c>
      <c r="C39" s="9" t="s">
        <v>133</v>
      </c>
      <c r="D39" s="9">
        <v>10000</v>
      </c>
      <c r="E39" s="10">
        <v>45077</v>
      </c>
      <c r="F39" s="10">
        <v>45013</v>
      </c>
      <c r="G39" s="10">
        <v>45058</v>
      </c>
      <c r="H39" s="9">
        <v>10.1</v>
      </c>
      <c r="I39" s="9">
        <v>101</v>
      </c>
      <c r="J39" s="9">
        <v>1</v>
      </c>
      <c r="K39" s="9" t="s">
        <v>74</v>
      </c>
      <c r="L39" s="9">
        <v>135</v>
      </c>
      <c r="M39" s="9">
        <v>200</v>
      </c>
      <c r="N39" s="9">
        <v>40</v>
      </c>
      <c r="O39" s="9">
        <v>1</v>
      </c>
      <c r="P39" s="9">
        <v>1</v>
      </c>
      <c r="Q39" s="9">
        <v>1</v>
      </c>
      <c r="R39" s="9">
        <v>0</v>
      </c>
      <c r="S39" s="9">
        <v>0</v>
      </c>
      <c r="T39" s="9">
        <v>0</v>
      </c>
      <c r="U39" s="9">
        <v>1000</v>
      </c>
      <c r="V39" s="9">
        <v>0</v>
      </c>
      <c r="W39" s="9">
        <v>0</v>
      </c>
      <c r="X39" s="9">
        <v>0</v>
      </c>
      <c r="Y39" s="9">
        <v>0</v>
      </c>
      <c r="Z39" s="9">
        <v>4</v>
      </c>
      <c r="AA39" s="9">
        <v>0</v>
      </c>
      <c r="AB39" s="10">
        <v>45063</v>
      </c>
    </row>
    <row r="40" spans="1:28" ht="15.75" customHeight="1">
      <c r="A40" s="9" t="s">
        <v>135</v>
      </c>
      <c r="B40" s="9" t="s">
        <v>136</v>
      </c>
      <c r="C40" s="9" t="s">
        <v>137</v>
      </c>
      <c r="D40" s="9">
        <v>2000</v>
      </c>
      <c r="E40" s="10">
        <v>45070</v>
      </c>
      <c r="F40" s="10">
        <v>45023</v>
      </c>
      <c r="G40" s="10">
        <v>45065</v>
      </c>
      <c r="H40" s="9">
        <v>120</v>
      </c>
      <c r="I40" s="9">
        <v>240</v>
      </c>
      <c r="J40" s="9">
        <v>1</v>
      </c>
      <c r="K40" s="9" t="s">
        <v>40</v>
      </c>
      <c r="L40" s="9">
        <v>30</v>
      </c>
      <c r="M40" s="9">
        <v>120</v>
      </c>
      <c r="N40" s="9">
        <v>30</v>
      </c>
      <c r="O40" s="9">
        <v>1</v>
      </c>
      <c r="P40" s="9">
        <v>1</v>
      </c>
      <c r="Q40" s="9">
        <v>1</v>
      </c>
      <c r="R40" s="9">
        <v>0</v>
      </c>
      <c r="S40" s="9">
        <v>0</v>
      </c>
      <c r="T40" s="9">
        <v>440</v>
      </c>
      <c r="U40" s="9">
        <v>600</v>
      </c>
      <c r="V40" s="9">
        <v>0</v>
      </c>
      <c r="W40" s="9">
        <v>0</v>
      </c>
      <c r="X40" s="9">
        <v>0</v>
      </c>
      <c r="Y40" s="9">
        <v>1</v>
      </c>
      <c r="Z40" s="9">
        <v>4</v>
      </c>
      <c r="AA40" s="9">
        <v>0</v>
      </c>
      <c r="AB40" s="10">
        <v>45072</v>
      </c>
    </row>
    <row r="41" spans="1:28" ht="15.75" customHeight="1">
      <c r="A41" s="9" t="s">
        <v>138</v>
      </c>
      <c r="B41" s="9" t="s">
        <v>139</v>
      </c>
      <c r="C41" s="9" t="s">
        <v>140</v>
      </c>
      <c r="D41" s="9">
        <v>10000</v>
      </c>
      <c r="E41" s="10">
        <v>45082</v>
      </c>
      <c r="F41" s="10">
        <v>45034</v>
      </c>
      <c r="G41" s="10">
        <v>45065</v>
      </c>
      <c r="H41" s="9">
        <v>10.1</v>
      </c>
      <c r="I41" s="9">
        <v>101</v>
      </c>
      <c r="J41" s="9">
        <v>1</v>
      </c>
      <c r="K41" s="9" t="s">
        <v>33</v>
      </c>
      <c r="L41" s="9">
        <v>25</v>
      </c>
      <c r="M41" s="9">
        <v>110</v>
      </c>
      <c r="N41" s="9">
        <v>20</v>
      </c>
      <c r="O41" s="9">
        <v>1</v>
      </c>
      <c r="P41" s="9">
        <v>1</v>
      </c>
      <c r="Q41" s="9">
        <v>1</v>
      </c>
      <c r="R41" s="9">
        <v>0</v>
      </c>
      <c r="S41" s="9">
        <v>0</v>
      </c>
      <c r="T41" s="9">
        <v>0</v>
      </c>
      <c r="U41" s="9">
        <v>1</v>
      </c>
      <c r="V41" s="9">
        <v>0</v>
      </c>
      <c r="W41" s="9">
        <v>0</v>
      </c>
      <c r="X41" s="9">
        <v>0</v>
      </c>
      <c r="Y41" s="9">
        <v>0</v>
      </c>
      <c r="Z41" s="9">
        <v>4</v>
      </c>
      <c r="AA41" s="9">
        <v>0</v>
      </c>
      <c r="AB41" s="10">
        <v>45072</v>
      </c>
    </row>
    <row r="42" spans="1:28" ht="15.75" customHeight="1">
      <c r="A42" s="9" t="s">
        <v>141</v>
      </c>
      <c r="B42" s="9" t="s">
        <v>142</v>
      </c>
      <c r="C42" s="9" t="s">
        <v>143</v>
      </c>
      <c r="D42" s="9">
        <v>2500</v>
      </c>
      <c r="E42" s="10">
        <v>45076</v>
      </c>
      <c r="F42" s="10">
        <v>45027</v>
      </c>
      <c r="G42" s="10">
        <v>45058</v>
      </c>
      <c r="H42" s="9">
        <v>175</v>
      </c>
      <c r="I42" s="9">
        <v>438</v>
      </c>
      <c r="J42" s="9">
        <v>9</v>
      </c>
      <c r="K42" s="9" t="s">
        <v>74</v>
      </c>
      <c r="L42" s="9">
        <v>25</v>
      </c>
      <c r="M42" s="9">
        <v>180</v>
      </c>
      <c r="N42" s="9">
        <v>30</v>
      </c>
      <c r="O42" s="9">
        <v>1</v>
      </c>
      <c r="P42" s="9">
        <v>1</v>
      </c>
      <c r="Q42" s="9">
        <v>1</v>
      </c>
      <c r="R42" s="9">
        <v>0</v>
      </c>
      <c r="S42" s="9">
        <v>0</v>
      </c>
      <c r="T42" s="9">
        <v>800</v>
      </c>
      <c r="U42" s="9">
        <v>500</v>
      </c>
      <c r="V42" s="9">
        <v>0</v>
      </c>
      <c r="W42" s="9">
        <v>0</v>
      </c>
      <c r="X42" s="9">
        <v>0</v>
      </c>
      <c r="Y42" s="9">
        <v>1</v>
      </c>
      <c r="Z42" s="9">
        <v>3</v>
      </c>
      <c r="AA42" s="9">
        <v>0</v>
      </c>
      <c r="AB42" s="10">
        <v>45072</v>
      </c>
    </row>
    <row r="43" spans="1:28" ht="15.75" customHeight="1">
      <c r="A43" s="9" t="s">
        <v>144</v>
      </c>
      <c r="B43" s="9" t="s">
        <v>145</v>
      </c>
      <c r="C43" s="9" t="s">
        <v>146</v>
      </c>
      <c r="D43" s="9">
        <v>11921</v>
      </c>
      <c r="E43" s="10">
        <v>45082</v>
      </c>
      <c r="F43" s="10">
        <v>44987</v>
      </c>
      <c r="G43" s="10">
        <v>45023</v>
      </c>
      <c r="H43" s="9">
        <v>40</v>
      </c>
      <c r="I43" s="9">
        <v>477</v>
      </c>
      <c r="J43" s="9">
        <v>10</v>
      </c>
      <c r="K43" s="9" t="s">
        <v>74</v>
      </c>
      <c r="L43" s="9">
        <v>30</v>
      </c>
      <c r="M43" s="9">
        <v>180</v>
      </c>
      <c r="N43" s="9">
        <v>40</v>
      </c>
      <c r="O43" s="9">
        <v>1</v>
      </c>
      <c r="P43" s="9">
        <v>1</v>
      </c>
      <c r="Q43" s="9">
        <v>1</v>
      </c>
      <c r="R43" s="9">
        <v>0</v>
      </c>
      <c r="S43" s="9">
        <v>0</v>
      </c>
      <c r="T43" s="9">
        <v>0</v>
      </c>
      <c r="U43" s="9">
        <v>850</v>
      </c>
      <c r="V43" s="9">
        <v>0</v>
      </c>
      <c r="W43" s="9">
        <v>0</v>
      </c>
      <c r="X43" s="9">
        <v>0</v>
      </c>
      <c r="Y43" s="9">
        <v>0</v>
      </c>
      <c r="Z43" s="9">
        <v>4</v>
      </c>
      <c r="AA43" s="9">
        <v>0</v>
      </c>
      <c r="AB43" s="10">
        <v>45028</v>
      </c>
    </row>
    <row r="44" spans="1:28" ht="15.75" customHeight="1">
      <c r="A44" s="9" t="s">
        <v>147</v>
      </c>
      <c r="B44" s="9" t="s">
        <v>148</v>
      </c>
      <c r="C44" s="9" t="s">
        <v>149</v>
      </c>
      <c r="D44" s="9">
        <v>640</v>
      </c>
      <c r="E44" s="10">
        <v>45086</v>
      </c>
      <c r="F44" s="10">
        <v>45050</v>
      </c>
      <c r="G44" s="10">
        <v>45055</v>
      </c>
      <c r="H44" s="9">
        <v>250</v>
      </c>
      <c r="I44" s="9">
        <v>160</v>
      </c>
      <c r="J44" s="9">
        <v>1</v>
      </c>
      <c r="K44" s="9" t="s">
        <v>40</v>
      </c>
      <c r="L44" s="9">
        <v>25</v>
      </c>
      <c r="M44" s="9">
        <v>180</v>
      </c>
      <c r="N44" s="9">
        <v>30</v>
      </c>
      <c r="O44" s="9">
        <v>1</v>
      </c>
      <c r="P44" s="9">
        <v>1</v>
      </c>
      <c r="Q44" s="9">
        <v>1</v>
      </c>
      <c r="R44" s="9">
        <v>0</v>
      </c>
      <c r="S44" s="9">
        <v>0</v>
      </c>
      <c r="T44" s="9">
        <v>990</v>
      </c>
      <c r="U44" s="9">
        <v>480</v>
      </c>
      <c r="V44" s="9">
        <v>0</v>
      </c>
      <c r="W44" s="9">
        <v>0</v>
      </c>
      <c r="X44" s="9">
        <v>0</v>
      </c>
      <c r="Y44" s="9">
        <v>1</v>
      </c>
      <c r="Z44" s="9">
        <v>3</v>
      </c>
      <c r="AA44" s="9">
        <v>0</v>
      </c>
      <c r="AB44" s="10">
        <v>45077</v>
      </c>
    </row>
    <row r="45" spans="1:28" ht="15.75" customHeight="1">
      <c r="A45" s="9" t="s">
        <v>150</v>
      </c>
      <c r="B45" s="9" t="s">
        <v>151</v>
      </c>
      <c r="C45" s="9" t="s">
        <v>152</v>
      </c>
      <c r="D45" s="9">
        <v>200</v>
      </c>
      <c r="E45" s="10">
        <v>45086</v>
      </c>
      <c r="F45" s="10">
        <v>45050</v>
      </c>
      <c r="G45" s="10">
        <v>45044</v>
      </c>
      <c r="H45" s="9">
        <v>500</v>
      </c>
      <c r="I45" s="9">
        <v>100</v>
      </c>
      <c r="J45" s="9">
        <v>1</v>
      </c>
      <c r="K45" s="9" t="s">
        <v>40</v>
      </c>
      <c r="L45" s="9">
        <v>25</v>
      </c>
      <c r="M45" s="9">
        <v>180</v>
      </c>
      <c r="N45" s="9">
        <v>30</v>
      </c>
      <c r="O45" s="9">
        <v>1</v>
      </c>
      <c r="P45" s="9">
        <v>1</v>
      </c>
      <c r="Q45" s="9">
        <v>1</v>
      </c>
      <c r="R45" s="9">
        <v>0</v>
      </c>
      <c r="S45" s="9">
        <v>0</v>
      </c>
      <c r="T45" s="9">
        <v>770</v>
      </c>
      <c r="U45" s="9">
        <v>350</v>
      </c>
      <c r="V45" s="9">
        <v>0</v>
      </c>
      <c r="W45" s="9">
        <v>0</v>
      </c>
      <c r="X45" s="9">
        <v>0</v>
      </c>
      <c r="Y45" s="9">
        <v>1</v>
      </c>
      <c r="Z45" s="9">
        <v>4</v>
      </c>
      <c r="AA45" s="9">
        <v>0</v>
      </c>
      <c r="AB45" s="10">
        <v>45077</v>
      </c>
    </row>
    <row r="46" spans="1:28" ht="15.75" customHeight="1">
      <c r="A46" s="9" t="s">
        <v>153</v>
      </c>
      <c r="B46" s="9" t="s">
        <v>154</v>
      </c>
      <c r="C46" s="9" t="s">
        <v>155</v>
      </c>
      <c r="D46" s="9">
        <v>1460</v>
      </c>
      <c r="E46" s="10">
        <v>45086</v>
      </c>
      <c r="F46" s="10">
        <v>44987</v>
      </c>
      <c r="G46" s="10">
        <v>45037</v>
      </c>
      <c r="H46" s="9">
        <v>8</v>
      </c>
      <c r="I46" s="9">
        <v>12</v>
      </c>
      <c r="J46" s="9">
        <v>1</v>
      </c>
      <c r="K46" s="9" t="s">
        <v>48</v>
      </c>
      <c r="L46" s="9">
        <v>25</v>
      </c>
      <c r="M46" s="9">
        <v>125</v>
      </c>
      <c r="N46" s="9">
        <v>30</v>
      </c>
      <c r="O46" s="9">
        <v>1</v>
      </c>
      <c r="P46" s="9">
        <v>1</v>
      </c>
      <c r="Q46" s="9">
        <v>1</v>
      </c>
      <c r="R46" s="9">
        <v>0</v>
      </c>
      <c r="S46" s="9">
        <v>0</v>
      </c>
      <c r="T46" s="9">
        <v>1400</v>
      </c>
      <c r="U46" s="9">
        <v>1000</v>
      </c>
      <c r="V46" s="9">
        <v>0</v>
      </c>
      <c r="W46" s="9">
        <v>0</v>
      </c>
      <c r="X46" s="9">
        <v>0</v>
      </c>
      <c r="Y46" s="9">
        <v>1</v>
      </c>
      <c r="Z46" s="9">
        <v>4</v>
      </c>
      <c r="AA46" s="9">
        <v>0</v>
      </c>
      <c r="AB46" s="10">
        <v>45082</v>
      </c>
    </row>
    <row r="47" spans="1:28" ht="15.75" customHeight="1">
      <c r="A47" s="9" t="s">
        <v>156</v>
      </c>
      <c r="B47" s="9" t="s">
        <v>157</v>
      </c>
      <c r="C47" s="9" t="s">
        <v>158</v>
      </c>
      <c r="D47" s="9">
        <v>2500</v>
      </c>
      <c r="E47" s="10">
        <v>45086</v>
      </c>
      <c r="F47" s="10">
        <v>45055</v>
      </c>
      <c r="G47" s="10">
        <v>45037</v>
      </c>
      <c r="H47" s="9">
        <v>62</v>
      </c>
      <c r="I47" s="9">
        <v>155</v>
      </c>
      <c r="J47" s="9">
        <v>3</v>
      </c>
      <c r="K47" s="9" t="s">
        <v>48</v>
      </c>
      <c r="L47" s="9">
        <v>25</v>
      </c>
      <c r="M47" s="9">
        <v>125</v>
      </c>
      <c r="N47" s="9">
        <v>30</v>
      </c>
      <c r="O47" s="9">
        <v>1</v>
      </c>
      <c r="P47" s="9">
        <v>1</v>
      </c>
      <c r="Q47" s="9">
        <v>1</v>
      </c>
      <c r="R47" s="9">
        <v>0</v>
      </c>
      <c r="S47" s="9">
        <v>0</v>
      </c>
      <c r="T47" s="9">
        <v>1400</v>
      </c>
      <c r="U47" s="9">
        <v>870</v>
      </c>
      <c r="V47" s="9">
        <v>0</v>
      </c>
      <c r="W47" s="9">
        <v>0</v>
      </c>
      <c r="X47" s="9">
        <v>0</v>
      </c>
      <c r="Y47" s="9">
        <v>1</v>
      </c>
      <c r="Z47" s="9">
        <v>3</v>
      </c>
      <c r="AA47" s="9">
        <v>0</v>
      </c>
      <c r="AB47" s="10">
        <v>45082</v>
      </c>
    </row>
    <row r="48" spans="1:28" ht="15.75" customHeight="1">
      <c r="A48" s="9" t="s">
        <v>156</v>
      </c>
      <c r="B48" s="9" t="s">
        <v>157</v>
      </c>
      <c r="C48" s="9" t="s">
        <v>158</v>
      </c>
      <c r="D48" s="9">
        <v>2500</v>
      </c>
      <c r="E48" s="10">
        <v>45086</v>
      </c>
      <c r="F48" s="10">
        <v>45055</v>
      </c>
      <c r="G48" s="10">
        <v>45037</v>
      </c>
      <c r="H48" s="9">
        <v>62</v>
      </c>
      <c r="I48" s="9">
        <v>155</v>
      </c>
      <c r="J48" s="9">
        <v>3</v>
      </c>
      <c r="K48" s="9" t="s">
        <v>48</v>
      </c>
      <c r="L48" s="9">
        <v>25</v>
      </c>
      <c r="M48" s="9">
        <v>125</v>
      </c>
      <c r="N48" s="9">
        <v>30</v>
      </c>
      <c r="O48" s="9">
        <v>1</v>
      </c>
      <c r="P48" s="9">
        <v>1</v>
      </c>
      <c r="Q48" s="9">
        <v>1</v>
      </c>
      <c r="R48" s="9">
        <v>0</v>
      </c>
      <c r="S48" s="9">
        <v>0</v>
      </c>
      <c r="T48" s="9">
        <v>1400</v>
      </c>
      <c r="U48" s="9">
        <v>870</v>
      </c>
      <c r="V48" s="9">
        <v>0</v>
      </c>
      <c r="W48" s="9">
        <v>0</v>
      </c>
      <c r="X48" s="9">
        <v>0</v>
      </c>
      <c r="Y48" s="9">
        <v>1</v>
      </c>
      <c r="Z48" s="9">
        <v>3</v>
      </c>
      <c r="AA48" s="9">
        <v>0</v>
      </c>
      <c r="AB48" s="10">
        <v>45083</v>
      </c>
    </row>
    <row r="49" spans="1:28" ht="15.75" customHeight="1">
      <c r="A49" s="9" t="s">
        <v>159</v>
      </c>
      <c r="B49" s="9" t="s">
        <v>160</v>
      </c>
      <c r="C49" s="9" t="s">
        <v>161</v>
      </c>
      <c r="D49" s="9">
        <v>1660</v>
      </c>
      <c r="E49" s="10">
        <v>45089</v>
      </c>
      <c r="F49" s="10">
        <v>45029</v>
      </c>
      <c r="G49" s="10">
        <v>45079</v>
      </c>
      <c r="H49" s="9">
        <v>60</v>
      </c>
      <c r="I49" s="9">
        <v>100</v>
      </c>
      <c r="J49" s="9">
        <v>2</v>
      </c>
      <c r="K49" s="9" t="s">
        <v>48</v>
      </c>
      <c r="L49" s="9">
        <v>90</v>
      </c>
      <c r="M49" s="9">
        <v>150</v>
      </c>
      <c r="N49" s="9">
        <v>90</v>
      </c>
      <c r="O49" s="9">
        <v>1</v>
      </c>
      <c r="P49" s="9">
        <v>1</v>
      </c>
      <c r="Q49" s="9">
        <v>1</v>
      </c>
      <c r="R49" s="9">
        <v>0</v>
      </c>
      <c r="S49" s="9">
        <v>0</v>
      </c>
      <c r="T49" s="9">
        <v>0</v>
      </c>
      <c r="U49" s="9">
        <v>850</v>
      </c>
      <c r="V49" s="9">
        <v>0</v>
      </c>
      <c r="W49" s="9">
        <v>0</v>
      </c>
      <c r="X49" s="9">
        <v>0</v>
      </c>
      <c r="Y49" s="9">
        <v>0</v>
      </c>
      <c r="Z49" s="9">
        <v>4</v>
      </c>
      <c r="AA49" s="9">
        <v>0</v>
      </c>
      <c r="AB49" s="10">
        <v>45082</v>
      </c>
    </row>
    <row r="50" spans="1:28" ht="15.75" customHeight="1">
      <c r="A50" s="9" t="s">
        <v>162</v>
      </c>
      <c r="B50" s="9" t="s">
        <v>50</v>
      </c>
      <c r="C50" s="9" t="s">
        <v>51</v>
      </c>
      <c r="D50" s="9">
        <v>2385</v>
      </c>
      <c r="E50" s="10">
        <v>45085</v>
      </c>
      <c r="F50" s="10">
        <v>45022</v>
      </c>
      <c r="G50" s="10">
        <v>45065</v>
      </c>
      <c r="H50" s="9">
        <v>90</v>
      </c>
      <c r="I50" s="9">
        <v>215</v>
      </c>
      <c r="J50" s="9">
        <v>1</v>
      </c>
      <c r="K50" s="9" t="s">
        <v>40</v>
      </c>
      <c r="L50" s="9">
        <v>50</v>
      </c>
      <c r="M50" s="9">
        <v>90</v>
      </c>
      <c r="N50" s="9">
        <v>30</v>
      </c>
      <c r="O50" s="9">
        <v>1</v>
      </c>
      <c r="P50" s="9">
        <v>1</v>
      </c>
      <c r="Q50" s="9">
        <v>1</v>
      </c>
      <c r="R50" s="9">
        <v>0</v>
      </c>
      <c r="S50" s="9">
        <v>0</v>
      </c>
      <c r="T50" s="9">
        <v>1</v>
      </c>
      <c r="U50" s="9">
        <v>900</v>
      </c>
      <c r="V50" s="9">
        <v>0</v>
      </c>
      <c r="W50" s="9">
        <v>0</v>
      </c>
      <c r="X50" s="9">
        <v>0</v>
      </c>
      <c r="Y50" s="9">
        <v>1</v>
      </c>
      <c r="Z50" s="9">
        <v>4</v>
      </c>
      <c r="AA50" s="9">
        <v>0</v>
      </c>
      <c r="AB50" s="10">
        <v>45075</v>
      </c>
    </row>
    <row r="51" spans="1:28" ht="15.75" customHeight="1">
      <c r="A51" s="9" t="s">
        <v>163</v>
      </c>
      <c r="B51" s="9" t="s">
        <v>164</v>
      </c>
      <c r="C51" s="9" t="s">
        <v>165</v>
      </c>
      <c r="D51" s="9">
        <v>1180</v>
      </c>
      <c r="E51" s="10">
        <v>45076</v>
      </c>
      <c r="F51" s="10">
        <v>45050</v>
      </c>
      <c r="G51" s="10">
        <v>45036</v>
      </c>
      <c r="H51" s="9">
        <v>170</v>
      </c>
      <c r="I51" s="9">
        <v>201</v>
      </c>
      <c r="J51" s="9">
        <v>5</v>
      </c>
      <c r="K51" s="9" t="s">
        <v>48</v>
      </c>
      <c r="L51" s="9">
        <v>35</v>
      </c>
      <c r="M51" s="9">
        <v>140</v>
      </c>
      <c r="N51" s="9">
        <v>40</v>
      </c>
      <c r="O51" s="9">
        <v>1</v>
      </c>
      <c r="P51" s="9">
        <v>1</v>
      </c>
      <c r="Q51" s="9">
        <v>1</v>
      </c>
      <c r="R51" s="9">
        <v>0</v>
      </c>
      <c r="S51" s="9">
        <v>40</v>
      </c>
      <c r="T51" s="9">
        <v>400</v>
      </c>
      <c r="U51" s="9">
        <v>190</v>
      </c>
      <c r="V51" s="9">
        <v>0</v>
      </c>
      <c r="W51" s="9">
        <v>0</v>
      </c>
      <c r="X51" s="9">
        <v>1</v>
      </c>
      <c r="Y51" s="9">
        <v>1</v>
      </c>
      <c r="Z51" s="9">
        <v>4</v>
      </c>
      <c r="AA51" s="9">
        <v>0</v>
      </c>
      <c r="AB51" s="10">
        <v>45070</v>
      </c>
    </row>
    <row r="52" spans="1:28" ht="15.75" customHeight="1">
      <c r="A52" s="9" t="s">
        <v>166</v>
      </c>
      <c r="B52" s="9" t="s">
        <v>167</v>
      </c>
      <c r="C52" s="9" t="s">
        <v>168</v>
      </c>
      <c r="D52" s="9">
        <v>10000</v>
      </c>
      <c r="E52" s="10">
        <v>45086</v>
      </c>
      <c r="F52" s="10">
        <v>45055</v>
      </c>
      <c r="G52" s="10">
        <v>45050</v>
      </c>
      <c r="H52" s="9">
        <v>30</v>
      </c>
      <c r="I52" s="9">
        <v>300</v>
      </c>
      <c r="J52" s="9">
        <v>3</v>
      </c>
      <c r="K52" s="9" t="s">
        <v>74</v>
      </c>
      <c r="L52" s="9">
        <v>25</v>
      </c>
      <c r="M52" s="9">
        <v>180</v>
      </c>
      <c r="N52" s="9">
        <v>40</v>
      </c>
      <c r="O52" s="9">
        <v>1</v>
      </c>
      <c r="P52" s="9">
        <v>1</v>
      </c>
      <c r="Q52" s="9">
        <v>1</v>
      </c>
      <c r="R52" s="9">
        <v>0</v>
      </c>
      <c r="S52" s="9">
        <v>0</v>
      </c>
      <c r="T52" s="9">
        <v>1</v>
      </c>
      <c r="U52" s="9">
        <v>1</v>
      </c>
      <c r="V52" s="9">
        <v>0</v>
      </c>
      <c r="W52" s="9">
        <v>0</v>
      </c>
      <c r="X52" s="9">
        <v>0</v>
      </c>
      <c r="Y52" s="9">
        <v>1</v>
      </c>
      <c r="Z52" s="9">
        <v>4</v>
      </c>
      <c r="AA52" s="9">
        <v>0</v>
      </c>
      <c r="AB52" s="10">
        <v>45076</v>
      </c>
    </row>
    <row r="53" spans="1:28" ht="15.75" customHeight="1">
      <c r="A53" s="9" t="s">
        <v>169</v>
      </c>
      <c r="B53" s="9" t="s">
        <v>170</v>
      </c>
      <c r="C53" s="9" t="s">
        <v>171</v>
      </c>
      <c r="D53" s="9">
        <v>20000</v>
      </c>
      <c r="E53" s="10">
        <v>45097</v>
      </c>
      <c r="F53" s="10">
        <v>45055</v>
      </c>
      <c r="G53" s="10">
        <v>45065</v>
      </c>
      <c r="H53" s="9">
        <v>10</v>
      </c>
      <c r="I53" s="9">
        <v>200</v>
      </c>
      <c r="J53" s="9">
        <v>2</v>
      </c>
      <c r="K53" s="9" t="s">
        <v>74</v>
      </c>
      <c r="L53" s="9">
        <v>25</v>
      </c>
      <c r="M53" s="9">
        <v>180</v>
      </c>
      <c r="N53" s="9">
        <v>40</v>
      </c>
      <c r="O53" s="9">
        <v>1</v>
      </c>
      <c r="P53" s="9">
        <v>1</v>
      </c>
      <c r="Q53" s="9">
        <v>1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4</v>
      </c>
      <c r="AA53" s="9">
        <v>0</v>
      </c>
      <c r="AB53" s="10">
        <v>45079</v>
      </c>
    </row>
    <row r="54" spans="1:28" ht="15.75" customHeight="1">
      <c r="A54" s="9" t="s">
        <v>172</v>
      </c>
      <c r="B54" s="9" t="s">
        <v>173</v>
      </c>
      <c r="C54" s="9" t="s">
        <v>174</v>
      </c>
      <c r="D54" s="9">
        <v>2500</v>
      </c>
      <c r="E54" s="10">
        <v>45090</v>
      </c>
      <c r="F54" s="10">
        <v>45062</v>
      </c>
      <c r="G54" s="10">
        <v>44992</v>
      </c>
      <c r="H54" s="9">
        <v>40</v>
      </c>
      <c r="I54" s="9">
        <v>100</v>
      </c>
      <c r="J54" s="9">
        <v>2</v>
      </c>
      <c r="K54" s="9" t="s">
        <v>48</v>
      </c>
      <c r="L54" s="9">
        <v>105</v>
      </c>
      <c r="M54" s="9">
        <v>120</v>
      </c>
      <c r="N54" s="9">
        <v>90</v>
      </c>
      <c r="O54" s="9">
        <v>1</v>
      </c>
      <c r="P54" s="9">
        <v>1</v>
      </c>
      <c r="Q54" s="9">
        <v>1</v>
      </c>
      <c r="R54" s="9">
        <v>0</v>
      </c>
      <c r="S54" s="9">
        <v>0</v>
      </c>
      <c r="T54" s="9">
        <v>0</v>
      </c>
      <c r="U54" s="9">
        <v>750</v>
      </c>
      <c r="V54" s="9">
        <v>0</v>
      </c>
      <c r="W54" s="9">
        <v>0</v>
      </c>
      <c r="X54" s="9">
        <v>0</v>
      </c>
      <c r="Y54" s="9">
        <v>0</v>
      </c>
      <c r="Z54" s="9">
        <v>4</v>
      </c>
      <c r="AA54" s="9">
        <v>0</v>
      </c>
      <c r="AB54" s="10">
        <v>45076</v>
      </c>
    </row>
    <row r="55" spans="1:28" ht="15.75" customHeight="1">
      <c r="A55" s="9" t="s">
        <v>175</v>
      </c>
      <c r="B55" s="9" t="s">
        <v>176</v>
      </c>
      <c r="C55" s="9" t="s">
        <v>177</v>
      </c>
      <c r="D55" s="9">
        <v>2000</v>
      </c>
      <c r="E55" s="10">
        <v>45091</v>
      </c>
      <c r="F55" s="10">
        <v>45064</v>
      </c>
      <c r="G55" s="10">
        <v>45076</v>
      </c>
      <c r="H55" s="9">
        <v>35.5</v>
      </c>
      <c r="I55" s="9">
        <v>71</v>
      </c>
      <c r="J55" s="9">
        <v>1</v>
      </c>
      <c r="K55" s="9" t="s">
        <v>33</v>
      </c>
      <c r="L55" s="9">
        <v>100</v>
      </c>
      <c r="M55" s="9">
        <v>160</v>
      </c>
      <c r="N55" s="9">
        <v>15</v>
      </c>
      <c r="O55" s="9">
        <v>1</v>
      </c>
      <c r="P55" s="9">
        <v>1</v>
      </c>
      <c r="Q55" s="9">
        <v>1</v>
      </c>
      <c r="R55" s="9">
        <v>0</v>
      </c>
      <c r="S55" s="9">
        <v>0</v>
      </c>
      <c r="T55" s="9">
        <v>1</v>
      </c>
      <c r="U55" s="9">
        <v>700</v>
      </c>
      <c r="V55" s="9">
        <v>0</v>
      </c>
      <c r="W55" s="9">
        <v>0</v>
      </c>
      <c r="X55" s="9">
        <v>0</v>
      </c>
      <c r="Y55" s="9">
        <v>1</v>
      </c>
      <c r="Z55" s="9">
        <v>3</v>
      </c>
      <c r="AA55" s="9">
        <v>0</v>
      </c>
      <c r="AB55" s="10">
        <v>45085</v>
      </c>
    </row>
    <row r="56" spans="1:28" ht="15.75" customHeight="1">
      <c r="A56" s="9" t="s">
        <v>178</v>
      </c>
      <c r="B56" s="9" t="s">
        <v>38</v>
      </c>
      <c r="C56" s="9" t="s">
        <v>39</v>
      </c>
      <c r="D56" s="9">
        <v>10000</v>
      </c>
      <c r="E56" s="10">
        <v>45092</v>
      </c>
      <c r="F56" s="10">
        <v>44999</v>
      </c>
      <c r="G56" s="10">
        <v>44977</v>
      </c>
      <c r="H56" s="9">
        <v>11.7</v>
      </c>
      <c r="I56" s="9">
        <v>117</v>
      </c>
      <c r="J56" s="9">
        <v>1</v>
      </c>
      <c r="K56" s="9" t="s">
        <v>40</v>
      </c>
      <c r="L56" s="9">
        <v>70</v>
      </c>
      <c r="M56" s="9">
        <v>70</v>
      </c>
      <c r="N56" s="9">
        <v>30</v>
      </c>
      <c r="O56" s="9">
        <v>1</v>
      </c>
      <c r="P56" s="9">
        <v>1</v>
      </c>
      <c r="Q56" s="9">
        <v>1</v>
      </c>
      <c r="R56" s="9">
        <v>0</v>
      </c>
      <c r="S56" s="9">
        <v>0</v>
      </c>
      <c r="T56" s="9">
        <v>1100</v>
      </c>
      <c r="U56" s="9">
        <v>820</v>
      </c>
      <c r="V56" s="9">
        <v>0</v>
      </c>
      <c r="W56" s="9">
        <v>0</v>
      </c>
      <c r="X56" s="9">
        <v>0</v>
      </c>
      <c r="Y56" s="9">
        <v>1</v>
      </c>
      <c r="Z56" s="9">
        <v>4</v>
      </c>
      <c r="AA56" s="9">
        <v>0</v>
      </c>
      <c r="AB56" s="10">
        <v>45089</v>
      </c>
    </row>
    <row r="57" spans="1:28" ht="15.75" customHeight="1">
      <c r="A57" s="9" t="s">
        <v>179</v>
      </c>
      <c r="B57" s="9" t="s">
        <v>65</v>
      </c>
      <c r="C57" s="9" t="s">
        <v>66</v>
      </c>
      <c r="D57" s="9">
        <v>15000</v>
      </c>
      <c r="E57" s="10">
        <v>45107</v>
      </c>
      <c r="F57" s="10">
        <v>44973</v>
      </c>
      <c r="G57" s="10">
        <v>45035</v>
      </c>
      <c r="H57" s="9">
        <v>30.6</v>
      </c>
      <c r="I57" s="9">
        <v>460</v>
      </c>
      <c r="J57" s="9">
        <v>5</v>
      </c>
      <c r="K57" s="9" t="s">
        <v>33</v>
      </c>
      <c r="L57" s="9">
        <v>100</v>
      </c>
      <c r="M57" s="9">
        <v>115</v>
      </c>
      <c r="N57" s="9">
        <v>50</v>
      </c>
      <c r="O57" s="9">
        <v>1</v>
      </c>
      <c r="P57" s="9">
        <v>1</v>
      </c>
      <c r="Q57" s="9">
        <v>1</v>
      </c>
      <c r="R57" s="9">
        <v>0</v>
      </c>
      <c r="S57" s="9">
        <v>554</v>
      </c>
      <c r="T57" s="9">
        <v>1235</v>
      </c>
      <c r="U57" s="9">
        <v>800</v>
      </c>
      <c r="V57" s="9">
        <v>0</v>
      </c>
      <c r="W57" s="9">
        <v>0</v>
      </c>
      <c r="X57" s="9">
        <v>1</v>
      </c>
      <c r="Y57" s="9">
        <v>1</v>
      </c>
      <c r="Z57" s="9">
        <v>3</v>
      </c>
      <c r="AA57" s="9">
        <v>0</v>
      </c>
      <c r="AB57" s="10">
        <v>45040</v>
      </c>
    </row>
    <row r="58" spans="1:28" ht="15.75" customHeight="1">
      <c r="A58" s="9" t="s">
        <v>180</v>
      </c>
      <c r="B58" s="9" t="s">
        <v>181</v>
      </c>
      <c r="C58" s="9" t="s">
        <v>182</v>
      </c>
      <c r="D58" s="9">
        <v>10000</v>
      </c>
      <c r="E58" s="10">
        <v>45107</v>
      </c>
      <c r="F58" s="10">
        <v>44978</v>
      </c>
      <c r="G58" s="10">
        <v>44981</v>
      </c>
      <c r="H58" s="9">
        <v>50</v>
      </c>
      <c r="I58" s="9">
        <v>500</v>
      </c>
      <c r="J58" s="9">
        <v>5</v>
      </c>
      <c r="K58" s="9" t="s">
        <v>74</v>
      </c>
      <c r="L58" s="9">
        <v>25</v>
      </c>
      <c r="M58" s="9">
        <v>180</v>
      </c>
      <c r="N58" s="9">
        <v>40</v>
      </c>
      <c r="O58" s="9">
        <v>1</v>
      </c>
      <c r="P58" s="9">
        <v>1</v>
      </c>
      <c r="Q58" s="9">
        <v>1</v>
      </c>
      <c r="R58" s="9">
        <v>1600</v>
      </c>
      <c r="S58" s="9">
        <v>0</v>
      </c>
      <c r="T58" s="9">
        <v>1600</v>
      </c>
      <c r="U58" s="9">
        <v>1000</v>
      </c>
      <c r="V58" s="9">
        <v>0</v>
      </c>
      <c r="W58" s="9">
        <v>1</v>
      </c>
      <c r="X58" s="9">
        <v>0</v>
      </c>
      <c r="Y58" s="9">
        <v>1</v>
      </c>
      <c r="Z58" s="9">
        <v>4</v>
      </c>
      <c r="AA58" s="9">
        <v>0</v>
      </c>
      <c r="AB58" s="10">
        <v>45007</v>
      </c>
    </row>
    <row r="59" spans="1:28" ht="15.75" customHeight="1">
      <c r="A59" s="9" t="s">
        <v>183</v>
      </c>
      <c r="B59" s="9" t="s">
        <v>184</v>
      </c>
      <c r="C59" s="9" t="s">
        <v>185</v>
      </c>
      <c r="D59" s="9">
        <v>1000</v>
      </c>
      <c r="E59" s="10">
        <v>45093</v>
      </c>
      <c r="F59" s="10">
        <v>45027</v>
      </c>
      <c r="G59" s="10">
        <v>45079</v>
      </c>
      <c r="H59" s="9">
        <v>16</v>
      </c>
      <c r="I59" s="9">
        <v>16</v>
      </c>
      <c r="J59" s="9">
        <v>1</v>
      </c>
      <c r="K59" s="9" t="s">
        <v>33</v>
      </c>
      <c r="L59" s="9">
        <v>0</v>
      </c>
      <c r="M59" s="9">
        <v>190</v>
      </c>
      <c r="N59" s="9">
        <v>10</v>
      </c>
      <c r="O59" s="9">
        <v>1</v>
      </c>
      <c r="P59" s="9">
        <v>1</v>
      </c>
      <c r="Q59" s="9">
        <v>1</v>
      </c>
      <c r="R59" s="9">
        <v>0</v>
      </c>
      <c r="S59" s="9">
        <v>0</v>
      </c>
      <c r="T59" s="9">
        <v>1200</v>
      </c>
      <c r="U59" s="9">
        <v>550</v>
      </c>
      <c r="V59" s="9">
        <v>0</v>
      </c>
      <c r="W59" s="9">
        <v>0</v>
      </c>
      <c r="X59" s="9">
        <v>0</v>
      </c>
      <c r="Y59" s="9">
        <v>1</v>
      </c>
      <c r="Z59" s="9">
        <v>4</v>
      </c>
      <c r="AA59" s="9">
        <v>0</v>
      </c>
      <c r="AB59" s="10">
        <v>45089</v>
      </c>
    </row>
    <row r="60" spans="1:28" ht="15.75" customHeight="1">
      <c r="A60" s="9" t="s">
        <v>186</v>
      </c>
      <c r="B60" s="9" t="s">
        <v>187</v>
      </c>
      <c r="C60" s="9" t="s">
        <v>188</v>
      </c>
      <c r="D60" s="9">
        <v>10000</v>
      </c>
      <c r="E60" s="10">
        <v>45097</v>
      </c>
      <c r="F60" s="10">
        <v>45055</v>
      </c>
      <c r="G60" s="10">
        <v>45065</v>
      </c>
      <c r="H60" s="9">
        <v>29.7</v>
      </c>
      <c r="I60" s="9">
        <v>297</v>
      </c>
      <c r="J60" s="9">
        <v>3</v>
      </c>
      <c r="K60" s="9" t="s">
        <v>33</v>
      </c>
      <c r="L60" s="9">
        <v>20</v>
      </c>
      <c r="M60" s="9">
        <v>110</v>
      </c>
      <c r="N60" s="9">
        <v>20</v>
      </c>
      <c r="O60" s="9">
        <v>1</v>
      </c>
      <c r="P60" s="9">
        <v>1</v>
      </c>
      <c r="Q60" s="9">
        <v>1</v>
      </c>
      <c r="R60" s="9">
        <v>0</v>
      </c>
      <c r="S60" s="9">
        <v>0</v>
      </c>
      <c r="T60" s="9">
        <v>600</v>
      </c>
      <c r="U60" s="9">
        <v>1</v>
      </c>
      <c r="V60" s="9">
        <v>0</v>
      </c>
      <c r="W60" s="9">
        <v>0</v>
      </c>
      <c r="X60" s="9">
        <v>0</v>
      </c>
      <c r="Y60" s="9">
        <v>1</v>
      </c>
      <c r="Z60" s="9">
        <v>4</v>
      </c>
      <c r="AA60" s="9">
        <v>0</v>
      </c>
      <c r="AB60" s="10">
        <v>45089</v>
      </c>
    </row>
    <row r="61" spans="1:28" ht="15.75" customHeight="1">
      <c r="A61" s="9" t="s">
        <v>189</v>
      </c>
      <c r="B61" s="9" t="s">
        <v>190</v>
      </c>
      <c r="C61" s="9" t="s">
        <v>44</v>
      </c>
      <c r="D61" s="9">
        <v>20000</v>
      </c>
      <c r="E61" s="10">
        <v>45107</v>
      </c>
      <c r="F61" s="10">
        <v>44987</v>
      </c>
      <c r="G61" s="10">
        <v>44986</v>
      </c>
      <c r="H61" s="9">
        <v>50</v>
      </c>
      <c r="I61" s="9">
        <v>1000</v>
      </c>
      <c r="J61" s="9">
        <v>15</v>
      </c>
      <c r="K61" s="9" t="s">
        <v>33</v>
      </c>
      <c r="L61" s="9">
        <v>35</v>
      </c>
      <c r="M61" s="9">
        <v>125</v>
      </c>
      <c r="N61" s="9">
        <v>15</v>
      </c>
      <c r="O61" s="9">
        <v>1</v>
      </c>
      <c r="P61" s="9">
        <v>1</v>
      </c>
      <c r="Q61" s="9">
        <v>1</v>
      </c>
      <c r="R61" s="9">
        <v>0</v>
      </c>
      <c r="S61" s="9">
        <v>0</v>
      </c>
      <c r="T61" s="9">
        <v>0</v>
      </c>
      <c r="U61" s="9">
        <v>800</v>
      </c>
      <c r="V61" s="9">
        <v>0</v>
      </c>
      <c r="W61" s="9">
        <v>0</v>
      </c>
      <c r="X61" s="9">
        <v>0</v>
      </c>
      <c r="Y61" s="9">
        <v>0</v>
      </c>
      <c r="Z61" s="9">
        <v>4</v>
      </c>
      <c r="AA61" s="9">
        <v>0</v>
      </c>
      <c r="AB61" s="10">
        <v>45023</v>
      </c>
    </row>
    <row r="62" spans="1:28" ht="15.75" customHeight="1">
      <c r="A62" s="9" t="s">
        <v>191</v>
      </c>
      <c r="B62" s="9" t="s">
        <v>192</v>
      </c>
      <c r="C62" s="9" t="s">
        <v>193</v>
      </c>
      <c r="D62" s="9">
        <v>10000</v>
      </c>
      <c r="E62" s="10">
        <v>45103</v>
      </c>
      <c r="F62" s="10">
        <v>45055</v>
      </c>
      <c r="G62" s="10">
        <v>45064</v>
      </c>
      <c r="H62" s="9">
        <v>10.1</v>
      </c>
      <c r="I62" s="9">
        <v>101</v>
      </c>
      <c r="J62" s="9">
        <v>1</v>
      </c>
      <c r="K62" s="9" t="s">
        <v>33</v>
      </c>
      <c r="L62" s="9">
        <v>20</v>
      </c>
      <c r="M62" s="9">
        <v>110</v>
      </c>
      <c r="N62" s="9">
        <v>20</v>
      </c>
      <c r="O62" s="9">
        <v>1</v>
      </c>
      <c r="P62" s="9">
        <v>1</v>
      </c>
      <c r="Q62" s="9">
        <v>1</v>
      </c>
      <c r="R62" s="9">
        <v>0</v>
      </c>
      <c r="S62" s="9">
        <v>0</v>
      </c>
      <c r="T62" s="9">
        <v>0</v>
      </c>
      <c r="U62" s="9">
        <v>1</v>
      </c>
      <c r="V62" s="9">
        <v>0</v>
      </c>
      <c r="W62" s="9">
        <v>0</v>
      </c>
      <c r="X62" s="9">
        <v>0</v>
      </c>
      <c r="Y62" s="9">
        <v>0</v>
      </c>
      <c r="Z62" s="9">
        <v>4</v>
      </c>
      <c r="AA62" s="9">
        <v>0</v>
      </c>
      <c r="AB62" s="10">
        <v>45091</v>
      </c>
    </row>
    <row r="63" spans="1:28" ht="15.75" customHeight="1">
      <c r="A63" s="9" t="s">
        <v>194</v>
      </c>
      <c r="B63" s="9" t="s">
        <v>195</v>
      </c>
      <c r="C63" s="9" t="s">
        <v>196</v>
      </c>
      <c r="D63" s="9">
        <v>2000</v>
      </c>
      <c r="E63" s="10">
        <v>45098</v>
      </c>
      <c r="F63" s="10">
        <v>45050</v>
      </c>
      <c r="G63" s="10">
        <v>45084</v>
      </c>
      <c r="H63" s="9">
        <v>8</v>
      </c>
      <c r="I63" s="9">
        <v>16</v>
      </c>
      <c r="J63" s="9">
        <v>1</v>
      </c>
      <c r="K63" s="9" t="s">
        <v>33</v>
      </c>
      <c r="L63" s="9">
        <v>20</v>
      </c>
      <c r="M63" s="9">
        <v>105</v>
      </c>
      <c r="N63" s="9">
        <v>15</v>
      </c>
      <c r="O63" s="9">
        <v>1</v>
      </c>
      <c r="P63" s="9">
        <v>1</v>
      </c>
      <c r="Q63" s="9">
        <v>1</v>
      </c>
      <c r="R63" s="9">
        <v>0</v>
      </c>
      <c r="S63" s="9">
        <v>1</v>
      </c>
      <c r="T63" s="9">
        <v>1850</v>
      </c>
      <c r="U63" s="9">
        <v>1500</v>
      </c>
      <c r="V63" s="9">
        <v>0</v>
      </c>
      <c r="W63" s="9">
        <v>0</v>
      </c>
      <c r="X63" s="9">
        <v>1</v>
      </c>
      <c r="Y63" s="9">
        <v>1</v>
      </c>
      <c r="Z63" s="9">
        <v>4</v>
      </c>
      <c r="AA63" s="9">
        <v>0</v>
      </c>
      <c r="AB63" s="10">
        <v>45090</v>
      </c>
    </row>
    <row r="64" spans="1:28" ht="15.75" customHeight="1">
      <c r="A64" s="9" t="s">
        <v>197</v>
      </c>
      <c r="B64" s="9" t="s">
        <v>198</v>
      </c>
      <c r="C64" s="9" t="s">
        <v>199</v>
      </c>
      <c r="D64" s="9">
        <v>2504</v>
      </c>
      <c r="E64" s="10">
        <v>45103</v>
      </c>
      <c r="F64" s="10">
        <v>45050</v>
      </c>
      <c r="G64" s="10">
        <v>45010</v>
      </c>
      <c r="H64" s="9">
        <v>206</v>
      </c>
      <c r="I64" s="9">
        <v>516</v>
      </c>
      <c r="J64" s="9">
        <v>2</v>
      </c>
      <c r="K64" s="9" t="s">
        <v>40</v>
      </c>
      <c r="L64" s="9">
        <v>0</v>
      </c>
      <c r="M64" s="9">
        <v>315</v>
      </c>
      <c r="N64" s="9">
        <v>30</v>
      </c>
      <c r="O64" s="9">
        <v>1</v>
      </c>
      <c r="P64" s="9">
        <v>1</v>
      </c>
      <c r="Q64" s="9">
        <v>1</v>
      </c>
      <c r="R64" s="9">
        <v>0</v>
      </c>
      <c r="S64" s="9">
        <v>0</v>
      </c>
      <c r="T64" s="9">
        <v>900</v>
      </c>
      <c r="U64" s="9">
        <v>480</v>
      </c>
      <c r="V64" s="9">
        <v>0</v>
      </c>
      <c r="W64" s="9">
        <v>0</v>
      </c>
      <c r="X64" s="9">
        <v>0</v>
      </c>
      <c r="Y64" s="9">
        <v>1</v>
      </c>
      <c r="Z64" s="9">
        <v>4</v>
      </c>
      <c r="AA64" s="9">
        <v>0</v>
      </c>
      <c r="AB64" s="10">
        <v>45092</v>
      </c>
    </row>
    <row r="65" spans="1:28" ht="15.75" customHeight="1">
      <c r="A65" s="9" t="s">
        <v>200</v>
      </c>
      <c r="B65" s="9" t="s">
        <v>201</v>
      </c>
      <c r="C65" s="9" t="s">
        <v>202</v>
      </c>
      <c r="D65" s="9">
        <v>2504</v>
      </c>
      <c r="E65" s="10">
        <v>45103</v>
      </c>
      <c r="F65" s="10">
        <v>45050</v>
      </c>
      <c r="G65" s="10">
        <v>45010</v>
      </c>
      <c r="H65" s="9">
        <v>202</v>
      </c>
      <c r="I65" s="9">
        <v>506</v>
      </c>
      <c r="J65" s="9">
        <v>2</v>
      </c>
      <c r="K65" s="9" t="s">
        <v>40</v>
      </c>
      <c r="L65" s="9">
        <v>70</v>
      </c>
      <c r="M65" s="9">
        <v>130</v>
      </c>
      <c r="N65" s="9">
        <v>30</v>
      </c>
      <c r="O65" s="9">
        <v>1</v>
      </c>
      <c r="P65" s="9">
        <v>1</v>
      </c>
      <c r="Q65" s="9">
        <v>1</v>
      </c>
      <c r="R65" s="9">
        <v>0</v>
      </c>
      <c r="S65" s="9">
        <v>0</v>
      </c>
      <c r="T65" s="9">
        <v>600</v>
      </c>
      <c r="U65" s="9">
        <v>630</v>
      </c>
      <c r="V65" s="9">
        <v>0</v>
      </c>
      <c r="W65" s="9">
        <v>0</v>
      </c>
      <c r="X65" s="9">
        <v>0</v>
      </c>
      <c r="Y65" s="9">
        <v>1</v>
      </c>
      <c r="Z65" s="9">
        <v>4</v>
      </c>
      <c r="AA65" s="9">
        <v>0</v>
      </c>
      <c r="AB65" s="10">
        <v>45091</v>
      </c>
    </row>
    <row r="66" spans="1:28" ht="15.75" customHeight="1">
      <c r="A66" s="9" t="s">
        <v>203</v>
      </c>
      <c r="B66" s="9" t="s">
        <v>204</v>
      </c>
      <c r="C66" s="9" t="s">
        <v>205</v>
      </c>
      <c r="D66" s="9">
        <v>2511</v>
      </c>
      <c r="E66" s="10">
        <v>45103</v>
      </c>
      <c r="F66" s="10">
        <v>45050</v>
      </c>
      <c r="G66" s="10">
        <v>45010</v>
      </c>
      <c r="H66" s="9">
        <v>100.3</v>
      </c>
      <c r="I66" s="9">
        <v>252</v>
      </c>
      <c r="J66" s="9">
        <v>1</v>
      </c>
      <c r="K66" s="9" t="s">
        <v>40</v>
      </c>
      <c r="L66" s="9">
        <v>0</v>
      </c>
      <c r="M66" s="9">
        <v>280</v>
      </c>
      <c r="N66" s="9">
        <v>30</v>
      </c>
      <c r="O66" s="9">
        <v>1</v>
      </c>
      <c r="P66" s="9">
        <v>1</v>
      </c>
      <c r="Q66" s="9">
        <v>1</v>
      </c>
      <c r="R66" s="9">
        <v>0</v>
      </c>
      <c r="S66" s="9">
        <v>0</v>
      </c>
      <c r="T66" s="9">
        <v>0</v>
      </c>
      <c r="U66" s="9">
        <v>450</v>
      </c>
      <c r="V66" s="9">
        <v>0</v>
      </c>
      <c r="W66" s="9">
        <v>0</v>
      </c>
      <c r="X66" s="9">
        <v>0</v>
      </c>
      <c r="Y66" s="9">
        <v>0</v>
      </c>
      <c r="Z66" s="9">
        <v>3</v>
      </c>
      <c r="AA66" s="9">
        <v>0</v>
      </c>
      <c r="AB66" s="10">
        <v>45082</v>
      </c>
    </row>
    <row r="67" spans="1:28" ht="15.75" customHeight="1">
      <c r="A67" s="9" t="s">
        <v>206</v>
      </c>
      <c r="B67" s="9" t="s">
        <v>207</v>
      </c>
      <c r="C67" s="9" t="s">
        <v>208</v>
      </c>
      <c r="D67" s="9">
        <v>2500</v>
      </c>
      <c r="E67" s="10">
        <v>45103</v>
      </c>
      <c r="F67" s="10">
        <v>45010</v>
      </c>
      <c r="G67" s="10">
        <v>45010</v>
      </c>
      <c r="H67" s="9">
        <v>30.5</v>
      </c>
      <c r="I67" s="9">
        <v>77</v>
      </c>
      <c r="J67" s="9">
        <v>1</v>
      </c>
      <c r="K67" s="9" t="s">
        <v>33</v>
      </c>
      <c r="L67" s="9">
        <v>90</v>
      </c>
      <c r="M67" s="9">
        <v>50</v>
      </c>
      <c r="N67" s="9">
        <v>10</v>
      </c>
      <c r="O67" s="9">
        <v>1</v>
      </c>
      <c r="P67" s="9">
        <v>1</v>
      </c>
      <c r="Q67" s="9">
        <v>1</v>
      </c>
      <c r="R67" s="9">
        <v>0</v>
      </c>
      <c r="S67" s="9">
        <v>0</v>
      </c>
      <c r="T67" s="9">
        <v>800</v>
      </c>
      <c r="U67" s="9">
        <v>1000</v>
      </c>
      <c r="V67" s="9">
        <v>0</v>
      </c>
      <c r="W67" s="9">
        <v>0</v>
      </c>
      <c r="X67" s="9">
        <v>0</v>
      </c>
      <c r="Y67" s="9">
        <v>1</v>
      </c>
      <c r="Z67" s="9">
        <v>4</v>
      </c>
      <c r="AA67" s="9">
        <v>0</v>
      </c>
      <c r="AB67" s="10">
        <v>45076</v>
      </c>
    </row>
    <row r="68" spans="1:28" ht="15.75" customHeight="1">
      <c r="A68" s="9" t="s">
        <v>209</v>
      </c>
      <c r="B68" s="9" t="s">
        <v>210</v>
      </c>
      <c r="C68" s="9" t="s">
        <v>211</v>
      </c>
      <c r="D68" s="9">
        <v>2500</v>
      </c>
      <c r="E68" s="10">
        <v>45103</v>
      </c>
      <c r="F68" s="10">
        <v>45050</v>
      </c>
      <c r="G68" s="10">
        <v>45010</v>
      </c>
      <c r="H68" s="9">
        <v>100</v>
      </c>
      <c r="I68" s="9">
        <v>250</v>
      </c>
      <c r="J68" s="9">
        <v>5</v>
      </c>
      <c r="K68" s="9" t="s">
        <v>48</v>
      </c>
      <c r="L68" s="9">
        <v>30</v>
      </c>
      <c r="M68" s="9">
        <v>155</v>
      </c>
      <c r="N68" s="9">
        <v>40</v>
      </c>
      <c r="O68" s="9">
        <v>1</v>
      </c>
      <c r="P68" s="9">
        <v>1</v>
      </c>
      <c r="Q68" s="9">
        <v>1</v>
      </c>
      <c r="R68" s="9">
        <v>0</v>
      </c>
      <c r="S68" s="9">
        <v>0</v>
      </c>
      <c r="T68" s="9">
        <v>1000</v>
      </c>
      <c r="U68" s="9">
        <v>600</v>
      </c>
      <c r="V68" s="9">
        <v>0</v>
      </c>
      <c r="W68" s="9">
        <v>0</v>
      </c>
      <c r="X68" s="9">
        <v>0</v>
      </c>
      <c r="Y68" s="9">
        <v>1</v>
      </c>
      <c r="Z68" s="9">
        <v>4</v>
      </c>
      <c r="AA68" s="9">
        <v>0</v>
      </c>
      <c r="AB68" s="10">
        <v>45084</v>
      </c>
    </row>
    <row r="69" spans="1:28" ht="15.75" customHeight="1">
      <c r="A69" s="9" t="s">
        <v>212</v>
      </c>
      <c r="B69" s="9" t="s">
        <v>213</v>
      </c>
      <c r="C69" s="9" t="s">
        <v>214</v>
      </c>
      <c r="D69" s="9">
        <v>1273</v>
      </c>
      <c r="E69" s="10">
        <v>45103</v>
      </c>
      <c r="F69" s="10">
        <v>45050</v>
      </c>
      <c r="G69" s="10">
        <v>45010</v>
      </c>
      <c r="H69" s="9">
        <v>25.3</v>
      </c>
      <c r="I69" s="9">
        <v>33</v>
      </c>
      <c r="J69" s="9">
        <v>1</v>
      </c>
      <c r="K69" s="9" t="s">
        <v>40</v>
      </c>
      <c r="L69" s="9">
        <v>25</v>
      </c>
      <c r="M69" s="9">
        <v>115</v>
      </c>
      <c r="N69" s="9">
        <v>30</v>
      </c>
      <c r="O69" s="9">
        <v>1</v>
      </c>
      <c r="P69" s="9">
        <v>1</v>
      </c>
      <c r="Q69" s="9">
        <v>1</v>
      </c>
      <c r="R69" s="9">
        <v>0</v>
      </c>
      <c r="S69" s="9">
        <v>0</v>
      </c>
      <c r="T69" s="9">
        <v>0</v>
      </c>
      <c r="U69" s="9">
        <v>1428</v>
      </c>
      <c r="V69" s="9">
        <v>0</v>
      </c>
      <c r="W69" s="9">
        <v>0</v>
      </c>
      <c r="X69" s="9">
        <v>0</v>
      </c>
      <c r="Y69" s="9">
        <v>0</v>
      </c>
      <c r="Z69" s="9">
        <v>1</v>
      </c>
      <c r="AA69" s="9">
        <v>0</v>
      </c>
      <c r="AB69" s="10">
        <v>45082</v>
      </c>
    </row>
    <row r="70" spans="1:28" ht="15.75" customHeight="1">
      <c r="A70" s="9" t="s">
        <v>215</v>
      </c>
      <c r="B70" s="9" t="s">
        <v>142</v>
      </c>
      <c r="C70" s="9" t="s">
        <v>143</v>
      </c>
      <c r="D70" s="9">
        <v>2500</v>
      </c>
      <c r="E70" s="10">
        <v>45106</v>
      </c>
      <c r="F70" s="10">
        <v>45068</v>
      </c>
      <c r="G70" s="10">
        <v>45058</v>
      </c>
      <c r="H70" s="9">
        <v>175</v>
      </c>
      <c r="I70" s="9">
        <v>438</v>
      </c>
      <c r="J70" s="9">
        <v>9</v>
      </c>
      <c r="K70" s="9" t="s">
        <v>74</v>
      </c>
      <c r="L70" s="9">
        <v>25</v>
      </c>
      <c r="M70" s="9">
        <v>180</v>
      </c>
      <c r="N70" s="9">
        <v>30</v>
      </c>
      <c r="O70" s="9">
        <v>1</v>
      </c>
      <c r="P70" s="9">
        <v>1</v>
      </c>
      <c r="Q70" s="9">
        <v>1</v>
      </c>
      <c r="R70" s="9">
        <v>0</v>
      </c>
      <c r="S70" s="9">
        <v>0</v>
      </c>
      <c r="T70" s="9">
        <v>800</v>
      </c>
      <c r="U70" s="9">
        <v>500</v>
      </c>
      <c r="V70" s="9">
        <v>0</v>
      </c>
      <c r="W70" s="9">
        <v>0</v>
      </c>
      <c r="X70" s="9">
        <v>0</v>
      </c>
      <c r="Y70" s="9">
        <v>1</v>
      </c>
      <c r="Z70" s="9">
        <v>3</v>
      </c>
      <c r="AA70" s="9">
        <v>0</v>
      </c>
      <c r="AB70" s="10">
        <v>45093</v>
      </c>
    </row>
    <row r="71" spans="1:28" ht="15.75" customHeight="1">
      <c r="A71" s="9" t="s">
        <v>216</v>
      </c>
      <c r="B71" s="9" t="s">
        <v>217</v>
      </c>
      <c r="C71" s="9" t="s">
        <v>218</v>
      </c>
      <c r="D71" s="9">
        <v>2500</v>
      </c>
      <c r="E71" s="10">
        <v>45104</v>
      </c>
      <c r="F71" s="10">
        <v>45069</v>
      </c>
      <c r="G71" s="10">
        <v>45057</v>
      </c>
      <c r="H71" s="9">
        <v>51.5</v>
      </c>
      <c r="I71" s="9">
        <v>129</v>
      </c>
      <c r="J71" s="9">
        <v>2</v>
      </c>
      <c r="K71" s="9" t="s">
        <v>33</v>
      </c>
      <c r="L71" s="9">
        <v>45</v>
      </c>
      <c r="M71" s="9">
        <v>105</v>
      </c>
      <c r="N71" s="9">
        <v>20</v>
      </c>
      <c r="O71" s="9">
        <v>1</v>
      </c>
      <c r="P71" s="9">
        <v>1</v>
      </c>
      <c r="Q71" s="9">
        <v>1</v>
      </c>
      <c r="R71" s="9">
        <v>0</v>
      </c>
      <c r="S71" s="9">
        <v>0</v>
      </c>
      <c r="T71" s="9">
        <v>0</v>
      </c>
      <c r="U71" s="9">
        <v>700</v>
      </c>
      <c r="V71" s="9">
        <v>0</v>
      </c>
      <c r="W71" s="9">
        <v>0</v>
      </c>
      <c r="X71" s="9">
        <v>0</v>
      </c>
      <c r="Y71" s="9">
        <v>0</v>
      </c>
      <c r="Z71" s="9">
        <v>3</v>
      </c>
      <c r="AA71" s="9">
        <v>0</v>
      </c>
      <c r="AB71" s="10">
        <v>45094</v>
      </c>
    </row>
    <row r="72" spans="1:28" ht="15.75" customHeight="1">
      <c r="A72" s="9" t="s">
        <v>219</v>
      </c>
      <c r="B72" s="9" t="s">
        <v>220</v>
      </c>
      <c r="C72" s="9" t="s">
        <v>221</v>
      </c>
      <c r="D72" s="9">
        <v>1500</v>
      </c>
      <c r="E72" s="10">
        <v>45106</v>
      </c>
      <c r="F72" s="10">
        <v>45086</v>
      </c>
      <c r="G72" s="10">
        <v>45089</v>
      </c>
      <c r="H72" s="9">
        <v>10</v>
      </c>
      <c r="I72" s="9">
        <v>15</v>
      </c>
      <c r="J72" s="9">
        <v>1</v>
      </c>
      <c r="K72" s="9" t="s">
        <v>33</v>
      </c>
      <c r="L72" s="9">
        <v>50</v>
      </c>
      <c r="M72" s="9">
        <v>60</v>
      </c>
      <c r="N72" s="9">
        <v>10</v>
      </c>
      <c r="O72" s="9">
        <v>1</v>
      </c>
      <c r="P72" s="9">
        <v>1</v>
      </c>
      <c r="Q72" s="9">
        <v>1</v>
      </c>
      <c r="R72" s="9">
        <v>0</v>
      </c>
      <c r="S72" s="9">
        <v>0</v>
      </c>
      <c r="T72" s="9">
        <v>1</v>
      </c>
      <c r="U72" s="9">
        <v>850</v>
      </c>
      <c r="V72" s="9">
        <v>0</v>
      </c>
      <c r="W72" s="9">
        <v>0</v>
      </c>
      <c r="X72" s="9">
        <v>0</v>
      </c>
      <c r="Y72" s="9">
        <v>1</v>
      </c>
      <c r="Z72" s="9">
        <v>4</v>
      </c>
      <c r="AA72" s="9">
        <v>0</v>
      </c>
      <c r="AB72" s="10">
        <v>45104</v>
      </c>
    </row>
    <row r="73" spans="1:28" ht="15.75" customHeight="1">
      <c r="A73" s="9" t="s">
        <v>222</v>
      </c>
      <c r="B73" s="9" t="s">
        <v>220</v>
      </c>
      <c r="C73" s="9" t="s">
        <v>221</v>
      </c>
      <c r="D73" s="9">
        <v>3000</v>
      </c>
      <c r="E73" s="10">
        <v>45106</v>
      </c>
      <c r="F73" s="10">
        <v>45086</v>
      </c>
      <c r="G73" s="10">
        <v>45089</v>
      </c>
      <c r="H73" s="9">
        <v>10</v>
      </c>
      <c r="I73" s="9">
        <v>30</v>
      </c>
      <c r="J73" s="9">
        <v>1</v>
      </c>
      <c r="K73" s="9" t="s">
        <v>33</v>
      </c>
      <c r="L73" s="9">
        <v>50</v>
      </c>
      <c r="M73" s="9">
        <v>60</v>
      </c>
      <c r="N73" s="9">
        <v>10</v>
      </c>
      <c r="O73" s="9">
        <v>1</v>
      </c>
      <c r="P73" s="9">
        <v>1</v>
      </c>
      <c r="Q73" s="9">
        <v>1</v>
      </c>
      <c r="R73" s="9">
        <v>0</v>
      </c>
      <c r="S73" s="9">
        <v>0</v>
      </c>
      <c r="T73" s="9">
        <v>1</v>
      </c>
      <c r="U73" s="9">
        <v>850</v>
      </c>
      <c r="V73" s="9">
        <v>0</v>
      </c>
      <c r="W73" s="9">
        <v>0</v>
      </c>
      <c r="X73" s="9">
        <v>0</v>
      </c>
      <c r="Y73" s="9">
        <v>1</v>
      </c>
      <c r="Z73" s="9">
        <v>4</v>
      </c>
      <c r="AA73" s="9">
        <v>0</v>
      </c>
      <c r="AB73" s="10">
        <v>45104</v>
      </c>
    </row>
    <row r="74" spans="1:28" ht="15.75" customHeight="1">
      <c r="A74" s="9" t="s">
        <v>223</v>
      </c>
      <c r="B74" s="9" t="s">
        <v>224</v>
      </c>
      <c r="C74" s="9" t="s">
        <v>225</v>
      </c>
      <c r="D74" s="9">
        <v>3000</v>
      </c>
      <c r="E74" s="10">
        <v>45106</v>
      </c>
      <c r="F74" s="10">
        <v>45063</v>
      </c>
      <c r="G74" s="10">
        <v>45089</v>
      </c>
      <c r="H74" s="9">
        <v>1.72</v>
      </c>
      <c r="I74" s="9">
        <v>6</v>
      </c>
      <c r="J74" s="9">
        <v>1</v>
      </c>
      <c r="K74" s="9" t="s">
        <v>33</v>
      </c>
      <c r="L74" s="9">
        <v>50</v>
      </c>
      <c r="M74" s="9">
        <v>60</v>
      </c>
      <c r="N74" s="9">
        <v>10</v>
      </c>
      <c r="O74" s="9">
        <v>1</v>
      </c>
      <c r="P74" s="9">
        <v>1</v>
      </c>
      <c r="Q74" s="9">
        <v>1</v>
      </c>
      <c r="R74" s="9">
        <v>0</v>
      </c>
      <c r="S74" s="9">
        <v>0</v>
      </c>
      <c r="T74" s="9">
        <v>1</v>
      </c>
      <c r="U74" s="9">
        <v>900</v>
      </c>
      <c r="V74" s="9">
        <v>0</v>
      </c>
      <c r="W74" s="9">
        <v>0</v>
      </c>
      <c r="X74" s="9">
        <v>0</v>
      </c>
      <c r="Y74" s="9">
        <v>1</v>
      </c>
      <c r="Z74" s="9">
        <v>4</v>
      </c>
      <c r="AA74" s="9">
        <v>0</v>
      </c>
      <c r="AB74" s="10">
        <v>45104</v>
      </c>
    </row>
    <row r="75" spans="1:28" ht="15.75" customHeight="1">
      <c r="A75" s="9" t="s">
        <v>226</v>
      </c>
      <c r="B75" s="9" t="s">
        <v>227</v>
      </c>
      <c r="C75" s="9" t="s">
        <v>228</v>
      </c>
      <c r="D75" s="9">
        <v>7790</v>
      </c>
      <c r="E75" s="10">
        <v>45111</v>
      </c>
      <c r="F75" s="10">
        <v>44959</v>
      </c>
      <c r="G75" s="10">
        <v>44975</v>
      </c>
      <c r="H75" s="9">
        <v>312</v>
      </c>
      <c r="I75" s="9">
        <v>2431</v>
      </c>
      <c r="J75" s="9">
        <v>6</v>
      </c>
      <c r="K75" s="9" t="s">
        <v>40</v>
      </c>
      <c r="L75" s="9">
        <v>50</v>
      </c>
      <c r="M75" s="9">
        <v>105</v>
      </c>
      <c r="N75" s="9">
        <v>30</v>
      </c>
      <c r="O75" s="9">
        <v>1</v>
      </c>
      <c r="P75" s="9">
        <v>1</v>
      </c>
      <c r="Q75" s="9">
        <v>1</v>
      </c>
      <c r="R75" s="9">
        <v>0</v>
      </c>
      <c r="S75" s="9">
        <v>0</v>
      </c>
      <c r="T75" s="9">
        <v>670</v>
      </c>
      <c r="U75" s="9">
        <v>430</v>
      </c>
      <c r="V75" s="9">
        <v>0</v>
      </c>
      <c r="W75" s="9">
        <v>0</v>
      </c>
      <c r="X75" s="9">
        <v>0</v>
      </c>
      <c r="Y75" s="9">
        <v>1</v>
      </c>
      <c r="Z75" s="9">
        <v>3</v>
      </c>
      <c r="AA75" s="9">
        <v>0</v>
      </c>
      <c r="AB75" s="10">
        <v>45091</v>
      </c>
    </row>
    <row r="76" spans="1:28" ht="15.75" customHeight="1">
      <c r="A76" s="9" t="s">
        <v>229</v>
      </c>
      <c r="B76" s="9" t="s">
        <v>35</v>
      </c>
      <c r="C76" s="9" t="s">
        <v>36</v>
      </c>
      <c r="D76" s="9">
        <v>40</v>
      </c>
      <c r="E76" s="10">
        <v>45105</v>
      </c>
      <c r="F76" s="10">
        <v>45063</v>
      </c>
      <c r="G76" s="10">
        <v>45055</v>
      </c>
      <c r="H76" s="9">
        <v>99.1</v>
      </c>
      <c r="I76" s="9">
        <v>4</v>
      </c>
      <c r="J76" s="9">
        <v>1</v>
      </c>
      <c r="K76" s="9" t="s">
        <v>33</v>
      </c>
      <c r="L76" s="9">
        <v>65</v>
      </c>
      <c r="M76" s="9">
        <v>65</v>
      </c>
      <c r="N76" s="9">
        <v>20</v>
      </c>
      <c r="O76" s="9">
        <v>1</v>
      </c>
      <c r="P76" s="9">
        <v>1</v>
      </c>
      <c r="Q76" s="9">
        <v>1</v>
      </c>
      <c r="R76" s="9">
        <v>0</v>
      </c>
      <c r="S76" s="9">
        <v>0</v>
      </c>
      <c r="T76" s="9">
        <v>1000</v>
      </c>
      <c r="U76" s="9">
        <v>390</v>
      </c>
      <c r="V76" s="9">
        <v>0</v>
      </c>
      <c r="W76" s="9">
        <v>0</v>
      </c>
      <c r="X76" s="9">
        <v>0</v>
      </c>
      <c r="Y76" s="9">
        <v>1</v>
      </c>
      <c r="Z76" s="9">
        <v>4</v>
      </c>
      <c r="AA76" s="9">
        <v>0</v>
      </c>
      <c r="AB76" s="10">
        <v>45097</v>
      </c>
    </row>
    <row r="77" spans="1:28" ht="15.75" customHeight="1">
      <c r="A77" s="9" t="s">
        <v>230</v>
      </c>
      <c r="B77" s="9" t="s">
        <v>35</v>
      </c>
      <c r="C77" s="9" t="s">
        <v>36</v>
      </c>
      <c r="D77" s="9">
        <v>70</v>
      </c>
      <c r="E77" s="10">
        <v>45105</v>
      </c>
      <c r="F77" s="10">
        <v>45070</v>
      </c>
      <c r="G77" s="10">
        <v>45086</v>
      </c>
      <c r="H77" s="9">
        <v>99.1</v>
      </c>
      <c r="I77" s="9">
        <v>7</v>
      </c>
      <c r="J77" s="9">
        <v>1</v>
      </c>
      <c r="K77" s="9" t="s">
        <v>33</v>
      </c>
      <c r="L77" s="9">
        <v>65</v>
      </c>
      <c r="M77" s="9">
        <v>65</v>
      </c>
      <c r="N77" s="9">
        <v>20</v>
      </c>
      <c r="O77" s="9">
        <v>1</v>
      </c>
      <c r="P77" s="9">
        <v>1</v>
      </c>
      <c r="Q77" s="9">
        <v>1</v>
      </c>
      <c r="R77" s="9">
        <v>0</v>
      </c>
      <c r="S77" s="9">
        <v>0</v>
      </c>
      <c r="T77" s="9">
        <v>1000</v>
      </c>
      <c r="U77" s="9">
        <v>390</v>
      </c>
      <c r="V77" s="9">
        <v>0</v>
      </c>
      <c r="W77" s="9">
        <v>0</v>
      </c>
      <c r="X77" s="9">
        <v>0</v>
      </c>
      <c r="Y77" s="9">
        <v>1</v>
      </c>
      <c r="Z77" s="9">
        <v>4</v>
      </c>
      <c r="AA77" s="9">
        <v>0</v>
      </c>
      <c r="AB77" s="10">
        <v>45097</v>
      </c>
    </row>
    <row r="78" spans="1:28" ht="15.75" customHeight="1">
      <c r="A78" s="9" t="s">
        <v>231</v>
      </c>
      <c r="B78" s="9" t="s">
        <v>173</v>
      </c>
      <c r="C78" s="9" t="s">
        <v>174</v>
      </c>
      <c r="D78" s="9">
        <v>2500</v>
      </c>
      <c r="E78" s="10">
        <v>45112</v>
      </c>
      <c r="F78" s="10">
        <v>45083</v>
      </c>
      <c r="G78" s="10">
        <v>45058</v>
      </c>
      <c r="H78" s="9">
        <v>40</v>
      </c>
      <c r="I78" s="9">
        <v>100</v>
      </c>
      <c r="J78" s="9">
        <v>2</v>
      </c>
      <c r="K78" s="9" t="s">
        <v>48</v>
      </c>
      <c r="L78" s="9">
        <v>105</v>
      </c>
      <c r="M78" s="9">
        <v>120</v>
      </c>
      <c r="N78" s="9">
        <v>90</v>
      </c>
      <c r="O78" s="9">
        <v>1</v>
      </c>
      <c r="P78" s="9">
        <v>1</v>
      </c>
      <c r="Q78" s="9">
        <v>1</v>
      </c>
      <c r="R78" s="9">
        <v>0</v>
      </c>
      <c r="S78" s="9">
        <v>0</v>
      </c>
      <c r="T78" s="9">
        <v>0</v>
      </c>
      <c r="U78" s="9">
        <v>750</v>
      </c>
      <c r="V78" s="9">
        <v>0</v>
      </c>
      <c r="W78" s="9">
        <v>0</v>
      </c>
      <c r="X78" s="9">
        <v>0</v>
      </c>
      <c r="Y78" s="9">
        <v>0</v>
      </c>
      <c r="Z78" s="9">
        <v>4</v>
      </c>
      <c r="AA78" s="9">
        <v>0</v>
      </c>
      <c r="AB78" s="10">
        <v>45103</v>
      </c>
    </row>
    <row r="79" spans="1:28" ht="15.75" customHeight="1">
      <c r="A79" s="9" t="s">
        <v>232</v>
      </c>
      <c r="B79" s="9" t="s">
        <v>50</v>
      </c>
      <c r="C79" s="9" t="s">
        <v>51</v>
      </c>
      <c r="D79" s="9">
        <v>2544</v>
      </c>
      <c r="E79" s="10">
        <v>45112</v>
      </c>
      <c r="F79" s="10">
        <v>45083</v>
      </c>
      <c r="G79" s="10">
        <v>45086</v>
      </c>
      <c r="H79" s="9">
        <v>90</v>
      </c>
      <c r="I79" s="9">
        <v>229</v>
      </c>
      <c r="J79" s="9">
        <v>1</v>
      </c>
      <c r="K79" s="9" t="s">
        <v>40</v>
      </c>
      <c r="L79" s="9">
        <v>50</v>
      </c>
      <c r="M79" s="9">
        <v>90</v>
      </c>
      <c r="N79" s="9">
        <v>30</v>
      </c>
      <c r="O79" s="9">
        <v>1</v>
      </c>
      <c r="P79" s="9">
        <v>1</v>
      </c>
      <c r="Q79" s="9">
        <v>1</v>
      </c>
      <c r="R79" s="9">
        <v>0</v>
      </c>
      <c r="S79" s="9">
        <v>0</v>
      </c>
      <c r="T79" s="9">
        <v>1</v>
      </c>
      <c r="U79" s="9">
        <v>900</v>
      </c>
      <c r="V79" s="9">
        <v>0</v>
      </c>
      <c r="W79" s="9">
        <v>0</v>
      </c>
      <c r="X79" s="9">
        <v>0</v>
      </c>
      <c r="Y79" s="9">
        <v>1</v>
      </c>
      <c r="Z79" s="9">
        <v>4</v>
      </c>
      <c r="AA79" s="9">
        <v>0</v>
      </c>
      <c r="AB79" s="10">
        <v>45103</v>
      </c>
    </row>
    <row r="80" spans="1:28" ht="15.75" customHeight="1">
      <c r="A80" s="9" t="s">
        <v>233</v>
      </c>
      <c r="B80" s="9" t="s">
        <v>234</v>
      </c>
      <c r="C80" s="9" t="s">
        <v>235</v>
      </c>
      <c r="D80" s="9">
        <v>10000</v>
      </c>
      <c r="E80" s="10">
        <v>45055</v>
      </c>
      <c r="F80" s="10">
        <v>45083</v>
      </c>
      <c r="G80" s="10">
        <v>45086</v>
      </c>
      <c r="H80" s="9">
        <v>31.4</v>
      </c>
      <c r="I80" s="9">
        <v>314</v>
      </c>
      <c r="J80" s="9">
        <v>1</v>
      </c>
      <c r="K80" s="9" t="s">
        <v>40</v>
      </c>
      <c r="L80" s="9">
        <v>60</v>
      </c>
      <c r="M80" s="9">
        <v>110</v>
      </c>
      <c r="N80" s="9">
        <v>30</v>
      </c>
      <c r="O80" s="9">
        <v>1</v>
      </c>
      <c r="P80" s="9">
        <v>1</v>
      </c>
      <c r="Q80" s="9">
        <v>1</v>
      </c>
      <c r="R80" s="9">
        <v>0</v>
      </c>
      <c r="S80" s="9">
        <v>0</v>
      </c>
      <c r="T80" s="9">
        <v>1300</v>
      </c>
      <c r="U80" s="9">
        <v>1200</v>
      </c>
      <c r="V80" s="9">
        <v>0</v>
      </c>
      <c r="W80" s="9">
        <v>0</v>
      </c>
      <c r="X80" s="9">
        <v>0</v>
      </c>
      <c r="Y80" s="9">
        <v>1</v>
      </c>
      <c r="Z80" s="9">
        <v>4</v>
      </c>
      <c r="AA80" s="9">
        <v>0</v>
      </c>
      <c r="AB80" s="10">
        <v>45041</v>
      </c>
    </row>
    <row r="81" spans="1:28" ht="15.75" customHeight="1">
      <c r="A81" s="9" t="s">
        <v>236</v>
      </c>
      <c r="B81" s="9" t="s">
        <v>237</v>
      </c>
      <c r="C81" s="9" t="s">
        <v>238</v>
      </c>
      <c r="D81" s="9">
        <v>15000</v>
      </c>
      <c r="E81" s="10">
        <v>45124</v>
      </c>
      <c r="F81" s="10">
        <v>44990</v>
      </c>
      <c r="G81" s="10">
        <v>44904</v>
      </c>
      <c r="H81" s="9">
        <v>0</v>
      </c>
      <c r="I81" s="9">
        <v>0</v>
      </c>
      <c r="J81" s="9">
        <v>0</v>
      </c>
      <c r="K81" s="9" t="s">
        <v>33</v>
      </c>
      <c r="L81" s="9">
        <v>90</v>
      </c>
      <c r="M81" s="9">
        <v>50</v>
      </c>
      <c r="N81" s="9">
        <v>10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650</v>
      </c>
      <c r="U81" s="9">
        <v>850</v>
      </c>
      <c r="V81" s="9">
        <v>0</v>
      </c>
      <c r="W81" s="9">
        <v>0</v>
      </c>
      <c r="X81" s="9">
        <v>0</v>
      </c>
      <c r="Y81" s="9">
        <v>1</v>
      </c>
      <c r="Z81" s="9">
        <v>3</v>
      </c>
      <c r="AA81" s="9">
        <v>0</v>
      </c>
      <c r="AB81" s="10">
        <v>45098</v>
      </c>
    </row>
    <row r="82" spans="1:28" ht="15.75" customHeight="1">
      <c r="A82" s="9" t="s">
        <v>236</v>
      </c>
      <c r="B82" s="9" t="s">
        <v>237</v>
      </c>
      <c r="C82" s="9" t="s">
        <v>238</v>
      </c>
      <c r="D82" s="9">
        <v>15000</v>
      </c>
      <c r="E82" s="10">
        <v>45124</v>
      </c>
      <c r="F82" s="10">
        <v>44990</v>
      </c>
      <c r="G82" s="10">
        <v>44904</v>
      </c>
      <c r="H82" s="9">
        <v>0</v>
      </c>
      <c r="I82" s="9">
        <v>0</v>
      </c>
      <c r="J82" s="9">
        <v>0</v>
      </c>
      <c r="K82" s="9" t="s">
        <v>33</v>
      </c>
      <c r="L82" s="9">
        <v>90</v>
      </c>
      <c r="M82" s="9">
        <v>50</v>
      </c>
      <c r="N82" s="9">
        <v>10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650</v>
      </c>
      <c r="U82" s="9">
        <v>850</v>
      </c>
      <c r="V82" s="9">
        <v>0</v>
      </c>
      <c r="W82" s="9">
        <v>0</v>
      </c>
      <c r="X82" s="9">
        <v>0</v>
      </c>
      <c r="Y82" s="9">
        <v>1</v>
      </c>
      <c r="Z82" s="9">
        <v>3</v>
      </c>
      <c r="AA82" s="9">
        <v>0</v>
      </c>
      <c r="AB82" s="10">
        <v>45098</v>
      </c>
    </row>
    <row r="83" spans="1:28" ht="15.75" customHeight="1">
      <c r="A83" s="9" t="s">
        <v>236</v>
      </c>
      <c r="B83" s="9" t="s">
        <v>237</v>
      </c>
      <c r="C83" s="9" t="s">
        <v>238</v>
      </c>
      <c r="D83" s="9">
        <v>15000</v>
      </c>
      <c r="E83" s="10">
        <v>45124</v>
      </c>
      <c r="F83" s="10">
        <v>44990</v>
      </c>
      <c r="G83" s="10">
        <v>44904</v>
      </c>
      <c r="H83" s="9">
        <v>0</v>
      </c>
      <c r="I83" s="9">
        <v>0</v>
      </c>
      <c r="J83" s="9">
        <v>0</v>
      </c>
      <c r="K83" s="9" t="s">
        <v>33</v>
      </c>
      <c r="L83" s="9">
        <v>90</v>
      </c>
      <c r="M83" s="9">
        <v>50</v>
      </c>
      <c r="N83" s="9">
        <v>10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650</v>
      </c>
      <c r="U83" s="9">
        <v>850</v>
      </c>
      <c r="V83" s="9">
        <v>0</v>
      </c>
      <c r="W83" s="9">
        <v>0</v>
      </c>
      <c r="X83" s="9">
        <v>0</v>
      </c>
      <c r="Y83" s="9">
        <v>1</v>
      </c>
      <c r="Z83" s="9">
        <v>3</v>
      </c>
      <c r="AA83" s="9">
        <v>0</v>
      </c>
      <c r="AB83" s="10">
        <v>45098</v>
      </c>
    </row>
    <row r="84" spans="1:28" ht="15.75" customHeight="1">
      <c r="A84" s="9" t="s">
        <v>236</v>
      </c>
      <c r="B84" s="9" t="s">
        <v>237</v>
      </c>
      <c r="C84" s="9" t="s">
        <v>238</v>
      </c>
      <c r="D84" s="9">
        <v>3360</v>
      </c>
      <c r="E84" s="10">
        <v>45124</v>
      </c>
      <c r="F84" s="10">
        <v>44973</v>
      </c>
      <c r="G84" s="10">
        <v>44904</v>
      </c>
      <c r="H84" s="9">
        <v>0</v>
      </c>
      <c r="I84" s="9">
        <v>0</v>
      </c>
      <c r="J84" s="9">
        <v>0</v>
      </c>
      <c r="K84" s="9" t="s">
        <v>33</v>
      </c>
      <c r="L84" s="9">
        <v>90</v>
      </c>
      <c r="M84" s="9">
        <v>50</v>
      </c>
      <c r="N84" s="9">
        <v>10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650</v>
      </c>
      <c r="U84" s="9">
        <v>850</v>
      </c>
      <c r="V84" s="9">
        <v>0</v>
      </c>
      <c r="W84" s="9">
        <v>0</v>
      </c>
      <c r="X84" s="9">
        <v>0</v>
      </c>
      <c r="Y84" s="9">
        <v>1</v>
      </c>
      <c r="Z84" s="9">
        <v>3</v>
      </c>
      <c r="AA84" s="9">
        <v>0</v>
      </c>
      <c r="AB84" s="10">
        <v>45098</v>
      </c>
    </row>
    <row r="85" spans="1:28" ht="15.75" customHeight="1">
      <c r="A85" s="9" t="s">
        <v>236</v>
      </c>
      <c r="B85" s="9" t="s">
        <v>237</v>
      </c>
      <c r="C85" s="9" t="s">
        <v>238</v>
      </c>
      <c r="D85" s="9">
        <v>3360</v>
      </c>
      <c r="E85" s="10">
        <v>45124</v>
      </c>
      <c r="F85" s="10">
        <v>44973</v>
      </c>
      <c r="G85" s="10">
        <v>44904</v>
      </c>
      <c r="H85" s="9">
        <v>0</v>
      </c>
      <c r="I85" s="9">
        <v>0</v>
      </c>
      <c r="J85" s="9">
        <v>0</v>
      </c>
      <c r="K85" s="9" t="s">
        <v>33</v>
      </c>
      <c r="L85" s="9">
        <v>90</v>
      </c>
      <c r="M85" s="9">
        <v>50</v>
      </c>
      <c r="N85" s="9">
        <v>10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650</v>
      </c>
      <c r="U85" s="9">
        <v>850</v>
      </c>
      <c r="V85" s="9">
        <v>0</v>
      </c>
      <c r="W85" s="9">
        <v>0</v>
      </c>
      <c r="X85" s="9">
        <v>0</v>
      </c>
      <c r="Y85" s="9">
        <v>1</v>
      </c>
      <c r="Z85" s="9">
        <v>3</v>
      </c>
      <c r="AA85" s="9">
        <v>0</v>
      </c>
      <c r="AB85" s="10">
        <v>45098</v>
      </c>
    </row>
    <row r="86" spans="1:28" ht="15.75" customHeight="1">
      <c r="A86" s="9" t="s">
        <v>236</v>
      </c>
      <c r="B86" s="9" t="s">
        <v>237</v>
      </c>
      <c r="C86" s="9" t="s">
        <v>238</v>
      </c>
      <c r="D86" s="9">
        <v>3360</v>
      </c>
      <c r="E86" s="10">
        <v>45124</v>
      </c>
      <c r="F86" s="10">
        <v>44973</v>
      </c>
      <c r="G86" s="10">
        <v>44904</v>
      </c>
      <c r="H86" s="9">
        <v>0</v>
      </c>
      <c r="I86" s="9">
        <v>0</v>
      </c>
      <c r="J86" s="9">
        <v>0</v>
      </c>
      <c r="K86" s="9" t="s">
        <v>33</v>
      </c>
      <c r="L86" s="9">
        <v>90</v>
      </c>
      <c r="M86" s="9">
        <v>50</v>
      </c>
      <c r="N86" s="9">
        <v>10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650</v>
      </c>
      <c r="U86" s="9">
        <v>850</v>
      </c>
      <c r="V86" s="9">
        <v>0</v>
      </c>
      <c r="W86" s="9">
        <v>0</v>
      </c>
      <c r="X86" s="9">
        <v>0</v>
      </c>
      <c r="Y86" s="9">
        <v>1</v>
      </c>
      <c r="Z86" s="9">
        <v>3</v>
      </c>
      <c r="AA86" s="9">
        <v>0</v>
      </c>
      <c r="AB86" s="10">
        <v>45098</v>
      </c>
    </row>
    <row r="87" spans="1:28" ht="15.75" customHeight="1">
      <c r="A87" s="9" t="s">
        <v>236</v>
      </c>
      <c r="B87" s="9" t="s">
        <v>237</v>
      </c>
      <c r="C87" s="9" t="s">
        <v>238</v>
      </c>
      <c r="D87" s="9">
        <v>11640</v>
      </c>
      <c r="E87" s="10">
        <v>45124</v>
      </c>
      <c r="F87" s="10">
        <v>44973</v>
      </c>
      <c r="G87" s="10">
        <v>44904</v>
      </c>
      <c r="H87" s="9">
        <v>0</v>
      </c>
      <c r="I87" s="9">
        <v>0</v>
      </c>
      <c r="J87" s="9">
        <v>0</v>
      </c>
      <c r="K87" s="9" t="s">
        <v>33</v>
      </c>
      <c r="L87" s="9">
        <v>90</v>
      </c>
      <c r="M87" s="9">
        <v>50</v>
      </c>
      <c r="N87" s="9">
        <v>10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650</v>
      </c>
      <c r="U87" s="9">
        <v>850</v>
      </c>
      <c r="V87" s="9">
        <v>0</v>
      </c>
      <c r="W87" s="9">
        <v>0</v>
      </c>
      <c r="X87" s="9">
        <v>0</v>
      </c>
      <c r="Y87" s="9">
        <v>1</v>
      </c>
      <c r="Z87" s="9">
        <v>3</v>
      </c>
      <c r="AA87" s="9">
        <v>0</v>
      </c>
      <c r="AB87" s="10">
        <v>45023</v>
      </c>
    </row>
    <row r="88" spans="1:28" ht="15.75" customHeight="1">
      <c r="A88" s="9" t="s">
        <v>236</v>
      </c>
      <c r="B88" s="9" t="s">
        <v>237</v>
      </c>
      <c r="C88" s="9" t="s">
        <v>238</v>
      </c>
      <c r="D88" s="9">
        <v>11640</v>
      </c>
      <c r="E88" s="10">
        <v>45124</v>
      </c>
      <c r="F88" s="10">
        <v>44973</v>
      </c>
      <c r="G88" s="10">
        <v>44904</v>
      </c>
      <c r="H88" s="9">
        <v>0</v>
      </c>
      <c r="I88" s="9">
        <v>0</v>
      </c>
      <c r="J88" s="9">
        <v>0</v>
      </c>
      <c r="K88" s="9" t="s">
        <v>33</v>
      </c>
      <c r="L88" s="9">
        <v>90</v>
      </c>
      <c r="M88" s="9">
        <v>50</v>
      </c>
      <c r="N88" s="9">
        <v>10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650</v>
      </c>
      <c r="U88" s="9">
        <v>850</v>
      </c>
      <c r="V88" s="9">
        <v>0</v>
      </c>
      <c r="W88" s="9">
        <v>0</v>
      </c>
      <c r="X88" s="9">
        <v>0</v>
      </c>
      <c r="Y88" s="9">
        <v>1</v>
      </c>
      <c r="Z88" s="9">
        <v>3</v>
      </c>
      <c r="AA88" s="9">
        <v>0</v>
      </c>
      <c r="AB88" s="10">
        <v>45098</v>
      </c>
    </row>
    <row r="89" spans="1:28" ht="15.75" customHeight="1">
      <c r="A89" s="9" t="s">
        <v>236</v>
      </c>
      <c r="B89" s="9" t="s">
        <v>237</v>
      </c>
      <c r="C89" s="9" t="s">
        <v>238</v>
      </c>
      <c r="D89" s="9">
        <v>11640</v>
      </c>
      <c r="E89" s="10">
        <v>45124</v>
      </c>
      <c r="F89" s="10">
        <v>44973</v>
      </c>
      <c r="G89" s="10">
        <v>44904</v>
      </c>
      <c r="H89" s="9">
        <v>0</v>
      </c>
      <c r="I89" s="9">
        <v>0</v>
      </c>
      <c r="J89" s="9">
        <v>0</v>
      </c>
      <c r="K89" s="9" t="s">
        <v>33</v>
      </c>
      <c r="L89" s="9">
        <v>90</v>
      </c>
      <c r="M89" s="9">
        <v>50</v>
      </c>
      <c r="N89" s="9">
        <v>10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650</v>
      </c>
      <c r="U89" s="9">
        <v>850</v>
      </c>
      <c r="V89" s="9">
        <v>0</v>
      </c>
      <c r="W89" s="9">
        <v>0</v>
      </c>
      <c r="X89" s="9">
        <v>0</v>
      </c>
      <c r="Y89" s="9">
        <v>1</v>
      </c>
      <c r="Z89" s="9">
        <v>3</v>
      </c>
      <c r="AA89" s="9">
        <v>0</v>
      </c>
      <c r="AB89" s="10">
        <v>45098</v>
      </c>
    </row>
    <row r="90" spans="1:28" ht="15.75" customHeight="1">
      <c r="A90" s="9" t="s">
        <v>239</v>
      </c>
      <c r="B90" s="9" t="s">
        <v>160</v>
      </c>
      <c r="C90" s="9" t="s">
        <v>161</v>
      </c>
      <c r="D90" s="9">
        <v>1660</v>
      </c>
      <c r="E90" s="10">
        <v>45119</v>
      </c>
      <c r="F90" s="10">
        <v>45069</v>
      </c>
      <c r="G90" s="10">
        <v>45079</v>
      </c>
      <c r="H90" s="9">
        <v>60</v>
      </c>
      <c r="I90" s="9">
        <v>100</v>
      </c>
      <c r="J90" s="9">
        <v>2</v>
      </c>
      <c r="K90" s="9" t="s">
        <v>48</v>
      </c>
      <c r="L90" s="9">
        <v>90</v>
      </c>
      <c r="M90" s="9">
        <v>150</v>
      </c>
      <c r="N90" s="9">
        <v>90</v>
      </c>
      <c r="O90" s="9">
        <v>1</v>
      </c>
      <c r="P90" s="9">
        <v>1</v>
      </c>
      <c r="Q90" s="9">
        <v>1</v>
      </c>
      <c r="R90" s="9">
        <v>0</v>
      </c>
      <c r="S90" s="9">
        <v>0</v>
      </c>
      <c r="T90" s="9">
        <v>0</v>
      </c>
      <c r="U90" s="9">
        <v>850</v>
      </c>
      <c r="V90" s="9">
        <v>0</v>
      </c>
      <c r="W90" s="9">
        <v>0</v>
      </c>
      <c r="X90" s="9">
        <v>0</v>
      </c>
      <c r="Y90" s="9">
        <v>0</v>
      </c>
      <c r="Z90" s="9">
        <v>4</v>
      </c>
      <c r="AA90" s="9">
        <v>0</v>
      </c>
      <c r="AB90" s="10">
        <v>45110</v>
      </c>
    </row>
    <row r="91" spans="1:28" ht="15.75" customHeight="1">
      <c r="A91" s="9" t="s">
        <v>240</v>
      </c>
      <c r="B91" s="9" t="s">
        <v>241</v>
      </c>
      <c r="C91" s="9" t="s">
        <v>242</v>
      </c>
      <c r="D91" s="9">
        <v>1000</v>
      </c>
      <c r="E91" s="10">
        <v>45117</v>
      </c>
      <c r="F91" s="10">
        <v>45050</v>
      </c>
      <c r="G91" s="10">
        <v>45086</v>
      </c>
      <c r="H91" s="9">
        <v>44.5</v>
      </c>
      <c r="I91" s="9">
        <v>45</v>
      </c>
      <c r="J91" s="9">
        <v>1</v>
      </c>
      <c r="K91" s="9" t="s">
        <v>33</v>
      </c>
      <c r="L91" s="9">
        <v>0</v>
      </c>
      <c r="M91" s="9">
        <v>30</v>
      </c>
      <c r="N91" s="9">
        <v>15</v>
      </c>
      <c r="O91" s="9">
        <v>1</v>
      </c>
      <c r="P91" s="9">
        <v>1</v>
      </c>
      <c r="Q91" s="9">
        <v>1</v>
      </c>
      <c r="R91" s="9">
        <v>0</v>
      </c>
      <c r="S91" s="9">
        <v>0</v>
      </c>
      <c r="T91" s="9">
        <v>700</v>
      </c>
      <c r="U91" s="9">
        <v>700</v>
      </c>
      <c r="V91" s="9">
        <v>0</v>
      </c>
      <c r="W91" s="9">
        <v>0</v>
      </c>
      <c r="X91" s="9">
        <v>0</v>
      </c>
      <c r="Y91" s="9">
        <v>1</v>
      </c>
      <c r="Z91" s="9">
        <v>4</v>
      </c>
      <c r="AA91" s="9">
        <v>0</v>
      </c>
      <c r="AB91" s="10">
        <v>45097</v>
      </c>
    </row>
    <row r="92" spans="1:28" ht="15.75" customHeight="1">
      <c r="A92" s="9" t="s">
        <v>243</v>
      </c>
      <c r="B92" s="9" t="s">
        <v>244</v>
      </c>
      <c r="C92" s="9" t="s">
        <v>245</v>
      </c>
      <c r="D92" s="9">
        <v>1000</v>
      </c>
      <c r="E92" s="10">
        <v>45120</v>
      </c>
      <c r="F92" s="10">
        <v>45027</v>
      </c>
      <c r="G92" s="10">
        <v>45091</v>
      </c>
      <c r="H92" s="9">
        <v>48.5</v>
      </c>
      <c r="I92" s="9">
        <v>49</v>
      </c>
      <c r="J92" s="9">
        <v>1</v>
      </c>
      <c r="K92" s="9" t="s">
        <v>33</v>
      </c>
      <c r="L92" s="9">
        <v>35</v>
      </c>
      <c r="M92" s="9">
        <v>125</v>
      </c>
      <c r="N92" s="9">
        <v>15</v>
      </c>
      <c r="O92" s="9">
        <v>1</v>
      </c>
      <c r="P92" s="9">
        <v>1</v>
      </c>
      <c r="Q92" s="9">
        <v>1</v>
      </c>
      <c r="R92" s="9">
        <v>0</v>
      </c>
      <c r="S92" s="9">
        <v>0</v>
      </c>
      <c r="T92" s="9">
        <v>1</v>
      </c>
      <c r="U92" s="9">
        <v>1</v>
      </c>
      <c r="V92" s="9">
        <v>0</v>
      </c>
      <c r="W92" s="9">
        <v>0</v>
      </c>
      <c r="X92" s="9">
        <v>0</v>
      </c>
      <c r="Y92" s="9">
        <v>1</v>
      </c>
      <c r="Z92" s="9">
        <v>4</v>
      </c>
      <c r="AA92" s="9">
        <v>0</v>
      </c>
      <c r="AB92" s="10">
        <v>45104</v>
      </c>
    </row>
    <row r="93" spans="1:28" ht="15.75" customHeight="1">
      <c r="A93" s="9" t="s">
        <v>246</v>
      </c>
      <c r="B93" s="9" t="s">
        <v>247</v>
      </c>
      <c r="C93" s="9" t="s">
        <v>248</v>
      </c>
      <c r="D93" s="9">
        <v>3000</v>
      </c>
      <c r="E93" s="10">
        <v>45121</v>
      </c>
      <c r="F93" s="10">
        <v>45079</v>
      </c>
      <c r="G93" s="10">
        <v>45093</v>
      </c>
      <c r="H93" s="9">
        <v>15</v>
      </c>
      <c r="I93" s="9">
        <v>45</v>
      </c>
      <c r="J93" s="9">
        <v>1</v>
      </c>
      <c r="K93" s="9" t="s">
        <v>33</v>
      </c>
      <c r="L93" s="9">
        <v>70</v>
      </c>
      <c r="M93" s="9">
        <v>40</v>
      </c>
      <c r="N93" s="9">
        <v>10</v>
      </c>
      <c r="O93" s="9">
        <v>1</v>
      </c>
      <c r="P93" s="9">
        <v>1</v>
      </c>
      <c r="Q93" s="9">
        <v>1</v>
      </c>
      <c r="R93" s="9">
        <v>0</v>
      </c>
      <c r="S93" s="9">
        <v>0</v>
      </c>
      <c r="T93" s="9">
        <v>2000</v>
      </c>
      <c r="U93" s="9">
        <v>1800</v>
      </c>
      <c r="V93" s="9">
        <v>0</v>
      </c>
      <c r="W93" s="9">
        <v>0</v>
      </c>
      <c r="X93" s="9">
        <v>0</v>
      </c>
      <c r="Y93" s="9">
        <v>1</v>
      </c>
      <c r="Z93" s="9">
        <v>4</v>
      </c>
      <c r="AA93" s="9">
        <v>0</v>
      </c>
      <c r="AB93" s="10">
        <v>45105</v>
      </c>
    </row>
    <row r="94" spans="1:28" ht="15.75" customHeight="1">
      <c r="A94" s="9" t="s">
        <v>249</v>
      </c>
      <c r="B94" s="9" t="s">
        <v>250</v>
      </c>
      <c r="C94" s="9" t="s">
        <v>251</v>
      </c>
      <c r="D94" s="9">
        <v>10000</v>
      </c>
      <c r="E94" s="10">
        <v>45110</v>
      </c>
      <c r="F94" s="10">
        <v>45071</v>
      </c>
      <c r="G94" s="10">
        <v>45056</v>
      </c>
      <c r="H94" s="9">
        <v>96.6</v>
      </c>
      <c r="I94" s="9">
        <v>966</v>
      </c>
      <c r="J94" s="9">
        <v>3</v>
      </c>
      <c r="K94" s="9" t="s">
        <v>40</v>
      </c>
      <c r="L94" s="9">
        <v>70</v>
      </c>
      <c r="M94" s="9">
        <v>70</v>
      </c>
      <c r="N94" s="9">
        <v>30</v>
      </c>
      <c r="O94" s="9">
        <v>1</v>
      </c>
      <c r="P94" s="9">
        <v>1</v>
      </c>
      <c r="Q94" s="9">
        <v>1</v>
      </c>
      <c r="R94" s="9">
        <v>0</v>
      </c>
      <c r="S94" s="9">
        <v>0</v>
      </c>
      <c r="T94" s="9">
        <v>650</v>
      </c>
      <c r="U94" s="9">
        <v>500</v>
      </c>
      <c r="V94" s="9">
        <v>0</v>
      </c>
      <c r="W94" s="9">
        <v>0</v>
      </c>
      <c r="X94" s="9">
        <v>0</v>
      </c>
      <c r="Y94" s="9">
        <v>1</v>
      </c>
      <c r="Z94" s="9">
        <v>4</v>
      </c>
      <c r="AA94" s="9">
        <v>0</v>
      </c>
      <c r="AB94" s="10">
        <v>45096</v>
      </c>
    </row>
    <row r="95" spans="1:28" ht="15.75" customHeight="1">
      <c r="A95" s="9" t="s">
        <v>252</v>
      </c>
      <c r="B95" s="9" t="s">
        <v>111</v>
      </c>
      <c r="C95" s="9" t="s">
        <v>112</v>
      </c>
      <c r="D95" s="9">
        <v>5000</v>
      </c>
      <c r="E95" s="10">
        <v>45126</v>
      </c>
      <c r="F95" s="10">
        <v>45079</v>
      </c>
      <c r="G95" s="10">
        <v>45114</v>
      </c>
      <c r="H95" s="9">
        <v>370</v>
      </c>
      <c r="I95" s="9">
        <v>1850</v>
      </c>
      <c r="J95" s="9">
        <v>19</v>
      </c>
      <c r="K95" s="9" t="s">
        <v>33</v>
      </c>
      <c r="L95" s="9">
        <v>75</v>
      </c>
      <c r="M95" s="9">
        <v>60</v>
      </c>
      <c r="N95" s="9">
        <v>10</v>
      </c>
      <c r="O95" s="9">
        <v>1</v>
      </c>
      <c r="P95" s="9">
        <v>1</v>
      </c>
      <c r="Q95" s="9">
        <v>1</v>
      </c>
      <c r="R95" s="9">
        <v>0</v>
      </c>
      <c r="S95" s="9">
        <v>0</v>
      </c>
      <c r="T95" s="9">
        <v>570</v>
      </c>
      <c r="U95" s="9">
        <v>480</v>
      </c>
      <c r="V95" s="9">
        <v>0</v>
      </c>
      <c r="W95" s="9">
        <v>0</v>
      </c>
      <c r="X95" s="9">
        <v>0</v>
      </c>
      <c r="Y95" s="9">
        <v>1</v>
      </c>
      <c r="Z95" s="9">
        <v>4</v>
      </c>
      <c r="AA95" s="9">
        <v>0</v>
      </c>
      <c r="AB95" s="10">
        <v>45121</v>
      </c>
    </row>
    <row r="96" spans="1:28" ht="15.75" customHeight="1">
      <c r="A96" s="9" t="s">
        <v>253</v>
      </c>
      <c r="B96" s="9" t="s">
        <v>56</v>
      </c>
      <c r="C96" s="9" t="s">
        <v>57</v>
      </c>
      <c r="D96" s="9">
        <v>10000</v>
      </c>
      <c r="E96" s="10">
        <v>45061</v>
      </c>
      <c r="F96" s="10">
        <v>44987</v>
      </c>
      <c r="G96" s="10">
        <v>44939</v>
      </c>
      <c r="H96" s="9">
        <v>5</v>
      </c>
      <c r="I96" s="9">
        <v>50</v>
      </c>
      <c r="J96" s="9">
        <v>1</v>
      </c>
      <c r="K96" s="9" t="s">
        <v>33</v>
      </c>
      <c r="L96" s="9">
        <v>20</v>
      </c>
      <c r="M96" s="9">
        <v>80</v>
      </c>
      <c r="N96" s="9">
        <v>25</v>
      </c>
      <c r="O96" s="9">
        <v>1</v>
      </c>
      <c r="P96" s="9">
        <v>1</v>
      </c>
      <c r="Q96" s="9">
        <v>1</v>
      </c>
      <c r="R96" s="9">
        <v>0</v>
      </c>
      <c r="S96" s="9">
        <v>0</v>
      </c>
      <c r="T96" s="9">
        <v>1</v>
      </c>
      <c r="U96" s="9">
        <v>1</v>
      </c>
      <c r="V96" s="9">
        <v>0</v>
      </c>
      <c r="W96" s="9">
        <v>0</v>
      </c>
      <c r="X96" s="9">
        <v>0</v>
      </c>
      <c r="Y96" s="9">
        <v>1</v>
      </c>
      <c r="Z96" s="9">
        <v>4</v>
      </c>
      <c r="AA96" s="9">
        <v>0</v>
      </c>
      <c r="AB96" s="10">
        <v>45050</v>
      </c>
    </row>
    <row r="97" spans="1:28" ht="15.75" customHeight="1">
      <c r="A97" s="9" t="s">
        <v>254</v>
      </c>
      <c r="B97" s="9" t="s">
        <v>255</v>
      </c>
      <c r="C97" s="9" t="s">
        <v>256</v>
      </c>
      <c r="D97" s="9">
        <v>620</v>
      </c>
      <c r="E97" s="10">
        <v>45121</v>
      </c>
      <c r="F97" s="10">
        <v>45092</v>
      </c>
      <c r="G97" s="10">
        <v>45082</v>
      </c>
      <c r="H97" s="9">
        <v>28.5</v>
      </c>
      <c r="I97" s="9">
        <v>18</v>
      </c>
      <c r="J97" s="9">
        <v>1</v>
      </c>
      <c r="K97" s="9" t="s">
        <v>33</v>
      </c>
      <c r="L97" s="9">
        <v>0</v>
      </c>
      <c r="M97" s="9">
        <v>55</v>
      </c>
      <c r="N97" s="9">
        <v>15</v>
      </c>
      <c r="O97" s="9">
        <v>1</v>
      </c>
      <c r="P97" s="9">
        <v>1</v>
      </c>
      <c r="Q97" s="9">
        <v>1</v>
      </c>
      <c r="R97" s="9">
        <v>0</v>
      </c>
      <c r="S97" s="9">
        <v>0</v>
      </c>
      <c r="T97" s="9">
        <v>1500</v>
      </c>
      <c r="U97" s="9">
        <v>1000</v>
      </c>
      <c r="V97" s="9">
        <v>0</v>
      </c>
      <c r="W97" s="9">
        <v>0</v>
      </c>
      <c r="X97" s="9">
        <v>0</v>
      </c>
      <c r="Y97" s="9">
        <v>1</v>
      </c>
      <c r="Z97" s="9">
        <v>4</v>
      </c>
      <c r="AA97" s="9">
        <v>0</v>
      </c>
      <c r="AB97" s="10">
        <v>45112</v>
      </c>
    </row>
    <row r="98" spans="1:28" ht="15.75" customHeight="1">
      <c r="A98" s="9" t="s">
        <v>257</v>
      </c>
      <c r="B98" s="9" t="s">
        <v>258</v>
      </c>
      <c r="C98" s="9" t="s">
        <v>259</v>
      </c>
      <c r="D98" s="9">
        <v>50</v>
      </c>
      <c r="E98" s="10">
        <v>45121</v>
      </c>
      <c r="F98" s="10">
        <v>45084</v>
      </c>
      <c r="G98" s="10">
        <v>45110</v>
      </c>
      <c r="H98" s="9">
        <v>95.1</v>
      </c>
      <c r="I98" s="9">
        <v>5</v>
      </c>
      <c r="J98" s="9">
        <v>1</v>
      </c>
      <c r="K98" s="9" t="s">
        <v>33</v>
      </c>
      <c r="L98" s="9">
        <v>0</v>
      </c>
      <c r="M98" s="9">
        <v>55</v>
      </c>
      <c r="N98" s="9">
        <v>15</v>
      </c>
      <c r="O98" s="9">
        <v>1</v>
      </c>
      <c r="P98" s="9">
        <v>1</v>
      </c>
      <c r="Q98" s="9">
        <v>1</v>
      </c>
      <c r="R98" s="9">
        <v>0</v>
      </c>
      <c r="S98" s="9">
        <v>0</v>
      </c>
      <c r="T98" s="9">
        <v>1100</v>
      </c>
      <c r="U98" s="9">
        <v>640</v>
      </c>
      <c r="V98" s="9">
        <v>0</v>
      </c>
      <c r="W98" s="9">
        <v>0</v>
      </c>
      <c r="X98" s="9">
        <v>0</v>
      </c>
      <c r="Y98" s="9">
        <v>1</v>
      </c>
      <c r="Z98" s="9">
        <v>4</v>
      </c>
      <c r="AA98" s="9">
        <v>0</v>
      </c>
      <c r="AB98" s="10">
        <v>45112</v>
      </c>
    </row>
    <row r="99" spans="1:28" ht="15.75" customHeight="1">
      <c r="A99" s="9" t="s">
        <v>260</v>
      </c>
      <c r="B99" s="9" t="s">
        <v>261</v>
      </c>
      <c r="C99" s="9" t="s">
        <v>262</v>
      </c>
      <c r="D99" s="9">
        <v>1500</v>
      </c>
      <c r="E99" s="10">
        <v>45125</v>
      </c>
      <c r="F99" s="10">
        <v>45097</v>
      </c>
      <c r="G99" s="10">
        <v>45093</v>
      </c>
      <c r="H99" s="9">
        <v>118.8</v>
      </c>
      <c r="I99" s="9">
        <v>179</v>
      </c>
      <c r="J99" s="9">
        <v>2</v>
      </c>
      <c r="K99" s="9" t="s">
        <v>40</v>
      </c>
      <c r="L99" s="9">
        <v>30</v>
      </c>
      <c r="M99" s="9">
        <v>130</v>
      </c>
      <c r="N99" s="9">
        <v>30</v>
      </c>
      <c r="O99" s="9">
        <v>1</v>
      </c>
      <c r="P99" s="9">
        <v>1</v>
      </c>
      <c r="Q99" s="9">
        <v>1</v>
      </c>
      <c r="R99" s="9">
        <v>0</v>
      </c>
      <c r="S99" s="9">
        <v>0</v>
      </c>
      <c r="T99" s="9">
        <v>550</v>
      </c>
      <c r="U99" s="9">
        <v>720</v>
      </c>
      <c r="V99" s="9">
        <v>0</v>
      </c>
      <c r="W99" s="9">
        <v>0</v>
      </c>
      <c r="X99" s="9">
        <v>0</v>
      </c>
      <c r="Y99" s="9">
        <v>1</v>
      </c>
      <c r="Z99" s="9">
        <v>3</v>
      </c>
      <c r="AA99" s="9">
        <v>0</v>
      </c>
      <c r="AB99" s="10">
        <v>45114</v>
      </c>
    </row>
    <row r="100" spans="1:28" ht="15.75" customHeight="1">
      <c r="A100" s="9" t="s">
        <v>263</v>
      </c>
      <c r="B100" s="9" t="s">
        <v>76</v>
      </c>
      <c r="C100" s="9" t="s">
        <v>77</v>
      </c>
      <c r="D100" s="9">
        <v>10000</v>
      </c>
      <c r="E100" s="10">
        <v>45127</v>
      </c>
      <c r="F100" s="10">
        <v>45113</v>
      </c>
      <c r="G100" s="10">
        <v>45098</v>
      </c>
      <c r="H100" s="9">
        <v>30.2</v>
      </c>
      <c r="I100" s="9">
        <v>302</v>
      </c>
      <c r="J100" s="9">
        <v>3</v>
      </c>
      <c r="K100" s="9" t="s">
        <v>33</v>
      </c>
      <c r="L100" s="9">
        <v>25</v>
      </c>
      <c r="M100" s="9">
        <v>110</v>
      </c>
      <c r="N100" s="9">
        <v>20</v>
      </c>
      <c r="O100" s="9">
        <v>1</v>
      </c>
      <c r="P100" s="9">
        <v>1</v>
      </c>
      <c r="Q100" s="9">
        <v>1</v>
      </c>
      <c r="R100" s="9">
        <v>0</v>
      </c>
      <c r="S100" s="9">
        <v>0</v>
      </c>
      <c r="T100" s="9">
        <v>1</v>
      </c>
      <c r="U100" s="9">
        <v>1</v>
      </c>
      <c r="V100" s="9">
        <v>0</v>
      </c>
      <c r="W100" s="9">
        <v>0</v>
      </c>
      <c r="X100" s="9">
        <v>0</v>
      </c>
      <c r="Y100" s="9">
        <v>1</v>
      </c>
      <c r="Z100" s="9">
        <v>4</v>
      </c>
      <c r="AA100" s="9">
        <v>0</v>
      </c>
      <c r="AB100" s="10">
        <v>45124</v>
      </c>
    </row>
    <row r="101" spans="1:28" ht="15.75" customHeight="1">
      <c r="A101" s="9" t="s">
        <v>264</v>
      </c>
      <c r="B101" s="9" t="s">
        <v>265</v>
      </c>
      <c r="C101" s="9" t="s">
        <v>266</v>
      </c>
      <c r="D101" s="9">
        <v>10000</v>
      </c>
      <c r="E101" s="10">
        <v>45135</v>
      </c>
      <c r="F101" s="10">
        <v>45089</v>
      </c>
      <c r="G101" s="10">
        <v>45093</v>
      </c>
      <c r="H101" s="9">
        <v>5</v>
      </c>
      <c r="I101" s="9">
        <v>50</v>
      </c>
      <c r="J101" s="9">
        <v>1</v>
      </c>
      <c r="K101" s="9" t="s">
        <v>33</v>
      </c>
      <c r="L101" s="9">
        <v>95</v>
      </c>
      <c r="M101" s="9">
        <v>110</v>
      </c>
      <c r="N101" s="9">
        <v>30</v>
      </c>
      <c r="O101" s="9">
        <v>1</v>
      </c>
      <c r="P101" s="9">
        <v>1</v>
      </c>
      <c r="Q101" s="9">
        <v>1</v>
      </c>
      <c r="R101" s="9">
        <v>0</v>
      </c>
      <c r="S101" s="9">
        <v>0</v>
      </c>
      <c r="T101" s="9">
        <v>3000</v>
      </c>
      <c r="U101" s="9">
        <v>1200</v>
      </c>
      <c r="V101" s="9">
        <v>0</v>
      </c>
      <c r="W101" s="9">
        <v>0</v>
      </c>
      <c r="X101" s="9">
        <v>0</v>
      </c>
      <c r="Y101" s="9">
        <v>1</v>
      </c>
      <c r="Z101" s="9">
        <v>3</v>
      </c>
      <c r="AA101" s="9">
        <v>0</v>
      </c>
      <c r="AB101" s="10">
        <v>45117</v>
      </c>
    </row>
    <row r="102" spans="1:28" ht="15.75" customHeight="1">
      <c r="A102" s="9" t="s">
        <v>267</v>
      </c>
      <c r="B102" s="9" t="s">
        <v>268</v>
      </c>
      <c r="C102" s="9" t="s">
        <v>269</v>
      </c>
      <c r="D102" s="9">
        <v>5000</v>
      </c>
      <c r="E102" s="10">
        <v>45124</v>
      </c>
      <c r="F102" s="10">
        <v>45076</v>
      </c>
      <c r="G102" s="10">
        <v>45063</v>
      </c>
      <c r="H102" s="9">
        <v>50</v>
      </c>
      <c r="I102" s="9">
        <v>250</v>
      </c>
      <c r="J102" s="9">
        <v>4</v>
      </c>
      <c r="K102" s="9" t="s">
        <v>33</v>
      </c>
      <c r="L102" s="9">
        <v>35</v>
      </c>
      <c r="M102" s="9">
        <v>125</v>
      </c>
      <c r="N102" s="9">
        <v>15</v>
      </c>
      <c r="O102" s="9">
        <v>1</v>
      </c>
      <c r="P102" s="9">
        <v>1</v>
      </c>
      <c r="Q102" s="9">
        <v>1</v>
      </c>
      <c r="R102" s="9">
        <v>0</v>
      </c>
      <c r="S102" s="9">
        <v>0</v>
      </c>
      <c r="T102" s="9">
        <v>0</v>
      </c>
      <c r="U102" s="9">
        <v>980</v>
      </c>
      <c r="V102" s="9">
        <v>0</v>
      </c>
      <c r="W102" s="9">
        <v>0</v>
      </c>
      <c r="X102" s="9">
        <v>0</v>
      </c>
      <c r="Y102" s="9">
        <v>0</v>
      </c>
      <c r="Z102" s="9">
        <v>4</v>
      </c>
      <c r="AA102" s="9">
        <v>0</v>
      </c>
      <c r="AB102" s="10">
        <v>45105</v>
      </c>
    </row>
    <row r="103" spans="1:28" ht="15.75" customHeight="1">
      <c r="A103" s="9" t="s">
        <v>270</v>
      </c>
      <c r="B103" s="9" t="s">
        <v>126</v>
      </c>
      <c r="C103" s="9" t="s">
        <v>127</v>
      </c>
      <c r="D103" s="9">
        <v>3000</v>
      </c>
      <c r="E103" s="10">
        <v>45134</v>
      </c>
      <c r="F103" s="10">
        <v>45113</v>
      </c>
      <c r="G103" s="10">
        <v>45092</v>
      </c>
      <c r="H103" s="9">
        <v>416.6</v>
      </c>
      <c r="I103" s="9">
        <v>1250</v>
      </c>
      <c r="J103" s="9">
        <v>4</v>
      </c>
      <c r="K103" s="9" t="s">
        <v>40</v>
      </c>
      <c r="L103" s="9">
        <v>25</v>
      </c>
      <c r="M103" s="9">
        <v>180</v>
      </c>
      <c r="N103" s="9">
        <v>30</v>
      </c>
      <c r="O103" s="9">
        <v>1</v>
      </c>
      <c r="P103" s="9">
        <v>1</v>
      </c>
      <c r="Q103" s="9">
        <v>1</v>
      </c>
      <c r="R103" s="9">
        <v>0</v>
      </c>
      <c r="S103" s="9">
        <v>0</v>
      </c>
      <c r="T103" s="9">
        <v>860</v>
      </c>
      <c r="U103" s="9">
        <v>440</v>
      </c>
      <c r="V103" s="9">
        <v>0</v>
      </c>
      <c r="W103" s="9">
        <v>0</v>
      </c>
      <c r="X103" s="9">
        <v>0</v>
      </c>
      <c r="Y103" s="9">
        <v>1</v>
      </c>
      <c r="Z103" s="9">
        <v>3</v>
      </c>
      <c r="AA103" s="9">
        <v>0</v>
      </c>
      <c r="AB103" s="10">
        <v>45126</v>
      </c>
    </row>
    <row r="104" spans="1:28" ht="15.75" customHeight="1">
      <c r="A104" s="9" t="s">
        <v>271</v>
      </c>
      <c r="B104" s="9" t="s">
        <v>272</v>
      </c>
      <c r="C104" s="9" t="s">
        <v>273</v>
      </c>
      <c r="D104" s="9">
        <v>70</v>
      </c>
      <c r="E104" s="10">
        <v>45138</v>
      </c>
      <c r="F104" s="10">
        <v>45117</v>
      </c>
      <c r="G104" s="10">
        <v>45117</v>
      </c>
      <c r="H104" s="9">
        <v>101.9</v>
      </c>
      <c r="I104" s="9">
        <v>8</v>
      </c>
      <c r="J104" s="9">
        <v>1</v>
      </c>
      <c r="K104" s="9" t="s">
        <v>33</v>
      </c>
      <c r="L104" s="9">
        <v>60</v>
      </c>
      <c r="M104" s="9">
        <v>60</v>
      </c>
      <c r="N104" s="9">
        <v>20</v>
      </c>
      <c r="O104" s="9">
        <v>1</v>
      </c>
      <c r="P104" s="9">
        <v>1</v>
      </c>
      <c r="Q104" s="9">
        <v>1</v>
      </c>
      <c r="R104" s="9">
        <v>0</v>
      </c>
      <c r="S104" s="9">
        <v>0</v>
      </c>
      <c r="T104" s="9">
        <v>1000</v>
      </c>
      <c r="U104" s="9">
        <v>390</v>
      </c>
      <c r="V104" s="9">
        <v>0</v>
      </c>
      <c r="W104" s="9">
        <v>0</v>
      </c>
      <c r="X104" s="9">
        <v>0</v>
      </c>
      <c r="Y104" s="9">
        <v>1</v>
      </c>
      <c r="Z104" s="9">
        <v>4</v>
      </c>
      <c r="AA104" s="9">
        <v>0</v>
      </c>
      <c r="AB104" s="10">
        <v>45135</v>
      </c>
    </row>
    <row r="105" spans="1:28" ht="15.75" customHeight="1">
      <c r="A105" s="9" t="s">
        <v>274</v>
      </c>
      <c r="B105" s="9" t="s">
        <v>275</v>
      </c>
      <c r="C105" s="9" t="s">
        <v>276</v>
      </c>
      <c r="D105" s="9">
        <v>1000</v>
      </c>
      <c r="E105" s="10">
        <v>45139</v>
      </c>
      <c r="F105" s="10">
        <v>45111</v>
      </c>
      <c r="G105" s="10">
        <v>45120</v>
      </c>
      <c r="H105" s="9">
        <v>166.5</v>
      </c>
      <c r="I105" s="9">
        <v>167</v>
      </c>
      <c r="J105" s="9">
        <v>3</v>
      </c>
      <c r="K105" s="9" t="s">
        <v>33</v>
      </c>
      <c r="L105" s="9">
        <v>80</v>
      </c>
      <c r="M105" s="9">
        <v>45</v>
      </c>
      <c r="N105" s="9">
        <v>10</v>
      </c>
      <c r="O105" s="9">
        <v>1</v>
      </c>
      <c r="P105" s="9">
        <v>1</v>
      </c>
      <c r="Q105" s="9">
        <v>1</v>
      </c>
      <c r="R105" s="9">
        <v>0</v>
      </c>
      <c r="S105" s="9">
        <v>0</v>
      </c>
      <c r="T105" s="9">
        <v>360</v>
      </c>
      <c r="U105" s="9">
        <v>500</v>
      </c>
      <c r="V105" s="9">
        <v>0</v>
      </c>
      <c r="W105" s="9">
        <v>0</v>
      </c>
      <c r="X105" s="9">
        <v>0</v>
      </c>
      <c r="Y105" s="9">
        <v>1</v>
      </c>
      <c r="Z105" s="9">
        <v>4</v>
      </c>
      <c r="AA105" s="9">
        <v>0</v>
      </c>
      <c r="AB105" s="10">
        <v>45127</v>
      </c>
    </row>
    <row r="106" spans="1:28" ht="15.75" customHeight="1">
      <c r="A106" s="9" t="s">
        <v>277</v>
      </c>
      <c r="B106" s="9" t="s">
        <v>50</v>
      </c>
      <c r="C106" s="9" t="s">
        <v>51</v>
      </c>
      <c r="D106" s="9">
        <v>2544</v>
      </c>
      <c r="E106" s="10">
        <v>45146</v>
      </c>
      <c r="F106" s="10">
        <v>45111</v>
      </c>
      <c r="G106" s="10">
        <v>45072</v>
      </c>
      <c r="H106" s="9">
        <v>90</v>
      </c>
      <c r="I106" s="9">
        <v>229</v>
      </c>
      <c r="J106" s="9">
        <v>1</v>
      </c>
      <c r="K106" s="9" t="s">
        <v>40</v>
      </c>
      <c r="L106" s="9">
        <v>50</v>
      </c>
      <c r="M106" s="9">
        <v>90</v>
      </c>
      <c r="N106" s="9">
        <v>30</v>
      </c>
      <c r="O106" s="9">
        <v>1</v>
      </c>
      <c r="P106" s="9">
        <v>1</v>
      </c>
      <c r="Q106" s="9">
        <v>1</v>
      </c>
      <c r="R106" s="9">
        <v>0</v>
      </c>
      <c r="S106" s="9">
        <v>0</v>
      </c>
      <c r="T106" s="9">
        <v>1</v>
      </c>
      <c r="U106" s="9">
        <v>900</v>
      </c>
      <c r="V106" s="9">
        <v>0</v>
      </c>
      <c r="W106" s="9">
        <v>0</v>
      </c>
      <c r="X106" s="9">
        <v>0</v>
      </c>
      <c r="Y106" s="9">
        <v>1</v>
      </c>
      <c r="Z106" s="9">
        <v>4</v>
      </c>
      <c r="AA106" s="9">
        <v>0</v>
      </c>
      <c r="AB106" s="10">
        <v>45131</v>
      </c>
    </row>
    <row r="107" spans="1:28" ht="15.75" customHeight="1">
      <c r="A107" s="9" t="s">
        <v>278</v>
      </c>
      <c r="B107" s="9" t="s">
        <v>279</v>
      </c>
      <c r="C107" s="9" t="s">
        <v>280</v>
      </c>
      <c r="D107" s="9">
        <v>1100</v>
      </c>
      <c r="E107" s="10">
        <v>45139</v>
      </c>
      <c r="F107" s="10">
        <v>45114</v>
      </c>
      <c r="G107" s="10">
        <v>45098</v>
      </c>
      <c r="H107" s="9">
        <v>50</v>
      </c>
      <c r="I107" s="9">
        <v>55</v>
      </c>
      <c r="J107" s="9">
        <v>1</v>
      </c>
      <c r="K107" s="9" t="s">
        <v>33</v>
      </c>
      <c r="L107" s="9">
        <v>50</v>
      </c>
      <c r="M107" s="9">
        <v>95</v>
      </c>
      <c r="N107" s="9">
        <v>20</v>
      </c>
      <c r="O107" s="9">
        <v>1</v>
      </c>
      <c r="P107" s="9">
        <v>1</v>
      </c>
      <c r="Q107" s="9">
        <v>1</v>
      </c>
      <c r="R107" s="9">
        <v>0</v>
      </c>
      <c r="S107" s="9">
        <v>0</v>
      </c>
      <c r="T107" s="9">
        <v>1200</v>
      </c>
      <c r="U107" s="9">
        <v>1100</v>
      </c>
      <c r="V107" s="9">
        <v>0</v>
      </c>
      <c r="W107" s="9">
        <v>0</v>
      </c>
      <c r="X107" s="9">
        <v>0</v>
      </c>
      <c r="Y107" s="9">
        <v>1</v>
      </c>
      <c r="Z107" s="9">
        <v>4</v>
      </c>
      <c r="AA107" s="9">
        <v>0</v>
      </c>
      <c r="AB107" s="10">
        <v>45131</v>
      </c>
    </row>
    <row r="108" spans="1:28" ht="15.75" customHeight="1">
      <c r="A108" s="9" t="s">
        <v>281</v>
      </c>
      <c r="B108" s="9" t="s">
        <v>173</v>
      </c>
      <c r="C108" s="9" t="s">
        <v>174</v>
      </c>
      <c r="D108" s="9">
        <v>2500</v>
      </c>
      <c r="E108" s="10">
        <v>45146</v>
      </c>
      <c r="F108" s="10">
        <v>45092</v>
      </c>
      <c r="G108" s="10">
        <v>45072</v>
      </c>
      <c r="H108" s="9">
        <v>40</v>
      </c>
      <c r="I108" s="9">
        <v>100</v>
      </c>
      <c r="J108" s="9">
        <v>2</v>
      </c>
      <c r="K108" s="9" t="s">
        <v>48</v>
      </c>
      <c r="L108" s="9">
        <v>105</v>
      </c>
      <c r="M108" s="9">
        <v>120</v>
      </c>
      <c r="N108" s="9">
        <v>90</v>
      </c>
      <c r="O108" s="9">
        <v>1</v>
      </c>
      <c r="P108" s="9">
        <v>1</v>
      </c>
      <c r="Q108" s="9">
        <v>1</v>
      </c>
      <c r="R108" s="9">
        <v>0</v>
      </c>
      <c r="S108" s="9">
        <v>0</v>
      </c>
      <c r="T108" s="9">
        <v>0</v>
      </c>
      <c r="U108" s="9">
        <v>750</v>
      </c>
      <c r="V108" s="9">
        <v>0</v>
      </c>
      <c r="W108" s="9">
        <v>0</v>
      </c>
      <c r="X108" s="9">
        <v>0</v>
      </c>
      <c r="Y108" s="9">
        <v>0</v>
      </c>
      <c r="Z108" s="9">
        <v>4</v>
      </c>
      <c r="AA108" s="9">
        <v>0</v>
      </c>
      <c r="AB108" s="10">
        <v>45118</v>
      </c>
    </row>
    <row r="109" spans="1:28" ht="15.75" customHeight="1">
      <c r="A109" s="9" t="s">
        <v>282</v>
      </c>
      <c r="B109" s="9" t="s">
        <v>283</v>
      </c>
      <c r="C109" s="9" t="s">
        <v>284</v>
      </c>
      <c r="D109" s="9">
        <v>5000</v>
      </c>
      <c r="E109" s="10">
        <v>45146</v>
      </c>
      <c r="F109" s="10">
        <v>45015</v>
      </c>
      <c r="G109" s="10">
        <v>44967</v>
      </c>
      <c r="H109" s="9">
        <v>30.3</v>
      </c>
      <c r="I109" s="9">
        <v>152</v>
      </c>
      <c r="J109" s="9">
        <v>1</v>
      </c>
      <c r="K109" s="9" t="s">
        <v>40</v>
      </c>
      <c r="L109" s="9">
        <v>70</v>
      </c>
      <c r="M109" s="9">
        <v>90</v>
      </c>
      <c r="N109" s="9">
        <v>30</v>
      </c>
      <c r="O109" s="9">
        <v>1</v>
      </c>
      <c r="P109" s="9">
        <v>1</v>
      </c>
      <c r="Q109" s="9">
        <v>1</v>
      </c>
      <c r="R109" s="9">
        <v>0</v>
      </c>
      <c r="S109" s="9">
        <v>0</v>
      </c>
      <c r="T109" s="9">
        <v>1600</v>
      </c>
      <c r="U109" s="9">
        <v>1600</v>
      </c>
      <c r="V109" s="9">
        <v>0</v>
      </c>
      <c r="W109" s="9">
        <v>0</v>
      </c>
      <c r="X109" s="9">
        <v>0</v>
      </c>
      <c r="Y109" s="9">
        <v>1</v>
      </c>
      <c r="Z109" s="9">
        <v>3</v>
      </c>
      <c r="AA109" s="9">
        <v>0</v>
      </c>
      <c r="AB109" s="10">
        <v>45119</v>
      </c>
    </row>
    <row r="110" spans="1:28" ht="15.75" customHeight="1">
      <c r="A110" s="9" t="s">
        <v>285</v>
      </c>
      <c r="B110" s="9" t="s">
        <v>167</v>
      </c>
      <c r="C110" s="9" t="s">
        <v>168</v>
      </c>
      <c r="D110" s="9">
        <v>5000</v>
      </c>
      <c r="E110" s="10">
        <v>45144</v>
      </c>
      <c r="F110" s="10">
        <v>45128</v>
      </c>
      <c r="G110" s="10">
        <v>45142</v>
      </c>
      <c r="H110" s="9">
        <v>30</v>
      </c>
      <c r="I110" s="9">
        <v>150</v>
      </c>
      <c r="J110" s="9">
        <v>2</v>
      </c>
      <c r="K110" s="9" t="s">
        <v>74</v>
      </c>
      <c r="L110" s="9">
        <v>25</v>
      </c>
      <c r="M110" s="9">
        <v>180</v>
      </c>
      <c r="N110" s="9">
        <v>40</v>
      </c>
      <c r="O110" s="9">
        <v>1</v>
      </c>
      <c r="P110" s="9">
        <v>1</v>
      </c>
      <c r="Q110" s="9">
        <v>1</v>
      </c>
      <c r="R110" s="9">
        <v>0</v>
      </c>
      <c r="S110" s="9">
        <v>0</v>
      </c>
      <c r="T110" s="9">
        <v>1</v>
      </c>
      <c r="U110" s="9">
        <v>1</v>
      </c>
      <c r="V110" s="9">
        <v>0</v>
      </c>
      <c r="W110" s="9">
        <v>0</v>
      </c>
      <c r="X110" s="9">
        <v>0</v>
      </c>
      <c r="Y110" s="9">
        <v>1</v>
      </c>
      <c r="Z110" s="9">
        <v>4</v>
      </c>
      <c r="AA110" s="9">
        <v>0</v>
      </c>
      <c r="AB110" s="10">
        <v>45133</v>
      </c>
    </row>
    <row r="111" spans="1:28" ht="15.75" customHeight="1">
      <c r="A111" s="9" t="s">
        <v>286</v>
      </c>
      <c r="B111" s="9" t="s">
        <v>287</v>
      </c>
      <c r="C111" s="9" t="s">
        <v>288</v>
      </c>
      <c r="D111" s="9">
        <v>7000</v>
      </c>
      <c r="E111" s="10">
        <v>45135</v>
      </c>
      <c r="F111" s="10">
        <v>45064</v>
      </c>
      <c r="G111" s="10">
        <v>45124</v>
      </c>
      <c r="H111" s="9">
        <v>35.5</v>
      </c>
      <c r="I111" s="9">
        <v>249</v>
      </c>
      <c r="J111" s="9">
        <v>4</v>
      </c>
      <c r="K111" s="9" t="s">
        <v>33</v>
      </c>
      <c r="L111" s="9">
        <v>100</v>
      </c>
      <c r="M111" s="9">
        <v>160</v>
      </c>
      <c r="N111" s="9">
        <v>15</v>
      </c>
      <c r="O111" s="9">
        <v>1</v>
      </c>
      <c r="P111" s="9">
        <v>1</v>
      </c>
      <c r="Q111" s="9">
        <v>1</v>
      </c>
      <c r="R111" s="9">
        <v>0</v>
      </c>
      <c r="S111" s="9">
        <v>0</v>
      </c>
      <c r="T111" s="9">
        <v>1</v>
      </c>
      <c r="U111" s="9">
        <v>700</v>
      </c>
      <c r="V111" s="9">
        <v>0</v>
      </c>
      <c r="W111" s="9">
        <v>0</v>
      </c>
      <c r="X111" s="9">
        <v>0</v>
      </c>
      <c r="Y111" s="9">
        <v>1</v>
      </c>
      <c r="Z111" s="9">
        <v>3</v>
      </c>
      <c r="AA111" s="9">
        <v>0</v>
      </c>
      <c r="AB111" s="10">
        <v>45128</v>
      </c>
    </row>
    <row r="112" spans="1:28" ht="15.75" customHeight="1">
      <c r="A112" s="9" t="s">
        <v>289</v>
      </c>
      <c r="B112" s="9" t="s">
        <v>287</v>
      </c>
      <c r="C112" s="9" t="s">
        <v>288</v>
      </c>
      <c r="D112" s="9">
        <v>1000</v>
      </c>
      <c r="E112" s="10">
        <v>45147</v>
      </c>
      <c r="F112" s="10">
        <v>45064</v>
      </c>
      <c r="G112" s="10">
        <v>45138</v>
      </c>
      <c r="H112" s="9">
        <v>35.5</v>
      </c>
      <c r="I112" s="9">
        <v>36</v>
      </c>
      <c r="J112" s="9">
        <v>1</v>
      </c>
      <c r="K112" s="9" t="s">
        <v>33</v>
      </c>
      <c r="L112" s="9">
        <v>100</v>
      </c>
      <c r="M112" s="9">
        <v>160</v>
      </c>
      <c r="N112" s="9">
        <v>15</v>
      </c>
      <c r="O112" s="9">
        <v>1</v>
      </c>
      <c r="P112" s="9">
        <v>1</v>
      </c>
      <c r="Q112" s="9">
        <v>1</v>
      </c>
      <c r="R112" s="9">
        <v>0</v>
      </c>
      <c r="S112" s="9">
        <v>0</v>
      </c>
      <c r="T112" s="9">
        <v>1</v>
      </c>
      <c r="U112" s="9">
        <v>700</v>
      </c>
      <c r="V112" s="9">
        <v>0</v>
      </c>
      <c r="W112" s="9">
        <v>0</v>
      </c>
      <c r="X112" s="9">
        <v>0</v>
      </c>
      <c r="Y112" s="9">
        <v>1</v>
      </c>
      <c r="Z112" s="9">
        <v>3</v>
      </c>
      <c r="AA112" s="9">
        <v>0</v>
      </c>
      <c r="AB112" s="10">
        <v>45145</v>
      </c>
    </row>
    <row r="113" spans="1:28" ht="15.75" customHeight="1">
      <c r="A113" s="9" t="s">
        <v>290</v>
      </c>
      <c r="B113" s="9" t="s">
        <v>217</v>
      </c>
      <c r="C113" s="9" t="s">
        <v>218</v>
      </c>
      <c r="D113" s="9">
        <v>3000</v>
      </c>
      <c r="E113" s="10">
        <v>45148</v>
      </c>
      <c r="F113" s="10">
        <v>45114</v>
      </c>
      <c r="G113" s="10">
        <v>45103</v>
      </c>
      <c r="H113" s="9">
        <v>51.5</v>
      </c>
      <c r="I113" s="9">
        <v>155</v>
      </c>
      <c r="J113" s="9">
        <v>2</v>
      </c>
      <c r="K113" s="9" t="s">
        <v>33</v>
      </c>
      <c r="L113" s="9">
        <v>45</v>
      </c>
      <c r="M113" s="9">
        <v>105</v>
      </c>
      <c r="N113" s="9">
        <v>20</v>
      </c>
      <c r="O113" s="9">
        <v>1</v>
      </c>
      <c r="P113" s="9">
        <v>1</v>
      </c>
      <c r="Q113" s="9">
        <v>1</v>
      </c>
      <c r="R113" s="9">
        <v>0</v>
      </c>
      <c r="S113" s="9">
        <v>0</v>
      </c>
      <c r="T113" s="9">
        <v>0</v>
      </c>
      <c r="U113" s="9">
        <v>700</v>
      </c>
      <c r="V113" s="9">
        <v>0</v>
      </c>
      <c r="W113" s="9">
        <v>0</v>
      </c>
      <c r="X113" s="9">
        <v>0</v>
      </c>
      <c r="Y113" s="9">
        <v>0</v>
      </c>
      <c r="Z113" s="9">
        <v>3</v>
      </c>
      <c r="AA113" s="9">
        <v>0</v>
      </c>
      <c r="AB113" s="10">
        <v>45131</v>
      </c>
    </row>
    <row r="114" spans="1:28" ht="15.75" customHeight="1">
      <c r="A114" s="9" t="s">
        <v>294</v>
      </c>
      <c r="B114" s="9" t="s">
        <v>295</v>
      </c>
      <c r="C114" s="9" t="s">
        <v>296</v>
      </c>
      <c r="D114" s="9">
        <v>640</v>
      </c>
      <c r="E114" s="10">
        <v>45149</v>
      </c>
      <c r="F114" s="10">
        <v>45120</v>
      </c>
      <c r="G114" s="10">
        <v>45131</v>
      </c>
      <c r="H114" s="9">
        <v>60.4</v>
      </c>
      <c r="I114" s="9">
        <v>39</v>
      </c>
      <c r="J114" s="9">
        <v>1</v>
      </c>
      <c r="K114" s="9" t="s">
        <v>48</v>
      </c>
      <c r="L114" s="9">
        <v>25</v>
      </c>
      <c r="M114" s="9">
        <v>130</v>
      </c>
      <c r="N114" s="9">
        <v>30</v>
      </c>
      <c r="O114" s="9">
        <v>1</v>
      </c>
      <c r="P114" s="9">
        <v>1</v>
      </c>
      <c r="Q114" s="9">
        <v>1</v>
      </c>
      <c r="R114" s="9">
        <v>0</v>
      </c>
      <c r="S114" s="9">
        <v>0</v>
      </c>
      <c r="T114" s="9">
        <v>760</v>
      </c>
      <c r="U114" s="9">
        <v>770</v>
      </c>
      <c r="V114" s="9">
        <v>0</v>
      </c>
      <c r="W114" s="9">
        <v>0</v>
      </c>
      <c r="X114" s="9">
        <v>0</v>
      </c>
      <c r="Y114" s="9">
        <v>1</v>
      </c>
      <c r="Z114" s="9">
        <v>4</v>
      </c>
      <c r="AA114" s="9">
        <v>0</v>
      </c>
      <c r="AB114" s="10">
        <v>45145</v>
      </c>
    </row>
    <row r="115" spans="1:28" ht="15.75" customHeight="1">
      <c r="A115" s="9" t="s">
        <v>297</v>
      </c>
      <c r="B115" s="9" t="s">
        <v>187</v>
      </c>
      <c r="C115" s="9" t="s">
        <v>188</v>
      </c>
      <c r="D115" s="9">
        <v>10000</v>
      </c>
      <c r="E115" s="10">
        <v>45152</v>
      </c>
      <c r="F115" s="10">
        <v>45128</v>
      </c>
      <c r="G115" s="10">
        <v>45148</v>
      </c>
      <c r="H115" s="9">
        <v>29.7</v>
      </c>
      <c r="I115" s="9">
        <v>297</v>
      </c>
      <c r="J115" s="9">
        <v>3</v>
      </c>
      <c r="K115" s="9" t="s">
        <v>33</v>
      </c>
      <c r="L115" s="9">
        <v>20</v>
      </c>
      <c r="M115" s="9">
        <v>110</v>
      </c>
      <c r="N115" s="9">
        <v>20</v>
      </c>
      <c r="O115" s="9">
        <v>1</v>
      </c>
      <c r="P115" s="9">
        <v>1</v>
      </c>
      <c r="Q115" s="9">
        <v>1</v>
      </c>
      <c r="R115" s="9">
        <v>0</v>
      </c>
      <c r="S115" s="9">
        <v>0</v>
      </c>
      <c r="T115" s="9">
        <v>600</v>
      </c>
      <c r="U115" s="9">
        <v>1</v>
      </c>
      <c r="V115" s="9">
        <v>0</v>
      </c>
      <c r="W115" s="9">
        <v>0</v>
      </c>
      <c r="X115" s="9">
        <v>0</v>
      </c>
      <c r="Y115" s="9">
        <v>1</v>
      </c>
      <c r="Z115" s="9">
        <v>4</v>
      </c>
      <c r="AA115" s="9">
        <v>0</v>
      </c>
      <c r="AB115" s="10">
        <v>45138</v>
      </c>
    </row>
    <row r="116" spans="1:28" ht="15.75" customHeight="1">
      <c r="A116" s="9" t="s">
        <v>298</v>
      </c>
      <c r="B116" s="9" t="s">
        <v>99</v>
      </c>
      <c r="C116" s="9" t="s">
        <v>100</v>
      </c>
      <c r="D116" s="9">
        <v>2000</v>
      </c>
      <c r="E116" s="10">
        <v>45148</v>
      </c>
      <c r="F116" s="10">
        <v>45128</v>
      </c>
      <c r="G116" s="10">
        <v>45128</v>
      </c>
      <c r="H116" s="9">
        <v>31.7</v>
      </c>
      <c r="I116" s="9">
        <v>64</v>
      </c>
      <c r="J116" s="9">
        <v>1</v>
      </c>
      <c r="K116" s="9" t="s">
        <v>33</v>
      </c>
      <c r="L116" s="9">
        <v>0</v>
      </c>
      <c r="M116" s="9">
        <v>160</v>
      </c>
      <c r="N116" s="9">
        <v>30</v>
      </c>
      <c r="O116" s="9">
        <v>1</v>
      </c>
      <c r="P116" s="9">
        <v>1</v>
      </c>
      <c r="Q116" s="9">
        <v>1</v>
      </c>
      <c r="R116" s="9">
        <v>0</v>
      </c>
      <c r="S116" s="9">
        <v>0</v>
      </c>
      <c r="T116" s="9">
        <v>660</v>
      </c>
      <c r="U116" s="9">
        <v>800</v>
      </c>
      <c r="V116" s="9">
        <v>0</v>
      </c>
      <c r="W116" s="9">
        <v>0</v>
      </c>
      <c r="X116" s="9">
        <v>0</v>
      </c>
      <c r="Y116" s="9">
        <v>1</v>
      </c>
      <c r="Z116" s="9">
        <v>4</v>
      </c>
      <c r="AA116" s="9">
        <v>0</v>
      </c>
      <c r="AB116" s="10">
        <v>45149</v>
      </c>
    </row>
    <row r="117" spans="1:28" ht="15.75" customHeight="1">
      <c r="A117" s="9" t="s">
        <v>299</v>
      </c>
      <c r="B117" s="9" t="s">
        <v>300</v>
      </c>
      <c r="C117" s="9" t="s">
        <v>301</v>
      </c>
      <c r="D117" s="9">
        <v>1000</v>
      </c>
      <c r="E117" s="10">
        <v>45154</v>
      </c>
      <c r="F117" s="10">
        <v>45057</v>
      </c>
      <c r="G117" s="10">
        <v>45110</v>
      </c>
      <c r="H117" s="9">
        <v>96.6</v>
      </c>
      <c r="I117" s="9">
        <v>97</v>
      </c>
      <c r="J117" s="9">
        <v>1</v>
      </c>
      <c r="K117" s="9" t="s">
        <v>33</v>
      </c>
      <c r="L117" s="9">
        <v>0</v>
      </c>
      <c r="M117" s="9">
        <v>150</v>
      </c>
      <c r="N117" s="9">
        <v>30</v>
      </c>
      <c r="O117" s="9">
        <v>1</v>
      </c>
      <c r="P117" s="9">
        <v>1</v>
      </c>
      <c r="Q117" s="9">
        <v>1</v>
      </c>
      <c r="R117" s="9">
        <v>0</v>
      </c>
      <c r="S117" s="9">
        <v>0</v>
      </c>
      <c r="T117" s="9">
        <v>1</v>
      </c>
      <c r="U117" s="9">
        <v>480</v>
      </c>
      <c r="V117" s="9">
        <v>0</v>
      </c>
      <c r="W117" s="9">
        <v>0</v>
      </c>
      <c r="X117" s="9">
        <v>0</v>
      </c>
      <c r="Y117" s="9">
        <v>1</v>
      </c>
      <c r="Z117" s="9">
        <v>3</v>
      </c>
      <c r="AA117" s="9">
        <v>0</v>
      </c>
      <c r="AB117" s="10">
        <v>45114</v>
      </c>
    </row>
    <row r="118" spans="1:28" ht="15.75" customHeight="1">
      <c r="A118" s="9" t="s">
        <v>302</v>
      </c>
      <c r="B118" s="9" t="s">
        <v>111</v>
      </c>
      <c r="C118" s="9" t="s">
        <v>112</v>
      </c>
      <c r="D118" s="9">
        <v>5000</v>
      </c>
      <c r="E118" s="10">
        <v>45156</v>
      </c>
      <c r="F118" s="10">
        <v>45134</v>
      </c>
      <c r="G118" s="10">
        <v>45147</v>
      </c>
      <c r="H118" s="9">
        <v>370</v>
      </c>
      <c r="I118" s="9">
        <v>1850</v>
      </c>
      <c r="J118" s="9">
        <v>19</v>
      </c>
      <c r="K118" s="9" t="s">
        <v>33</v>
      </c>
      <c r="L118" s="9">
        <v>75</v>
      </c>
      <c r="M118" s="9">
        <v>60</v>
      </c>
      <c r="N118" s="9">
        <v>10</v>
      </c>
      <c r="O118" s="9">
        <v>1</v>
      </c>
      <c r="P118" s="9">
        <v>1</v>
      </c>
      <c r="Q118" s="9">
        <v>1</v>
      </c>
      <c r="R118" s="9">
        <v>0</v>
      </c>
      <c r="S118" s="9">
        <v>0</v>
      </c>
      <c r="T118" s="9">
        <v>570</v>
      </c>
      <c r="U118" s="9">
        <v>480</v>
      </c>
      <c r="V118" s="9">
        <v>0</v>
      </c>
      <c r="W118" s="9">
        <v>0</v>
      </c>
      <c r="X118" s="9">
        <v>0</v>
      </c>
      <c r="Y118" s="9">
        <v>1</v>
      </c>
      <c r="Z118" s="9">
        <v>4</v>
      </c>
      <c r="AA118" s="9">
        <v>0</v>
      </c>
      <c r="AB118" s="10">
        <v>45152</v>
      </c>
    </row>
    <row r="119" spans="1:28" ht="15.75" customHeight="1">
      <c r="A119" s="9" t="s">
        <v>303</v>
      </c>
      <c r="B119" s="9" t="s">
        <v>304</v>
      </c>
      <c r="C119" s="9" t="s">
        <v>305</v>
      </c>
      <c r="D119" s="9">
        <v>10000</v>
      </c>
      <c r="E119" s="10">
        <v>45155</v>
      </c>
      <c r="F119" s="10">
        <v>45064</v>
      </c>
      <c r="G119" s="10">
        <v>45138</v>
      </c>
      <c r="H119" s="9">
        <v>35.5</v>
      </c>
      <c r="I119" s="9">
        <v>355</v>
      </c>
      <c r="J119" s="9">
        <v>5</v>
      </c>
      <c r="K119" s="9" t="s">
        <v>33</v>
      </c>
      <c r="L119" s="9">
        <v>100</v>
      </c>
      <c r="M119" s="9">
        <v>160</v>
      </c>
      <c r="N119" s="9">
        <v>15</v>
      </c>
      <c r="O119" s="9">
        <v>1</v>
      </c>
      <c r="P119" s="9">
        <v>1</v>
      </c>
      <c r="Q119" s="9">
        <v>1</v>
      </c>
      <c r="R119" s="9">
        <v>0</v>
      </c>
      <c r="S119" s="9">
        <v>0</v>
      </c>
      <c r="T119" s="9">
        <v>900</v>
      </c>
      <c r="U119" s="9">
        <v>690</v>
      </c>
      <c r="V119" s="9">
        <v>0</v>
      </c>
      <c r="W119" s="9">
        <v>0</v>
      </c>
      <c r="X119" s="9">
        <v>0</v>
      </c>
      <c r="Y119" s="9">
        <v>1</v>
      </c>
      <c r="Z119" s="9">
        <v>3</v>
      </c>
      <c r="AA119" s="9">
        <v>0</v>
      </c>
      <c r="AB119" s="10">
        <v>45146</v>
      </c>
    </row>
    <row r="120" spans="1:28" ht="15.75" customHeight="1">
      <c r="A120" s="9" t="s">
        <v>306</v>
      </c>
      <c r="B120" s="9" t="s">
        <v>234</v>
      </c>
      <c r="C120" s="9" t="s">
        <v>235</v>
      </c>
      <c r="D120" s="9">
        <v>10000</v>
      </c>
      <c r="E120" s="10">
        <v>45089</v>
      </c>
      <c r="F120" s="10">
        <v>44987</v>
      </c>
      <c r="G120" s="10">
        <v>44721</v>
      </c>
      <c r="H120" s="9">
        <v>31.4</v>
      </c>
      <c r="I120" s="9">
        <v>314</v>
      </c>
      <c r="J120" s="9">
        <v>1</v>
      </c>
      <c r="K120" s="9" t="s">
        <v>40</v>
      </c>
      <c r="L120" s="9">
        <v>60</v>
      </c>
      <c r="M120" s="9">
        <v>110</v>
      </c>
      <c r="N120" s="9">
        <v>30</v>
      </c>
      <c r="O120" s="9">
        <v>1</v>
      </c>
      <c r="P120" s="9">
        <v>1</v>
      </c>
      <c r="Q120" s="9">
        <v>1</v>
      </c>
      <c r="R120" s="9">
        <v>0</v>
      </c>
      <c r="S120" s="9">
        <v>0</v>
      </c>
      <c r="T120" s="9">
        <v>1300</v>
      </c>
      <c r="U120" s="9">
        <v>1200</v>
      </c>
      <c r="V120" s="9">
        <v>0</v>
      </c>
      <c r="W120" s="9">
        <v>0</v>
      </c>
      <c r="X120" s="9">
        <v>0</v>
      </c>
      <c r="Y120" s="9">
        <v>1</v>
      </c>
      <c r="Z120" s="9">
        <v>4</v>
      </c>
      <c r="AA120" s="9">
        <v>0</v>
      </c>
      <c r="AB120" s="10">
        <v>45079</v>
      </c>
    </row>
    <row r="121" spans="1:28" ht="15.75" customHeight="1">
      <c r="A121" s="9" t="s">
        <v>307</v>
      </c>
      <c r="B121" s="9" t="s">
        <v>234</v>
      </c>
      <c r="C121" s="9" t="s">
        <v>235</v>
      </c>
      <c r="D121" s="9">
        <v>10000</v>
      </c>
      <c r="E121" s="10">
        <v>45155</v>
      </c>
      <c r="F121" s="10">
        <v>45104</v>
      </c>
      <c r="G121" s="10">
        <v>45132</v>
      </c>
      <c r="H121" s="9">
        <v>31.4</v>
      </c>
      <c r="I121" s="9">
        <v>314</v>
      </c>
      <c r="J121" s="9">
        <v>1</v>
      </c>
      <c r="K121" s="9" t="s">
        <v>40</v>
      </c>
      <c r="L121" s="9">
        <v>60</v>
      </c>
      <c r="M121" s="9">
        <v>110</v>
      </c>
      <c r="N121" s="9">
        <v>30</v>
      </c>
      <c r="O121" s="9">
        <v>1</v>
      </c>
      <c r="P121" s="9">
        <v>1</v>
      </c>
      <c r="Q121" s="9">
        <v>1</v>
      </c>
      <c r="R121" s="9">
        <v>0</v>
      </c>
      <c r="S121" s="9">
        <v>0</v>
      </c>
      <c r="T121" s="9">
        <v>1300</v>
      </c>
      <c r="U121" s="9">
        <v>1200</v>
      </c>
      <c r="V121" s="9">
        <v>0</v>
      </c>
      <c r="W121" s="9">
        <v>0</v>
      </c>
      <c r="X121" s="9">
        <v>0</v>
      </c>
      <c r="Y121" s="9">
        <v>1</v>
      </c>
      <c r="Z121" s="9">
        <v>4</v>
      </c>
      <c r="AA121" s="9">
        <v>0</v>
      </c>
      <c r="AB121" s="10">
        <v>45134</v>
      </c>
    </row>
    <row r="122" spans="1:28" ht="15.75" customHeight="1">
      <c r="A122" s="9" t="s">
        <v>308</v>
      </c>
      <c r="B122" s="9" t="s">
        <v>309</v>
      </c>
      <c r="C122" s="9" t="s">
        <v>310</v>
      </c>
      <c r="D122" s="9">
        <v>5000</v>
      </c>
      <c r="E122" s="10">
        <v>45156</v>
      </c>
      <c r="F122" s="10">
        <v>45076</v>
      </c>
      <c r="G122" s="10">
        <v>45062</v>
      </c>
      <c r="H122" s="9">
        <v>30.6</v>
      </c>
      <c r="I122" s="9">
        <v>153</v>
      </c>
      <c r="J122" s="9">
        <v>1</v>
      </c>
      <c r="K122" s="9" t="s">
        <v>40</v>
      </c>
      <c r="L122" s="9">
        <v>55</v>
      </c>
      <c r="M122" s="9">
        <v>100</v>
      </c>
      <c r="N122" s="9">
        <v>30</v>
      </c>
      <c r="O122" s="9">
        <v>1</v>
      </c>
      <c r="P122" s="9">
        <v>1</v>
      </c>
      <c r="Q122" s="9">
        <v>1</v>
      </c>
      <c r="R122" s="9">
        <v>0</v>
      </c>
      <c r="S122" s="9">
        <v>0</v>
      </c>
      <c r="T122" s="9">
        <v>1500</v>
      </c>
      <c r="U122" s="9">
        <v>1300</v>
      </c>
      <c r="V122" s="9">
        <v>0</v>
      </c>
      <c r="W122" s="9">
        <v>0</v>
      </c>
      <c r="X122" s="9">
        <v>0</v>
      </c>
      <c r="Y122" s="9">
        <v>1</v>
      </c>
      <c r="Z122" s="9">
        <v>4</v>
      </c>
      <c r="AA122" s="9">
        <v>0</v>
      </c>
      <c r="AB122" s="10">
        <v>45113</v>
      </c>
    </row>
    <row r="123" spans="1:28" ht="15.75" customHeight="1">
      <c r="A123" s="9" t="s">
        <v>64</v>
      </c>
      <c r="B123" s="9" t="s">
        <v>65</v>
      </c>
      <c r="C123" s="9" t="s">
        <v>66</v>
      </c>
      <c r="D123" s="9">
        <v>5000</v>
      </c>
      <c r="E123" s="10">
        <v>45167</v>
      </c>
      <c r="F123" s="10">
        <v>44904</v>
      </c>
      <c r="G123" s="10">
        <v>44904</v>
      </c>
      <c r="H123" s="9">
        <v>30.6</v>
      </c>
      <c r="I123" s="9">
        <v>153</v>
      </c>
      <c r="J123" s="9">
        <v>2</v>
      </c>
      <c r="K123" s="9" t="s">
        <v>33</v>
      </c>
      <c r="L123" s="9">
        <v>100</v>
      </c>
      <c r="M123" s="9">
        <v>115</v>
      </c>
      <c r="N123" s="9">
        <v>50</v>
      </c>
      <c r="O123" s="9">
        <v>1</v>
      </c>
      <c r="P123" s="9">
        <v>1</v>
      </c>
      <c r="Q123" s="9">
        <v>1</v>
      </c>
      <c r="R123" s="9">
        <v>0</v>
      </c>
      <c r="S123" s="9">
        <v>554</v>
      </c>
      <c r="T123" s="9">
        <v>1235</v>
      </c>
      <c r="U123" s="9">
        <v>800</v>
      </c>
      <c r="V123" s="9">
        <v>0</v>
      </c>
      <c r="W123" s="9">
        <v>0</v>
      </c>
      <c r="X123" s="9">
        <v>1</v>
      </c>
      <c r="Y123" s="9">
        <v>1</v>
      </c>
      <c r="Z123" s="9">
        <v>3</v>
      </c>
      <c r="AA123" s="9">
        <v>0</v>
      </c>
      <c r="AB123" s="10">
        <v>45119</v>
      </c>
    </row>
    <row r="124" spans="1:28" ht="15.75" customHeight="1">
      <c r="A124" s="9" t="s">
        <v>64</v>
      </c>
      <c r="B124" s="9" t="s">
        <v>65</v>
      </c>
      <c r="C124" s="9" t="s">
        <v>66</v>
      </c>
      <c r="D124" s="9">
        <v>5000</v>
      </c>
      <c r="E124" s="10">
        <v>45167</v>
      </c>
      <c r="F124" s="10">
        <v>44904</v>
      </c>
      <c r="G124" s="10">
        <v>44904</v>
      </c>
      <c r="H124" s="9">
        <v>30.6</v>
      </c>
      <c r="I124" s="9">
        <v>153</v>
      </c>
      <c r="J124" s="9">
        <v>2</v>
      </c>
      <c r="K124" s="9" t="s">
        <v>33</v>
      </c>
      <c r="L124" s="9">
        <v>100</v>
      </c>
      <c r="M124" s="9">
        <v>115</v>
      </c>
      <c r="N124" s="9">
        <v>50</v>
      </c>
      <c r="O124" s="9">
        <v>1</v>
      </c>
      <c r="P124" s="9">
        <v>1</v>
      </c>
      <c r="Q124" s="9">
        <v>1</v>
      </c>
      <c r="R124" s="9">
        <v>0</v>
      </c>
      <c r="S124" s="9">
        <v>554</v>
      </c>
      <c r="T124" s="9">
        <v>1235</v>
      </c>
      <c r="U124" s="9">
        <v>800</v>
      </c>
      <c r="V124" s="9">
        <v>0</v>
      </c>
      <c r="W124" s="9">
        <v>0</v>
      </c>
      <c r="X124" s="9">
        <v>1</v>
      </c>
      <c r="Y124" s="9">
        <v>1</v>
      </c>
      <c r="Z124" s="9">
        <v>3</v>
      </c>
      <c r="AA124" s="9">
        <v>0</v>
      </c>
      <c r="AB124" s="10">
        <v>45118</v>
      </c>
    </row>
    <row r="125" spans="1:28" ht="15.75" customHeight="1">
      <c r="A125" s="9" t="s">
        <v>311</v>
      </c>
      <c r="B125" s="9" t="s">
        <v>312</v>
      </c>
      <c r="C125" s="9" t="s">
        <v>313</v>
      </c>
      <c r="D125" s="9">
        <v>10000</v>
      </c>
      <c r="E125" s="10">
        <v>45127</v>
      </c>
      <c r="F125" s="10">
        <v>44839</v>
      </c>
      <c r="G125" s="10">
        <v>45093</v>
      </c>
      <c r="H125" s="9">
        <v>31.5</v>
      </c>
      <c r="I125" s="9">
        <v>315</v>
      </c>
      <c r="J125" s="9">
        <v>7</v>
      </c>
      <c r="K125" s="9" t="s">
        <v>48</v>
      </c>
      <c r="L125" s="9">
        <v>60</v>
      </c>
      <c r="M125" s="9">
        <v>120</v>
      </c>
      <c r="N125" s="9">
        <v>105</v>
      </c>
      <c r="O125" s="9">
        <v>1</v>
      </c>
      <c r="P125" s="9">
        <v>1</v>
      </c>
      <c r="Q125" s="9">
        <v>1</v>
      </c>
      <c r="R125" s="9">
        <v>0</v>
      </c>
      <c r="S125" s="9">
        <v>0</v>
      </c>
      <c r="T125" s="9">
        <v>2000</v>
      </c>
      <c r="U125" s="9">
        <v>890</v>
      </c>
      <c r="V125" s="9">
        <v>0</v>
      </c>
      <c r="W125" s="9">
        <v>0</v>
      </c>
      <c r="X125" s="9">
        <v>0</v>
      </c>
      <c r="Y125" s="9">
        <v>1</v>
      </c>
      <c r="Z125" s="9">
        <v>4</v>
      </c>
      <c r="AA125" s="9">
        <v>0</v>
      </c>
      <c r="AB125" s="10">
        <v>45110</v>
      </c>
    </row>
    <row r="126" spans="1:28" ht="15.75" customHeight="1">
      <c r="A126" s="9" t="s">
        <v>314</v>
      </c>
      <c r="B126" s="9" t="s">
        <v>87</v>
      </c>
      <c r="C126" s="9" t="s">
        <v>88</v>
      </c>
      <c r="D126" s="9">
        <v>5000</v>
      </c>
      <c r="E126" s="10">
        <v>45160</v>
      </c>
      <c r="F126" s="10">
        <v>45114</v>
      </c>
      <c r="G126" s="10">
        <v>45132</v>
      </c>
      <c r="H126" s="9">
        <v>30.6</v>
      </c>
      <c r="I126" s="9">
        <v>153</v>
      </c>
      <c r="J126" s="9">
        <v>1</v>
      </c>
      <c r="K126" s="9" t="s">
        <v>40</v>
      </c>
      <c r="L126" s="9">
        <v>25</v>
      </c>
      <c r="M126" s="9">
        <v>70</v>
      </c>
      <c r="N126" s="9">
        <v>30</v>
      </c>
      <c r="O126" s="9">
        <v>1</v>
      </c>
      <c r="P126" s="9">
        <v>1</v>
      </c>
      <c r="Q126" s="9">
        <v>1</v>
      </c>
      <c r="R126" s="9">
        <v>0</v>
      </c>
      <c r="S126" s="9">
        <v>0</v>
      </c>
      <c r="T126" s="9">
        <v>1600</v>
      </c>
      <c r="U126" s="9">
        <v>1500</v>
      </c>
      <c r="V126" s="9">
        <v>0</v>
      </c>
      <c r="W126" s="9">
        <v>0</v>
      </c>
      <c r="X126" s="9">
        <v>0</v>
      </c>
      <c r="Y126" s="9">
        <v>1</v>
      </c>
      <c r="Z126" s="9">
        <v>3</v>
      </c>
      <c r="AA126" s="9">
        <v>0</v>
      </c>
      <c r="AB126" s="10">
        <v>45135</v>
      </c>
    </row>
    <row r="127" spans="1:28" ht="15.75" customHeight="1">
      <c r="A127" s="9" t="s">
        <v>315</v>
      </c>
      <c r="B127" s="9" t="s">
        <v>316</v>
      </c>
      <c r="C127" s="9" t="s">
        <v>317</v>
      </c>
      <c r="D127" s="9">
        <v>3000</v>
      </c>
      <c r="E127" s="10">
        <v>45161</v>
      </c>
      <c r="F127" s="10">
        <v>45071</v>
      </c>
      <c r="G127" s="10">
        <v>45149</v>
      </c>
      <c r="H127" s="9">
        <v>16.5</v>
      </c>
      <c r="I127" s="9">
        <v>50</v>
      </c>
      <c r="J127" s="9">
        <v>1</v>
      </c>
      <c r="K127" s="9" t="s">
        <v>33</v>
      </c>
      <c r="L127" s="9">
        <v>20</v>
      </c>
      <c r="M127" s="9">
        <v>85</v>
      </c>
      <c r="N127" s="9">
        <v>15</v>
      </c>
      <c r="O127" s="9">
        <v>1</v>
      </c>
      <c r="P127" s="9">
        <v>1</v>
      </c>
      <c r="Q127" s="9">
        <v>1</v>
      </c>
      <c r="R127" s="9">
        <v>0</v>
      </c>
      <c r="S127" s="9">
        <v>0</v>
      </c>
      <c r="T127" s="9">
        <v>800</v>
      </c>
      <c r="U127" s="9">
        <v>850</v>
      </c>
      <c r="V127" s="9">
        <v>0</v>
      </c>
      <c r="W127" s="9">
        <v>0</v>
      </c>
      <c r="X127" s="9">
        <v>0</v>
      </c>
      <c r="Y127" s="9">
        <v>1</v>
      </c>
      <c r="Z127" s="9">
        <v>3</v>
      </c>
      <c r="AA127" s="9">
        <v>0</v>
      </c>
      <c r="AB127" s="10">
        <v>45154</v>
      </c>
    </row>
    <row r="128" spans="1:28" ht="15.75" customHeight="1">
      <c r="A128" s="9" t="s">
        <v>318</v>
      </c>
      <c r="B128" s="9" t="s">
        <v>167</v>
      </c>
      <c r="C128" s="9" t="s">
        <v>168</v>
      </c>
      <c r="D128" s="9">
        <v>5000</v>
      </c>
      <c r="E128" s="10">
        <v>45162</v>
      </c>
      <c r="F128" s="10">
        <v>45128</v>
      </c>
      <c r="G128" s="10">
        <v>45126</v>
      </c>
      <c r="H128" s="9">
        <v>30</v>
      </c>
      <c r="I128" s="9">
        <v>150</v>
      </c>
      <c r="J128" s="9">
        <v>2</v>
      </c>
      <c r="K128" s="9" t="s">
        <v>74</v>
      </c>
      <c r="L128" s="9">
        <v>25</v>
      </c>
      <c r="M128" s="9">
        <v>180</v>
      </c>
      <c r="N128" s="9">
        <v>40</v>
      </c>
      <c r="O128" s="9">
        <v>1</v>
      </c>
      <c r="P128" s="9">
        <v>1</v>
      </c>
      <c r="Q128" s="9">
        <v>1</v>
      </c>
      <c r="R128" s="9">
        <v>0</v>
      </c>
      <c r="S128" s="9">
        <v>0</v>
      </c>
      <c r="T128" s="9">
        <v>1</v>
      </c>
      <c r="U128" s="9">
        <v>1</v>
      </c>
      <c r="V128" s="9">
        <v>0</v>
      </c>
      <c r="W128" s="9">
        <v>0</v>
      </c>
      <c r="X128" s="9">
        <v>0</v>
      </c>
      <c r="Y128" s="9">
        <v>1</v>
      </c>
      <c r="Z128" s="9">
        <v>4</v>
      </c>
      <c r="AA128" s="9">
        <v>0</v>
      </c>
      <c r="AB128" s="10">
        <v>45160</v>
      </c>
    </row>
    <row r="129" spans="1:28" ht="15.75" customHeight="1">
      <c r="A129" s="9" t="s">
        <v>319</v>
      </c>
      <c r="B129" s="9" t="s">
        <v>181</v>
      </c>
      <c r="C129" s="9" t="s">
        <v>182</v>
      </c>
      <c r="D129" s="9">
        <v>10000</v>
      </c>
      <c r="E129" s="10">
        <v>45166</v>
      </c>
      <c r="F129" s="10">
        <v>44978</v>
      </c>
      <c r="G129" s="10">
        <v>44981</v>
      </c>
      <c r="H129" s="9">
        <v>50</v>
      </c>
      <c r="I129" s="9">
        <v>500</v>
      </c>
      <c r="J129" s="9">
        <v>5</v>
      </c>
      <c r="K129" s="9" t="s">
        <v>74</v>
      </c>
      <c r="L129" s="9">
        <v>25</v>
      </c>
      <c r="M129" s="9">
        <v>180</v>
      </c>
      <c r="N129" s="9">
        <v>40</v>
      </c>
      <c r="O129" s="9">
        <v>1</v>
      </c>
      <c r="P129" s="9">
        <v>1</v>
      </c>
      <c r="Q129" s="9">
        <v>1</v>
      </c>
      <c r="R129" s="9">
        <v>1600</v>
      </c>
      <c r="S129" s="9">
        <v>0</v>
      </c>
      <c r="T129" s="9">
        <v>1600</v>
      </c>
      <c r="U129" s="9">
        <v>1000</v>
      </c>
      <c r="V129" s="9">
        <v>0</v>
      </c>
      <c r="W129" s="9">
        <v>1</v>
      </c>
      <c r="X129" s="9">
        <v>0</v>
      </c>
      <c r="Y129" s="9">
        <v>1</v>
      </c>
      <c r="Z129" s="9">
        <v>4</v>
      </c>
      <c r="AA129" s="9">
        <v>0</v>
      </c>
      <c r="AB129" s="10">
        <v>45120</v>
      </c>
    </row>
    <row r="130" spans="1:28" ht="15.75" customHeight="1">
      <c r="A130" s="9" t="s">
        <v>320</v>
      </c>
      <c r="B130" s="9" t="s">
        <v>321</v>
      </c>
      <c r="C130" s="9" t="s">
        <v>322</v>
      </c>
      <c r="D130" s="9">
        <v>4000</v>
      </c>
      <c r="E130" s="10">
        <v>45163</v>
      </c>
      <c r="F130" s="10">
        <v>45134</v>
      </c>
      <c r="G130" s="10">
        <v>45126</v>
      </c>
      <c r="H130" s="9">
        <v>303</v>
      </c>
      <c r="I130" s="9">
        <v>1212</v>
      </c>
      <c r="J130" s="9">
        <v>4</v>
      </c>
      <c r="K130" s="9" t="s">
        <v>40</v>
      </c>
      <c r="L130" s="9">
        <v>25</v>
      </c>
      <c r="M130" s="9">
        <v>180</v>
      </c>
      <c r="N130" s="9">
        <v>30</v>
      </c>
      <c r="O130" s="9">
        <v>1</v>
      </c>
      <c r="P130" s="9">
        <v>1</v>
      </c>
      <c r="Q130" s="9">
        <v>1</v>
      </c>
      <c r="R130" s="9">
        <v>0</v>
      </c>
      <c r="S130" s="9">
        <v>0</v>
      </c>
      <c r="T130" s="9">
        <v>860</v>
      </c>
      <c r="U130" s="9">
        <v>500</v>
      </c>
      <c r="V130" s="9">
        <v>0</v>
      </c>
      <c r="W130" s="9">
        <v>0</v>
      </c>
      <c r="X130" s="9">
        <v>0</v>
      </c>
      <c r="Y130" s="9">
        <v>1</v>
      </c>
      <c r="Z130" s="9">
        <v>3</v>
      </c>
      <c r="AA130" s="9">
        <v>0</v>
      </c>
      <c r="AB130" s="10">
        <v>45156</v>
      </c>
    </row>
    <row r="131" spans="1:28" ht="15.75" customHeight="1">
      <c r="A131" s="9" t="s">
        <v>323</v>
      </c>
      <c r="B131" s="9" t="s">
        <v>324</v>
      </c>
      <c r="C131" s="9" t="s">
        <v>325</v>
      </c>
      <c r="D131" s="9">
        <v>10000</v>
      </c>
      <c r="E131" s="10">
        <v>45166</v>
      </c>
      <c r="F131" s="10">
        <v>45085</v>
      </c>
      <c r="G131" s="10">
        <v>45159</v>
      </c>
      <c r="H131" s="9">
        <v>48.2</v>
      </c>
      <c r="I131" s="9">
        <v>482</v>
      </c>
      <c r="J131" s="9">
        <v>10</v>
      </c>
      <c r="K131" s="9" t="s">
        <v>48</v>
      </c>
      <c r="L131" s="9">
        <v>35</v>
      </c>
      <c r="M131" s="9">
        <v>125</v>
      </c>
      <c r="N131" s="9">
        <v>30</v>
      </c>
      <c r="O131" s="9">
        <v>1</v>
      </c>
      <c r="P131" s="9">
        <v>1</v>
      </c>
      <c r="Q131" s="9">
        <v>1</v>
      </c>
      <c r="R131" s="9">
        <v>0</v>
      </c>
      <c r="S131" s="9">
        <v>0</v>
      </c>
      <c r="T131" s="9">
        <v>780</v>
      </c>
      <c r="U131" s="9">
        <v>650</v>
      </c>
      <c r="V131" s="9">
        <v>0</v>
      </c>
      <c r="W131" s="9">
        <v>0</v>
      </c>
      <c r="X131" s="9">
        <v>0</v>
      </c>
      <c r="Y131" s="9">
        <v>1</v>
      </c>
      <c r="Z131" s="9">
        <v>4</v>
      </c>
      <c r="AA131" s="9">
        <v>0</v>
      </c>
      <c r="AB131" s="10">
        <v>45160</v>
      </c>
    </row>
    <row r="132" spans="1:28" ht="15.75" customHeight="1">
      <c r="A132" s="9" t="s">
        <v>326</v>
      </c>
      <c r="B132" s="9" t="s">
        <v>327</v>
      </c>
      <c r="C132" s="9" t="s">
        <v>328</v>
      </c>
      <c r="D132" s="9">
        <v>2000</v>
      </c>
      <c r="E132" s="10">
        <v>45166</v>
      </c>
      <c r="F132" s="10">
        <v>45142</v>
      </c>
      <c r="G132" s="10">
        <v>45155</v>
      </c>
      <c r="H132" s="9">
        <v>30.2</v>
      </c>
      <c r="I132" s="9">
        <v>61</v>
      </c>
      <c r="J132" s="9">
        <v>1</v>
      </c>
      <c r="K132" s="9" t="s">
        <v>33</v>
      </c>
      <c r="L132" s="9">
        <v>25</v>
      </c>
      <c r="M132" s="9">
        <v>110</v>
      </c>
      <c r="N132" s="9">
        <v>15</v>
      </c>
      <c r="O132" s="9">
        <v>1</v>
      </c>
      <c r="P132" s="9">
        <v>1</v>
      </c>
      <c r="Q132" s="9">
        <v>1</v>
      </c>
      <c r="R132" s="9">
        <v>0</v>
      </c>
      <c r="S132" s="9">
        <v>0</v>
      </c>
      <c r="T132" s="9">
        <v>1</v>
      </c>
      <c r="U132" s="9">
        <v>950</v>
      </c>
      <c r="V132" s="9">
        <v>0</v>
      </c>
      <c r="W132" s="9">
        <v>0</v>
      </c>
      <c r="X132" s="9">
        <v>0</v>
      </c>
      <c r="Y132" s="9">
        <v>1</v>
      </c>
      <c r="Z132" s="9">
        <v>4</v>
      </c>
      <c r="AA132" s="9">
        <v>0</v>
      </c>
      <c r="AB132" s="10">
        <v>45156</v>
      </c>
    </row>
    <row r="133" spans="1:28" ht="15.75" customHeight="1">
      <c r="E133" s="10"/>
      <c r="F133" s="10"/>
      <c r="G133" s="10"/>
    </row>
    <row r="134" spans="1:28" ht="15.75" customHeight="1">
      <c r="E134" s="10"/>
      <c r="F134" s="10"/>
      <c r="G134" s="10"/>
    </row>
    <row r="135" spans="1:28" ht="15.75" customHeight="1">
      <c r="E135" s="10"/>
      <c r="F135" s="10"/>
      <c r="G135" s="10"/>
    </row>
    <row r="136" spans="1:28" ht="15.75" customHeight="1">
      <c r="E136" s="10"/>
      <c r="F136" s="10"/>
      <c r="G136" s="10"/>
    </row>
    <row r="137" spans="1:28" ht="15.75" customHeight="1">
      <c r="E137" s="10"/>
      <c r="F137" s="10"/>
      <c r="G137" s="10"/>
    </row>
    <row r="138" spans="1:28" ht="15.75" customHeight="1">
      <c r="E138" s="10"/>
      <c r="F138" s="10"/>
      <c r="G138" s="10"/>
    </row>
    <row r="139" spans="1:28" ht="15.75" customHeight="1">
      <c r="E139" s="10"/>
      <c r="F139" s="10"/>
      <c r="G139" s="10"/>
    </row>
    <row r="140" spans="1:28" ht="15.75" customHeight="1">
      <c r="E140" s="10"/>
      <c r="F140" s="10"/>
      <c r="G140" s="10"/>
    </row>
    <row r="141" spans="1:28" ht="15.75" customHeight="1">
      <c r="E141" s="10"/>
      <c r="F141" s="10"/>
      <c r="G141" s="10"/>
    </row>
    <row r="142" spans="1:28" ht="15.75" customHeight="1">
      <c r="E142" s="10"/>
      <c r="F142" s="10"/>
      <c r="G142" s="10"/>
    </row>
    <row r="143" spans="1:28" ht="15.75" customHeight="1">
      <c r="E143" s="10"/>
      <c r="F143" s="10"/>
      <c r="G143" s="10"/>
    </row>
    <row r="144" spans="1:28" ht="15.75" customHeight="1">
      <c r="E144" s="10"/>
      <c r="F144" s="10"/>
      <c r="G144" s="10"/>
    </row>
    <row r="145" spans="5:7" ht="15.75" customHeight="1">
      <c r="E145" s="10"/>
      <c r="F145" s="10"/>
      <c r="G145" s="10"/>
    </row>
    <row r="146" spans="5:7" ht="15.75" customHeight="1">
      <c r="E146" s="10"/>
      <c r="F146" s="10"/>
      <c r="G146" s="10"/>
    </row>
    <row r="147" spans="5:7" ht="15.75" customHeight="1">
      <c r="E147" s="10"/>
      <c r="F147" s="10"/>
      <c r="G147" s="10"/>
    </row>
    <row r="148" spans="5:7" ht="15.75" customHeight="1">
      <c r="E148" s="10"/>
      <c r="F148" s="10"/>
      <c r="G148" s="10"/>
    </row>
    <row r="149" spans="5:7" ht="15.75" customHeight="1">
      <c r="E149" s="10"/>
      <c r="F149" s="10"/>
      <c r="G149" s="10"/>
    </row>
    <row r="150" spans="5:7" ht="15.75" customHeight="1">
      <c r="E150" s="10"/>
      <c r="F150" s="10"/>
      <c r="G150" s="10"/>
    </row>
    <row r="151" spans="5:7" ht="15.75" customHeight="1">
      <c r="E151" s="10"/>
      <c r="F151" s="10"/>
      <c r="G151" s="10"/>
    </row>
    <row r="152" spans="5:7" ht="15.75" customHeight="1">
      <c r="E152" s="10"/>
      <c r="F152" s="10"/>
      <c r="G152" s="10"/>
    </row>
    <row r="153" spans="5:7" ht="15.75" customHeight="1">
      <c r="E153" s="10"/>
      <c r="F153" s="10"/>
      <c r="G153" s="10"/>
    </row>
    <row r="154" spans="5:7" ht="15.75" customHeight="1">
      <c r="E154" s="10"/>
      <c r="F154" s="10"/>
      <c r="G154" s="10"/>
    </row>
    <row r="155" spans="5:7" ht="15.75" customHeight="1">
      <c r="E155" s="10"/>
      <c r="F155" s="10"/>
      <c r="G155" s="10"/>
    </row>
    <row r="156" spans="5:7" ht="15.75" customHeight="1">
      <c r="E156" s="10"/>
      <c r="F156" s="10"/>
      <c r="G156" s="10"/>
    </row>
    <row r="157" spans="5:7" ht="15.75" customHeight="1">
      <c r="E157" s="10"/>
      <c r="F157" s="10"/>
      <c r="G157" s="10"/>
    </row>
    <row r="158" spans="5:7" ht="15.75" customHeight="1">
      <c r="E158" s="10"/>
      <c r="F158" s="10"/>
      <c r="G158" s="10"/>
    </row>
    <row r="159" spans="5:7" ht="15.75" customHeight="1">
      <c r="E159" s="10"/>
      <c r="F159" s="10"/>
      <c r="G159" s="10"/>
    </row>
    <row r="160" spans="5:7" ht="15.75" customHeight="1">
      <c r="E160" s="10"/>
      <c r="F160" s="10"/>
      <c r="G160" s="10"/>
    </row>
    <row r="161" spans="5:7" ht="15.75" customHeight="1">
      <c r="E161" s="10"/>
      <c r="F161" s="10"/>
      <c r="G161" s="10"/>
    </row>
    <row r="162" spans="5:7" ht="15.75" customHeight="1">
      <c r="E162" s="10"/>
      <c r="F162" s="10"/>
      <c r="G162" s="10"/>
    </row>
    <row r="163" spans="5:7" ht="15.75" customHeight="1">
      <c r="E163" s="10"/>
      <c r="F163" s="10"/>
      <c r="G163" s="10"/>
    </row>
    <row r="164" spans="5:7" ht="15.75" customHeight="1">
      <c r="E164" s="10"/>
      <c r="F164" s="10"/>
      <c r="G164" s="10"/>
    </row>
    <row r="165" spans="5:7" ht="15.75" customHeight="1">
      <c r="E165" s="10"/>
      <c r="F165" s="10"/>
      <c r="G165" s="10"/>
    </row>
    <row r="166" spans="5:7" ht="15.75" customHeight="1">
      <c r="E166" s="10"/>
      <c r="F166" s="10"/>
      <c r="G166" s="10"/>
    </row>
    <row r="167" spans="5:7" ht="15.75" customHeight="1">
      <c r="E167" s="10"/>
      <c r="F167" s="10"/>
      <c r="G167" s="10"/>
    </row>
    <row r="168" spans="5:7" ht="15.75" customHeight="1">
      <c r="E168" s="10"/>
      <c r="F168" s="10"/>
      <c r="G168" s="10"/>
    </row>
    <row r="169" spans="5:7" ht="15.75" customHeight="1">
      <c r="E169" s="10"/>
      <c r="F169" s="10"/>
      <c r="G169" s="10"/>
    </row>
    <row r="170" spans="5:7" ht="15.75" customHeight="1">
      <c r="E170" s="10"/>
      <c r="F170" s="10"/>
      <c r="G170" s="10"/>
    </row>
    <row r="171" spans="5:7" ht="15.75" customHeight="1">
      <c r="E171" s="10"/>
      <c r="F171" s="10"/>
      <c r="G171" s="10"/>
    </row>
    <row r="172" spans="5:7" ht="15.75" customHeight="1">
      <c r="E172" s="10"/>
      <c r="F172" s="10"/>
      <c r="G172" s="10"/>
    </row>
    <row r="173" spans="5:7" ht="15.75" customHeight="1">
      <c r="E173" s="10"/>
      <c r="F173" s="10"/>
      <c r="G173" s="10"/>
    </row>
    <row r="174" spans="5:7" ht="15.75" customHeight="1">
      <c r="E174" s="10"/>
      <c r="F174" s="10"/>
      <c r="G174" s="10"/>
    </row>
    <row r="175" spans="5:7" ht="15.75" customHeight="1">
      <c r="E175" s="10"/>
      <c r="F175" s="10"/>
      <c r="G175" s="10"/>
    </row>
    <row r="176" spans="5:7" ht="15.75" customHeight="1">
      <c r="E176" s="10"/>
      <c r="F176" s="10"/>
      <c r="G176" s="10"/>
    </row>
    <row r="177" spans="5:7" ht="15.75" customHeight="1">
      <c r="E177" s="10"/>
      <c r="F177" s="10"/>
      <c r="G177" s="10"/>
    </row>
    <row r="178" spans="5:7" ht="15.75" customHeight="1">
      <c r="E178" s="10"/>
      <c r="F178" s="10"/>
      <c r="G178" s="10"/>
    </row>
    <row r="179" spans="5:7" ht="15.75" customHeight="1">
      <c r="E179" s="10"/>
      <c r="F179" s="10"/>
      <c r="G179" s="10"/>
    </row>
    <row r="180" spans="5:7" ht="15.75" customHeight="1">
      <c r="E180" s="10"/>
      <c r="F180" s="10"/>
      <c r="G180" s="10"/>
    </row>
    <row r="181" spans="5:7" ht="15.75" customHeight="1">
      <c r="E181" s="10"/>
      <c r="F181" s="10"/>
      <c r="G181" s="10"/>
    </row>
    <row r="182" spans="5:7" ht="15.75" customHeight="1">
      <c r="E182" s="10"/>
      <c r="F182" s="10"/>
      <c r="G182" s="10"/>
    </row>
    <row r="183" spans="5:7" ht="15.75" customHeight="1">
      <c r="E183" s="10"/>
      <c r="F183" s="10"/>
      <c r="G183" s="10"/>
    </row>
    <row r="184" spans="5:7" ht="15.75" customHeight="1">
      <c r="E184" s="10"/>
      <c r="F184" s="10"/>
      <c r="G184" s="10"/>
    </row>
    <row r="185" spans="5:7" ht="15.75" customHeight="1">
      <c r="E185" s="10"/>
      <c r="F185" s="10"/>
      <c r="G185" s="10"/>
    </row>
    <row r="186" spans="5:7" ht="15.75" customHeight="1">
      <c r="E186" s="10"/>
      <c r="F186" s="10"/>
      <c r="G186" s="10"/>
    </row>
    <row r="187" spans="5:7" ht="15.75" customHeight="1">
      <c r="E187" s="10"/>
      <c r="F187" s="10"/>
      <c r="G187" s="10"/>
    </row>
    <row r="188" spans="5:7" ht="15.75" customHeight="1">
      <c r="E188" s="10"/>
      <c r="F188" s="10"/>
      <c r="G188" s="10"/>
    </row>
    <row r="189" spans="5:7" ht="15.75" customHeight="1">
      <c r="E189" s="10"/>
      <c r="F189" s="10"/>
      <c r="G189" s="10"/>
    </row>
    <row r="190" spans="5:7" ht="15.75" customHeight="1">
      <c r="E190" s="10"/>
      <c r="F190" s="10"/>
      <c r="G190" s="10"/>
    </row>
    <row r="191" spans="5:7" ht="15.75" customHeight="1">
      <c r="E191" s="10"/>
      <c r="F191" s="10"/>
      <c r="G191" s="10"/>
    </row>
    <row r="192" spans="5:7" ht="15.75" customHeight="1">
      <c r="E192" s="10"/>
      <c r="F192" s="10"/>
      <c r="G192" s="10"/>
    </row>
    <row r="193" spans="5:7" ht="15.75" customHeight="1">
      <c r="E193" s="10"/>
      <c r="F193" s="10"/>
      <c r="G193" s="10"/>
    </row>
    <row r="194" spans="5:7" ht="15.75" customHeight="1">
      <c r="E194" s="10"/>
      <c r="F194" s="10"/>
      <c r="G194" s="10"/>
    </row>
    <row r="195" spans="5:7" ht="15.75" customHeight="1">
      <c r="E195" s="10"/>
      <c r="F195" s="10"/>
      <c r="G195" s="10"/>
    </row>
    <row r="196" spans="5:7" ht="15.75" customHeight="1">
      <c r="E196" s="10"/>
      <c r="F196" s="10"/>
      <c r="G196" s="10"/>
    </row>
    <row r="197" spans="5:7" ht="15.75" customHeight="1">
      <c r="E197" s="10"/>
      <c r="F197" s="10"/>
      <c r="G197" s="10"/>
    </row>
    <row r="198" spans="5:7" ht="15.75" customHeight="1">
      <c r="E198" s="10"/>
      <c r="F198" s="10"/>
      <c r="G198" s="10"/>
    </row>
    <row r="199" spans="5:7" ht="15.75" customHeight="1">
      <c r="E199" s="10"/>
      <c r="F199" s="10"/>
      <c r="G199" s="10"/>
    </row>
    <row r="200" spans="5:7" ht="15.75" customHeight="1">
      <c r="E200" s="10"/>
      <c r="F200" s="10"/>
      <c r="G200" s="10"/>
    </row>
    <row r="201" spans="5:7" ht="15.75" customHeight="1">
      <c r="E201" s="10"/>
      <c r="F201" s="10"/>
      <c r="G201" s="10"/>
    </row>
    <row r="202" spans="5:7" ht="15.75" customHeight="1">
      <c r="E202" s="10"/>
      <c r="F202" s="10"/>
      <c r="G202" s="10"/>
    </row>
    <row r="203" spans="5:7" ht="15.75" customHeight="1">
      <c r="E203" s="10"/>
      <c r="F203" s="10"/>
      <c r="G203" s="10"/>
    </row>
    <row r="204" spans="5:7" ht="15.75" customHeight="1">
      <c r="E204" s="10"/>
      <c r="F204" s="10"/>
      <c r="G204" s="10"/>
    </row>
    <row r="205" spans="5:7" ht="15.75" customHeight="1">
      <c r="E205" s="10"/>
      <c r="F205" s="10"/>
      <c r="G205" s="10"/>
    </row>
    <row r="206" spans="5:7" ht="15.75" customHeight="1">
      <c r="E206" s="10"/>
      <c r="F206" s="10"/>
      <c r="G206" s="10"/>
    </row>
    <row r="207" spans="5:7" ht="15.75" customHeight="1">
      <c r="E207" s="10"/>
      <c r="F207" s="10"/>
      <c r="G207" s="10"/>
    </row>
    <row r="208" spans="5:7" ht="15.75" customHeight="1">
      <c r="E208" s="10"/>
      <c r="F208" s="10"/>
      <c r="G208" s="10"/>
    </row>
    <row r="209" spans="5:7" ht="15.75" customHeight="1">
      <c r="E209" s="10"/>
      <c r="F209" s="10"/>
      <c r="G209" s="10"/>
    </row>
    <row r="210" spans="5:7" ht="15.75" customHeight="1">
      <c r="E210" s="10"/>
      <c r="F210" s="10"/>
      <c r="G210" s="10"/>
    </row>
    <row r="211" spans="5:7" ht="15.75" customHeight="1">
      <c r="E211" s="10"/>
      <c r="F211" s="10"/>
      <c r="G211" s="10"/>
    </row>
    <row r="212" spans="5:7" ht="15.75" customHeight="1">
      <c r="E212" s="10"/>
      <c r="F212" s="10"/>
      <c r="G212" s="10"/>
    </row>
    <row r="213" spans="5:7" ht="15.75" customHeight="1">
      <c r="E213" s="10"/>
      <c r="F213" s="10"/>
      <c r="G213" s="10"/>
    </row>
    <row r="214" spans="5:7" ht="15.75" customHeight="1">
      <c r="E214" s="10"/>
      <c r="F214" s="10"/>
      <c r="G214" s="10"/>
    </row>
    <row r="215" spans="5:7" ht="15.75" customHeight="1">
      <c r="E215" s="10"/>
      <c r="F215" s="10"/>
      <c r="G215" s="10"/>
    </row>
    <row r="216" spans="5:7" ht="15.75" customHeight="1">
      <c r="E216" s="10"/>
      <c r="F216" s="10"/>
      <c r="G216" s="10"/>
    </row>
    <row r="217" spans="5:7" ht="15.75" customHeight="1">
      <c r="E217" s="10"/>
      <c r="F217" s="10"/>
      <c r="G217" s="10"/>
    </row>
    <row r="218" spans="5:7" ht="15.75" customHeight="1">
      <c r="E218" s="10"/>
      <c r="F218" s="10"/>
      <c r="G218" s="10"/>
    </row>
    <row r="219" spans="5:7" ht="15.75" customHeight="1">
      <c r="E219" s="10"/>
      <c r="F219" s="10"/>
      <c r="G219" s="10"/>
    </row>
    <row r="220" spans="5:7" ht="15.75" customHeight="1">
      <c r="E220" s="10"/>
      <c r="F220" s="10"/>
      <c r="G220" s="10"/>
    </row>
    <row r="221" spans="5:7" ht="15.75" customHeight="1">
      <c r="E221" s="10"/>
      <c r="F221" s="10"/>
      <c r="G221" s="10"/>
    </row>
    <row r="222" spans="5:7" ht="15.75" customHeight="1">
      <c r="E222" s="10"/>
      <c r="F222" s="10"/>
      <c r="G222" s="10"/>
    </row>
    <row r="223" spans="5:7" ht="15.75" customHeight="1"/>
    <row r="224" spans="5: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8"/>
  <sheetViews>
    <sheetView workbookViewId="0"/>
  </sheetViews>
  <sheetFormatPr defaultColWidth="12.61328125" defaultRowHeight="15" customHeight="1"/>
  <cols>
    <col min="4" max="4" width="16.4609375" customWidth="1"/>
    <col min="6" max="6" width="17.765625" customWidth="1"/>
  </cols>
  <sheetData>
    <row r="1" spans="1:9" ht="15" customHeight="1">
      <c r="A1" s="16" t="s">
        <v>329</v>
      </c>
      <c r="B1" s="16"/>
      <c r="C1" s="16"/>
      <c r="G1" s="17" t="s">
        <v>330</v>
      </c>
      <c r="I1" s="17" t="s">
        <v>331</v>
      </c>
    </row>
    <row r="2" spans="1:9" ht="15" customHeight="1">
      <c r="A2" s="16" t="s">
        <v>332</v>
      </c>
      <c r="B2" s="16" t="s">
        <v>333</v>
      </c>
      <c r="C2" s="16" t="s">
        <v>334</v>
      </c>
      <c r="D2" s="18" t="s">
        <v>335</v>
      </c>
      <c r="E2" s="18" t="s">
        <v>336</v>
      </c>
      <c r="G2" s="17" t="str">
        <f ca="1">IFERROR(__xludf.DUMMYFUNCTION("SORT(UNIQUE(FILTER(FLATTEN(ARRAYFORMULA(IFERROR(SPLIT(REGEXEXTRACT(FLATTEN(SPLIT('製造效能'!F:F, ""、"")), ""\[(.*?)\]""), ""&amp;"")))), FLATTEN(ARRAYFORMULA(IFERROR(SPLIT(REGEXEXTRACT(FLATTEN(SPLIT('製造效能'!F:F, ""、"")), ""\[(.*?)\]""), ""&amp;"")))) &lt;&gt; """")))
"),"100L升溫桶槽x1")</f>
        <v>100L升溫桶槽x1</v>
      </c>
      <c r="I2" s="17" t="str">
        <f ca="1">IFERROR(__xludf.DUMMYFUNCTION("SORT(UNIQUE(FILTER(FLATTEN(ARRAYFORMULA(IFERROR(SPLIT(REGEXEXTRACT(FLATTEN(SPLIT('充填效能'!E:E, ""、"")), ""\[(.*?)\]""), ""&amp;"")))), FLATTEN(ARRAYFORMULA(IFERROR(SPLIT(REGEXEXTRACT(FLATTEN(SPLIT('充填效能'!E:E, ""、"")), ""\[(.*?)\]""), ""&amp;"")))) &lt;&gt; """")))
"),"大定量缸式充填機x1")</f>
        <v>大定量缸式充填機x1</v>
      </c>
    </row>
    <row r="3" spans="1:9" ht="15" customHeight="1">
      <c r="A3" s="16" t="s">
        <v>337</v>
      </c>
      <c r="B3" s="19">
        <v>2</v>
      </c>
      <c r="C3" s="16"/>
      <c r="D3" s="17" t="str">
        <f ca="1">IFERROR(__xludf.DUMMYFUNCTION("TEXTJOIN("", "", TRUE, UNIQUE(FILTER('製造效能'!D:D, ISNUMBER(SEARCH(A3, '製造效能'!F:F)))))
"),"小乳, 精, 大, 大乳")</f>
        <v>小乳, 精, 大, 大乳</v>
      </c>
      <c r="E3" s="17" t="str">
        <f ca="1">IFERROR(__xludf.DUMMYFUNCTION("TEXTJOIN("", "", TRUE, UNIQUE(FILTER('製造效能'!K:K, ISNUMBER(SEARCH(A3, '製造效能'!F:F)))))
"),"乳項, 水項")</f>
        <v>乳項, 水項</v>
      </c>
      <c r="G3" s="17" t="str">
        <f ca="1">IFERROR(__xludf.DUMMYFUNCTION("""COMPUTED_VALUE"""),"100L真空乳化機x1")</f>
        <v>100L真空乳化機x1</v>
      </c>
      <c r="I3" s="17" t="str">
        <f ca="1">IFERROR(__xludf.DUMMYFUNCTION("""COMPUTED_VALUE"""),"大噴印機x1")</f>
        <v>大噴印機x1</v>
      </c>
    </row>
    <row r="4" spans="1:9" ht="15" customHeight="1">
      <c r="A4" s="16" t="s">
        <v>338</v>
      </c>
      <c r="B4" s="19">
        <v>5</v>
      </c>
      <c r="C4" s="16"/>
      <c r="D4" s="17" t="str">
        <f ca="1">IFERROR(__xludf.DUMMYFUNCTION("TEXTJOIN("", "", TRUE, UNIQUE(FILTER('製造效能'!D:D, ISNUMBER(SEARCH(A4, '製造效能'!F:F)))))
"),"精, 小乳, 大, 大乳")</f>
        <v>精, 小乳, 大, 大乳</v>
      </c>
      <c r="E4" s="17" t="str">
        <f ca="1">IFERROR(__xludf.DUMMYFUNCTION("TEXTJOIN("", "", TRUE, UNIQUE(FILTER('製造效能'!K:K, ISNUMBER(SEARCH(A4, '製造效能'!F:F)))))
"),"水項, 乳項, 油項, 油項(中), 水項(下)")</f>
        <v>水項, 乳項, 油項, 油項(中), 水項(下)</v>
      </c>
      <c r="G4" s="17" t="str">
        <f ca="1">IFERROR(__xludf.DUMMYFUNCTION("""COMPUTED_VALUE"""),"400L大桶槽x1")</f>
        <v>400L大桶槽x1</v>
      </c>
      <c r="I4" s="17" t="str">
        <f ca="1">IFERROR(__xludf.DUMMYFUNCTION("""COMPUTED_VALUE"""),"小噴印機x1")</f>
        <v>小噴印機x1</v>
      </c>
    </row>
    <row r="5" spans="1:9" ht="15" customHeight="1">
      <c r="A5" s="16" t="s">
        <v>339</v>
      </c>
      <c r="B5" s="19">
        <v>1</v>
      </c>
      <c r="C5" s="16"/>
      <c r="D5" s="17" t="str">
        <f ca="1">IFERROR(__xludf.DUMMYFUNCTION("TEXTJOIN("", "", TRUE, UNIQUE(FILTER('製造效能'!D:D, ISNUMBER(SEARCH(A5, '製造效能'!F:F)))))
"),"小乳, 大乳")</f>
        <v>小乳, 大乳</v>
      </c>
      <c r="E5" s="17" t="str">
        <f ca="1">IFERROR(__xludf.DUMMYFUNCTION("TEXTJOIN("", "", TRUE, UNIQUE(FILTER('製造效能'!K:K, ISNUMBER(SEARCH(A5, '製造效能'!F:F)))))
"),"乳項, 油項")</f>
        <v>乳項, 油項</v>
      </c>
      <c r="G5" s="17" t="str">
        <f ca="1">IFERROR(__xludf.DUMMYFUNCTION("""COMPUTED_VALUE"""),"400L大桶槽x2")</f>
        <v>400L大桶槽x2</v>
      </c>
      <c r="I5" s="17" t="str">
        <f ca="1">IFERROR(__xludf.DUMMYFUNCTION("""COMPUTED_VALUE"""),"自動鎖蓋機")</f>
        <v>自動鎖蓋機</v>
      </c>
    </row>
    <row r="6" spans="1:9" ht="15" customHeight="1">
      <c r="A6" s="16" t="s">
        <v>340</v>
      </c>
      <c r="B6" s="19">
        <v>1</v>
      </c>
      <c r="C6" s="16"/>
      <c r="D6" s="17" t="str">
        <f ca="1">IFERROR(__xludf.DUMMYFUNCTION("TEXTJOIN("", "", TRUE, UNIQUE(FILTER('製造效能'!D:D, ISNUMBER(SEARCH(A6, '製造效能'!F:F)))))
"),"大乳")</f>
        <v>大乳</v>
      </c>
      <c r="E6" s="17" t="str">
        <f ca="1">IFERROR(__xludf.DUMMYFUNCTION("TEXTJOIN("", "", TRUE, UNIQUE(FILTER('製造效能'!K:K, ISNUMBER(SEARCH(A6, '製造效能'!F:F)))))
"),"乳項")</f>
        <v>乳項</v>
      </c>
      <c r="G6" s="17" t="str">
        <f ca="1">IFERROR(__xludf.DUMMYFUNCTION("""COMPUTED_VALUE"""),"400L大桶槽x3")</f>
        <v>400L大桶槽x3</v>
      </c>
      <c r="I6" s="17" t="str">
        <f ca="1">IFERROR(__xludf.DUMMYFUNCTION("""COMPUTED_VALUE"""),"自動鎖蓋機x1")</f>
        <v>自動鎖蓋機x1</v>
      </c>
    </row>
    <row r="7" spans="1:9" ht="15" customHeight="1">
      <c r="A7" s="16" t="s">
        <v>341</v>
      </c>
      <c r="B7" s="19">
        <v>1</v>
      </c>
      <c r="C7" s="16"/>
      <c r="D7" s="17" t="str">
        <f ca="1">IFERROR(__xludf.DUMMYFUNCTION("TEXTJOIN("", "", TRUE, UNIQUE(FILTER('製造效能'!D:D, ISNUMBER(SEARCH(A7, '製造效能'!F:F)))))
"),"精, 小乳, 大乳")</f>
        <v>精, 小乳, 大乳</v>
      </c>
      <c r="E7" s="17" t="str">
        <f ca="1">IFERROR(__xludf.DUMMYFUNCTION("TEXTJOIN("", "", TRUE, UNIQUE(FILTER('製造效能'!K:K, ISNUMBER(SEARCH(A7, '製造效能'!F:F)))))
"),"水項, 醇項, 乳項")</f>
        <v>水項, 醇項, 乳項</v>
      </c>
      <c r="G7" s="17" t="str">
        <f ca="1">IFERROR(__xludf.DUMMYFUNCTION("""COMPUTED_VALUE"""),"400L大桶槽x4")</f>
        <v>400L大桶槽x4</v>
      </c>
      <c r="I7" s="17" t="str">
        <f ca="1">IFERROR(__xludf.DUMMYFUNCTION("""COMPUTED_VALUE"""),"自動鎖蓋機X1")</f>
        <v>自動鎖蓋機X1</v>
      </c>
    </row>
    <row r="8" spans="1:9" ht="15" customHeight="1">
      <c r="A8" s="16" t="s">
        <v>342</v>
      </c>
      <c r="B8" s="19">
        <v>4</v>
      </c>
      <c r="C8" s="16"/>
      <c r="D8" s="17" t="str">
        <f ca="1">IFERROR(__xludf.DUMMYFUNCTION("TEXTJOIN("", "", TRUE, UNIQUE(FILTER('製造效能'!D:D, ISNUMBER(SEARCH(A8, '製造效能'!F:F)))))
"),"大, 精")</f>
        <v>大, 精</v>
      </c>
      <c r="E8" s="17" t="str">
        <f ca="1">IFERROR(__xludf.DUMMYFUNCTION("TEXTJOIN("", "", TRUE, UNIQUE(FILTER('製造效能'!K:K, ISNUMBER(SEARCH(A8, '製造效能'!F:F)))))
"),"水項, 水項(下)")</f>
        <v>水項, 水項(下)</v>
      </c>
      <c r="G8" s="17" t="str">
        <f ca="1">IFERROR(__xludf.DUMMYFUNCTION("""COMPUTED_VALUE"""),"500L大桶槽x1")</f>
        <v>500L大桶槽x1</v>
      </c>
      <c r="I8" s="17" t="str">
        <f ca="1">IFERROR(__xludf.DUMMYFUNCTION("""COMPUTED_VALUE"""),"夾瓶輸送帶*1")</f>
        <v>夾瓶輸送帶*1</v>
      </c>
    </row>
    <row r="9" spans="1:9" ht="15" customHeight="1">
      <c r="A9" s="16" t="s">
        <v>343</v>
      </c>
      <c r="B9" s="19">
        <v>1</v>
      </c>
      <c r="C9" s="16"/>
      <c r="D9" s="17" t="str">
        <f ca="1">IFERROR(__xludf.DUMMYFUNCTION("TEXTJOIN("", "", TRUE, UNIQUE(FILTER('製造效能'!D:D, ISNUMBER(SEARCH(A9, '製造效能'!F:F)))))
"),"大, 小乳")</f>
        <v>大, 小乳</v>
      </c>
      <c r="E9" s="17" t="str">
        <f ca="1">IFERROR(__xludf.DUMMYFUNCTION("TEXTJOIN("", "", TRUE, UNIQUE(FILTER('製造效能'!K:K, ISNUMBER(SEARCH(A9, '製造效能'!F:F)))))
"),"水項, 乳項")</f>
        <v>水項, 乳項</v>
      </c>
      <c r="G9" s="17" t="str">
        <f ca="1">IFERROR(__xludf.DUMMYFUNCTION("""COMPUTED_VALUE"""),"50L真空乳化機")</f>
        <v>50L真空乳化機</v>
      </c>
      <c r="I9" s="17" t="str">
        <f ca="1">IFERROR(__xludf.DUMMYFUNCTION("""COMPUTED_VALUE"""),"夾瓶輸送帶X1")</f>
        <v>夾瓶輸送帶X1</v>
      </c>
    </row>
    <row r="10" spans="1:9" ht="15" customHeight="1">
      <c r="A10" s="16" t="s">
        <v>344</v>
      </c>
      <c r="B10" s="19">
        <v>0</v>
      </c>
      <c r="C10" s="16"/>
      <c r="D10" s="17" t="str">
        <f ca="1">IFERROR(__xludf.DUMMYFUNCTION("TEXTJOIN("", "", TRUE, UNIQUE(FILTER('製造效能'!D:D, ISNUMBER(SEARCH(A10, '製造效能'!F:F)))))
"),"大, 精, 落地")</f>
        <v>大, 精, 落地</v>
      </c>
      <c r="E10" s="17" t="str">
        <f ca="1">IFERROR(__xludf.DUMMYFUNCTION("TEXTJOIN("", "", TRUE, UNIQUE(FILTER('製造效能'!K:K, ISNUMBER(SEARCH(A10, '製造效能'!F:F)))))
"),"水項, 乳項")</f>
        <v>水項, 乳項</v>
      </c>
      <c r="G10" s="17" t="str">
        <f ca="1">IFERROR(__xludf.DUMMYFUNCTION("""COMPUTED_VALUE"""),"50L真空乳化機x1")</f>
        <v>50L真空乳化機x1</v>
      </c>
      <c r="I10" s="17" t="str">
        <f ca="1">IFERROR(__xludf.DUMMYFUNCTION("""COMPUTED_VALUE"""),"夾瓶輸送帶x1")</f>
        <v>夾瓶輸送帶x1</v>
      </c>
    </row>
    <row r="11" spans="1:9" ht="15" customHeight="1">
      <c r="A11" s="16" t="s">
        <v>345</v>
      </c>
      <c r="B11" s="19">
        <v>1</v>
      </c>
      <c r="C11" s="16"/>
      <c r="D11" s="17" t="str">
        <f ca="1">IFERROR(__xludf.DUMMYFUNCTION("TEXTJOIN("", "", TRUE, UNIQUE(FILTER('製造效能'!D:D, ISNUMBER(SEARCH(A11, '製造效能'!F:F)))))
"),"小乳, 精, 大, 大乳")</f>
        <v>小乳, 精, 大, 大乳</v>
      </c>
      <c r="E11" s="17" t="str">
        <f ca="1">IFERROR(__xludf.DUMMYFUNCTION("TEXTJOIN("", "", TRUE, UNIQUE(FILTER('製造效能'!K:K, ISNUMBER(SEARCH(A11, '製造效能'!F:F)))))
"),"乳項, 水項")</f>
        <v>乳項, 水項</v>
      </c>
      <c r="G11" s="17" t="str">
        <f ca="1">IFERROR(__xludf.DUMMYFUNCTION("""COMPUTED_VALUE"""),"大型攪拌機*1")</f>
        <v>大型攪拌機*1</v>
      </c>
      <c r="I11" s="17" t="str">
        <f ca="1">IFERROR(__xludf.DUMMYFUNCTION("""COMPUTED_VALUE"""),"夾瓶輸送帶x1噴印機x1")</f>
        <v>夾瓶輸送帶x1噴印機x1</v>
      </c>
    </row>
    <row r="12" spans="1:9" ht="15" customHeight="1">
      <c r="A12" s="16"/>
      <c r="B12" s="16"/>
      <c r="C12" s="16"/>
      <c r="G12" s="17" t="str">
        <f ca="1">IFERROR(__xludf.DUMMYFUNCTION("""COMPUTED_VALUE"""),"大型攪拌機x1")</f>
        <v>大型攪拌機x1</v>
      </c>
      <c r="I12" s="17" t="str">
        <f ca="1">IFERROR(__xludf.DUMMYFUNCTION("""COMPUTED_VALUE"""),"定量缸式充填機x1")</f>
        <v>定量缸式充填機x1</v>
      </c>
    </row>
    <row r="13" spans="1:9" ht="15" customHeight="1">
      <c r="A13" s="16"/>
      <c r="B13" s="16"/>
      <c r="C13" s="16"/>
      <c r="G13" s="17" t="str">
        <f ca="1">IFERROR(__xludf.DUMMYFUNCTION("""COMPUTED_VALUE"""),"大型攪拌機x2")</f>
        <v>大型攪拌機x2</v>
      </c>
      <c r="I13" s="17" t="str">
        <f ca="1">IFERROR(__xludf.DUMMYFUNCTION("""COMPUTED_VALUE"""),"泵浦式充填機x1")</f>
        <v>泵浦式充填機x1</v>
      </c>
    </row>
    <row r="14" spans="1:9" ht="15" customHeight="1">
      <c r="A14" s="16" t="s">
        <v>346</v>
      </c>
      <c r="B14" s="16"/>
      <c r="C14" s="16"/>
      <c r="G14" s="17" t="str">
        <f ca="1">IFERROR(__xludf.DUMMYFUNCTION("""COMPUTED_VALUE"""),"大型攪拌機x2-")</f>
        <v>大型攪拌機x2-</v>
      </c>
      <c r="I14" s="17" t="str">
        <f ca="1">IFERROR(__xludf.DUMMYFUNCTION("""COMPUTED_VALUE"""),"泵浦式充填機x2")</f>
        <v>泵浦式充填機x2</v>
      </c>
    </row>
    <row r="15" spans="1:9" ht="15" customHeight="1">
      <c r="A15" s="16" t="s">
        <v>332</v>
      </c>
      <c r="B15" s="16" t="s">
        <v>333</v>
      </c>
      <c r="C15" s="16" t="s">
        <v>334</v>
      </c>
      <c r="G15" s="17" t="str">
        <f ca="1">IFERROR(__xludf.DUMMYFUNCTION("""COMPUTED_VALUE"""),"大型攪拌機x3")</f>
        <v>大型攪拌機x3</v>
      </c>
      <c r="I15" s="17" t="str">
        <f ca="1">IFERROR(__xludf.DUMMYFUNCTION("""COMPUTED_VALUE"""),"面膜機x1")</f>
        <v>面膜機x1</v>
      </c>
    </row>
    <row r="16" spans="1:9" ht="15" customHeight="1">
      <c r="A16" s="16" t="s">
        <v>347</v>
      </c>
      <c r="B16" s="19">
        <v>0</v>
      </c>
      <c r="C16" s="16"/>
      <c r="G16" s="17" t="str">
        <f ca="1">IFERROR(__xludf.DUMMYFUNCTION("""COMPUTED_VALUE"""),"大型攪拌機x4")</f>
        <v>大型攪拌機x4</v>
      </c>
      <c r="I16" s="17" t="str">
        <f ca="1">IFERROR(__xludf.DUMMYFUNCTION("""COMPUTED_VALUE"""),"桌上型壓蓋機x1")</f>
        <v>桌上型壓蓋機x1</v>
      </c>
    </row>
    <row r="17" spans="1:9" ht="15" customHeight="1">
      <c r="A17" s="16" t="s">
        <v>348</v>
      </c>
      <c r="B17" s="19">
        <v>2</v>
      </c>
      <c r="C17" s="16"/>
      <c r="G17" s="17" t="str">
        <f ca="1">IFERROR(__xludf.DUMMYFUNCTION("""COMPUTED_VALUE"""),"大型攪拌機x5")</f>
        <v>大型攪拌機x5</v>
      </c>
      <c r="I17" s="17" t="str">
        <f ca="1">IFERROR(__xludf.DUMMYFUNCTION("""COMPUTED_VALUE"""),"烘箱x1")</f>
        <v>烘箱x1</v>
      </c>
    </row>
    <row r="18" spans="1:9" ht="15" customHeight="1">
      <c r="A18" s="16" t="s">
        <v>349</v>
      </c>
      <c r="B18" s="19">
        <v>0</v>
      </c>
      <c r="C18" s="16"/>
      <c r="G18" s="17" t="str">
        <f ca="1">IFERROR(__xludf.DUMMYFUNCTION("""COMPUTED_VALUE"""),"小型攪拌機*1")</f>
        <v>小型攪拌機*1</v>
      </c>
      <c r="I18" s="17" t="str">
        <f ca="1">IFERROR(__xludf.DUMMYFUNCTION("""COMPUTED_VALUE"""),"啟益噴印機")</f>
        <v>啟益噴印機</v>
      </c>
    </row>
    <row r="19" spans="1:9" ht="15" customHeight="1">
      <c r="A19" s="16" t="s">
        <v>350</v>
      </c>
      <c r="B19" s="19">
        <v>0</v>
      </c>
      <c r="C19" s="16"/>
      <c r="G19" s="17" t="str">
        <f ca="1">IFERROR(__xludf.DUMMYFUNCTION("""COMPUTED_VALUE"""),"小型攪拌機x1")</f>
        <v>小型攪拌機x1</v>
      </c>
      <c r="I19" s="17" t="str">
        <f ca="1">IFERROR(__xludf.DUMMYFUNCTION("""COMPUTED_VALUE"""),"啟益噴印機x1")</f>
        <v>啟益噴印機x1</v>
      </c>
    </row>
    <row r="20" spans="1:9" ht="15" customHeight="1">
      <c r="A20" s="16" t="s">
        <v>351</v>
      </c>
      <c r="B20" s="19">
        <v>1</v>
      </c>
      <c r="C20" s="16"/>
      <c r="G20" s="17" t="str">
        <f ca="1">IFERROR(__xludf.DUMMYFUNCTION("""COMPUTED_VALUE"""),"小型攪拌機x2")</f>
        <v>小型攪拌機x2</v>
      </c>
      <c r="I20" s="17" t="str">
        <f ca="1">IFERROR(__xludf.DUMMYFUNCTION("""COMPUTED_VALUE"""),"單管泵浦式充填機x1")</f>
        <v>單管泵浦式充填機x1</v>
      </c>
    </row>
    <row r="21" spans="1:9" ht="15" customHeight="1">
      <c r="A21" s="16" t="s">
        <v>352</v>
      </c>
      <c r="B21" s="19">
        <v>1</v>
      </c>
      <c r="C21" s="16"/>
      <c r="G21" s="17" t="str">
        <f ca="1">IFERROR(__xludf.DUMMYFUNCTION("""COMPUTED_VALUE"""),"烘箱x1")</f>
        <v>烘箱x1</v>
      </c>
      <c r="I21" s="17" t="str">
        <f ca="1">IFERROR(__xludf.DUMMYFUNCTION("""COMPUTED_VALUE"""),"圓盤式自動充填機x1")</f>
        <v>圓盤式自動充填機x1</v>
      </c>
    </row>
    <row r="22" spans="1:9" ht="15" customHeight="1">
      <c r="A22" s="16" t="s">
        <v>353</v>
      </c>
      <c r="B22" s="19">
        <v>1</v>
      </c>
      <c r="C22" s="16"/>
      <c r="G22" s="17" t="str">
        <f ca="1">IFERROR(__xludf.DUMMYFUNCTION("""COMPUTED_VALUE"""),"強力大型攪拌機x1")</f>
        <v>強力大型攪拌機x1</v>
      </c>
      <c r="I22" s="17" t="str">
        <f ca="1">IFERROR(__xludf.DUMMYFUNCTION("""COMPUTED_VALUE"""),"圓盤式自動充填鎖蓋機x1")</f>
        <v>圓盤式自動充填鎖蓋機x1</v>
      </c>
    </row>
    <row r="23" spans="1:9" ht="15" customHeight="1">
      <c r="A23" s="16" t="s">
        <v>354</v>
      </c>
      <c r="B23" s="19">
        <v>0</v>
      </c>
      <c r="C23" s="16"/>
      <c r="G23" s="17" t="str">
        <f ca="1">IFERROR(__xludf.DUMMYFUNCTION("""COMPUTED_VALUE"""),"超音波震盪機x1")</f>
        <v>超音波震盪機x1</v>
      </c>
      <c r="I23" s="17" t="str">
        <f ca="1">IFERROR(__xludf.DUMMYFUNCTION("""COMPUTED_VALUE"""),"噴印機-小x1")</f>
        <v>噴印機-小x1</v>
      </c>
    </row>
    <row r="24" spans="1:9" ht="15" customHeight="1">
      <c r="A24" s="16" t="s">
        <v>355</v>
      </c>
      <c r="B24" s="19">
        <v>2</v>
      </c>
      <c r="C24" s="16"/>
      <c r="G24" s="17" t="str">
        <f ca="1">IFERROR(__xludf.DUMMYFUNCTION("""COMPUTED_VALUE"""),"落地型均質機x1")</f>
        <v>落地型均質機x1</v>
      </c>
      <c r="I24" s="17" t="str">
        <f ca="1">IFERROR(__xludf.DUMMYFUNCTION("""COMPUTED_VALUE"""),"噴印機*1")</f>
        <v>噴印機*1</v>
      </c>
    </row>
    <row r="25" spans="1:9" ht="15" customHeight="1">
      <c r="A25" s="16" t="s">
        <v>356</v>
      </c>
      <c r="B25" s="19">
        <v>1</v>
      </c>
      <c r="C25" s="16"/>
      <c r="I25" s="17" t="str">
        <f ca="1">IFERROR(__xludf.DUMMYFUNCTION("""COMPUTED_VALUE"""),"噴印機x1")</f>
        <v>噴印機x1</v>
      </c>
    </row>
    <row r="26" spans="1:9" ht="15" customHeight="1">
      <c r="A26" s="20" t="s">
        <v>357</v>
      </c>
      <c r="B26" s="20">
        <v>1</v>
      </c>
      <c r="C26" s="20"/>
      <c r="I26" s="17" t="str">
        <f ca="1">IFERROR(__xludf.DUMMYFUNCTION("""COMPUTED_VALUE"""),"齒輪式充填機*1")</f>
        <v>齒輪式充填機*1</v>
      </c>
    </row>
    <row r="27" spans="1:9" ht="15" customHeight="1">
      <c r="I27" s="17" t="str">
        <f ca="1">IFERROR(__xludf.DUMMYFUNCTION("""COMPUTED_VALUE"""),"齒輪式充填機x1")</f>
        <v>齒輪式充填機x1</v>
      </c>
    </row>
    <row r="28" spans="1:9" ht="15" customHeight="1">
      <c r="I28" s="17" t="str">
        <f ca="1">IFERROR(__xludf.DUMMYFUNCTION("""COMPUTED_VALUE"""),"雙管泵浦式充填機x1")</f>
        <v>雙管泵浦式充填機x1</v>
      </c>
    </row>
  </sheetData>
  <phoneticPr fontId="4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4"/>
  <sheetViews>
    <sheetView workbookViewId="0">
      <pane ySplit="1" topLeftCell="A5" activePane="bottomLeft" state="frozen"/>
      <selection pane="bottomLeft" activeCell="B3" sqref="B3"/>
    </sheetView>
  </sheetViews>
  <sheetFormatPr defaultColWidth="12.61328125" defaultRowHeight="15" customHeight="1"/>
  <cols>
    <col min="1" max="1" width="20.15234375" customWidth="1"/>
    <col min="2" max="2" width="35.15234375" customWidth="1"/>
    <col min="3" max="3" width="16.4609375" customWidth="1"/>
  </cols>
  <sheetData>
    <row r="1" spans="1:5">
      <c r="A1" s="21" t="s">
        <v>358</v>
      </c>
      <c r="B1" s="17" t="s">
        <v>359</v>
      </c>
      <c r="C1" s="17" t="s">
        <v>360</v>
      </c>
      <c r="D1" s="17" t="s">
        <v>361</v>
      </c>
    </row>
    <row r="2" spans="1:5">
      <c r="A2" s="22" t="s">
        <v>362</v>
      </c>
    </row>
    <row r="3" spans="1:5">
      <c r="A3" s="21" t="s">
        <v>363</v>
      </c>
      <c r="B3" s="23"/>
      <c r="C3" s="21" t="s">
        <v>364</v>
      </c>
      <c r="D3" s="17" t="s">
        <v>365</v>
      </c>
      <c r="E3" s="24" t="s">
        <v>366</v>
      </c>
    </row>
    <row r="4" spans="1:5">
      <c r="A4" s="21"/>
      <c r="B4" s="21"/>
      <c r="C4" s="21" t="s">
        <v>367</v>
      </c>
    </row>
    <row r="5" spans="1:5">
      <c r="A5" s="21" t="s">
        <v>368</v>
      </c>
      <c r="B5" s="23" t="s">
        <v>369</v>
      </c>
      <c r="C5" s="25" t="s">
        <v>370</v>
      </c>
    </row>
    <row r="6" spans="1:5">
      <c r="A6" s="21"/>
      <c r="B6" s="25"/>
      <c r="C6" s="25" t="s">
        <v>371</v>
      </c>
    </row>
    <row r="7" spans="1:5">
      <c r="A7" s="21"/>
      <c r="B7" s="21"/>
      <c r="C7" s="21" t="s">
        <v>372</v>
      </c>
      <c r="D7" s="17" t="s">
        <v>373</v>
      </c>
      <c r="E7" s="24" t="s">
        <v>374</v>
      </c>
    </row>
    <row r="8" spans="1:5">
      <c r="A8" s="21"/>
      <c r="B8" s="25"/>
      <c r="C8" s="25" t="s">
        <v>375</v>
      </c>
    </row>
    <row r="9" spans="1:5">
      <c r="A9" s="21"/>
      <c r="B9" s="21"/>
      <c r="C9" s="21" t="s">
        <v>376</v>
      </c>
    </row>
    <row r="10" spans="1:5">
      <c r="A10" s="26" t="s">
        <v>377</v>
      </c>
      <c r="B10" s="21"/>
      <c r="C10" s="21"/>
    </row>
    <row r="11" spans="1:5">
      <c r="A11" s="22" t="s">
        <v>378</v>
      </c>
      <c r="B11" s="21"/>
      <c r="C11" s="21"/>
    </row>
    <row r="12" spans="1:5">
      <c r="A12" s="21"/>
    </row>
    <row r="13" spans="1:5">
      <c r="A13" s="21"/>
    </row>
    <row r="14" spans="1:5">
      <c r="A14" s="21"/>
      <c r="B14" s="21"/>
      <c r="C14" s="21"/>
    </row>
  </sheetData>
  <phoneticPr fontId="4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AR1000"/>
  <sheetViews>
    <sheetView tabSelected="1" topLeftCell="B1" workbookViewId="0">
      <pane ySplit="1" topLeftCell="A2" activePane="bottomLeft" state="frozen"/>
      <selection pane="bottomLeft" activeCell="K34" sqref="K34"/>
    </sheetView>
  </sheetViews>
  <sheetFormatPr defaultColWidth="12.61328125" defaultRowHeight="15" customHeight="1"/>
  <cols>
    <col min="1" max="1" width="23.4609375" hidden="1" customWidth="1"/>
    <col min="2" max="2" width="11.61328125" customWidth="1"/>
    <col min="3" max="3" width="12.61328125" customWidth="1"/>
    <col min="5" max="5" width="34.15234375" customWidth="1"/>
    <col min="6" max="6" width="12.61328125" customWidth="1"/>
    <col min="7" max="7" width="13.15234375" customWidth="1"/>
    <col min="8" max="10" width="11.4609375" customWidth="1"/>
  </cols>
  <sheetData>
    <row r="1" spans="1:44" ht="36" customHeight="1">
      <c r="A1" s="27" t="s">
        <v>0</v>
      </c>
      <c r="B1" s="28" t="s">
        <v>362</v>
      </c>
      <c r="C1" s="28" t="s">
        <v>1</v>
      </c>
      <c r="D1" s="29" t="s">
        <v>379</v>
      </c>
      <c r="E1" s="28" t="s">
        <v>2</v>
      </c>
      <c r="F1" s="28" t="s">
        <v>3</v>
      </c>
      <c r="G1" s="28" t="s">
        <v>380</v>
      </c>
      <c r="H1" s="30" t="s">
        <v>377</v>
      </c>
      <c r="I1" s="31" t="s">
        <v>5</v>
      </c>
      <c r="J1" s="31" t="s">
        <v>6</v>
      </c>
      <c r="K1" s="32" t="s">
        <v>361</v>
      </c>
      <c r="L1" s="17" t="s">
        <v>381</v>
      </c>
      <c r="M1" s="17" t="s">
        <v>382</v>
      </c>
      <c r="N1" s="17" t="s">
        <v>383</v>
      </c>
      <c r="O1" s="9" t="s">
        <v>384</v>
      </c>
      <c r="P1" s="9" t="s">
        <v>385</v>
      </c>
      <c r="Q1" s="9" t="s">
        <v>386</v>
      </c>
      <c r="R1" s="9" t="s">
        <v>387</v>
      </c>
      <c r="S1" s="17" t="s">
        <v>388</v>
      </c>
      <c r="T1" s="17" t="s">
        <v>389</v>
      </c>
      <c r="U1" s="33" t="s">
        <v>390</v>
      </c>
      <c r="V1" s="33" t="s">
        <v>391</v>
      </c>
      <c r="W1" s="33" t="s">
        <v>392</v>
      </c>
      <c r="X1" s="33" t="s">
        <v>393</v>
      </c>
      <c r="Y1" s="17" t="s">
        <v>394</v>
      </c>
      <c r="Z1" s="17" t="s">
        <v>395</v>
      </c>
      <c r="AA1" s="17" t="s">
        <v>396</v>
      </c>
      <c r="AB1" s="16" t="s">
        <v>337</v>
      </c>
      <c r="AC1" s="16" t="s">
        <v>338</v>
      </c>
      <c r="AD1" s="16" t="s">
        <v>339</v>
      </c>
      <c r="AE1" s="16" t="s">
        <v>340</v>
      </c>
      <c r="AF1" s="16" t="s">
        <v>341</v>
      </c>
      <c r="AG1" s="16" t="s">
        <v>342</v>
      </c>
      <c r="AH1" s="16" t="s">
        <v>343</v>
      </c>
      <c r="AI1" s="16" t="s">
        <v>344</v>
      </c>
      <c r="AJ1" s="16" t="s">
        <v>345</v>
      </c>
      <c r="AK1" s="17" t="s">
        <v>397</v>
      </c>
      <c r="AL1" s="17" t="s">
        <v>398</v>
      </c>
      <c r="AM1" s="9" t="s">
        <v>399</v>
      </c>
      <c r="AN1" s="9" t="s">
        <v>400</v>
      </c>
      <c r="AO1" s="17" t="s">
        <v>401</v>
      </c>
      <c r="AP1" s="9" t="s">
        <v>402</v>
      </c>
      <c r="AQ1" s="9" t="s">
        <v>403</v>
      </c>
      <c r="AR1" s="17" t="s">
        <v>404</v>
      </c>
    </row>
    <row r="2" spans="1:44" ht="15.75" customHeight="1">
      <c r="A2" s="9" t="s">
        <v>81</v>
      </c>
      <c r="B2" s="34">
        <f t="shared" ref="B2:B116" si="0">DATE(2000 + MID(A2, 6, 2), MID(A2, 8, 2), MID(A2, 10, 2))</f>
        <v>44886</v>
      </c>
      <c r="C2" s="9" t="s">
        <v>132</v>
      </c>
      <c r="D2" s="17" t="str">
        <f t="shared" ref="D2:D116" si="1">MID(C2, 2, 6)</f>
        <v>EU22E1</v>
      </c>
      <c r="E2" s="9" t="s">
        <v>133</v>
      </c>
      <c r="F2" s="9">
        <v>10000</v>
      </c>
      <c r="G2" s="10">
        <v>44980</v>
      </c>
      <c r="H2" s="10">
        <v>44970</v>
      </c>
      <c r="I2" s="10">
        <v>44726</v>
      </c>
      <c r="J2" s="10">
        <v>44726</v>
      </c>
      <c r="L2" s="17" t="str">
        <f ca="1">IFERROR(__xludf.DUMMYFUNCTION("TEXTJOIN("", "", TRUE, UNIQUE(FILTER('製造效能'!$D$2:$D$1732, '製造效能'!$B$2:$B$1732 = D2)))"),"小乳, 大乳")</f>
        <v>小乳, 大乳</v>
      </c>
      <c r="M2" s="17" t="str">
        <f ca="1">IFERROR(__xludf.DUMMYFUNCTION("INDEX(UNIQUE(FILTER('製造效能'!$D$2:$D$1732, ('製造效能'!$B$2:$B$1732 = D2) * ('製造效能'!$J$2:$J$1732 = MAXIFS('製造效能'!$J$2:$J$1732, '製造效能'!$B$2:$B$1732, D2)))), 1) 
"),"大乳")</f>
        <v>大乳</v>
      </c>
      <c r="N2" s="17" t="str">
        <f ca="1">IFERROR(__xludf.DUMMYFUNCTION("TEXTJOIN("", "", TRUE, UNIQUE(FILTER('製造效能'!$K$2:$K$1732, '製造效能'!$B$2:$B$1732 = D2)))"),"乳項")</f>
        <v>乳項</v>
      </c>
      <c r="P2" s="35" t="str">
        <f ca="1">IFERROR(__xludf.DUMMYFUNCTION("IFERROR(INDEX(FILTER('充填效能'!J$2:J$1088, '充填效能'!$A$2:$A$1088=$C2, '充填效能'!$D$2:$D$1088=""充填""), 1), 0)"),"")</f>
        <v/>
      </c>
      <c r="Q2" s="35" t="str">
        <f ca="1">IFERROR(__xludf.DUMMYFUNCTION("IFERROR(INDEX(FILTER('充填效能'!K$2:K$1088, '充填效能'!$A$2:$A$1088=$C2, '充填效能'!$D$2:$D$1088=""充填""), 1), 0)"),"")</f>
        <v/>
      </c>
      <c r="R2" s="35">
        <f ca="1">IFERROR(__xludf.DUMMYFUNCTION("IFERROR(INDEX(FILTER('充填效能'!I$2:I$1088, '充填效能'!$A$2:$A$1088=$C2, '充填效能'!$D$2:$D$1088=""充填""), 1), 0)"),10.1)</f>
        <v>10.1</v>
      </c>
      <c r="S2" s="35">
        <f ca="1">COUNTIFS(製造效能!B:B, $D2,製造效能!D:D,M2)</f>
        <v>3</v>
      </c>
      <c r="T2" s="36">
        <f ca="1">IFERROR(__xludf.DUMMYFUNCTION("VALUE(REGEXEXTRACT(TO_TEXT(R2), ""\d*\.?\d+""))"),10.1)</f>
        <v>10.1</v>
      </c>
      <c r="U2" s="17">
        <f t="shared" ref="U2:U116" ca="1" si="2">F2*T2*1.015</f>
        <v>102514.99999999999</v>
      </c>
      <c r="V2" s="17">
        <f ca="1">IFERROR(__xludf.DUMMYFUNCTION("IFERROR(INDEX(FILTER('製造效能'!J:J, '製造效能'!A:A=$C2, '製造效能'!D:D=M2, '製造效能'!E:E=""攪料""), 1), INDEX(FILTER('製造效能'!J:J, '製造效能'!B:B=$D2, '製造效能'!D:D=M2, '製造效能'!E:E=""攪料""), 1))"),103)</f>
        <v>103</v>
      </c>
      <c r="W2" s="36">
        <f ca="1">IFERROR(__xludf.DUMMYFUNCTION("IFERROR(INDEX(FILTER('製造效能'!G:G, '製造效能'!A:A=$C2, '製造效能'!D:D=M2, '製造效能'!E:E=""攪料""), 1), INDEX(FILTER('製造效能'!G:G, '製造效能'!B:B=$D2, '製造效能'!D:D=M2, '製造效能'!E:E=""攪料""), 1))"),200)</f>
        <v>200</v>
      </c>
      <c r="X2" s="35">
        <f t="shared" ref="X2:X116" ca="1" si="3">ROUNDUP(U2/1000/V2,0)</f>
        <v>1</v>
      </c>
      <c r="Y2" s="35">
        <f t="shared" ref="Y2:Y116" ca="1" si="4">W2*X2</f>
        <v>200</v>
      </c>
      <c r="Z2" s="35">
        <f ca="1">IFERROR(__xludf.DUMMYFUNCTION("IFERROR(IFERROR(INDEX(FILTER('製造效能'!G:G, '製造效能'!A:A=$C2, '製造效能'!D:D=M2, '製造效能'!E:E=""預攪""), 1), INDEX(FILTER('製造效能'!G:G, '製造效能'!B:B=$D2, '製造效能'!D:D=M2, '製造效能'!E:E=""預攪""), 1)), 0)"),135)</f>
        <v>135</v>
      </c>
      <c r="AA2" s="35">
        <f ca="1">IFERROR(__xludf.DUMMYFUNCTION("IFERROR(INDEX(FILTER('製造效能'!G:G, '製造效能'!A:A=$C2, '製造效能'!D:D=M2, '製造效能'!E:E=""清洗""), 1), INDEX(FILTER('製造效能'!G:G, '製造效能'!B:B=$D2, '製造效能'!D:D=M2, '製造效能'!E:E=""清洗""), 1))"),40)</f>
        <v>40</v>
      </c>
      <c r="AB2" s="35" t="str">
        <f ca="1">IFERROR(__xludf.DUMMYFUNCTION("IFERROR(INDEX(FILTER('製造效能'!N:N, '製造效能'!$A:$A=$C2, '製造效能'!$D:$D=$M2, '製造效能'!$E:$E=""攪料""), 1), INDEX(FILTER('製造效能'!N:N, '製造效能'!$B:$B=$D2, '製造效能'!$D:$D=$M2, '製造效能'!$E:$E=""攪料""), 1))"),"")</f>
        <v/>
      </c>
      <c r="AC2" s="35">
        <f ca="1">IFERROR(__xludf.DUMMYFUNCTION("IFERROR(INDEX(FILTER('製造效能'!O:O, '製造效能'!$A:$A=$C2, '製造效能'!$D:$D=$M2, '製造效能'!$E:$E=""攪料""), 1), INDEX(FILTER('製造效能'!O:O, '製造效能'!$B:$B=$D2, '製造效能'!$D:$D=$M2, '製造效能'!$E:$E=""攪料""), 1))"),1)</f>
        <v>1</v>
      </c>
      <c r="AD2" s="35" t="str">
        <f ca="1">IFERROR(__xludf.DUMMYFUNCTION("IFERROR(INDEX(FILTER('製造效能'!P:P, '製造效能'!$A:$A=$C2, '製造效能'!$D:$D=$M2, '製造效能'!$E:$E=""攪料""), 1), INDEX(FILTER('製造效能'!P:P, '製造效能'!$B:$B=$D2, '製造效能'!$D:$D=$M2, '製造效能'!$E:$E=""攪料""), 1))"),"")</f>
        <v/>
      </c>
      <c r="AE2" s="35">
        <f ca="1">IFERROR(__xludf.DUMMYFUNCTION("IFERROR(INDEX(FILTER('製造效能'!Q:Q, '製造效能'!$A:$A=$C2, '製造效能'!$D:$D=$M2, '製造效能'!$E:$E=""攪料""), 1), INDEX(FILTER('製造效能'!Q:Q, '製造效能'!$B:$B=$D2, '製造效能'!$D:$D=$M2, '製造效能'!$E:$E=""攪料""), 1))"),1)</f>
        <v>1</v>
      </c>
      <c r="AF2" s="35" t="str">
        <f ca="1">IFERROR(__xludf.DUMMYFUNCTION("IFERROR(INDEX(FILTER('製造效能'!R:R, '製造效能'!$A:$A=$C2, '製造效能'!$D:$D=$M2, '製造效能'!$E:$E=""攪料""), 1), INDEX(FILTER('製造效能'!R:R, '製造效能'!$B:$B=$D2, '製造效能'!$D:$D=$M2, '製造效能'!$E:$E=""攪料""), 1))"),"")</f>
        <v/>
      </c>
      <c r="AG2" s="35" t="str">
        <f ca="1">IFERROR(__xludf.DUMMYFUNCTION("IFERROR(INDEX(FILTER('製造效能'!S:S, '製造效能'!$A:$A=$C2, '製造效能'!$D:$D=$M2, '製造效能'!$E:$E=""攪料""), 1), INDEX(FILTER('製造效能'!S:S, '製造效能'!$B:$B=$D2, '製造效能'!$D:$D=$M2, '製造效能'!$E:$E=""攪料""), 1))"),"")</f>
        <v/>
      </c>
      <c r="AH2" s="35" t="str">
        <f ca="1">IFERROR(__xludf.DUMMYFUNCTION("IFERROR(INDEX(FILTER('製造效能'!T:T, '製造效能'!$A:$A=$C2, '製造效能'!$D:$D=$M2, '製造效能'!$E:$E=""攪料""), 1), INDEX(FILTER('製造效能'!T:T, '製造效能'!$B:$B=$D2, '製造效能'!$D:$D=$M2, '製造效能'!$E:$E=""攪料""), 1))"),"")</f>
        <v/>
      </c>
      <c r="AI2" s="35" t="str">
        <f ca="1">IFERROR(__xludf.DUMMYFUNCTION("IFERROR(INDEX(FILTER('製造效能'!U:U, '製造效能'!$A:$A=$C2, '製造效能'!$D:$D=$M2, '製造效能'!$E:$E=""攪料""), 1), INDEX(FILTER('製造效能'!U:U, '製造效能'!$B:$B=$D2, '製造效能'!$D:$D=$M2, '製造效能'!$E:$E=""攪料""), 1))"),"")</f>
        <v/>
      </c>
      <c r="AJ2" s="35" t="str">
        <f ca="1">IFERROR(__xludf.DUMMYFUNCTION("IFERROR(INDEX(FILTER('製造效能'!V:V, '製造效能'!$A:$A=$C2, '製造效能'!$D:$D=$M2, '製造效能'!$E:$E=""攪料""), 1), INDEX(FILTER('製造效能'!V:V, '製造效能'!$B:$B=$D2, '製造效能'!$D:$D=$M2, '製造效能'!$E:$E=""攪料""), 1))"),"")</f>
        <v/>
      </c>
      <c r="AK2" s="35">
        <f>COUNTIF(充填效能!$A:$A, $C2)</f>
        <v>1</v>
      </c>
      <c r="AL2" s="36">
        <f ca="1">IFERROR(__xludf.DUMMYFUNCTION("IFERROR(INDEX(FILTER('充填效能'!$Q$2:$Q$1088, '充填效能'!$A$2:$A$1088=$C2, '充填效能'!$D$2:$D$1088=""排瓶""), 1), 0)"),0)</f>
        <v>0</v>
      </c>
      <c r="AM2" s="36">
        <f ca="1">IFERROR(__xludf.DUMMYFUNCTION("IFERROR(INDEX(FILTER('充填效能'!$R$2:$R$1088, '充填效能'!$A$2:$A$1088=$C2, '充填效能'!$D$2:$D$1088=""排瓶""), 1), 0)"),0)</f>
        <v>0</v>
      </c>
      <c r="AN2" s="35">
        <f t="shared" ref="AN2:AN116" ca="1" si="5">IF(AL2=0, 0, $F2/AL2)</f>
        <v>0</v>
      </c>
      <c r="AO2" s="36" t="str">
        <f ca="1">IFERROR(__xludf.DUMMYFUNCTION("IFERROR(INDEX(FILTER('充填效能'!$Q$2:$Q$1088, '充填效能'!$A$2:$A$1088=$C2, '充填效能'!$D$2:$D$1088=""充填""), 1), 0)"),"1000")</f>
        <v>1000</v>
      </c>
      <c r="AP2" s="36">
        <f ca="1">IFERROR(__xludf.DUMMYFUNCTION("IFERROR(INDEX(FILTER('充填效能'!$R$2:$R$1088, '充填效能'!$A$2:$A$1088=$C2, '充填效能'!$D$2:$D$1088=""充填""), 1), 0)"),4)</f>
        <v>4</v>
      </c>
      <c r="AQ2" s="35">
        <f t="shared" ref="AQ2:AQ116" ca="1" si="6">IF(AO2=0, 0, $F2/AO2)</f>
        <v>10</v>
      </c>
      <c r="AR2" s="17">
        <f t="shared" ref="AR2:AR116" ca="1" si="7">AP2*AQ2</f>
        <v>40</v>
      </c>
    </row>
    <row r="3" spans="1:44" ht="15.75" customHeight="1">
      <c r="A3" s="9" t="s">
        <v>131</v>
      </c>
      <c r="B3" s="34">
        <f t="shared" si="0"/>
        <v>44726</v>
      </c>
      <c r="C3" s="9" t="s">
        <v>79</v>
      </c>
      <c r="D3" s="17" t="str">
        <f t="shared" si="1"/>
        <v>AW21E1</v>
      </c>
      <c r="E3" s="9" t="s">
        <v>80</v>
      </c>
      <c r="F3" s="9">
        <v>1700</v>
      </c>
      <c r="G3" s="10">
        <v>44974</v>
      </c>
      <c r="H3" s="10">
        <v>44971</v>
      </c>
      <c r="I3" s="10">
        <v>44957</v>
      </c>
      <c r="J3" s="10">
        <v>44886</v>
      </c>
      <c r="L3" s="17" t="str">
        <f ca="1">IFERROR(__xludf.DUMMYFUNCTION("TEXTJOIN("", "", TRUE, UNIQUE(FILTER('製造效能'!$D$2:$D$1732, '製造效能'!$B$2:$B$1732 = D3)))"),"小乳, 大乳")</f>
        <v>小乳, 大乳</v>
      </c>
      <c r="M3" s="17" t="str">
        <f ca="1">IFERROR(__xludf.DUMMYFUNCTION("INDEX(UNIQUE(FILTER('製造效能'!$D$2:$D$1732, ('製造效能'!$B$2:$B$1732 = D3) * ('製造效能'!$J$2:$J$1732 = MAXIFS('製造效能'!$J$2:$J$1732, '製造效能'!$B$2:$B$1732, D3)))), 1) 
"),"大乳")</f>
        <v>大乳</v>
      </c>
      <c r="N3" s="17" t="str">
        <f ca="1">IFERROR(__xludf.DUMMYFUNCTION("TEXTJOIN("", "", TRUE, UNIQUE(FILTER('製造效能'!$K$2:$K$1732, '製造效能'!$B$2:$B$1732 = D3)))"),"乳項")</f>
        <v>乳項</v>
      </c>
      <c r="P3" s="35" t="str">
        <f ca="1">IFERROR(__xludf.DUMMYFUNCTION("IFERROR(INDEX(FILTER('充填效能'!J$2:J$1088, '充填效能'!$A$2:$A$1088=$C3, '充填效能'!$D$2:$D$1088=""充填""), 1), 0)"),"")</f>
        <v/>
      </c>
      <c r="Q3" s="35" t="str">
        <f ca="1">IFERROR(__xludf.DUMMYFUNCTION("IFERROR(INDEX(FILTER('充填效能'!K$2:K$1088, '充填效能'!$A$2:$A$1088=$C3, '充填效能'!$D$2:$D$1088=""充填""), 1), 0)"),"")</f>
        <v/>
      </c>
      <c r="R3" s="35">
        <f ca="1">IFERROR(__xludf.DUMMYFUNCTION("IFERROR(INDEX(FILTER('充填效能'!I$2:I$1088, '充填效能'!$A$2:$A$1088=$C3, '充填效能'!$D$2:$D$1088=""充填""), 1), 0)"),30)</f>
        <v>30</v>
      </c>
      <c r="S3" s="35">
        <f ca="1">COUNTIFS(製造效能!B:B, $D3,製造效能!D:D,M3)</f>
        <v>3</v>
      </c>
      <c r="T3" s="36">
        <f ca="1">IFERROR(__xludf.DUMMYFUNCTION("VALUE(REGEXEXTRACT(TO_TEXT(R3), ""\d*\.?\d+""))"),30)</f>
        <v>30</v>
      </c>
      <c r="U3" s="17">
        <f t="shared" ca="1" si="2"/>
        <v>51764.999999999993</v>
      </c>
      <c r="V3" s="17">
        <f ca="1">IFERROR(__xludf.DUMMYFUNCTION("IFERROR(INDEX(FILTER('製造效能'!J:J, '製造效能'!A:A=$C3, '製造效能'!D:D=M3, '製造效能'!E:E=""攪料""), 1), INDEX(FILTER('製造效能'!J:J, '製造效能'!B:B=$D3, '製造效能'!D:D=M3, '製造效能'!E:E=""攪料""), 1))"),103)</f>
        <v>103</v>
      </c>
      <c r="W3" s="36">
        <f ca="1">IFERROR(__xludf.DUMMYFUNCTION("IFERROR(INDEX(FILTER('製造效能'!G:G, '製造效能'!A:A=$C3, '製造效能'!D:D=M3, '製造效能'!E:E=""攪料""), 1), INDEX(FILTER('製造效能'!G:G, '製造效能'!B:B=$D3, '製造效能'!D:D=M3, '製造效能'!E:E=""攪料""), 1))"),180)</f>
        <v>180</v>
      </c>
      <c r="X3" s="35">
        <f t="shared" ca="1" si="3"/>
        <v>1</v>
      </c>
      <c r="Y3" s="35">
        <f t="shared" ca="1" si="4"/>
        <v>180</v>
      </c>
      <c r="Z3" s="35">
        <f ca="1">IFERROR(__xludf.DUMMYFUNCTION("IFERROR(IFERROR(INDEX(FILTER('製造效能'!G:G, '製造效能'!A:A=$C3, '製造效能'!D:D=M3, '製造效能'!E:E=""預攪""), 1), INDEX(FILTER('製造效能'!G:G, '製造效能'!B:B=$D3, '製造效能'!D:D=M3, '製造效能'!E:E=""預攪""), 1)), 0)"),45)</f>
        <v>45</v>
      </c>
      <c r="AA3" s="35">
        <f ca="1">IFERROR(__xludf.DUMMYFUNCTION("IFERROR(INDEX(FILTER('製造效能'!G:G, '製造效能'!A:A=$C3, '製造效能'!D:D=M3, '製造效能'!E:E=""清洗""), 1), INDEX(FILTER('製造效能'!G:G, '製造效能'!B:B=$D3, '製造效能'!D:D=M3, '製造效能'!E:E=""清洗""), 1))"),40)</f>
        <v>40</v>
      </c>
      <c r="AB3" s="35" t="str">
        <f ca="1">IFERROR(__xludf.DUMMYFUNCTION("IFERROR(INDEX(FILTER('製造效能'!N:N, '製造效能'!$A:$A=$C3, '製造效能'!$D:$D=$M3, '製造效能'!$E:$E=""攪料""), 1), INDEX(FILTER('製造效能'!N:N, '製造效能'!$B:$B=$D3, '製造效能'!$D:$D=$M3, '製造效能'!$E:$E=""攪料""), 1))"),"")</f>
        <v/>
      </c>
      <c r="AC3" s="35" t="str">
        <f ca="1">IFERROR(__xludf.DUMMYFUNCTION("IFERROR(INDEX(FILTER('製造效能'!O:O, '製造效能'!$A:$A=$C3, '製造效能'!$D:$D=$M3, '製造效能'!$E:$E=""攪料""), 1), INDEX(FILTER('製造效能'!O:O, '製造效能'!$B:$B=$D3, '製造效能'!$D:$D=$M3, '製造效能'!$E:$E=""攪料""), 1))"),"")</f>
        <v/>
      </c>
      <c r="AD3" s="35" t="str">
        <f ca="1">IFERROR(__xludf.DUMMYFUNCTION("IFERROR(INDEX(FILTER('製造效能'!P:P, '製造效能'!$A:$A=$C3, '製造效能'!$D:$D=$M3, '製造效能'!$E:$E=""攪料""), 1), INDEX(FILTER('製造效能'!P:P, '製造效能'!$B:$B=$D3, '製造效能'!$D:$D=$M3, '製造效能'!$E:$E=""攪料""), 1))"),"")</f>
        <v/>
      </c>
      <c r="AE3" s="35">
        <f ca="1">IFERROR(__xludf.DUMMYFUNCTION("IFERROR(INDEX(FILTER('製造效能'!Q:Q, '製造效能'!$A:$A=$C3, '製造效能'!$D:$D=$M3, '製造效能'!$E:$E=""攪料""), 1), INDEX(FILTER('製造效能'!Q:Q, '製造效能'!$B:$B=$D3, '製造效能'!$D:$D=$M3, '製造效能'!$E:$E=""攪料""), 1))"),1)</f>
        <v>1</v>
      </c>
      <c r="AF3" s="35" t="str">
        <f ca="1">IFERROR(__xludf.DUMMYFUNCTION("IFERROR(INDEX(FILTER('製造效能'!R:R, '製造效能'!$A:$A=$C3, '製造效能'!$D:$D=$M3, '製造效能'!$E:$E=""攪料""), 1), INDEX(FILTER('製造效能'!R:R, '製造效能'!$B:$B=$D3, '製造效能'!$D:$D=$M3, '製造效能'!$E:$E=""攪料""), 1))"),"")</f>
        <v/>
      </c>
      <c r="AG3" s="35" t="str">
        <f ca="1">IFERROR(__xludf.DUMMYFUNCTION("IFERROR(INDEX(FILTER('製造效能'!S:S, '製造效能'!$A:$A=$C3, '製造效能'!$D:$D=$M3, '製造效能'!$E:$E=""攪料""), 1), INDEX(FILTER('製造效能'!S:S, '製造效能'!$B:$B=$D3, '製造效能'!$D:$D=$M3, '製造效能'!$E:$E=""攪料""), 1))"),"")</f>
        <v/>
      </c>
      <c r="AH3" s="35" t="str">
        <f ca="1">IFERROR(__xludf.DUMMYFUNCTION("IFERROR(INDEX(FILTER('製造效能'!T:T, '製造效能'!$A:$A=$C3, '製造效能'!$D:$D=$M3, '製造效能'!$E:$E=""攪料""), 1), INDEX(FILTER('製造效能'!T:T, '製造效能'!$B:$B=$D3, '製造效能'!$D:$D=$M3, '製造效能'!$E:$E=""攪料""), 1))"),"")</f>
        <v/>
      </c>
      <c r="AI3" s="35" t="str">
        <f ca="1">IFERROR(__xludf.DUMMYFUNCTION("IFERROR(INDEX(FILTER('製造效能'!U:U, '製造效能'!$A:$A=$C3, '製造效能'!$D:$D=$M3, '製造效能'!$E:$E=""攪料""), 1), INDEX(FILTER('製造效能'!U:U, '製造效能'!$B:$B=$D3, '製造效能'!$D:$D=$M3, '製造效能'!$E:$E=""攪料""), 1))"),"")</f>
        <v/>
      </c>
      <c r="AJ3" s="35" t="str">
        <f ca="1">IFERROR(__xludf.DUMMYFUNCTION("IFERROR(INDEX(FILTER('製造效能'!V:V, '製造效能'!$A:$A=$C3, '製造效能'!$D:$D=$M3, '製造效能'!$E:$E=""攪料""), 1), INDEX(FILTER('製造效能'!V:V, '製造效能'!$B:$B=$D3, '製造效能'!$D:$D=$M3, '製造效能'!$E:$E=""攪料""), 1))"),"")</f>
        <v/>
      </c>
      <c r="AK3" s="35">
        <f>COUNTIF(充填效能!$A:$A, $C3)</f>
        <v>2</v>
      </c>
      <c r="AL3" s="36" t="str">
        <f ca="1">IFERROR(__xludf.DUMMYFUNCTION("IFERROR(INDEX(FILTER('充填效能'!$Q$2:$Q$1088, '充填效能'!$A$2:$A$1088=$C3, '充填效能'!$D$2:$D$1088=""排瓶""), 1), 0)"),"750")</f>
        <v>750</v>
      </c>
      <c r="AM3" s="36">
        <f ca="1">IFERROR(__xludf.DUMMYFUNCTION("IFERROR(INDEX(FILTER('充填效能'!$R$2:$R$1088, '充填效能'!$A$2:$A$1088=$C3, '充填效能'!$D$2:$D$1088=""排瓶""), 1), 0)"),1)</f>
        <v>1</v>
      </c>
      <c r="AN3" s="35">
        <f t="shared" ca="1" si="5"/>
        <v>2.2666666666666666</v>
      </c>
      <c r="AO3" s="36" t="str">
        <f ca="1">IFERROR(__xludf.DUMMYFUNCTION("IFERROR(INDEX(FILTER('充填效能'!$Q$2:$Q$1088, '充填效能'!$A$2:$A$1088=$C3, '充填效能'!$D$2:$D$1088=""充填""), 1), 0)"),"770")</f>
        <v>770</v>
      </c>
      <c r="AP3" s="36">
        <f ca="1">IFERROR(__xludf.DUMMYFUNCTION("IFERROR(INDEX(FILTER('充填效能'!$R$2:$R$1088, '充填效能'!$A$2:$A$1088=$C3, '充填效能'!$D$2:$D$1088=""充填""), 1), 0)"),4)</f>
        <v>4</v>
      </c>
      <c r="AQ3" s="35">
        <f t="shared" ca="1" si="6"/>
        <v>2.2077922077922079</v>
      </c>
      <c r="AR3" s="17">
        <f t="shared" ca="1" si="7"/>
        <v>8.8311688311688314</v>
      </c>
    </row>
    <row r="4" spans="1:44" ht="15.75" customHeight="1">
      <c r="A4" s="9" t="s">
        <v>58</v>
      </c>
      <c r="B4" s="34">
        <f t="shared" si="0"/>
        <v>44922</v>
      </c>
      <c r="C4" s="9" t="s">
        <v>59</v>
      </c>
      <c r="D4" s="17" t="str">
        <f t="shared" si="1"/>
        <v>EU22A1</v>
      </c>
      <c r="E4" s="9" t="s">
        <v>60</v>
      </c>
      <c r="F4" s="9">
        <v>10000</v>
      </c>
      <c r="G4" s="10">
        <v>44986</v>
      </c>
      <c r="H4" s="10">
        <v>44981</v>
      </c>
      <c r="I4" s="10">
        <v>44959</v>
      </c>
      <c r="J4" s="10">
        <v>44922</v>
      </c>
      <c r="L4" s="17" t="str">
        <f ca="1">IFERROR(__xludf.DUMMYFUNCTION("TEXTJOIN("", "", TRUE, UNIQUE(FILTER('製造效能'!$D$2:$D$1732, '製造效能'!$B$2:$B$1732 = D4)))"),"大")</f>
        <v>大</v>
      </c>
      <c r="M4" s="17" t="str">
        <f ca="1">IFERROR(__xludf.DUMMYFUNCTION("INDEX(UNIQUE(FILTER('製造效能'!$D$2:$D$1732, ('製造效能'!$B$2:$B$1732 = D4) * ('製造效能'!$J$2:$J$1732 = MAXIFS('製造效能'!$J$2:$J$1732, '製造效能'!$B$2:$B$1732, D4)))), 1) 
"),"大")</f>
        <v>大</v>
      </c>
      <c r="N4" s="17" t="str">
        <f ca="1">IFERROR(__xludf.DUMMYFUNCTION("TEXTJOIN("", "", TRUE, UNIQUE(FILTER('製造效能'!$K$2:$K$1732, '製造效能'!$B$2:$B$1732 = D4)))"),"水項")</f>
        <v>水項</v>
      </c>
      <c r="O4" s="35">
        <f ca="1">IFERROR(__xludf.DUMMYFUNCTION("IFERROR(INDEX(FILTER('充填效能'!I$2:I$1088, '充填效能'!$A$2:$A$1088=$C4, '充填效能'!$D$2:$D$1088=""充填""), 1), 0)"),100)</f>
        <v>100</v>
      </c>
      <c r="P4" s="35" t="str">
        <f ca="1">IFERROR(__xludf.DUMMYFUNCTION("IFERROR(INDEX(FILTER('充填效能'!J$2:J$1088, '充填效能'!$A$2:$A$1088=$C4, '充填效能'!$D$2:$D$1088=""充填""), 1), 0)"),"")</f>
        <v/>
      </c>
      <c r="Q4" s="35" t="str">
        <f ca="1">IFERROR(__xludf.DUMMYFUNCTION("IFERROR(INDEX(FILTER('充填效能'!K$2:K$1088, '充填效能'!$A$2:$A$1088=$C4, '充填效能'!$D$2:$D$1088=""充填""), 1), 0)"),"")</f>
        <v/>
      </c>
      <c r="R4" s="35" t="str">
        <f ca="1">IFERROR(__xludf.DUMMYFUNCTION("IFERROR(INDEX(FILTER('充填效能'!L$2:L$1088, '充填效能'!$A$2:$A$1088=$C4, '充填效能'!$D$2:$D$1088=""充填""), 1), 0)"),"")</f>
        <v/>
      </c>
      <c r="S4" s="35">
        <f ca="1">COUNTIFS(製造效能!B:B, $D4,製造效能!D:D,M4)</f>
        <v>3</v>
      </c>
      <c r="T4" s="36">
        <f ca="1">IFERROR(__xludf.DUMMYFUNCTION("VALUE(REGEXEXTRACT(TO_TEXT(O4), ""\d*\.?\d+""))"),100)</f>
        <v>100</v>
      </c>
      <c r="U4" s="17">
        <f t="shared" ca="1" si="2"/>
        <v>1014999.9999999999</v>
      </c>
      <c r="V4" s="17">
        <f ca="1">IFERROR(__xludf.DUMMYFUNCTION("IFERROR(INDEX(FILTER('製造效能'!J:J, '製造效能'!A:A=$C4, '製造效能'!D:D=M4, '製造效能'!E:E=""攪料""), 1), INDEX(FILTER('製造效能'!J:J, '製造效能'!B:B=$D4, '製造效能'!D:D=M4, '製造效能'!E:E=""攪料""), 1))"),367.5)</f>
        <v>367.5</v>
      </c>
      <c r="W4" s="36">
        <f ca="1">IFERROR(__xludf.DUMMYFUNCTION("IFERROR(INDEX(FILTER('製造效能'!G:G, '製造效能'!A:A=$C4, '製造效能'!D:D=M4, '製造效能'!E:E=""攪料""), 1), INDEX(FILTER('製造效能'!G:G, '製造效能'!B:B=$D4, '製造效能'!D:D=M4, '製造效能'!E:E=""攪料""), 1))"),320)</f>
        <v>320</v>
      </c>
      <c r="X4" s="35">
        <f t="shared" ca="1" si="3"/>
        <v>3</v>
      </c>
      <c r="Y4" s="35">
        <f t="shared" ca="1" si="4"/>
        <v>960</v>
      </c>
      <c r="Z4" s="35">
        <f ca="1">IFERROR(__xludf.DUMMYFUNCTION("IFERROR(IFERROR(INDEX(FILTER('製造效能'!G:G, '製造效能'!A:A=$C4, '製造效能'!D:D=M4, '製造效能'!E:E=""預攪""), 1), INDEX(FILTER('製造效能'!G:G, '製造效能'!B:B=$D4, '製造效能'!D:D=M4, '製造效能'!E:E=""預攪""), 1)), 0)"),25)</f>
        <v>25</v>
      </c>
      <c r="AA4" s="35">
        <f ca="1">IFERROR(__xludf.DUMMYFUNCTION("IFERROR(INDEX(FILTER('製造效能'!G:G, '製造效能'!A:A=$C4, '製造效能'!D:D=M4, '製造效能'!E:E=""清洗""), 1), INDEX(FILTER('製造效能'!G:G, '製造效能'!B:B=$D4, '製造效能'!D:D=M4, '製造效能'!E:E=""清洗""), 1))"),50)</f>
        <v>50</v>
      </c>
      <c r="AB4" s="35" t="str">
        <f ca="1">IFERROR(__xludf.DUMMYFUNCTION("IFERROR(INDEX(FILTER('製造效能'!N:N, '製造效能'!$A:$A=$C4, '製造效能'!$D:$D=$M4, '製造效能'!$E:$E=""攪料""), 1), INDEX(FILTER('製造效能'!N:N, '製造效能'!$B:$B=$D4, '製造效能'!$D:$D=$M4, '製造效能'!$E:$E=""攪料""), 1))"),"")</f>
        <v/>
      </c>
      <c r="AC4" s="35" t="str">
        <f ca="1">IFERROR(__xludf.DUMMYFUNCTION("IFERROR(INDEX(FILTER('製造效能'!O:O, '製造效能'!$A:$A=$C4, '製造效能'!$D:$D=$M4, '製造效能'!$E:$E=""攪料""), 1), INDEX(FILTER('製造效能'!O:O, '製造效能'!$B:$B=$D4, '製造效能'!$D:$D=$M4, '製造效能'!$E:$E=""攪料""), 1))"),"")</f>
        <v/>
      </c>
      <c r="AD4" s="35" t="str">
        <f ca="1">IFERROR(__xludf.DUMMYFUNCTION("IFERROR(INDEX(FILTER('製造效能'!P:P, '製造效能'!$A:$A=$C4, '製造效能'!$D:$D=$M4, '製造效能'!$E:$E=""攪料""), 1), INDEX(FILTER('製造效能'!P:P, '製造效能'!$B:$B=$D4, '製造效能'!$D:$D=$M4, '製造效能'!$E:$E=""攪料""), 1))"),"")</f>
        <v/>
      </c>
      <c r="AE4" s="35" t="str">
        <f ca="1">IFERROR(__xludf.DUMMYFUNCTION("IFERROR(INDEX(FILTER('製造效能'!Q:Q, '製造效能'!$A:$A=$C4, '製造效能'!$D:$D=$M4, '製造效能'!$E:$E=""攪料""), 1), INDEX(FILTER('製造效能'!Q:Q, '製造效能'!$B:$B=$D4, '製造效能'!$D:$D=$M4, '製造效能'!$E:$E=""攪料""), 1))"),"")</f>
        <v/>
      </c>
      <c r="AF4" s="35" t="str">
        <f ca="1">IFERROR(__xludf.DUMMYFUNCTION("IFERROR(INDEX(FILTER('製造效能'!R:R, '製造效能'!$A:$A=$C4, '製造效能'!$D:$D=$M4, '製造效能'!$E:$E=""攪料""), 1), INDEX(FILTER('製造效能'!R:R, '製造效能'!$B:$B=$D4, '製造效能'!$D:$D=$M4, '製造效能'!$E:$E=""攪料""), 1))"),"")</f>
        <v/>
      </c>
      <c r="AG4" s="35">
        <f ca="1">IFERROR(__xludf.DUMMYFUNCTION("IFERROR(INDEX(FILTER('製造效能'!S:S, '製造效能'!$A:$A=$C4, '製造效能'!$D:$D=$M4, '製造效能'!$E:$E=""攪料""), 1), INDEX(FILTER('製造效能'!S:S, '製造效能'!$B:$B=$D4, '製造效能'!$D:$D=$M4, '製造效能'!$E:$E=""攪料""), 1))"),1)</f>
        <v>1</v>
      </c>
      <c r="AH4" s="35" t="str">
        <f ca="1">IFERROR(__xludf.DUMMYFUNCTION("IFERROR(INDEX(FILTER('製造效能'!T:T, '製造效能'!$A:$A=$C4, '製造效能'!$D:$D=$M4, '製造效能'!$E:$E=""攪料""), 1), INDEX(FILTER('製造效能'!T:T, '製造效能'!$B:$B=$D4, '製造效能'!$D:$D=$M4, '製造效能'!$E:$E=""攪料""), 1))"),"")</f>
        <v/>
      </c>
      <c r="AI4" s="35" t="str">
        <f ca="1">IFERROR(__xludf.DUMMYFUNCTION("IFERROR(INDEX(FILTER('製造效能'!U:U, '製造效能'!$A:$A=$C4, '製造效能'!$D:$D=$M4, '製造效能'!$E:$E=""攪料""), 1), INDEX(FILTER('製造效能'!U:U, '製造效能'!$B:$B=$D4, '製造效能'!$D:$D=$M4, '製造效能'!$E:$E=""攪料""), 1))"),"")</f>
        <v/>
      </c>
      <c r="AJ4" s="35" t="str">
        <f ca="1">IFERROR(__xludf.DUMMYFUNCTION("IFERROR(INDEX(FILTER('製造效能'!V:V, '製造效能'!$A:$A=$C4, '製造效能'!$D:$D=$M4, '製造效能'!$E:$E=""攪料""), 1), INDEX(FILTER('製造效能'!V:V, '製造效能'!$B:$B=$D4, '製造效能'!$D:$D=$M4, '製造效能'!$E:$E=""攪料""), 1))"),"")</f>
        <v/>
      </c>
      <c r="AK4" s="35">
        <f>COUNTIF(充填效能!$A:$A, $C4)</f>
        <v>2</v>
      </c>
      <c r="AL4" s="36" t="str">
        <f ca="1">IFERROR(__xludf.DUMMYFUNCTION("IFERROR(INDEX(FILTER('充填效能'!$Q$2:$Q$1088, '充填效能'!$A$2:$A$1088=$C4, '充填效能'!$D$2:$D$1088=""排瓶""), 1), 0)"),"460")</f>
        <v>460</v>
      </c>
      <c r="AM4" s="36">
        <f ca="1">IFERROR(__xludf.DUMMYFUNCTION("IFERROR(INDEX(FILTER('充填效能'!$R$2:$R$1088, '充填效能'!$A$2:$A$1088=$C4, '充填效能'!$D$2:$D$1088=""排瓶""), 1), 0)"),1)</f>
        <v>1</v>
      </c>
      <c r="AN4" s="35">
        <f t="shared" ca="1" si="5"/>
        <v>21.739130434782609</v>
      </c>
      <c r="AO4" s="36" t="str">
        <f ca="1">IFERROR(__xludf.DUMMYFUNCTION("IFERROR(INDEX(FILTER('充填效能'!$Q$2:$Q$1088, '充填效能'!$A$2:$A$1088=$C4, '充填效能'!$D$2:$D$1088=""充填""), 1), 0)"),"470")</f>
        <v>470</v>
      </c>
      <c r="AP4" s="36">
        <f ca="1">IFERROR(__xludf.DUMMYFUNCTION("IFERROR(INDEX(FILTER('充填效能'!$R$2:$R$1088, '充填效能'!$A$2:$A$1088=$C4, '充填效能'!$D$2:$D$1088=""充填""), 1), 0)"),3)</f>
        <v>3</v>
      </c>
      <c r="AQ4" s="35">
        <f t="shared" ca="1" si="6"/>
        <v>21.276595744680851</v>
      </c>
      <c r="AR4" s="17">
        <f t="shared" ca="1" si="7"/>
        <v>63.829787234042556</v>
      </c>
    </row>
    <row r="5" spans="1:44" ht="15.75" customHeight="1">
      <c r="A5" s="9" t="s">
        <v>37</v>
      </c>
      <c r="B5" s="34">
        <f t="shared" si="0"/>
        <v>44880</v>
      </c>
      <c r="C5" s="9" t="s">
        <v>38</v>
      </c>
      <c r="D5" s="17" t="str">
        <f t="shared" si="1"/>
        <v>EU21C1</v>
      </c>
      <c r="E5" s="9" t="s">
        <v>39</v>
      </c>
      <c r="F5" s="9">
        <v>10184</v>
      </c>
      <c r="G5" s="10">
        <v>44998</v>
      </c>
      <c r="H5" s="10">
        <v>44991</v>
      </c>
      <c r="I5" s="10">
        <v>44915</v>
      </c>
      <c r="J5" s="10">
        <v>44960</v>
      </c>
      <c r="K5" s="9" t="s">
        <v>405</v>
      </c>
      <c r="L5" s="17" t="str">
        <f ca="1">IFERROR(__xludf.DUMMYFUNCTION("TEXTJOIN("", "", TRUE, UNIQUE(FILTER('製造效能'!$D$2:$D$1732, '製造效能'!$B$2:$B$1732 = D5)))"),"大, 小乳")</f>
        <v>大, 小乳</v>
      </c>
      <c r="M5" s="17" t="str">
        <f ca="1">IFERROR(__xludf.DUMMYFUNCTION("INDEX(UNIQUE(FILTER('製造效能'!$D$2:$D$1732, ('製造效能'!$B$2:$B$1732 = D5) * ('製造效能'!$J$2:$J$1732 = MAXIFS('製造效能'!$J$2:$J$1732, '製造效能'!$B$2:$B$1732, D5)))), 1) 
"),"大")</f>
        <v>大</v>
      </c>
      <c r="N5" s="17" t="str">
        <f ca="1">IFERROR(__xludf.DUMMYFUNCTION("TEXTJOIN("", "", TRUE, UNIQUE(FILTER('製造效能'!$K$2:$K$1732, '製造效能'!$B$2:$B$1732 = D5)))"),"水項, 乳項")</f>
        <v>水項, 乳項</v>
      </c>
      <c r="O5" s="35">
        <v>11.7</v>
      </c>
      <c r="P5" s="35" t="str">
        <f ca="1">IFERROR(__xludf.DUMMYFUNCTION("IFERROR(INDEX(FILTER('充填效能'!J$2:J$1088, '充填效能'!$A$2:$A$1088=$C5, '充填效能'!$D$2:$D$1088=""充填""), 1), 0)"),"")</f>
        <v/>
      </c>
      <c r="Q5" s="35" t="str">
        <f ca="1">IFERROR(__xludf.DUMMYFUNCTION("IFERROR(INDEX(FILTER('充填效能'!K$2:K$1088, '充填效能'!$A$2:$A$1088=$C5, '充填效能'!$D$2:$D$1088=""充填""), 1), 0)"),"")</f>
        <v/>
      </c>
      <c r="R5" s="35">
        <f ca="1">IFERROR(__xludf.DUMMYFUNCTION("IFERROR(INDEX(FILTER('充填效能'!L$2:L$1088, '充填效能'!$A$2:$A$1088=$C5, '充填效能'!$D$2:$D$1088=""充填""), 1), 0)"),2.8)</f>
        <v>2.8</v>
      </c>
      <c r="S5" s="35">
        <f ca="1">COUNTIFS(製造效能!B:B, $D5,製造效能!D:D,M5)</f>
        <v>6</v>
      </c>
      <c r="T5" s="36">
        <f ca="1">IFERROR(__xludf.DUMMYFUNCTION("VALUE(REGEXEXTRACT(TO_TEXT(O5), ""\d*\.?\d+""))"),11.7)</f>
        <v>11.7</v>
      </c>
      <c r="U5" s="17">
        <f t="shared" ca="1" si="2"/>
        <v>120940.09199999998</v>
      </c>
      <c r="V5" s="17">
        <f ca="1">IFERROR(__xludf.DUMMYFUNCTION("IFERROR(INDEX(FILTER('製造效能'!J:J, '製造效能'!A:A=$C5, '製造效能'!D:D=M5, '製造效能'!E:E=""攪料""), 1), INDEX(FILTER('製造效能'!J:J, '製造效能'!B:B=$D5, '製造效能'!D:D=M5, '製造效能'!E:E=""攪料""), 1))"),400)</f>
        <v>400</v>
      </c>
      <c r="W5" s="36">
        <f ca="1">IFERROR(__xludf.DUMMYFUNCTION("IFERROR(INDEX(FILTER('製造效能'!G:G, '製造效能'!A:A=$C5, '製造效能'!D:D=M5, '製造效能'!E:E=""攪料""), 1), INDEX(FILTER('製造效能'!G:G, '製造效能'!B:B=$D5, '製造效能'!D:D=M5, '製造效能'!E:E=""攪料""), 1))"),70)</f>
        <v>70</v>
      </c>
      <c r="X5" s="35">
        <f t="shared" ca="1" si="3"/>
        <v>1</v>
      </c>
      <c r="Y5" s="35">
        <f t="shared" ca="1" si="4"/>
        <v>70</v>
      </c>
      <c r="Z5" s="35">
        <f ca="1">IFERROR(__xludf.DUMMYFUNCTION("IFERROR(IFERROR(INDEX(FILTER('製造效能'!G:G, '製造效能'!A:A=$C5, '製造效能'!D:D=M5, '製造效能'!E:E=""預攪""), 1), INDEX(FILTER('製造效能'!G:G, '製造效能'!B:B=$D5, '製造效能'!D:D=M5, '製造效能'!E:E=""預攪""), 1)), 0)"),70)</f>
        <v>70</v>
      </c>
      <c r="AA5" s="35">
        <f ca="1">IFERROR(__xludf.DUMMYFUNCTION("IFERROR(INDEX(FILTER('製造效能'!G:G, '製造效能'!A:A=$C5, '製造效能'!D:D=M5, '製造效能'!E:E=""清洗""), 1), INDEX(FILTER('製造效能'!G:G, '製造效能'!B:B=$D5, '製造效能'!D:D=M5, '製造效能'!E:E=""清洗""), 1))"),30)</f>
        <v>30</v>
      </c>
      <c r="AB5" s="35" t="str">
        <f ca="1">IFERROR(__xludf.DUMMYFUNCTION("IFERROR(INDEX(FILTER('製造效能'!N:N, '製造效能'!$A:$A=$C5, '製造效能'!$D:$D=$M5, '製造效能'!$E:$E=""攪料""), 1), INDEX(FILTER('製造效能'!N:N, '製造效能'!$B:$B=$D5, '製造效能'!$D:$D=$M5, '製造效能'!$E:$E=""攪料""), 1))"),"")</f>
        <v/>
      </c>
      <c r="AC5" s="35" t="str">
        <f ca="1">IFERROR(__xludf.DUMMYFUNCTION("IFERROR(INDEX(FILTER('製造效能'!O:O, '製造效能'!$A:$A=$C5, '製造效能'!$D:$D=$M5, '製造效能'!$E:$E=""攪料""), 1), INDEX(FILTER('製造效能'!O:O, '製造效能'!$B:$B=$D5, '製造效能'!$D:$D=$M5, '製造效能'!$E:$E=""攪料""), 1))"),"")</f>
        <v/>
      </c>
      <c r="AD5" s="35" t="str">
        <f ca="1">IFERROR(__xludf.DUMMYFUNCTION("IFERROR(INDEX(FILTER('製造效能'!P:P, '製造效能'!$A:$A=$C5, '製造效能'!$D:$D=$M5, '製造效能'!$E:$E=""攪料""), 1), INDEX(FILTER('製造效能'!P:P, '製造效能'!$B:$B=$D5, '製造效能'!$D:$D=$M5, '製造效能'!$E:$E=""攪料""), 1))"),"")</f>
        <v/>
      </c>
      <c r="AE5" s="35" t="str">
        <f ca="1">IFERROR(__xludf.DUMMYFUNCTION("IFERROR(INDEX(FILTER('製造效能'!Q:Q, '製造效能'!$A:$A=$C5, '製造效能'!$D:$D=$M5, '製造效能'!$E:$E=""攪料""), 1), INDEX(FILTER('製造效能'!Q:Q, '製造效能'!$B:$B=$D5, '製造效能'!$D:$D=$M5, '製造效能'!$E:$E=""攪料""), 1))"),"")</f>
        <v/>
      </c>
      <c r="AF5" s="35" t="str">
        <f ca="1">IFERROR(__xludf.DUMMYFUNCTION("IFERROR(INDEX(FILTER('製造效能'!R:R, '製造效能'!$A:$A=$C5, '製造效能'!$D:$D=$M5, '製造效能'!$E:$E=""攪料""), 1), INDEX(FILTER('製造效能'!R:R, '製造效能'!$B:$B=$D5, '製造效能'!$D:$D=$M5, '製造效能'!$E:$E=""攪料""), 1))"),"")</f>
        <v/>
      </c>
      <c r="AG5" s="35">
        <f ca="1">IFERROR(__xludf.DUMMYFUNCTION("IFERROR(INDEX(FILTER('製造效能'!S:S, '製造效能'!$A:$A=$C5, '製造效能'!$D:$D=$M5, '製造效能'!$E:$E=""攪料""), 1), INDEX(FILTER('製造效能'!S:S, '製造效能'!$B:$B=$D5, '製造效能'!$D:$D=$M5, '製造效能'!$E:$E=""攪料""), 1))"),1)</f>
        <v>1</v>
      </c>
      <c r="AH5" s="35" t="str">
        <f ca="1">IFERROR(__xludf.DUMMYFUNCTION("IFERROR(INDEX(FILTER('製造效能'!T:T, '製造效能'!$A:$A=$C5, '製造效能'!$D:$D=$M5, '製造效能'!$E:$E=""攪料""), 1), INDEX(FILTER('製造效能'!T:T, '製造效能'!$B:$B=$D5, '製造效能'!$D:$D=$M5, '製造效能'!$E:$E=""攪料""), 1))"),"")</f>
        <v/>
      </c>
      <c r="AI5" s="35" t="str">
        <f ca="1">IFERROR(__xludf.DUMMYFUNCTION("IFERROR(INDEX(FILTER('製造效能'!U:U, '製造效能'!$A:$A=$C5, '製造效能'!$D:$D=$M5, '製造效能'!$E:$E=""攪料""), 1), INDEX(FILTER('製造效能'!U:U, '製造效能'!$B:$B=$D5, '製造效能'!$D:$D=$M5, '製造效能'!$E:$E=""攪料""), 1))"),"")</f>
        <v/>
      </c>
      <c r="AJ5" s="35" t="str">
        <f ca="1">IFERROR(__xludf.DUMMYFUNCTION("IFERROR(INDEX(FILTER('製造效能'!V:V, '製造效能'!$A:$A=$C5, '製造效能'!$D:$D=$M5, '製造效能'!$E:$E=""攪料""), 1), INDEX(FILTER('製造效能'!V:V, '製造效能'!$B:$B=$D5, '製造效能'!$D:$D=$M5, '製造效能'!$E:$E=""攪料""), 1))"),"")</f>
        <v/>
      </c>
      <c r="AK5" s="35">
        <f>COUNTIF(充填效能!$A:$A, $C5)</f>
        <v>2</v>
      </c>
      <c r="AL5" s="36" t="str">
        <f ca="1">IFERROR(__xludf.DUMMYFUNCTION("IFERROR(INDEX(FILTER('充填效能'!$Q$2:$Q$1088, '充填效能'!$A$2:$A$1088=$C5, '充填效能'!$D$2:$D$1088=""排瓶""), 1), 0)"),"1100")</f>
        <v>1100</v>
      </c>
      <c r="AM5" s="36">
        <f ca="1">IFERROR(__xludf.DUMMYFUNCTION("IFERROR(INDEX(FILTER('充填效能'!$R$2:$R$1088, '充填效能'!$A$2:$A$1088=$C5, '充填效能'!$D$2:$D$1088=""排瓶""), 1), 0)"),1)</f>
        <v>1</v>
      </c>
      <c r="AN5" s="35">
        <f t="shared" ca="1" si="5"/>
        <v>9.2581818181818178</v>
      </c>
      <c r="AO5" s="36" t="str">
        <f ca="1">IFERROR(__xludf.DUMMYFUNCTION("IFERROR(INDEX(FILTER('充填效能'!$Q$2:$Q$1088, '充填效能'!$A$2:$A$1088=$C5, '充填效能'!$D$2:$D$1088=""充填""), 1), 0)"),"820")</f>
        <v>820</v>
      </c>
      <c r="AP5" s="36">
        <f ca="1">IFERROR(__xludf.DUMMYFUNCTION("IFERROR(INDEX(FILTER('充填效能'!$R$2:$R$1088, '充填效能'!$A$2:$A$1088=$C5, '充填效能'!$D$2:$D$1088=""充填""), 1), 0)"),4)</f>
        <v>4</v>
      </c>
      <c r="AQ5" s="35">
        <f t="shared" ca="1" si="6"/>
        <v>12.419512195121952</v>
      </c>
      <c r="AR5" s="17">
        <f t="shared" ca="1" si="7"/>
        <v>49.678048780487806</v>
      </c>
    </row>
    <row r="6" spans="1:44" ht="15.75" customHeight="1">
      <c r="A6" s="9" t="s">
        <v>82</v>
      </c>
      <c r="B6" s="34">
        <f t="shared" si="0"/>
        <v>44972</v>
      </c>
      <c r="C6" s="9" t="s">
        <v>181</v>
      </c>
      <c r="D6" s="17" t="str">
        <f t="shared" si="1"/>
        <v>N1HAE2</v>
      </c>
      <c r="E6" s="9" t="s">
        <v>182</v>
      </c>
      <c r="F6" s="9">
        <v>10000</v>
      </c>
      <c r="G6" s="10">
        <v>45107</v>
      </c>
      <c r="H6" s="10">
        <v>45007</v>
      </c>
      <c r="I6" s="10">
        <v>44978</v>
      </c>
      <c r="J6" s="10">
        <v>44981</v>
      </c>
      <c r="L6" s="17" t="str">
        <f ca="1">IFERROR(__xludf.DUMMYFUNCTION("TEXTJOIN("", "", TRUE, UNIQUE(FILTER('製造效能'!$D$2:$D$1732, '製造效能'!$B$2:$B$1732 = D6)))"),"大乳, 小乳")</f>
        <v>大乳, 小乳</v>
      </c>
      <c r="M6" s="17" t="str">
        <f ca="1">IFERROR(__xludf.DUMMYFUNCTION("INDEX(UNIQUE(FILTER('製造效能'!$D$2:$D$1732, ('製造效能'!$B$2:$B$1732 = D6) * ('製造效能'!$J$2:$J$1732 = MAXIFS('製造效能'!$J$2:$J$1732, '製造效能'!$B$2:$B$1732, D6)))), 1) 
"),"大乳")</f>
        <v>大乳</v>
      </c>
      <c r="N6" s="17" t="str">
        <f ca="1">IFERROR(__xludf.DUMMYFUNCTION("TEXTJOIN("", "", TRUE, UNIQUE(FILTER('製造效能'!$K$2:$K$1732, '製造效能'!$B$2:$B$1732 = D6)))"),"乳項")</f>
        <v>乳項</v>
      </c>
      <c r="P6" s="35" t="str">
        <f ca="1">IFERROR(__xludf.DUMMYFUNCTION("IFERROR(INDEX(FILTER('充填效能'!J$2:J$1088, '充填效能'!$A$2:$A$1088=$C6, '充填效能'!$D$2:$D$1088=""充填""), 1), 0)"),"")</f>
        <v/>
      </c>
      <c r="Q6" s="35" t="str">
        <f ca="1">IFERROR(__xludf.DUMMYFUNCTION("IFERROR(INDEX(FILTER('充填效能'!K$2:K$1088, '充填效能'!$A$2:$A$1088=$C6, '充填效能'!$D$2:$D$1088=""充填""), 1), 0)"),"")</f>
        <v/>
      </c>
      <c r="R6" s="35">
        <f ca="1">IFERROR(__xludf.DUMMYFUNCTION("IFERROR(INDEX(FILTER('充填效能'!I$2:I$1088, '充填效能'!$A$2:$A$1088=$C6, '充填效能'!$D$2:$D$1088=""充填""), 1), 0)"),50)</f>
        <v>50</v>
      </c>
      <c r="S6" s="35">
        <f ca="1">COUNTIFS(製造效能!B:B, $D6,製造效能!D:D,M6)</f>
        <v>3</v>
      </c>
      <c r="T6" s="36">
        <f ca="1">IFERROR(__xludf.DUMMYFUNCTION("VALUE(REGEXEXTRACT(TO_TEXT(R6), ""\d*\.?\d+""))"),50)</f>
        <v>50</v>
      </c>
      <c r="U6" s="17">
        <f t="shared" ca="1" si="2"/>
        <v>507499.99999999994</v>
      </c>
      <c r="V6" s="17">
        <f ca="1">IFERROR(__xludf.DUMMYFUNCTION("IFERROR(INDEX(FILTER('製造效能'!J:J, '製造效能'!A:A=$C6, '製造效能'!D:D=M6, '製造效能'!E:E=""攪料""), 1), INDEX(FILTER('製造效能'!J:J, '製造效能'!B:B=$D6, '製造效能'!D:D=M6, '製造效能'!E:E=""攪料""), 1))"),103)</f>
        <v>103</v>
      </c>
      <c r="W6" s="36">
        <f ca="1">IFERROR(__xludf.DUMMYFUNCTION("IFERROR(INDEX(FILTER('製造效能'!G:G, '製造效能'!A:A=$C6, '製造效能'!D:D=M6, '製造效能'!E:E=""攪料""), 1), INDEX(FILTER('製造效能'!G:G, '製造效能'!B:B=$D6, '製造效能'!D:D=M6, '製造效能'!E:E=""攪料""), 1))"),180)</f>
        <v>180</v>
      </c>
      <c r="X6" s="35">
        <f t="shared" ca="1" si="3"/>
        <v>5</v>
      </c>
      <c r="Y6" s="35">
        <f t="shared" ca="1" si="4"/>
        <v>900</v>
      </c>
      <c r="Z6" s="35">
        <f ca="1">IFERROR(__xludf.DUMMYFUNCTION("IFERROR(IFERROR(INDEX(FILTER('製造效能'!G:G, '製造效能'!A:A=$C6, '製造效能'!D:D=M6, '製造效能'!E:E=""預攪""), 1), INDEX(FILTER('製造效能'!G:G, '製造效能'!B:B=$D6, '製造效能'!D:D=M6, '製造效能'!E:E=""預攪""), 1)), 0)"),25)</f>
        <v>25</v>
      </c>
      <c r="AA6" s="35">
        <f ca="1">IFERROR(__xludf.DUMMYFUNCTION("IFERROR(INDEX(FILTER('製造效能'!G:G, '製造效能'!A:A=$C6, '製造效能'!D:D=M6, '製造效能'!E:E=""清洗""), 1), INDEX(FILTER('製造效能'!G:G, '製造效能'!B:B=$D6, '製造效能'!D:D=M6, '製造效能'!E:E=""清洗""), 1))"),40)</f>
        <v>40</v>
      </c>
      <c r="AB6" s="35" t="str">
        <f ca="1">IFERROR(__xludf.DUMMYFUNCTION("IFERROR(INDEX(FILTER('製造效能'!N:N, '製造效能'!$A:$A=$C6, '製造效能'!$D:$D=$M6, '製造效能'!$E:$E=""攪料""), 1), INDEX(FILTER('製造效能'!N:N, '製造效能'!$B:$B=$D6, '製造效能'!$D:$D=$M6, '製造效能'!$E:$E=""攪料""), 1))"),"")</f>
        <v/>
      </c>
      <c r="AC6" s="35" t="str">
        <f ca="1">IFERROR(__xludf.DUMMYFUNCTION("IFERROR(INDEX(FILTER('製造效能'!O:O, '製造效能'!$A:$A=$C6, '製造效能'!$D:$D=$M6, '製造效能'!$E:$E=""攪料""), 1), INDEX(FILTER('製造效能'!O:O, '製造效能'!$B:$B=$D6, '製造效能'!$D:$D=$M6, '製造效能'!$E:$E=""攪料""), 1))"),"")</f>
        <v/>
      </c>
      <c r="AD6" s="35" t="str">
        <f ca="1">IFERROR(__xludf.DUMMYFUNCTION("IFERROR(INDEX(FILTER('製造效能'!P:P, '製造效能'!$A:$A=$C6, '製造效能'!$D:$D=$M6, '製造效能'!$E:$E=""攪料""), 1), INDEX(FILTER('製造效能'!P:P, '製造效能'!$B:$B=$D6, '製造效能'!$D:$D=$M6, '製造效能'!$E:$E=""攪料""), 1))"),"")</f>
        <v/>
      </c>
      <c r="AE6" s="35">
        <f ca="1">IFERROR(__xludf.DUMMYFUNCTION("IFERROR(INDEX(FILTER('製造效能'!Q:Q, '製造效能'!$A:$A=$C6, '製造效能'!$D:$D=$M6, '製造效能'!$E:$E=""攪料""), 1), INDEX(FILTER('製造效能'!Q:Q, '製造效能'!$B:$B=$D6, '製造效能'!$D:$D=$M6, '製造效能'!$E:$E=""攪料""), 1))"),1)</f>
        <v>1</v>
      </c>
      <c r="AF6" s="35" t="str">
        <f ca="1">IFERROR(__xludf.DUMMYFUNCTION("IFERROR(INDEX(FILTER('製造效能'!R:R, '製造效能'!$A:$A=$C6, '製造效能'!$D:$D=$M6, '製造效能'!$E:$E=""攪料""), 1), INDEX(FILTER('製造效能'!R:R, '製造效能'!$B:$B=$D6, '製造效能'!$D:$D=$M6, '製造效能'!$E:$E=""攪料""), 1))"),"")</f>
        <v/>
      </c>
      <c r="AG6" s="35" t="str">
        <f ca="1">IFERROR(__xludf.DUMMYFUNCTION("IFERROR(INDEX(FILTER('製造效能'!S:S, '製造效能'!$A:$A=$C6, '製造效能'!$D:$D=$M6, '製造效能'!$E:$E=""攪料""), 1), INDEX(FILTER('製造效能'!S:S, '製造效能'!$B:$B=$D6, '製造效能'!$D:$D=$M6, '製造效能'!$E:$E=""攪料""), 1))"),"")</f>
        <v/>
      </c>
      <c r="AH6" s="35" t="str">
        <f ca="1">IFERROR(__xludf.DUMMYFUNCTION("IFERROR(INDEX(FILTER('製造效能'!T:T, '製造效能'!$A:$A=$C6, '製造效能'!$D:$D=$M6, '製造效能'!$E:$E=""攪料""), 1), INDEX(FILTER('製造效能'!T:T, '製造效能'!$B:$B=$D6, '製造效能'!$D:$D=$M6, '製造效能'!$E:$E=""攪料""), 1))"),"")</f>
        <v/>
      </c>
      <c r="AI6" s="35" t="str">
        <f ca="1">IFERROR(__xludf.DUMMYFUNCTION("IFERROR(INDEX(FILTER('製造效能'!U:U, '製造效能'!$A:$A=$C6, '製造效能'!$D:$D=$M6, '製造效能'!$E:$E=""攪料""), 1), INDEX(FILTER('製造效能'!U:U, '製造效能'!$B:$B=$D6, '製造效能'!$D:$D=$M6, '製造效能'!$E:$E=""攪料""), 1))"),"")</f>
        <v/>
      </c>
      <c r="AJ6" s="35" t="str">
        <f ca="1">IFERROR(__xludf.DUMMYFUNCTION("IFERROR(INDEX(FILTER('製造效能'!V:V, '製造效能'!$A:$A=$C6, '製造效能'!$D:$D=$M6, '製造效能'!$E:$E=""攪料""), 1), INDEX(FILTER('製造效能'!V:V, '製造效能'!$B:$B=$D6, '製造效能'!$D:$D=$M6, '製造效能'!$E:$E=""攪料""), 1))"),"")</f>
        <v/>
      </c>
      <c r="AK6" s="35">
        <f>COUNTIF(充填效能!$A:$A, $C6)</f>
        <v>3</v>
      </c>
      <c r="AL6" s="36" t="str">
        <f ca="1">IFERROR(__xludf.DUMMYFUNCTION("IFERROR(INDEX(FILTER('充填效能'!$Q$2:$Q$1088, '充填效能'!$A$2:$A$1088=$C6, '充填效能'!$D$2:$D$1088=""排瓶""), 1), 0)"),"1600")</f>
        <v>1600</v>
      </c>
      <c r="AM6" s="36">
        <f ca="1">IFERROR(__xludf.DUMMYFUNCTION("IFERROR(INDEX(FILTER('充填效能'!$R$2:$R$1088, '充填效能'!$A$2:$A$1088=$C6, '充填效能'!$D$2:$D$1088=""排瓶""), 1), 0)"),1)</f>
        <v>1</v>
      </c>
      <c r="AN6" s="35">
        <f t="shared" ca="1" si="5"/>
        <v>6.25</v>
      </c>
      <c r="AO6" s="36" t="str">
        <f ca="1">IFERROR(__xludf.DUMMYFUNCTION("IFERROR(INDEX(FILTER('充填效能'!$Q$2:$Q$1088, '充填效能'!$A$2:$A$1088=$C6, '充填效能'!$D$2:$D$1088=""充填""), 1), 0)"),"1000")</f>
        <v>1000</v>
      </c>
      <c r="AP6" s="36">
        <f ca="1">IFERROR(__xludf.DUMMYFUNCTION("IFERROR(INDEX(FILTER('充填效能'!$R$2:$R$1088, '充填效能'!$A$2:$A$1088=$C6, '充填效能'!$D$2:$D$1088=""充填""), 1), 0)"),4)</f>
        <v>4</v>
      </c>
      <c r="AQ6" s="35">
        <f t="shared" ca="1" si="6"/>
        <v>10</v>
      </c>
      <c r="AR6" s="17">
        <f t="shared" ca="1" si="7"/>
        <v>40</v>
      </c>
    </row>
    <row r="7" spans="1:44" ht="15.75" customHeight="1">
      <c r="A7" s="9" t="s">
        <v>92</v>
      </c>
      <c r="B7" s="34">
        <f t="shared" si="0"/>
        <v>44994</v>
      </c>
      <c r="C7" s="9" t="s">
        <v>96</v>
      </c>
      <c r="D7" s="17" t="str">
        <f t="shared" si="1"/>
        <v>BY23F1</v>
      </c>
      <c r="E7" s="9" t="s">
        <v>97</v>
      </c>
      <c r="F7" s="9">
        <v>3000</v>
      </c>
      <c r="G7" s="10">
        <v>45071</v>
      </c>
      <c r="H7" s="10">
        <v>45012</v>
      </c>
      <c r="I7" s="10">
        <v>44994</v>
      </c>
      <c r="J7" s="10">
        <v>44977</v>
      </c>
      <c r="L7" s="17" t="str">
        <f ca="1">IFERROR(__xludf.DUMMYFUNCTION("TEXTJOIN("", "", TRUE, UNIQUE(FILTER('製造效能'!$D$2:$D$1732, '製造效能'!$B$2:$B$1732 = D7)))"),"精")</f>
        <v>精</v>
      </c>
      <c r="M7" s="17" t="str">
        <f ca="1">IFERROR(__xludf.DUMMYFUNCTION("INDEX(UNIQUE(FILTER('製造效能'!$D$2:$D$1732, ('製造效能'!$B$2:$B$1732 = D7) * ('製造效能'!$J$2:$J$1732 = MAXIFS('製造效能'!$J$2:$J$1732, '製造效能'!$B$2:$B$1732, D7)))), 1) 
"),"精")</f>
        <v>精</v>
      </c>
      <c r="N7" s="17" t="str">
        <f ca="1">IFERROR(__xludf.DUMMYFUNCTION("TEXTJOIN("", "", TRUE, UNIQUE(FILTER('製造效能'!$K$2:$K$1732, '製造效能'!$B$2:$B$1732 = D7)))"),"水項")</f>
        <v>水項</v>
      </c>
      <c r="O7" s="35">
        <f ca="1">IFERROR(__xludf.DUMMYFUNCTION("IFERROR(INDEX(FILTER('充填效能'!I$2:I$1088, '充填效能'!$A$2:$A$1088=$C7, '充填效能'!$D$2:$D$1088=""充填""), 1), 0)"),30.9)</f>
        <v>30.9</v>
      </c>
      <c r="P7" s="35" t="str">
        <f ca="1">IFERROR(__xludf.DUMMYFUNCTION("IFERROR(INDEX(FILTER('充填效能'!J$2:J$1088, '充填效能'!$A$2:$A$1088=$C7, '充填效能'!$D$2:$D$1088=""充填""), 1), 0)"),"")</f>
        <v/>
      </c>
      <c r="Q7" s="35" t="str">
        <f ca="1">IFERROR(__xludf.DUMMYFUNCTION("IFERROR(INDEX(FILTER('充填效能'!K$2:K$1088, '充填效能'!$A$2:$A$1088=$C7, '充填效能'!$D$2:$D$1088=""充填""), 1), 0)"),"")</f>
        <v/>
      </c>
      <c r="R7" s="35" t="str">
        <f ca="1">IFERROR(__xludf.DUMMYFUNCTION("IFERROR(INDEX(FILTER('充填效能'!L$2:L$1088, '充填效能'!$A$2:$A$1088=$C7, '充填效能'!$D$2:$D$1088=""充填""), 1), 0)"),"")</f>
        <v/>
      </c>
      <c r="S7" s="35">
        <f ca="1">COUNTIFS(製造效能!B:B, $D7,製造效能!D:D,M7)</f>
        <v>3</v>
      </c>
      <c r="T7" s="36">
        <f ca="1">IFERROR(__xludf.DUMMYFUNCTION("VALUE(REGEXEXTRACT(TO_TEXT(O7), ""\d*\.?\d+""))"),30.9)</f>
        <v>30.9</v>
      </c>
      <c r="U7" s="17">
        <f t="shared" ca="1" si="2"/>
        <v>94090.499999999985</v>
      </c>
      <c r="V7" s="17">
        <f ca="1">IFERROR(__xludf.DUMMYFUNCTION("IFERROR(INDEX(FILTER('製造效能'!J:J, '製造效能'!A:A=$C7, '製造效能'!D:D=M7, '製造效能'!E:E=""攪料""), 1), INDEX(FILTER('製造效能'!J:J, '製造效能'!B:B=$D7, '製造效能'!D:D=M7, '製造效能'!E:E=""攪料""), 1))"),96)</f>
        <v>96</v>
      </c>
      <c r="W7" s="36">
        <f ca="1">IFERROR(__xludf.DUMMYFUNCTION("IFERROR(INDEX(FILTER('製造效能'!G:G, '製造效能'!A:A=$C7, '製造效能'!D:D=M7, '製造效能'!E:E=""攪料""), 1), INDEX(FILTER('製造效能'!G:G, '製造效能'!B:B=$D7, '製造效能'!D:D=M7, '製造效能'!E:E=""攪料""), 1))"),55)</f>
        <v>55</v>
      </c>
      <c r="X7" s="35">
        <f t="shared" ca="1" si="3"/>
        <v>1</v>
      </c>
      <c r="Y7" s="35">
        <f t="shared" ca="1" si="4"/>
        <v>55</v>
      </c>
      <c r="Z7" s="35">
        <f ca="1">IFERROR(__xludf.DUMMYFUNCTION("IFERROR(IFERROR(INDEX(FILTER('製造效能'!G:G, '製造效能'!A:A=$C7, '製造效能'!D:D=M7, '製造效能'!E:E=""預攪""), 1), INDEX(FILTER('製造效能'!G:G, '製造效能'!B:B=$D7, '製造效能'!D:D=M7, '製造效能'!E:E=""預攪""), 1)), 0)"),50)</f>
        <v>50</v>
      </c>
      <c r="AA7" s="35">
        <f ca="1">IFERROR(__xludf.DUMMYFUNCTION("IFERROR(INDEX(FILTER('製造效能'!G:G, '製造效能'!A:A=$C7, '製造效能'!D:D=M7, '製造效能'!E:E=""清洗""), 1), INDEX(FILTER('製造效能'!G:G, '製造效能'!B:B=$D7, '製造效能'!D:D=M7, '製造效能'!E:E=""清洗""), 1))"),15)</f>
        <v>15</v>
      </c>
      <c r="AB7" s="35" t="str">
        <f ca="1">IFERROR(__xludf.DUMMYFUNCTION("IFERROR(INDEX(FILTER('製造效能'!N:N, '製造效能'!$A:$A=$C7, '製造效能'!$D:$D=$M7, '製造效能'!$E:$E=""攪料""), 1), INDEX(FILTER('製造效能'!N:N, '製造效能'!$B:$B=$D7, '製造效能'!$D:$D=$M7, '製造效能'!$E:$E=""攪料""), 1))"),"")</f>
        <v/>
      </c>
      <c r="AC7" s="35">
        <f ca="1">IFERROR(__xludf.DUMMYFUNCTION("IFERROR(INDEX(FILTER('製造效能'!O:O, '製造效能'!$A:$A=$C7, '製造效能'!$D:$D=$M7, '製造效能'!$E:$E=""攪料""), 1), INDEX(FILTER('製造效能'!O:O, '製造效能'!$B:$B=$D7, '製造效能'!$D:$D=$M7, '製造效能'!$E:$E=""攪料""), 1))"),1)</f>
        <v>1</v>
      </c>
      <c r="AD7" s="35" t="str">
        <f ca="1">IFERROR(__xludf.DUMMYFUNCTION("IFERROR(INDEX(FILTER('製造效能'!P:P, '製造效能'!$A:$A=$C7, '製造效能'!$D:$D=$M7, '製造效能'!$E:$E=""攪料""), 1), INDEX(FILTER('製造效能'!P:P, '製造效能'!$B:$B=$D7, '製造效能'!$D:$D=$M7, '製造效能'!$E:$E=""攪料""), 1))"),"")</f>
        <v/>
      </c>
      <c r="AE7" s="35" t="str">
        <f ca="1">IFERROR(__xludf.DUMMYFUNCTION("IFERROR(INDEX(FILTER('製造效能'!Q:Q, '製造效能'!$A:$A=$C7, '製造效能'!$D:$D=$M7, '製造效能'!$E:$E=""攪料""), 1), INDEX(FILTER('製造效能'!Q:Q, '製造效能'!$B:$B=$D7, '製造效能'!$D:$D=$M7, '製造效能'!$E:$E=""攪料""), 1))"),"")</f>
        <v/>
      </c>
      <c r="AF7" s="35" t="str">
        <f ca="1">IFERROR(__xludf.DUMMYFUNCTION("IFERROR(INDEX(FILTER('製造效能'!R:R, '製造效能'!$A:$A=$C7, '製造效能'!$D:$D=$M7, '製造效能'!$E:$E=""攪料""), 1), INDEX(FILTER('製造效能'!R:R, '製造效能'!$B:$B=$D7, '製造效能'!$D:$D=$M7, '製造效能'!$E:$E=""攪料""), 1))"),"")</f>
        <v/>
      </c>
      <c r="AG7" s="35" t="str">
        <f ca="1">IFERROR(__xludf.DUMMYFUNCTION("IFERROR(INDEX(FILTER('製造效能'!S:S, '製造效能'!$A:$A=$C7, '製造效能'!$D:$D=$M7, '製造效能'!$E:$E=""攪料""), 1), INDEX(FILTER('製造效能'!S:S, '製造效能'!$B:$B=$D7, '製造效能'!$D:$D=$M7, '製造效能'!$E:$E=""攪料""), 1))"),"")</f>
        <v/>
      </c>
      <c r="AH7" s="35" t="str">
        <f ca="1">IFERROR(__xludf.DUMMYFUNCTION("IFERROR(INDEX(FILTER('製造效能'!T:T, '製造效能'!$A:$A=$C7, '製造效能'!$D:$D=$M7, '製造效能'!$E:$E=""攪料""), 1), INDEX(FILTER('製造效能'!T:T, '製造效能'!$B:$B=$D7, '製造效能'!$D:$D=$M7, '製造效能'!$E:$E=""攪料""), 1))"),"")</f>
        <v/>
      </c>
      <c r="AI7" s="35" t="str">
        <f ca="1">IFERROR(__xludf.DUMMYFUNCTION("IFERROR(INDEX(FILTER('製造效能'!U:U, '製造效能'!$A:$A=$C7, '製造效能'!$D:$D=$M7, '製造效能'!$E:$E=""攪料""), 1), INDEX(FILTER('製造效能'!U:U, '製造效能'!$B:$B=$D7, '製造效能'!$D:$D=$M7, '製造效能'!$E:$E=""攪料""), 1))"),"")</f>
        <v/>
      </c>
      <c r="AJ7" s="35" t="str">
        <f ca="1">IFERROR(__xludf.DUMMYFUNCTION("IFERROR(INDEX(FILTER('製造效能'!V:V, '製造效能'!$A:$A=$C7, '製造效能'!$D:$D=$M7, '製造效能'!$E:$E=""攪料""), 1), INDEX(FILTER('製造效能'!V:V, '製造效能'!$B:$B=$D7, '製造效能'!$D:$D=$M7, '製造效能'!$E:$E=""攪料""), 1))"),"")</f>
        <v/>
      </c>
      <c r="AK7" s="35">
        <f>COUNTIF(充填效能!$A:$A, $C7)</f>
        <v>2</v>
      </c>
      <c r="AL7" s="36" t="str">
        <f ca="1">IFERROR(__xludf.DUMMYFUNCTION("IFERROR(INDEX(FILTER('充填效能'!$Q$2:$Q$1088, '充填效能'!$A$2:$A$1088=$C7, '充填效能'!$D$2:$D$1088=""排瓶""), 1), 0)"),"1500")</f>
        <v>1500</v>
      </c>
      <c r="AM7" s="36">
        <f ca="1">IFERROR(__xludf.DUMMYFUNCTION("IFERROR(INDEX(FILTER('充填效能'!$R$2:$R$1088, '充填效能'!$A$2:$A$1088=$C7, '充填效能'!$D$2:$D$1088=""排瓶""), 1), 0)"),1)</f>
        <v>1</v>
      </c>
      <c r="AN7" s="35">
        <f t="shared" ca="1" si="5"/>
        <v>2</v>
      </c>
      <c r="AO7" s="36" t="str">
        <f ca="1">IFERROR(__xludf.DUMMYFUNCTION("IFERROR(INDEX(FILTER('充填效能'!$Q$2:$Q$1088, '充填效能'!$A$2:$A$1088=$C7, '充填效能'!$D$2:$D$1088=""充填""), 1), 0)"),"1200")</f>
        <v>1200</v>
      </c>
      <c r="AP7" s="36">
        <f ca="1">IFERROR(__xludf.DUMMYFUNCTION("IFERROR(INDEX(FILTER('充填效能'!$R$2:$R$1088, '充填效能'!$A$2:$A$1088=$C7, '充填效能'!$D$2:$D$1088=""充填""), 1), 0)"),4)</f>
        <v>4</v>
      </c>
      <c r="AQ7" s="35">
        <f t="shared" ca="1" si="6"/>
        <v>2.5</v>
      </c>
      <c r="AR7" s="17">
        <f t="shared" ca="1" si="7"/>
        <v>10</v>
      </c>
    </row>
    <row r="8" spans="1:44" ht="15.75" customHeight="1">
      <c r="A8" s="9" t="s">
        <v>34</v>
      </c>
      <c r="B8" s="34">
        <f t="shared" si="0"/>
        <v>45001</v>
      </c>
      <c r="C8" s="9" t="s">
        <v>190</v>
      </c>
      <c r="D8" s="17" t="str">
        <f t="shared" si="1"/>
        <v>N1UVH7</v>
      </c>
      <c r="E8" s="9" t="s">
        <v>44</v>
      </c>
      <c r="F8" s="9">
        <v>20000</v>
      </c>
      <c r="G8" s="10">
        <v>45107</v>
      </c>
      <c r="H8" s="10">
        <v>45023</v>
      </c>
      <c r="I8" s="10">
        <v>44987</v>
      </c>
      <c r="J8" s="10">
        <v>44986</v>
      </c>
      <c r="L8" s="17" t="str">
        <f ca="1">IFERROR(__xludf.DUMMYFUNCTION("TEXTJOIN("", "", TRUE, UNIQUE(FILTER('製造效能'!$D$2:$D$1732, '製造效能'!$B$2:$B$1732 = D8)))"),"精")</f>
        <v>精</v>
      </c>
      <c r="M8" s="17" t="str">
        <f ca="1">IFERROR(__xludf.DUMMYFUNCTION("INDEX(UNIQUE(FILTER('製造效能'!$D$2:$D$1732, ('製造效能'!$B$2:$B$1732 = D8) * ('製造效能'!$J$2:$J$1732 = MAXIFS('製造效能'!$J$2:$J$1732, '製造效能'!$B$2:$B$1732, D8)))), 1) 
"),"精")</f>
        <v>精</v>
      </c>
      <c r="N8" s="17" t="str">
        <f ca="1">IFERROR(__xludf.DUMMYFUNCTION("TEXTJOIN("", "", TRUE, UNIQUE(FILTER('製造效能'!$K$2:$K$1732, '製造效能'!$B$2:$B$1732 = D8)))"),"乳項")</f>
        <v>乳項</v>
      </c>
      <c r="P8" s="35" t="str">
        <f ca="1">IFERROR(__xludf.DUMMYFUNCTION("IFERROR(INDEX(FILTER('充填效能'!J$2:J$1088, '充填效能'!$A$2:$A$1088=$C8, '充填效能'!$D$2:$D$1088=""充填""), 1), 0)"),"")</f>
        <v/>
      </c>
      <c r="Q8" s="35" t="str">
        <f ca="1">IFERROR(__xludf.DUMMYFUNCTION("IFERROR(INDEX(FILTER('充填效能'!K$2:K$1088, '充填效能'!$A$2:$A$1088=$C8, '充填效能'!$D$2:$D$1088=""充填""), 1), 0)"),"")</f>
        <v/>
      </c>
      <c r="R8" s="35">
        <f ca="1">IFERROR(__xludf.DUMMYFUNCTION("IFERROR(INDEX(FILTER('充填效能'!I$2:I$1088, '充填效能'!$A$2:$A$1088=$C8, '充填效能'!$D$2:$D$1088=""充填""), 1), 0)"),50)</f>
        <v>50</v>
      </c>
      <c r="S8" s="35">
        <f ca="1">COUNTIFS(製造效能!B:B, $D8,製造效能!D:D,M8)</f>
        <v>3</v>
      </c>
      <c r="T8" s="36">
        <f ca="1">IFERROR(__xludf.DUMMYFUNCTION("VALUE(REGEXEXTRACT(TO_TEXT(R8), ""\d*\.?\d+""))"),50)</f>
        <v>50</v>
      </c>
      <c r="U8" s="17">
        <f t="shared" ca="1" si="2"/>
        <v>1014999.9999999999</v>
      </c>
      <c r="V8" s="17">
        <f ca="1">IFERROR(__xludf.DUMMYFUNCTION("IFERROR(INDEX(FILTER('製造效能'!J:J, '製造效能'!A:A=$C8, '製造效能'!D:D=M8, '製造效能'!E:E=""攪料""), 1), INDEX(FILTER('製造效能'!J:J, '製造效能'!B:B=$D8, '製造效能'!D:D=M8, '製造效能'!E:E=""攪料""), 1))"),70)</f>
        <v>70</v>
      </c>
      <c r="W8" s="36">
        <f ca="1">IFERROR(__xludf.DUMMYFUNCTION("IFERROR(INDEX(FILTER('製造效能'!G:G, '製造效能'!A:A=$C8, '製造效能'!D:D=M8, '製造效能'!E:E=""攪料""), 1), INDEX(FILTER('製造效能'!G:G, '製造效能'!B:B=$D8, '製造效能'!D:D=M8, '製造效能'!E:E=""攪料""), 1))"),125)</f>
        <v>125</v>
      </c>
      <c r="X8" s="35">
        <f t="shared" ca="1" si="3"/>
        <v>15</v>
      </c>
      <c r="Y8" s="35">
        <f t="shared" ca="1" si="4"/>
        <v>1875</v>
      </c>
      <c r="Z8" s="35">
        <f ca="1">IFERROR(__xludf.DUMMYFUNCTION("IFERROR(IFERROR(INDEX(FILTER('製造效能'!G:G, '製造效能'!A:A=$C8, '製造效能'!D:D=M8, '製造效能'!E:E=""預攪""), 1), INDEX(FILTER('製造效能'!G:G, '製造效能'!B:B=$D8, '製造效能'!D:D=M8, '製造效能'!E:E=""預攪""), 1)), 0)"),35)</f>
        <v>35</v>
      </c>
      <c r="AA8" s="35">
        <f ca="1">IFERROR(__xludf.DUMMYFUNCTION("IFERROR(INDEX(FILTER('製造效能'!G:G, '製造效能'!A:A=$C8, '製造效能'!D:D=M8, '製造效能'!E:E=""清洗""), 1), INDEX(FILTER('製造效能'!G:G, '製造效能'!B:B=$D8, '製造效能'!D:D=M8, '製造效能'!E:E=""清洗""), 1))"),15)</f>
        <v>15</v>
      </c>
      <c r="AB8" s="35" t="str">
        <f ca="1">IFERROR(__xludf.DUMMYFUNCTION("IFERROR(INDEX(FILTER('製造效能'!N:N, '製造效能'!$A:$A=$C8, '製造效能'!$D:$D=$M8, '製造效能'!$E:$E=""攪料""), 1), INDEX(FILTER('製造效能'!N:N, '製造效能'!$B:$B=$D8, '製造效能'!$D:$D=$M8, '製造效能'!$E:$E=""攪料""), 1))"),"")</f>
        <v/>
      </c>
      <c r="AC8" s="35">
        <f ca="1">IFERROR(__xludf.DUMMYFUNCTION("IFERROR(INDEX(FILTER('製造效能'!O:O, '製造效能'!$A:$A=$C8, '製造效能'!$D:$D=$M8, '製造效能'!$E:$E=""攪料""), 1), INDEX(FILTER('製造效能'!O:O, '製造效能'!$B:$B=$D8, '製造效能'!$D:$D=$M8, '製造效能'!$E:$E=""攪料""), 1))"),1)</f>
        <v>1</v>
      </c>
      <c r="AD8" s="35" t="str">
        <f ca="1">IFERROR(__xludf.DUMMYFUNCTION("IFERROR(INDEX(FILTER('製造效能'!P:P, '製造效能'!$A:$A=$C8, '製造效能'!$D:$D=$M8, '製造效能'!$E:$E=""攪料""), 1), INDEX(FILTER('製造效能'!P:P, '製造效能'!$B:$B=$D8, '製造效能'!$D:$D=$M8, '製造效能'!$E:$E=""攪料""), 1))"),"")</f>
        <v/>
      </c>
      <c r="AE8" s="35" t="str">
        <f ca="1">IFERROR(__xludf.DUMMYFUNCTION("IFERROR(INDEX(FILTER('製造效能'!Q:Q, '製造效能'!$A:$A=$C8, '製造效能'!$D:$D=$M8, '製造效能'!$E:$E=""攪料""), 1), INDEX(FILTER('製造效能'!Q:Q, '製造效能'!$B:$B=$D8, '製造效能'!$D:$D=$M8, '製造效能'!$E:$E=""攪料""), 1))"),"")</f>
        <v/>
      </c>
      <c r="AF8" s="35" t="str">
        <f ca="1">IFERROR(__xludf.DUMMYFUNCTION("IFERROR(INDEX(FILTER('製造效能'!R:R, '製造效能'!$A:$A=$C8, '製造效能'!$D:$D=$M8, '製造效能'!$E:$E=""攪料""), 1), INDEX(FILTER('製造效能'!R:R, '製造效能'!$B:$B=$D8, '製造效能'!$D:$D=$M8, '製造效能'!$E:$E=""攪料""), 1))"),"")</f>
        <v/>
      </c>
      <c r="AG8" s="35" t="str">
        <f ca="1">IFERROR(__xludf.DUMMYFUNCTION("IFERROR(INDEX(FILTER('製造效能'!S:S, '製造效能'!$A:$A=$C8, '製造效能'!$D:$D=$M8, '製造效能'!$E:$E=""攪料""), 1), INDEX(FILTER('製造效能'!S:S, '製造效能'!$B:$B=$D8, '製造效能'!$D:$D=$M8, '製造效能'!$E:$E=""攪料""), 1))"),"")</f>
        <v/>
      </c>
      <c r="AH8" s="35" t="str">
        <f ca="1">IFERROR(__xludf.DUMMYFUNCTION("IFERROR(INDEX(FILTER('製造效能'!T:T, '製造效能'!$A:$A=$C8, '製造效能'!$D:$D=$M8, '製造效能'!$E:$E=""攪料""), 1), INDEX(FILTER('製造效能'!T:T, '製造效能'!$B:$B=$D8, '製造效能'!$D:$D=$M8, '製造效能'!$E:$E=""攪料""), 1))"),"")</f>
        <v/>
      </c>
      <c r="AI8" s="35" t="str">
        <f ca="1">IFERROR(__xludf.DUMMYFUNCTION("IFERROR(INDEX(FILTER('製造效能'!U:U, '製造效能'!$A:$A=$C8, '製造效能'!$D:$D=$M8, '製造效能'!$E:$E=""攪料""), 1), INDEX(FILTER('製造效能'!U:U, '製造效能'!$B:$B=$D8, '製造效能'!$D:$D=$M8, '製造效能'!$E:$E=""攪料""), 1))"),"")</f>
        <v/>
      </c>
      <c r="AJ8" s="35" t="str">
        <f ca="1">IFERROR(__xludf.DUMMYFUNCTION("IFERROR(INDEX(FILTER('製造效能'!V:V, '製造效能'!$A:$A=$C8, '製造效能'!$D:$D=$M8, '製造效能'!$E:$E=""攪料""), 1), INDEX(FILTER('製造效能'!V:V, '製造效能'!$B:$B=$D8, '製造效能'!$D:$D=$M8, '製造效能'!$E:$E=""攪料""), 1))"),"")</f>
        <v/>
      </c>
      <c r="AK8" s="35">
        <f>COUNTIF(充填效能!$A:$A, $C8)</f>
        <v>1</v>
      </c>
      <c r="AL8" s="36">
        <f ca="1">IFERROR(__xludf.DUMMYFUNCTION("IFERROR(INDEX(FILTER('充填效能'!$Q$2:$Q$1088, '充填效能'!$A$2:$A$1088=$C8, '充填效能'!$D$2:$D$1088=""排瓶""), 1), 0)"),0)</f>
        <v>0</v>
      </c>
      <c r="AM8" s="36">
        <f ca="1">IFERROR(__xludf.DUMMYFUNCTION("IFERROR(INDEX(FILTER('充填效能'!$R$2:$R$1088, '充填效能'!$A$2:$A$1088=$C8, '充填效能'!$D$2:$D$1088=""排瓶""), 1), 0)"),0)</f>
        <v>0</v>
      </c>
      <c r="AN8" s="35">
        <f t="shared" ca="1" si="5"/>
        <v>0</v>
      </c>
      <c r="AO8" s="36" t="str">
        <f ca="1">IFERROR(__xludf.DUMMYFUNCTION("IFERROR(INDEX(FILTER('充填效能'!$Q$2:$Q$1088, '充填效能'!$A$2:$A$1088=$C8, '充填效能'!$D$2:$D$1088=""充填""), 1), 0)"),"800")</f>
        <v>800</v>
      </c>
      <c r="AP8" s="36">
        <f ca="1">IFERROR(__xludf.DUMMYFUNCTION("IFERROR(INDEX(FILTER('充填效能'!$R$2:$R$1088, '充填效能'!$A$2:$A$1088=$C8, '充填效能'!$D$2:$D$1088=""充填""), 1), 0)"),4)</f>
        <v>4</v>
      </c>
      <c r="AQ8" s="35">
        <f t="shared" ca="1" si="6"/>
        <v>25</v>
      </c>
      <c r="AR8" s="17">
        <f t="shared" ca="1" si="7"/>
        <v>100</v>
      </c>
    </row>
    <row r="9" spans="1:44" ht="15.75" customHeight="1">
      <c r="A9" s="9" t="s">
        <v>406</v>
      </c>
      <c r="B9" s="34">
        <f t="shared" si="0"/>
        <v>44959</v>
      </c>
      <c r="C9" s="9" t="s">
        <v>46</v>
      </c>
      <c r="D9" s="17" t="str">
        <f t="shared" si="1"/>
        <v>N1CAE2</v>
      </c>
      <c r="E9" s="9" t="s">
        <v>47</v>
      </c>
      <c r="F9" s="9">
        <v>3783</v>
      </c>
      <c r="G9" s="10">
        <v>45061</v>
      </c>
      <c r="H9" s="10">
        <v>45026</v>
      </c>
      <c r="I9" s="10">
        <v>44959</v>
      </c>
      <c r="J9" s="10">
        <v>44974</v>
      </c>
      <c r="L9" s="17" t="str">
        <f ca="1">IFERROR(__xludf.DUMMYFUNCTION("TEXTJOIN("", "", TRUE, UNIQUE(FILTER('製造效能'!$D$2:$D$1732, '製造效能'!$B$2:$B$1732 = D9)))"),"小乳")</f>
        <v>小乳</v>
      </c>
      <c r="M9" s="17" t="str">
        <f ca="1">IFERROR(__xludf.DUMMYFUNCTION("INDEX(UNIQUE(FILTER('製造效能'!$D$2:$D$1732, ('製造效能'!$B$2:$B$1732 = D9) * ('製造效能'!$J$2:$J$1732 = MAXIFS('製造效能'!$J$2:$J$1732, '製造效能'!$B$2:$B$1732, D9)))), 1) 
"),"小乳")</f>
        <v>小乳</v>
      </c>
      <c r="N9" s="17" t="str">
        <f ca="1">IFERROR(__xludf.DUMMYFUNCTION("TEXTJOIN("", "", TRUE, UNIQUE(FILTER('製造效能'!$K$2:$K$1732, '製造效能'!$B$2:$B$1732 = D9)))"),"乳項")</f>
        <v>乳項</v>
      </c>
      <c r="P9" s="35" t="str">
        <f ca="1">IFERROR(__xludf.DUMMYFUNCTION("IFERROR(INDEX(FILTER('充填效能'!J$2:J$1088, '充填效能'!$A$2:$A$1088=$C9, '充填效能'!$D$2:$D$1088=""充填""), 1), 0)"),"")</f>
        <v/>
      </c>
      <c r="Q9" s="35" t="str">
        <f ca="1">IFERROR(__xludf.DUMMYFUNCTION("IFERROR(INDEX(FILTER('充填效能'!K$2:K$1088, '充填效能'!$A$2:$A$1088=$C9, '充填效能'!$D$2:$D$1088=""充填""), 1), 0)"),"")</f>
        <v/>
      </c>
      <c r="R9" s="35">
        <f ca="1">IFERROR(__xludf.DUMMYFUNCTION("IFERROR(INDEX(FILTER('充填效能'!I$2:I$1088, '充填效能'!$A$2:$A$1088=$C9, '充填效能'!$D$2:$D$1088=""充填""), 1), 0)"),42.5)</f>
        <v>42.5</v>
      </c>
      <c r="S9" s="35">
        <f ca="1">COUNTIFS(製造效能!B:B, $D9,製造效能!D:D,M9)</f>
        <v>3</v>
      </c>
      <c r="T9" s="36">
        <f ca="1">IFERROR(__xludf.DUMMYFUNCTION("VALUE(REGEXEXTRACT(TO_TEXT(R9), ""\d*\.?\d+""))"),42.5)</f>
        <v>42.5</v>
      </c>
      <c r="U9" s="17">
        <f t="shared" ca="1" si="2"/>
        <v>163189.16249999998</v>
      </c>
      <c r="V9" s="17">
        <f ca="1">IFERROR(__xludf.DUMMYFUNCTION("IFERROR(INDEX(FILTER('製造效能'!J:J, '製造效能'!A:A=$C9, '製造效能'!D:D=M9, '製造效能'!E:E=""攪料""), 1), INDEX(FILTER('製造效能'!J:J, '製造效能'!B:B=$D9, '製造效能'!D:D=M9, '製造效能'!E:E=""攪料""), 1))"),52)</f>
        <v>52</v>
      </c>
      <c r="W9" s="36">
        <f ca="1">IFERROR(__xludf.DUMMYFUNCTION("IFERROR(INDEX(FILTER('製造效能'!G:G, '製造效能'!A:A=$C9, '製造效能'!D:D=M9, '製造效能'!E:E=""攪料""), 1), INDEX(FILTER('製造效能'!G:G, '製造效能'!B:B=$D9, '製造效能'!D:D=M9, '製造效能'!E:E=""攪料""), 1))"),140)</f>
        <v>140</v>
      </c>
      <c r="X9" s="35">
        <f t="shared" ca="1" si="3"/>
        <v>4</v>
      </c>
      <c r="Y9" s="35">
        <f t="shared" ca="1" si="4"/>
        <v>560</v>
      </c>
      <c r="Z9" s="35">
        <f ca="1">IFERROR(__xludf.DUMMYFUNCTION("IFERROR(IFERROR(INDEX(FILTER('製造效能'!G:G, '製造效能'!A:A=$C9, '製造效能'!D:D=M9, '製造效能'!E:E=""預攪""), 1), INDEX(FILTER('製造效能'!G:G, '製造效能'!B:B=$D9, '製造效能'!D:D=M9, '製造效能'!E:E=""預攪""), 1)), 0)"),40)</f>
        <v>40</v>
      </c>
      <c r="AA9" s="35">
        <f ca="1">IFERROR(__xludf.DUMMYFUNCTION("IFERROR(INDEX(FILTER('製造效能'!G:G, '製造效能'!A:A=$C9, '製造效能'!D:D=M9, '製造效能'!E:E=""清洗""), 1), INDEX(FILTER('製造效能'!G:G, '製造效能'!B:B=$D9, '製造效能'!D:D=M9, '製造效能'!E:E=""清洗""), 1))"),60)</f>
        <v>60</v>
      </c>
      <c r="AB9" s="35" t="str">
        <f ca="1">IFERROR(__xludf.DUMMYFUNCTION("IFERROR(INDEX(FILTER('製造效能'!N:N, '製造效能'!$A:$A=$C9, '製造效能'!$D:$D=$M9, '製造效能'!$E:$E=""攪料""), 1), INDEX(FILTER('製造效能'!N:N, '製造效能'!$B:$B=$D9, '製造效能'!$D:$D=$M9, '製造效能'!$E:$E=""攪料""), 1))"),"")</f>
        <v/>
      </c>
      <c r="AC9" s="35" t="str">
        <f ca="1">IFERROR(__xludf.DUMMYFUNCTION("IFERROR(INDEX(FILTER('製造效能'!O:O, '製造效能'!$A:$A=$C9, '製造效能'!$D:$D=$M9, '製造效能'!$E:$E=""攪料""), 1), INDEX(FILTER('製造效能'!O:O, '製造效能'!$B:$B=$D9, '製造效能'!$D:$D=$M9, '製造效能'!$E:$E=""攪料""), 1))"),"")</f>
        <v/>
      </c>
      <c r="AD9" s="35">
        <f ca="1">IFERROR(__xludf.DUMMYFUNCTION("IFERROR(INDEX(FILTER('製造效能'!P:P, '製造效能'!$A:$A=$C9, '製造效能'!$D:$D=$M9, '製造效能'!$E:$E=""攪料""), 1), INDEX(FILTER('製造效能'!P:P, '製造效能'!$B:$B=$D9, '製造效能'!$D:$D=$M9, '製造效能'!$E:$E=""攪料""), 1))"),1)</f>
        <v>1</v>
      </c>
      <c r="AE9" s="35" t="str">
        <f ca="1">IFERROR(__xludf.DUMMYFUNCTION("IFERROR(INDEX(FILTER('製造效能'!Q:Q, '製造效能'!$A:$A=$C9, '製造效能'!$D:$D=$M9, '製造效能'!$E:$E=""攪料""), 1), INDEX(FILTER('製造效能'!Q:Q, '製造效能'!$B:$B=$D9, '製造效能'!$D:$D=$M9, '製造效能'!$E:$E=""攪料""), 1))"),"")</f>
        <v/>
      </c>
      <c r="AF9" s="35" t="str">
        <f ca="1">IFERROR(__xludf.DUMMYFUNCTION("IFERROR(INDEX(FILTER('製造效能'!R:R, '製造效能'!$A:$A=$C9, '製造效能'!$D:$D=$M9, '製造效能'!$E:$E=""攪料""), 1), INDEX(FILTER('製造效能'!R:R, '製造效能'!$B:$B=$D9, '製造效能'!$D:$D=$M9, '製造效能'!$E:$E=""攪料""), 1))"),"")</f>
        <v/>
      </c>
      <c r="AG9" s="35" t="str">
        <f ca="1">IFERROR(__xludf.DUMMYFUNCTION("IFERROR(INDEX(FILTER('製造效能'!S:S, '製造效能'!$A:$A=$C9, '製造效能'!$D:$D=$M9, '製造效能'!$E:$E=""攪料""), 1), INDEX(FILTER('製造效能'!S:S, '製造效能'!$B:$B=$D9, '製造效能'!$D:$D=$M9, '製造效能'!$E:$E=""攪料""), 1))"),"")</f>
        <v/>
      </c>
      <c r="AH9" s="35" t="str">
        <f ca="1">IFERROR(__xludf.DUMMYFUNCTION("IFERROR(INDEX(FILTER('製造效能'!T:T, '製造效能'!$A:$A=$C9, '製造效能'!$D:$D=$M9, '製造效能'!$E:$E=""攪料""), 1), INDEX(FILTER('製造效能'!T:T, '製造效能'!$B:$B=$D9, '製造效能'!$D:$D=$M9, '製造效能'!$E:$E=""攪料""), 1))"),"")</f>
        <v/>
      </c>
      <c r="AI9" s="35" t="str">
        <f ca="1">IFERROR(__xludf.DUMMYFUNCTION("IFERROR(INDEX(FILTER('製造效能'!U:U, '製造效能'!$A:$A=$C9, '製造效能'!$D:$D=$M9, '製造效能'!$E:$E=""攪料""), 1), INDEX(FILTER('製造效能'!U:U, '製造效能'!$B:$B=$D9, '製造效能'!$D:$D=$M9, '製造效能'!$E:$E=""攪料""), 1))"),"")</f>
        <v/>
      </c>
      <c r="AJ9" s="35" t="str">
        <f ca="1">IFERROR(__xludf.DUMMYFUNCTION("IFERROR(INDEX(FILTER('製造效能'!V:V, '製造效能'!$A:$A=$C9, '製造效能'!$D:$D=$M9, '製造效能'!$E:$E=""攪料""), 1), INDEX(FILTER('製造效能'!V:V, '製造效能'!$B:$B=$D9, '製造效能'!$D:$D=$M9, '製造效能'!$E:$E=""攪料""), 1))"),"")</f>
        <v/>
      </c>
      <c r="AK9" s="35">
        <f>COUNTIF(充填效能!$A:$A, $C9)</f>
        <v>1</v>
      </c>
      <c r="AL9" s="36">
        <f ca="1">IFERROR(__xludf.DUMMYFUNCTION("IFERROR(INDEX(FILTER('充填效能'!$Q$2:$Q$1088, '充填效能'!$A$2:$A$1088=$C9, '充填效能'!$D$2:$D$1088=""排瓶""), 1), 0)"),0)</f>
        <v>0</v>
      </c>
      <c r="AM9" s="36">
        <f ca="1">IFERROR(__xludf.DUMMYFUNCTION("IFERROR(INDEX(FILTER('充填效能'!$R$2:$R$1088, '充填效能'!$A$2:$A$1088=$C9, '充填效能'!$D$2:$D$1088=""排瓶""), 1), 0)"),0)</f>
        <v>0</v>
      </c>
      <c r="AN9" s="35">
        <f t="shared" ca="1" si="5"/>
        <v>0</v>
      </c>
      <c r="AO9" s="36">
        <f ca="1">IFERROR(__xludf.DUMMYFUNCTION("IFERROR(INDEX(FILTER('充填效能'!$Q$2:$Q$1088, '充填效能'!$A$2:$A$1088=$C9, '充填效能'!$D$2:$D$1088=""充填""), 1), 0)"),420)</f>
        <v>420</v>
      </c>
      <c r="AP9" s="36">
        <f ca="1">IFERROR(__xludf.DUMMYFUNCTION("IFERROR(INDEX(FILTER('充填效能'!$R$2:$R$1088, '充填效能'!$A$2:$A$1088=$C9, '充填效能'!$D$2:$D$1088=""充填""), 1), 0)"),3)</f>
        <v>3</v>
      </c>
      <c r="AQ9" s="35">
        <f t="shared" ca="1" si="6"/>
        <v>9.007142857142858</v>
      </c>
      <c r="AR9" s="17">
        <f t="shared" ca="1" si="7"/>
        <v>27.021428571428572</v>
      </c>
    </row>
    <row r="10" spans="1:44" ht="15.75" customHeight="1">
      <c r="A10" s="9" t="s">
        <v>52</v>
      </c>
      <c r="B10" s="34">
        <f t="shared" si="0"/>
        <v>44973</v>
      </c>
      <c r="C10" s="9" t="s">
        <v>145</v>
      </c>
      <c r="D10" s="17" t="str">
        <f t="shared" si="1"/>
        <v>N1YLF2</v>
      </c>
      <c r="E10" s="9" t="s">
        <v>146</v>
      </c>
      <c r="F10" s="9">
        <v>11921</v>
      </c>
      <c r="G10" s="10">
        <v>45082</v>
      </c>
      <c r="H10" s="10">
        <v>45028</v>
      </c>
      <c r="I10" s="10">
        <v>44987</v>
      </c>
      <c r="J10" s="10">
        <v>45023</v>
      </c>
      <c r="L10" s="17" t="str">
        <f ca="1">IFERROR(__xludf.DUMMYFUNCTION("TEXTJOIN("", "", TRUE, UNIQUE(FILTER('製造效能'!$D$2:$D$1732, '製造效能'!$B$2:$B$1732 = D10)))"),"小乳, 大乳")</f>
        <v>小乳, 大乳</v>
      </c>
      <c r="M10" s="17" t="str">
        <f ca="1">IFERROR(__xludf.DUMMYFUNCTION("INDEX(UNIQUE(FILTER('製造效能'!$D$2:$D$1732, ('製造效能'!$B$2:$B$1732 = D10) * ('製造效能'!$J$2:$J$1732 = MAXIFS('製造效能'!$J$2:$J$1732, '製造效能'!$B$2:$B$1732, D10)))), 1) 
"),"大乳")</f>
        <v>大乳</v>
      </c>
      <c r="N10" s="17" t="str">
        <f ca="1">IFERROR(__xludf.DUMMYFUNCTION("TEXTJOIN("", "", TRUE, UNIQUE(FILTER('製造效能'!$K$2:$K$1732, '製造效能'!$B$2:$B$1732 = D10)))"),"乳項")</f>
        <v>乳項</v>
      </c>
      <c r="P10" s="35" t="str">
        <f ca="1">IFERROR(__xludf.DUMMYFUNCTION("IFERROR(INDEX(FILTER('充填效能'!J$2:J$1088, '充填效能'!$A$2:$A$1088=$C10, '充填效能'!$D$2:$D$1088=""充填""), 1), 0)"),"")</f>
        <v/>
      </c>
      <c r="Q10" s="35" t="str">
        <f ca="1">IFERROR(__xludf.DUMMYFUNCTION("IFERROR(INDEX(FILTER('充填效能'!K$2:K$1088, '充填效能'!$A$2:$A$1088=$C10, '充填效能'!$D$2:$D$1088=""充填""), 1), 0)"),"")</f>
        <v/>
      </c>
      <c r="R10" s="35">
        <f ca="1">IFERROR(__xludf.DUMMYFUNCTION("IFERROR(INDEX(FILTER('充填效能'!I$2:I$1088, '充填效能'!$A$2:$A$1088=$C10, '充填效能'!$D$2:$D$1088=""充填""), 1), 0)"),40)</f>
        <v>40</v>
      </c>
      <c r="S10" s="35">
        <f ca="1">COUNTIFS(製造效能!B:B, $D10,製造效能!D:D,M10)</f>
        <v>3</v>
      </c>
      <c r="T10" s="36">
        <f ca="1">IFERROR(__xludf.DUMMYFUNCTION("VALUE(REGEXEXTRACT(TO_TEXT(R10), ""\d*\.?\d+""))"),40)</f>
        <v>40</v>
      </c>
      <c r="U10" s="17">
        <f t="shared" ca="1" si="2"/>
        <v>483992.6</v>
      </c>
      <c r="V10" s="17">
        <f ca="1">IFERROR(__xludf.DUMMYFUNCTION("IFERROR(INDEX(FILTER('製造效能'!J:J, '製造效能'!A:A=$C10, '製造效能'!D:D=M10, '製造效能'!E:E=""攪料""), 1), INDEX(FILTER('製造效能'!J:J, '製造效能'!B:B=$D10, '製造效能'!D:D=M10, '製造效能'!E:E=""攪料""), 1))"),103)</f>
        <v>103</v>
      </c>
      <c r="W10" s="36">
        <f ca="1">IFERROR(__xludf.DUMMYFUNCTION("IFERROR(INDEX(FILTER('製造效能'!G:G, '製造效能'!A:A=$C10, '製造效能'!D:D=M10, '製造效能'!E:E=""攪料""), 1), INDEX(FILTER('製造效能'!G:G, '製造效能'!B:B=$D10, '製造效能'!D:D=M10, '製造效能'!E:E=""攪料""), 1))"),180)</f>
        <v>180</v>
      </c>
      <c r="X10" s="35">
        <f t="shared" ca="1" si="3"/>
        <v>5</v>
      </c>
      <c r="Y10" s="35">
        <f t="shared" ca="1" si="4"/>
        <v>900</v>
      </c>
      <c r="Z10" s="35">
        <f ca="1">IFERROR(__xludf.DUMMYFUNCTION("IFERROR(IFERROR(INDEX(FILTER('製造效能'!G:G, '製造效能'!A:A=$C10, '製造效能'!D:D=M10, '製造效能'!E:E=""預攪""), 1), INDEX(FILTER('製造效能'!G:G, '製造效能'!B:B=$D10, '製造效能'!D:D=M10, '製造效能'!E:E=""預攪""), 1)), 0)"),30)</f>
        <v>30</v>
      </c>
      <c r="AA10" s="35">
        <f ca="1">IFERROR(__xludf.DUMMYFUNCTION("IFERROR(INDEX(FILTER('製造效能'!G:G, '製造效能'!A:A=$C10, '製造效能'!D:D=M10, '製造效能'!E:E=""清洗""), 1), INDEX(FILTER('製造效能'!G:G, '製造效能'!B:B=$D10, '製造效能'!D:D=M10, '製造效能'!E:E=""清洗""), 1))"),40)</f>
        <v>40</v>
      </c>
      <c r="AB10" s="35" t="str">
        <f ca="1">IFERROR(__xludf.DUMMYFUNCTION("IFERROR(INDEX(FILTER('製造效能'!N:N, '製造效能'!$A:$A=$C10, '製造效能'!$D:$D=$M10, '製造效能'!$E:$E=""攪料""), 1), INDEX(FILTER('製造效能'!N:N, '製造效能'!$B:$B=$D10, '製造效能'!$D:$D=$M10, '製造效能'!$E:$E=""攪料""), 1))"),"")</f>
        <v/>
      </c>
      <c r="AC10" s="35" t="str">
        <f ca="1">IFERROR(__xludf.DUMMYFUNCTION("IFERROR(INDEX(FILTER('製造效能'!O:O, '製造效能'!$A:$A=$C10, '製造效能'!$D:$D=$M10, '製造效能'!$E:$E=""攪料""), 1), INDEX(FILTER('製造效能'!O:O, '製造效能'!$B:$B=$D10, '製造效能'!$D:$D=$M10, '製造效能'!$E:$E=""攪料""), 1))"),"")</f>
        <v/>
      </c>
      <c r="AD10" s="35" t="str">
        <f ca="1">IFERROR(__xludf.DUMMYFUNCTION("IFERROR(INDEX(FILTER('製造效能'!P:P, '製造效能'!$A:$A=$C10, '製造效能'!$D:$D=$M10, '製造效能'!$E:$E=""攪料""), 1), INDEX(FILTER('製造效能'!P:P, '製造效能'!$B:$B=$D10, '製造效能'!$D:$D=$M10, '製造效能'!$E:$E=""攪料""), 1))"),"")</f>
        <v/>
      </c>
      <c r="AE10" s="35">
        <f ca="1">IFERROR(__xludf.DUMMYFUNCTION("IFERROR(INDEX(FILTER('製造效能'!Q:Q, '製造效能'!$A:$A=$C10, '製造效能'!$D:$D=$M10, '製造效能'!$E:$E=""攪料""), 1), INDEX(FILTER('製造效能'!Q:Q, '製造效能'!$B:$B=$D10, '製造效能'!$D:$D=$M10, '製造效能'!$E:$E=""攪料""), 1))"),1)</f>
        <v>1</v>
      </c>
      <c r="AF10" s="35" t="str">
        <f ca="1">IFERROR(__xludf.DUMMYFUNCTION("IFERROR(INDEX(FILTER('製造效能'!R:R, '製造效能'!$A:$A=$C10, '製造效能'!$D:$D=$M10, '製造效能'!$E:$E=""攪料""), 1), INDEX(FILTER('製造效能'!R:R, '製造效能'!$B:$B=$D10, '製造效能'!$D:$D=$M10, '製造效能'!$E:$E=""攪料""), 1))"),"")</f>
        <v/>
      </c>
      <c r="AG10" s="35" t="str">
        <f ca="1">IFERROR(__xludf.DUMMYFUNCTION("IFERROR(INDEX(FILTER('製造效能'!S:S, '製造效能'!$A:$A=$C10, '製造效能'!$D:$D=$M10, '製造效能'!$E:$E=""攪料""), 1), INDEX(FILTER('製造效能'!S:S, '製造效能'!$B:$B=$D10, '製造效能'!$D:$D=$M10, '製造效能'!$E:$E=""攪料""), 1))"),"")</f>
        <v/>
      </c>
      <c r="AH10" s="35" t="str">
        <f ca="1">IFERROR(__xludf.DUMMYFUNCTION("IFERROR(INDEX(FILTER('製造效能'!T:T, '製造效能'!$A:$A=$C10, '製造效能'!$D:$D=$M10, '製造效能'!$E:$E=""攪料""), 1), INDEX(FILTER('製造效能'!T:T, '製造效能'!$B:$B=$D10, '製造效能'!$D:$D=$M10, '製造效能'!$E:$E=""攪料""), 1))"),"")</f>
        <v/>
      </c>
      <c r="AI10" s="35" t="str">
        <f ca="1">IFERROR(__xludf.DUMMYFUNCTION("IFERROR(INDEX(FILTER('製造效能'!U:U, '製造效能'!$A:$A=$C10, '製造效能'!$D:$D=$M10, '製造效能'!$E:$E=""攪料""), 1), INDEX(FILTER('製造效能'!U:U, '製造效能'!$B:$B=$D10, '製造效能'!$D:$D=$M10, '製造效能'!$E:$E=""攪料""), 1))"),"")</f>
        <v/>
      </c>
      <c r="AJ10" s="35" t="str">
        <f ca="1">IFERROR(__xludf.DUMMYFUNCTION("IFERROR(INDEX(FILTER('製造效能'!V:V, '製造效能'!$A:$A=$C10, '製造效能'!$D:$D=$M10, '製造效能'!$E:$E=""攪料""), 1), INDEX(FILTER('製造效能'!V:V, '製造效能'!$B:$B=$D10, '製造效能'!$D:$D=$M10, '製造效能'!$E:$E=""攪料""), 1))"),"")</f>
        <v/>
      </c>
      <c r="AK10" s="35">
        <f>COUNTIF(充填效能!$A:$A, $C10)</f>
        <v>1</v>
      </c>
      <c r="AL10" s="36">
        <f ca="1">IFERROR(__xludf.DUMMYFUNCTION("IFERROR(INDEX(FILTER('充填效能'!$Q$2:$Q$1088, '充填效能'!$A$2:$A$1088=$C10, '充填效能'!$D$2:$D$1088=""排瓶""), 1), 0)"),0)</f>
        <v>0</v>
      </c>
      <c r="AM10" s="36">
        <f ca="1">IFERROR(__xludf.DUMMYFUNCTION("IFERROR(INDEX(FILTER('充填效能'!$R$2:$R$1088, '充填效能'!$A$2:$A$1088=$C10, '充填效能'!$D$2:$D$1088=""排瓶""), 1), 0)"),0)</f>
        <v>0</v>
      </c>
      <c r="AN10" s="35">
        <f t="shared" ca="1" si="5"/>
        <v>0</v>
      </c>
      <c r="AO10" s="36" t="str">
        <f ca="1">IFERROR(__xludf.DUMMYFUNCTION("IFERROR(INDEX(FILTER('充填效能'!$Q$2:$Q$1088, '充填效能'!$A$2:$A$1088=$C10, '充填效能'!$D$2:$D$1088=""充填""), 1), 0)"),"850")</f>
        <v>850</v>
      </c>
      <c r="AP10" s="36">
        <f ca="1">IFERROR(__xludf.DUMMYFUNCTION("IFERROR(INDEX(FILTER('充填效能'!$R$2:$R$1088, '充填效能'!$A$2:$A$1088=$C10, '充填效能'!$D$2:$D$1088=""充填""), 1), 0)"),4)</f>
        <v>4</v>
      </c>
      <c r="AQ10" s="35">
        <f t="shared" ca="1" si="6"/>
        <v>14.024705882352942</v>
      </c>
      <c r="AR10" s="17">
        <f t="shared" ca="1" si="7"/>
        <v>56.098823529411767</v>
      </c>
    </row>
    <row r="11" spans="1:44" ht="15.75" customHeight="1">
      <c r="A11" s="9" t="s">
        <v>55</v>
      </c>
      <c r="B11" s="34">
        <f t="shared" si="0"/>
        <v>44721</v>
      </c>
      <c r="C11" s="9" t="s">
        <v>53</v>
      </c>
      <c r="D11" s="17" t="str">
        <f t="shared" si="1"/>
        <v>DJ20H1</v>
      </c>
      <c r="E11" s="9" t="s">
        <v>54</v>
      </c>
      <c r="F11" s="9">
        <v>2000</v>
      </c>
      <c r="G11" s="10">
        <v>45054</v>
      </c>
      <c r="H11" s="10">
        <v>45030</v>
      </c>
      <c r="I11" s="10">
        <v>45015</v>
      </c>
      <c r="J11" s="10">
        <v>44973</v>
      </c>
      <c r="L11" s="17" t="str">
        <f ca="1">IFERROR(__xludf.DUMMYFUNCTION("TEXTJOIN("", "", TRUE, UNIQUE(FILTER('製造效能'!$D$2:$D$1732, '製造效能'!$B$2:$B$1732 = D11)))"),"小乳")</f>
        <v>小乳</v>
      </c>
      <c r="M11" s="17" t="str">
        <f ca="1">IFERROR(__xludf.DUMMYFUNCTION("INDEX(UNIQUE(FILTER('製造效能'!$D$2:$D$1732, ('製造效能'!$B$2:$B$1732 = D11) * ('製造效能'!$J$2:$J$1732 = MAXIFS('製造效能'!$J$2:$J$1732, '製造效能'!$B$2:$B$1732, D11)))), 1) 
"),"小乳")</f>
        <v>小乳</v>
      </c>
      <c r="N11" s="17" t="str">
        <f ca="1">IFERROR(__xludf.DUMMYFUNCTION("TEXTJOIN("", "", TRUE, UNIQUE(FILTER('製造效能'!$K$2:$K$1732, '製造效能'!$B$2:$B$1732 = D11)))"),"乳項")</f>
        <v>乳項</v>
      </c>
      <c r="P11" s="35" t="str">
        <f ca="1">IFERROR(__xludf.DUMMYFUNCTION("IFERROR(INDEX(FILTER('充填效能'!J$2:J$1088, '充填效能'!$A$2:$A$1088=$C11, '充填效能'!$D$2:$D$1088=""充填""), 1), 0)"),"")</f>
        <v/>
      </c>
      <c r="Q11" s="35" t="str">
        <f ca="1">IFERROR(__xludf.DUMMYFUNCTION("IFERROR(INDEX(FILTER('充填效能'!K$2:K$1088, '充填效能'!$A$2:$A$1088=$C11, '充填效能'!$D$2:$D$1088=""充填""), 1), 0)"),"")</f>
        <v/>
      </c>
      <c r="R11" s="35">
        <f ca="1">IFERROR(__xludf.DUMMYFUNCTION("IFERROR(INDEX(FILTER('充填效能'!I$2:I$1088, '充填效能'!$A$2:$A$1088=$C11, '充填效能'!$D$2:$D$1088=""充填""), 1), 0)"),31.45)</f>
        <v>31.45</v>
      </c>
      <c r="S11" s="35">
        <f ca="1">COUNTIFS(製造效能!B:B, $D11,製造效能!D:D,M11)</f>
        <v>3</v>
      </c>
      <c r="T11" s="36">
        <f ca="1">IFERROR(__xludf.DUMMYFUNCTION("VALUE(REGEXEXTRACT(TO_TEXT(R11), ""\d*\.?\d+""))"),31.45)</f>
        <v>31.45</v>
      </c>
      <c r="U11" s="17">
        <f t="shared" ca="1" si="2"/>
        <v>63843.499999999993</v>
      </c>
      <c r="V11" s="17">
        <f ca="1">IFERROR(__xludf.DUMMYFUNCTION("IFERROR(INDEX(FILTER('製造效能'!J:J, '製造效能'!A:A=$C11, '製造效能'!D:D=M11, '製造效能'!E:E=""攪料""), 1), INDEX(FILTER('製造效能'!J:J, '製造效能'!B:B=$D11, '製造效能'!D:D=M11, '製造效能'!E:E=""攪料""), 1))"),44)</f>
        <v>44</v>
      </c>
      <c r="W11" s="36">
        <f ca="1">IFERROR(__xludf.DUMMYFUNCTION("IFERROR(INDEX(FILTER('製造效能'!G:G, '製造效能'!A:A=$C11, '製造效能'!D:D=M11, '製造效能'!E:E=""攪料""), 1), INDEX(FILTER('製造效能'!G:G, '製造效能'!B:B=$D11, '製造效能'!D:D=M11, '製造效能'!E:E=""攪料""), 1))"),165)</f>
        <v>165</v>
      </c>
      <c r="X11" s="35">
        <f t="shared" ca="1" si="3"/>
        <v>2</v>
      </c>
      <c r="Y11" s="35">
        <f t="shared" ca="1" si="4"/>
        <v>330</v>
      </c>
      <c r="Z11" s="35">
        <f ca="1">IFERROR(__xludf.DUMMYFUNCTION("IFERROR(IFERROR(INDEX(FILTER('製造效能'!G:G, '製造效能'!A:A=$C11, '製造效能'!D:D=M11, '製造效能'!E:E=""預攪""), 1), INDEX(FILTER('製造效能'!G:G, '製造效能'!B:B=$D11, '製造效能'!D:D=M11, '製造效能'!E:E=""預攪""), 1)), 0)"),75)</f>
        <v>75</v>
      </c>
      <c r="AA11" s="35">
        <f ca="1">IFERROR(__xludf.DUMMYFUNCTION("IFERROR(INDEX(FILTER('製造效能'!G:G, '製造效能'!A:A=$C11, '製造效能'!D:D=M11, '製造效能'!E:E=""清洗""), 1), INDEX(FILTER('製造效能'!G:G, '製造效能'!B:B=$D11, '製造效能'!D:D=M11, '製造效能'!E:E=""清洗""), 1))"),90)</f>
        <v>90</v>
      </c>
      <c r="AB11" s="35" t="str">
        <f ca="1">IFERROR(__xludf.DUMMYFUNCTION("IFERROR(INDEX(FILTER('製造效能'!N:N, '製造效能'!$A:$A=$C11, '製造效能'!$D:$D=$M11, '製造效能'!$E:$E=""攪料""), 1), INDEX(FILTER('製造效能'!N:N, '製造效能'!$B:$B=$D11, '製造效能'!$D:$D=$M11, '製造效能'!$E:$E=""攪料""), 1))"),"")</f>
        <v/>
      </c>
      <c r="AC11" s="35" t="str">
        <f ca="1">IFERROR(__xludf.DUMMYFUNCTION("IFERROR(INDEX(FILTER('製造效能'!O:O, '製造效能'!$A:$A=$C11, '製造效能'!$D:$D=$M11, '製造效能'!$E:$E=""攪料""), 1), INDEX(FILTER('製造效能'!O:O, '製造效能'!$B:$B=$D11, '製造效能'!$D:$D=$M11, '製造效能'!$E:$E=""攪料""), 1))"),"")</f>
        <v/>
      </c>
      <c r="AD11" s="35">
        <f ca="1">IFERROR(__xludf.DUMMYFUNCTION("IFERROR(INDEX(FILTER('製造效能'!P:P, '製造效能'!$A:$A=$C11, '製造效能'!$D:$D=$M11, '製造效能'!$E:$E=""攪料""), 1), INDEX(FILTER('製造效能'!P:P, '製造效能'!$B:$B=$D11, '製造效能'!$D:$D=$M11, '製造效能'!$E:$E=""攪料""), 1))"),1)</f>
        <v>1</v>
      </c>
      <c r="AE11" s="35" t="str">
        <f ca="1">IFERROR(__xludf.DUMMYFUNCTION("IFERROR(INDEX(FILTER('製造效能'!Q:Q, '製造效能'!$A:$A=$C11, '製造效能'!$D:$D=$M11, '製造效能'!$E:$E=""攪料""), 1), INDEX(FILTER('製造效能'!Q:Q, '製造效能'!$B:$B=$D11, '製造效能'!$D:$D=$M11, '製造效能'!$E:$E=""攪料""), 1))"),"")</f>
        <v/>
      </c>
      <c r="AF11" s="35" t="str">
        <f ca="1">IFERROR(__xludf.DUMMYFUNCTION("IFERROR(INDEX(FILTER('製造效能'!R:R, '製造效能'!$A:$A=$C11, '製造效能'!$D:$D=$M11, '製造效能'!$E:$E=""攪料""), 1), INDEX(FILTER('製造效能'!R:R, '製造效能'!$B:$B=$D11, '製造效能'!$D:$D=$M11, '製造效能'!$E:$E=""攪料""), 1))"),"")</f>
        <v/>
      </c>
      <c r="AG11" s="35" t="str">
        <f ca="1">IFERROR(__xludf.DUMMYFUNCTION("IFERROR(INDEX(FILTER('製造效能'!S:S, '製造效能'!$A:$A=$C11, '製造效能'!$D:$D=$M11, '製造效能'!$E:$E=""攪料""), 1), INDEX(FILTER('製造效能'!S:S, '製造效能'!$B:$B=$D11, '製造效能'!$D:$D=$M11, '製造效能'!$E:$E=""攪料""), 1))"),"")</f>
        <v/>
      </c>
      <c r="AH11" s="35" t="str">
        <f ca="1">IFERROR(__xludf.DUMMYFUNCTION("IFERROR(INDEX(FILTER('製造效能'!T:T, '製造效能'!$A:$A=$C11, '製造效能'!$D:$D=$M11, '製造效能'!$E:$E=""攪料""), 1), INDEX(FILTER('製造效能'!T:T, '製造效能'!$B:$B=$D11, '製造效能'!$D:$D=$M11, '製造效能'!$E:$E=""攪料""), 1))"),"")</f>
        <v/>
      </c>
      <c r="AI11" s="35" t="str">
        <f ca="1">IFERROR(__xludf.DUMMYFUNCTION("IFERROR(INDEX(FILTER('製造效能'!U:U, '製造效能'!$A:$A=$C11, '製造效能'!$D:$D=$M11, '製造效能'!$E:$E=""攪料""), 1), INDEX(FILTER('製造效能'!U:U, '製造效能'!$B:$B=$D11, '製造效能'!$D:$D=$M11, '製造效能'!$E:$E=""攪料""), 1))"),"")</f>
        <v/>
      </c>
      <c r="AJ11" s="35" t="str">
        <f ca="1">IFERROR(__xludf.DUMMYFUNCTION("IFERROR(INDEX(FILTER('製造效能'!V:V, '製造效能'!$A:$A=$C11, '製造效能'!$D:$D=$M11, '製造效能'!$E:$E=""攪料""), 1), INDEX(FILTER('製造效能'!V:V, '製造效能'!$B:$B=$D11, '製造效能'!$D:$D=$M11, '製造效能'!$E:$E=""攪料""), 1))"),"")</f>
        <v/>
      </c>
      <c r="AK11" s="35">
        <f>COUNTIF(充填效能!$A:$A, $C11)</f>
        <v>1</v>
      </c>
      <c r="AL11" s="36">
        <f ca="1">IFERROR(__xludf.DUMMYFUNCTION("IFERROR(INDEX(FILTER('充填效能'!$Q$2:$Q$1088, '充填效能'!$A$2:$A$1088=$C11, '充填效能'!$D$2:$D$1088=""排瓶""), 1), 0)"),0)</f>
        <v>0</v>
      </c>
      <c r="AM11" s="36">
        <f ca="1">IFERROR(__xludf.DUMMYFUNCTION("IFERROR(INDEX(FILTER('充填效能'!$R$2:$R$1088, '充填效能'!$A$2:$A$1088=$C11, '充填效能'!$D$2:$D$1088=""排瓶""), 1), 0)"),0)</f>
        <v>0</v>
      </c>
      <c r="AN11" s="35">
        <f t="shared" ca="1" si="5"/>
        <v>0</v>
      </c>
      <c r="AO11" s="36" t="str">
        <f ca="1">IFERROR(__xludf.DUMMYFUNCTION("IFERROR(INDEX(FILTER('充填效能'!$Q$2:$Q$1088, '充填效能'!$A$2:$A$1088=$C11, '充填效能'!$D$2:$D$1088=""充填""), 1), 0)"),"800")</f>
        <v>800</v>
      </c>
      <c r="AP11" s="36">
        <f ca="1">IFERROR(__xludf.DUMMYFUNCTION("IFERROR(INDEX(FILTER('充填效能'!$R$2:$R$1088, '充填效能'!$A$2:$A$1088=$C11, '充填效能'!$D$2:$D$1088=""充填""), 1), 0)"),3)</f>
        <v>3</v>
      </c>
      <c r="AQ11" s="35">
        <f t="shared" ca="1" si="6"/>
        <v>2.5</v>
      </c>
      <c r="AR11" s="17">
        <f t="shared" ca="1" si="7"/>
        <v>7.5</v>
      </c>
    </row>
    <row r="12" spans="1:44" ht="15.75" customHeight="1">
      <c r="A12" s="9" t="s">
        <v>101</v>
      </c>
      <c r="B12" s="34">
        <f t="shared" si="0"/>
        <v>44970</v>
      </c>
      <c r="C12" s="9" t="s">
        <v>83</v>
      </c>
      <c r="D12" s="17" t="str">
        <f t="shared" si="1"/>
        <v>AW21C4</v>
      </c>
      <c r="E12" s="9" t="s">
        <v>84</v>
      </c>
      <c r="F12" s="9">
        <v>2000</v>
      </c>
      <c r="G12" s="10">
        <v>45044</v>
      </c>
      <c r="H12" s="10">
        <v>45035</v>
      </c>
      <c r="I12" s="10">
        <v>44993</v>
      </c>
      <c r="J12" s="10">
        <v>44972</v>
      </c>
      <c r="L12" s="17" t="str">
        <f ca="1">IFERROR(__xludf.DUMMYFUNCTION("TEXTJOIN("", "", TRUE, UNIQUE(FILTER('製造效能'!$D$2:$D$1732, '製造效能'!$B$2:$B$1732 = D12)))"),"精, 大")</f>
        <v>精, 大</v>
      </c>
      <c r="M12" s="17" t="str">
        <f ca="1">IFERROR(__xludf.DUMMYFUNCTION("INDEX(UNIQUE(FILTER('製造效能'!$D$2:$D$1732, ('製造效能'!$B$2:$B$1732 = D12) * ('製造效能'!$J$2:$J$1732 = MAXIFS('製造效能'!$J$2:$J$1732, '製造效能'!$B$2:$B$1732, D12)))), 1) 
"),"大")</f>
        <v>大</v>
      </c>
      <c r="N12" s="17" t="str">
        <f ca="1">IFERROR(__xludf.DUMMYFUNCTION("TEXTJOIN("", "", TRUE, UNIQUE(FILTER('製造效能'!$K$2:$K$1732, '製造效能'!$B$2:$B$1732 = D12)))"),"水項")</f>
        <v>水項</v>
      </c>
      <c r="O12" s="35">
        <f ca="1">IFERROR(__xludf.DUMMYFUNCTION("IFERROR(INDEX(FILTER('充填效能'!I$2:I$1088, '充填效能'!$A$2:$A$1088=$C12, '充填效能'!$D$2:$D$1088=""充填""), 1), 0)"),100)</f>
        <v>100</v>
      </c>
      <c r="P12" s="35" t="str">
        <f ca="1">IFERROR(__xludf.DUMMYFUNCTION("IFERROR(INDEX(FILTER('充填效能'!J$2:J$1088, '充填效能'!$A$2:$A$1088=$C12, '充填效能'!$D$2:$D$1088=""充填""), 1), 0)"),"")</f>
        <v/>
      </c>
      <c r="Q12" s="35" t="str">
        <f ca="1">IFERROR(__xludf.DUMMYFUNCTION("IFERROR(INDEX(FILTER('充填效能'!K$2:K$1088, '充填效能'!$A$2:$A$1088=$C12, '充填效能'!$D$2:$D$1088=""充填""), 1), 0)"),"")</f>
        <v/>
      </c>
      <c r="R12" s="35" t="str">
        <f ca="1">IFERROR(__xludf.DUMMYFUNCTION("IFERROR(INDEX(FILTER('充填效能'!L$2:L$1088, '充填效能'!$A$2:$A$1088=$C12, '充填效能'!$D$2:$D$1088=""充填""), 1), 0)"),"")</f>
        <v/>
      </c>
      <c r="S12" s="35">
        <f ca="1">COUNTIFS(製造效能!B:B, $D12,製造效能!D:D,M12)</f>
        <v>9</v>
      </c>
      <c r="T12" s="36">
        <f ca="1">IFERROR(__xludf.DUMMYFUNCTION("VALUE(REGEXEXTRACT(TO_TEXT(O12), ""\d*\.?\d+""))"),100)</f>
        <v>100</v>
      </c>
      <c r="U12" s="17">
        <f t="shared" ca="1" si="2"/>
        <v>202999.99999999997</v>
      </c>
      <c r="V12" s="17">
        <f ca="1">IFERROR(__xludf.DUMMYFUNCTION("IFERROR(INDEX(FILTER('製造效能'!J:J, '製造效能'!A:A=$C12, '製造效能'!D:D=M12, '製造效能'!E:E=""攪料""), 1), INDEX(FILTER('製造效能'!J:J, '製造效能'!B:B=$D12, '製造效能'!D:D=M12, '製造效能'!E:E=""攪料""), 1))"),410)</f>
        <v>410</v>
      </c>
      <c r="W12" s="36">
        <f ca="1">IFERROR(__xludf.DUMMYFUNCTION("IFERROR(INDEX(FILTER('製造效能'!G:G, '製造效能'!A:A=$C12, '製造效能'!D:D=M12, '製造效能'!E:E=""攪料""), 1), INDEX(FILTER('製造效能'!G:G, '製造效能'!B:B=$D12, '製造效能'!D:D=M12, '製造效能'!E:E=""攪料""), 1))"),130)</f>
        <v>130</v>
      </c>
      <c r="X12" s="35">
        <f t="shared" ca="1" si="3"/>
        <v>1</v>
      </c>
      <c r="Y12" s="35">
        <f t="shared" ca="1" si="4"/>
        <v>130</v>
      </c>
      <c r="Z12" s="35">
        <f ca="1">IFERROR(__xludf.DUMMYFUNCTION("IFERROR(IFERROR(INDEX(FILTER('製造效能'!G:G, '製造效能'!A:A=$C12, '製造效能'!D:D=M12, '製造效能'!E:E=""預攪""), 1), INDEX(FILTER('製造效能'!G:G, '製造效能'!B:B=$D12, '製造效能'!D:D=M12, '製造效能'!E:E=""預攪""), 1)), 0)"),55)</f>
        <v>55</v>
      </c>
      <c r="AA12" s="35">
        <f ca="1">IFERROR(__xludf.DUMMYFUNCTION("IFERROR(INDEX(FILTER('製造效能'!G:G, '製造效能'!A:A=$C12, '製造效能'!D:D=M12, '製造效能'!E:E=""清洗""), 1), INDEX(FILTER('製造效能'!G:G, '製造效能'!B:B=$D12, '製造效能'!D:D=M12, '製造效能'!E:E=""清洗""), 1))"),30)</f>
        <v>30</v>
      </c>
      <c r="AB12" s="35" t="str">
        <f ca="1">IFERROR(__xludf.DUMMYFUNCTION("IFERROR(INDEX(FILTER('製造效能'!N:N, '製造效能'!$A:$A=$C12, '製造效能'!$D:$D=$M12, '製造效能'!$E:$E=""攪料""), 1), INDEX(FILTER('製造效能'!N:N, '製造效能'!$B:$B=$D12, '製造效能'!$D:$D=$M12, '製造效能'!$E:$E=""攪料""), 1))"),"")</f>
        <v/>
      </c>
      <c r="AC12" s="35" t="str">
        <f ca="1">IFERROR(__xludf.DUMMYFUNCTION("IFERROR(INDEX(FILTER('製造效能'!O:O, '製造效能'!$A:$A=$C12, '製造效能'!$D:$D=$M12, '製造效能'!$E:$E=""攪料""), 1), INDEX(FILTER('製造效能'!O:O, '製造效能'!$B:$B=$D12, '製造效能'!$D:$D=$M12, '製造效能'!$E:$E=""攪料""), 1))"),"")</f>
        <v/>
      </c>
      <c r="AD12" s="35" t="str">
        <f ca="1">IFERROR(__xludf.DUMMYFUNCTION("IFERROR(INDEX(FILTER('製造效能'!P:P, '製造效能'!$A:$A=$C12, '製造效能'!$D:$D=$M12, '製造效能'!$E:$E=""攪料""), 1), INDEX(FILTER('製造效能'!P:P, '製造效能'!$B:$B=$D12, '製造效能'!$D:$D=$M12, '製造效能'!$E:$E=""攪料""), 1))"),"")</f>
        <v/>
      </c>
      <c r="AE12" s="35" t="str">
        <f ca="1">IFERROR(__xludf.DUMMYFUNCTION("IFERROR(INDEX(FILTER('製造效能'!Q:Q, '製造效能'!$A:$A=$C12, '製造效能'!$D:$D=$M12, '製造效能'!$E:$E=""攪料""), 1), INDEX(FILTER('製造效能'!Q:Q, '製造效能'!$B:$B=$D12, '製造效能'!$D:$D=$M12, '製造效能'!$E:$E=""攪料""), 1))"),"")</f>
        <v/>
      </c>
      <c r="AF12" s="35" t="str">
        <f ca="1">IFERROR(__xludf.DUMMYFUNCTION("IFERROR(INDEX(FILTER('製造效能'!R:R, '製造效能'!$A:$A=$C12, '製造效能'!$D:$D=$M12, '製造效能'!$E:$E=""攪料""), 1), INDEX(FILTER('製造效能'!R:R, '製造效能'!$B:$B=$D12, '製造效能'!$D:$D=$M12, '製造效能'!$E:$E=""攪料""), 1))"),"")</f>
        <v/>
      </c>
      <c r="AG12" s="35">
        <f ca="1">IFERROR(__xludf.DUMMYFUNCTION("IFERROR(INDEX(FILTER('製造效能'!S:S, '製造效能'!$A:$A=$C12, '製造效能'!$D:$D=$M12, '製造效能'!$E:$E=""攪料""), 1), INDEX(FILTER('製造效能'!S:S, '製造效能'!$B:$B=$D12, '製造效能'!$D:$D=$M12, '製造效能'!$E:$E=""攪料""), 1))"),1)</f>
        <v>1</v>
      </c>
      <c r="AH12" s="35" t="str">
        <f ca="1">IFERROR(__xludf.DUMMYFUNCTION("IFERROR(INDEX(FILTER('製造效能'!T:T, '製造效能'!$A:$A=$C12, '製造效能'!$D:$D=$M12, '製造效能'!$E:$E=""攪料""), 1), INDEX(FILTER('製造效能'!T:T, '製造效能'!$B:$B=$D12, '製造效能'!$D:$D=$M12, '製造效能'!$E:$E=""攪料""), 1))"),"")</f>
        <v/>
      </c>
      <c r="AI12" s="35" t="str">
        <f ca="1">IFERROR(__xludf.DUMMYFUNCTION("IFERROR(INDEX(FILTER('製造效能'!U:U, '製造效能'!$A:$A=$C12, '製造效能'!$D:$D=$M12, '製造效能'!$E:$E=""攪料""), 1), INDEX(FILTER('製造效能'!U:U, '製造效能'!$B:$B=$D12, '製造效能'!$D:$D=$M12, '製造效能'!$E:$E=""攪料""), 1))"),"")</f>
        <v/>
      </c>
      <c r="AJ12" s="35" t="str">
        <f ca="1">IFERROR(__xludf.DUMMYFUNCTION("IFERROR(INDEX(FILTER('製造效能'!V:V, '製造效能'!$A:$A=$C12, '製造效能'!$D:$D=$M12, '製造效能'!$E:$E=""攪料""), 1), INDEX(FILTER('製造效能'!V:V, '製造效能'!$B:$B=$D12, '製造效能'!$D:$D=$M12, '製造效能'!$E:$E=""攪料""), 1))"),"")</f>
        <v/>
      </c>
      <c r="AK12" s="35">
        <f>COUNTIF(充填效能!$A:$A, $C12)</f>
        <v>2</v>
      </c>
      <c r="AL12" s="36" t="str">
        <f ca="1">IFERROR(__xludf.DUMMYFUNCTION("IFERROR(INDEX(FILTER('充填效能'!$Q$2:$Q$1088, '充填效能'!$A$2:$A$1088=$C12, '充填效能'!$D$2:$D$1088=""排瓶""), 1), 0)"),"800")</f>
        <v>800</v>
      </c>
      <c r="AM12" s="36">
        <f ca="1">IFERROR(__xludf.DUMMYFUNCTION("IFERROR(INDEX(FILTER('充填效能'!$R$2:$R$1088, '充填效能'!$A$2:$A$1088=$C12, '充填效能'!$D$2:$D$1088=""排瓶""), 1), 0)"),1)</f>
        <v>1</v>
      </c>
      <c r="AN12" s="35">
        <f t="shared" ca="1" si="5"/>
        <v>2.5</v>
      </c>
      <c r="AO12" s="36" t="str">
        <f ca="1">IFERROR(__xludf.DUMMYFUNCTION("IFERROR(INDEX(FILTER('充填效能'!$Q$2:$Q$1088, '充填效能'!$A$2:$A$1088=$C12, '充填效能'!$D$2:$D$1088=""充填""), 1), 0)"),"600")</f>
        <v>600</v>
      </c>
      <c r="AP12" s="36">
        <f ca="1">IFERROR(__xludf.DUMMYFUNCTION("IFERROR(INDEX(FILTER('充填效能'!$R$2:$R$1088, '充填效能'!$A$2:$A$1088=$C12, '充填效能'!$D$2:$D$1088=""充填""), 1), 0)"),5)</f>
        <v>5</v>
      </c>
      <c r="AQ12" s="35">
        <f t="shared" ca="1" si="6"/>
        <v>3.3333333333333335</v>
      </c>
      <c r="AR12" s="17">
        <f t="shared" ca="1" si="7"/>
        <v>16.666666666666668</v>
      </c>
    </row>
    <row r="13" spans="1:44" ht="15.75" customHeight="1">
      <c r="A13" s="9" t="s">
        <v>233</v>
      </c>
      <c r="B13" s="34">
        <f t="shared" si="0"/>
        <v>44719</v>
      </c>
      <c r="C13" s="9" t="s">
        <v>65</v>
      </c>
      <c r="D13" s="17" t="str">
        <f t="shared" si="1"/>
        <v>N1VCD3</v>
      </c>
      <c r="E13" s="9" t="s">
        <v>66</v>
      </c>
      <c r="F13" s="9">
        <v>15000</v>
      </c>
      <c r="G13" s="10">
        <v>45107</v>
      </c>
      <c r="H13" s="10">
        <v>45040</v>
      </c>
      <c r="I13" s="10">
        <v>44973</v>
      </c>
      <c r="J13" s="10">
        <v>45035</v>
      </c>
      <c r="K13" s="17" t="s">
        <v>407</v>
      </c>
      <c r="L13" s="17" t="str">
        <f ca="1">IFERROR(__xludf.DUMMYFUNCTION("TEXTJOIN("", "", TRUE, UNIQUE(FILTER('製造效能'!$D$2:$D$1732, '製造效能'!$B$2:$B$1732 = D13)))"),"精")</f>
        <v>精</v>
      </c>
      <c r="M13" s="17" t="str">
        <f ca="1">IFERROR(__xludf.DUMMYFUNCTION("INDEX(UNIQUE(FILTER('製造效能'!$D$2:$D$1732, ('製造效能'!$B$2:$B$1732 = D13) * ('製造效能'!$J$2:$J$1732 = MAXIFS('製造效能'!$J$2:$J$1732, '製造效能'!$B$2:$B$1732, D13)))), 1) 
"),"精")</f>
        <v>精</v>
      </c>
      <c r="N13" s="17" t="str">
        <f ca="1">IFERROR(__xludf.DUMMYFUNCTION("TEXTJOIN("", "", TRUE, UNIQUE(FILTER('製造效能'!$K$2:$K$1732, '製造效能'!$B$2:$B$1732 = D13)))"),"水項")</f>
        <v>水項</v>
      </c>
      <c r="O13" s="35">
        <v>61.4</v>
      </c>
      <c r="P13" s="35" t="str">
        <f ca="1">IFERROR(__xludf.DUMMYFUNCTION("IFERROR(INDEX(FILTER('充填效能'!J$2:J$1088, '充填效能'!$A$2:$A$1088=$C13, '充填效能'!$D$2:$D$1088=""充填""), 1), 0)"),"")</f>
        <v/>
      </c>
      <c r="Q13" s="35" t="str">
        <f ca="1">IFERROR(__xludf.DUMMYFUNCTION("IFERROR(INDEX(FILTER('充填效能'!K$2:K$1088, '充填效能'!$A$2:$A$1088=$C13, '充填效能'!$D$2:$D$1088=""充填""), 1), 0)"),"")</f>
        <v/>
      </c>
      <c r="R13" s="35" t="str">
        <f ca="1">IFERROR(__xludf.DUMMYFUNCTION("IFERROR(INDEX(FILTER('充填效能'!L$2:L$1088, '充填效能'!$A$2:$A$1088=$C13, '充填效能'!$D$2:$D$1088=""充填""), 1), 0)"),"")</f>
        <v/>
      </c>
      <c r="S13" s="35">
        <f ca="1">COUNTIFS(製造效能!B:B, $D13,製造效能!D:D,M13)</f>
        <v>6</v>
      </c>
      <c r="T13" s="36">
        <f ca="1">IFERROR(__xludf.DUMMYFUNCTION("VALUE(REGEXEXTRACT(TO_TEXT(O13), ""\d*\.?\d+""))"),61.4)</f>
        <v>61.4</v>
      </c>
      <c r="U13" s="17">
        <f t="shared" ca="1" si="2"/>
        <v>934814.99999999988</v>
      </c>
      <c r="V13" s="17">
        <f ca="1">IFERROR(__xludf.DUMMYFUNCTION("IFERROR(INDEX(FILTER('製造效能'!J:J, '製造效能'!A:A=$C13, '製造效能'!D:D=M13, '製造效能'!E:E=""攪料""), 1), INDEX(FILTER('製造效能'!J:J, '製造效能'!B:B=$D13, '製造效能'!D:D=M13, '製造效能'!E:E=""攪料""), 1))"),101.7)</f>
        <v>101.7</v>
      </c>
      <c r="W13" s="36">
        <f ca="1">IFERROR(__xludf.DUMMYFUNCTION("IFERROR(INDEX(FILTER('製造效能'!G:G, '製造效能'!A:A=$C13, '製造效能'!D:D=M13, '製造效能'!E:E=""攪料""), 1), INDEX(FILTER('製造效能'!G:G, '製造效能'!B:B=$D13, '製造效能'!D:D=M13, '製造效能'!E:E=""攪料""), 1))"),115)</f>
        <v>115</v>
      </c>
      <c r="X13" s="35">
        <f t="shared" ca="1" si="3"/>
        <v>10</v>
      </c>
      <c r="Y13" s="35">
        <f t="shared" ca="1" si="4"/>
        <v>1150</v>
      </c>
      <c r="Z13" s="35">
        <f ca="1">IFERROR(__xludf.DUMMYFUNCTION("IFERROR(IFERROR(INDEX(FILTER('製造效能'!G:G, '製造效能'!A:A=$C13, '製造效能'!D:D=M13, '製造效能'!E:E=""預攪""), 1), INDEX(FILTER('製造效能'!G:G, '製造效能'!B:B=$D13, '製造效能'!D:D=M13, '製造效能'!E:E=""預攪""), 1)), 0)"),100)</f>
        <v>100</v>
      </c>
      <c r="AA13" s="35">
        <f ca="1">IFERROR(__xludf.DUMMYFUNCTION("IFERROR(INDEX(FILTER('製造效能'!G:G, '製造效能'!A:A=$C13, '製造效能'!D:D=M13, '製造效能'!E:E=""清洗""), 1), INDEX(FILTER('製造效能'!G:G, '製造效能'!B:B=$D13, '製造效能'!D:D=M13, '製造效能'!E:E=""清洗""), 1))"),50)</f>
        <v>50</v>
      </c>
      <c r="AB13" s="35">
        <f ca="1">IFERROR(__xludf.DUMMYFUNCTION("IFERROR(INDEX(FILTER('製造效能'!N:N, '製造效能'!$A:$A=$C13, '製造效能'!$D:$D=$M13, '製造效能'!$E:$E=""攪料""), 1), INDEX(FILTER('製造效能'!N:N, '製造效能'!$B:$B=$D13, '製造效能'!$D:$D=$M13, '製造效能'!$E:$E=""攪料""), 1))"),1)</f>
        <v>1</v>
      </c>
      <c r="AC13" s="35">
        <f ca="1">IFERROR(__xludf.DUMMYFUNCTION("IFERROR(INDEX(FILTER('製造效能'!O:O, '製造效能'!$A:$A=$C13, '製造效能'!$D:$D=$M13, '製造效能'!$E:$E=""攪料""), 1), INDEX(FILTER('製造效能'!O:O, '製造效能'!$B:$B=$D13, '製造效能'!$D:$D=$M13, '製造效能'!$E:$E=""攪料""), 1))"),2)</f>
        <v>2</v>
      </c>
      <c r="AD13" s="35" t="str">
        <f ca="1">IFERROR(__xludf.DUMMYFUNCTION("IFERROR(INDEX(FILTER('製造效能'!P:P, '製造效能'!$A:$A=$C13, '製造效能'!$D:$D=$M13, '製造效能'!$E:$E=""攪料""), 1), INDEX(FILTER('製造效能'!P:P, '製造效能'!$B:$B=$D13, '製造效能'!$D:$D=$M13, '製造效能'!$E:$E=""攪料""), 1))"),"")</f>
        <v/>
      </c>
      <c r="AE13" s="35" t="str">
        <f ca="1">IFERROR(__xludf.DUMMYFUNCTION("IFERROR(INDEX(FILTER('製造效能'!Q:Q, '製造效能'!$A:$A=$C13, '製造效能'!$D:$D=$M13, '製造效能'!$E:$E=""攪料""), 1), INDEX(FILTER('製造效能'!Q:Q, '製造效能'!$B:$B=$D13, '製造效能'!$D:$D=$M13, '製造效能'!$E:$E=""攪料""), 1))"),"")</f>
        <v/>
      </c>
      <c r="AF13" s="35" t="str">
        <f ca="1">IFERROR(__xludf.DUMMYFUNCTION("IFERROR(INDEX(FILTER('製造效能'!R:R, '製造效能'!$A:$A=$C13, '製造效能'!$D:$D=$M13, '製造效能'!$E:$E=""攪料""), 1), INDEX(FILTER('製造效能'!R:R, '製造效能'!$B:$B=$D13, '製造效能'!$D:$D=$M13, '製造效能'!$E:$E=""攪料""), 1))"),"")</f>
        <v/>
      </c>
      <c r="AG13" s="35" t="str">
        <f ca="1">IFERROR(__xludf.DUMMYFUNCTION("IFERROR(INDEX(FILTER('製造效能'!S:S, '製造效能'!$A:$A=$C13, '製造效能'!$D:$D=$M13, '製造效能'!$E:$E=""攪料""), 1), INDEX(FILTER('製造效能'!S:S, '製造效能'!$B:$B=$D13, '製造效能'!$D:$D=$M13, '製造效能'!$E:$E=""攪料""), 1))"),"")</f>
        <v/>
      </c>
      <c r="AH13" s="35" t="str">
        <f ca="1">IFERROR(__xludf.DUMMYFUNCTION("IFERROR(INDEX(FILTER('製造效能'!T:T, '製造效能'!$A:$A=$C13, '製造效能'!$D:$D=$M13, '製造效能'!$E:$E=""攪料""), 1), INDEX(FILTER('製造效能'!T:T, '製造效能'!$B:$B=$D13, '製造效能'!$D:$D=$M13, '製造效能'!$E:$E=""攪料""), 1))"),"")</f>
        <v/>
      </c>
      <c r="AI13" s="35" t="str">
        <f ca="1">IFERROR(__xludf.DUMMYFUNCTION("IFERROR(INDEX(FILTER('製造效能'!U:U, '製造效能'!$A:$A=$C13, '製造效能'!$D:$D=$M13, '製造效能'!$E:$E=""攪料""), 1), INDEX(FILTER('製造效能'!U:U, '製造效能'!$B:$B=$D13, '製造效能'!$D:$D=$M13, '製造效能'!$E:$E=""攪料""), 1))"),"")</f>
        <v/>
      </c>
      <c r="AJ13" s="35" t="str">
        <f ca="1">IFERROR(__xludf.DUMMYFUNCTION("IFERROR(INDEX(FILTER('製造效能'!V:V, '製造效能'!$A:$A=$C13, '製造效能'!$D:$D=$M13, '製造效能'!$E:$E=""攪料""), 1), INDEX(FILTER('製造效能'!V:V, '製造效能'!$B:$B=$D13, '製造效能'!$D:$D=$M13, '製造效能'!$E:$E=""攪料""), 1))"),"")</f>
        <v/>
      </c>
      <c r="AK13" s="35">
        <f>COUNTIF(充填效能!$A:$A, $C13)</f>
        <v>3</v>
      </c>
      <c r="AL13" s="36" t="str">
        <f ca="1">IFERROR(__xludf.DUMMYFUNCTION("IFERROR(INDEX(FILTER('充填效能'!$Q$2:$Q$1088, '充填效能'!$A$2:$A$1088=$C13, '充填效能'!$D$2:$D$1088=""排瓶""), 1), 0)"),"1235")</f>
        <v>1235</v>
      </c>
      <c r="AM13" s="36">
        <f ca="1">IFERROR(__xludf.DUMMYFUNCTION("IFERROR(INDEX(FILTER('充填效能'!$R$2:$R$1088, '充填效能'!$A$2:$A$1088=$C13, '充填效能'!$D$2:$D$1088=""排瓶""), 1), 0)"),1)</f>
        <v>1</v>
      </c>
      <c r="AN13" s="35">
        <f t="shared" ca="1" si="5"/>
        <v>12.145748987854251</v>
      </c>
      <c r="AO13" s="36" t="str">
        <f ca="1">IFERROR(__xludf.DUMMYFUNCTION("IFERROR(INDEX(FILTER('充填效能'!$Q$2:$Q$1088, '充填效能'!$A$2:$A$1088=$C13, '充填效能'!$D$2:$D$1088=""充填""), 1), 0)"),"800")</f>
        <v>800</v>
      </c>
      <c r="AP13" s="36">
        <f ca="1">IFERROR(__xludf.DUMMYFUNCTION("IFERROR(INDEX(FILTER('充填效能'!$R$2:$R$1088, '充填效能'!$A$2:$A$1088=$C13, '充填效能'!$D$2:$D$1088=""充填""), 1), 0)"),3)</f>
        <v>3</v>
      </c>
      <c r="AQ13" s="35">
        <f t="shared" ca="1" si="6"/>
        <v>18.75</v>
      </c>
      <c r="AR13" s="17">
        <f t="shared" ca="1" si="7"/>
        <v>56.25</v>
      </c>
    </row>
    <row r="14" spans="1:44" ht="15.75" customHeight="1">
      <c r="A14" s="9" t="s">
        <v>42</v>
      </c>
      <c r="B14" s="34">
        <f t="shared" si="0"/>
        <v>45002</v>
      </c>
      <c r="C14" s="9" t="s">
        <v>50</v>
      </c>
      <c r="D14" s="17" t="str">
        <f t="shared" si="1"/>
        <v>AA17Z1</v>
      </c>
      <c r="E14" s="9" t="s">
        <v>51</v>
      </c>
      <c r="F14" s="9">
        <v>2544</v>
      </c>
      <c r="G14" s="10">
        <v>45063</v>
      </c>
      <c r="H14" s="10">
        <v>45040</v>
      </c>
      <c r="I14" s="10">
        <v>45022</v>
      </c>
      <c r="J14" s="10">
        <v>44979</v>
      </c>
      <c r="L14" s="17" t="str">
        <f ca="1">IFERROR(__xludf.DUMMYFUNCTION("TEXTJOIN("", "", TRUE, UNIQUE(FILTER('製造效能'!$D$2:$D$1732, '製造效能'!$B$2:$B$1732 = D14)))"),"大, 精")</f>
        <v>大, 精</v>
      </c>
      <c r="M14" s="17" t="str">
        <f ca="1">IFERROR(__xludf.DUMMYFUNCTION("INDEX(UNIQUE(FILTER('製造效能'!$D$2:$D$1732, ('製造效能'!$B$2:$B$1732 = D14) * ('製造效能'!$J$2:$J$1732 = MAXIFS('製造效能'!$J$2:$J$1732, '製造效能'!$B$2:$B$1732, D14)))), 1) 
"),"大")</f>
        <v>大</v>
      </c>
      <c r="N14" s="17" t="str">
        <f ca="1">IFERROR(__xludf.DUMMYFUNCTION("TEXTJOIN("", "", TRUE, UNIQUE(FILTER('製造效能'!$K$2:$K$1732, '製造效能'!$B$2:$B$1732 = D14)))"),"水項")</f>
        <v>水項</v>
      </c>
      <c r="O14" s="35">
        <f ca="1">IFERROR(__xludf.DUMMYFUNCTION("IFERROR(INDEX(FILTER('充填效能'!I$2:I$1088, '充填效能'!$A$2:$A$1088=$C14, '充填效能'!$D$2:$D$1088=""充填""), 1), 0)"),90)</f>
        <v>90</v>
      </c>
      <c r="P14" s="35" t="str">
        <f ca="1">IFERROR(__xludf.DUMMYFUNCTION("IFERROR(INDEX(FILTER('充填效能'!J$2:J$1088, '充填效能'!$A$2:$A$1088=$C14, '充填效能'!$D$2:$D$1088=""充填""), 1), 0)"),"")</f>
        <v/>
      </c>
      <c r="Q14" s="35" t="str">
        <f ca="1">IFERROR(__xludf.DUMMYFUNCTION("IFERROR(INDEX(FILTER('充填效能'!K$2:K$1088, '充填效能'!$A$2:$A$1088=$C14, '充填效能'!$D$2:$D$1088=""充填""), 1), 0)"),"")</f>
        <v/>
      </c>
      <c r="R14" s="35" t="str">
        <f ca="1">IFERROR(__xludf.DUMMYFUNCTION("IFERROR(INDEX(FILTER('充填效能'!L$2:L$1088, '充填效能'!$A$2:$A$1088=$C14, '充填效能'!$D$2:$D$1088=""充填""), 1), 0)"),"")</f>
        <v/>
      </c>
      <c r="S14" s="35">
        <f ca="1">COUNTIFS(製造效能!B:B, $D14,製造效能!D:D,M14)</f>
        <v>3</v>
      </c>
      <c r="T14" s="36">
        <f ca="1">IFERROR(__xludf.DUMMYFUNCTION("VALUE(REGEXEXTRACT(TO_TEXT(O14), ""\d*\.?\d+""))"),90)</f>
        <v>90</v>
      </c>
      <c r="U14" s="17">
        <f t="shared" ca="1" si="2"/>
        <v>232394.39999999997</v>
      </c>
      <c r="V14" s="17">
        <f ca="1">IFERROR(__xludf.DUMMYFUNCTION("IFERROR(INDEX(FILTER('製造效能'!J:J, '製造效能'!A:A=$C14, '製造效能'!D:D=M14, '製造效能'!E:E=""攪料""), 1), INDEX(FILTER('製造效能'!J:J, '製造效能'!B:B=$D14, '製造效能'!D:D=M14, '製造效能'!E:E=""攪料""), 1))"),367)</f>
        <v>367</v>
      </c>
      <c r="W14" s="36">
        <f ca="1">IFERROR(__xludf.DUMMYFUNCTION("IFERROR(INDEX(FILTER('製造效能'!G:G, '製造效能'!A:A=$C14, '製造效能'!D:D=M14, '製造效能'!E:E=""攪料""), 1), INDEX(FILTER('製造效能'!G:G, '製造效能'!B:B=$D14, '製造效能'!D:D=M14, '製造效能'!E:E=""攪料""), 1))"),90)</f>
        <v>90</v>
      </c>
      <c r="X14" s="35">
        <f t="shared" ca="1" si="3"/>
        <v>1</v>
      </c>
      <c r="Y14" s="35">
        <f t="shared" ca="1" si="4"/>
        <v>90</v>
      </c>
      <c r="Z14" s="35">
        <f ca="1">IFERROR(__xludf.DUMMYFUNCTION("IFERROR(IFERROR(INDEX(FILTER('製造效能'!G:G, '製造效能'!A:A=$C14, '製造效能'!D:D=M14, '製造效能'!E:E=""預攪""), 1), INDEX(FILTER('製造效能'!G:G, '製造效能'!B:B=$D14, '製造效能'!D:D=M14, '製造效能'!E:E=""預攪""), 1)), 0)"),50)</f>
        <v>50</v>
      </c>
      <c r="AA14" s="35">
        <f ca="1">IFERROR(__xludf.DUMMYFUNCTION("IFERROR(INDEX(FILTER('製造效能'!G:G, '製造效能'!A:A=$C14, '製造效能'!D:D=M14, '製造效能'!E:E=""清洗""), 1), INDEX(FILTER('製造效能'!G:G, '製造效能'!B:B=$D14, '製造效能'!D:D=M14, '製造效能'!E:E=""清洗""), 1))"),30)</f>
        <v>30</v>
      </c>
      <c r="AB14" s="35" t="str">
        <f ca="1">IFERROR(__xludf.DUMMYFUNCTION("IFERROR(INDEX(FILTER('製造效能'!N:N, '製造效能'!$A:$A=$C14, '製造效能'!$D:$D=$M14, '製造效能'!$E:$E=""攪料""), 1), INDEX(FILTER('製造效能'!N:N, '製造效能'!$B:$B=$D14, '製造效能'!$D:$D=$M14, '製造效能'!$E:$E=""攪料""), 1))"),"")</f>
        <v/>
      </c>
      <c r="AC14" s="35" t="str">
        <f ca="1">IFERROR(__xludf.DUMMYFUNCTION("IFERROR(INDEX(FILTER('製造效能'!O:O, '製造效能'!$A:$A=$C14, '製造效能'!$D:$D=$M14, '製造效能'!$E:$E=""攪料""), 1), INDEX(FILTER('製造效能'!O:O, '製造效能'!$B:$B=$D14, '製造效能'!$D:$D=$M14, '製造效能'!$E:$E=""攪料""), 1))"),"")</f>
        <v/>
      </c>
      <c r="AD14" s="35" t="str">
        <f ca="1">IFERROR(__xludf.DUMMYFUNCTION("IFERROR(INDEX(FILTER('製造效能'!P:P, '製造效能'!$A:$A=$C14, '製造效能'!$D:$D=$M14, '製造效能'!$E:$E=""攪料""), 1), INDEX(FILTER('製造效能'!P:P, '製造效能'!$B:$B=$D14, '製造效能'!$D:$D=$M14, '製造效能'!$E:$E=""攪料""), 1))"),"")</f>
        <v/>
      </c>
      <c r="AE14" s="35" t="str">
        <f ca="1">IFERROR(__xludf.DUMMYFUNCTION("IFERROR(INDEX(FILTER('製造效能'!Q:Q, '製造效能'!$A:$A=$C14, '製造效能'!$D:$D=$M14, '製造效能'!$E:$E=""攪料""), 1), INDEX(FILTER('製造效能'!Q:Q, '製造效能'!$B:$B=$D14, '製造效能'!$D:$D=$M14, '製造效能'!$E:$E=""攪料""), 1))"),"")</f>
        <v/>
      </c>
      <c r="AF14" s="35" t="str">
        <f ca="1">IFERROR(__xludf.DUMMYFUNCTION("IFERROR(INDEX(FILTER('製造效能'!R:R, '製造效能'!$A:$A=$C14, '製造效能'!$D:$D=$M14, '製造效能'!$E:$E=""攪料""), 1), INDEX(FILTER('製造效能'!R:R, '製造效能'!$B:$B=$D14, '製造效能'!$D:$D=$M14, '製造效能'!$E:$E=""攪料""), 1))"),"")</f>
        <v/>
      </c>
      <c r="AG14" s="35">
        <f ca="1">IFERROR(__xludf.DUMMYFUNCTION("IFERROR(INDEX(FILTER('製造效能'!S:S, '製造效能'!$A:$A=$C14, '製造效能'!$D:$D=$M14, '製造效能'!$E:$E=""攪料""), 1), INDEX(FILTER('製造效能'!S:S, '製造效能'!$B:$B=$D14, '製造效能'!$D:$D=$M14, '製造效能'!$E:$E=""攪料""), 1))"),1)</f>
        <v>1</v>
      </c>
      <c r="AH14" s="35" t="str">
        <f ca="1">IFERROR(__xludf.DUMMYFUNCTION("IFERROR(INDEX(FILTER('製造效能'!T:T, '製造效能'!$A:$A=$C14, '製造效能'!$D:$D=$M14, '製造效能'!$E:$E=""攪料""), 1), INDEX(FILTER('製造效能'!T:T, '製造效能'!$B:$B=$D14, '製造效能'!$D:$D=$M14, '製造效能'!$E:$E=""攪料""), 1))"),"")</f>
        <v/>
      </c>
      <c r="AI14" s="35" t="str">
        <f ca="1">IFERROR(__xludf.DUMMYFUNCTION("IFERROR(INDEX(FILTER('製造效能'!U:U, '製造效能'!$A:$A=$C14, '製造效能'!$D:$D=$M14, '製造效能'!$E:$E=""攪料""), 1), INDEX(FILTER('製造效能'!U:U, '製造效能'!$B:$B=$D14, '製造效能'!$D:$D=$M14, '製造效能'!$E:$E=""攪料""), 1))"),"")</f>
        <v/>
      </c>
      <c r="AJ14" s="35" t="str">
        <f ca="1">IFERROR(__xludf.DUMMYFUNCTION("IFERROR(INDEX(FILTER('製造效能'!V:V, '製造效能'!$A:$A=$C14, '製造效能'!$D:$D=$M14, '製造效能'!$E:$E=""攪料""), 1), INDEX(FILTER('製造效能'!V:V, '製造效能'!$B:$B=$D14, '製造效能'!$D:$D=$M14, '製造效能'!$E:$E=""攪料""), 1))"),"")</f>
        <v/>
      </c>
      <c r="AK14" s="35">
        <f>COUNTIF(充填效能!$A:$A, $C14)</f>
        <v>2</v>
      </c>
      <c r="AL14" s="36" t="str">
        <f ca="1">IFERROR(__xludf.DUMMYFUNCTION("IFERROR(INDEX(FILTER('充填效能'!$Q$2:$Q$1088, '充填效能'!$A$2:$A$1088=$C14, '充填效能'!$D$2:$D$1088=""排瓶""), 1), 0)"),"1300")</f>
        <v>1300</v>
      </c>
      <c r="AM14" s="36">
        <f ca="1">IFERROR(__xludf.DUMMYFUNCTION("IFERROR(INDEX(FILTER('充填效能'!$R$2:$R$1088, '充填效能'!$A$2:$A$1088=$C14, '充填效能'!$D$2:$D$1088=""排瓶""), 1), 0)"),1)</f>
        <v>1</v>
      </c>
      <c r="AN14" s="35">
        <f t="shared" ca="1" si="5"/>
        <v>1.956923076923077</v>
      </c>
      <c r="AO14" s="36" t="str">
        <f ca="1">IFERROR(__xludf.DUMMYFUNCTION("IFERROR(INDEX(FILTER('充填效能'!$Q$2:$Q$1088, '充填效能'!$A$2:$A$1088=$C14, '充填效能'!$D$2:$D$1088=""充填""), 1), 0)"),"900")</f>
        <v>900</v>
      </c>
      <c r="AP14" s="36">
        <f ca="1">IFERROR(__xludf.DUMMYFUNCTION("IFERROR(INDEX(FILTER('充填效能'!$R$2:$R$1088, '充填效能'!$A$2:$A$1088=$C14, '充填效能'!$D$2:$D$1088=""充填""), 1), 0)"),4)</f>
        <v>4</v>
      </c>
      <c r="AQ14" s="35">
        <f t="shared" ca="1" si="6"/>
        <v>2.8266666666666667</v>
      </c>
      <c r="AR14" s="17">
        <f t="shared" ca="1" si="7"/>
        <v>11.306666666666667</v>
      </c>
    </row>
    <row r="15" spans="1:44" ht="15.75" customHeight="1">
      <c r="A15" s="9" t="s">
        <v>70</v>
      </c>
      <c r="B15" s="34">
        <f t="shared" si="0"/>
        <v>44993</v>
      </c>
      <c r="C15" s="9" t="s">
        <v>234</v>
      </c>
      <c r="D15" s="17" t="str">
        <f t="shared" si="1"/>
        <v>EU22D2</v>
      </c>
      <c r="E15" s="9" t="s">
        <v>235</v>
      </c>
      <c r="F15" s="9">
        <v>10000</v>
      </c>
      <c r="G15" s="10">
        <v>45055</v>
      </c>
      <c r="H15" s="10">
        <v>45041</v>
      </c>
      <c r="I15" s="37">
        <v>45028</v>
      </c>
      <c r="J15" s="37">
        <v>44729</v>
      </c>
      <c r="L15" s="17" t="str">
        <f ca="1">IFERROR(__xludf.DUMMYFUNCTION("TEXTJOIN("", "", TRUE, UNIQUE(FILTER('製造效能'!$D$2:$D$1732, '製造效能'!$B$2:$B$1732 = D15)))"),"大, 精")</f>
        <v>大, 精</v>
      </c>
      <c r="M15" s="17" t="str">
        <f ca="1">IFERROR(__xludf.DUMMYFUNCTION("INDEX(UNIQUE(FILTER('製造效能'!$D$2:$D$1732, ('製造效能'!$B$2:$B$1732 = D15) * ('製造效能'!$J$2:$J$1732 = MAXIFS('製造效能'!$J$2:$J$1732, '製造效能'!$B$2:$B$1732, D15)))), 1) 
"),"大")</f>
        <v>大</v>
      </c>
      <c r="N15" s="17" t="str">
        <f ca="1">IFERROR(__xludf.DUMMYFUNCTION("TEXTJOIN("", "", TRUE, UNIQUE(FILTER('製造效能'!$K$2:$K$1732, '製造效能'!$B$2:$B$1732 = D15)))"),"水項")</f>
        <v>水項</v>
      </c>
      <c r="O15" s="35">
        <f ca="1">IFERROR(__xludf.DUMMYFUNCTION("IFERROR(INDEX(FILTER('充填效能'!I$2:I$1088, '充填效能'!$A$2:$A$1088=$C15, '充填效能'!$D$2:$D$1088=""充填""), 1), 0)"),31.4)</f>
        <v>31.4</v>
      </c>
      <c r="P15" s="35" t="str">
        <f ca="1">IFERROR(__xludf.DUMMYFUNCTION("IFERROR(INDEX(FILTER('充填效能'!J$2:J$1088, '充填效能'!$A$2:$A$1088=$C15, '充填效能'!$D$2:$D$1088=""充填""), 1), 0)"),"")</f>
        <v/>
      </c>
      <c r="Q15" s="35" t="str">
        <f ca="1">IFERROR(__xludf.DUMMYFUNCTION("IFERROR(INDEX(FILTER('充填效能'!K$2:K$1088, '充填效能'!$A$2:$A$1088=$C15, '充填效能'!$D$2:$D$1088=""充填""), 1), 0)"),"")</f>
        <v/>
      </c>
      <c r="R15" s="35" t="str">
        <f ca="1">IFERROR(__xludf.DUMMYFUNCTION("IFERROR(INDEX(FILTER('充填效能'!L$2:L$1088, '充填效能'!$A$2:$A$1088=$C15, '充填效能'!$D$2:$D$1088=""充填""), 1), 0)"),"")</f>
        <v/>
      </c>
      <c r="S15" s="35">
        <f ca="1">COUNTIFS(製造效能!B:B, $D15,製造效能!D:D,M15)</f>
        <v>3</v>
      </c>
      <c r="T15" s="36">
        <f ca="1">IFERROR(__xludf.DUMMYFUNCTION("VALUE(REGEXEXTRACT(TO_TEXT(O15), ""\d*\.?\d+""))"),31.4)</f>
        <v>31.4</v>
      </c>
      <c r="U15" s="17">
        <f t="shared" ca="1" si="2"/>
        <v>318709.99999999994</v>
      </c>
      <c r="V15" s="17">
        <f ca="1">IFERROR(__xludf.DUMMYFUNCTION("IFERROR(INDEX(FILTER('製造效能'!J:J, '製造效能'!A:A=$C15, '製造效能'!D:D=M15, '製造效能'!E:E=""攪料""), 1), INDEX(FILTER('製造效能'!J:J, '製造效能'!B:B=$D15, '製造效能'!D:D=M15, '製造效能'!E:E=""攪料""), 1))"),412)</f>
        <v>412</v>
      </c>
      <c r="W15" s="36">
        <f ca="1">IFERROR(__xludf.DUMMYFUNCTION("IFERROR(INDEX(FILTER('製造效能'!G:G, '製造效能'!A:A=$C15, '製造效能'!D:D=M15, '製造效能'!E:E=""攪料""), 1), INDEX(FILTER('製造效能'!G:G, '製造效能'!B:B=$D15, '製造效能'!D:D=M15, '製造效能'!E:E=""攪料""), 1))"),110)</f>
        <v>110</v>
      </c>
      <c r="X15" s="35">
        <f t="shared" ca="1" si="3"/>
        <v>1</v>
      </c>
      <c r="Y15" s="35">
        <f t="shared" ca="1" si="4"/>
        <v>110</v>
      </c>
      <c r="Z15" s="35">
        <f ca="1">IFERROR(__xludf.DUMMYFUNCTION("IFERROR(IFERROR(INDEX(FILTER('製造效能'!G:G, '製造效能'!A:A=$C15, '製造效能'!D:D=M15, '製造效能'!E:E=""預攪""), 1), INDEX(FILTER('製造效能'!G:G, '製造效能'!B:B=$D15, '製造效能'!D:D=M15, '製造效能'!E:E=""預攪""), 1)), 0)"),60)</f>
        <v>60</v>
      </c>
      <c r="AA15" s="35">
        <f ca="1">IFERROR(__xludf.DUMMYFUNCTION("IFERROR(INDEX(FILTER('製造效能'!G:G, '製造效能'!A:A=$C15, '製造效能'!D:D=M15, '製造效能'!E:E=""清洗""), 1), INDEX(FILTER('製造效能'!G:G, '製造效能'!B:B=$D15, '製造效能'!D:D=M15, '製造效能'!E:E=""清洗""), 1))"),30)</f>
        <v>30</v>
      </c>
      <c r="AB15" s="35" t="str">
        <f ca="1">IFERROR(__xludf.DUMMYFUNCTION("IFERROR(INDEX(FILTER('製造效能'!N:N, '製造效能'!$A:$A=$C15, '製造效能'!$D:$D=$M15, '製造效能'!$E:$E=""攪料""), 1), INDEX(FILTER('製造效能'!N:N, '製造效能'!$B:$B=$D15, '製造效能'!$D:$D=$M15, '製造效能'!$E:$E=""攪料""), 1))"),"")</f>
        <v/>
      </c>
      <c r="AC15" s="35" t="str">
        <f ca="1">IFERROR(__xludf.DUMMYFUNCTION("IFERROR(INDEX(FILTER('製造效能'!O:O, '製造效能'!$A:$A=$C15, '製造效能'!$D:$D=$M15, '製造效能'!$E:$E=""攪料""), 1), INDEX(FILTER('製造效能'!O:O, '製造效能'!$B:$B=$D15, '製造效能'!$D:$D=$M15, '製造效能'!$E:$E=""攪料""), 1))"),"")</f>
        <v/>
      </c>
      <c r="AD15" s="35" t="str">
        <f ca="1">IFERROR(__xludf.DUMMYFUNCTION("IFERROR(INDEX(FILTER('製造效能'!P:P, '製造效能'!$A:$A=$C15, '製造效能'!$D:$D=$M15, '製造效能'!$E:$E=""攪料""), 1), INDEX(FILTER('製造效能'!P:P, '製造效能'!$B:$B=$D15, '製造效能'!$D:$D=$M15, '製造效能'!$E:$E=""攪料""), 1))"),"")</f>
        <v/>
      </c>
      <c r="AE15" s="35" t="str">
        <f ca="1">IFERROR(__xludf.DUMMYFUNCTION("IFERROR(INDEX(FILTER('製造效能'!Q:Q, '製造效能'!$A:$A=$C15, '製造效能'!$D:$D=$M15, '製造效能'!$E:$E=""攪料""), 1), INDEX(FILTER('製造效能'!Q:Q, '製造效能'!$B:$B=$D15, '製造效能'!$D:$D=$M15, '製造效能'!$E:$E=""攪料""), 1))"),"")</f>
        <v/>
      </c>
      <c r="AF15" s="35" t="str">
        <f ca="1">IFERROR(__xludf.DUMMYFUNCTION("IFERROR(INDEX(FILTER('製造效能'!R:R, '製造效能'!$A:$A=$C15, '製造效能'!$D:$D=$M15, '製造效能'!$E:$E=""攪料""), 1), INDEX(FILTER('製造效能'!R:R, '製造效能'!$B:$B=$D15, '製造效能'!$D:$D=$M15, '製造效能'!$E:$E=""攪料""), 1))"),"")</f>
        <v/>
      </c>
      <c r="AG15" s="35">
        <f ca="1">IFERROR(__xludf.DUMMYFUNCTION("IFERROR(INDEX(FILTER('製造效能'!S:S, '製造效能'!$A:$A=$C15, '製造效能'!$D:$D=$M15, '製造效能'!$E:$E=""攪料""), 1), INDEX(FILTER('製造效能'!S:S, '製造效能'!$B:$B=$D15, '製造效能'!$D:$D=$M15, '製造效能'!$E:$E=""攪料""), 1))"),1)</f>
        <v>1</v>
      </c>
      <c r="AH15" s="35" t="str">
        <f ca="1">IFERROR(__xludf.DUMMYFUNCTION("IFERROR(INDEX(FILTER('製造效能'!T:T, '製造效能'!$A:$A=$C15, '製造效能'!$D:$D=$M15, '製造效能'!$E:$E=""攪料""), 1), INDEX(FILTER('製造效能'!T:T, '製造效能'!$B:$B=$D15, '製造效能'!$D:$D=$M15, '製造效能'!$E:$E=""攪料""), 1))"),"")</f>
        <v/>
      </c>
      <c r="AI15" s="35" t="str">
        <f ca="1">IFERROR(__xludf.DUMMYFUNCTION("IFERROR(INDEX(FILTER('製造效能'!U:U, '製造效能'!$A:$A=$C15, '製造效能'!$D:$D=$M15, '製造效能'!$E:$E=""攪料""), 1), INDEX(FILTER('製造效能'!U:U, '製造效能'!$B:$B=$D15, '製造效能'!$D:$D=$M15, '製造效能'!$E:$E=""攪料""), 1))"),"")</f>
        <v/>
      </c>
      <c r="AJ15" s="35" t="str">
        <f ca="1">IFERROR(__xludf.DUMMYFUNCTION("IFERROR(INDEX(FILTER('製造效能'!V:V, '製造效能'!$A:$A=$C15, '製造效能'!$D:$D=$M15, '製造效能'!$E:$E=""攪料""), 1), INDEX(FILTER('製造效能'!V:V, '製造效能'!$B:$B=$D15, '製造效能'!$D:$D=$M15, '製造效能'!$E:$E=""攪料""), 1))"),"")</f>
        <v/>
      </c>
      <c r="AK15" s="35">
        <f>COUNTIF(充填效能!$A:$A, $C15)</f>
        <v>2</v>
      </c>
      <c r="AL15" s="36" t="str">
        <f ca="1">IFERROR(__xludf.DUMMYFUNCTION("IFERROR(INDEX(FILTER('充填效能'!$Q$2:$Q$1088, '充填效能'!$A$2:$A$1088=$C15, '充填效能'!$D$2:$D$1088=""排瓶""), 1), 0)"),"1300")</f>
        <v>1300</v>
      </c>
      <c r="AM15" s="36">
        <f ca="1">IFERROR(__xludf.DUMMYFUNCTION("IFERROR(INDEX(FILTER('充填效能'!$R$2:$R$1088, '充填效能'!$A$2:$A$1088=$C15, '充填效能'!$D$2:$D$1088=""排瓶""), 1), 0)"),1)</f>
        <v>1</v>
      </c>
      <c r="AN15" s="35">
        <f t="shared" ca="1" si="5"/>
        <v>7.6923076923076925</v>
      </c>
      <c r="AO15" s="36" t="str">
        <f ca="1">IFERROR(__xludf.DUMMYFUNCTION("IFERROR(INDEX(FILTER('充填效能'!$Q$2:$Q$1088, '充填效能'!$A$2:$A$1088=$C15, '充填效能'!$D$2:$D$1088=""充填""), 1), 0)"),"1200")</f>
        <v>1200</v>
      </c>
      <c r="AP15" s="36">
        <f ca="1">IFERROR(__xludf.DUMMYFUNCTION("IFERROR(INDEX(FILTER('充填效能'!$R$2:$R$1088, '充填效能'!$A$2:$A$1088=$C15, '充填效能'!$D$2:$D$1088=""充填""), 1), 0)"),4)</f>
        <v>4</v>
      </c>
      <c r="AQ15" s="35">
        <f t="shared" ca="1" si="6"/>
        <v>8.3333333333333339</v>
      </c>
      <c r="AR15" s="17">
        <f t="shared" ca="1" si="7"/>
        <v>33.333333333333336</v>
      </c>
    </row>
    <row r="16" spans="1:44" ht="15.75" customHeight="1">
      <c r="A16" s="9" t="s">
        <v>45</v>
      </c>
      <c r="B16" s="34">
        <f t="shared" si="0"/>
        <v>44904</v>
      </c>
      <c r="C16" s="9" t="s">
        <v>79</v>
      </c>
      <c r="D16" s="17" t="str">
        <f t="shared" si="1"/>
        <v>AW21E1</v>
      </c>
      <c r="E16" s="9" t="s">
        <v>80</v>
      </c>
      <c r="F16" s="9">
        <v>3000</v>
      </c>
      <c r="G16" s="10">
        <v>45051</v>
      </c>
      <c r="H16" s="10">
        <v>45042</v>
      </c>
      <c r="I16" s="10">
        <v>45008</v>
      </c>
      <c r="J16" s="10">
        <v>45030</v>
      </c>
      <c r="L16" s="17" t="str">
        <f ca="1">IFERROR(__xludf.DUMMYFUNCTION("TEXTJOIN("", "", TRUE, UNIQUE(FILTER('製造效能'!$D$2:$D$1732, '製造效能'!$B$2:$B$1732 = D16)))"),"小乳, 大乳")</f>
        <v>小乳, 大乳</v>
      </c>
      <c r="M16" s="17" t="str">
        <f ca="1">IFERROR(__xludf.DUMMYFUNCTION("INDEX(UNIQUE(FILTER('製造效能'!$D$2:$D$1732, ('製造效能'!$B$2:$B$1732 = D16) * ('製造效能'!$J$2:$J$1732 = MAXIFS('製造效能'!$J$2:$J$1732, '製造效能'!$B$2:$B$1732, D16)))), 1) 
"),"大乳")</f>
        <v>大乳</v>
      </c>
      <c r="N16" s="17" t="str">
        <f ca="1">IFERROR(__xludf.DUMMYFUNCTION("TEXTJOIN("", "", TRUE, UNIQUE(FILTER('製造效能'!$K$2:$K$1732, '製造效能'!$B$2:$B$1732 = D16)))"),"乳項")</f>
        <v>乳項</v>
      </c>
      <c r="P16" s="35" t="str">
        <f ca="1">IFERROR(__xludf.DUMMYFUNCTION("IFERROR(INDEX(FILTER('充填效能'!J$2:J$1088, '充填效能'!$A$2:$A$1088=$C16, '充填效能'!$D$2:$D$1088=""充填""), 1), 0)"),"")</f>
        <v/>
      </c>
      <c r="Q16" s="35" t="str">
        <f ca="1">IFERROR(__xludf.DUMMYFUNCTION("IFERROR(INDEX(FILTER('充填效能'!K$2:K$1088, '充填效能'!$A$2:$A$1088=$C16, '充填效能'!$D$2:$D$1088=""充填""), 1), 0)"),"")</f>
        <v/>
      </c>
      <c r="R16" s="35">
        <f ca="1">IFERROR(__xludf.DUMMYFUNCTION("IFERROR(INDEX(FILTER('充填效能'!I$2:I$1088, '充填效能'!$A$2:$A$1088=$C16, '充填效能'!$D$2:$D$1088=""充填""), 1), 0)"),30)</f>
        <v>30</v>
      </c>
      <c r="S16" s="35">
        <f ca="1">COUNTIFS(製造效能!B:B, $D16,製造效能!D:D,M16)</f>
        <v>3</v>
      </c>
      <c r="T16" s="36">
        <f ca="1">IFERROR(__xludf.DUMMYFUNCTION("VALUE(REGEXEXTRACT(TO_TEXT(R16), ""\d*\.?\d+""))"),30)</f>
        <v>30</v>
      </c>
      <c r="U16" s="17">
        <f t="shared" ca="1" si="2"/>
        <v>91349.999999999985</v>
      </c>
      <c r="V16" s="17">
        <f ca="1">IFERROR(__xludf.DUMMYFUNCTION("IFERROR(INDEX(FILTER('製造效能'!J:J, '製造效能'!A:A=$C16, '製造效能'!D:D=M16, '製造效能'!E:E=""攪料""), 1), INDEX(FILTER('製造效能'!J:J, '製造效能'!B:B=$D16, '製造效能'!D:D=M16, '製造效能'!E:E=""攪料""), 1))"),103)</f>
        <v>103</v>
      </c>
      <c r="W16" s="36">
        <f ca="1">IFERROR(__xludf.DUMMYFUNCTION("IFERROR(INDEX(FILTER('製造效能'!G:G, '製造效能'!A:A=$C16, '製造效能'!D:D=M16, '製造效能'!E:E=""攪料""), 1), INDEX(FILTER('製造效能'!G:G, '製造效能'!B:B=$D16, '製造效能'!D:D=M16, '製造效能'!E:E=""攪料""), 1))"),180)</f>
        <v>180</v>
      </c>
      <c r="X16" s="35">
        <f t="shared" ca="1" si="3"/>
        <v>1</v>
      </c>
      <c r="Y16" s="35">
        <f t="shared" ca="1" si="4"/>
        <v>180</v>
      </c>
      <c r="Z16" s="35">
        <f ca="1">IFERROR(__xludf.DUMMYFUNCTION("IFERROR(IFERROR(INDEX(FILTER('製造效能'!G:G, '製造效能'!A:A=$C16, '製造效能'!D:D=M16, '製造效能'!E:E=""預攪""), 1), INDEX(FILTER('製造效能'!G:G, '製造效能'!B:B=$D16, '製造效能'!D:D=M16, '製造效能'!E:E=""預攪""), 1)), 0)"),45)</f>
        <v>45</v>
      </c>
      <c r="AA16" s="35">
        <f ca="1">IFERROR(__xludf.DUMMYFUNCTION("IFERROR(INDEX(FILTER('製造效能'!G:G, '製造效能'!A:A=$C16, '製造效能'!D:D=M16, '製造效能'!E:E=""清洗""), 1), INDEX(FILTER('製造效能'!G:G, '製造效能'!B:B=$D16, '製造效能'!D:D=M16, '製造效能'!E:E=""清洗""), 1))"),40)</f>
        <v>40</v>
      </c>
      <c r="AB16" s="35" t="str">
        <f ca="1">IFERROR(__xludf.DUMMYFUNCTION("IFERROR(INDEX(FILTER('製造效能'!N:N, '製造效能'!$A:$A=$C16, '製造效能'!$D:$D=$M16, '製造效能'!$E:$E=""攪料""), 1), INDEX(FILTER('製造效能'!N:N, '製造效能'!$B:$B=$D16, '製造效能'!$D:$D=$M16, '製造效能'!$E:$E=""攪料""), 1))"),"")</f>
        <v/>
      </c>
      <c r="AC16" s="35" t="str">
        <f ca="1">IFERROR(__xludf.DUMMYFUNCTION("IFERROR(INDEX(FILTER('製造效能'!O:O, '製造效能'!$A:$A=$C16, '製造效能'!$D:$D=$M16, '製造效能'!$E:$E=""攪料""), 1), INDEX(FILTER('製造效能'!O:O, '製造效能'!$B:$B=$D16, '製造效能'!$D:$D=$M16, '製造效能'!$E:$E=""攪料""), 1))"),"")</f>
        <v/>
      </c>
      <c r="AD16" s="35" t="str">
        <f ca="1">IFERROR(__xludf.DUMMYFUNCTION("IFERROR(INDEX(FILTER('製造效能'!P:P, '製造效能'!$A:$A=$C16, '製造效能'!$D:$D=$M16, '製造效能'!$E:$E=""攪料""), 1), INDEX(FILTER('製造效能'!P:P, '製造效能'!$B:$B=$D16, '製造效能'!$D:$D=$M16, '製造效能'!$E:$E=""攪料""), 1))"),"")</f>
        <v/>
      </c>
      <c r="AE16" s="35">
        <f ca="1">IFERROR(__xludf.DUMMYFUNCTION("IFERROR(INDEX(FILTER('製造效能'!Q:Q, '製造效能'!$A:$A=$C16, '製造效能'!$D:$D=$M16, '製造效能'!$E:$E=""攪料""), 1), INDEX(FILTER('製造效能'!Q:Q, '製造效能'!$B:$B=$D16, '製造效能'!$D:$D=$M16, '製造效能'!$E:$E=""攪料""), 1))"),1)</f>
        <v>1</v>
      </c>
      <c r="AF16" s="35" t="str">
        <f ca="1">IFERROR(__xludf.DUMMYFUNCTION("IFERROR(INDEX(FILTER('製造效能'!R:R, '製造效能'!$A:$A=$C16, '製造效能'!$D:$D=$M16, '製造效能'!$E:$E=""攪料""), 1), INDEX(FILTER('製造效能'!R:R, '製造效能'!$B:$B=$D16, '製造效能'!$D:$D=$M16, '製造效能'!$E:$E=""攪料""), 1))"),"")</f>
        <v/>
      </c>
      <c r="AG16" s="35" t="str">
        <f ca="1">IFERROR(__xludf.DUMMYFUNCTION("IFERROR(INDEX(FILTER('製造效能'!S:S, '製造效能'!$A:$A=$C16, '製造效能'!$D:$D=$M16, '製造效能'!$E:$E=""攪料""), 1), INDEX(FILTER('製造效能'!S:S, '製造效能'!$B:$B=$D16, '製造效能'!$D:$D=$M16, '製造效能'!$E:$E=""攪料""), 1))"),"")</f>
        <v/>
      </c>
      <c r="AH16" s="35" t="str">
        <f ca="1">IFERROR(__xludf.DUMMYFUNCTION("IFERROR(INDEX(FILTER('製造效能'!T:T, '製造效能'!$A:$A=$C16, '製造效能'!$D:$D=$M16, '製造效能'!$E:$E=""攪料""), 1), INDEX(FILTER('製造效能'!T:T, '製造效能'!$B:$B=$D16, '製造效能'!$D:$D=$M16, '製造效能'!$E:$E=""攪料""), 1))"),"")</f>
        <v/>
      </c>
      <c r="AI16" s="35" t="str">
        <f ca="1">IFERROR(__xludf.DUMMYFUNCTION("IFERROR(INDEX(FILTER('製造效能'!U:U, '製造效能'!$A:$A=$C16, '製造效能'!$D:$D=$M16, '製造效能'!$E:$E=""攪料""), 1), INDEX(FILTER('製造效能'!U:U, '製造效能'!$B:$B=$D16, '製造效能'!$D:$D=$M16, '製造效能'!$E:$E=""攪料""), 1))"),"")</f>
        <v/>
      </c>
      <c r="AJ16" s="35" t="str">
        <f ca="1">IFERROR(__xludf.DUMMYFUNCTION("IFERROR(INDEX(FILTER('製造效能'!V:V, '製造效能'!$A:$A=$C16, '製造效能'!$D:$D=$M16, '製造效能'!$E:$E=""攪料""), 1), INDEX(FILTER('製造效能'!V:V, '製造效能'!$B:$B=$D16, '製造效能'!$D:$D=$M16, '製造效能'!$E:$E=""攪料""), 1))"),"")</f>
        <v/>
      </c>
      <c r="AK16" s="35">
        <f>COUNTIF(充填效能!$A:$A, $C16)</f>
        <v>2</v>
      </c>
      <c r="AL16" s="36" t="str">
        <f ca="1">IFERROR(__xludf.DUMMYFUNCTION("IFERROR(INDEX(FILTER('充填效能'!$Q$2:$Q$1088, '充填效能'!$A$2:$A$1088=$C16, '充填效能'!$D$2:$D$1088=""排瓶""), 1), 0)"),"750")</f>
        <v>750</v>
      </c>
      <c r="AM16" s="36">
        <f ca="1">IFERROR(__xludf.DUMMYFUNCTION("IFERROR(INDEX(FILTER('充填效能'!$R$2:$R$1088, '充填效能'!$A$2:$A$1088=$C16, '充填效能'!$D$2:$D$1088=""排瓶""), 1), 0)"),1)</f>
        <v>1</v>
      </c>
      <c r="AN16" s="35">
        <f t="shared" ca="1" si="5"/>
        <v>4</v>
      </c>
      <c r="AO16" s="36" t="str">
        <f ca="1">IFERROR(__xludf.DUMMYFUNCTION("IFERROR(INDEX(FILTER('充填效能'!$Q$2:$Q$1088, '充填效能'!$A$2:$A$1088=$C16, '充填效能'!$D$2:$D$1088=""充填""), 1), 0)"),"770")</f>
        <v>770</v>
      </c>
      <c r="AP16" s="36">
        <f ca="1">IFERROR(__xludf.DUMMYFUNCTION("IFERROR(INDEX(FILTER('充填效能'!$R$2:$R$1088, '充填效能'!$A$2:$A$1088=$C16, '充填效能'!$D$2:$D$1088=""充填""), 1), 0)"),4)</f>
        <v>4</v>
      </c>
      <c r="AQ16" s="35">
        <f t="shared" ca="1" si="6"/>
        <v>3.8961038961038961</v>
      </c>
      <c r="AR16" s="17">
        <f t="shared" ca="1" si="7"/>
        <v>15.584415584415584</v>
      </c>
    </row>
    <row r="17" spans="1:44" ht="15.75" customHeight="1">
      <c r="A17" s="9" t="s">
        <v>61</v>
      </c>
      <c r="B17" s="34">
        <f t="shared" si="0"/>
        <v>44974</v>
      </c>
      <c r="C17" s="9" t="s">
        <v>43</v>
      </c>
      <c r="D17" s="17" t="str">
        <f t="shared" si="1"/>
        <v>N1UVH7</v>
      </c>
      <c r="E17" s="9" t="s">
        <v>44</v>
      </c>
      <c r="F17" s="9">
        <v>6000</v>
      </c>
      <c r="G17" s="10">
        <v>45058</v>
      </c>
      <c r="H17" s="10">
        <v>45043</v>
      </c>
      <c r="I17" s="10">
        <v>45027</v>
      </c>
      <c r="J17" s="10">
        <v>45002</v>
      </c>
      <c r="L17" s="17" t="str">
        <f ca="1">IFERROR(__xludf.DUMMYFUNCTION("TEXTJOIN("", "", TRUE, UNIQUE(FILTER('製造效能'!$D$2:$D$1732, '製造效能'!$B$2:$B$1732 = D17)))"),"精")</f>
        <v>精</v>
      </c>
      <c r="M17" s="17" t="str">
        <f ca="1">IFERROR(__xludf.DUMMYFUNCTION("INDEX(UNIQUE(FILTER('製造效能'!$D$2:$D$1732, ('製造效能'!$B$2:$B$1732 = D17) * ('製造效能'!$J$2:$J$1732 = MAXIFS('製造效能'!$J$2:$J$1732, '製造效能'!$B$2:$B$1732, D17)))), 1) 
"),"精")</f>
        <v>精</v>
      </c>
      <c r="N17" s="17" t="str">
        <f ca="1">IFERROR(__xludf.DUMMYFUNCTION("TEXTJOIN("", "", TRUE, UNIQUE(FILTER('製造效能'!$K$2:$K$1732, '製造效能'!$B$2:$B$1732 = D17)))"),"乳項")</f>
        <v>乳項</v>
      </c>
      <c r="P17" s="35" t="str">
        <f ca="1">IFERROR(__xludf.DUMMYFUNCTION("IFERROR(INDEX(FILTER('充填效能'!J$2:J$1088, '充填效能'!$A$2:$A$1088=$C17, '充填效能'!$D$2:$D$1088=""充填""), 1), 0)"),"")</f>
        <v/>
      </c>
      <c r="Q17" s="35" t="str">
        <f ca="1">IFERROR(__xludf.DUMMYFUNCTION("IFERROR(INDEX(FILTER('充填效能'!K$2:K$1088, '充填效能'!$A$2:$A$1088=$C17, '充填效能'!$D$2:$D$1088=""充填""), 1), 0)"),"")</f>
        <v/>
      </c>
      <c r="R17" s="35">
        <f ca="1">IFERROR(__xludf.DUMMYFUNCTION("IFERROR(INDEX(FILTER('充填效能'!I$2:I$1088, '充填效能'!$A$2:$A$1088=$C17, '充填效能'!$D$2:$D$1088=""充填""), 1), 0)"),30)</f>
        <v>30</v>
      </c>
      <c r="S17" s="35">
        <f ca="1">COUNTIFS(製造效能!B:B, $D17,製造效能!D:D,M17)</f>
        <v>3</v>
      </c>
      <c r="T17" s="36">
        <f ca="1">IFERROR(__xludf.DUMMYFUNCTION("VALUE(REGEXEXTRACT(TO_TEXT(R17), ""\d*\.?\d+""))"),30)</f>
        <v>30</v>
      </c>
      <c r="U17" s="17">
        <f t="shared" ca="1" si="2"/>
        <v>182699.99999999997</v>
      </c>
      <c r="V17" s="17">
        <f ca="1">IFERROR(__xludf.DUMMYFUNCTION("IFERROR(INDEX(FILTER('製造效能'!J:J, '製造效能'!A:A=$C17, '製造效能'!D:D=M17, '製造效能'!E:E=""攪料""), 1), INDEX(FILTER('製造效能'!J:J, '製造效能'!B:B=$D17, '製造效能'!D:D=M17, '製造效能'!E:E=""攪料""), 1))"),70)</f>
        <v>70</v>
      </c>
      <c r="W17" s="36">
        <f ca="1">IFERROR(__xludf.DUMMYFUNCTION("IFERROR(INDEX(FILTER('製造效能'!G:G, '製造效能'!A:A=$C17, '製造效能'!D:D=M17, '製造效能'!E:E=""攪料""), 1), INDEX(FILTER('製造效能'!G:G, '製造效能'!B:B=$D17, '製造效能'!D:D=M17, '製造效能'!E:E=""攪料""), 1))"),125)</f>
        <v>125</v>
      </c>
      <c r="X17" s="35">
        <f t="shared" ca="1" si="3"/>
        <v>3</v>
      </c>
      <c r="Y17" s="35">
        <f t="shared" ca="1" si="4"/>
        <v>375</v>
      </c>
      <c r="Z17" s="35">
        <f ca="1">IFERROR(__xludf.DUMMYFUNCTION("IFERROR(IFERROR(INDEX(FILTER('製造效能'!G:G, '製造效能'!A:A=$C17, '製造效能'!D:D=M17, '製造效能'!E:E=""預攪""), 1), INDEX(FILTER('製造效能'!G:G, '製造效能'!B:B=$D17, '製造效能'!D:D=M17, '製造效能'!E:E=""預攪""), 1)), 0)"),35)</f>
        <v>35</v>
      </c>
      <c r="AA17" s="35">
        <f ca="1">IFERROR(__xludf.DUMMYFUNCTION("IFERROR(INDEX(FILTER('製造效能'!G:G, '製造效能'!A:A=$C17, '製造效能'!D:D=M17, '製造效能'!E:E=""清洗""), 1), INDEX(FILTER('製造效能'!G:G, '製造效能'!B:B=$D17, '製造效能'!D:D=M17, '製造效能'!E:E=""清洗""), 1))"),15)</f>
        <v>15</v>
      </c>
      <c r="AB17" s="35" t="str">
        <f ca="1">IFERROR(__xludf.DUMMYFUNCTION("IFERROR(INDEX(FILTER('製造效能'!N:N, '製造效能'!$A:$A=$C17, '製造效能'!$D:$D=$M17, '製造效能'!$E:$E=""攪料""), 1), INDEX(FILTER('製造效能'!N:N, '製造效能'!$B:$B=$D17, '製造效能'!$D:$D=$M17, '製造效能'!$E:$E=""攪料""), 1))"),"")</f>
        <v/>
      </c>
      <c r="AC17" s="35">
        <f ca="1">IFERROR(__xludf.DUMMYFUNCTION("IFERROR(INDEX(FILTER('製造效能'!O:O, '製造效能'!$A:$A=$C17, '製造效能'!$D:$D=$M17, '製造效能'!$E:$E=""攪料""), 1), INDEX(FILTER('製造效能'!O:O, '製造效能'!$B:$B=$D17, '製造效能'!$D:$D=$M17, '製造效能'!$E:$E=""攪料""), 1))"),1)</f>
        <v>1</v>
      </c>
      <c r="AD17" s="35" t="str">
        <f ca="1">IFERROR(__xludf.DUMMYFUNCTION("IFERROR(INDEX(FILTER('製造效能'!P:P, '製造效能'!$A:$A=$C17, '製造效能'!$D:$D=$M17, '製造效能'!$E:$E=""攪料""), 1), INDEX(FILTER('製造效能'!P:P, '製造效能'!$B:$B=$D17, '製造效能'!$D:$D=$M17, '製造效能'!$E:$E=""攪料""), 1))"),"")</f>
        <v/>
      </c>
      <c r="AE17" s="35" t="str">
        <f ca="1">IFERROR(__xludf.DUMMYFUNCTION("IFERROR(INDEX(FILTER('製造效能'!Q:Q, '製造效能'!$A:$A=$C17, '製造效能'!$D:$D=$M17, '製造效能'!$E:$E=""攪料""), 1), INDEX(FILTER('製造效能'!Q:Q, '製造效能'!$B:$B=$D17, '製造效能'!$D:$D=$M17, '製造效能'!$E:$E=""攪料""), 1))"),"")</f>
        <v/>
      </c>
      <c r="AF17" s="35" t="str">
        <f ca="1">IFERROR(__xludf.DUMMYFUNCTION("IFERROR(INDEX(FILTER('製造效能'!R:R, '製造效能'!$A:$A=$C17, '製造效能'!$D:$D=$M17, '製造效能'!$E:$E=""攪料""), 1), INDEX(FILTER('製造效能'!R:R, '製造效能'!$B:$B=$D17, '製造效能'!$D:$D=$M17, '製造效能'!$E:$E=""攪料""), 1))"),"")</f>
        <v/>
      </c>
      <c r="AG17" s="35" t="str">
        <f ca="1">IFERROR(__xludf.DUMMYFUNCTION("IFERROR(INDEX(FILTER('製造效能'!S:S, '製造效能'!$A:$A=$C17, '製造效能'!$D:$D=$M17, '製造效能'!$E:$E=""攪料""), 1), INDEX(FILTER('製造效能'!S:S, '製造效能'!$B:$B=$D17, '製造效能'!$D:$D=$M17, '製造效能'!$E:$E=""攪料""), 1))"),"")</f>
        <v/>
      </c>
      <c r="AH17" s="35" t="str">
        <f ca="1">IFERROR(__xludf.DUMMYFUNCTION("IFERROR(INDEX(FILTER('製造效能'!T:T, '製造效能'!$A:$A=$C17, '製造效能'!$D:$D=$M17, '製造效能'!$E:$E=""攪料""), 1), INDEX(FILTER('製造效能'!T:T, '製造效能'!$B:$B=$D17, '製造效能'!$D:$D=$M17, '製造效能'!$E:$E=""攪料""), 1))"),"")</f>
        <v/>
      </c>
      <c r="AI17" s="35" t="str">
        <f ca="1">IFERROR(__xludf.DUMMYFUNCTION("IFERROR(INDEX(FILTER('製造效能'!U:U, '製造效能'!$A:$A=$C17, '製造效能'!$D:$D=$M17, '製造效能'!$E:$E=""攪料""), 1), INDEX(FILTER('製造效能'!U:U, '製造效能'!$B:$B=$D17, '製造效能'!$D:$D=$M17, '製造效能'!$E:$E=""攪料""), 1))"),"")</f>
        <v/>
      </c>
      <c r="AJ17" s="35" t="str">
        <f ca="1">IFERROR(__xludf.DUMMYFUNCTION("IFERROR(INDEX(FILTER('製造效能'!V:V, '製造效能'!$A:$A=$C17, '製造效能'!$D:$D=$M17, '製造效能'!$E:$E=""攪料""), 1), INDEX(FILTER('製造效能'!V:V, '製造效能'!$B:$B=$D17, '製造效能'!$D:$D=$M17, '製造效能'!$E:$E=""攪料""), 1))"),"")</f>
        <v/>
      </c>
      <c r="AK17" s="35">
        <f>COUNTIF(充填效能!$A:$A, $C17)</f>
        <v>1</v>
      </c>
      <c r="AL17" s="36">
        <f ca="1">IFERROR(__xludf.DUMMYFUNCTION("IFERROR(INDEX(FILTER('充填效能'!$Q$2:$Q$1088, '充填效能'!$A$2:$A$1088=$C17, '充填效能'!$D$2:$D$1088=""排瓶""), 1), 0)"),0)</f>
        <v>0</v>
      </c>
      <c r="AM17" s="36">
        <f ca="1">IFERROR(__xludf.DUMMYFUNCTION("IFERROR(INDEX(FILTER('充填效能'!$R$2:$R$1088, '充填效能'!$A$2:$A$1088=$C17, '充填效能'!$D$2:$D$1088=""排瓶""), 1), 0)"),0)</f>
        <v>0</v>
      </c>
      <c r="AN17" s="35">
        <f t="shared" ca="1" si="5"/>
        <v>0</v>
      </c>
      <c r="AO17" s="36" t="str">
        <f ca="1">IFERROR(__xludf.DUMMYFUNCTION("IFERROR(INDEX(FILTER('充填效能'!$Q$2:$Q$1088, '充填效能'!$A$2:$A$1088=$C17, '充填效能'!$D$2:$D$1088=""充填""), 1), 0)"),"750")</f>
        <v>750</v>
      </c>
      <c r="AP17" s="36">
        <f ca="1">IFERROR(__xludf.DUMMYFUNCTION("IFERROR(INDEX(FILTER('充填效能'!$R$2:$R$1088, '充填效能'!$A$2:$A$1088=$C17, '充填效能'!$D$2:$D$1088=""充填""), 1), 0)"),4)</f>
        <v>4</v>
      </c>
      <c r="AQ17" s="35">
        <f t="shared" ca="1" si="6"/>
        <v>8</v>
      </c>
      <c r="AR17" s="17">
        <f t="shared" ca="1" si="7"/>
        <v>32</v>
      </c>
    </row>
    <row r="18" spans="1:44" ht="15.75" customHeight="1">
      <c r="A18" s="9" t="s">
        <v>253</v>
      </c>
      <c r="B18" s="34">
        <f t="shared" si="0"/>
        <v>44721</v>
      </c>
      <c r="C18" s="9" t="s">
        <v>105</v>
      </c>
      <c r="D18" s="17" t="str">
        <f t="shared" si="1"/>
        <v>N2YLC1</v>
      </c>
      <c r="E18" s="9" t="s">
        <v>106</v>
      </c>
      <c r="F18" s="9">
        <v>5500</v>
      </c>
      <c r="G18" s="10">
        <v>45075</v>
      </c>
      <c r="H18" s="10">
        <v>45044</v>
      </c>
      <c r="I18" s="10">
        <v>45026</v>
      </c>
      <c r="J18" s="10">
        <v>45034</v>
      </c>
      <c r="L18" s="17" t="str">
        <f ca="1">IFERROR(__xludf.DUMMYFUNCTION("TEXTJOIN("", "", TRUE, UNIQUE(FILTER('製造效能'!$D$2:$D$1732, '製造效能'!$B$2:$B$1732 = D18)))"),"大")</f>
        <v>大</v>
      </c>
      <c r="M18" s="17" t="str">
        <f ca="1">IFERROR(__xludf.DUMMYFUNCTION("INDEX(UNIQUE(FILTER('製造效能'!$D$2:$D$1732, ('製造效能'!$B$2:$B$1732 = D18) * ('製造效能'!$J$2:$J$1732 = MAXIFS('製造效能'!$J$2:$J$1732, '製造效能'!$B$2:$B$1732, D18)))), 1) 
"),"大")</f>
        <v>大</v>
      </c>
      <c r="N18" s="17" t="str">
        <f ca="1">IFERROR(__xludf.DUMMYFUNCTION("TEXTJOIN("", "", TRUE, UNIQUE(FILTER('製造效能'!$K$2:$K$1732, '製造效能'!$B$2:$B$1732 = D18)))"),"水項")</f>
        <v>水項</v>
      </c>
      <c r="O18" s="35">
        <f ca="1">IFERROR(__xludf.DUMMYFUNCTION("IFERROR(INDEX(FILTER('充填效能'!I$2:I$1088, '充填效能'!$A$2:$A$1088=$C18, '充填效能'!$D$2:$D$1088=""充填""), 1), 0)"),150)</f>
        <v>150</v>
      </c>
      <c r="P18" s="35" t="str">
        <f ca="1">IFERROR(__xludf.DUMMYFUNCTION("IFERROR(INDEX(FILTER('充填效能'!J$2:J$1088, '充填效能'!$A$2:$A$1088=$C18, '充填效能'!$D$2:$D$1088=""充填""), 1), 0)"),"")</f>
        <v/>
      </c>
      <c r="Q18" s="35" t="str">
        <f ca="1">IFERROR(__xludf.DUMMYFUNCTION("IFERROR(INDEX(FILTER('充填效能'!K$2:K$1088, '充填效能'!$A$2:$A$1088=$C18, '充填效能'!$D$2:$D$1088=""充填""), 1), 0)"),"")</f>
        <v/>
      </c>
      <c r="R18" s="35" t="str">
        <f ca="1">IFERROR(__xludf.DUMMYFUNCTION("IFERROR(INDEX(FILTER('充填效能'!L$2:L$1088, '充填效能'!$A$2:$A$1088=$C18, '充填效能'!$D$2:$D$1088=""充填""), 1), 0)"),"")</f>
        <v/>
      </c>
      <c r="S18" s="35">
        <f ca="1">COUNTIFS(製造效能!B:B, $D18,製造效能!D:D,M18)</f>
        <v>3</v>
      </c>
      <c r="T18" s="36">
        <f ca="1">IFERROR(__xludf.DUMMYFUNCTION("VALUE(REGEXEXTRACT(TO_TEXT(O18), ""\d*\.?\d+""))"),150)</f>
        <v>150</v>
      </c>
      <c r="U18" s="17">
        <f t="shared" ca="1" si="2"/>
        <v>837374.99999999988</v>
      </c>
      <c r="V18" s="17">
        <f ca="1">IFERROR(__xludf.DUMMYFUNCTION("IFERROR(INDEX(FILTER('製造效能'!J:J, '製造效能'!A:A=$C18, '製造效能'!D:D=M18, '製造效能'!E:E=""攪料""), 1), INDEX(FILTER('製造效能'!J:J, '製造效能'!B:B=$D18, '製造效能'!D:D=M18, '製造效能'!E:E=""攪料""), 1))"),297)</f>
        <v>297</v>
      </c>
      <c r="W18" s="36">
        <f ca="1">IFERROR(__xludf.DUMMYFUNCTION("IFERROR(INDEX(FILTER('製造效能'!G:G, '製造效能'!A:A=$C18, '製造效能'!D:D=M18, '製造效能'!E:E=""攪料""), 1), INDEX(FILTER('製造效能'!G:G, '製造效能'!B:B=$D18, '製造效能'!D:D=M18, '製造效能'!E:E=""攪料""), 1))"),95)</f>
        <v>95</v>
      </c>
      <c r="X18" s="35">
        <f t="shared" ca="1" si="3"/>
        <v>3</v>
      </c>
      <c r="Y18" s="35">
        <f t="shared" ca="1" si="4"/>
        <v>285</v>
      </c>
      <c r="Z18" s="35">
        <f ca="1">IFERROR(__xludf.DUMMYFUNCTION("IFERROR(IFERROR(INDEX(FILTER('製造效能'!G:G, '製造效能'!A:A=$C18, '製造效能'!D:D=M18, '製造效能'!E:E=""預攪""), 1), INDEX(FILTER('製造效能'!G:G, '製造效能'!B:B=$D18, '製造效能'!D:D=M18, '製造效能'!E:E=""預攪""), 1)), 0)"),30)</f>
        <v>30</v>
      </c>
      <c r="AA18" s="35">
        <f ca="1">IFERROR(__xludf.DUMMYFUNCTION("IFERROR(INDEX(FILTER('製造效能'!G:G, '製造效能'!A:A=$C18, '製造效能'!D:D=M18, '製造效能'!E:E=""清洗""), 1), INDEX(FILTER('製造效能'!G:G, '製造效能'!B:B=$D18, '製造效能'!D:D=M18, '製造效能'!E:E=""清洗""), 1))"),30)</f>
        <v>30</v>
      </c>
      <c r="AB18" s="35" t="str">
        <f ca="1">IFERROR(__xludf.DUMMYFUNCTION("IFERROR(INDEX(FILTER('製造效能'!N:N, '製造效能'!$A:$A=$C18, '製造效能'!$D:$D=$M18, '製造效能'!$E:$E=""攪料""), 1), INDEX(FILTER('製造效能'!N:N, '製造效能'!$B:$B=$D18, '製造效能'!$D:$D=$M18, '製造效能'!$E:$E=""攪料""), 1))"),"")</f>
        <v/>
      </c>
      <c r="AC18" s="35" t="str">
        <f ca="1">IFERROR(__xludf.DUMMYFUNCTION("IFERROR(INDEX(FILTER('製造效能'!O:O, '製造效能'!$A:$A=$C18, '製造效能'!$D:$D=$M18, '製造效能'!$E:$E=""攪料""), 1), INDEX(FILTER('製造效能'!O:O, '製造效能'!$B:$B=$D18, '製造效能'!$D:$D=$M18, '製造效能'!$E:$E=""攪料""), 1))"),"")</f>
        <v/>
      </c>
      <c r="AD18" s="35" t="str">
        <f ca="1">IFERROR(__xludf.DUMMYFUNCTION("IFERROR(INDEX(FILTER('製造效能'!P:P, '製造效能'!$A:$A=$C18, '製造效能'!$D:$D=$M18, '製造效能'!$E:$E=""攪料""), 1), INDEX(FILTER('製造效能'!P:P, '製造效能'!$B:$B=$D18, '製造效能'!$D:$D=$M18, '製造效能'!$E:$E=""攪料""), 1))"),"")</f>
        <v/>
      </c>
      <c r="AE18" s="35" t="str">
        <f ca="1">IFERROR(__xludf.DUMMYFUNCTION("IFERROR(INDEX(FILTER('製造效能'!Q:Q, '製造效能'!$A:$A=$C18, '製造效能'!$D:$D=$M18, '製造效能'!$E:$E=""攪料""), 1), INDEX(FILTER('製造效能'!Q:Q, '製造效能'!$B:$B=$D18, '製造效能'!$D:$D=$M18, '製造效能'!$E:$E=""攪料""), 1))"),"")</f>
        <v/>
      </c>
      <c r="AF18" s="35" t="str">
        <f ca="1">IFERROR(__xludf.DUMMYFUNCTION("IFERROR(INDEX(FILTER('製造效能'!R:R, '製造效能'!$A:$A=$C18, '製造效能'!$D:$D=$M18, '製造效能'!$E:$E=""攪料""), 1), INDEX(FILTER('製造效能'!R:R, '製造效能'!$B:$B=$D18, '製造效能'!$D:$D=$M18, '製造效能'!$E:$E=""攪料""), 1))"),"")</f>
        <v/>
      </c>
      <c r="AG18" s="35">
        <f ca="1">IFERROR(__xludf.DUMMYFUNCTION("IFERROR(INDEX(FILTER('製造效能'!S:S, '製造效能'!$A:$A=$C18, '製造效能'!$D:$D=$M18, '製造效能'!$E:$E=""攪料""), 1), INDEX(FILTER('製造效能'!S:S, '製造效能'!$B:$B=$D18, '製造效能'!$D:$D=$M18, '製造效能'!$E:$E=""攪料""), 1))"),1)</f>
        <v>1</v>
      </c>
      <c r="AH18" s="35" t="str">
        <f ca="1">IFERROR(__xludf.DUMMYFUNCTION("IFERROR(INDEX(FILTER('製造效能'!T:T, '製造效能'!$A:$A=$C18, '製造效能'!$D:$D=$M18, '製造效能'!$E:$E=""攪料""), 1), INDEX(FILTER('製造效能'!T:T, '製造效能'!$B:$B=$D18, '製造效能'!$D:$D=$M18, '製造效能'!$E:$E=""攪料""), 1))"),"")</f>
        <v/>
      </c>
      <c r="AI18" s="35" t="str">
        <f ca="1">IFERROR(__xludf.DUMMYFUNCTION("IFERROR(INDEX(FILTER('製造效能'!U:U, '製造效能'!$A:$A=$C18, '製造效能'!$D:$D=$M18, '製造效能'!$E:$E=""攪料""), 1), INDEX(FILTER('製造效能'!U:U, '製造效能'!$B:$B=$D18, '製造效能'!$D:$D=$M18, '製造效能'!$E:$E=""攪料""), 1))"),"")</f>
        <v/>
      </c>
      <c r="AJ18" s="35" t="str">
        <f ca="1">IFERROR(__xludf.DUMMYFUNCTION("IFERROR(INDEX(FILTER('製造效能'!V:V, '製造效能'!$A:$A=$C18, '製造效能'!$D:$D=$M18, '製造效能'!$E:$E=""攪料""), 1), INDEX(FILTER('製造效能'!V:V, '製造效能'!$B:$B=$D18, '製造效能'!$D:$D=$M18, '製造效能'!$E:$E=""攪料""), 1))"),"")</f>
        <v/>
      </c>
      <c r="AK18" s="35">
        <f>COUNTIF(充填效能!$A:$A, $C18)</f>
        <v>2</v>
      </c>
      <c r="AL18" s="36" t="str">
        <f ca="1">IFERROR(__xludf.DUMMYFUNCTION("IFERROR(INDEX(FILTER('充填效能'!$Q$2:$Q$1088, '充填效能'!$A$2:$A$1088=$C18, '充填效能'!$D$2:$D$1088=""排瓶""), 1), 0)"),"800")</f>
        <v>800</v>
      </c>
      <c r="AM18" s="36">
        <f ca="1">IFERROR(__xludf.DUMMYFUNCTION("IFERROR(INDEX(FILTER('充填效能'!$R$2:$R$1088, '充填效能'!$A$2:$A$1088=$C18, '充填效能'!$D$2:$D$1088=""排瓶""), 1), 0)"),1)</f>
        <v>1</v>
      </c>
      <c r="AN18" s="35">
        <f t="shared" ca="1" si="5"/>
        <v>6.875</v>
      </c>
      <c r="AO18" s="36" t="str">
        <f ca="1">IFERROR(__xludf.DUMMYFUNCTION("IFERROR(INDEX(FILTER('充填效能'!$Q$2:$Q$1088, '充填效能'!$A$2:$A$1088=$C18, '充填效能'!$D$2:$D$1088=""充填""), 1), 0)"),"550")</f>
        <v>550</v>
      </c>
      <c r="AP18" s="36">
        <f ca="1">IFERROR(__xludf.DUMMYFUNCTION("IFERROR(INDEX(FILTER('充填效能'!$R$2:$R$1088, '充填效能'!$A$2:$A$1088=$C18, '充填效能'!$D$2:$D$1088=""充填""), 1), 0)"),4)</f>
        <v>4</v>
      </c>
      <c r="AQ18" s="35">
        <f t="shared" ca="1" si="6"/>
        <v>10</v>
      </c>
      <c r="AR18" s="17">
        <f t="shared" ca="1" si="7"/>
        <v>40</v>
      </c>
    </row>
    <row r="19" spans="1:44" ht="15.75" customHeight="1">
      <c r="A19" s="9" t="s">
        <v>89</v>
      </c>
      <c r="B19" s="34">
        <f t="shared" si="0"/>
        <v>45006</v>
      </c>
      <c r="C19" s="9" t="s">
        <v>56</v>
      </c>
      <c r="D19" s="17" t="str">
        <f t="shared" si="1"/>
        <v>EU22D2</v>
      </c>
      <c r="E19" s="9" t="s">
        <v>57</v>
      </c>
      <c r="F19" s="9">
        <v>10000</v>
      </c>
      <c r="G19" s="10">
        <v>45055</v>
      </c>
      <c r="H19" s="10">
        <v>45044</v>
      </c>
      <c r="I19" s="10">
        <v>44987</v>
      </c>
      <c r="J19" s="10">
        <v>44939</v>
      </c>
      <c r="L19" s="17" t="str">
        <f ca="1">IFERROR(__xludf.DUMMYFUNCTION("TEXTJOIN("", "", TRUE, UNIQUE(FILTER('製造效能'!$D$2:$D$1732, '製造效能'!$B$2:$B$1732 = D19)))"),"大, 精")</f>
        <v>大, 精</v>
      </c>
      <c r="M19" s="17" t="str">
        <f ca="1">IFERROR(__xludf.DUMMYFUNCTION("INDEX(UNIQUE(FILTER('製造效能'!$D$2:$D$1732, ('製造效能'!$B$2:$B$1732 = D19) * ('製造效能'!$J$2:$J$1732 = MAXIFS('製造效能'!$J$2:$J$1732, '製造效能'!$B$2:$B$1732, D19)))), 1) 
"),"大")</f>
        <v>大</v>
      </c>
      <c r="N19" s="17" t="str">
        <f ca="1">IFERROR(__xludf.DUMMYFUNCTION("TEXTJOIN("", "", TRUE, UNIQUE(FILTER('製造效能'!$K$2:$K$1732, '製造效能'!$B$2:$B$1732 = D19)))"),"水項")</f>
        <v>水項</v>
      </c>
      <c r="O19" s="35">
        <f ca="1">IFERROR(__xludf.DUMMYFUNCTION("IFERROR(INDEX(FILTER('充填效能'!I$2:I$1088, '充填效能'!$A$2:$A$1088=$C19, '充填效能'!$D$2:$D$1088=""充填""), 1), 0)"),5)</f>
        <v>5</v>
      </c>
      <c r="P19" s="35" t="str">
        <f ca="1">IFERROR(__xludf.DUMMYFUNCTION("IFERROR(INDEX(FILTER('充填效能'!J$2:J$1088, '充填效能'!$A$2:$A$1088=$C19, '充填效能'!$D$2:$D$1088=""充填""), 1), 0)"),"")</f>
        <v/>
      </c>
      <c r="Q19" s="35" t="str">
        <f ca="1">IFERROR(__xludf.DUMMYFUNCTION("IFERROR(INDEX(FILTER('充填效能'!K$2:K$1088, '充填效能'!$A$2:$A$1088=$C19, '充填效能'!$D$2:$D$1088=""充填""), 1), 0)"),"")</f>
        <v/>
      </c>
      <c r="R19" s="35" t="str">
        <f ca="1">IFERROR(__xludf.DUMMYFUNCTION("IFERROR(INDEX(FILTER('充填效能'!L$2:L$1088, '充填效能'!$A$2:$A$1088=$C19, '充填效能'!$D$2:$D$1088=""充填""), 1), 0)"),"")</f>
        <v/>
      </c>
      <c r="S19" s="35">
        <f ca="1">COUNTIFS(製造效能!B:B, $D19,製造效能!D:D,M19)</f>
        <v>3</v>
      </c>
      <c r="T19" s="36">
        <f ca="1">IFERROR(__xludf.DUMMYFUNCTION("VALUE(REGEXEXTRACT(TO_TEXT(O19), ""\d*\.?\d+""))"),5)</f>
        <v>5</v>
      </c>
      <c r="U19" s="17">
        <f t="shared" ca="1" si="2"/>
        <v>50749.999999999993</v>
      </c>
      <c r="V19" s="17">
        <f ca="1">IFERROR(__xludf.DUMMYFUNCTION("IFERROR(INDEX(FILTER('製造效能'!J:J, '製造效能'!A:A=$C19, '製造效能'!D:D=M19, '製造效能'!E:E=""攪料""), 1), INDEX(FILTER('製造效能'!J:J, '製造效能'!B:B=$D19, '製造效能'!D:D=M19, '製造效能'!E:E=""攪料""), 1))"),412)</f>
        <v>412</v>
      </c>
      <c r="W19" s="36">
        <f ca="1">IFERROR(__xludf.DUMMYFUNCTION("IFERROR(INDEX(FILTER('製造效能'!G:G, '製造效能'!A:A=$C19, '製造效能'!D:D=M19, '製造效能'!E:E=""攪料""), 1), INDEX(FILTER('製造效能'!G:G, '製造效能'!B:B=$D19, '製造效能'!D:D=M19, '製造效能'!E:E=""攪料""), 1))"),110)</f>
        <v>110</v>
      </c>
      <c r="X19" s="35">
        <f t="shared" ca="1" si="3"/>
        <v>1</v>
      </c>
      <c r="Y19" s="35">
        <f t="shared" ca="1" si="4"/>
        <v>110</v>
      </c>
      <c r="Z19" s="35">
        <f ca="1">IFERROR(__xludf.DUMMYFUNCTION("IFERROR(IFERROR(INDEX(FILTER('製造效能'!G:G, '製造效能'!A:A=$C19, '製造效能'!D:D=M19, '製造效能'!E:E=""預攪""), 1), INDEX(FILTER('製造效能'!G:G, '製造效能'!B:B=$D19, '製造效能'!D:D=M19, '製造效能'!E:E=""預攪""), 1)), 0)"),60)</f>
        <v>60</v>
      </c>
      <c r="AA19" s="35">
        <f ca="1">IFERROR(__xludf.DUMMYFUNCTION("IFERROR(INDEX(FILTER('製造效能'!G:G, '製造效能'!A:A=$C19, '製造效能'!D:D=M19, '製造效能'!E:E=""清洗""), 1), INDEX(FILTER('製造效能'!G:G, '製造效能'!B:B=$D19, '製造效能'!D:D=M19, '製造效能'!E:E=""清洗""), 1))"),30)</f>
        <v>30</v>
      </c>
      <c r="AB19" s="35" t="str">
        <f ca="1">IFERROR(__xludf.DUMMYFUNCTION("IFERROR(INDEX(FILTER('製造效能'!N:N, '製造效能'!$A:$A=$C19, '製造效能'!$D:$D=$M19, '製造效能'!$E:$E=""攪料""), 1), INDEX(FILTER('製造效能'!N:N, '製造效能'!$B:$B=$D19, '製造效能'!$D:$D=$M19, '製造效能'!$E:$E=""攪料""), 1))"),"")</f>
        <v/>
      </c>
      <c r="AC19" s="35" t="str">
        <f ca="1">IFERROR(__xludf.DUMMYFUNCTION("IFERROR(INDEX(FILTER('製造效能'!O:O, '製造效能'!$A:$A=$C19, '製造效能'!$D:$D=$M19, '製造效能'!$E:$E=""攪料""), 1), INDEX(FILTER('製造效能'!O:O, '製造效能'!$B:$B=$D19, '製造效能'!$D:$D=$M19, '製造效能'!$E:$E=""攪料""), 1))"),"")</f>
        <v/>
      </c>
      <c r="AD19" s="35" t="str">
        <f ca="1">IFERROR(__xludf.DUMMYFUNCTION("IFERROR(INDEX(FILTER('製造效能'!P:P, '製造效能'!$A:$A=$C19, '製造效能'!$D:$D=$M19, '製造效能'!$E:$E=""攪料""), 1), INDEX(FILTER('製造效能'!P:P, '製造效能'!$B:$B=$D19, '製造效能'!$D:$D=$M19, '製造效能'!$E:$E=""攪料""), 1))"),"")</f>
        <v/>
      </c>
      <c r="AE19" s="35" t="str">
        <f ca="1">IFERROR(__xludf.DUMMYFUNCTION("IFERROR(INDEX(FILTER('製造效能'!Q:Q, '製造效能'!$A:$A=$C19, '製造效能'!$D:$D=$M19, '製造效能'!$E:$E=""攪料""), 1), INDEX(FILTER('製造效能'!Q:Q, '製造效能'!$B:$B=$D19, '製造效能'!$D:$D=$M19, '製造效能'!$E:$E=""攪料""), 1))"),"")</f>
        <v/>
      </c>
      <c r="AF19" s="35" t="str">
        <f ca="1">IFERROR(__xludf.DUMMYFUNCTION("IFERROR(INDEX(FILTER('製造效能'!R:R, '製造效能'!$A:$A=$C19, '製造效能'!$D:$D=$M19, '製造效能'!$E:$E=""攪料""), 1), INDEX(FILTER('製造效能'!R:R, '製造效能'!$B:$B=$D19, '製造效能'!$D:$D=$M19, '製造效能'!$E:$E=""攪料""), 1))"),"")</f>
        <v/>
      </c>
      <c r="AG19" s="35">
        <f ca="1">IFERROR(__xludf.DUMMYFUNCTION("IFERROR(INDEX(FILTER('製造效能'!S:S, '製造效能'!$A:$A=$C19, '製造效能'!$D:$D=$M19, '製造效能'!$E:$E=""攪料""), 1), INDEX(FILTER('製造效能'!S:S, '製造效能'!$B:$B=$D19, '製造效能'!$D:$D=$M19, '製造效能'!$E:$E=""攪料""), 1))"),1)</f>
        <v>1</v>
      </c>
      <c r="AH19" s="35" t="str">
        <f ca="1">IFERROR(__xludf.DUMMYFUNCTION("IFERROR(INDEX(FILTER('製造效能'!T:T, '製造效能'!$A:$A=$C19, '製造效能'!$D:$D=$M19, '製造效能'!$E:$E=""攪料""), 1), INDEX(FILTER('製造效能'!T:T, '製造效能'!$B:$B=$D19, '製造效能'!$D:$D=$M19, '製造效能'!$E:$E=""攪料""), 1))"),"")</f>
        <v/>
      </c>
      <c r="AI19" s="35" t="str">
        <f ca="1">IFERROR(__xludf.DUMMYFUNCTION("IFERROR(INDEX(FILTER('製造效能'!U:U, '製造效能'!$A:$A=$C19, '製造效能'!$D:$D=$M19, '製造效能'!$E:$E=""攪料""), 1), INDEX(FILTER('製造效能'!U:U, '製造效能'!$B:$B=$D19, '製造效能'!$D:$D=$M19, '製造效能'!$E:$E=""攪料""), 1))"),"")</f>
        <v/>
      </c>
      <c r="AJ19" s="35" t="str">
        <f ca="1">IFERROR(__xludf.DUMMYFUNCTION("IFERROR(INDEX(FILTER('製造效能'!V:V, '製造效能'!$A:$A=$C19, '製造效能'!$D:$D=$M19, '製造效能'!$E:$E=""攪料""), 1), INDEX(FILTER('製造效能'!V:V, '製造效能'!$B:$B=$D19, '製造效能'!$D:$D=$M19, '製造效能'!$E:$E=""攪料""), 1))"),"")</f>
        <v/>
      </c>
      <c r="AK19" s="35">
        <f>COUNTIF(充填效能!$A:$A, $C19)</f>
        <v>2</v>
      </c>
      <c r="AL19" s="36" t="str">
        <f ca="1">IFERROR(__xludf.DUMMYFUNCTION("IFERROR(INDEX(FILTER('充填效能'!$Q$2:$Q$1088, '充填效能'!$A$2:$A$1088=$C19, '充填效能'!$D$2:$D$1088=""排瓶""), 1), 0)"),"1400")</f>
        <v>1400</v>
      </c>
      <c r="AM19" s="36">
        <f ca="1">IFERROR(__xludf.DUMMYFUNCTION("IFERROR(INDEX(FILTER('充填效能'!$R$2:$R$1088, '充填效能'!$A$2:$A$1088=$C19, '充填效能'!$D$2:$D$1088=""排瓶""), 1), 0)"),1)</f>
        <v>1</v>
      </c>
      <c r="AN19" s="35">
        <f t="shared" ca="1" si="5"/>
        <v>7.1428571428571432</v>
      </c>
      <c r="AO19" s="36" t="str">
        <f ca="1">IFERROR(__xludf.DUMMYFUNCTION("IFERROR(INDEX(FILTER('充填效能'!$Q$2:$Q$1088, '充填效能'!$A$2:$A$1088=$C19, '充填效能'!$D$2:$D$1088=""充填""), 1), 0)"),"1500")</f>
        <v>1500</v>
      </c>
      <c r="AP19" s="36">
        <f ca="1">IFERROR(__xludf.DUMMYFUNCTION("IFERROR(INDEX(FILTER('充填效能'!$R$2:$R$1088, '充填效能'!$A$2:$A$1088=$C19, '充填效能'!$D$2:$D$1088=""充填""), 1), 0)"),4)</f>
        <v>4</v>
      </c>
      <c r="AQ19" s="35">
        <f t="shared" ca="1" si="6"/>
        <v>6.666666666666667</v>
      </c>
      <c r="AR19" s="17">
        <f t="shared" ca="1" si="7"/>
        <v>26.666666666666668</v>
      </c>
    </row>
    <row r="20" spans="1:44" ht="15.75" customHeight="1">
      <c r="A20" s="9" t="s">
        <v>49</v>
      </c>
      <c r="B20" s="34">
        <f t="shared" si="0"/>
        <v>44979</v>
      </c>
      <c r="C20" s="9" t="s">
        <v>102</v>
      </c>
      <c r="D20" s="17" t="str">
        <f t="shared" si="1"/>
        <v>EH20P2</v>
      </c>
      <c r="E20" s="9" t="s">
        <v>103</v>
      </c>
      <c r="F20" s="9">
        <v>1000</v>
      </c>
      <c r="G20" s="10">
        <v>45055</v>
      </c>
      <c r="H20" s="10">
        <v>45044</v>
      </c>
      <c r="I20" s="10">
        <v>45016</v>
      </c>
      <c r="J20" s="10">
        <v>45036</v>
      </c>
      <c r="L20" s="17" t="str">
        <f ca="1">IFERROR(__xludf.DUMMYFUNCTION("TEXTJOIN("", "", TRUE, UNIQUE(FILTER('製造效能'!$D$2:$D$1732, '製造效能'!$B$2:$B$1732 = D20)))"),"小乳")</f>
        <v>小乳</v>
      </c>
      <c r="M20" s="17" t="str">
        <f ca="1">IFERROR(__xludf.DUMMYFUNCTION("INDEX(UNIQUE(FILTER('製造效能'!$D$2:$D$1732, ('製造效能'!$B$2:$B$1732 = D20) * ('製造效能'!$J$2:$J$1732 = MAXIFS('製造效能'!$J$2:$J$1732, '製造效能'!$B$2:$B$1732, D20)))), 1) 
"),"小乳")</f>
        <v>小乳</v>
      </c>
      <c r="N20" s="17" t="str">
        <f ca="1">IFERROR(__xludf.DUMMYFUNCTION("TEXTJOIN("", "", TRUE, UNIQUE(FILTER('製造效能'!$K$2:$K$1732, '製造效能'!$B$2:$B$1732 = D20)))"),"乳項")</f>
        <v>乳項</v>
      </c>
      <c r="P20" s="35" t="str">
        <f ca="1">IFERROR(__xludf.DUMMYFUNCTION("IFERROR(INDEX(FILTER('充填效能'!J$2:J$1088, '充填效能'!$A$2:$A$1088=$C20, '充填效能'!$D$2:$D$1088=""充填""), 1), 0)"),"")</f>
        <v/>
      </c>
      <c r="Q20" s="35" t="str">
        <f ca="1">IFERROR(__xludf.DUMMYFUNCTION("IFERROR(INDEX(FILTER('充填效能'!K$2:K$1088, '充填效能'!$A$2:$A$1088=$C20, '充填效能'!$D$2:$D$1088=""充填""), 1), 0)"),"")</f>
        <v/>
      </c>
      <c r="R20" s="35">
        <f ca="1">IFERROR(__xludf.DUMMYFUNCTION("IFERROR(INDEX(FILTER('充填效能'!I$2:I$1088, '充填效能'!$A$2:$A$1088=$C20, '充填效能'!$D$2:$D$1088=""充填""), 1), 0)"),49.7)</f>
        <v>49.7</v>
      </c>
      <c r="S20" s="35">
        <f ca="1">COUNTIFS(製造效能!B:B, $D20,製造效能!D:D,M20)</f>
        <v>3</v>
      </c>
      <c r="T20" s="36">
        <f ca="1">IFERROR(__xludf.DUMMYFUNCTION("VALUE(REGEXEXTRACT(TO_TEXT(R20), ""\d*\.?\d+""))"),49.7)</f>
        <v>49.7</v>
      </c>
      <c r="U20" s="17">
        <f t="shared" ca="1" si="2"/>
        <v>50445.499999999993</v>
      </c>
      <c r="V20" s="17">
        <f ca="1">IFERROR(__xludf.DUMMYFUNCTION("IFERROR(INDEX(FILTER('製造效能'!J:J, '製造效能'!A:A=$C20, '製造效能'!D:D=M20, '製造效能'!E:E=""攪料""), 1), INDEX(FILTER('製造效能'!J:J, '製造效能'!B:B=$D20, '製造效能'!D:D=M20, '製造效能'!E:E=""攪料""), 1))"),52)</f>
        <v>52</v>
      </c>
      <c r="W20" s="36">
        <f ca="1">IFERROR(__xludf.DUMMYFUNCTION("IFERROR(INDEX(FILTER('製造效能'!G:G, '製造效能'!A:A=$C20, '製造效能'!D:D=M20, '製造效能'!E:E=""攪料""), 1), INDEX(FILTER('製造效能'!G:G, '製造效能'!B:B=$D20, '製造效能'!D:D=M20, '製造效能'!E:E=""攪料""), 1))"),140)</f>
        <v>140</v>
      </c>
      <c r="X20" s="35">
        <f t="shared" ca="1" si="3"/>
        <v>1</v>
      </c>
      <c r="Y20" s="35">
        <f t="shared" ca="1" si="4"/>
        <v>140</v>
      </c>
      <c r="Z20" s="35">
        <f ca="1">IFERROR(__xludf.DUMMYFUNCTION("IFERROR(IFERROR(INDEX(FILTER('製造效能'!G:G, '製造效能'!A:A=$C20, '製造效能'!D:D=M20, '製造效能'!E:E=""預攪""), 1), INDEX(FILTER('製造效能'!G:G, '製造效能'!B:B=$D20, '製造效能'!D:D=M20, '製造效能'!E:E=""預攪""), 1)), 0)"),80)</f>
        <v>80</v>
      </c>
      <c r="AA20" s="35">
        <f ca="1">IFERROR(__xludf.DUMMYFUNCTION("IFERROR(INDEX(FILTER('製造效能'!G:G, '製造效能'!A:A=$C20, '製造效能'!D:D=M20, '製造效能'!E:E=""清洗""), 1), INDEX(FILTER('製造效能'!G:G, '製造效能'!B:B=$D20, '製造效能'!D:D=M20, '製造效能'!E:E=""清洗""), 1))"),45)</f>
        <v>45</v>
      </c>
      <c r="AB20" s="35" t="str">
        <f ca="1">IFERROR(__xludf.DUMMYFUNCTION("IFERROR(INDEX(FILTER('製造效能'!N:N, '製造效能'!$A:$A=$C20, '製造效能'!$D:$D=$M20, '製造效能'!$E:$E=""攪料""), 1), INDEX(FILTER('製造效能'!N:N, '製造效能'!$B:$B=$D20, '製造效能'!$D:$D=$M20, '製造效能'!$E:$E=""攪料""), 1))"),"")</f>
        <v/>
      </c>
      <c r="AC20" s="35" t="str">
        <f ca="1">IFERROR(__xludf.DUMMYFUNCTION("IFERROR(INDEX(FILTER('製造效能'!O:O, '製造效能'!$A:$A=$C20, '製造效能'!$D:$D=$M20, '製造效能'!$E:$E=""攪料""), 1), INDEX(FILTER('製造效能'!O:O, '製造效能'!$B:$B=$D20, '製造效能'!$D:$D=$M20, '製造效能'!$E:$E=""攪料""), 1))"),"")</f>
        <v/>
      </c>
      <c r="AD20" s="35">
        <f ca="1">IFERROR(__xludf.DUMMYFUNCTION("IFERROR(INDEX(FILTER('製造效能'!P:P, '製造效能'!$A:$A=$C20, '製造效能'!$D:$D=$M20, '製造效能'!$E:$E=""攪料""), 1), INDEX(FILTER('製造效能'!P:P, '製造效能'!$B:$B=$D20, '製造效能'!$D:$D=$M20, '製造效能'!$E:$E=""攪料""), 1))"),1)</f>
        <v>1</v>
      </c>
      <c r="AE20" s="35" t="str">
        <f ca="1">IFERROR(__xludf.DUMMYFUNCTION("IFERROR(INDEX(FILTER('製造效能'!Q:Q, '製造效能'!$A:$A=$C20, '製造效能'!$D:$D=$M20, '製造效能'!$E:$E=""攪料""), 1), INDEX(FILTER('製造效能'!Q:Q, '製造效能'!$B:$B=$D20, '製造效能'!$D:$D=$M20, '製造效能'!$E:$E=""攪料""), 1))"),"")</f>
        <v/>
      </c>
      <c r="AF20" s="35" t="str">
        <f ca="1">IFERROR(__xludf.DUMMYFUNCTION("IFERROR(INDEX(FILTER('製造效能'!R:R, '製造效能'!$A:$A=$C20, '製造效能'!$D:$D=$M20, '製造效能'!$E:$E=""攪料""), 1), INDEX(FILTER('製造效能'!R:R, '製造效能'!$B:$B=$D20, '製造效能'!$D:$D=$M20, '製造效能'!$E:$E=""攪料""), 1))"),"")</f>
        <v/>
      </c>
      <c r="AG20" s="35" t="str">
        <f ca="1">IFERROR(__xludf.DUMMYFUNCTION("IFERROR(INDEX(FILTER('製造效能'!S:S, '製造效能'!$A:$A=$C20, '製造效能'!$D:$D=$M20, '製造效能'!$E:$E=""攪料""), 1), INDEX(FILTER('製造效能'!S:S, '製造效能'!$B:$B=$D20, '製造效能'!$D:$D=$M20, '製造效能'!$E:$E=""攪料""), 1))"),"")</f>
        <v/>
      </c>
      <c r="AH20" s="35" t="str">
        <f ca="1">IFERROR(__xludf.DUMMYFUNCTION("IFERROR(INDEX(FILTER('製造效能'!T:T, '製造效能'!$A:$A=$C20, '製造效能'!$D:$D=$M20, '製造效能'!$E:$E=""攪料""), 1), INDEX(FILTER('製造效能'!T:T, '製造效能'!$B:$B=$D20, '製造效能'!$D:$D=$M20, '製造效能'!$E:$E=""攪料""), 1))"),"")</f>
        <v/>
      </c>
      <c r="AI20" s="35" t="str">
        <f ca="1">IFERROR(__xludf.DUMMYFUNCTION("IFERROR(INDEX(FILTER('製造效能'!U:U, '製造效能'!$A:$A=$C20, '製造效能'!$D:$D=$M20, '製造效能'!$E:$E=""攪料""), 1), INDEX(FILTER('製造效能'!U:U, '製造效能'!$B:$B=$D20, '製造效能'!$D:$D=$M20, '製造效能'!$E:$E=""攪料""), 1))"),"")</f>
        <v/>
      </c>
      <c r="AJ20" s="35" t="str">
        <f ca="1">IFERROR(__xludf.DUMMYFUNCTION("IFERROR(INDEX(FILTER('製造效能'!V:V, '製造效能'!$A:$A=$C20, '製造效能'!$D:$D=$M20, '製造效能'!$E:$E=""攪料""), 1), INDEX(FILTER('製造效能'!V:V, '製造效能'!$B:$B=$D20, '製造效能'!$D:$D=$M20, '製造效能'!$E:$E=""攪料""), 1))"),"")</f>
        <v/>
      </c>
      <c r="AK20" s="35">
        <f>COUNTIF(充填效能!$A:$A, $C20)</f>
        <v>2</v>
      </c>
      <c r="AL20" s="36" t="str">
        <f ca="1">IFERROR(__xludf.DUMMYFUNCTION("IFERROR(INDEX(FILTER('充填效能'!$Q$2:$Q$1088, '充填效能'!$A$2:$A$1088=$C20, '充填效能'!$D$2:$D$1088=""排瓶""), 1), 0)"),"1500")</f>
        <v>1500</v>
      </c>
      <c r="AM20" s="36">
        <f ca="1">IFERROR(__xludf.DUMMYFUNCTION("IFERROR(INDEX(FILTER('充填效能'!$R$2:$R$1088, '充填效能'!$A$2:$A$1088=$C20, '充填效能'!$D$2:$D$1088=""排瓶""), 1), 0)"),1)</f>
        <v>1</v>
      </c>
      <c r="AN20" s="35">
        <f t="shared" ca="1" si="5"/>
        <v>0.66666666666666663</v>
      </c>
      <c r="AO20" s="36" t="str">
        <f ca="1">IFERROR(__xludf.DUMMYFUNCTION("IFERROR(INDEX(FILTER('充填效能'!$Q$2:$Q$1088, '充填效能'!$A$2:$A$1088=$C20, '充填效能'!$D$2:$D$1088=""充填""), 1), 0)"),"900")</f>
        <v>900</v>
      </c>
      <c r="AP20" s="36">
        <f ca="1">IFERROR(__xludf.DUMMYFUNCTION("IFERROR(INDEX(FILTER('充填效能'!$R$2:$R$1088, '充填效能'!$A$2:$A$1088=$C20, '充填效能'!$D$2:$D$1088=""充填""), 1), 0)"),4)</f>
        <v>4</v>
      </c>
      <c r="AQ20" s="35">
        <f t="shared" ca="1" si="6"/>
        <v>1.1111111111111112</v>
      </c>
      <c r="AR20" s="17">
        <f t="shared" ca="1" si="7"/>
        <v>4.4444444444444446</v>
      </c>
    </row>
    <row r="21" spans="1:44" ht="15.75" customHeight="1">
      <c r="A21" s="9" t="s">
        <v>67</v>
      </c>
      <c r="B21" s="34">
        <f t="shared" si="0"/>
        <v>45009</v>
      </c>
      <c r="C21" s="9" t="s">
        <v>93</v>
      </c>
      <c r="D21" s="17" t="str">
        <f t="shared" si="1"/>
        <v>N1MAF1</v>
      </c>
      <c r="E21" s="9" t="s">
        <v>94</v>
      </c>
      <c r="F21" s="9">
        <v>25000</v>
      </c>
      <c r="G21" s="10">
        <v>45048</v>
      </c>
      <c r="H21" s="37">
        <v>45048</v>
      </c>
      <c r="I21" s="10">
        <v>45027</v>
      </c>
      <c r="J21" s="10">
        <v>45040</v>
      </c>
      <c r="L21" s="17" t="str">
        <f ca="1">IFERROR(__xludf.DUMMYFUNCTION("TEXTJOIN("", "", TRUE, UNIQUE(FILTER('製造效能'!$D$2:$D$1732, '製造效能'!$B$2:$B$1732 = D21)))"),"小乳, 大乳")</f>
        <v>小乳, 大乳</v>
      </c>
      <c r="M21" s="17" t="str">
        <f ca="1">IFERROR(__xludf.DUMMYFUNCTION("INDEX(UNIQUE(FILTER('製造效能'!$D$2:$D$1732, ('製造效能'!$B$2:$B$1732 = D21) * ('製造效能'!$J$2:$J$1732 = MAXIFS('製造效能'!$J$2:$J$1732, '製造效能'!$B$2:$B$1732, D21)))), 1) 
"),"大乳")</f>
        <v>大乳</v>
      </c>
      <c r="N21" s="17" t="str">
        <f ca="1">IFERROR(__xludf.DUMMYFUNCTION("TEXTJOIN("", "", TRUE, UNIQUE(FILTER('製造效能'!$K$2:$K$1732, '製造效能'!$B$2:$B$1732 = D21)))"),"乳項")</f>
        <v>乳項</v>
      </c>
      <c r="P21" s="35" t="str">
        <f ca="1">IFERROR(__xludf.DUMMYFUNCTION("IFERROR(INDEX(FILTER('充填效能'!J$2:J$1088, '充填效能'!$A$2:$A$1088=$C21, '充填效能'!$D$2:$D$1088=""充填""), 1), 0)"),"")</f>
        <v/>
      </c>
      <c r="Q21" s="35" t="str">
        <f ca="1">IFERROR(__xludf.DUMMYFUNCTION("IFERROR(INDEX(FILTER('充填效能'!K$2:K$1088, '充填效能'!$A$2:$A$1088=$C21, '充填效能'!$D$2:$D$1088=""充填""), 1), 0)"),"")</f>
        <v/>
      </c>
      <c r="R21" s="35">
        <f ca="1">IFERROR(__xludf.DUMMYFUNCTION("IFERROR(INDEX(FILTER('充填效能'!I$2:I$1088, '充填效能'!$A$2:$A$1088=$C21, '充填效能'!$D$2:$D$1088=""充填""), 1), 0)"),20)</f>
        <v>20</v>
      </c>
      <c r="S21" s="35">
        <f ca="1">COUNTIFS(製造效能!B:B, $D21,製造效能!D:D,M21)</f>
        <v>3</v>
      </c>
      <c r="T21" s="36">
        <f ca="1">IFERROR(__xludf.DUMMYFUNCTION("VALUE(REGEXEXTRACT(TO_TEXT(R21), ""\d*\.?\d+""))"),20)</f>
        <v>20</v>
      </c>
      <c r="U21" s="17">
        <f t="shared" ca="1" si="2"/>
        <v>507499.99999999994</v>
      </c>
      <c r="V21" s="17">
        <f ca="1">IFERROR(__xludf.DUMMYFUNCTION("IFERROR(INDEX(FILTER('製造效能'!J:J, '製造效能'!A:A=$C21, '製造效能'!D:D=M21, '製造效能'!E:E=""攪料""), 1), INDEX(FILTER('製造效能'!J:J, '製造效能'!B:B=$D21, '製造效能'!D:D=M21, '製造效能'!E:E=""攪料""), 1))"),103)</f>
        <v>103</v>
      </c>
      <c r="W21" s="36">
        <f ca="1">IFERROR(__xludf.DUMMYFUNCTION("IFERROR(INDEX(FILTER('製造效能'!G:G, '製造效能'!A:A=$C21, '製造效能'!D:D=M21, '製造效能'!E:E=""攪料""), 1), INDEX(FILTER('製造效能'!G:G, '製造效能'!B:B=$D21, '製造效能'!D:D=M21, '製造效能'!E:E=""攪料""), 1))"),190)</f>
        <v>190</v>
      </c>
      <c r="X21" s="35">
        <f t="shared" ca="1" si="3"/>
        <v>5</v>
      </c>
      <c r="Y21" s="35">
        <f t="shared" ca="1" si="4"/>
        <v>950</v>
      </c>
      <c r="Z21" s="35">
        <f ca="1">IFERROR(__xludf.DUMMYFUNCTION("IFERROR(IFERROR(INDEX(FILTER('製造效能'!G:G, '製造效能'!A:A=$C21, '製造效能'!D:D=M21, '製造效能'!E:E=""預攪""), 1), INDEX(FILTER('製造效能'!G:G, '製造效能'!B:B=$D21, '製造效能'!D:D=M21, '製造效能'!E:E=""預攪""), 1)), 0)"),25)</f>
        <v>25</v>
      </c>
      <c r="AA21" s="35">
        <f ca="1">IFERROR(__xludf.DUMMYFUNCTION("IFERROR(INDEX(FILTER('製造效能'!G:G, '製造效能'!A:A=$C21, '製造效能'!D:D=M21, '製造效能'!E:E=""清洗""), 1), INDEX(FILTER('製造效能'!G:G, '製造效能'!B:B=$D21, '製造效能'!D:D=M21, '製造效能'!E:E=""清洗""), 1))"),40)</f>
        <v>40</v>
      </c>
      <c r="AB21" s="35" t="str">
        <f ca="1">IFERROR(__xludf.DUMMYFUNCTION("IFERROR(INDEX(FILTER('製造效能'!N:N, '製造效能'!$A:$A=$C21, '製造效能'!$D:$D=$M21, '製造效能'!$E:$E=""攪料""), 1), INDEX(FILTER('製造效能'!N:N, '製造效能'!$B:$B=$D21, '製造效能'!$D:$D=$M21, '製造效能'!$E:$E=""攪料""), 1))"),"")</f>
        <v/>
      </c>
      <c r="AC21" s="35" t="str">
        <f ca="1">IFERROR(__xludf.DUMMYFUNCTION("IFERROR(INDEX(FILTER('製造效能'!O:O, '製造效能'!$A:$A=$C21, '製造效能'!$D:$D=$M21, '製造效能'!$E:$E=""攪料""), 1), INDEX(FILTER('製造效能'!O:O, '製造效能'!$B:$B=$D21, '製造效能'!$D:$D=$M21, '製造效能'!$E:$E=""攪料""), 1))"),"")</f>
        <v/>
      </c>
      <c r="AD21" s="35" t="str">
        <f ca="1">IFERROR(__xludf.DUMMYFUNCTION("IFERROR(INDEX(FILTER('製造效能'!P:P, '製造效能'!$A:$A=$C21, '製造效能'!$D:$D=$M21, '製造效能'!$E:$E=""攪料""), 1), INDEX(FILTER('製造效能'!P:P, '製造效能'!$B:$B=$D21, '製造效能'!$D:$D=$M21, '製造效能'!$E:$E=""攪料""), 1))"),"")</f>
        <v/>
      </c>
      <c r="AE21" s="35">
        <f ca="1">IFERROR(__xludf.DUMMYFUNCTION("IFERROR(INDEX(FILTER('製造效能'!Q:Q, '製造效能'!$A:$A=$C21, '製造效能'!$D:$D=$M21, '製造效能'!$E:$E=""攪料""), 1), INDEX(FILTER('製造效能'!Q:Q, '製造效能'!$B:$B=$D21, '製造效能'!$D:$D=$M21, '製造效能'!$E:$E=""攪料""), 1))"),1)</f>
        <v>1</v>
      </c>
      <c r="AF21" s="35" t="str">
        <f ca="1">IFERROR(__xludf.DUMMYFUNCTION("IFERROR(INDEX(FILTER('製造效能'!R:R, '製造效能'!$A:$A=$C21, '製造效能'!$D:$D=$M21, '製造效能'!$E:$E=""攪料""), 1), INDEX(FILTER('製造效能'!R:R, '製造效能'!$B:$B=$D21, '製造效能'!$D:$D=$M21, '製造效能'!$E:$E=""攪料""), 1))"),"")</f>
        <v/>
      </c>
      <c r="AG21" s="35" t="str">
        <f ca="1">IFERROR(__xludf.DUMMYFUNCTION("IFERROR(INDEX(FILTER('製造效能'!S:S, '製造效能'!$A:$A=$C21, '製造效能'!$D:$D=$M21, '製造效能'!$E:$E=""攪料""), 1), INDEX(FILTER('製造效能'!S:S, '製造效能'!$B:$B=$D21, '製造效能'!$D:$D=$M21, '製造效能'!$E:$E=""攪料""), 1))"),"")</f>
        <v/>
      </c>
      <c r="AH21" s="35" t="str">
        <f ca="1">IFERROR(__xludf.DUMMYFUNCTION("IFERROR(INDEX(FILTER('製造效能'!T:T, '製造效能'!$A:$A=$C21, '製造效能'!$D:$D=$M21, '製造效能'!$E:$E=""攪料""), 1), INDEX(FILTER('製造效能'!T:T, '製造效能'!$B:$B=$D21, '製造效能'!$D:$D=$M21, '製造效能'!$E:$E=""攪料""), 1))"),"")</f>
        <v/>
      </c>
      <c r="AI21" s="35" t="str">
        <f ca="1">IFERROR(__xludf.DUMMYFUNCTION("IFERROR(INDEX(FILTER('製造效能'!U:U, '製造效能'!$A:$A=$C21, '製造效能'!$D:$D=$M21, '製造效能'!$E:$E=""攪料""), 1), INDEX(FILTER('製造效能'!U:U, '製造效能'!$B:$B=$D21, '製造效能'!$D:$D=$M21, '製造效能'!$E:$E=""攪料""), 1))"),"")</f>
        <v/>
      </c>
      <c r="AJ21" s="35" t="str">
        <f ca="1">IFERROR(__xludf.DUMMYFUNCTION("IFERROR(INDEX(FILTER('製造效能'!V:V, '製造效能'!$A:$A=$C21, '製造效能'!$D:$D=$M21, '製造效能'!$E:$E=""攪料""), 1), INDEX(FILTER('製造效能'!V:V, '製造效能'!$B:$B=$D21, '製造效能'!$D:$D=$M21, '製造效能'!$E:$E=""攪料""), 1))"),"")</f>
        <v/>
      </c>
      <c r="AK21" s="35">
        <f>COUNTIF(充填效能!$A:$A, $C21)</f>
        <v>1</v>
      </c>
      <c r="AL21" s="36">
        <f ca="1">IFERROR(__xludf.DUMMYFUNCTION("IFERROR(INDEX(FILTER('充填效能'!$Q$2:$Q$1088, '充填效能'!$A$2:$A$1088=$C21, '充填效能'!$D$2:$D$1088=""排瓶""), 1), 0)"),0)</f>
        <v>0</v>
      </c>
      <c r="AM21" s="36">
        <f ca="1">IFERROR(__xludf.DUMMYFUNCTION("IFERROR(INDEX(FILTER('充填效能'!$R$2:$R$1088, '充填效能'!$A$2:$A$1088=$C21, '充填效能'!$D$2:$D$1088=""排瓶""), 1), 0)"),0)</f>
        <v>0</v>
      </c>
      <c r="AN21" s="35">
        <f t="shared" ca="1" si="5"/>
        <v>0</v>
      </c>
      <c r="AO21" s="36" t="str">
        <f ca="1">IFERROR(__xludf.DUMMYFUNCTION("IFERROR(INDEX(FILTER('充填效能'!$Q$2:$Q$1088, '充填效能'!$A$2:$A$1088=$C21, '充填效能'!$D$2:$D$1088=""充填""), 1), 0)"),"1000")</f>
        <v>1000</v>
      </c>
      <c r="AP21" s="36">
        <f ca="1">IFERROR(__xludf.DUMMYFUNCTION("IFERROR(INDEX(FILTER('充填效能'!$R$2:$R$1088, '充填效能'!$A$2:$A$1088=$C21, '充填效能'!$D$2:$D$1088=""充填""), 1), 0)"),4)</f>
        <v>4</v>
      </c>
      <c r="AQ21" s="35">
        <f t="shared" ca="1" si="6"/>
        <v>25</v>
      </c>
      <c r="AR21" s="17">
        <f t="shared" ca="1" si="7"/>
        <v>100</v>
      </c>
    </row>
    <row r="22" spans="1:44" ht="15.75" customHeight="1">
      <c r="A22" s="9" t="s">
        <v>85</v>
      </c>
      <c r="B22" s="34">
        <f t="shared" si="0"/>
        <v>44970</v>
      </c>
      <c r="C22" s="9" t="s">
        <v>123</v>
      </c>
      <c r="D22" s="17" t="str">
        <f t="shared" si="1"/>
        <v>AA17F2</v>
      </c>
      <c r="E22" s="9" t="s">
        <v>124</v>
      </c>
      <c r="F22" s="9">
        <v>5000</v>
      </c>
      <c r="G22" s="10">
        <v>45075</v>
      </c>
      <c r="H22" s="10">
        <v>45048</v>
      </c>
      <c r="I22" s="10">
        <v>45027</v>
      </c>
      <c r="J22" s="10">
        <v>44979</v>
      </c>
      <c r="L22" s="17" t="str">
        <f ca="1">IFERROR(__xludf.DUMMYFUNCTION("TEXTJOIN("", "", TRUE, UNIQUE(FILTER('製造效能'!$D$2:$D$1732, '製造效能'!$B$2:$B$1732 = D22)))"),"精")</f>
        <v>精</v>
      </c>
      <c r="M22" s="17" t="str">
        <f ca="1">IFERROR(__xludf.DUMMYFUNCTION("INDEX(UNIQUE(FILTER('製造效能'!$D$2:$D$1732, ('製造效能'!$B$2:$B$1732 = D22) * ('製造效能'!$J$2:$J$1732 = MAXIFS('製造效能'!$J$2:$J$1732, '製造效能'!$B$2:$B$1732, D22)))), 1) 
"),"精")</f>
        <v>精</v>
      </c>
      <c r="N22" s="17" t="str">
        <f ca="1">IFERROR(__xludf.DUMMYFUNCTION("TEXTJOIN("", "", TRUE, UNIQUE(FILTER('製造效能'!$K$2:$K$1732, '製造效能'!$B$2:$B$1732 = D22)))"),"水項")</f>
        <v>水項</v>
      </c>
      <c r="O22" s="35">
        <f ca="1">IFERROR(__xludf.DUMMYFUNCTION("IFERROR(INDEX(FILTER('充填效能'!I$2:I$1088, '充填效能'!$A$2:$A$1088=$C22, '充填效能'!$D$2:$D$1088=""充填""), 1), 0)"),9.2)</f>
        <v>9.1999999999999993</v>
      </c>
      <c r="P22" s="35" t="str">
        <f ca="1">IFERROR(__xludf.DUMMYFUNCTION("IFERROR(INDEX(FILTER('充填效能'!J$2:J$1088, '充填效能'!$A$2:$A$1088=$C22, '充填效能'!$D$2:$D$1088=""充填""), 1), 0)"),"")</f>
        <v/>
      </c>
      <c r="Q22" s="35" t="str">
        <f ca="1">IFERROR(__xludf.DUMMYFUNCTION("IFERROR(INDEX(FILTER('充填效能'!K$2:K$1088, '充填效能'!$A$2:$A$1088=$C22, '充填效能'!$D$2:$D$1088=""充填""), 1), 0)"),"")</f>
        <v/>
      </c>
      <c r="R22" s="35" t="str">
        <f ca="1">IFERROR(__xludf.DUMMYFUNCTION("IFERROR(INDEX(FILTER('充填效能'!L$2:L$1088, '充填效能'!$A$2:$A$1088=$C22, '充填效能'!$D$2:$D$1088=""充填""), 1), 0)"),"")</f>
        <v/>
      </c>
      <c r="S22" s="35">
        <f ca="1">COUNTIFS(製造效能!B:B, $D22,製造效能!D:D,M22)</f>
        <v>3</v>
      </c>
      <c r="T22" s="36">
        <f ca="1">IFERROR(__xludf.DUMMYFUNCTION("VALUE(REGEXEXTRACT(TO_TEXT(O22), ""\d*\.?\d+""))"),9.2)</f>
        <v>9.1999999999999993</v>
      </c>
      <c r="U22" s="17">
        <f t="shared" ca="1" si="2"/>
        <v>46689.999999999993</v>
      </c>
      <c r="V22" s="17">
        <f ca="1">IFERROR(__xludf.DUMMYFUNCTION("IFERROR(INDEX(FILTER('製造效能'!J:J, '製造效能'!A:A=$C22, '製造效能'!D:D=M22, '製造效能'!E:E=""攪料""), 1), INDEX(FILTER('製造效能'!J:J, '製造效能'!B:B=$D22, '製造效能'!D:D=M22, '製造效能'!E:E=""攪料""), 1))"),48)</f>
        <v>48</v>
      </c>
      <c r="W22" s="36">
        <f ca="1">IFERROR(__xludf.DUMMYFUNCTION("IFERROR(INDEX(FILTER('製造效能'!G:G, '製造效能'!A:A=$C22, '製造效能'!D:D=M22, '製造效能'!E:E=""攪料""), 1), INDEX(FILTER('製造效能'!G:G, '製造效能'!B:B=$D22, '製造效能'!D:D=M22, '製造效能'!E:E=""攪料""), 1))"),80)</f>
        <v>80</v>
      </c>
      <c r="X22" s="35">
        <f t="shared" ca="1" si="3"/>
        <v>1</v>
      </c>
      <c r="Y22" s="35">
        <f t="shared" ca="1" si="4"/>
        <v>80</v>
      </c>
      <c r="Z22" s="35">
        <f ca="1">IFERROR(__xludf.DUMMYFUNCTION("IFERROR(IFERROR(INDEX(FILTER('製造效能'!G:G, '製造效能'!A:A=$C22, '製造效能'!D:D=M22, '製造效能'!E:E=""預攪""), 1), INDEX(FILTER('製造效能'!G:G, '製造效能'!B:B=$D22, '製造效能'!D:D=M22, '製造效能'!E:E=""預攪""), 1)), 0)"),25)</f>
        <v>25</v>
      </c>
      <c r="AA22" s="35">
        <f ca="1">IFERROR(__xludf.DUMMYFUNCTION("IFERROR(INDEX(FILTER('製造效能'!G:G, '製造效能'!A:A=$C22, '製造效能'!D:D=M22, '製造效能'!E:E=""清洗""), 1), INDEX(FILTER('製造效能'!G:G, '製造效能'!B:B=$D22, '製造效能'!D:D=M22, '製造效能'!E:E=""清洗""), 1))"),15)</f>
        <v>15</v>
      </c>
      <c r="AB22" s="35" t="str">
        <f ca="1">IFERROR(__xludf.DUMMYFUNCTION("IFERROR(INDEX(FILTER('製造效能'!N:N, '製造效能'!$A:$A=$C22, '製造效能'!$D:$D=$M22, '製造效能'!$E:$E=""攪料""), 1), INDEX(FILTER('製造效能'!N:N, '製造效能'!$B:$B=$D22, '製造效能'!$D:$D=$M22, '製造效能'!$E:$E=""攪料""), 1))"),"")</f>
        <v/>
      </c>
      <c r="AC22" s="35">
        <f ca="1">IFERROR(__xludf.DUMMYFUNCTION("IFERROR(INDEX(FILTER('製造效能'!O:O, '製造效能'!$A:$A=$C22, '製造效能'!$D:$D=$M22, '製造效能'!$E:$E=""攪料""), 1), INDEX(FILTER('製造效能'!O:O, '製造效能'!$B:$B=$D22, '製造效能'!$D:$D=$M22, '製造效能'!$E:$E=""攪料""), 1))"),1)</f>
        <v>1</v>
      </c>
      <c r="AD22" s="35" t="str">
        <f ca="1">IFERROR(__xludf.DUMMYFUNCTION("IFERROR(INDEX(FILTER('製造效能'!P:P, '製造效能'!$A:$A=$C22, '製造效能'!$D:$D=$M22, '製造效能'!$E:$E=""攪料""), 1), INDEX(FILTER('製造效能'!P:P, '製造效能'!$B:$B=$D22, '製造效能'!$D:$D=$M22, '製造效能'!$E:$E=""攪料""), 1))"),"")</f>
        <v/>
      </c>
      <c r="AE22" s="35" t="str">
        <f ca="1">IFERROR(__xludf.DUMMYFUNCTION("IFERROR(INDEX(FILTER('製造效能'!Q:Q, '製造效能'!$A:$A=$C22, '製造效能'!$D:$D=$M22, '製造效能'!$E:$E=""攪料""), 1), INDEX(FILTER('製造效能'!Q:Q, '製造效能'!$B:$B=$D22, '製造效能'!$D:$D=$M22, '製造效能'!$E:$E=""攪料""), 1))"),"")</f>
        <v/>
      </c>
      <c r="AF22" s="35" t="str">
        <f ca="1">IFERROR(__xludf.DUMMYFUNCTION("IFERROR(INDEX(FILTER('製造效能'!R:R, '製造效能'!$A:$A=$C22, '製造效能'!$D:$D=$M22, '製造效能'!$E:$E=""攪料""), 1), INDEX(FILTER('製造效能'!R:R, '製造效能'!$B:$B=$D22, '製造效能'!$D:$D=$M22, '製造效能'!$E:$E=""攪料""), 1))"),"")</f>
        <v/>
      </c>
      <c r="AG22" s="35" t="str">
        <f ca="1">IFERROR(__xludf.DUMMYFUNCTION("IFERROR(INDEX(FILTER('製造效能'!S:S, '製造效能'!$A:$A=$C22, '製造效能'!$D:$D=$M22, '製造效能'!$E:$E=""攪料""), 1), INDEX(FILTER('製造效能'!S:S, '製造效能'!$B:$B=$D22, '製造效能'!$D:$D=$M22, '製造效能'!$E:$E=""攪料""), 1))"),"")</f>
        <v/>
      </c>
      <c r="AH22" s="35" t="str">
        <f ca="1">IFERROR(__xludf.DUMMYFUNCTION("IFERROR(INDEX(FILTER('製造效能'!T:T, '製造效能'!$A:$A=$C22, '製造效能'!$D:$D=$M22, '製造效能'!$E:$E=""攪料""), 1), INDEX(FILTER('製造效能'!T:T, '製造效能'!$B:$B=$D22, '製造效能'!$D:$D=$M22, '製造效能'!$E:$E=""攪料""), 1))"),"")</f>
        <v/>
      </c>
      <c r="AI22" s="35" t="str">
        <f ca="1">IFERROR(__xludf.DUMMYFUNCTION("IFERROR(INDEX(FILTER('製造效能'!U:U, '製造效能'!$A:$A=$C22, '製造效能'!$D:$D=$M22, '製造效能'!$E:$E=""攪料""), 1), INDEX(FILTER('製造效能'!U:U, '製造效能'!$B:$B=$D22, '製造效能'!$D:$D=$M22, '製造效能'!$E:$E=""攪料""), 1))"),"")</f>
        <v/>
      </c>
      <c r="AJ22" s="35" t="str">
        <f ca="1">IFERROR(__xludf.DUMMYFUNCTION("IFERROR(INDEX(FILTER('製造效能'!V:V, '製造效能'!$A:$A=$C22, '製造效能'!$D:$D=$M22, '製造效能'!$E:$E=""攪料""), 1), INDEX(FILTER('製造效能'!V:V, '製造效能'!$B:$B=$D22, '製造效能'!$D:$D=$M22, '製造效能'!$E:$E=""攪料""), 1))"),"")</f>
        <v/>
      </c>
      <c r="AK22" s="35">
        <f>COUNTIF(充填效能!$A:$A, $C22)</f>
        <v>2</v>
      </c>
      <c r="AL22" s="36" t="str">
        <f ca="1">IFERROR(__xludf.DUMMYFUNCTION("IFERROR(INDEX(FILTER('充填效能'!$Q$2:$Q$1088, '充填效能'!$A$2:$A$1088=$C22, '充填效能'!$D$2:$D$1088=""排瓶""), 1), 0)"),"1700")</f>
        <v>1700</v>
      </c>
      <c r="AM22" s="36">
        <f ca="1">IFERROR(__xludf.DUMMYFUNCTION("IFERROR(INDEX(FILTER('充填效能'!$R$2:$R$1088, '充填效能'!$A$2:$A$1088=$C22, '充填效能'!$D$2:$D$1088=""排瓶""), 1), 0)"),1)</f>
        <v>1</v>
      </c>
      <c r="AN22" s="35">
        <f t="shared" ca="1" si="5"/>
        <v>2.9411764705882355</v>
      </c>
      <c r="AO22" s="36" t="str">
        <f ca="1">IFERROR(__xludf.DUMMYFUNCTION("IFERROR(INDEX(FILTER('充填效能'!$Q$2:$Q$1088, '充填效能'!$A$2:$A$1088=$C22, '充填效能'!$D$2:$D$1088=""充填""), 1), 0)"),"1700")</f>
        <v>1700</v>
      </c>
      <c r="AP22" s="36">
        <f ca="1">IFERROR(__xludf.DUMMYFUNCTION("IFERROR(INDEX(FILTER('充填效能'!$R$2:$R$1088, '充填效能'!$A$2:$A$1088=$C22, '充填效能'!$D$2:$D$1088=""充填""), 1), 0)"),4)</f>
        <v>4</v>
      </c>
      <c r="AQ22" s="35">
        <f t="shared" ca="1" si="6"/>
        <v>2.9411764705882355</v>
      </c>
      <c r="AR22" s="17">
        <f t="shared" ca="1" si="7"/>
        <v>11.764705882352942</v>
      </c>
    </row>
    <row r="23" spans="1:44" ht="15.75" customHeight="1">
      <c r="A23" s="9" t="s">
        <v>86</v>
      </c>
      <c r="B23" s="34">
        <f t="shared" si="0"/>
        <v>44970</v>
      </c>
      <c r="C23" s="9" t="s">
        <v>87</v>
      </c>
      <c r="D23" s="17" t="str">
        <f t="shared" si="1"/>
        <v>EU21D5</v>
      </c>
      <c r="E23" s="9" t="s">
        <v>88</v>
      </c>
      <c r="F23" s="9">
        <v>5000</v>
      </c>
      <c r="G23" s="10">
        <v>45063</v>
      </c>
      <c r="H23" s="10">
        <v>45050</v>
      </c>
      <c r="I23" s="10">
        <v>44993</v>
      </c>
      <c r="J23" s="10">
        <v>45044</v>
      </c>
      <c r="L23" s="17" t="str">
        <f ca="1">IFERROR(__xludf.DUMMYFUNCTION("TEXTJOIN("", "", TRUE, UNIQUE(FILTER('製造效能'!$D$2:$D$1732, '製造效能'!$B$2:$B$1732 = D23)))"),"大, 精")</f>
        <v>大, 精</v>
      </c>
      <c r="M23" s="17" t="str">
        <f ca="1">IFERROR(__xludf.DUMMYFUNCTION("INDEX(UNIQUE(FILTER('製造效能'!$D$2:$D$1732, ('製造效能'!$B$2:$B$1732 = D23) * ('製造效能'!$J$2:$J$1732 = MAXIFS('製造效能'!$J$2:$J$1732, '製造效能'!$B$2:$B$1732, D23)))), 1) 
"),"大")</f>
        <v>大</v>
      </c>
      <c r="N23" s="17" t="str">
        <f ca="1">IFERROR(__xludf.DUMMYFUNCTION("TEXTJOIN("", "", TRUE, UNIQUE(FILTER('製造效能'!$K$2:$K$1732, '製造效能'!$B$2:$B$1732 = D23)))"),"水項")</f>
        <v>水項</v>
      </c>
      <c r="O23" s="35">
        <f ca="1">IFERROR(__xludf.DUMMYFUNCTION("IFERROR(INDEX(FILTER('充填效能'!I$2:I$1088, '充填效能'!$A$2:$A$1088=$C23, '充填效能'!$D$2:$D$1088=""充填""), 1), 0)"),30.6)</f>
        <v>30.6</v>
      </c>
      <c r="P23" s="35" t="str">
        <f ca="1">IFERROR(__xludf.DUMMYFUNCTION("IFERROR(INDEX(FILTER('充填效能'!J$2:J$1088, '充填效能'!$A$2:$A$1088=$C23, '充填效能'!$D$2:$D$1088=""充填""), 1), 0)"),"")</f>
        <v/>
      </c>
      <c r="Q23" s="35" t="str">
        <f ca="1">IFERROR(__xludf.DUMMYFUNCTION("IFERROR(INDEX(FILTER('充填效能'!K$2:K$1088, '充填效能'!$A$2:$A$1088=$C23, '充填效能'!$D$2:$D$1088=""充填""), 1), 0)"),"")</f>
        <v/>
      </c>
      <c r="R23" s="35" t="str">
        <f ca="1">IFERROR(__xludf.DUMMYFUNCTION("IFERROR(INDEX(FILTER('充填效能'!L$2:L$1088, '充填效能'!$A$2:$A$1088=$C23, '充填效能'!$D$2:$D$1088=""充填""), 1), 0)"),"")</f>
        <v/>
      </c>
      <c r="S23" s="35">
        <f ca="1">COUNTIFS(製造效能!B:B, $D23,製造效能!D:D,M23)</f>
        <v>3</v>
      </c>
      <c r="T23" s="36">
        <f ca="1">IFERROR(__xludf.DUMMYFUNCTION("VALUE(REGEXEXTRACT(TO_TEXT(O23), ""\d*\.?\d+""))"),30.6)</f>
        <v>30.6</v>
      </c>
      <c r="U23" s="17">
        <f t="shared" ca="1" si="2"/>
        <v>155294.99999999997</v>
      </c>
      <c r="V23" s="17">
        <f ca="1">IFERROR(__xludf.DUMMYFUNCTION("IFERROR(INDEX(FILTER('製造效能'!J:J, '製造效能'!A:A=$C23, '製造效能'!D:D=M23, '製造效能'!E:E=""攪料""), 1), INDEX(FILTER('製造效能'!J:J, '製造效能'!B:B=$D23, '製造效能'!D:D=M23, '製造效能'!E:E=""攪料""), 1))"),170)</f>
        <v>170</v>
      </c>
      <c r="W23" s="36">
        <f ca="1">IFERROR(__xludf.DUMMYFUNCTION("IFERROR(INDEX(FILTER('製造效能'!G:G, '製造效能'!A:A=$C23, '製造效能'!D:D=M23, '製造效能'!E:E=""攪料""), 1), INDEX(FILTER('製造效能'!G:G, '製造效能'!B:B=$D23, '製造效能'!D:D=M23, '製造效能'!E:E=""攪料""), 1))"),70)</f>
        <v>70</v>
      </c>
      <c r="X23" s="35">
        <f t="shared" ca="1" si="3"/>
        <v>1</v>
      </c>
      <c r="Y23" s="35">
        <f t="shared" ca="1" si="4"/>
        <v>70</v>
      </c>
      <c r="Z23" s="35">
        <f ca="1">IFERROR(__xludf.DUMMYFUNCTION("IFERROR(IFERROR(INDEX(FILTER('製造效能'!G:G, '製造效能'!A:A=$C23, '製造效能'!D:D=M23, '製造效能'!E:E=""預攪""), 1), INDEX(FILTER('製造效能'!G:G, '製造效能'!B:B=$D23, '製造效能'!D:D=M23, '製造效能'!E:E=""預攪""), 1)), 0)"),25)</f>
        <v>25</v>
      </c>
      <c r="AA23" s="35">
        <f ca="1">IFERROR(__xludf.DUMMYFUNCTION("IFERROR(INDEX(FILTER('製造效能'!G:G, '製造效能'!A:A=$C23, '製造效能'!D:D=M23, '製造效能'!E:E=""清洗""), 1), INDEX(FILTER('製造效能'!G:G, '製造效能'!B:B=$D23, '製造效能'!D:D=M23, '製造效能'!E:E=""清洗""), 1))"),30)</f>
        <v>30</v>
      </c>
      <c r="AB23" s="35" t="str">
        <f ca="1">IFERROR(__xludf.DUMMYFUNCTION("IFERROR(INDEX(FILTER('製造效能'!N:N, '製造效能'!$A:$A=$C23, '製造效能'!$D:$D=$M23, '製造效能'!$E:$E=""攪料""), 1), INDEX(FILTER('製造效能'!N:N, '製造效能'!$B:$B=$D23, '製造效能'!$D:$D=$M23, '製造效能'!$E:$E=""攪料""), 1))"),"")</f>
        <v/>
      </c>
      <c r="AC23" s="35">
        <f ca="1">IFERROR(__xludf.DUMMYFUNCTION("IFERROR(INDEX(FILTER('製造效能'!O:O, '製造效能'!$A:$A=$C23, '製造效能'!$D:$D=$M23, '製造效能'!$E:$E=""攪料""), 1), INDEX(FILTER('製造效能'!O:O, '製造效能'!$B:$B=$D23, '製造效能'!$D:$D=$M23, '製造效能'!$E:$E=""攪料""), 1))"),1)</f>
        <v>1</v>
      </c>
      <c r="AD23" s="35" t="str">
        <f ca="1">IFERROR(__xludf.DUMMYFUNCTION("IFERROR(INDEX(FILTER('製造效能'!P:P, '製造效能'!$A:$A=$C23, '製造效能'!$D:$D=$M23, '製造效能'!$E:$E=""攪料""), 1), INDEX(FILTER('製造效能'!P:P, '製造效能'!$B:$B=$D23, '製造效能'!$D:$D=$M23, '製造效能'!$E:$E=""攪料""), 1))"),"")</f>
        <v/>
      </c>
      <c r="AE23" s="35" t="str">
        <f ca="1">IFERROR(__xludf.DUMMYFUNCTION("IFERROR(INDEX(FILTER('製造效能'!Q:Q, '製造效能'!$A:$A=$C23, '製造效能'!$D:$D=$M23, '製造效能'!$E:$E=""攪料""), 1), INDEX(FILTER('製造效能'!Q:Q, '製造效能'!$B:$B=$D23, '製造效能'!$D:$D=$M23, '製造效能'!$E:$E=""攪料""), 1))"),"")</f>
        <v/>
      </c>
      <c r="AF23" s="35" t="str">
        <f ca="1">IFERROR(__xludf.DUMMYFUNCTION("IFERROR(INDEX(FILTER('製造效能'!R:R, '製造效能'!$A:$A=$C23, '製造效能'!$D:$D=$M23, '製造效能'!$E:$E=""攪料""), 1), INDEX(FILTER('製造效能'!R:R, '製造效能'!$B:$B=$D23, '製造效能'!$D:$D=$M23, '製造效能'!$E:$E=""攪料""), 1))"),"")</f>
        <v/>
      </c>
      <c r="AG23" s="35">
        <f ca="1">IFERROR(__xludf.DUMMYFUNCTION("IFERROR(INDEX(FILTER('製造效能'!S:S, '製造效能'!$A:$A=$C23, '製造效能'!$D:$D=$M23, '製造效能'!$E:$E=""攪料""), 1), INDEX(FILTER('製造效能'!S:S, '製造效能'!$B:$B=$D23, '製造效能'!$D:$D=$M23, '製造效能'!$E:$E=""攪料""), 1))"),1)</f>
        <v>1</v>
      </c>
      <c r="AH23" s="35" t="str">
        <f ca="1">IFERROR(__xludf.DUMMYFUNCTION("IFERROR(INDEX(FILTER('製造效能'!T:T, '製造效能'!$A:$A=$C23, '製造效能'!$D:$D=$M23, '製造效能'!$E:$E=""攪料""), 1), INDEX(FILTER('製造效能'!T:T, '製造效能'!$B:$B=$D23, '製造效能'!$D:$D=$M23, '製造效能'!$E:$E=""攪料""), 1))"),"")</f>
        <v/>
      </c>
      <c r="AI23" s="35" t="str">
        <f ca="1">IFERROR(__xludf.DUMMYFUNCTION("IFERROR(INDEX(FILTER('製造效能'!U:U, '製造效能'!$A:$A=$C23, '製造效能'!$D:$D=$M23, '製造效能'!$E:$E=""攪料""), 1), INDEX(FILTER('製造效能'!U:U, '製造效能'!$B:$B=$D23, '製造效能'!$D:$D=$M23, '製造效能'!$E:$E=""攪料""), 1))"),"")</f>
        <v/>
      </c>
      <c r="AJ23" s="35" t="str">
        <f ca="1">IFERROR(__xludf.DUMMYFUNCTION("IFERROR(INDEX(FILTER('製造效能'!V:V, '製造效能'!$A:$A=$C23, '製造效能'!$D:$D=$M23, '製造效能'!$E:$E=""攪料""), 1), INDEX(FILTER('製造效能'!V:V, '製造效能'!$B:$B=$D23, '製造效能'!$D:$D=$M23, '製造效能'!$E:$E=""攪料""), 1))"),"")</f>
        <v/>
      </c>
      <c r="AK23" s="35">
        <f>COUNTIF(充填效能!$A:$A, $C23)</f>
        <v>2</v>
      </c>
      <c r="AL23" s="36" t="str">
        <f ca="1">IFERROR(__xludf.DUMMYFUNCTION("IFERROR(INDEX(FILTER('充填效能'!$Q$2:$Q$1088, '充填效能'!$A$2:$A$1088=$C23, '充填效能'!$D$2:$D$1088=""排瓶""), 1), 0)"),"1600")</f>
        <v>1600</v>
      </c>
      <c r="AM23" s="36">
        <f ca="1">IFERROR(__xludf.DUMMYFUNCTION("IFERROR(INDEX(FILTER('充填效能'!$R$2:$R$1088, '充填效能'!$A$2:$A$1088=$C23, '充填效能'!$D$2:$D$1088=""排瓶""), 1), 0)"),1)</f>
        <v>1</v>
      </c>
      <c r="AN23" s="35">
        <f t="shared" ca="1" si="5"/>
        <v>3.125</v>
      </c>
      <c r="AO23" s="36" t="str">
        <f ca="1">IFERROR(__xludf.DUMMYFUNCTION("IFERROR(INDEX(FILTER('充填效能'!$Q$2:$Q$1088, '充填效能'!$A$2:$A$1088=$C23, '充填效能'!$D$2:$D$1088=""充填""), 1), 0)"),"1500")</f>
        <v>1500</v>
      </c>
      <c r="AP23" s="36">
        <f ca="1">IFERROR(__xludf.DUMMYFUNCTION("IFERROR(INDEX(FILTER('充填效能'!$R$2:$R$1088, '充填效能'!$A$2:$A$1088=$C23, '充填效能'!$D$2:$D$1088=""充填""), 1), 0)"),3)</f>
        <v>3</v>
      </c>
      <c r="AQ23" s="35">
        <f t="shared" ca="1" si="6"/>
        <v>3.3333333333333335</v>
      </c>
      <c r="AR23" s="17">
        <f t="shared" ca="1" si="7"/>
        <v>10</v>
      </c>
    </row>
    <row r="24" spans="1:44" ht="15.75" customHeight="1">
      <c r="A24" s="9" t="s">
        <v>75</v>
      </c>
      <c r="B24" s="34">
        <f t="shared" si="0"/>
        <v>45043</v>
      </c>
      <c r="C24" s="9" t="s">
        <v>56</v>
      </c>
      <c r="D24" s="17" t="str">
        <f t="shared" si="1"/>
        <v>EU22D2</v>
      </c>
      <c r="E24" s="9" t="s">
        <v>57</v>
      </c>
      <c r="F24" s="9">
        <v>10000</v>
      </c>
      <c r="G24" s="10">
        <v>45061</v>
      </c>
      <c r="H24" s="10">
        <v>45050</v>
      </c>
      <c r="I24" s="10">
        <v>44987</v>
      </c>
      <c r="J24" s="10">
        <v>44939</v>
      </c>
      <c r="L24" s="17" t="str">
        <f ca="1">IFERROR(__xludf.DUMMYFUNCTION("TEXTJOIN("", "", TRUE, UNIQUE(FILTER('製造效能'!$D$2:$D$1732, '製造效能'!$B$2:$B$1732 = D24)))"),"大, 精")</f>
        <v>大, 精</v>
      </c>
      <c r="M24" s="17" t="str">
        <f ca="1">IFERROR(__xludf.DUMMYFUNCTION("INDEX(UNIQUE(FILTER('製造效能'!$D$2:$D$1732, ('製造效能'!$B$2:$B$1732 = D24) * ('製造效能'!$J$2:$J$1732 = MAXIFS('製造效能'!$J$2:$J$1732, '製造效能'!$B$2:$B$1732, D24)))), 1) 
"),"大")</f>
        <v>大</v>
      </c>
      <c r="N24" s="17" t="str">
        <f ca="1">IFERROR(__xludf.DUMMYFUNCTION("TEXTJOIN("", "", TRUE, UNIQUE(FILTER('製造效能'!$K$2:$K$1732, '製造效能'!$B$2:$B$1732 = D24)))"),"水項")</f>
        <v>水項</v>
      </c>
      <c r="O24" s="35">
        <f ca="1">IFERROR(__xludf.DUMMYFUNCTION("IFERROR(INDEX(FILTER('充填效能'!I$2:I$1088, '充填效能'!$A$2:$A$1088=$C24, '充填效能'!$D$2:$D$1088=""充填""), 1), 0)"),5)</f>
        <v>5</v>
      </c>
      <c r="P24" s="35" t="str">
        <f ca="1">IFERROR(__xludf.DUMMYFUNCTION("IFERROR(INDEX(FILTER('充填效能'!J$2:J$1088, '充填效能'!$A$2:$A$1088=$C24, '充填效能'!$D$2:$D$1088=""充填""), 1), 0)"),"")</f>
        <v/>
      </c>
      <c r="Q24" s="35" t="str">
        <f ca="1">IFERROR(__xludf.DUMMYFUNCTION("IFERROR(INDEX(FILTER('充填效能'!K$2:K$1088, '充填效能'!$A$2:$A$1088=$C24, '充填效能'!$D$2:$D$1088=""充填""), 1), 0)"),"")</f>
        <v/>
      </c>
      <c r="R24" s="35" t="str">
        <f ca="1">IFERROR(__xludf.DUMMYFUNCTION("IFERROR(INDEX(FILTER('充填效能'!L$2:L$1088, '充填效能'!$A$2:$A$1088=$C24, '充填效能'!$D$2:$D$1088=""充填""), 1), 0)"),"")</f>
        <v/>
      </c>
      <c r="S24" s="35">
        <f ca="1">COUNTIFS(製造效能!B:B, $D24,製造效能!D:D,M24)</f>
        <v>3</v>
      </c>
      <c r="T24" s="36">
        <f ca="1">IFERROR(__xludf.DUMMYFUNCTION("VALUE(REGEXEXTRACT(TO_TEXT(O24), ""\d*\.?\d+""))"),5)</f>
        <v>5</v>
      </c>
      <c r="U24" s="17">
        <f t="shared" ca="1" si="2"/>
        <v>50749.999999999993</v>
      </c>
      <c r="V24" s="17">
        <f ca="1">IFERROR(__xludf.DUMMYFUNCTION("IFERROR(INDEX(FILTER('製造效能'!J:J, '製造效能'!A:A=$C24, '製造效能'!D:D=M24, '製造效能'!E:E=""攪料""), 1), INDEX(FILTER('製造效能'!J:J, '製造效能'!B:B=$D24, '製造效能'!D:D=M24, '製造效能'!E:E=""攪料""), 1))"),412)</f>
        <v>412</v>
      </c>
      <c r="W24" s="36">
        <f ca="1">IFERROR(__xludf.DUMMYFUNCTION("IFERROR(INDEX(FILTER('製造效能'!G:G, '製造效能'!A:A=$C24, '製造效能'!D:D=M24, '製造效能'!E:E=""攪料""), 1), INDEX(FILTER('製造效能'!G:G, '製造效能'!B:B=$D24, '製造效能'!D:D=M24, '製造效能'!E:E=""攪料""), 1))"),110)</f>
        <v>110</v>
      </c>
      <c r="X24" s="35">
        <f t="shared" ca="1" si="3"/>
        <v>1</v>
      </c>
      <c r="Y24" s="35">
        <f t="shared" ca="1" si="4"/>
        <v>110</v>
      </c>
      <c r="Z24" s="35">
        <f ca="1">IFERROR(__xludf.DUMMYFUNCTION("IFERROR(IFERROR(INDEX(FILTER('製造效能'!G:G, '製造效能'!A:A=$C24, '製造效能'!D:D=M24, '製造效能'!E:E=""預攪""), 1), INDEX(FILTER('製造效能'!G:G, '製造效能'!B:B=$D24, '製造效能'!D:D=M24, '製造效能'!E:E=""預攪""), 1)), 0)"),60)</f>
        <v>60</v>
      </c>
      <c r="AA24" s="35">
        <f ca="1">IFERROR(__xludf.DUMMYFUNCTION("IFERROR(INDEX(FILTER('製造效能'!G:G, '製造效能'!A:A=$C24, '製造效能'!D:D=M24, '製造效能'!E:E=""清洗""), 1), INDEX(FILTER('製造效能'!G:G, '製造效能'!B:B=$D24, '製造效能'!D:D=M24, '製造效能'!E:E=""清洗""), 1))"),30)</f>
        <v>30</v>
      </c>
      <c r="AB24" s="35" t="str">
        <f ca="1">IFERROR(__xludf.DUMMYFUNCTION("IFERROR(INDEX(FILTER('製造效能'!N:N, '製造效能'!$A:$A=$C24, '製造效能'!$D:$D=$M24, '製造效能'!$E:$E=""攪料""), 1), INDEX(FILTER('製造效能'!N:N, '製造效能'!$B:$B=$D24, '製造效能'!$D:$D=$M24, '製造效能'!$E:$E=""攪料""), 1))"),"")</f>
        <v/>
      </c>
      <c r="AC24" s="35" t="str">
        <f ca="1">IFERROR(__xludf.DUMMYFUNCTION("IFERROR(INDEX(FILTER('製造效能'!O:O, '製造效能'!$A:$A=$C24, '製造效能'!$D:$D=$M24, '製造效能'!$E:$E=""攪料""), 1), INDEX(FILTER('製造效能'!O:O, '製造效能'!$B:$B=$D24, '製造效能'!$D:$D=$M24, '製造效能'!$E:$E=""攪料""), 1))"),"")</f>
        <v/>
      </c>
      <c r="AD24" s="35" t="str">
        <f ca="1">IFERROR(__xludf.DUMMYFUNCTION("IFERROR(INDEX(FILTER('製造效能'!P:P, '製造效能'!$A:$A=$C24, '製造效能'!$D:$D=$M24, '製造效能'!$E:$E=""攪料""), 1), INDEX(FILTER('製造效能'!P:P, '製造效能'!$B:$B=$D24, '製造效能'!$D:$D=$M24, '製造效能'!$E:$E=""攪料""), 1))"),"")</f>
        <v/>
      </c>
      <c r="AE24" s="35" t="str">
        <f ca="1">IFERROR(__xludf.DUMMYFUNCTION("IFERROR(INDEX(FILTER('製造效能'!Q:Q, '製造效能'!$A:$A=$C24, '製造效能'!$D:$D=$M24, '製造效能'!$E:$E=""攪料""), 1), INDEX(FILTER('製造效能'!Q:Q, '製造效能'!$B:$B=$D24, '製造效能'!$D:$D=$M24, '製造效能'!$E:$E=""攪料""), 1))"),"")</f>
        <v/>
      </c>
      <c r="AF24" s="35" t="str">
        <f ca="1">IFERROR(__xludf.DUMMYFUNCTION("IFERROR(INDEX(FILTER('製造效能'!R:R, '製造效能'!$A:$A=$C24, '製造效能'!$D:$D=$M24, '製造效能'!$E:$E=""攪料""), 1), INDEX(FILTER('製造效能'!R:R, '製造效能'!$B:$B=$D24, '製造效能'!$D:$D=$M24, '製造效能'!$E:$E=""攪料""), 1))"),"")</f>
        <v/>
      </c>
      <c r="AG24" s="35">
        <f ca="1">IFERROR(__xludf.DUMMYFUNCTION("IFERROR(INDEX(FILTER('製造效能'!S:S, '製造效能'!$A:$A=$C24, '製造效能'!$D:$D=$M24, '製造效能'!$E:$E=""攪料""), 1), INDEX(FILTER('製造效能'!S:S, '製造效能'!$B:$B=$D24, '製造效能'!$D:$D=$M24, '製造效能'!$E:$E=""攪料""), 1))"),1)</f>
        <v>1</v>
      </c>
      <c r="AH24" s="35" t="str">
        <f ca="1">IFERROR(__xludf.DUMMYFUNCTION("IFERROR(INDEX(FILTER('製造效能'!T:T, '製造效能'!$A:$A=$C24, '製造效能'!$D:$D=$M24, '製造效能'!$E:$E=""攪料""), 1), INDEX(FILTER('製造效能'!T:T, '製造效能'!$B:$B=$D24, '製造效能'!$D:$D=$M24, '製造效能'!$E:$E=""攪料""), 1))"),"")</f>
        <v/>
      </c>
      <c r="AI24" s="35" t="str">
        <f ca="1">IFERROR(__xludf.DUMMYFUNCTION("IFERROR(INDEX(FILTER('製造效能'!U:U, '製造效能'!$A:$A=$C24, '製造效能'!$D:$D=$M24, '製造效能'!$E:$E=""攪料""), 1), INDEX(FILTER('製造效能'!U:U, '製造效能'!$B:$B=$D24, '製造效能'!$D:$D=$M24, '製造效能'!$E:$E=""攪料""), 1))"),"")</f>
        <v/>
      </c>
      <c r="AJ24" s="35" t="str">
        <f ca="1">IFERROR(__xludf.DUMMYFUNCTION("IFERROR(INDEX(FILTER('製造效能'!V:V, '製造效能'!$A:$A=$C24, '製造效能'!$D:$D=$M24, '製造效能'!$E:$E=""攪料""), 1), INDEX(FILTER('製造效能'!V:V, '製造效能'!$B:$B=$D24, '製造效能'!$D:$D=$M24, '製造效能'!$E:$E=""攪料""), 1))"),"")</f>
        <v/>
      </c>
      <c r="AK24" s="35">
        <f>COUNTIF(充填效能!$A:$A, $C24)</f>
        <v>2</v>
      </c>
      <c r="AL24" s="36" t="str">
        <f ca="1">IFERROR(__xludf.DUMMYFUNCTION("IFERROR(INDEX(FILTER('充填效能'!$Q$2:$Q$1088, '充填效能'!$A$2:$A$1088=$C24, '充填效能'!$D$2:$D$1088=""排瓶""), 1), 0)"),"1400")</f>
        <v>1400</v>
      </c>
      <c r="AM24" s="36">
        <f ca="1">IFERROR(__xludf.DUMMYFUNCTION("IFERROR(INDEX(FILTER('充填效能'!$R$2:$R$1088, '充填效能'!$A$2:$A$1088=$C24, '充填效能'!$D$2:$D$1088=""排瓶""), 1), 0)"),1)</f>
        <v>1</v>
      </c>
      <c r="AN24" s="35">
        <f t="shared" ca="1" si="5"/>
        <v>7.1428571428571432</v>
      </c>
      <c r="AO24" s="36" t="str">
        <f ca="1">IFERROR(__xludf.DUMMYFUNCTION("IFERROR(INDEX(FILTER('充填效能'!$Q$2:$Q$1088, '充填效能'!$A$2:$A$1088=$C24, '充填效能'!$D$2:$D$1088=""充填""), 1), 0)"),"1500")</f>
        <v>1500</v>
      </c>
      <c r="AP24" s="36">
        <f ca="1">IFERROR(__xludf.DUMMYFUNCTION("IFERROR(INDEX(FILTER('充填效能'!$R$2:$R$1088, '充填效能'!$A$2:$A$1088=$C24, '充填效能'!$D$2:$D$1088=""充填""), 1), 0)"),4)</f>
        <v>4</v>
      </c>
      <c r="AQ24" s="35">
        <f t="shared" ca="1" si="6"/>
        <v>6.666666666666667</v>
      </c>
      <c r="AR24" s="17">
        <f t="shared" ca="1" si="7"/>
        <v>26.666666666666668</v>
      </c>
    </row>
    <row r="25" spans="1:44" ht="15.75" customHeight="1">
      <c r="A25" s="9" t="s">
        <v>98</v>
      </c>
      <c r="B25" s="34">
        <f t="shared" si="0"/>
        <v>45027</v>
      </c>
      <c r="C25" s="9" t="s">
        <v>62</v>
      </c>
      <c r="D25" s="17" t="str">
        <f t="shared" si="1"/>
        <v>N1CAE1</v>
      </c>
      <c r="E25" s="9" t="s">
        <v>63</v>
      </c>
      <c r="F25" s="9">
        <v>6500</v>
      </c>
      <c r="G25" s="10">
        <v>45058</v>
      </c>
      <c r="H25" s="10">
        <v>45050</v>
      </c>
      <c r="I25" s="10">
        <v>44993</v>
      </c>
      <c r="J25" s="10">
        <v>45044</v>
      </c>
      <c r="L25" s="17" t="str">
        <f ca="1">IFERROR(__xludf.DUMMYFUNCTION("TEXTJOIN("", "", TRUE, UNIQUE(FILTER('製造效能'!$D$2:$D$1732, '製造效能'!$B$2:$B$1732 = D25)))"),"精")</f>
        <v>精</v>
      </c>
      <c r="M25" s="17" t="str">
        <f ca="1">IFERROR(__xludf.DUMMYFUNCTION("INDEX(UNIQUE(FILTER('製造效能'!$D$2:$D$1732, ('製造效能'!$B$2:$B$1732 = D25) * ('製造效能'!$J$2:$J$1732 = MAXIFS('製造效能'!$J$2:$J$1732, '製造效能'!$B$2:$B$1732, D25)))), 1) 
"),"精")</f>
        <v>精</v>
      </c>
      <c r="N25" s="17" t="str">
        <f ca="1">IFERROR(__xludf.DUMMYFUNCTION("TEXTJOIN("", "", TRUE, UNIQUE(FILTER('製造效能'!$K$2:$K$1732, '製造效能'!$B$2:$B$1732 = D25)))"),"水項")</f>
        <v>水項</v>
      </c>
      <c r="O25" s="35">
        <f ca="1">IFERROR(__xludf.DUMMYFUNCTION("IFERROR(INDEX(FILTER('充填效能'!I$2:I$1088, '充填效能'!$A$2:$A$1088=$C25, '充填效能'!$D$2:$D$1088=""充填""), 1), 0)"),15)</f>
        <v>15</v>
      </c>
      <c r="P25" s="35" t="str">
        <f ca="1">IFERROR(__xludf.DUMMYFUNCTION("IFERROR(INDEX(FILTER('充填效能'!J$2:J$1088, '充填效能'!$A$2:$A$1088=$C25, '充填效能'!$D$2:$D$1088=""充填""), 1), 0)"),"")</f>
        <v/>
      </c>
      <c r="Q25" s="35" t="str">
        <f ca="1">IFERROR(__xludf.DUMMYFUNCTION("IFERROR(INDEX(FILTER('充填效能'!K$2:K$1088, '充填效能'!$A$2:$A$1088=$C25, '充填效能'!$D$2:$D$1088=""充填""), 1), 0)"),"")</f>
        <v/>
      </c>
      <c r="R25" s="35" t="str">
        <f ca="1">IFERROR(__xludf.DUMMYFUNCTION("IFERROR(INDEX(FILTER('充填效能'!L$2:L$1088, '充填效能'!$A$2:$A$1088=$C25, '充填效能'!$D$2:$D$1088=""充填""), 1), 0)"),"")</f>
        <v/>
      </c>
      <c r="S25" s="35">
        <f ca="1">COUNTIFS(製造效能!B:B, $D25,製造效能!D:D,M25)</f>
        <v>2</v>
      </c>
      <c r="T25" s="36">
        <f ca="1">IFERROR(__xludf.DUMMYFUNCTION("VALUE(REGEXEXTRACT(TO_TEXT(O25), ""\d*\.?\d+""))"),15)</f>
        <v>15</v>
      </c>
      <c r="U25" s="17">
        <f t="shared" ca="1" si="2"/>
        <v>98962.499999999985</v>
      </c>
      <c r="V25" s="17">
        <f ca="1">IFERROR(__xludf.DUMMYFUNCTION("IFERROR(INDEX(FILTER('製造效能'!J:J, '製造效能'!A:A=$C25, '製造效能'!D:D=M25, '製造效能'!E:E=""攪料""), 1), INDEX(FILTER('製造效能'!J:J, '製造效能'!B:B=$D25, '製造效能'!D:D=M25, '製造效能'!E:E=""攪料""), 1))"),81)</f>
        <v>81</v>
      </c>
      <c r="W25" s="36">
        <f ca="1">IFERROR(__xludf.DUMMYFUNCTION("IFERROR(INDEX(FILTER('製造效能'!G:G, '製造效能'!A:A=$C25, '製造效能'!D:D=M25, '製造效能'!E:E=""攪料""), 1), INDEX(FILTER('製造效能'!G:G, '製造效能'!B:B=$D25, '製造效能'!D:D=M25, '製造效能'!E:E=""攪料""), 1))"),90)</f>
        <v>90</v>
      </c>
      <c r="X25" s="35">
        <f t="shared" ca="1" si="3"/>
        <v>2</v>
      </c>
      <c r="Y25" s="35">
        <f t="shared" ca="1" si="4"/>
        <v>180</v>
      </c>
      <c r="Z25" s="35">
        <f ca="1">IFERROR(__xludf.DUMMYFUNCTION("IFERROR(IFERROR(INDEX(FILTER('製造效能'!G:G, '製造效能'!A:A=$C25, '製造效能'!D:D=M25, '製造效能'!E:E=""預攪""), 1), INDEX(FILTER('製造效能'!G:G, '製造效能'!B:B=$D25, '製造效能'!D:D=M25, '製造效能'!E:E=""預攪""), 1)), 0)"),0)</f>
        <v>0</v>
      </c>
      <c r="AA25" s="35">
        <f ca="1">IFERROR(__xludf.DUMMYFUNCTION("IFERROR(INDEX(FILTER('製造效能'!G:G, '製造效能'!A:A=$C25, '製造效能'!D:D=M25, '製造效能'!E:E=""清洗""), 1), INDEX(FILTER('製造效能'!G:G, '製造效能'!B:B=$D25, '製造效能'!D:D=M25, '製造效能'!E:E=""清洗""), 1))"),15)</f>
        <v>15</v>
      </c>
      <c r="AB25" s="35" t="str">
        <f ca="1">IFERROR(__xludf.DUMMYFUNCTION("IFERROR(INDEX(FILTER('製造效能'!N:N, '製造效能'!$A:$A=$C25, '製造效能'!$D:$D=$M25, '製造效能'!$E:$E=""攪料""), 1), INDEX(FILTER('製造效能'!N:N, '製造效能'!$B:$B=$D25, '製造效能'!$D:$D=$M25, '製造效能'!$E:$E=""攪料""), 1))"),"")</f>
        <v/>
      </c>
      <c r="AC25" s="35">
        <f ca="1">IFERROR(__xludf.DUMMYFUNCTION("IFERROR(INDEX(FILTER('製造效能'!O:O, '製造效能'!$A:$A=$C25, '製造效能'!$D:$D=$M25, '製造效能'!$E:$E=""攪料""), 1), INDEX(FILTER('製造效能'!O:O, '製造效能'!$B:$B=$D25, '製造效能'!$D:$D=$M25, '製造效能'!$E:$E=""攪料""), 1))"),1)</f>
        <v>1</v>
      </c>
      <c r="AD25" s="35" t="str">
        <f ca="1">IFERROR(__xludf.DUMMYFUNCTION("IFERROR(INDEX(FILTER('製造效能'!P:P, '製造效能'!$A:$A=$C25, '製造效能'!$D:$D=$M25, '製造效能'!$E:$E=""攪料""), 1), INDEX(FILTER('製造效能'!P:P, '製造效能'!$B:$B=$D25, '製造效能'!$D:$D=$M25, '製造效能'!$E:$E=""攪料""), 1))"),"")</f>
        <v/>
      </c>
      <c r="AE25" s="35" t="str">
        <f ca="1">IFERROR(__xludf.DUMMYFUNCTION("IFERROR(INDEX(FILTER('製造效能'!Q:Q, '製造效能'!$A:$A=$C25, '製造效能'!$D:$D=$M25, '製造效能'!$E:$E=""攪料""), 1), INDEX(FILTER('製造效能'!Q:Q, '製造效能'!$B:$B=$D25, '製造效能'!$D:$D=$M25, '製造效能'!$E:$E=""攪料""), 1))"),"")</f>
        <v/>
      </c>
      <c r="AF25" s="35" t="str">
        <f ca="1">IFERROR(__xludf.DUMMYFUNCTION("IFERROR(INDEX(FILTER('製造效能'!R:R, '製造效能'!$A:$A=$C25, '製造效能'!$D:$D=$M25, '製造效能'!$E:$E=""攪料""), 1), INDEX(FILTER('製造效能'!R:R, '製造效能'!$B:$B=$D25, '製造效能'!$D:$D=$M25, '製造效能'!$E:$E=""攪料""), 1))"),"")</f>
        <v/>
      </c>
      <c r="AG25" s="35" t="str">
        <f ca="1">IFERROR(__xludf.DUMMYFUNCTION("IFERROR(INDEX(FILTER('製造效能'!S:S, '製造效能'!$A:$A=$C25, '製造效能'!$D:$D=$M25, '製造效能'!$E:$E=""攪料""), 1), INDEX(FILTER('製造效能'!S:S, '製造效能'!$B:$B=$D25, '製造效能'!$D:$D=$M25, '製造效能'!$E:$E=""攪料""), 1))"),"")</f>
        <v/>
      </c>
      <c r="AH25" s="35" t="str">
        <f ca="1">IFERROR(__xludf.DUMMYFUNCTION("IFERROR(INDEX(FILTER('製造效能'!T:T, '製造效能'!$A:$A=$C25, '製造效能'!$D:$D=$M25, '製造效能'!$E:$E=""攪料""), 1), INDEX(FILTER('製造效能'!T:T, '製造效能'!$B:$B=$D25, '製造效能'!$D:$D=$M25, '製造效能'!$E:$E=""攪料""), 1))"),"")</f>
        <v/>
      </c>
      <c r="AI25" s="35" t="str">
        <f ca="1">IFERROR(__xludf.DUMMYFUNCTION("IFERROR(INDEX(FILTER('製造效能'!U:U, '製造效能'!$A:$A=$C25, '製造效能'!$D:$D=$M25, '製造效能'!$E:$E=""攪料""), 1), INDEX(FILTER('製造效能'!U:U, '製造效能'!$B:$B=$D25, '製造效能'!$D:$D=$M25, '製造效能'!$E:$E=""攪料""), 1))"),"")</f>
        <v/>
      </c>
      <c r="AJ25" s="35" t="str">
        <f ca="1">IFERROR(__xludf.DUMMYFUNCTION("IFERROR(INDEX(FILTER('製造效能'!V:V, '製造效能'!$A:$A=$C25, '製造效能'!$D:$D=$M25, '製造效能'!$E:$E=""攪料""), 1), INDEX(FILTER('製造效能'!V:V, '製造效能'!$B:$B=$D25, '製造效能'!$D:$D=$M25, '製造效能'!$E:$E=""攪料""), 1))"),"")</f>
        <v/>
      </c>
      <c r="AK25" s="35">
        <f>COUNTIF(充填效能!$A:$A, $C25)</f>
        <v>1</v>
      </c>
      <c r="AL25" s="36">
        <f ca="1">IFERROR(__xludf.DUMMYFUNCTION("IFERROR(INDEX(FILTER('充填效能'!$Q$2:$Q$1088, '充填效能'!$A$2:$A$1088=$C25, '充填效能'!$D$2:$D$1088=""排瓶""), 1), 0)"),0)</f>
        <v>0</v>
      </c>
      <c r="AM25" s="36">
        <f ca="1">IFERROR(__xludf.DUMMYFUNCTION("IFERROR(INDEX(FILTER('充填效能'!$R$2:$R$1088, '充填效能'!$A$2:$A$1088=$C25, '充填效能'!$D$2:$D$1088=""排瓶""), 1), 0)"),0)</f>
        <v>0</v>
      </c>
      <c r="AN25" s="35">
        <f t="shared" ca="1" si="5"/>
        <v>0</v>
      </c>
      <c r="AO25" s="36" t="str">
        <f ca="1">IFERROR(__xludf.DUMMYFUNCTION("IFERROR(INDEX(FILTER('充填效能'!$Q$2:$Q$1088, '充填效能'!$A$2:$A$1088=$C25, '充填效能'!$D$2:$D$1088=""充填""), 1), 0)"),"1000")</f>
        <v>1000</v>
      </c>
      <c r="AP25" s="36">
        <f ca="1">IFERROR(__xludf.DUMMYFUNCTION("IFERROR(INDEX(FILTER('充填效能'!$R$2:$R$1088, '充填效能'!$A$2:$A$1088=$C25, '充填效能'!$D$2:$D$1088=""充填""), 1), 0)"),4)</f>
        <v>4</v>
      </c>
      <c r="AQ25" s="35">
        <f t="shared" ca="1" si="6"/>
        <v>6.5</v>
      </c>
      <c r="AR25" s="17">
        <f t="shared" ca="1" si="7"/>
        <v>26</v>
      </c>
    </row>
    <row r="26" spans="1:44" ht="15.75" customHeight="1">
      <c r="A26" s="9" t="s">
        <v>135</v>
      </c>
      <c r="B26" s="34">
        <f t="shared" si="0"/>
        <v>45009</v>
      </c>
      <c r="C26" s="9" t="s">
        <v>35</v>
      </c>
      <c r="D26" s="17" t="str">
        <f t="shared" si="1"/>
        <v>DD20D1</v>
      </c>
      <c r="E26" s="9" t="s">
        <v>36</v>
      </c>
      <c r="F26" s="9">
        <v>70</v>
      </c>
      <c r="G26" s="10">
        <v>45051</v>
      </c>
      <c r="H26" s="10">
        <v>45051</v>
      </c>
      <c r="I26" s="10">
        <v>45027</v>
      </c>
      <c r="J26" s="10">
        <v>45001</v>
      </c>
      <c r="L26" s="17" t="str">
        <f ca="1">IFERROR(__xludf.DUMMYFUNCTION("TEXTJOIN("", "", TRUE, UNIQUE(FILTER('製造效能'!$D$2:$D$1732, '製造效能'!$B$2:$B$1732 = D26)))"),"精")</f>
        <v>精</v>
      </c>
      <c r="M26" s="17" t="str">
        <f ca="1">IFERROR(__xludf.DUMMYFUNCTION("INDEX(UNIQUE(FILTER('製造效能'!$D$2:$D$1732, ('製造效能'!$B$2:$B$1732 = D26) * ('製造效能'!$J$2:$J$1732 = MAXIFS('製造效能'!$J$2:$J$1732, '製造效能'!$B$2:$B$1732, D26)))), 1) 
"),"精")</f>
        <v>精</v>
      </c>
      <c r="N26" s="17" t="str">
        <f ca="1">IFERROR(__xludf.DUMMYFUNCTION("TEXTJOIN("", "", TRUE, UNIQUE(FILTER('製造效能'!$K$2:$K$1732, '製造效能'!$B$2:$B$1732 = D26)))"),"水項")</f>
        <v>水項</v>
      </c>
      <c r="O26" s="35">
        <f ca="1">IFERROR(__xludf.DUMMYFUNCTION("IFERROR(INDEX(FILTER('充填效能'!I$2:I$1088, '充填效能'!$A$2:$A$1088=$C26, '充填效能'!$D$2:$D$1088=""充填""), 1), 0)"),99.1)</f>
        <v>99.1</v>
      </c>
      <c r="P26" s="35" t="str">
        <f ca="1">IFERROR(__xludf.DUMMYFUNCTION("IFERROR(INDEX(FILTER('充填效能'!J$2:J$1088, '充填效能'!$A$2:$A$1088=$C26, '充填效能'!$D$2:$D$1088=""充填""), 1), 0)"),"")</f>
        <v/>
      </c>
      <c r="Q26" s="35" t="str">
        <f ca="1">IFERROR(__xludf.DUMMYFUNCTION("IFERROR(INDEX(FILTER('充填效能'!K$2:K$1088, '充填效能'!$A$2:$A$1088=$C26, '充填效能'!$D$2:$D$1088=""充填""), 1), 0)"),"")</f>
        <v/>
      </c>
      <c r="R26" s="35" t="str">
        <f ca="1">IFERROR(__xludf.DUMMYFUNCTION("IFERROR(INDEX(FILTER('充填效能'!L$2:L$1088, '充填效能'!$A$2:$A$1088=$C26, '充填效能'!$D$2:$D$1088=""充填""), 1), 0)"),"")</f>
        <v/>
      </c>
      <c r="S26" s="35">
        <f ca="1">COUNTIFS(製造效能!B:B, $D26,製造效能!D:D,M26)</f>
        <v>3</v>
      </c>
      <c r="T26" s="36">
        <f ca="1">IFERROR(__xludf.DUMMYFUNCTION("VALUE(REGEXEXTRACT(TO_TEXT(O26), ""\d*\.?\d+""))"),99.1)</f>
        <v>99.1</v>
      </c>
      <c r="U26" s="17">
        <f t="shared" ca="1" si="2"/>
        <v>7041.0549999999994</v>
      </c>
      <c r="V26" s="17">
        <f ca="1">IFERROR(__xludf.DUMMYFUNCTION("IFERROR(INDEX(FILTER('製造效能'!J:J, '製造效能'!A:A=$C26, '製造效能'!D:D=M26, '製造效能'!E:E=""攪料""), 1), INDEX(FILTER('製造效能'!J:J, '製造效能'!B:B=$D26, '製造效能'!D:D=M26, '製造效能'!E:E=""攪料""), 1))"),18)</f>
        <v>18</v>
      </c>
      <c r="W26" s="36">
        <f ca="1">IFERROR(__xludf.DUMMYFUNCTION("IFERROR(INDEX(FILTER('製造效能'!G:G, '製造效能'!A:A=$C26, '製造效能'!D:D=M26, '製造效能'!E:E=""攪料""), 1), INDEX(FILTER('製造效能'!G:G, '製造效能'!B:B=$D26, '製造效能'!D:D=M26, '製造效能'!E:E=""攪料""), 1))"),65)</f>
        <v>65</v>
      </c>
      <c r="X26" s="35">
        <f t="shared" ca="1" si="3"/>
        <v>1</v>
      </c>
      <c r="Y26" s="35">
        <f t="shared" ca="1" si="4"/>
        <v>65</v>
      </c>
      <c r="Z26" s="35">
        <f ca="1">IFERROR(__xludf.DUMMYFUNCTION("IFERROR(IFERROR(INDEX(FILTER('製造效能'!G:G, '製造效能'!A:A=$C26, '製造效能'!D:D=M26, '製造效能'!E:E=""預攪""), 1), INDEX(FILTER('製造效能'!G:G, '製造效能'!B:B=$D26, '製造效能'!D:D=M26, '製造效能'!E:E=""預攪""), 1)), 0)"),65)</f>
        <v>65</v>
      </c>
      <c r="AA26" s="35">
        <f ca="1">IFERROR(__xludf.DUMMYFUNCTION("IFERROR(INDEX(FILTER('製造效能'!G:G, '製造效能'!A:A=$C26, '製造效能'!D:D=M26, '製造效能'!E:E=""清洗""), 1), INDEX(FILTER('製造效能'!G:G, '製造效能'!B:B=$D26, '製造效能'!D:D=M26, '製造效能'!E:E=""清洗""), 1))"),20)</f>
        <v>20</v>
      </c>
      <c r="AB26" s="35" t="str">
        <f ca="1">IFERROR(__xludf.DUMMYFUNCTION("IFERROR(INDEX(FILTER('製造效能'!N:N, '製造效能'!$A:$A=$C26, '製造效能'!$D:$D=$M26, '製造效能'!$E:$E=""攪料""), 1), INDEX(FILTER('製造效能'!N:N, '製造效能'!$B:$B=$D26, '製造效能'!$D:$D=$M26, '製造效能'!$E:$E=""攪料""), 1))"),"")</f>
        <v/>
      </c>
      <c r="AC26" s="35" t="str">
        <f ca="1">IFERROR(__xludf.DUMMYFUNCTION("IFERROR(INDEX(FILTER('製造效能'!O:O, '製造效能'!$A:$A=$C26, '製造效能'!$D:$D=$M26, '製造效能'!$E:$E=""攪料""), 1), INDEX(FILTER('製造效能'!O:O, '製造效能'!$B:$B=$D26, '製造效能'!$D:$D=$M26, '製造效能'!$E:$E=""攪料""), 1))"),"")</f>
        <v/>
      </c>
      <c r="AD26" s="35" t="str">
        <f ca="1">IFERROR(__xludf.DUMMYFUNCTION("IFERROR(INDEX(FILTER('製造效能'!P:P, '製造效能'!$A:$A=$C26, '製造效能'!$D:$D=$M26, '製造效能'!$E:$E=""攪料""), 1), INDEX(FILTER('製造效能'!P:P, '製造效能'!$B:$B=$D26, '製造效能'!$D:$D=$M26, '製造效能'!$E:$E=""攪料""), 1))"),"")</f>
        <v/>
      </c>
      <c r="AE26" s="35" t="str">
        <f ca="1">IFERROR(__xludf.DUMMYFUNCTION("IFERROR(INDEX(FILTER('製造效能'!Q:Q, '製造效能'!$A:$A=$C26, '製造效能'!$D:$D=$M26, '製造效能'!$E:$E=""攪料""), 1), INDEX(FILTER('製造效能'!Q:Q, '製造效能'!$B:$B=$D26, '製造效能'!$D:$D=$M26, '製造效能'!$E:$E=""攪料""), 1))"),"")</f>
        <v/>
      </c>
      <c r="AF26" s="35" t="str">
        <f ca="1">IFERROR(__xludf.DUMMYFUNCTION("IFERROR(INDEX(FILTER('製造效能'!R:R, '製造效能'!$A:$A=$C26, '製造效能'!$D:$D=$M26, '製造效能'!$E:$E=""攪料""), 1), INDEX(FILTER('製造效能'!R:R, '製造效能'!$B:$B=$D26, '製造效能'!$D:$D=$M26, '製造效能'!$E:$E=""攪料""), 1))"),"")</f>
        <v/>
      </c>
      <c r="AG26" s="35" t="str">
        <f ca="1">IFERROR(__xludf.DUMMYFUNCTION("IFERROR(INDEX(FILTER('製造效能'!S:S, '製造效能'!$A:$A=$C26, '製造效能'!$D:$D=$M26, '製造效能'!$E:$E=""攪料""), 1), INDEX(FILTER('製造效能'!S:S, '製造效能'!$B:$B=$D26, '製造效能'!$D:$D=$M26, '製造效能'!$E:$E=""攪料""), 1))"),"")</f>
        <v/>
      </c>
      <c r="AH26" s="35" t="str">
        <f ca="1">IFERROR(__xludf.DUMMYFUNCTION("IFERROR(INDEX(FILTER('製造效能'!T:T, '製造效能'!$A:$A=$C26, '製造效能'!$D:$D=$M26, '製造效能'!$E:$E=""攪料""), 1), INDEX(FILTER('製造效能'!T:T, '製造效能'!$B:$B=$D26, '製造效能'!$D:$D=$M26, '製造效能'!$E:$E=""攪料""), 1))"),"")</f>
        <v/>
      </c>
      <c r="AI26" s="35" t="str">
        <f ca="1">IFERROR(__xludf.DUMMYFUNCTION("IFERROR(INDEX(FILTER('製造效能'!U:U, '製造效能'!$A:$A=$C26, '製造效能'!$D:$D=$M26, '製造效能'!$E:$E=""攪料""), 1), INDEX(FILTER('製造效能'!U:U, '製造效能'!$B:$B=$D26, '製造效能'!$D:$D=$M26, '製造效能'!$E:$E=""攪料""), 1))"),"")</f>
        <v/>
      </c>
      <c r="AJ26" s="35" t="str">
        <f ca="1">IFERROR(__xludf.DUMMYFUNCTION("IFERROR(INDEX(FILTER('製造效能'!V:V, '製造效能'!$A:$A=$C26, '製造效能'!$D:$D=$M26, '製造效能'!$E:$E=""攪料""), 1), INDEX(FILTER('製造效能'!V:V, '製造效能'!$B:$B=$D26, '製造效能'!$D:$D=$M26, '製造效能'!$E:$E=""攪料""), 1))"),"")</f>
        <v/>
      </c>
      <c r="AK26" s="35">
        <f>COUNTIF(充填效能!$A:$A, $C26)</f>
        <v>2</v>
      </c>
      <c r="AL26" s="36" t="str">
        <f ca="1">IFERROR(__xludf.DUMMYFUNCTION("IFERROR(INDEX(FILTER('充填效能'!$Q$2:$Q$1088, '充填效能'!$A$2:$A$1088=$C26, '充填效能'!$D$2:$D$1088=""排瓶""), 1), 0)"),"1000")</f>
        <v>1000</v>
      </c>
      <c r="AM26" s="36">
        <f ca="1">IFERROR(__xludf.DUMMYFUNCTION("IFERROR(INDEX(FILTER('充填效能'!$R$2:$R$1088, '充填效能'!$A$2:$A$1088=$C26, '充填效能'!$D$2:$D$1088=""排瓶""), 1), 0)"),1)</f>
        <v>1</v>
      </c>
      <c r="AN26" s="35">
        <f t="shared" ca="1" si="5"/>
        <v>7.0000000000000007E-2</v>
      </c>
      <c r="AO26" s="36" t="str">
        <f ca="1">IFERROR(__xludf.DUMMYFUNCTION("IFERROR(INDEX(FILTER('充填效能'!$Q$2:$Q$1088, '充填效能'!$A$2:$A$1088=$C26, '充填效能'!$D$2:$D$1088=""充填""), 1), 0)"),"390")</f>
        <v>390</v>
      </c>
      <c r="AP26" s="36">
        <f ca="1">IFERROR(__xludf.DUMMYFUNCTION("IFERROR(INDEX(FILTER('充填效能'!$R$2:$R$1088, '充填效能'!$A$2:$A$1088=$C26, '充填效能'!$D$2:$D$1088=""充填""), 1), 0)"),4)</f>
        <v>4</v>
      </c>
      <c r="AQ26" s="35">
        <f t="shared" ca="1" si="6"/>
        <v>0.17948717948717949</v>
      </c>
      <c r="AR26" s="17">
        <f t="shared" ca="1" si="7"/>
        <v>0.71794871794871795</v>
      </c>
    </row>
    <row r="27" spans="1:44" ht="15.75" customHeight="1">
      <c r="A27" s="9" t="s">
        <v>95</v>
      </c>
      <c r="B27" s="34">
        <f t="shared" si="0"/>
        <v>44943</v>
      </c>
      <c r="C27" s="9" t="s">
        <v>31</v>
      </c>
      <c r="D27" s="17" t="str">
        <f t="shared" si="1"/>
        <v>EU21D5</v>
      </c>
      <c r="E27" s="9" t="s">
        <v>32</v>
      </c>
      <c r="F27" s="9">
        <v>10000</v>
      </c>
      <c r="G27" s="10">
        <v>45063</v>
      </c>
      <c r="H27" s="10">
        <v>45054</v>
      </c>
      <c r="I27" s="10">
        <v>44993</v>
      </c>
      <c r="J27" s="10">
        <v>45030</v>
      </c>
      <c r="L27" s="17" t="str">
        <f ca="1">IFERROR(__xludf.DUMMYFUNCTION("TEXTJOIN("", "", TRUE, UNIQUE(FILTER('製造效能'!$D$2:$D$1732, '製造效能'!$B$2:$B$1732 = D27)))"),"大, 精")</f>
        <v>大, 精</v>
      </c>
      <c r="M27" s="17" t="str">
        <f ca="1">IFERROR(__xludf.DUMMYFUNCTION("INDEX(UNIQUE(FILTER('製造效能'!$D$2:$D$1732, ('製造效能'!$B$2:$B$1732 = D27) * ('製造效能'!$J$2:$J$1732 = MAXIFS('製造效能'!$J$2:$J$1732, '製造效能'!$B$2:$B$1732, D27)))), 1) 
"),"大")</f>
        <v>大</v>
      </c>
      <c r="N27" s="17" t="str">
        <f ca="1">IFERROR(__xludf.DUMMYFUNCTION("TEXTJOIN("", "", TRUE, UNIQUE(FILTER('製造效能'!$K$2:$K$1732, '製造效能'!$B$2:$B$1732 = D27)))"),"水項")</f>
        <v>水項</v>
      </c>
      <c r="O27" s="35">
        <f ca="1">IFERROR(__xludf.DUMMYFUNCTION("IFERROR(INDEX(FILTER('充填效能'!I$2:I$1088, '充填效能'!$A$2:$A$1088=$C27, '充填效能'!$D$2:$D$1088=""充填""), 1), 0)"),4.9)</f>
        <v>4.9000000000000004</v>
      </c>
      <c r="P27" s="35" t="str">
        <f ca="1">IFERROR(__xludf.DUMMYFUNCTION("IFERROR(INDEX(FILTER('充填效能'!J$2:J$1088, '充填效能'!$A$2:$A$1088=$C27, '充填效能'!$D$2:$D$1088=""充填""), 1), 0)"),"")</f>
        <v/>
      </c>
      <c r="Q27" s="35" t="str">
        <f ca="1">IFERROR(__xludf.DUMMYFUNCTION("IFERROR(INDEX(FILTER('充填效能'!K$2:K$1088, '充填效能'!$A$2:$A$1088=$C27, '充填效能'!$D$2:$D$1088=""充填""), 1), 0)"),"")</f>
        <v/>
      </c>
      <c r="R27" s="35" t="str">
        <f ca="1">IFERROR(__xludf.DUMMYFUNCTION("IFERROR(INDEX(FILTER('充填效能'!L$2:L$1088, '充填效能'!$A$2:$A$1088=$C27, '充填效能'!$D$2:$D$1088=""充填""), 1), 0)"),"")</f>
        <v/>
      </c>
      <c r="S27" s="35">
        <f ca="1">COUNTIFS(製造效能!B:B, $D27,製造效能!D:D,M27)</f>
        <v>3</v>
      </c>
      <c r="T27" s="36">
        <f ca="1">IFERROR(__xludf.DUMMYFUNCTION("VALUE(REGEXEXTRACT(TO_TEXT(O27), ""\d*\.?\d+""))"),4.9)</f>
        <v>4.9000000000000004</v>
      </c>
      <c r="U27" s="17">
        <f t="shared" ca="1" si="2"/>
        <v>49734.999999999993</v>
      </c>
      <c r="V27" s="17">
        <f ca="1">IFERROR(__xludf.DUMMYFUNCTION("IFERROR(INDEX(FILTER('製造效能'!J:J, '製造效能'!A:A=$C27, '製造效能'!D:D=M27, '製造效能'!E:E=""攪料""), 1), INDEX(FILTER('製造效能'!J:J, '製造效能'!B:B=$D27, '製造效能'!D:D=M27, '製造效能'!E:E=""攪料""), 1))"),170)</f>
        <v>170</v>
      </c>
      <c r="W27" s="36">
        <f ca="1">IFERROR(__xludf.DUMMYFUNCTION("IFERROR(INDEX(FILTER('製造效能'!G:G, '製造效能'!A:A=$C27, '製造效能'!D:D=M27, '製造效能'!E:E=""攪料""), 1), INDEX(FILTER('製造效能'!G:G, '製造效能'!B:B=$D27, '製造效能'!D:D=M27, '製造效能'!E:E=""攪料""), 1))"),70)</f>
        <v>70</v>
      </c>
      <c r="X27" s="35">
        <f t="shared" ca="1" si="3"/>
        <v>1</v>
      </c>
      <c r="Y27" s="35">
        <f t="shared" ca="1" si="4"/>
        <v>70</v>
      </c>
      <c r="Z27" s="35">
        <f ca="1">IFERROR(__xludf.DUMMYFUNCTION("IFERROR(IFERROR(INDEX(FILTER('製造效能'!G:G, '製造效能'!A:A=$C27, '製造效能'!D:D=M27, '製造效能'!E:E=""預攪""), 1), INDEX(FILTER('製造效能'!G:G, '製造效能'!B:B=$D27, '製造效能'!D:D=M27, '製造效能'!E:E=""預攪""), 1)), 0)"),25)</f>
        <v>25</v>
      </c>
      <c r="AA27" s="35">
        <f ca="1">IFERROR(__xludf.DUMMYFUNCTION("IFERROR(INDEX(FILTER('製造效能'!G:G, '製造效能'!A:A=$C27, '製造效能'!D:D=M27, '製造效能'!E:E=""清洗""), 1), INDEX(FILTER('製造效能'!G:G, '製造效能'!B:B=$D27, '製造效能'!D:D=M27, '製造效能'!E:E=""清洗""), 1))"),30)</f>
        <v>30</v>
      </c>
      <c r="AB27" s="35" t="str">
        <f ca="1">IFERROR(__xludf.DUMMYFUNCTION("IFERROR(INDEX(FILTER('製造效能'!N:N, '製造效能'!$A:$A=$C27, '製造效能'!$D:$D=$M27, '製造效能'!$E:$E=""攪料""), 1), INDEX(FILTER('製造效能'!N:N, '製造效能'!$B:$B=$D27, '製造效能'!$D:$D=$M27, '製造效能'!$E:$E=""攪料""), 1))"),"")</f>
        <v/>
      </c>
      <c r="AC27" s="35">
        <f ca="1">IFERROR(__xludf.DUMMYFUNCTION("IFERROR(INDEX(FILTER('製造效能'!O:O, '製造效能'!$A:$A=$C27, '製造效能'!$D:$D=$M27, '製造效能'!$E:$E=""攪料""), 1), INDEX(FILTER('製造效能'!O:O, '製造效能'!$B:$B=$D27, '製造效能'!$D:$D=$M27, '製造效能'!$E:$E=""攪料""), 1))"),1)</f>
        <v>1</v>
      </c>
      <c r="AD27" s="35" t="str">
        <f ca="1">IFERROR(__xludf.DUMMYFUNCTION("IFERROR(INDEX(FILTER('製造效能'!P:P, '製造效能'!$A:$A=$C27, '製造效能'!$D:$D=$M27, '製造效能'!$E:$E=""攪料""), 1), INDEX(FILTER('製造效能'!P:P, '製造效能'!$B:$B=$D27, '製造效能'!$D:$D=$M27, '製造效能'!$E:$E=""攪料""), 1))"),"")</f>
        <v/>
      </c>
      <c r="AE27" s="35" t="str">
        <f ca="1">IFERROR(__xludf.DUMMYFUNCTION("IFERROR(INDEX(FILTER('製造效能'!Q:Q, '製造效能'!$A:$A=$C27, '製造效能'!$D:$D=$M27, '製造效能'!$E:$E=""攪料""), 1), INDEX(FILTER('製造效能'!Q:Q, '製造效能'!$B:$B=$D27, '製造效能'!$D:$D=$M27, '製造效能'!$E:$E=""攪料""), 1))"),"")</f>
        <v/>
      </c>
      <c r="AF27" s="35" t="str">
        <f ca="1">IFERROR(__xludf.DUMMYFUNCTION("IFERROR(INDEX(FILTER('製造效能'!R:R, '製造效能'!$A:$A=$C27, '製造效能'!$D:$D=$M27, '製造效能'!$E:$E=""攪料""), 1), INDEX(FILTER('製造效能'!R:R, '製造效能'!$B:$B=$D27, '製造效能'!$D:$D=$M27, '製造效能'!$E:$E=""攪料""), 1))"),"")</f>
        <v/>
      </c>
      <c r="AG27" s="35">
        <f ca="1">IFERROR(__xludf.DUMMYFUNCTION("IFERROR(INDEX(FILTER('製造效能'!S:S, '製造效能'!$A:$A=$C27, '製造效能'!$D:$D=$M27, '製造效能'!$E:$E=""攪料""), 1), INDEX(FILTER('製造效能'!S:S, '製造效能'!$B:$B=$D27, '製造效能'!$D:$D=$M27, '製造效能'!$E:$E=""攪料""), 1))"),1)</f>
        <v>1</v>
      </c>
      <c r="AH27" s="35" t="str">
        <f ca="1">IFERROR(__xludf.DUMMYFUNCTION("IFERROR(INDEX(FILTER('製造效能'!T:T, '製造效能'!$A:$A=$C27, '製造效能'!$D:$D=$M27, '製造效能'!$E:$E=""攪料""), 1), INDEX(FILTER('製造效能'!T:T, '製造效能'!$B:$B=$D27, '製造效能'!$D:$D=$M27, '製造效能'!$E:$E=""攪料""), 1))"),"")</f>
        <v/>
      </c>
      <c r="AI27" s="35" t="str">
        <f ca="1">IFERROR(__xludf.DUMMYFUNCTION("IFERROR(INDEX(FILTER('製造效能'!U:U, '製造效能'!$A:$A=$C27, '製造效能'!$D:$D=$M27, '製造效能'!$E:$E=""攪料""), 1), INDEX(FILTER('製造效能'!U:U, '製造效能'!$B:$B=$D27, '製造效能'!$D:$D=$M27, '製造效能'!$E:$E=""攪料""), 1))"),"")</f>
        <v/>
      </c>
      <c r="AJ27" s="35" t="str">
        <f ca="1">IFERROR(__xludf.DUMMYFUNCTION("IFERROR(INDEX(FILTER('製造效能'!V:V, '製造效能'!$A:$A=$C27, '製造效能'!$D:$D=$M27, '製造效能'!$E:$E=""攪料""), 1), INDEX(FILTER('製造效能'!V:V, '製造效能'!$B:$B=$D27, '製造效能'!$D:$D=$M27, '製造效能'!$E:$E=""攪料""), 1))"),"")</f>
        <v/>
      </c>
      <c r="AK27" s="35">
        <f>COUNTIF(充填效能!$A:$A, $C27)</f>
        <v>2</v>
      </c>
      <c r="AL27" s="36" t="str">
        <f ca="1">IFERROR(__xludf.DUMMYFUNCTION("IFERROR(INDEX(FILTER('充填效能'!$Q$2:$Q$1088, '充填效能'!$A$2:$A$1088=$C27, '充填效能'!$D$2:$D$1088=""排瓶""), 1), 0)"),"1600")</f>
        <v>1600</v>
      </c>
      <c r="AM27" s="36">
        <f ca="1">IFERROR(__xludf.DUMMYFUNCTION("IFERROR(INDEX(FILTER('充填效能'!$R$2:$R$1088, '充填效能'!$A$2:$A$1088=$C27, '充填效能'!$D$2:$D$1088=""排瓶""), 1), 0)"),1)</f>
        <v>1</v>
      </c>
      <c r="AN27" s="35">
        <f t="shared" ca="1" si="5"/>
        <v>6.25</v>
      </c>
      <c r="AO27" s="36" t="str">
        <f ca="1">IFERROR(__xludf.DUMMYFUNCTION("IFERROR(INDEX(FILTER('充填效能'!$Q$2:$Q$1088, '充填效能'!$A$2:$A$1088=$C27, '充填效能'!$D$2:$D$1088=""充填""), 1), 0)"),"1000")</f>
        <v>1000</v>
      </c>
      <c r="AP27" s="36">
        <f ca="1">IFERROR(__xludf.DUMMYFUNCTION("IFERROR(INDEX(FILTER('充填效能'!$R$2:$R$1088, '充填效能'!$A$2:$A$1088=$C27, '充填效能'!$D$2:$D$1088=""充填""), 1), 0)"),4)</f>
        <v>4</v>
      </c>
      <c r="AQ27" s="35">
        <f t="shared" ca="1" si="6"/>
        <v>10</v>
      </c>
      <c r="AR27" s="17">
        <f t="shared" ca="1" si="7"/>
        <v>40</v>
      </c>
    </row>
    <row r="28" spans="1:44" ht="15.75" customHeight="1">
      <c r="A28" s="9" t="s">
        <v>116</v>
      </c>
      <c r="B28" s="34">
        <f t="shared" si="0"/>
        <v>45002</v>
      </c>
      <c r="C28" s="9" t="s">
        <v>62</v>
      </c>
      <c r="D28" s="17" t="str">
        <f t="shared" si="1"/>
        <v>N1CAE1</v>
      </c>
      <c r="E28" s="9" t="s">
        <v>63</v>
      </c>
      <c r="F28" s="9">
        <v>3100</v>
      </c>
      <c r="G28" s="10">
        <v>45061</v>
      </c>
      <c r="H28" s="10">
        <v>45054</v>
      </c>
      <c r="I28" s="10">
        <v>44973</v>
      </c>
      <c r="J28" s="10">
        <v>45044</v>
      </c>
      <c r="L28" s="17" t="str">
        <f ca="1">IFERROR(__xludf.DUMMYFUNCTION("TEXTJOIN("", "", TRUE, UNIQUE(FILTER('製造效能'!$D$2:$D$1732, '製造效能'!$B$2:$B$1732 = D28)))"),"精")</f>
        <v>精</v>
      </c>
      <c r="M28" s="17" t="str">
        <f ca="1">IFERROR(__xludf.DUMMYFUNCTION("INDEX(UNIQUE(FILTER('製造效能'!$D$2:$D$1732, ('製造效能'!$B$2:$B$1732 = D28) * ('製造效能'!$J$2:$J$1732 = MAXIFS('製造效能'!$J$2:$J$1732, '製造效能'!$B$2:$B$1732, D28)))), 1) 
"),"精")</f>
        <v>精</v>
      </c>
      <c r="N28" s="17" t="str">
        <f ca="1">IFERROR(__xludf.DUMMYFUNCTION("TEXTJOIN("", "", TRUE, UNIQUE(FILTER('製造效能'!$K$2:$K$1732, '製造效能'!$B$2:$B$1732 = D28)))"),"水項")</f>
        <v>水項</v>
      </c>
      <c r="O28" s="35">
        <f ca="1">IFERROR(__xludf.DUMMYFUNCTION("IFERROR(INDEX(FILTER('充填效能'!I$2:I$1088, '充填效能'!$A$2:$A$1088=$C28, '充填效能'!$D$2:$D$1088=""充填""), 1), 0)"),15)</f>
        <v>15</v>
      </c>
      <c r="P28" s="35" t="str">
        <f ca="1">IFERROR(__xludf.DUMMYFUNCTION("IFERROR(INDEX(FILTER('充填效能'!J$2:J$1088, '充填效能'!$A$2:$A$1088=$C28, '充填效能'!$D$2:$D$1088=""充填""), 1), 0)"),"")</f>
        <v/>
      </c>
      <c r="Q28" s="35" t="str">
        <f ca="1">IFERROR(__xludf.DUMMYFUNCTION("IFERROR(INDEX(FILTER('充填效能'!K$2:K$1088, '充填效能'!$A$2:$A$1088=$C28, '充填效能'!$D$2:$D$1088=""充填""), 1), 0)"),"")</f>
        <v/>
      </c>
      <c r="R28" s="35" t="str">
        <f ca="1">IFERROR(__xludf.DUMMYFUNCTION("IFERROR(INDEX(FILTER('充填效能'!L$2:L$1088, '充填效能'!$A$2:$A$1088=$C28, '充填效能'!$D$2:$D$1088=""充填""), 1), 0)"),"")</f>
        <v/>
      </c>
      <c r="S28" s="35">
        <f ca="1">COUNTIFS(製造效能!B:B, $D28,製造效能!D:D,M28)</f>
        <v>2</v>
      </c>
      <c r="T28" s="36">
        <f ca="1">IFERROR(__xludf.DUMMYFUNCTION("VALUE(REGEXEXTRACT(TO_TEXT(O28), ""\d*\.?\d+""))"),15)</f>
        <v>15</v>
      </c>
      <c r="U28" s="17">
        <f t="shared" ca="1" si="2"/>
        <v>47197.499999999993</v>
      </c>
      <c r="V28" s="17">
        <f ca="1">IFERROR(__xludf.DUMMYFUNCTION("IFERROR(INDEX(FILTER('製造效能'!J:J, '製造效能'!A:A=$C28, '製造效能'!D:D=M28, '製造效能'!E:E=""攪料""), 1), INDEX(FILTER('製造效能'!J:J, '製造效能'!B:B=$D28, '製造效能'!D:D=M28, '製造效能'!E:E=""攪料""), 1))"),81)</f>
        <v>81</v>
      </c>
      <c r="W28" s="36">
        <f ca="1">IFERROR(__xludf.DUMMYFUNCTION("IFERROR(INDEX(FILTER('製造效能'!G:G, '製造效能'!A:A=$C28, '製造效能'!D:D=M28, '製造效能'!E:E=""攪料""), 1), INDEX(FILTER('製造效能'!G:G, '製造效能'!B:B=$D28, '製造效能'!D:D=M28, '製造效能'!E:E=""攪料""), 1))"),90)</f>
        <v>90</v>
      </c>
      <c r="X28" s="35">
        <f t="shared" ca="1" si="3"/>
        <v>1</v>
      </c>
      <c r="Y28" s="35">
        <f t="shared" ca="1" si="4"/>
        <v>90</v>
      </c>
      <c r="Z28" s="35">
        <f ca="1">IFERROR(__xludf.DUMMYFUNCTION("IFERROR(IFERROR(INDEX(FILTER('製造效能'!G:G, '製造效能'!A:A=$C28, '製造效能'!D:D=M28, '製造效能'!E:E=""預攪""), 1), INDEX(FILTER('製造效能'!G:G, '製造效能'!B:B=$D28, '製造效能'!D:D=M28, '製造效能'!E:E=""預攪""), 1)), 0)"),0)</f>
        <v>0</v>
      </c>
      <c r="AA28" s="35">
        <f ca="1">IFERROR(__xludf.DUMMYFUNCTION("IFERROR(INDEX(FILTER('製造效能'!G:G, '製造效能'!A:A=$C28, '製造效能'!D:D=M28, '製造效能'!E:E=""清洗""), 1), INDEX(FILTER('製造效能'!G:G, '製造效能'!B:B=$D28, '製造效能'!D:D=M28, '製造效能'!E:E=""清洗""), 1))"),15)</f>
        <v>15</v>
      </c>
      <c r="AB28" s="35" t="str">
        <f ca="1">IFERROR(__xludf.DUMMYFUNCTION("IFERROR(INDEX(FILTER('製造效能'!N:N, '製造效能'!$A:$A=$C28, '製造效能'!$D:$D=$M28, '製造效能'!$E:$E=""攪料""), 1), INDEX(FILTER('製造效能'!N:N, '製造效能'!$B:$B=$D28, '製造效能'!$D:$D=$M28, '製造效能'!$E:$E=""攪料""), 1))"),"")</f>
        <v/>
      </c>
      <c r="AC28" s="35">
        <f ca="1">IFERROR(__xludf.DUMMYFUNCTION("IFERROR(INDEX(FILTER('製造效能'!O:O, '製造效能'!$A:$A=$C28, '製造效能'!$D:$D=$M28, '製造效能'!$E:$E=""攪料""), 1), INDEX(FILTER('製造效能'!O:O, '製造效能'!$B:$B=$D28, '製造效能'!$D:$D=$M28, '製造效能'!$E:$E=""攪料""), 1))"),1)</f>
        <v>1</v>
      </c>
      <c r="AD28" s="35" t="str">
        <f ca="1">IFERROR(__xludf.DUMMYFUNCTION("IFERROR(INDEX(FILTER('製造效能'!P:P, '製造效能'!$A:$A=$C28, '製造效能'!$D:$D=$M28, '製造效能'!$E:$E=""攪料""), 1), INDEX(FILTER('製造效能'!P:P, '製造效能'!$B:$B=$D28, '製造效能'!$D:$D=$M28, '製造效能'!$E:$E=""攪料""), 1))"),"")</f>
        <v/>
      </c>
      <c r="AE28" s="35" t="str">
        <f ca="1">IFERROR(__xludf.DUMMYFUNCTION("IFERROR(INDEX(FILTER('製造效能'!Q:Q, '製造效能'!$A:$A=$C28, '製造效能'!$D:$D=$M28, '製造效能'!$E:$E=""攪料""), 1), INDEX(FILTER('製造效能'!Q:Q, '製造效能'!$B:$B=$D28, '製造效能'!$D:$D=$M28, '製造效能'!$E:$E=""攪料""), 1))"),"")</f>
        <v/>
      </c>
      <c r="AF28" s="35" t="str">
        <f ca="1">IFERROR(__xludf.DUMMYFUNCTION("IFERROR(INDEX(FILTER('製造效能'!R:R, '製造效能'!$A:$A=$C28, '製造效能'!$D:$D=$M28, '製造效能'!$E:$E=""攪料""), 1), INDEX(FILTER('製造效能'!R:R, '製造效能'!$B:$B=$D28, '製造效能'!$D:$D=$M28, '製造效能'!$E:$E=""攪料""), 1))"),"")</f>
        <v/>
      </c>
      <c r="AG28" s="35" t="str">
        <f ca="1">IFERROR(__xludf.DUMMYFUNCTION("IFERROR(INDEX(FILTER('製造效能'!S:S, '製造效能'!$A:$A=$C28, '製造效能'!$D:$D=$M28, '製造效能'!$E:$E=""攪料""), 1), INDEX(FILTER('製造效能'!S:S, '製造效能'!$B:$B=$D28, '製造效能'!$D:$D=$M28, '製造效能'!$E:$E=""攪料""), 1))"),"")</f>
        <v/>
      </c>
      <c r="AH28" s="35" t="str">
        <f ca="1">IFERROR(__xludf.DUMMYFUNCTION("IFERROR(INDEX(FILTER('製造效能'!T:T, '製造效能'!$A:$A=$C28, '製造效能'!$D:$D=$M28, '製造效能'!$E:$E=""攪料""), 1), INDEX(FILTER('製造效能'!T:T, '製造效能'!$B:$B=$D28, '製造效能'!$D:$D=$M28, '製造效能'!$E:$E=""攪料""), 1))"),"")</f>
        <v/>
      </c>
      <c r="AI28" s="35" t="str">
        <f ca="1">IFERROR(__xludf.DUMMYFUNCTION("IFERROR(INDEX(FILTER('製造效能'!U:U, '製造效能'!$A:$A=$C28, '製造效能'!$D:$D=$M28, '製造效能'!$E:$E=""攪料""), 1), INDEX(FILTER('製造效能'!U:U, '製造效能'!$B:$B=$D28, '製造效能'!$D:$D=$M28, '製造效能'!$E:$E=""攪料""), 1))"),"")</f>
        <v/>
      </c>
      <c r="AJ28" s="35" t="str">
        <f ca="1">IFERROR(__xludf.DUMMYFUNCTION("IFERROR(INDEX(FILTER('製造效能'!V:V, '製造效能'!$A:$A=$C28, '製造效能'!$D:$D=$M28, '製造效能'!$E:$E=""攪料""), 1), INDEX(FILTER('製造效能'!V:V, '製造效能'!$B:$B=$D28, '製造效能'!$D:$D=$M28, '製造效能'!$E:$E=""攪料""), 1))"),"")</f>
        <v/>
      </c>
      <c r="AK28" s="35">
        <f>COUNTIF(充填效能!$A:$A, $C28)</f>
        <v>1</v>
      </c>
      <c r="AL28" s="36">
        <f ca="1">IFERROR(__xludf.DUMMYFUNCTION("IFERROR(INDEX(FILTER('充填效能'!$Q$2:$Q$1088, '充填效能'!$A$2:$A$1088=$C28, '充填效能'!$D$2:$D$1088=""排瓶""), 1), 0)"),0)</f>
        <v>0</v>
      </c>
      <c r="AM28" s="36">
        <f ca="1">IFERROR(__xludf.DUMMYFUNCTION("IFERROR(INDEX(FILTER('充填效能'!$R$2:$R$1088, '充填效能'!$A$2:$A$1088=$C28, '充填效能'!$D$2:$D$1088=""排瓶""), 1), 0)"),0)</f>
        <v>0</v>
      </c>
      <c r="AN28" s="35">
        <f t="shared" ca="1" si="5"/>
        <v>0</v>
      </c>
      <c r="AO28" s="36" t="str">
        <f ca="1">IFERROR(__xludf.DUMMYFUNCTION("IFERROR(INDEX(FILTER('充填效能'!$Q$2:$Q$1088, '充填效能'!$A$2:$A$1088=$C28, '充填效能'!$D$2:$D$1088=""充填""), 1), 0)"),"1000")</f>
        <v>1000</v>
      </c>
      <c r="AP28" s="36">
        <f ca="1">IFERROR(__xludf.DUMMYFUNCTION("IFERROR(INDEX(FILTER('充填效能'!$R$2:$R$1088, '充填效能'!$A$2:$A$1088=$C28, '充填效能'!$D$2:$D$1088=""充填""), 1), 0)"),4)</f>
        <v>4</v>
      </c>
      <c r="AQ28" s="35">
        <f t="shared" ca="1" si="6"/>
        <v>3.1</v>
      </c>
      <c r="AR28" s="17">
        <f t="shared" ca="1" si="7"/>
        <v>12.4</v>
      </c>
    </row>
    <row r="29" spans="1:44" ht="15.75" customHeight="1">
      <c r="A29" s="9" t="s">
        <v>119</v>
      </c>
      <c r="B29" s="34">
        <f t="shared" si="0"/>
        <v>45002</v>
      </c>
      <c r="C29" s="9" t="s">
        <v>90</v>
      </c>
      <c r="D29" s="17" t="str">
        <f t="shared" si="1"/>
        <v>DC23G2</v>
      </c>
      <c r="E29" s="9" t="s">
        <v>91</v>
      </c>
      <c r="F29" s="9">
        <v>1250</v>
      </c>
      <c r="G29" s="10">
        <v>45062</v>
      </c>
      <c r="H29" s="10">
        <v>45055</v>
      </c>
      <c r="I29" s="10">
        <v>45016</v>
      </c>
      <c r="J29" s="10">
        <v>45044</v>
      </c>
      <c r="K29" s="9" t="s">
        <v>408</v>
      </c>
      <c r="L29" s="17" t="str">
        <f ca="1">IFERROR(__xludf.DUMMYFUNCTION("TEXTJOIN("", "", TRUE, UNIQUE(FILTER('製造效能'!$D$2:$D$1732, '製造效能'!$B$2:$B$1732 = D29)))"),"大")</f>
        <v>大</v>
      </c>
      <c r="M29" s="17" t="str">
        <f ca="1">IFERROR(__xludf.DUMMYFUNCTION("INDEX(UNIQUE(FILTER('製造效能'!$D$2:$D$1732, ('製造效能'!$B$2:$B$1732 = D29) * ('製造效能'!$J$2:$J$1732 = MAXIFS('製造效能'!$J$2:$J$1732, '製造效能'!$B$2:$B$1732, D29)))), 1) 
"),"大")</f>
        <v>大</v>
      </c>
      <c r="N29" s="17" t="str">
        <f ca="1">IFERROR(__xludf.DUMMYFUNCTION("TEXTJOIN("", "", TRUE, UNIQUE(FILTER('製造效能'!$K$2:$K$1732, '製造效能'!$B$2:$B$1732 = D29)))"),"水項")</f>
        <v>水項</v>
      </c>
      <c r="O29" s="35">
        <f ca="1">IFERROR(__xludf.DUMMYFUNCTION("IFERROR(INDEX(FILTER('充填效能'!I$2:I$1088, '充填效能'!$A$2:$A$1088=$C29, '充填效能'!$D$2:$D$1088=""充填""), 1), 0)"),28.3)</f>
        <v>28.3</v>
      </c>
      <c r="P29" s="35" t="str">
        <f ca="1">IFERROR(__xludf.DUMMYFUNCTION("IFERROR(INDEX(FILTER('充填效能'!J$2:J$1088, '充填效能'!$A$2:$A$1088=$C29, '充填效能'!$D$2:$D$1088=""充填""), 1), 0)"),"")</f>
        <v/>
      </c>
      <c r="Q29" s="35" t="str">
        <f ca="1">IFERROR(__xludf.DUMMYFUNCTION("IFERROR(INDEX(FILTER('充填效能'!K$2:K$1088, '充填效能'!$A$2:$A$1088=$C29, '充填效能'!$D$2:$D$1088=""充填""), 1), 0)"),"")</f>
        <v/>
      </c>
      <c r="R29" s="35" t="str">
        <f ca="1">IFERROR(__xludf.DUMMYFUNCTION("IFERROR(INDEX(FILTER('充填效能'!L$2:L$1088, '充填效能'!$A$2:$A$1088=$C29, '充填效能'!$D$2:$D$1088=""充填""), 1), 0)"),"")</f>
        <v/>
      </c>
      <c r="S29" s="35">
        <f ca="1">COUNTIFS(製造效能!B:B, $D29,製造效能!D:D,M29)</f>
        <v>3</v>
      </c>
      <c r="T29" s="36">
        <f ca="1">IFERROR(__xludf.DUMMYFUNCTION("VALUE(REGEXEXTRACT(TO_TEXT(O29), ""\d*\.?\d+""))"),28.3)</f>
        <v>28.3</v>
      </c>
      <c r="U29" s="17">
        <f t="shared" ca="1" si="2"/>
        <v>35905.625</v>
      </c>
      <c r="V29" s="17">
        <f ca="1">IFERROR(__xludf.DUMMYFUNCTION("IFERROR(INDEX(FILTER('製造效能'!J:J, '製造效能'!A:A=$C29, '製造效能'!D:D=M29, '製造效能'!E:E=""攪料""), 1), INDEX(FILTER('製造效能'!J:J, '製造效能'!B:B=$D29, '製造效能'!D:D=M29, '製造效能'!E:E=""攪料""), 1))"),412)</f>
        <v>412</v>
      </c>
      <c r="W29" s="36">
        <f ca="1">IFERROR(__xludf.DUMMYFUNCTION("IFERROR(INDEX(FILTER('製造效能'!G:G, '製造效能'!A:A=$C29, '製造效能'!D:D=M29, '製造效能'!E:E=""攪料""), 1), INDEX(FILTER('製造效能'!G:G, '製造效能'!B:B=$D29, '製造效能'!D:D=M29, '製造效能'!E:E=""攪料""), 1))"),120)</f>
        <v>120</v>
      </c>
      <c r="X29" s="35">
        <f t="shared" ca="1" si="3"/>
        <v>1</v>
      </c>
      <c r="Y29" s="35">
        <f t="shared" ca="1" si="4"/>
        <v>120</v>
      </c>
      <c r="Z29" s="35">
        <f ca="1">IFERROR(__xludf.DUMMYFUNCTION("IFERROR(IFERROR(INDEX(FILTER('製造效能'!G:G, '製造效能'!A:A=$C29, '製造效能'!D:D=M29, '製造效能'!E:E=""預攪""), 1), INDEX(FILTER('製造效能'!G:G, '製造效能'!B:B=$D29, '製造效能'!D:D=M29, '製造效能'!E:E=""預攪""), 1)), 0)"),25)</f>
        <v>25</v>
      </c>
      <c r="AA29" s="35">
        <f ca="1">IFERROR(__xludf.DUMMYFUNCTION("IFERROR(INDEX(FILTER('製造效能'!G:G, '製造效能'!A:A=$C29, '製造效能'!D:D=M29, '製造效能'!E:E=""清洗""), 1), INDEX(FILTER('製造效能'!G:G, '製造效能'!B:B=$D29, '製造效能'!D:D=M29, '製造效能'!E:E=""清洗""), 1))"),30)</f>
        <v>30</v>
      </c>
      <c r="AB29" s="35" t="str">
        <f ca="1">IFERROR(__xludf.DUMMYFUNCTION("IFERROR(INDEX(FILTER('製造效能'!N:N, '製造效能'!$A:$A=$C29, '製造效能'!$D:$D=$M29, '製造效能'!$E:$E=""攪料""), 1), INDEX(FILTER('製造效能'!N:N, '製造效能'!$B:$B=$D29, '製造效能'!$D:$D=$M29, '製造效能'!$E:$E=""攪料""), 1))"),"")</f>
        <v/>
      </c>
      <c r="AC29" s="35" t="str">
        <f ca="1">IFERROR(__xludf.DUMMYFUNCTION("IFERROR(INDEX(FILTER('製造效能'!O:O, '製造效能'!$A:$A=$C29, '製造效能'!$D:$D=$M29, '製造效能'!$E:$E=""攪料""), 1), INDEX(FILTER('製造效能'!O:O, '製造效能'!$B:$B=$D29, '製造效能'!$D:$D=$M29, '製造效能'!$E:$E=""攪料""), 1))"),"")</f>
        <v/>
      </c>
      <c r="AD29" s="35" t="str">
        <f ca="1">IFERROR(__xludf.DUMMYFUNCTION("IFERROR(INDEX(FILTER('製造效能'!P:P, '製造效能'!$A:$A=$C29, '製造效能'!$D:$D=$M29, '製造效能'!$E:$E=""攪料""), 1), INDEX(FILTER('製造效能'!P:P, '製造效能'!$B:$B=$D29, '製造效能'!$D:$D=$M29, '製造效能'!$E:$E=""攪料""), 1))"),"")</f>
        <v/>
      </c>
      <c r="AE29" s="35" t="str">
        <f ca="1">IFERROR(__xludf.DUMMYFUNCTION("IFERROR(INDEX(FILTER('製造效能'!Q:Q, '製造效能'!$A:$A=$C29, '製造效能'!$D:$D=$M29, '製造效能'!$E:$E=""攪料""), 1), INDEX(FILTER('製造效能'!Q:Q, '製造效能'!$B:$B=$D29, '製造效能'!$D:$D=$M29, '製造效能'!$E:$E=""攪料""), 1))"),"")</f>
        <v/>
      </c>
      <c r="AF29" s="35" t="str">
        <f ca="1">IFERROR(__xludf.DUMMYFUNCTION("IFERROR(INDEX(FILTER('製造效能'!R:R, '製造效能'!$A:$A=$C29, '製造效能'!$D:$D=$M29, '製造效能'!$E:$E=""攪料""), 1), INDEX(FILTER('製造效能'!R:R, '製造效能'!$B:$B=$D29, '製造效能'!$D:$D=$M29, '製造效能'!$E:$E=""攪料""), 1))"),"")</f>
        <v/>
      </c>
      <c r="AG29" s="35">
        <f ca="1">IFERROR(__xludf.DUMMYFUNCTION("IFERROR(INDEX(FILTER('製造效能'!S:S, '製造效能'!$A:$A=$C29, '製造效能'!$D:$D=$M29, '製造效能'!$E:$E=""攪料""), 1), INDEX(FILTER('製造效能'!S:S, '製造效能'!$B:$B=$D29, '製造效能'!$D:$D=$M29, '製造效能'!$E:$E=""攪料""), 1))"),1)</f>
        <v>1</v>
      </c>
      <c r="AH29" s="35" t="str">
        <f ca="1">IFERROR(__xludf.DUMMYFUNCTION("IFERROR(INDEX(FILTER('製造效能'!T:T, '製造效能'!$A:$A=$C29, '製造效能'!$D:$D=$M29, '製造效能'!$E:$E=""攪料""), 1), INDEX(FILTER('製造效能'!T:T, '製造效能'!$B:$B=$D29, '製造效能'!$D:$D=$M29, '製造效能'!$E:$E=""攪料""), 1))"),"")</f>
        <v/>
      </c>
      <c r="AI29" s="35" t="str">
        <f ca="1">IFERROR(__xludf.DUMMYFUNCTION("IFERROR(INDEX(FILTER('製造效能'!U:U, '製造效能'!$A:$A=$C29, '製造效能'!$D:$D=$M29, '製造效能'!$E:$E=""攪料""), 1), INDEX(FILTER('製造效能'!U:U, '製造效能'!$B:$B=$D29, '製造效能'!$D:$D=$M29, '製造效能'!$E:$E=""攪料""), 1))"),"")</f>
        <v/>
      </c>
      <c r="AJ29" s="35" t="str">
        <f ca="1">IFERROR(__xludf.DUMMYFUNCTION("IFERROR(INDEX(FILTER('製造效能'!V:V, '製造效能'!$A:$A=$C29, '製造效能'!$D:$D=$M29, '製造效能'!$E:$E=""攪料""), 1), INDEX(FILTER('製造效能'!V:V, '製造效能'!$B:$B=$D29, '製造效能'!$D:$D=$M29, '製造效能'!$E:$E=""攪料""), 1))"),"")</f>
        <v/>
      </c>
      <c r="AK29" s="35">
        <f>COUNTIF(充填效能!$A:$A, $C29)</f>
        <v>1</v>
      </c>
      <c r="AL29" s="36">
        <f ca="1">IFERROR(__xludf.DUMMYFUNCTION("IFERROR(INDEX(FILTER('充填效能'!$Q$2:$Q$1088, '充填效能'!$A$2:$A$1088=$C29, '充填效能'!$D$2:$D$1088=""排瓶""), 1), 0)"),0)</f>
        <v>0</v>
      </c>
      <c r="AM29" s="36">
        <f ca="1">IFERROR(__xludf.DUMMYFUNCTION("IFERROR(INDEX(FILTER('充填效能'!$R$2:$R$1088, '充填效能'!$A$2:$A$1088=$C29, '充填效能'!$D$2:$D$1088=""排瓶""), 1), 0)"),0)</f>
        <v>0</v>
      </c>
      <c r="AN29" s="35">
        <f t="shared" ca="1" si="5"/>
        <v>0</v>
      </c>
      <c r="AO29" s="36" t="str">
        <f ca="1">IFERROR(__xludf.DUMMYFUNCTION("IFERROR(INDEX(FILTER('充填效能'!$Q$2:$Q$1088, '充填效能'!$A$2:$A$1088=$C29, '充填效能'!$D$2:$D$1088=""充填""), 1), 0)"),"1000")</f>
        <v>1000</v>
      </c>
      <c r="AP29" s="36">
        <f ca="1">IFERROR(__xludf.DUMMYFUNCTION("IFERROR(INDEX(FILTER('充填效能'!$R$2:$R$1088, '充填效能'!$A$2:$A$1088=$C29, '充填效能'!$D$2:$D$1088=""充填""), 1), 0)"),3)</f>
        <v>3</v>
      </c>
      <c r="AQ29" s="35">
        <f t="shared" ca="1" si="6"/>
        <v>1.25</v>
      </c>
      <c r="AR29" s="17">
        <f t="shared" ca="1" si="7"/>
        <v>3.75</v>
      </c>
    </row>
    <row r="30" spans="1:44" ht="15.75" customHeight="1">
      <c r="A30" s="9" t="s">
        <v>110</v>
      </c>
      <c r="B30" s="34">
        <f t="shared" si="0"/>
        <v>45034</v>
      </c>
      <c r="C30" s="9" t="s">
        <v>76</v>
      </c>
      <c r="D30" s="17" t="str">
        <f t="shared" si="1"/>
        <v>N1RED1</v>
      </c>
      <c r="E30" s="9" t="s">
        <v>77</v>
      </c>
      <c r="F30" s="9">
        <v>10000</v>
      </c>
      <c r="G30" s="10">
        <v>45065</v>
      </c>
      <c r="H30" s="10">
        <v>45055</v>
      </c>
      <c r="I30" s="10">
        <v>45028</v>
      </c>
      <c r="J30" s="10">
        <v>45037</v>
      </c>
      <c r="L30" s="17" t="str">
        <f ca="1">IFERROR(__xludf.DUMMYFUNCTION("TEXTJOIN("", "", TRUE, UNIQUE(FILTER('製造效能'!$D$2:$D$1732, '製造效能'!$B$2:$B$1732 = D30)))"),"精")</f>
        <v>精</v>
      </c>
      <c r="M30" s="17" t="str">
        <f ca="1">IFERROR(__xludf.DUMMYFUNCTION("INDEX(UNIQUE(FILTER('製造效能'!$D$2:$D$1732, ('製造效能'!$B$2:$B$1732 = D30) * ('製造效能'!$J$2:$J$1732 = MAXIFS('製造效能'!$J$2:$J$1732, '製造效能'!$B$2:$B$1732, D30)))), 1) 
"),"精")</f>
        <v>精</v>
      </c>
      <c r="N30" s="17" t="str">
        <f ca="1">IFERROR(__xludf.DUMMYFUNCTION("TEXTJOIN("", "", TRUE, UNIQUE(FILTER('製造效能'!$K$2:$K$1732, '製造效能'!$B$2:$B$1732 = D30)))"),"水項")</f>
        <v>水項</v>
      </c>
      <c r="O30" s="35">
        <f ca="1">IFERROR(__xludf.DUMMYFUNCTION("IFERROR(INDEX(FILTER('充填效能'!I$2:I$1088, '充填效能'!$A$2:$A$1088=$C30, '充填效能'!$D$2:$D$1088=""充填""), 1), 0)"),30.2)</f>
        <v>30.2</v>
      </c>
      <c r="P30" s="35" t="str">
        <f ca="1">IFERROR(__xludf.DUMMYFUNCTION("IFERROR(INDEX(FILTER('充填效能'!J$2:J$1088, '充填效能'!$A$2:$A$1088=$C30, '充填效能'!$D$2:$D$1088=""充填""), 1), 0)"),"")</f>
        <v/>
      </c>
      <c r="Q30" s="35" t="str">
        <f ca="1">IFERROR(__xludf.DUMMYFUNCTION("IFERROR(INDEX(FILTER('充填效能'!K$2:K$1088, '充填效能'!$A$2:$A$1088=$C30, '充填效能'!$D$2:$D$1088=""充填""), 1), 0)"),"")</f>
        <v/>
      </c>
      <c r="R30" s="35" t="str">
        <f ca="1">IFERROR(__xludf.DUMMYFUNCTION("IFERROR(INDEX(FILTER('充填效能'!L$2:L$1088, '充填效能'!$A$2:$A$1088=$C30, '充填效能'!$D$2:$D$1088=""充填""), 1), 0)"),"")</f>
        <v/>
      </c>
      <c r="S30" s="35">
        <f ca="1">COUNTIFS(製造效能!B:B, $D30,製造效能!D:D,M30)</f>
        <v>3</v>
      </c>
      <c r="T30" s="36">
        <f ca="1">IFERROR(__xludf.DUMMYFUNCTION("VALUE(REGEXEXTRACT(TO_TEXT(O30), ""\d*\.?\d+""))"),30.2)</f>
        <v>30.2</v>
      </c>
      <c r="U30" s="17">
        <f t="shared" ca="1" si="2"/>
        <v>306529.99999999994</v>
      </c>
      <c r="V30" s="17">
        <f ca="1">IFERROR(__xludf.DUMMYFUNCTION("IFERROR(INDEX(FILTER('製造效能'!J:J, '製造效能'!A:A=$C30, '製造效能'!D:D=M30, '製造效能'!E:E=""攪料""), 1), INDEX(FILTER('製造效能'!J:J, '製造效能'!B:B=$D30, '製造效能'!D:D=M30, '製造效能'!E:E=""攪料""), 1))"),103)</f>
        <v>103</v>
      </c>
      <c r="W30" s="36">
        <f ca="1">IFERROR(__xludf.DUMMYFUNCTION("IFERROR(INDEX(FILTER('製造效能'!G:G, '製造效能'!A:A=$C30, '製造效能'!D:D=M30, '製造效能'!E:E=""攪料""), 1), INDEX(FILTER('製造效能'!G:G, '製造效能'!B:B=$D30, '製造效能'!D:D=M30, '製造效能'!E:E=""攪料""), 1))"),110)</f>
        <v>110</v>
      </c>
      <c r="X30" s="35">
        <f t="shared" ca="1" si="3"/>
        <v>3</v>
      </c>
      <c r="Y30" s="35">
        <f t="shared" ca="1" si="4"/>
        <v>330</v>
      </c>
      <c r="Z30" s="35">
        <f ca="1">IFERROR(__xludf.DUMMYFUNCTION("IFERROR(IFERROR(INDEX(FILTER('製造效能'!G:G, '製造效能'!A:A=$C30, '製造效能'!D:D=M30, '製造效能'!E:E=""預攪""), 1), INDEX(FILTER('製造效能'!G:G, '製造效能'!B:B=$D30, '製造效能'!D:D=M30, '製造效能'!E:E=""預攪""), 1)), 0)"),25)</f>
        <v>25</v>
      </c>
      <c r="AA30" s="35">
        <f ca="1">IFERROR(__xludf.DUMMYFUNCTION("IFERROR(INDEX(FILTER('製造效能'!G:G, '製造效能'!A:A=$C30, '製造效能'!D:D=M30, '製造效能'!E:E=""清洗""), 1), INDEX(FILTER('製造效能'!G:G, '製造效能'!B:B=$D30, '製造效能'!D:D=M30, '製造效能'!E:E=""清洗""), 1))"),20)</f>
        <v>20</v>
      </c>
      <c r="AB30" s="35" t="str">
        <f ca="1">IFERROR(__xludf.DUMMYFUNCTION("IFERROR(INDEX(FILTER('製造效能'!N:N, '製造效能'!$A:$A=$C30, '製造效能'!$D:$D=$M30, '製造效能'!$E:$E=""攪料""), 1), INDEX(FILTER('製造效能'!N:N, '製造效能'!$B:$B=$D30, '製造效能'!$D:$D=$M30, '製造效能'!$E:$E=""攪料""), 1))"),"")</f>
        <v/>
      </c>
      <c r="AC30" s="35">
        <f ca="1">IFERROR(__xludf.DUMMYFUNCTION("IFERROR(INDEX(FILTER('製造效能'!O:O, '製造效能'!$A:$A=$C30, '製造效能'!$D:$D=$M30, '製造效能'!$E:$E=""攪料""), 1), INDEX(FILTER('製造效能'!O:O, '製造效能'!$B:$B=$D30, '製造效能'!$D:$D=$M30, '製造效能'!$E:$E=""攪料""), 1))"),1)</f>
        <v>1</v>
      </c>
      <c r="AD30" s="35" t="str">
        <f ca="1">IFERROR(__xludf.DUMMYFUNCTION("IFERROR(INDEX(FILTER('製造效能'!P:P, '製造效能'!$A:$A=$C30, '製造效能'!$D:$D=$M30, '製造效能'!$E:$E=""攪料""), 1), INDEX(FILTER('製造效能'!P:P, '製造效能'!$B:$B=$D30, '製造效能'!$D:$D=$M30, '製造效能'!$E:$E=""攪料""), 1))"),"")</f>
        <v/>
      </c>
      <c r="AE30" s="35" t="str">
        <f ca="1">IFERROR(__xludf.DUMMYFUNCTION("IFERROR(INDEX(FILTER('製造效能'!Q:Q, '製造效能'!$A:$A=$C30, '製造效能'!$D:$D=$M30, '製造效能'!$E:$E=""攪料""), 1), INDEX(FILTER('製造效能'!Q:Q, '製造效能'!$B:$B=$D30, '製造效能'!$D:$D=$M30, '製造效能'!$E:$E=""攪料""), 1))"),"")</f>
        <v/>
      </c>
      <c r="AF30" s="35" t="str">
        <f ca="1">IFERROR(__xludf.DUMMYFUNCTION("IFERROR(INDEX(FILTER('製造效能'!R:R, '製造效能'!$A:$A=$C30, '製造效能'!$D:$D=$M30, '製造效能'!$E:$E=""攪料""), 1), INDEX(FILTER('製造效能'!R:R, '製造效能'!$B:$B=$D30, '製造效能'!$D:$D=$M30, '製造效能'!$E:$E=""攪料""), 1))"),"")</f>
        <v/>
      </c>
      <c r="AG30" s="35" t="str">
        <f ca="1">IFERROR(__xludf.DUMMYFUNCTION("IFERROR(INDEX(FILTER('製造效能'!S:S, '製造效能'!$A:$A=$C30, '製造效能'!$D:$D=$M30, '製造效能'!$E:$E=""攪料""), 1), INDEX(FILTER('製造效能'!S:S, '製造效能'!$B:$B=$D30, '製造效能'!$D:$D=$M30, '製造效能'!$E:$E=""攪料""), 1))"),"")</f>
        <v/>
      </c>
      <c r="AH30" s="35" t="str">
        <f ca="1">IFERROR(__xludf.DUMMYFUNCTION("IFERROR(INDEX(FILTER('製造效能'!T:T, '製造效能'!$A:$A=$C30, '製造效能'!$D:$D=$M30, '製造效能'!$E:$E=""攪料""), 1), INDEX(FILTER('製造效能'!T:T, '製造效能'!$B:$B=$D30, '製造效能'!$D:$D=$M30, '製造效能'!$E:$E=""攪料""), 1))"),"")</f>
        <v/>
      </c>
      <c r="AI30" s="35" t="str">
        <f ca="1">IFERROR(__xludf.DUMMYFUNCTION("IFERROR(INDEX(FILTER('製造效能'!U:U, '製造效能'!$A:$A=$C30, '製造效能'!$D:$D=$M30, '製造效能'!$E:$E=""攪料""), 1), INDEX(FILTER('製造效能'!U:U, '製造效能'!$B:$B=$D30, '製造效能'!$D:$D=$M30, '製造效能'!$E:$E=""攪料""), 1))"),"")</f>
        <v/>
      </c>
      <c r="AJ30" s="35" t="str">
        <f ca="1">IFERROR(__xludf.DUMMYFUNCTION("IFERROR(INDEX(FILTER('製造效能'!V:V, '製造效能'!$A:$A=$C30, '製造效能'!$D:$D=$M30, '製造效能'!$E:$E=""攪料""), 1), INDEX(FILTER('製造效能'!V:V, '製造效能'!$B:$B=$D30, '製造效能'!$D:$D=$M30, '製造效能'!$E:$E=""攪料""), 1))"),"")</f>
        <v/>
      </c>
      <c r="AK30" s="35">
        <f>COUNTIF(充填效能!$A:$A, $C30)</f>
        <v>2</v>
      </c>
      <c r="AL30" s="36" t="str">
        <f ca="1">IFERROR(__xludf.DUMMYFUNCTION("IFERROR(INDEX(FILTER('充填效能'!$Q$2:$Q$1088, '充填效能'!$A$2:$A$1088=$C30, '充填效能'!$D$2:$D$1088=""排瓶""), 1), 0)"),"1600")</f>
        <v>1600</v>
      </c>
      <c r="AM30" s="36">
        <f ca="1">IFERROR(__xludf.DUMMYFUNCTION("IFERROR(INDEX(FILTER('充填效能'!$R$2:$R$1088, '充填效能'!$A$2:$A$1088=$C30, '充填效能'!$D$2:$D$1088=""排瓶""), 1), 0)"),1)</f>
        <v>1</v>
      </c>
      <c r="AN30" s="35">
        <f t="shared" ca="1" si="5"/>
        <v>6.25</v>
      </c>
      <c r="AO30" s="36" t="str">
        <f ca="1">IFERROR(__xludf.DUMMYFUNCTION("IFERROR(INDEX(FILTER('充填效能'!$Q$2:$Q$1088, '充填效能'!$A$2:$A$1088=$C30, '充填效能'!$D$2:$D$1088=""充填""), 1), 0)"),"1100")</f>
        <v>1100</v>
      </c>
      <c r="AP30" s="36">
        <f ca="1">IFERROR(__xludf.DUMMYFUNCTION("IFERROR(INDEX(FILTER('充填效能'!$R$2:$R$1088, '充填效能'!$A$2:$A$1088=$C30, '充填效能'!$D$2:$D$1088=""充填""), 1), 0)"),4)</f>
        <v>4</v>
      </c>
      <c r="AQ30" s="35">
        <f t="shared" ca="1" si="6"/>
        <v>9.0909090909090917</v>
      </c>
      <c r="AR30" s="17">
        <f t="shared" ca="1" si="7"/>
        <v>36.363636363636367</v>
      </c>
    </row>
    <row r="31" spans="1:44" ht="15.75" customHeight="1">
      <c r="A31" s="9" t="s">
        <v>113</v>
      </c>
      <c r="B31" s="34">
        <f t="shared" si="0"/>
        <v>45023</v>
      </c>
      <c r="C31" s="9" t="s">
        <v>99</v>
      </c>
      <c r="D31" s="17" t="str">
        <f t="shared" si="1"/>
        <v>BY23D1</v>
      </c>
      <c r="E31" s="9" t="s">
        <v>100</v>
      </c>
      <c r="F31" s="9">
        <v>3000</v>
      </c>
      <c r="G31" s="10">
        <v>45068</v>
      </c>
      <c r="H31" s="10">
        <v>45056</v>
      </c>
      <c r="I31" s="10">
        <v>45027</v>
      </c>
      <c r="J31" s="10">
        <v>45027</v>
      </c>
      <c r="L31" s="17" t="str">
        <f ca="1">IFERROR(__xludf.DUMMYFUNCTION("TEXTJOIN("", "", TRUE, UNIQUE(FILTER('製造效能'!$D$2:$D$1732, '製造效能'!$B$2:$B$1732 = D31)))"),"精")</f>
        <v>精</v>
      </c>
      <c r="M31" s="17" t="str">
        <f ca="1">IFERROR(__xludf.DUMMYFUNCTION("INDEX(UNIQUE(FILTER('製造效能'!$D$2:$D$1732, ('製造效能'!$B$2:$B$1732 = D31) * ('製造效能'!$J$2:$J$1732 = MAXIFS('製造效能'!$J$2:$J$1732, '製造效能'!$B$2:$B$1732, D31)))), 1) 
"),"精")</f>
        <v>精</v>
      </c>
      <c r="N31" s="17" t="str">
        <f ca="1">IFERROR(__xludf.DUMMYFUNCTION("TEXTJOIN("", "", TRUE, UNIQUE(FILTER('製造效能'!$K$2:$K$1732, '製造效能'!$B$2:$B$1732 = D31)))"),"水項")</f>
        <v>水項</v>
      </c>
      <c r="O31" s="35">
        <f ca="1">IFERROR(__xludf.DUMMYFUNCTION("IFERROR(INDEX(FILTER('充填效能'!I$2:I$1088, '充填效能'!$A$2:$A$1088=$C31, '充填效能'!$D$2:$D$1088=""充填""), 1), 0)"),31.7)</f>
        <v>31.7</v>
      </c>
      <c r="P31" s="35" t="str">
        <f ca="1">IFERROR(__xludf.DUMMYFUNCTION("IFERROR(INDEX(FILTER('充填效能'!J$2:J$1088, '充填效能'!$A$2:$A$1088=$C31, '充填效能'!$D$2:$D$1088=""充填""), 1), 0)"),"")</f>
        <v/>
      </c>
      <c r="Q31" s="35" t="str">
        <f ca="1">IFERROR(__xludf.DUMMYFUNCTION("IFERROR(INDEX(FILTER('充填效能'!K$2:K$1088, '充填效能'!$A$2:$A$1088=$C31, '充填效能'!$D$2:$D$1088=""充填""), 1), 0)"),"")</f>
        <v/>
      </c>
      <c r="R31" s="35" t="str">
        <f ca="1">IFERROR(__xludf.DUMMYFUNCTION("IFERROR(INDEX(FILTER('充填效能'!L$2:L$1088, '充填效能'!$A$2:$A$1088=$C31, '充填效能'!$D$2:$D$1088=""充填""), 1), 0)"),"")</f>
        <v/>
      </c>
      <c r="S31" s="35">
        <f ca="1">COUNTIFS(製造效能!B:B, $D31,製造效能!D:D,M31)</f>
        <v>2</v>
      </c>
      <c r="T31" s="36">
        <f ca="1">IFERROR(__xludf.DUMMYFUNCTION("VALUE(REGEXEXTRACT(TO_TEXT(O31), ""\d*\.?\d+""))"),31.7)</f>
        <v>31.7</v>
      </c>
      <c r="U31" s="17">
        <f t="shared" ca="1" si="2"/>
        <v>96526.499999999985</v>
      </c>
      <c r="V31" s="17">
        <f ca="1">IFERROR(__xludf.DUMMYFUNCTION("IFERROR(INDEX(FILTER('製造效能'!J:J, '製造效能'!A:A=$C31, '製造效能'!D:D=M31, '製造效能'!E:E=""攪料""), 1), INDEX(FILTER('製造效能'!J:J, '製造效能'!B:B=$D31, '製造效能'!D:D=M31, '製造效能'!E:E=""攪料""), 1))"),100)</f>
        <v>100</v>
      </c>
      <c r="W31" s="36">
        <f ca="1">IFERROR(__xludf.DUMMYFUNCTION("IFERROR(INDEX(FILTER('製造效能'!G:G, '製造效能'!A:A=$C31, '製造效能'!D:D=M31, '製造效能'!E:E=""攪料""), 1), INDEX(FILTER('製造效能'!G:G, '製造效能'!B:B=$D31, '製造效能'!D:D=M31, '製造效能'!E:E=""攪料""), 1))"),160)</f>
        <v>160</v>
      </c>
      <c r="X31" s="35">
        <f t="shared" ca="1" si="3"/>
        <v>1</v>
      </c>
      <c r="Y31" s="35">
        <f t="shared" ca="1" si="4"/>
        <v>160</v>
      </c>
      <c r="Z31" s="35">
        <f ca="1">IFERROR(__xludf.DUMMYFUNCTION("IFERROR(IFERROR(INDEX(FILTER('製造效能'!G:G, '製造效能'!A:A=$C31, '製造效能'!D:D=M31, '製造效能'!E:E=""預攪""), 1), INDEX(FILTER('製造效能'!G:G, '製造效能'!B:B=$D31, '製造效能'!D:D=M31, '製造效能'!E:E=""預攪""), 1)), 0)"),0)</f>
        <v>0</v>
      </c>
      <c r="AA31" s="35">
        <f ca="1">IFERROR(__xludf.DUMMYFUNCTION("IFERROR(INDEX(FILTER('製造效能'!G:G, '製造效能'!A:A=$C31, '製造效能'!D:D=M31, '製造效能'!E:E=""清洗""), 1), INDEX(FILTER('製造效能'!G:G, '製造效能'!B:B=$D31, '製造效能'!D:D=M31, '製造效能'!E:E=""清洗""), 1))"),30)</f>
        <v>30</v>
      </c>
      <c r="AB31" s="35" t="str">
        <f ca="1">IFERROR(__xludf.DUMMYFUNCTION("IFERROR(INDEX(FILTER('製造效能'!N:N, '製造效能'!$A:$A=$C31, '製造效能'!$D:$D=$M31, '製造效能'!$E:$E=""攪料""), 1), INDEX(FILTER('製造效能'!N:N, '製造效能'!$B:$B=$D31, '製造效能'!$D:$D=$M31, '製造效能'!$E:$E=""攪料""), 1))"),"")</f>
        <v/>
      </c>
      <c r="AC31" s="35" t="str">
        <f ca="1">IFERROR(__xludf.DUMMYFUNCTION("IFERROR(INDEX(FILTER('製造效能'!O:O, '製造效能'!$A:$A=$C31, '製造效能'!$D:$D=$M31, '製造效能'!$E:$E=""攪料""), 1), INDEX(FILTER('製造效能'!O:O, '製造效能'!$B:$B=$D31, '製造效能'!$D:$D=$M31, '製造效能'!$E:$E=""攪料""), 1))"),"")</f>
        <v/>
      </c>
      <c r="AD31" s="35" t="str">
        <f ca="1">IFERROR(__xludf.DUMMYFUNCTION("IFERROR(INDEX(FILTER('製造效能'!P:P, '製造效能'!$A:$A=$C31, '製造效能'!$D:$D=$M31, '製造效能'!$E:$E=""攪料""), 1), INDEX(FILTER('製造效能'!P:P, '製造效能'!$B:$B=$D31, '製造效能'!$D:$D=$M31, '製造效能'!$E:$E=""攪料""), 1))"),"")</f>
        <v/>
      </c>
      <c r="AE31" s="35" t="str">
        <f ca="1">IFERROR(__xludf.DUMMYFUNCTION("IFERROR(INDEX(FILTER('製造效能'!Q:Q, '製造效能'!$A:$A=$C31, '製造效能'!$D:$D=$M31, '製造效能'!$E:$E=""攪料""), 1), INDEX(FILTER('製造效能'!Q:Q, '製造效能'!$B:$B=$D31, '製造效能'!$D:$D=$M31, '製造效能'!$E:$E=""攪料""), 1))"),"")</f>
        <v/>
      </c>
      <c r="AF31" s="35">
        <f ca="1">IFERROR(__xludf.DUMMYFUNCTION("IFERROR(INDEX(FILTER('製造效能'!R:R, '製造效能'!$A:$A=$C31, '製造效能'!$D:$D=$M31, '製造效能'!$E:$E=""攪料""), 1), INDEX(FILTER('製造效能'!R:R, '製造效能'!$B:$B=$D31, '製造效能'!$D:$D=$M31, '製造效能'!$E:$E=""攪料""), 1))"),1)</f>
        <v>1</v>
      </c>
      <c r="AG31" s="35" t="str">
        <f ca="1">IFERROR(__xludf.DUMMYFUNCTION("IFERROR(INDEX(FILTER('製造效能'!S:S, '製造效能'!$A:$A=$C31, '製造效能'!$D:$D=$M31, '製造效能'!$E:$E=""攪料""), 1), INDEX(FILTER('製造效能'!S:S, '製造效能'!$B:$B=$D31, '製造效能'!$D:$D=$M31, '製造效能'!$E:$E=""攪料""), 1))"),"")</f>
        <v/>
      </c>
      <c r="AH31" s="35" t="str">
        <f ca="1">IFERROR(__xludf.DUMMYFUNCTION("IFERROR(INDEX(FILTER('製造效能'!T:T, '製造效能'!$A:$A=$C31, '製造效能'!$D:$D=$M31, '製造效能'!$E:$E=""攪料""), 1), INDEX(FILTER('製造效能'!T:T, '製造效能'!$B:$B=$D31, '製造效能'!$D:$D=$M31, '製造效能'!$E:$E=""攪料""), 1))"),"")</f>
        <v/>
      </c>
      <c r="AI31" s="35" t="str">
        <f ca="1">IFERROR(__xludf.DUMMYFUNCTION("IFERROR(INDEX(FILTER('製造效能'!U:U, '製造效能'!$A:$A=$C31, '製造效能'!$D:$D=$M31, '製造效能'!$E:$E=""攪料""), 1), INDEX(FILTER('製造效能'!U:U, '製造效能'!$B:$B=$D31, '製造效能'!$D:$D=$M31, '製造效能'!$E:$E=""攪料""), 1))"),"")</f>
        <v/>
      </c>
      <c r="AJ31" s="35" t="str">
        <f ca="1">IFERROR(__xludf.DUMMYFUNCTION("IFERROR(INDEX(FILTER('製造效能'!V:V, '製造效能'!$A:$A=$C31, '製造效能'!$D:$D=$M31, '製造效能'!$E:$E=""攪料""), 1), INDEX(FILTER('製造效能'!V:V, '製造效能'!$B:$B=$D31, '製造效能'!$D:$D=$M31, '製造效能'!$E:$E=""攪料""), 1))"),"")</f>
        <v/>
      </c>
      <c r="AK31" s="35">
        <f>COUNTIF(充填效能!$A:$A, $C31)</f>
        <v>2</v>
      </c>
      <c r="AL31" s="36" t="str">
        <f ca="1">IFERROR(__xludf.DUMMYFUNCTION("IFERROR(INDEX(FILTER('充填效能'!$Q$2:$Q$1088, '充填效能'!$A$2:$A$1088=$C31, '充填效能'!$D$2:$D$1088=""排瓶""), 1), 0)"),"660")</f>
        <v>660</v>
      </c>
      <c r="AM31" s="36">
        <f ca="1">IFERROR(__xludf.DUMMYFUNCTION("IFERROR(INDEX(FILTER('充填效能'!$R$2:$R$1088, '充填效能'!$A$2:$A$1088=$C31, '充填效能'!$D$2:$D$1088=""排瓶""), 1), 0)"),1)</f>
        <v>1</v>
      </c>
      <c r="AN31" s="35">
        <f t="shared" ca="1" si="5"/>
        <v>4.5454545454545459</v>
      </c>
      <c r="AO31" s="36" t="str">
        <f ca="1">IFERROR(__xludf.DUMMYFUNCTION("IFERROR(INDEX(FILTER('充填效能'!$Q$2:$Q$1088, '充填效能'!$A$2:$A$1088=$C31, '充填效能'!$D$2:$D$1088=""充填""), 1), 0)"),"800")</f>
        <v>800</v>
      </c>
      <c r="AP31" s="36">
        <f ca="1">IFERROR(__xludf.DUMMYFUNCTION("IFERROR(INDEX(FILTER('充填效能'!$R$2:$R$1088, '充填效能'!$A$2:$A$1088=$C31, '充填效能'!$D$2:$D$1088=""充填""), 1), 0)"),4)</f>
        <v>4</v>
      </c>
      <c r="AQ31" s="35">
        <f t="shared" ca="1" si="6"/>
        <v>3.75</v>
      </c>
      <c r="AR31" s="17">
        <f t="shared" ca="1" si="7"/>
        <v>15</v>
      </c>
    </row>
    <row r="32" spans="1:44" ht="15.75" customHeight="1">
      <c r="A32" s="9" t="s">
        <v>104</v>
      </c>
      <c r="B32" s="34">
        <f t="shared" si="0"/>
        <v>44993</v>
      </c>
      <c r="C32" s="9" t="s">
        <v>120</v>
      </c>
      <c r="D32" s="17" t="str">
        <f t="shared" si="1"/>
        <v>BY20F1</v>
      </c>
      <c r="E32" s="9" t="s">
        <v>121</v>
      </c>
      <c r="F32" s="9">
        <v>3000</v>
      </c>
      <c r="G32" s="10">
        <v>45071</v>
      </c>
      <c r="H32" s="10">
        <v>45058</v>
      </c>
      <c r="I32" s="10">
        <v>45027</v>
      </c>
      <c r="J32" s="10">
        <v>45044</v>
      </c>
      <c r="L32" s="17" t="str">
        <f ca="1">IFERROR(__xludf.DUMMYFUNCTION("TEXTJOIN("", "", TRUE, UNIQUE(FILTER('製造效能'!$D$2:$D$1732, '製造效能'!$B$2:$B$1732 = D32)))"),"小乳")</f>
        <v>小乳</v>
      </c>
      <c r="M32" s="17" t="str">
        <f ca="1">IFERROR(__xludf.DUMMYFUNCTION("INDEX(UNIQUE(FILTER('製造效能'!$D$2:$D$1732, ('製造效能'!$B$2:$B$1732 = D32) * ('製造效能'!$J$2:$J$1732 = MAXIFS('製造效能'!$J$2:$J$1732, '製造效能'!$B$2:$B$1732, D32)))), 1) 
"),"小乳")</f>
        <v>小乳</v>
      </c>
      <c r="N32" s="17" t="str">
        <f ca="1">IFERROR(__xludf.DUMMYFUNCTION("TEXTJOIN("", "", TRUE, UNIQUE(FILTER('製造效能'!$K$2:$K$1732, '製造效能'!$B$2:$B$1732 = D32)))"),"乳項")</f>
        <v>乳項</v>
      </c>
      <c r="P32" s="35" t="str">
        <f ca="1">IFERROR(__xludf.DUMMYFUNCTION("IFERROR(INDEX(FILTER('充填效能'!J$2:J$1088, '充填效能'!$A$2:$A$1088=$C32, '充填效能'!$D$2:$D$1088=""充填""), 1), 0)"),"")</f>
        <v/>
      </c>
      <c r="Q32" s="35" t="str">
        <f ca="1">IFERROR(__xludf.DUMMYFUNCTION("IFERROR(INDEX(FILTER('充填效能'!K$2:K$1088, '充填效能'!$A$2:$A$1088=$C32, '充填效能'!$D$2:$D$1088=""充填""), 1), 0)"),"")</f>
        <v/>
      </c>
      <c r="R32" s="35">
        <f ca="1">IFERROR(__xludf.DUMMYFUNCTION("IFERROR(INDEX(FILTER('充填效能'!I$2:I$1088, '充填效能'!$A$2:$A$1088=$C32, '充填效能'!$D$2:$D$1088=""充填""), 1), 0)"),15)</f>
        <v>15</v>
      </c>
      <c r="S32" s="35">
        <f ca="1">COUNTIFS(製造效能!B:B, $D32,製造效能!D:D,M32)</f>
        <v>3</v>
      </c>
      <c r="T32" s="36">
        <f ca="1">IFERROR(__xludf.DUMMYFUNCTION("VALUE(REGEXEXTRACT(TO_TEXT(R32), ""\d*\.?\d+""))"),15)</f>
        <v>15</v>
      </c>
      <c r="U32" s="17">
        <f t="shared" ca="1" si="2"/>
        <v>45674.999999999993</v>
      </c>
      <c r="V32" s="17">
        <f ca="1">IFERROR(__xludf.DUMMYFUNCTION("IFERROR(INDEX(FILTER('製造效能'!J:J, '製造效能'!A:A=$C32, '製造效能'!D:D=M32, '製造效能'!E:E=""攪料""), 1), INDEX(FILTER('製造效能'!J:J, '製造效能'!B:B=$D32, '製造效能'!D:D=M32, '製造效能'!E:E=""攪料""), 1))"),52)</f>
        <v>52</v>
      </c>
      <c r="W32" s="36">
        <f ca="1">IFERROR(__xludf.DUMMYFUNCTION("IFERROR(INDEX(FILTER('製造效能'!G:G, '製造效能'!A:A=$C32, '製造效能'!D:D=M32, '製造效能'!E:E=""攪料""), 1), INDEX(FILTER('製造效能'!G:G, '製造效能'!B:B=$D32, '製造效能'!D:D=M32, '製造效能'!E:E=""攪料""), 1))"),160)</f>
        <v>160</v>
      </c>
      <c r="X32" s="35">
        <f t="shared" ca="1" si="3"/>
        <v>1</v>
      </c>
      <c r="Y32" s="35">
        <f t="shared" ca="1" si="4"/>
        <v>160</v>
      </c>
      <c r="Z32" s="35">
        <f ca="1">IFERROR(__xludf.DUMMYFUNCTION("IFERROR(IFERROR(INDEX(FILTER('製造效能'!G:G, '製造效能'!A:A=$C32, '製造效能'!D:D=M32, '製造效能'!E:E=""預攪""), 1), INDEX(FILTER('製造效能'!G:G, '製造效能'!B:B=$D32, '製造效能'!D:D=M32, '製造效能'!E:E=""預攪""), 1)), 0)"),25)</f>
        <v>25</v>
      </c>
      <c r="AA32" s="35">
        <f ca="1">IFERROR(__xludf.DUMMYFUNCTION("IFERROR(INDEX(FILTER('製造效能'!G:G, '製造效能'!A:A=$C32, '製造效能'!D:D=M32, '製造效能'!E:E=""清洗""), 1), INDEX(FILTER('製造效能'!G:G, '製造效能'!B:B=$D32, '製造效能'!D:D=M32, '製造效能'!E:E=""清洗""), 1))"),40)</f>
        <v>40</v>
      </c>
      <c r="AB32" s="35" t="str">
        <f ca="1">IFERROR(__xludf.DUMMYFUNCTION("IFERROR(INDEX(FILTER('製造效能'!N:N, '製造效能'!$A:$A=$C32, '製造效能'!$D:$D=$M32, '製造效能'!$E:$E=""攪料""), 1), INDEX(FILTER('製造效能'!N:N, '製造效能'!$B:$B=$D32, '製造效能'!$D:$D=$M32, '製造效能'!$E:$E=""攪料""), 1))"),"")</f>
        <v/>
      </c>
      <c r="AC32" s="35" t="str">
        <f ca="1">IFERROR(__xludf.DUMMYFUNCTION("IFERROR(INDEX(FILTER('製造效能'!O:O, '製造效能'!$A:$A=$C32, '製造效能'!$D:$D=$M32, '製造效能'!$E:$E=""攪料""), 1), INDEX(FILTER('製造效能'!O:O, '製造效能'!$B:$B=$D32, '製造效能'!$D:$D=$M32, '製造效能'!$E:$E=""攪料""), 1))"),"")</f>
        <v/>
      </c>
      <c r="AD32" s="35">
        <f ca="1">IFERROR(__xludf.DUMMYFUNCTION("IFERROR(INDEX(FILTER('製造效能'!P:P, '製造效能'!$A:$A=$C32, '製造效能'!$D:$D=$M32, '製造效能'!$E:$E=""攪料""), 1), INDEX(FILTER('製造效能'!P:P, '製造效能'!$B:$B=$D32, '製造效能'!$D:$D=$M32, '製造效能'!$E:$E=""攪料""), 1))"),1)</f>
        <v>1</v>
      </c>
      <c r="AE32" s="35" t="str">
        <f ca="1">IFERROR(__xludf.DUMMYFUNCTION("IFERROR(INDEX(FILTER('製造效能'!Q:Q, '製造效能'!$A:$A=$C32, '製造效能'!$D:$D=$M32, '製造效能'!$E:$E=""攪料""), 1), INDEX(FILTER('製造效能'!Q:Q, '製造效能'!$B:$B=$D32, '製造效能'!$D:$D=$M32, '製造效能'!$E:$E=""攪料""), 1))"),"")</f>
        <v/>
      </c>
      <c r="AF32" s="35" t="str">
        <f ca="1">IFERROR(__xludf.DUMMYFUNCTION("IFERROR(INDEX(FILTER('製造效能'!R:R, '製造效能'!$A:$A=$C32, '製造效能'!$D:$D=$M32, '製造效能'!$E:$E=""攪料""), 1), INDEX(FILTER('製造效能'!R:R, '製造效能'!$B:$B=$D32, '製造效能'!$D:$D=$M32, '製造效能'!$E:$E=""攪料""), 1))"),"")</f>
        <v/>
      </c>
      <c r="AG32" s="35" t="str">
        <f ca="1">IFERROR(__xludf.DUMMYFUNCTION("IFERROR(INDEX(FILTER('製造效能'!S:S, '製造效能'!$A:$A=$C32, '製造效能'!$D:$D=$M32, '製造效能'!$E:$E=""攪料""), 1), INDEX(FILTER('製造效能'!S:S, '製造效能'!$B:$B=$D32, '製造效能'!$D:$D=$M32, '製造效能'!$E:$E=""攪料""), 1))"),"")</f>
        <v/>
      </c>
      <c r="AH32" s="35" t="str">
        <f ca="1">IFERROR(__xludf.DUMMYFUNCTION("IFERROR(INDEX(FILTER('製造效能'!T:T, '製造效能'!$A:$A=$C32, '製造效能'!$D:$D=$M32, '製造效能'!$E:$E=""攪料""), 1), INDEX(FILTER('製造效能'!T:T, '製造效能'!$B:$B=$D32, '製造效能'!$D:$D=$M32, '製造效能'!$E:$E=""攪料""), 1))"),"")</f>
        <v/>
      </c>
      <c r="AI32" s="35" t="str">
        <f ca="1">IFERROR(__xludf.DUMMYFUNCTION("IFERROR(INDEX(FILTER('製造效能'!U:U, '製造效能'!$A:$A=$C32, '製造效能'!$D:$D=$M32, '製造效能'!$E:$E=""攪料""), 1), INDEX(FILTER('製造效能'!U:U, '製造效能'!$B:$B=$D32, '製造效能'!$D:$D=$M32, '製造效能'!$E:$E=""攪料""), 1))"),"")</f>
        <v/>
      </c>
      <c r="AJ32" s="35" t="str">
        <f ca="1">IFERROR(__xludf.DUMMYFUNCTION("IFERROR(INDEX(FILTER('製造效能'!V:V, '製造效能'!$A:$A=$C32, '製造效能'!$D:$D=$M32, '製造效能'!$E:$E=""攪料""), 1), INDEX(FILTER('製造效能'!V:V, '製造效能'!$B:$B=$D32, '製造效能'!$D:$D=$M32, '製造效能'!$E:$E=""攪料""), 1))"),"")</f>
        <v/>
      </c>
      <c r="AK32" s="35">
        <f>COUNTIF(充填效能!$A:$A, $C32)</f>
        <v>2</v>
      </c>
      <c r="AL32" s="36">
        <f ca="1">IFERROR(__xludf.DUMMYFUNCTION("IFERROR(INDEX(FILTER('充填效能'!$Q$2:$Q$1088, '充填效能'!$A$2:$A$1088=$C32, '充填效能'!$D$2:$D$1088=""排瓶""), 1), 0)"),1100)</f>
        <v>1100</v>
      </c>
      <c r="AM32" s="36">
        <f ca="1">IFERROR(__xludf.DUMMYFUNCTION("IFERROR(INDEX(FILTER('充填效能'!$R$2:$R$1088, '充填效能'!$A$2:$A$1088=$C32, '充填效能'!$D$2:$D$1088=""排瓶""), 1), 0)"),1)</f>
        <v>1</v>
      </c>
      <c r="AN32" s="35">
        <f t="shared" ca="1" si="5"/>
        <v>2.7272727272727271</v>
      </c>
      <c r="AO32" s="36">
        <f ca="1">IFERROR(__xludf.DUMMYFUNCTION("IFERROR(INDEX(FILTER('充填效能'!$Q$2:$Q$1088, '充填效能'!$A$2:$A$1088=$C32, '充填效能'!$D$2:$D$1088=""充填""), 1), 0)"),900)</f>
        <v>900</v>
      </c>
      <c r="AP32" s="36">
        <f ca="1">IFERROR(__xludf.DUMMYFUNCTION("IFERROR(INDEX(FILTER('充填效能'!$R$2:$R$1088, '充填效能'!$A$2:$A$1088=$C32, '充填效能'!$D$2:$D$1088=""充填""), 1), 0)"),4)</f>
        <v>4</v>
      </c>
      <c r="AQ32" s="35">
        <f t="shared" ca="1" si="6"/>
        <v>3.3333333333333335</v>
      </c>
      <c r="AR32" s="17">
        <f t="shared" ca="1" si="7"/>
        <v>13.333333333333334</v>
      </c>
    </row>
    <row r="33" spans="1:44" ht="15.75" customHeight="1">
      <c r="A33" s="9" t="s">
        <v>107</v>
      </c>
      <c r="B33" s="34">
        <f t="shared" si="0"/>
        <v>44974</v>
      </c>
      <c r="C33" s="9" t="s">
        <v>117</v>
      </c>
      <c r="D33" s="17" t="str">
        <f t="shared" si="1"/>
        <v>BY19P2</v>
      </c>
      <c r="E33" s="9" t="s">
        <v>118</v>
      </c>
      <c r="F33" s="9">
        <v>4000</v>
      </c>
      <c r="G33" s="10">
        <v>45071</v>
      </c>
      <c r="H33" s="10">
        <v>45061</v>
      </c>
      <c r="I33" s="10">
        <v>45027</v>
      </c>
      <c r="J33" s="10">
        <v>45044</v>
      </c>
      <c r="L33" s="17" t="str">
        <f ca="1">IFERROR(__xludf.DUMMYFUNCTION("TEXTJOIN("", "", TRUE, UNIQUE(FILTER('製造效能'!$D$2:$D$1732, '製造效能'!$B$2:$B$1732 = D33)))"),"小乳, 大乳")</f>
        <v>小乳, 大乳</v>
      </c>
      <c r="M33" s="17" t="str">
        <f ca="1">IFERROR(__xludf.DUMMYFUNCTION("INDEX(UNIQUE(FILTER('製造效能'!$D$2:$D$1732, ('製造效能'!$B$2:$B$1732 = D33) * ('製造效能'!$J$2:$J$1732 = MAXIFS('製造效能'!$J$2:$J$1732, '製造效能'!$B$2:$B$1732, D33)))), 1) 
"),"大乳")</f>
        <v>大乳</v>
      </c>
      <c r="N33" s="17" t="str">
        <f ca="1">IFERROR(__xludf.DUMMYFUNCTION("TEXTJOIN("", "", TRUE, UNIQUE(FILTER('製造效能'!$K$2:$K$1732, '製造效能'!$B$2:$B$1732 = D33)))"),"乳項")</f>
        <v>乳項</v>
      </c>
      <c r="P33" s="35" t="str">
        <f ca="1">IFERROR(__xludf.DUMMYFUNCTION("IFERROR(INDEX(FILTER('充填效能'!J$2:J$1088, '充填效能'!$A$2:$A$1088=$C33, '充填效能'!$D$2:$D$1088=""充填""), 1), 0)"),"")</f>
        <v/>
      </c>
      <c r="Q33" s="35" t="str">
        <f ca="1">IFERROR(__xludf.DUMMYFUNCTION("IFERROR(INDEX(FILTER('充填效能'!K$2:K$1088, '充填效能'!$A$2:$A$1088=$C33, '充填效能'!$D$2:$D$1088=""充填""), 1), 0)"),"")</f>
        <v/>
      </c>
      <c r="R33" s="35">
        <f ca="1">IFERROR(__xludf.DUMMYFUNCTION("IFERROR(INDEX(FILTER('充填效能'!I$2:I$1088, '充填效能'!$A$2:$A$1088=$C33, '充填效能'!$D$2:$D$1088=""充填""), 1), 0)"),200.9)</f>
        <v>200.9</v>
      </c>
      <c r="S33" s="35">
        <f ca="1">COUNTIFS(製造效能!B:B, $D33,製造效能!D:D,M33)</f>
        <v>3</v>
      </c>
      <c r="T33" s="36">
        <f ca="1">IFERROR(__xludf.DUMMYFUNCTION("VALUE(REGEXEXTRACT(TO_TEXT(R33), ""\d*\.?\d+""))"),200.9)</f>
        <v>200.9</v>
      </c>
      <c r="U33" s="17">
        <f t="shared" ca="1" si="2"/>
        <v>815653.99999999988</v>
      </c>
      <c r="V33" s="17">
        <f ca="1">IFERROR(__xludf.DUMMYFUNCTION("IFERROR(INDEX(FILTER('製造效能'!J:J, '製造效能'!A:A=$C33, '製造效能'!D:D=M33, '製造效能'!E:E=""攪料""), 1), INDEX(FILTER('製造效能'!J:J, '製造效能'!B:B=$D33, '製造效能'!D:D=M33, '製造效能'!E:E=""攪料""), 1))"),103)</f>
        <v>103</v>
      </c>
      <c r="W33" s="36">
        <f ca="1">IFERROR(__xludf.DUMMYFUNCTION("IFERROR(INDEX(FILTER('製造效能'!G:G, '製造效能'!A:A=$C33, '製造效能'!D:D=M33, '製造效能'!E:E=""攪料""), 1), INDEX(FILTER('製造效能'!G:G, '製造效能'!B:B=$D33, '製造效能'!D:D=M33, '製造效能'!E:E=""攪料""), 1))"),180)</f>
        <v>180</v>
      </c>
      <c r="X33" s="35">
        <f t="shared" ca="1" si="3"/>
        <v>8</v>
      </c>
      <c r="Y33" s="35">
        <f t="shared" ca="1" si="4"/>
        <v>1440</v>
      </c>
      <c r="Z33" s="35">
        <f ca="1">IFERROR(__xludf.DUMMYFUNCTION("IFERROR(IFERROR(INDEX(FILTER('製造效能'!G:G, '製造效能'!A:A=$C33, '製造效能'!D:D=M33, '製造效能'!E:E=""預攪""), 1), INDEX(FILTER('製造效能'!G:G, '製造效能'!B:B=$D33, '製造效能'!D:D=M33, '製造效能'!E:E=""預攪""), 1)), 0)"),25)</f>
        <v>25</v>
      </c>
      <c r="AA33" s="35">
        <f ca="1">IFERROR(__xludf.DUMMYFUNCTION("IFERROR(INDEX(FILTER('製造效能'!G:G, '製造效能'!A:A=$C33, '製造效能'!D:D=M33, '製造效能'!E:E=""清洗""), 1), INDEX(FILTER('製造效能'!G:G, '製造效能'!B:B=$D33, '製造效能'!D:D=M33, '製造效能'!E:E=""清洗""), 1))"),40)</f>
        <v>40</v>
      </c>
      <c r="AB33" s="35" t="str">
        <f ca="1">IFERROR(__xludf.DUMMYFUNCTION("IFERROR(INDEX(FILTER('製造效能'!N:N, '製造效能'!$A:$A=$C33, '製造效能'!$D:$D=$M33, '製造效能'!$E:$E=""攪料""), 1), INDEX(FILTER('製造效能'!N:N, '製造效能'!$B:$B=$D33, '製造效能'!$D:$D=$M33, '製造效能'!$E:$E=""攪料""), 1))"),"")</f>
        <v/>
      </c>
      <c r="AC33" s="35" t="str">
        <f ca="1">IFERROR(__xludf.DUMMYFUNCTION("IFERROR(INDEX(FILTER('製造效能'!O:O, '製造效能'!$A:$A=$C33, '製造效能'!$D:$D=$M33, '製造效能'!$E:$E=""攪料""), 1), INDEX(FILTER('製造效能'!O:O, '製造效能'!$B:$B=$D33, '製造效能'!$D:$D=$M33, '製造效能'!$E:$E=""攪料""), 1))"),"")</f>
        <v/>
      </c>
      <c r="AD33" s="35" t="str">
        <f ca="1">IFERROR(__xludf.DUMMYFUNCTION("IFERROR(INDEX(FILTER('製造效能'!P:P, '製造效能'!$A:$A=$C33, '製造效能'!$D:$D=$M33, '製造效能'!$E:$E=""攪料""), 1), INDEX(FILTER('製造效能'!P:P, '製造效能'!$B:$B=$D33, '製造效能'!$D:$D=$M33, '製造效能'!$E:$E=""攪料""), 1))"),"")</f>
        <v/>
      </c>
      <c r="AE33" s="35">
        <f ca="1">IFERROR(__xludf.DUMMYFUNCTION("IFERROR(INDEX(FILTER('製造效能'!Q:Q, '製造效能'!$A:$A=$C33, '製造效能'!$D:$D=$M33, '製造效能'!$E:$E=""攪料""), 1), INDEX(FILTER('製造效能'!Q:Q, '製造效能'!$B:$B=$D33, '製造效能'!$D:$D=$M33, '製造效能'!$E:$E=""攪料""), 1))"),1)</f>
        <v>1</v>
      </c>
      <c r="AF33" s="35" t="str">
        <f ca="1">IFERROR(__xludf.DUMMYFUNCTION("IFERROR(INDEX(FILTER('製造效能'!R:R, '製造效能'!$A:$A=$C33, '製造效能'!$D:$D=$M33, '製造效能'!$E:$E=""攪料""), 1), INDEX(FILTER('製造效能'!R:R, '製造效能'!$B:$B=$D33, '製造效能'!$D:$D=$M33, '製造效能'!$E:$E=""攪料""), 1))"),"")</f>
        <v/>
      </c>
      <c r="AG33" s="35" t="str">
        <f ca="1">IFERROR(__xludf.DUMMYFUNCTION("IFERROR(INDEX(FILTER('製造效能'!S:S, '製造效能'!$A:$A=$C33, '製造效能'!$D:$D=$M33, '製造效能'!$E:$E=""攪料""), 1), INDEX(FILTER('製造效能'!S:S, '製造效能'!$B:$B=$D33, '製造效能'!$D:$D=$M33, '製造效能'!$E:$E=""攪料""), 1))"),"")</f>
        <v/>
      </c>
      <c r="AH33" s="35" t="str">
        <f ca="1">IFERROR(__xludf.DUMMYFUNCTION("IFERROR(INDEX(FILTER('製造效能'!T:T, '製造效能'!$A:$A=$C33, '製造效能'!$D:$D=$M33, '製造效能'!$E:$E=""攪料""), 1), INDEX(FILTER('製造效能'!T:T, '製造效能'!$B:$B=$D33, '製造效能'!$D:$D=$M33, '製造效能'!$E:$E=""攪料""), 1))"),"")</f>
        <v/>
      </c>
      <c r="AI33" s="35" t="str">
        <f ca="1">IFERROR(__xludf.DUMMYFUNCTION("IFERROR(INDEX(FILTER('製造效能'!U:U, '製造效能'!$A:$A=$C33, '製造效能'!$D:$D=$M33, '製造效能'!$E:$E=""攪料""), 1), INDEX(FILTER('製造效能'!U:U, '製造效能'!$B:$B=$D33, '製造效能'!$D:$D=$M33, '製造效能'!$E:$E=""攪料""), 1))"),"")</f>
        <v/>
      </c>
      <c r="AJ33" s="35" t="str">
        <f ca="1">IFERROR(__xludf.DUMMYFUNCTION("IFERROR(INDEX(FILTER('製造效能'!V:V, '製造效能'!$A:$A=$C33, '製造效能'!$D:$D=$M33, '製造效能'!$E:$E=""攪料""), 1), INDEX(FILTER('製造效能'!V:V, '製造效能'!$B:$B=$D33, '製造效能'!$D:$D=$M33, '製造效能'!$E:$E=""攪料""), 1))"),"")</f>
        <v/>
      </c>
      <c r="AK33" s="35">
        <f>COUNTIF(充填效能!$A:$A, $C33)</f>
        <v>1</v>
      </c>
      <c r="AL33" s="36">
        <f ca="1">IFERROR(__xludf.DUMMYFUNCTION("IFERROR(INDEX(FILTER('充填效能'!$Q$2:$Q$1088, '充填效能'!$A$2:$A$1088=$C33, '充填效能'!$D$2:$D$1088=""排瓶""), 1), 0)"),0)</f>
        <v>0</v>
      </c>
      <c r="AM33" s="36">
        <f ca="1">IFERROR(__xludf.DUMMYFUNCTION("IFERROR(INDEX(FILTER('充填效能'!$R$2:$R$1088, '充填效能'!$A$2:$A$1088=$C33, '充填效能'!$D$2:$D$1088=""排瓶""), 1), 0)"),0)</f>
        <v>0</v>
      </c>
      <c r="AN33" s="35">
        <f t="shared" ca="1" si="5"/>
        <v>0</v>
      </c>
      <c r="AO33" s="36">
        <f ca="1">IFERROR(__xludf.DUMMYFUNCTION("IFERROR(INDEX(FILTER('充填效能'!$Q$2:$Q$1088, '充填效能'!$A$2:$A$1088=$C33, '充填效能'!$D$2:$D$1088=""充填""), 1), 0)"),500)</f>
        <v>500</v>
      </c>
      <c r="AP33" s="36">
        <f ca="1">IFERROR(__xludf.DUMMYFUNCTION("IFERROR(INDEX(FILTER('充填效能'!$R$2:$R$1088, '充填效能'!$A$2:$A$1088=$C33, '充填效能'!$D$2:$D$1088=""充填""), 1), 0)"),3)</f>
        <v>3</v>
      </c>
      <c r="AQ33" s="35">
        <f t="shared" ca="1" si="6"/>
        <v>8</v>
      </c>
      <c r="AR33" s="17">
        <f t="shared" ca="1" si="7"/>
        <v>24</v>
      </c>
    </row>
    <row r="34" spans="1:44" ht="15.75" customHeight="1">
      <c r="A34" s="9" t="s">
        <v>122</v>
      </c>
      <c r="B34" s="34">
        <f t="shared" si="0"/>
        <v>44979</v>
      </c>
      <c r="C34" s="9" t="s">
        <v>68</v>
      </c>
      <c r="D34" s="17" t="str">
        <f t="shared" si="1"/>
        <v>BV23G1</v>
      </c>
      <c r="E34" s="9" t="s">
        <v>69</v>
      </c>
      <c r="F34" s="9">
        <v>30000</v>
      </c>
      <c r="G34" s="10">
        <v>45063</v>
      </c>
      <c r="H34" s="10">
        <v>45062</v>
      </c>
      <c r="I34" s="10">
        <v>45009</v>
      </c>
      <c r="J34" s="10">
        <v>45044</v>
      </c>
      <c r="L34" s="17" t="str">
        <f ca="1">IFERROR(__xludf.DUMMYFUNCTION("TEXTJOIN("", "", TRUE, UNIQUE(FILTER('製造效能'!$D$2:$D$1732, '製造效能'!$B$2:$B$1732 = D34)))"),"大")</f>
        <v>大</v>
      </c>
      <c r="M34" s="17" t="str">
        <f ca="1">IFERROR(__xludf.DUMMYFUNCTION("INDEX(UNIQUE(FILTER('製造效能'!$D$2:$D$1732, ('製造效能'!$B$2:$B$1732 = D34) * ('製造效能'!$J$2:$J$1732 = MAXIFS('製造效能'!$J$2:$J$1732, '製造效能'!$B$2:$B$1732, D34)))), 1) 
"),"大")</f>
        <v>大</v>
      </c>
      <c r="N34" s="17" t="str">
        <f ca="1">IFERROR(__xludf.DUMMYFUNCTION("TEXTJOIN("", "", TRUE, UNIQUE(FILTER('製造效能'!$K$2:$K$1732, '製造效能'!$B$2:$B$1732 = D34)))"),"水項")</f>
        <v>水項</v>
      </c>
      <c r="O34" s="35">
        <f ca="1">IFERROR(__xludf.DUMMYFUNCTION("IFERROR(INDEX(FILTER('充填效能'!I$2:I$1088, '充填效能'!$A$2:$A$1088=$C34, '充填效能'!$D$2:$D$1088=""充填""), 1), 0)"),31)</f>
        <v>31</v>
      </c>
      <c r="P34" s="35" t="str">
        <f ca="1">IFERROR(__xludf.DUMMYFUNCTION("IFERROR(INDEX(FILTER('充填效能'!J$2:J$1088, '充填效能'!$A$2:$A$1088=$C34, '充填效能'!$D$2:$D$1088=""充填""), 1), 0)"),"")</f>
        <v/>
      </c>
      <c r="Q34" s="35" t="str">
        <f ca="1">IFERROR(__xludf.DUMMYFUNCTION("IFERROR(INDEX(FILTER('充填效能'!K$2:K$1088, '充填效能'!$A$2:$A$1088=$C34, '充填效能'!$D$2:$D$1088=""充填""), 1), 0)"),"")</f>
        <v/>
      </c>
      <c r="R34" s="35" t="str">
        <f ca="1">IFERROR(__xludf.DUMMYFUNCTION("IFERROR(INDEX(FILTER('充填效能'!L$2:L$1088, '充填效能'!$A$2:$A$1088=$C34, '充填效能'!$D$2:$D$1088=""充填""), 1), 0)"),"")</f>
        <v/>
      </c>
      <c r="S34" s="35">
        <f ca="1">COUNTIFS(製造效能!B:B, $D34,製造效能!D:D,M34)</f>
        <v>3</v>
      </c>
      <c r="T34" s="36">
        <f ca="1">IFERROR(__xludf.DUMMYFUNCTION("VALUE(REGEXEXTRACT(TO_TEXT(O34), ""\d*\.?\d+""))"),31)</f>
        <v>31</v>
      </c>
      <c r="U34" s="17">
        <f t="shared" ca="1" si="2"/>
        <v>943949.99999999988</v>
      </c>
      <c r="V34" s="17">
        <f ca="1">IFERROR(__xludf.DUMMYFUNCTION("IFERROR(INDEX(FILTER('製造效能'!J:J, '製造效能'!A:A=$C34, '製造效能'!D:D=M34, '製造效能'!E:E=""攪料""), 1), INDEX(FILTER('製造效能'!J:J, '製造效能'!B:B=$D34, '製造效能'!D:D=M34, '製造效能'!E:E=""攪料""), 1))"),400)</f>
        <v>400</v>
      </c>
      <c r="W34" s="36">
        <f ca="1">IFERROR(__xludf.DUMMYFUNCTION("IFERROR(INDEX(FILTER('製造效能'!G:G, '製造效能'!A:A=$C34, '製造效能'!D:D=M34, '製造效能'!E:E=""攪料""), 1), INDEX(FILTER('製造效能'!G:G, '製造效能'!B:B=$D34, '製造效能'!D:D=M34, '製造效能'!E:E=""攪料""), 1))"),120)</f>
        <v>120</v>
      </c>
      <c r="X34" s="35">
        <f t="shared" ca="1" si="3"/>
        <v>3</v>
      </c>
      <c r="Y34" s="35">
        <f t="shared" ca="1" si="4"/>
        <v>360</v>
      </c>
      <c r="Z34" s="35">
        <f ca="1">IFERROR(__xludf.DUMMYFUNCTION("IFERROR(IFERROR(INDEX(FILTER('製造效能'!G:G, '製造效能'!A:A=$C34, '製造效能'!D:D=M34, '製造效能'!E:E=""預攪""), 1), INDEX(FILTER('製造效能'!G:G, '製造效能'!B:B=$D34, '製造效能'!D:D=M34, '製造效能'!E:E=""預攪""), 1)), 0)"),25)</f>
        <v>25</v>
      </c>
      <c r="AA34" s="35">
        <f ca="1">IFERROR(__xludf.DUMMYFUNCTION("IFERROR(INDEX(FILTER('製造效能'!G:G, '製造效能'!A:A=$C34, '製造效能'!D:D=M34, '製造效能'!E:E=""清洗""), 1), INDEX(FILTER('製造效能'!G:G, '製造效能'!B:B=$D34, '製造效能'!D:D=M34, '製造效能'!E:E=""清洗""), 1))"),30)</f>
        <v>30</v>
      </c>
      <c r="AB34" s="35" t="str">
        <f ca="1">IFERROR(__xludf.DUMMYFUNCTION("IFERROR(INDEX(FILTER('製造效能'!N:N, '製造效能'!$A:$A=$C34, '製造效能'!$D:$D=$M34, '製造效能'!$E:$E=""攪料""), 1), INDEX(FILTER('製造效能'!N:N, '製造效能'!$B:$B=$D34, '製造效能'!$D:$D=$M34, '製造效能'!$E:$E=""攪料""), 1))"),"")</f>
        <v/>
      </c>
      <c r="AC34" s="35">
        <f ca="1">IFERROR(__xludf.DUMMYFUNCTION("IFERROR(INDEX(FILTER('製造效能'!O:O, '製造效能'!$A:$A=$C34, '製造效能'!$D:$D=$M34, '製造效能'!$E:$E=""攪料""), 1), INDEX(FILTER('製造效能'!O:O, '製造效能'!$B:$B=$D34, '製造效能'!$D:$D=$M34, '製造效能'!$E:$E=""攪料""), 1))"),1)</f>
        <v>1</v>
      </c>
      <c r="AD34" s="35" t="str">
        <f ca="1">IFERROR(__xludf.DUMMYFUNCTION("IFERROR(INDEX(FILTER('製造效能'!P:P, '製造效能'!$A:$A=$C34, '製造效能'!$D:$D=$M34, '製造效能'!$E:$E=""攪料""), 1), INDEX(FILTER('製造效能'!P:P, '製造效能'!$B:$B=$D34, '製造效能'!$D:$D=$M34, '製造效能'!$E:$E=""攪料""), 1))"),"")</f>
        <v/>
      </c>
      <c r="AE34" s="35" t="str">
        <f ca="1">IFERROR(__xludf.DUMMYFUNCTION("IFERROR(INDEX(FILTER('製造效能'!Q:Q, '製造效能'!$A:$A=$C34, '製造效能'!$D:$D=$M34, '製造效能'!$E:$E=""攪料""), 1), INDEX(FILTER('製造效能'!Q:Q, '製造效能'!$B:$B=$D34, '製造效能'!$D:$D=$M34, '製造效能'!$E:$E=""攪料""), 1))"),"")</f>
        <v/>
      </c>
      <c r="AF34" s="35" t="str">
        <f ca="1">IFERROR(__xludf.DUMMYFUNCTION("IFERROR(INDEX(FILTER('製造效能'!R:R, '製造效能'!$A:$A=$C34, '製造效能'!$D:$D=$M34, '製造效能'!$E:$E=""攪料""), 1), INDEX(FILTER('製造效能'!R:R, '製造效能'!$B:$B=$D34, '製造效能'!$D:$D=$M34, '製造效能'!$E:$E=""攪料""), 1))"),"")</f>
        <v/>
      </c>
      <c r="AG34" s="35">
        <f ca="1">IFERROR(__xludf.DUMMYFUNCTION("IFERROR(INDEX(FILTER('製造效能'!S:S, '製造效能'!$A:$A=$C34, '製造效能'!$D:$D=$M34, '製造效能'!$E:$E=""攪料""), 1), INDEX(FILTER('製造效能'!S:S, '製造效能'!$B:$B=$D34, '製造效能'!$D:$D=$M34, '製造效能'!$E:$E=""攪料""), 1))"),1)</f>
        <v>1</v>
      </c>
      <c r="AH34" s="35" t="str">
        <f ca="1">IFERROR(__xludf.DUMMYFUNCTION("IFERROR(INDEX(FILTER('製造效能'!T:T, '製造效能'!$A:$A=$C34, '製造效能'!$D:$D=$M34, '製造效能'!$E:$E=""攪料""), 1), INDEX(FILTER('製造效能'!T:T, '製造效能'!$B:$B=$D34, '製造效能'!$D:$D=$M34, '製造效能'!$E:$E=""攪料""), 1))"),"")</f>
        <v/>
      </c>
      <c r="AI34" s="35" t="str">
        <f ca="1">IFERROR(__xludf.DUMMYFUNCTION("IFERROR(INDEX(FILTER('製造效能'!U:U, '製造效能'!$A:$A=$C34, '製造效能'!$D:$D=$M34, '製造效能'!$E:$E=""攪料""), 1), INDEX(FILTER('製造效能'!U:U, '製造效能'!$B:$B=$D34, '製造效能'!$D:$D=$M34, '製造效能'!$E:$E=""攪料""), 1))"),"")</f>
        <v/>
      </c>
      <c r="AJ34" s="35" t="str">
        <f ca="1">IFERROR(__xludf.DUMMYFUNCTION("IFERROR(INDEX(FILTER('製造效能'!V:V, '製造效能'!$A:$A=$C34, '製造效能'!$D:$D=$M34, '製造效能'!$E:$E=""攪料""), 1), INDEX(FILTER('製造效能'!V:V, '製造效能'!$B:$B=$D34, '製造效能'!$D:$D=$M34, '製造效能'!$E:$E=""攪料""), 1))"),"")</f>
        <v/>
      </c>
      <c r="AK34" s="35">
        <f>COUNTIF(充填效能!$A:$A, $C34)</f>
        <v>3</v>
      </c>
      <c r="AL34" s="36" t="str">
        <f ca="1">IFERROR(__xludf.DUMMYFUNCTION("IFERROR(INDEX(FILTER('充填效能'!$Q$2:$Q$1088, '充填效能'!$A$2:$A$1088=$C34, '充填效能'!$D$2:$D$1088=""排瓶""), 1), 0)"),"2700")</f>
        <v>2700</v>
      </c>
      <c r="AM34" s="36">
        <f ca="1">IFERROR(__xludf.DUMMYFUNCTION("IFERROR(INDEX(FILTER('充填效能'!$R$2:$R$1088, '充填效能'!$A$2:$A$1088=$C34, '充填效能'!$D$2:$D$1088=""排瓶""), 1), 0)"),1)</f>
        <v>1</v>
      </c>
      <c r="AN34" s="35">
        <f t="shared" ca="1" si="5"/>
        <v>11.111111111111111</v>
      </c>
      <c r="AO34" s="36" t="str">
        <f ca="1">IFERROR(__xludf.DUMMYFUNCTION("IFERROR(INDEX(FILTER('充填效能'!$Q$2:$Q$1088, '充填效能'!$A$2:$A$1088=$C34, '充填效能'!$D$2:$D$1088=""充填""), 1), 0)"),"1000")</f>
        <v>1000</v>
      </c>
      <c r="AP34" s="36">
        <f ca="1">IFERROR(__xludf.DUMMYFUNCTION("IFERROR(INDEX(FILTER('充填效能'!$R$2:$R$1088, '充填效能'!$A$2:$A$1088=$C34, '充填效能'!$D$2:$D$1088=""充填""), 1), 0)"),4)</f>
        <v>4</v>
      </c>
      <c r="AQ34" s="35">
        <f t="shared" ca="1" si="6"/>
        <v>30</v>
      </c>
      <c r="AR34" s="17">
        <f t="shared" ca="1" si="7"/>
        <v>120</v>
      </c>
    </row>
    <row r="35" spans="1:44" ht="15.75" customHeight="1">
      <c r="A35" s="9" t="s">
        <v>141</v>
      </c>
      <c r="B35" s="34">
        <f t="shared" si="0"/>
        <v>45001</v>
      </c>
      <c r="C35" s="9" t="s">
        <v>132</v>
      </c>
      <c r="D35" s="17" t="str">
        <f t="shared" si="1"/>
        <v>EU22E1</v>
      </c>
      <c r="E35" s="9" t="s">
        <v>133</v>
      </c>
      <c r="F35" s="9">
        <v>10000</v>
      </c>
      <c r="G35" s="10">
        <v>45077</v>
      </c>
      <c r="H35" s="10">
        <v>45063</v>
      </c>
      <c r="I35" s="10">
        <v>45013</v>
      </c>
      <c r="J35" s="10">
        <v>45058</v>
      </c>
      <c r="L35" s="17" t="str">
        <f ca="1">IFERROR(__xludf.DUMMYFUNCTION("TEXTJOIN("", "", TRUE, UNIQUE(FILTER('製造效能'!$D$2:$D$1732, '製造效能'!$B$2:$B$1732 = D35)))"),"小乳, 大乳")</f>
        <v>小乳, 大乳</v>
      </c>
      <c r="M35" s="17" t="str">
        <f ca="1">IFERROR(__xludf.DUMMYFUNCTION("INDEX(UNIQUE(FILTER('製造效能'!$D$2:$D$1732, ('製造效能'!$B$2:$B$1732 = D35) * ('製造效能'!$J$2:$J$1732 = MAXIFS('製造效能'!$J$2:$J$1732, '製造效能'!$B$2:$B$1732, D35)))), 1) 
"),"大乳")</f>
        <v>大乳</v>
      </c>
      <c r="N35" s="17" t="str">
        <f ca="1">IFERROR(__xludf.DUMMYFUNCTION("TEXTJOIN("", "", TRUE, UNIQUE(FILTER('製造效能'!$K$2:$K$1732, '製造效能'!$B$2:$B$1732 = D35)))"),"乳項")</f>
        <v>乳項</v>
      </c>
      <c r="P35" s="35" t="str">
        <f ca="1">IFERROR(__xludf.DUMMYFUNCTION("IFERROR(INDEX(FILTER('充填效能'!J$2:J$1088, '充填效能'!$A$2:$A$1088=$C35, '充填效能'!$D$2:$D$1088=""充填""), 1), 0)"),"")</f>
        <v/>
      </c>
      <c r="Q35" s="35" t="str">
        <f ca="1">IFERROR(__xludf.DUMMYFUNCTION("IFERROR(INDEX(FILTER('充填效能'!K$2:K$1088, '充填效能'!$A$2:$A$1088=$C35, '充填效能'!$D$2:$D$1088=""充填""), 1), 0)"),"")</f>
        <v/>
      </c>
      <c r="R35" s="35">
        <f ca="1">IFERROR(__xludf.DUMMYFUNCTION("IFERROR(INDEX(FILTER('充填效能'!I$2:I$1088, '充填效能'!$A$2:$A$1088=$C35, '充填效能'!$D$2:$D$1088=""充填""), 1), 0)"),10.1)</f>
        <v>10.1</v>
      </c>
      <c r="S35" s="35">
        <f ca="1">COUNTIFS(製造效能!B:B, $D35,製造效能!D:D,M35)</f>
        <v>3</v>
      </c>
      <c r="T35" s="36">
        <f ca="1">IFERROR(__xludf.DUMMYFUNCTION("VALUE(REGEXEXTRACT(TO_TEXT(R35), ""\d*\.?\d+""))"),10.1)</f>
        <v>10.1</v>
      </c>
      <c r="U35" s="17">
        <f t="shared" ca="1" si="2"/>
        <v>102514.99999999999</v>
      </c>
      <c r="V35" s="17">
        <f ca="1">IFERROR(__xludf.DUMMYFUNCTION("IFERROR(INDEX(FILTER('製造效能'!J:J, '製造效能'!A:A=$C35, '製造效能'!D:D=M35, '製造效能'!E:E=""攪料""), 1), INDEX(FILTER('製造效能'!J:J, '製造效能'!B:B=$D35, '製造效能'!D:D=M35, '製造效能'!E:E=""攪料""), 1))"),103)</f>
        <v>103</v>
      </c>
      <c r="W35" s="36">
        <f ca="1">IFERROR(__xludf.DUMMYFUNCTION("IFERROR(INDEX(FILTER('製造效能'!G:G, '製造效能'!A:A=$C35, '製造效能'!D:D=M35, '製造效能'!E:E=""攪料""), 1), INDEX(FILTER('製造效能'!G:G, '製造效能'!B:B=$D35, '製造效能'!D:D=M35, '製造效能'!E:E=""攪料""), 1))"),200)</f>
        <v>200</v>
      </c>
      <c r="X35" s="35">
        <f t="shared" ca="1" si="3"/>
        <v>1</v>
      </c>
      <c r="Y35" s="35">
        <f t="shared" ca="1" si="4"/>
        <v>200</v>
      </c>
      <c r="Z35" s="35">
        <f ca="1">IFERROR(__xludf.DUMMYFUNCTION("IFERROR(IFERROR(INDEX(FILTER('製造效能'!G:G, '製造效能'!A:A=$C35, '製造效能'!D:D=M35, '製造效能'!E:E=""預攪""), 1), INDEX(FILTER('製造效能'!G:G, '製造效能'!B:B=$D35, '製造效能'!D:D=M35, '製造效能'!E:E=""預攪""), 1)), 0)"),135)</f>
        <v>135</v>
      </c>
      <c r="AA35" s="35">
        <f ca="1">IFERROR(__xludf.DUMMYFUNCTION("IFERROR(INDEX(FILTER('製造效能'!G:G, '製造效能'!A:A=$C35, '製造效能'!D:D=M35, '製造效能'!E:E=""清洗""), 1), INDEX(FILTER('製造效能'!G:G, '製造效能'!B:B=$D35, '製造效能'!D:D=M35, '製造效能'!E:E=""清洗""), 1))"),40)</f>
        <v>40</v>
      </c>
      <c r="AB35" s="35" t="str">
        <f ca="1">IFERROR(__xludf.DUMMYFUNCTION("IFERROR(INDEX(FILTER('製造效能'!N:N, '製造效能'!$A:$A=$C35, '製造效能'!$D:$D=$M35, '製造效能'!$E:$E=""攪料""), 1), INDEX(FILTER('製造效能'!N:N, '製造效能'!$B:$B=$D35, '製造效能'!$D:$D=$M35, '製造效能'!$E:$E=""攪料""), 1))"),"")</f>
        <v/>
      </c>
      <c r="AC35" s="35">
        <f ca="1">IFERROR(__xludf.DUMMYFUNCTION("IFERROR(INDEX(FILTER('製造效能'!O:O, '製造效能'!$A:$A=$C35, '製造效能'!$D:$D=$M35, '製造效能'!$E:$E=""攪料""), 1), INDEX(FILTER('製造效能'!O:O, '製造效能'!$B:$B=$D35, '製造效能'!$D:$D=$M35, '製造效能'!$E:$E=""攪料""), 1))"),1)</f>
        <v>1</v>
      </c>
      <c r="AD35" s="35" t="str">
        <f ca="1">IFERROR(__xludf.DUMMYFUNCTION("IFERROR(INDEX(FILTER('製造效能'!P:P, '製造效能'!$A:$A=$C35, '製造效能'!$D:$D=$M35, '製造效能'!$E:$E=""攪料""), 1), INDEX(FILTER('製造效能'!P:P, '製造效能'!$B:$B=$D35, '製造效能'!$D:$D=$M35, '製造效能'!$E:$E=""攪料""), 1))"),"")</f>
        <v/>
      </c>
      <c r="AE35" s="35">
        <f ca="1">IFERROR(__xludf.DUMMYFUNCTION("IFERROR(INDEX(FILTER('製造效能'!Q:Q, '製造效能'!$A:$A=$C35, '製造效能'!$D:$D=$M35, '製造效能'!$E:$E=""攪料""), 1), INDEX(FILTER('製造效能'!Q:Q, '製造效能'!$B:$B=$D35, '製造效能'!$D:$D=$M35, '製造效能'!$E:$E=""攪料""), 1))"),1)</f>
        <v>1</v>
      </c>
      <c r="AF35" s="35" t="str">
        <f ca="1">IFERROR(__xludf.DUMMYFUNCTION("IFERROR(INDEX(FILTER('製造效能'!R:R, '製造效能'!$A:$A=$C35, '製造效能'!$D:$D=$M35, '製造效能'!$E:$E=""攪料""), 1), INDEX(FILTER('製造效能'!R:R, '製造效能'!$B:$B=$D35, '製造效能'!$D:$D=$M35, '製造效能'!$E:$E=""攪料""), 1))"),"")</f>
        <v/>
      </c>
      <c r="AG35" s="35" t="str">
        <f ca="1">IFERROR(__xludf.DUMMYFUNCTION("IFERROR(INDEX(FILTER('製造效能'!S:S, '製造效能'!$A:$A=$C35, '製造效能'!$D:$D=$M35, '製造效能'!$E:$E=""攪料""), 1), INDEX(FILTER('製造效能'!S:S, '製造效能'!$B:$B=$D35, '製造效能'!$D:$D=$M35, '製造效能'!$E:$E=""攪料""), 1))"),"")</f>
        <v/>
      </c>
      <c r="AH35" s="35" t="str">
        <f ca="1">IFERROR(__xludf.DUMMYFUNCTION("IFERROR(INDEX(FILTER('製造效能'!T:T, '製造效能'!$A:$A=$C35, '製造效能'!$D:$D=$M35, '製造效能'!$E:$E=""攪料""), 1), INDEX(FILTER('製造效能'!T:T, '製造效能'!$B:$B=$D35, '製造效能'!$D:$D=$M35, '製造效能'!$E:$E=""攪料""), 1))"),"")</f>
        <v/>
      </c>
      <c r="AI35" s="35" t="str">
        <f ca="1">IFERROR(__xludf.DUMMYFUNCTION("IFERROR(INDEX(FILTER('製造效能'!U:U, '製造效能'!$A:$A=$C35, '製造效能'!$D:$D=$M35, '製造效能'!$E:$E=""攪料""), 1), INDEX(FILTER('製造效能'!U:U, '製造效能'!$B:$B=$D35, '製造效能'!$D:$D=$M35, '製造效能'!$E:$E=""攪料""), 1))"),"")</f>
        <v/>
      </c>
      <c r="AJ35" s="35" t="str">
        <f ca="1">IFERROR(__xludf.DUMMYFUNCTION("IFERROR(INDEX(FILTER('製造效能'!V:V, '製造效能'!$A:$A=$C35, '製造效能'!$D:$D=$M35, '製造效能'!$E:$E=""攪料""), 1), INDEX(FILTER('製造效能'!V:V, '製造效能'!$B:$B=$D35, '製造效能'!$D:$D=$M35, '製造效能'!$E:$E=""攪料""), 1))"),"")</f>
        <v/>
      </c>
      <c r="AK35" s="35">
        <f>COUNTIF(充填效能!$A:$A, $C35)</f>
        <v>1</v>
      </c>
      <c r="AL35" s="36">
        <f ca="1">IFERROR(__xludf.DUMMYFUNCTION("IFERROR(INDEX(FILTER('充填效能'!$Q$2:$Q$1088, '充填效能'!$A$2:$A$1088=$C35, '充填效能'!$D$2:$D$1088=""排瓶""), 1), 0)"),0)</f>
        <v>0</v>
      </c>
      <c r="AM35" s="36">
        <f ca="1">IFERROR(__xludf.DUMMYFUNCTION("IFERROR(INDEX(FILTER('充填效能'!$R$2:$R$1088, '充填效能'!$A$2:$A$1088=$C35, '充填效能'!$D$2:$D$1088=""排瓶""), 1), 0)"),0)</f>
        <v>0</v>
      </c>
      <c r="AN35" s="35">
        <f t="shared" ca="1" si="5"/>
        <v>0</v>
      </c>
      <c r="AO35" s="36" t="str">
        <f ca="1">IFERROR(__xludf.DUMMYFUNCTION("IFERROR(INDEX(FILTER('充填效能'!$Q$2:$Q$1088, '充填效能'!$A$2:$A$1088=$C35, '充填效能'!$D$2:$D$1088=""充填""), 1), 0)"),"1000")</f>
        <v>1000</v>
      </c>
      <c r="AP35" s="36">
        <f ca="1">IFERROR(__xludf.DUMMYFUNCTION("IFERROR(INDEX(FILTER('充填效能'!$R$2:$R$1088, '充填效能'!$A$2:$A$1088=$C35, '充填效能'!$D$2:$D$1088=""充填""), 1), 0)"),4)</f>
        <v>4</v>
      </c>
      <c r="AQ35" s="35">
        <f t="shared" ca="1" si="6"/>
        <v>10</v>
      </c>
      <c r="AR35" s="17">
        <f t="shared" ca="1" si="7"/>
        <v>40</v>
      </c>
    </row>
    <row r="36" spans="1:44" ht="15.75" customHeight="1">
      <c r="A36" s="9" t="s">
        <v>163</v>
      </c>
      <c r="B36" s="34">
        <f t="shared" si="0"/>
        <v>45029</v>
      </c>
      <c r="C36" s="9" t="s">
        <v>108</v>
      </c>
      <c r="D36" s="17" t="str">
        <f t="shared" si="1"/>
        <v>N1HAD2</v>
      </c>
      <c r="E36" s="9" t="s">
        <v>109</v>
      </c>
      <c r="F36" s="9">
        <v>5000</v>
      </c>
      <c r="G36" s="10">
        <v>45075</v>
      </c>
      <c r="H36" s="10">
        <v>45064</v>
      </c>
      <c r="I36" s="10">
        <v>45027</v>
      </c>
      <c r="J36" s="10">
        <v>45056</v>
      </c>
      <c r="L36" s="17" t="str">
        <f ca="1">IFERROR(__xludf.DUMMYFUNCTION("TEXTJOIN("", "", TRUE, UNIQUE(FILTER('製造效能'!$D$2:$D$1732, '製造效能'!$B$2:$B$1732 = D36)))"),"精")</f>
        <v>精</v>
      </c>
      <c r="M36" s="17" t="str">
        <f ca="1">IFERROR(__xludf.DUMMYFUNCTION("INDEX(UNIQUE(FILTER('製造效能'!$D$2:$D$1732, ('製造效能'!$B$2:$B$1732 = D36) * ('製造效能'!$J$2:$J$1732 = MAXIFS('製造效能'!$J$2:$J$1732, '製造效能'!$B$2:$B$1732, D36)))), 1) 
"),"精")</f>
        <v>精</v>
      </c>
      <c r="N36" s="17" t="str">
        <f ca="1">IFERROR(__xludf.DUMMYFUNCTION("TEXTJOIN("", "", TRUE, UNIQUE(FILTER('製造效能'!$K$2:$K$1732, '製造效能'!$B$2:$B$1732 = D36)))"),"水項")</f>
        <v>水項</v>
      </c>
      <c r="O36" s="35">
        <f ca="1">IFERROR(__xludf.DUMMYFUNCTION("IFERROR(INDEX(FILTER('充填效能'!I$2:I$1088, '充填效能'!$A$2:$A$1088=$C36, '充填效能'!$D$2:$D$1088=""充填""), 1), 0)"),128)</f>
        <v>128</v>
      </c>
      <c r="P36" s="35" t="str">
        <f ca="1">IFERROR(__xludf.DUMMYFUNCTION("IFERROR(INDEX(FILTER('充填效能'!J$2:J$1088, '充填效能'!$A$2:$A$1088=$C36, '充填效能'!$D$2:$D$1088=""充填""), 1), 0)"),"")</f>
        <v/>
      </c>
      <c r="Q36" s="35" t="str">
        <f ca="1">IFERROR(__xludf.DUMMYFUNCTION("IFERROR(INDEX(FILTER('充填效能'!K$2:K$1088, '充填效能'!$A$2:$A$1088=$C36, '充填效能'!$D$2:$D$1088=""充填""), 1), 0)"),"")</f>
        <v/>
      </c>
      <c r="R36" s="35" t="str">
        <f ca="1">IFERROR(__xludf.DUMMYFUNCTION("IFERROR(INDEX(FILTER('充填效能'!L$2:L$1088, '充填效能'!$A$2:$A$1088=$C36, '充填效能'!$D$2:$D$1088=""充填""), 1), 0)"),"")</f>
        <v/>
      </c>
      <c r="S36" s="35">
        <f ca="1">COUNTIFS(製造效能!B:B, $D36,製造效能!D:D,M36)</f>
        <v>3</v>
      </c>
      <c r="T36" s="36">
        <f ca="1">IFERROR(__xludf.DUMMYFUNCTION("VALUE(REGEXEXTRACT(TO_TEXT(O36), ""\d*\.?\d+""))"),128)</f>
        <v>128</v>
      </c>
      <c r="U36" s="17">
        <f t="shared" ca="1" si="2"/>
        <v>649599.99999999988</v>
      </c>
      <c r="V36" s="17">
        <f ca="1">IFERROR(__xludf.DUMMYFUNCTION("IFERROR(INDEX(FILTER('製造效能'!J:J, '製造效能'!A:A=$C36, '製造效能'!D:D=M36, '製造效能'!E:E=""攪料""), 1), INDEX(FILTER('製造效能'!J:J, '製造效能'!B:B=$D36, '製造效能'!D:D=M36, '製造效能'!E:E=""攪料""), 1))"),105)</f>
        <v>105</v>
      </c>
      <c r="W36" s="36">
        <f ca="1">IFERROR(__xludf.DUMMYFUNCTION("IFERROR(INDEX(FILTER('製造效能'!G:G, '製造效能'!A:A=$C36, '製造效能'!D:D=M36, '製造效能'!E:E=""攪料""), 1), INDEX(FILTER('製造效能'!G:G, '製造效能'!B:B=$D36, '製造效能'!D:D=M36, '製造效能'!E:E=""攪料""), 1))"),35)</f>
        <v>35</v>
      </c>
      <c r="X36" s="35">
        <f t="shared" ca="1" si="3"/>
        <v>7</v>
      </c>
      <c r="Y36" s="35">
        <f t="shared" ca="1" si="4"/>
        <v>245</v>
      </c>
      <c r="Z36" s="35">
        <f ca="1">IFERROR(__xludf.DUMMYFUNCTION("IFERROR(IFERROR(INDEX(FILTER('製造效能'!G:G, '製造效能'!A:A=$C36, '製造效能'!D:D=M36, '製造效能'!E:E=""預攪""), 1), INDEX(FILTER('製造效能'!G:G, '製造效能'!B:B=$D36, '製造效能'!D:D=M36, '製造效能'!E:E=""預攪""), 1)), 0)"),90)</f>
        <v>90</v>
      </c>
      <c r="AA36" s="35">
        <f ca="1">IFERROR(__xludf.DUMMYFUNCTION("IFERROR(INDEX(FILTER('製造效能'!G:G, '製造效能'!A:A=$C36, '製造效能'!D:D=M36, '製造效能'!E:E=""清洗""), 1), INDEX(FILTER('製造效能'!G:G, '製造效能'!B:B=$D36, '製造效能'!D:D=M36, '製造效能'!E:E=""清洗""), 1))"),10)</f>
        <v>10</v>
      </c>
      <c r="AB36" s="35" t="str">
        <f ca="1">IFERROR(__xludf.DUMMYFUNCTION("IFERROR(INDEX(FILTER('製造效能'!N:N, '製造效能'!$A:$A=$C36, '製造效能'!$D:$D=$M36, '製造效能'!$E:$E=""攪料""), 1), INDEX(FILTER('製造效能'!N:N, '製造效能'!$B:$B=$D36, '製造效能'!$D:$D=$M36, '製造效能'!$E:$E=""攪料""), 1))"),"")</f>
        <v/>
      </c>
      <c r="AC36" s="35">
        <f ca="1">IFERROR(__xludf.DUMMYFUNCTION("IFERROR(INDEX(FILTER('製造效能'!O:O, '製造效能'!$A:$A=$C36, '製造效能'!$D:$D=$M36, '製造效能'!$E:$E=""攪料""), 1), INDEX(FILTER('製造效能'!O:O, '製造效能'!$B:$B=$D36, '製造效能'!$D:$D=$M36, '製造效能'!$E:$E=""攪料""), 1))"),1)</f>
        <v>1</v>
      </c>
      <c r="AD36" s="35" t="str">
        <f ca="1">IFERROR(__xludf.DUMMYFUNCTION("IFERROR(INDEX(FILTER('製造效能'!P:P, '製造效能'!$A:$A=$C36, '製造效能'!$D:$D=$M36, '製造效能'!$E:$E=""攪料""), 1), INDEX(FILTER('製造效能'!P:P, '製造效能'!$B:$B=$D36, '製造效能'!$D:$D=$M36, '製造效能'!$E:$E=""攪料""), 1))"),"")</f>
        <v/>
      </c>
      <c r="AE36" s="35" t="str">
        <f ca="1">IFERROR(__xludf.DUMMYFUNCTION("IFERROR(INDEX(FILTER('製造效能'!Q:Q, '製造效能'!$A:$A=$C36, '製造效能'!$D:$D=$M36, '製造效能'!$E:$E=""攪料""), 1), INDEX(FILTER('製造效能'!Q:Q, '製造效能'!$B:$B=$D36, '製造效能'!$D:$D=$M36, '製造效能'!$E:$E=""攪料""), 1))"),"")</f>
        <v/>
      </c>
      <c r="AF36" s="35" t="str">
        <f ca="1">IFERROR(__xludf.DUMMYFUNCTION("IFERROR(INDEX(FILTER('製造效能'!R:R, '製造效能'!$A:$A=$C36, '製造效能'!$D:$D=$M36, '製造效能'!$E:$E=""攪料""), 1), INDEX(FILTER('製造效能'!R:R, '製造效能'!$B:$B=$D36, '製造效能'!$D:$D=$M36, '製造效能'!$E:$E=""攪料""), 1))"),"")</f>
        <v/>
      </c>
      <c r="AG36" s="35" t="str">
        <f ca="1">IFERROR(__xludf.DUMMYFUNCTION("IFERROR(INDEX(FILTER('製造效能'!S:S, '製造效能'!$A:$A=$C36, '製造效能'!$D:$D=$M36, '製造效能'!$E:$E=""攪料""), 1), INDEX(FILTER('製造效能'!S:S, '製造效能'!$B:$B=$D36, '製造效能'!$D:$D=$M36, '製造效能'!$E:$E=""攪料""), 1))"),"")</f>
        <v/>
      </c>
      <c r="AH36" s="35" t="str">
        <f ca="1">IFERROR(__xludf.DUMMYFUNCTION("IFERROR(INDEX(FILTER('製造效能'!T:T, '製造效能'!$A:$A=$C36, '製造效能'!$D:$D=$M36, '製造效能'!$E:$E=""攪料""), 1), INDEX(FILTER('製造效能'!T:T, '製造效能'!$B:$B=$D36, '製造效能'!$D:$D=$M36, '製造效能'!$E:$E=""攪料""), 1))"),"")</f>
        <v/>
      </c>
      <c r="AI36" s="35" t="str">
        <f ca="1">IFERROR(__xludf.DUMMYFUNCTION("IFERROR(INDEX(FILTER('製造效能'!U:U, '製造效能'!$A:$A=$C36, '製造效能'!$D:$D=$M36, '製造效能'!$E:$E=""攪料""), 1), INDEX(FILTER('製造效能'!U:U, '製造效能'!$B:$B=$D36, '製造效能'!$D:$D=$M36, '製造效能'!$E:$E=""攪料""), 1))"),"")</f>
        <v/>
      </c>
      <c r="AJ36" s="35" t="str">
        <f ca="1">IFERROR(__xludf.DUMMYFUNCTION("IFERROR(INDEX(FILTER('製造效能'!V:V, '製造效能'!$A:$A=$C36, '製造效能'!$D:$D=$M36, '製造效能'!$E:$E=""攪料""), 1), INDEX(FILTER('製造效能'!V:V, '製造效能'!$B:$B=$D36, '製造效能'!$D:$D=$M36, '製造效能'!$E:$E=""攪料""), 1))"),"")</f>
        <v/>
      </c>
      <c r="AK36" s="35">
        <f>COUNTIF(充填效能!$A:$A, $C36)</f>
        <v>2</v>
      </c>
      <c r="AL36" s="36" t="str">
        <f ca="1">IFERROR(__xludf.DUMMYFUNCTION("IFERROR(INDEX(FILTER('充填效能'!$Q$2:$Q$1088, '充填效能'!$A$2:$A$1088=$C36, '充填效能'!$D$2:$D$1088=""排瓶""), 1), 0)"),"600")</f>
        <v>600</v>
      </c>
      <c r="AM36" s="36">
        <f ca="1">IFERROR(__xludf.DUMMYFUNCTION("IFERROR(INDEX(FILTER('充填效能'!$R$2:$R$1088, '充填效能'!$A$2:$A$1088=$C36, '充填效能'!$D$2:$D$1088=""排瓶""), 1), 0)"),1)</f>
        <v>1</v>
      </c>
      <c r="AN36" s="35">
        <f t="shared" ca="1" si="5"/>
        <v>8.3333333333333339</v>
      </c>
      <c r="AO36" s="36" t="str">
        <f ca="1">IFERROR(__xludf.DUMMYFUNCTION("IFERROR(INDEX(FILTER('充填效能'!$Q$2:$Q$1088, '充填效能'!$A$2:$A$1088=$C36, '充填效能'!$D$2:$D$1088=""充填""), 1), 0)"),"700")</f>
        <v>700</v>
      </c>
      <c r="AP36" s="36">
        <f ca="1">IFERROR(__xludf.DUMMYFUNCTION("IFERROR(INDEX(FILTER('充填效能'!$R$2:$R$1088, '充填效能'!$A$2:$A$1088=$C36, '充填效能'!$D$2:$D$1088=""充填""), 1), 0)"),4)</f>
        <v>4</v>
      </c>
      <c r="AQ36" s="35">
        <f t="shared" ca="1" si="6"/>
        <v>7.1428571428571432</v>
      </c>
      <c r="AR36" s="17">
        <f t="shared" ca="1" si="7"/>
        <v>28.571428571428573</v>
      </c>
    </row>
    <row r="37" spans="1:44" ht="15.75" customHeight="1">
      <c r="A37" s="9" t="s">
        <v>128</v>
      </c>
      <c r="B37" s="34">
        <f t="shared" si="0"/>
        <v>45008</v>
      </c>
      <c r="C37" s="9" t="s">
        <v>111</v>
      </c>
      <c r="D37" s="17" t="str">
        <f t="shared" si="1"/>
        <v>N1N2F1</v>
      </c>
      <c r="E37" s="9" t="s">
        <v>112</v>
      </c>
      <c r="F37" s="9">
        <v>4478</v>
      </c>
      <c r="G37" s="10">
        <v>45072</v>
      </c>
      <c r="H37" s="10">
        <v>45065</v>
      </c>
      <c r="I37" s="10">
        <v>45050</v>
      </c>
      <c r="J37" s="10">
        <v>45056</v>
      </c>
      <c r="L37" s="17" t="str">
        <f ca="1">IFERROR(__xludf.DUMMYFUNCTION("TEXTJOIN("", "", TRUE, UNIQUE(FILTER('製造效能'!$D$2:$D$1732, '製造效能'!$B$2:$B$1732 = D37)))"),"小乳, 精")</f>
        <v>小乳, 精</v>
      </c>
      <c r="M37" s="17" t="str">
        <f ca="1">IFERROR(__xludf.DUMMYFUNCTION("INDEX(UNIQUE(FILTER('製造效能'!$D$2:$D$1732, ('製造效能'!$B$2:$B$1732 = D37) * ('製造效能'!$J$2:$J$1732 = MAXIFS('製造效能'!$J$2:$J$1732, '製造效能'!$B$2:$B$1732, D37)))), 1) 
"),"精")</f>
        <v>精</v>
      </c>
      <c r="N37" s="17" t="str">
        <f ca="1">IFERROR(__xludf.DUMMYFUNCTION("TEXTJOIN("", "", TRUE, UNIQUE(FILTER('製造效能'!$K$2:$K$1732, '製造效能'!$B$2:$B$1732 = D37)))"),"乳項")</f>
        <v>乳項</v>
      </c>
      <c r="P37" s="35" t="str">
        <f ca="1">IFERROR(__xludf.DUMMYFUNCTION("IFERROR(INDEX(FILTER('充填效能'!J$2:J$1088, '充填效能'!$A$2:$A$1088=$C37, '充填效能'!$D$2:$D$1088=""充填""), 1), 0)"),"")</f>
        <v/>
      </c>
      <c r="Q37" s="35" t="str">
        <f ca="1">IFERROR(__xludf.DUMMYFUNCTION("IFERROR(INDEX(FILTER('充填效能'!K$2:K$1088, '充填效能'!$A$2:$A$1088=$C37, '充填效能'!$D$2:$D$1088=""充填""), 1), 0)"),"")</f>
        <v/>
      </c>
      <c r="R37" s="35">
        <f ca="1">IFERROR(__xludf.DUMMYFUNCTION("IFERROR(INDEX(FILTER('充填效能'!I$2:I$1088, '充填效能'!$A$2:$A$1088=$C37, '充填效能'!$D$2:$D$1088=""充填""), 1), 0)"),370)</f>
        <v>370</v>
      </c>
      <c r="S37" s="35">
        <f ca="1">COUNTIFS(製造效能!B:B, $D37,製造效能!D:D,M37)</f>
        <v>3</v>
      </c>
      <c r="T37" s="36">
        <f ca="1">IFERROR(__xludf.DUMMYFUNCTION("VALUE(REGEXEXTRACT(TO_TEXT(R37), ""\d*\.?\d+""))"),370)</f>
        <v>370</v>
      </c>
      <c r="U37" s="17">
        <f t="shared" ca="1" si="2"/>
        <v>1681712.9</v>
      </c>
      <c r="V37" s="17">
        <f ca="1">IFERROR(__xludf.DUMMYFUNCTION("IFERROR(INDEX(FILTER('製造效能'!J:J, '製造效能'!A:A=$C37, '製造效能'!D:D=M37, '製造效能'!E:E=""攪料""), 1), INDEX(FILTER('製造效能'!J:J, '製造效能'!B:B=$D37, '製造效能'!D:D=M37, '製造效能'!E:E=""攪料""), 1))"),100)</f>
        <v>100</v>
      </c>
      <c r="W37" s="36">
        <f ca="1">IFERROR(__xludf.DUMMYFUNCTION("IFERROR(INDEX(FILTER('製造效能'!G:G, '製造效能'!A:A=$C37, '製造效能'!D:D=M37, '製造效能'!E:E=""攪料""), 1), INDEX(FILTER('製造效能'!G:G, '製造效能'!B:B=$D37, '製造效能'!D:D=M37, '製造效能'!E:E=""攪料""), 1))"),60)</f>
        <v>60</v>
      </c>
      <c r="X37" s="35">
        <f t="shared" ca="1" si="3"/>
        <v>17</v>
      </c>
      <c r="Y37" s="35">
        <f t="shared" ca="1" si="4"/>
        <v>1020</v>
      </c>
      <c r="Z37" s="35">
        <f ca="1">IFERROR(__xludf.DUMMYFUNCTION("IFERROR(IFERROR(INDEX(FILTER('製造效能'!G:G, '製造效能'!A:A=$C37, '製造效能'!D:D=M37, '製造效能'!E:E=""預攪""), 1), INDEX(FILTER('製造效能'!G:G, '製造效能'!B:B=$D37, '製造效能'!D:D=M37, '製造效能'!E:E=""預攪""), 1)), 0)"),75)</f>
        <v>75</v>
      </c>
      <c r="AA37" s="35">
        <f ca="1">IFERROR(__xludf.DUMMYFUNCTION("IFERROR(INDEX(FILTER('製造效能'!G:G, '製造效能'!A:A=$C37, '製造效能'!D:D=M37, '製造效能'!E:E=""清洗""), 1), INDEX(FILTER('製造效能'!G:G, '製造效能'!B:B=$D37, '製造效能'!D:D=M37, '製造效能'!E:E=""清洗""), 1))"),10)</f>
        <v>10</v>
      </c>
      <c r="AB37" s="35" t="str">
        <f ca="1">IFERROR(__xludf.DUMMYFUNCTION("IFERROR(INDEX(FILTER('製造效能'!N:N, '製造效能'!$A:$A=$C37, '製造效能'!$D:$D=$M37, '製造效能'!$E:$E=""攪料""), 1), INDEX(FILTER('製造效能'!N:N, '製造效能'!$B:$B=$D37, '製造效能'!$D:$D=$M37, '製造效能'!$E:$E=""攪料""), 1))"),"")</f>
        <v/>
      </c>
      <c r="AC37" s="35">
        <f ca="1">IFERROR(__xludf.DUMMYFUNCTION("IFERROR(INDEX(FILTER('製造效能'!O:O, '製造效能'!$A:$A=$C37, '製造效能'!$D:$D=$M37, '製造效能'!$E:$E=""攪料""), 1), INDEX(FILTER('製造效能'!O:O, '製造效能'!$B:$B=$D37, '製造效能'!$D:$D=$M37, '製造效能'!$E:$E=""攪料""), 1))"),1)</f>
        <v>1</v>
      </c>
      <c r="AD37" s="35" t="str">
        <f ca="1">IFERROR(__xludf.DUMMYFUNCTION("IFERROR(INDEX(FILTER('製造效能'!P:P, '製造效能'!$A:$A=$C37, '製造效能'!$D:$D=$M37, '製造效能'!$E:$E=""攪料""), 1), INDEX(FILTER('製造效能'!P:P, '製造效能'!$B:$B=$D37, '製造效能'!$D:$D=$M37, '製造效能'!$E:$E=""攪料""), 1))"),"")</f>
        <v/>
      </c>
      <c r="AE37" s="35" t="str">
        <f ca="1">IFERROR(__xludf.DUMMYFUNCTION("IFERROR(INDEX(FILTER('製造效能'!Q:Q, '製造效能'!$A:$A=$C37, '製造效能'!$D:$D=$M37, '製造效能'!$E:$E=""攪料""), 1), INDEX(FILTER('製造效能'!Q:Q, '製造效能'!$B:$B=$D37, '製造效能'!$D:$D=$M37, '製造效能'!$E:$E=""攪料""), 1))"),"")</f>
        <v/>
      </c>
      <c r="AF37" s="35" t="str">
        <f ca="1">IFERROR(__xludf.DUMMYFUNCTION("IFERROR(INDEX(FILTER('製造效能'!R:R, '製造效能'!$A:$A=$C37, '製造效能'!$D:$D=$M37, '製造效能'!$E:$E=""攪料""), 1), INDEX(FILTER('製造效能'!R:R, '製造效能'!$B:$B=$D37, '製造效能'!$D:$D=$M37, '製造效能'!$E:$E=""攪料""), 1))"),"")</f>
        <v/>
      </c>
      <c r="AG37" s="35" t="str">
        <f ca="1">IFERROR(__xludf.DUMMYFUNCTION("IFERROR(INDEX(FILTER('製造效能'!S:S, '製造效能'!$A:$A=$C37, '製造效能'!$D:$D=$M37, '製造效能'!$E:$E=""攪料""), 1), INDEX(FILTER('製造效能'!S:S, '製造效能'!$B:$B=$D37, '製造效能'!$D:$D=$M37, '製造效能'!$E:$E=""攪料""), 1))"),"")</f>
        <v/>
      </c>
      <c r="AH37" s="35" t="str">
        <f ca="1">IFERROR(__xludf.DUMMYFUNCTION("IFERROR(INDEX(FILTER('製造效能'!T:T, '製造效能'!$A:$A=$C37, '製造效能'!$D:$D=$M37, '製造效能'!$E:$E=""攪料""), 1), INDEX(FILTER('製造效能'!T:T, '製造效能'!$B:$B=$D37, '製造效能'!$D:$D=$M37, '製造效能'!$E:$E=""攪料""), 1))"),"")</f>
        <v/>
      </c>
      <c r="AI37" s="35" t="str">
        <f ca="1">IFERROR(__xludf.DUMMYFUNCTION("IFERROR(INDEX(FILTER('製造效能'!U:U, '製造效能'!$A:$A=$C37, '製造效能'!$D:$D=$M37, '製造效能'!$E:$E=""攪料""), 1), INDEX(FILTER('製造效能'!U:U, '製造效能'!$B:$B=$D37, '製造效能'!$D:$D=$M37, '製造效能'!$E:$E=""攪料""), 1))"),"")</f>
        <v/>
      </c>
      <c r="AJ37" s="35" t="str">
        <f ca="1">IFERROR(__xludf.DUMMYFUNCTION("IFERROR(INDEX(FILTER('製造效能'!V:V, '製造效能'!$A:$A=$C37, '製造效能'!$D:$D=$M37, '製造效能'!$E:$E=""攪料""), 1), INDEX(FILTER('製造效能'!V:V, '製造效能'!$B:$B=$D37, '製造效能'!$D:$D=$M37, '製造效能'!$E:$E=""攪料""), 1))"),"")</f>
        <v/>
      </c>
      <c r="AK37" s="35">
        <f>COUNTIF(充填效能!$A:$A, $C37)</f>
        <v>2</v>
      </c>
      <c r="AL37" s="36" t="str">
        <f ca="1">IFERROR(__xludf.DUMMYFUNCTION("IFERROR(INDEX(FILTER('充填效能'!$Q$2:$Q$1088, '充填效能'!$A$2:$A$1088=$C37, '充填效能'!$D$2:$D$1088=""排瓶""), 1), 0)"),"570")</f>
        <v>570</v>
      </c>
      <c r="AM37" s="36">
        <f ca="1">IFERROR(__xludf.DUMMYFUNCTION("IFERROR(INDEX(FILTER('充填效能'!$R$2:$R$1088, '充填效能'!$A$2:$A$1088=$C37, '充填效能'!$D$2:$D$1088=""排瓶""), 1), 0)"),1)</f>
        <v>1</v>
      </c>
      <c r="AN37" s="35">
        <f t="shared" ca="1" si="5"/>
        <v>7.856140350877193</v>
      </c>
      <c r="AO37" s="36" t="str">
        <f ca="1">IFERROR(__xludf.DUMMYFUNCTION("IFERROR(INDEX(FILTER('充填效能'!$Q$2:$Q$1088, '充填效能'!$A$2:$A$1088=$C37, '充填效能'!$D$2:$D$1088=""充填""), 1), 0)"),"480")</f>
        <v>480</v>
      </c>
      <c r="AP37" s="36">
        <f ca="1">IFERROR(__xludf.DUMMYFUNCTION("IFERROR(INDEX(FILTER('充填效能'!$R$2:$R$1088, '充填效能'!$A$2:$A$1088=$C37, '充填效能'!$D$2:$D$1088=""充填""), 1), 0)"),4)</f>
        <v>4</v>
      </c>
      <c r="AQ37" s="35">
        <f t="shared" ca="1" si="6"/>
        <v>9.3291666666666675</v>
      </c>
      <c r="AR37" s="17">
        <f t="shared" ca="1" si="7"/>
        <v>37.31666666666667</v>
      </c>
    </row>
    <row r="38" spans="1:44" ht="15.75" customHeight="1">
      <c r="A38" s="9" t="s">
        <v>134</v>
      </c>
      <c r="B38" s="34">
        <f t="shared" si="0"/>
        <v>44960</v>
      </c>
      <c r="C38" s="9" t="s">
        <v>136</v>
      </c>
      <c r="D38" s="17" t="str">
        <f t="shared" si="1"/>
        <v>AB17C1</v>
      </c>
      <c r="E38" s="9" t="s">
        <v>137</v>
      </c>
      <c r="F38" s="9">
        <v>2000</v>
      </c>
      <c r="G38" s="10">
        <v>45070</v>
      </c>
      <c r="H38" s="37">
        <v>45069</v>
      </c>
      <c r="I38" s="10">
        <v>45023</v>
      </c>
      <c r="J38" s="10">
        <v>45065</v>
      </c>
      <c r="L38" s="17" t="str">
        <f ca="1">IFERROR(__xludf.DUMMYFUNCTION("TEXTJOIN("", "", TRUE, UNIQUE(FILTER('製造效能'!$D$2:$D$1732, '製造效能'!$B$2:$B$1732 = D38)))"),"大")</f>
        <v>大</v>
      </c>
      <c r="M38" s="17" t="str">
        <f ca="1">IFERROR(__xludf.DUMMYFUNCTION("INDEX(UNIQUE(FILTER('製造效能'!$D$2:$D$1732, ('製造效能'!$B$2:$B$1732 = D38) * ('製造效能'!$J$2:$J$1732 = MAXIFS('製造效能'!$J$2:$J$1732, '製造效能'!$B$2:$B$1732, D38)))), 1) 
"),"大")</f>
        <v>大</v>
      </c>
      <c r="N38" s="17" t="str">
        <f ca="1">IFERROR(__xludf.DUMMYFUNCTION("TEXTJOIN("", "", TRUE, UNIQUE(FILTER('製造效能'!$K$2:$K$1732, '製造效能'!$B$2:$B$1732 = D38)))"),"水項")</f>
        <v>水項</v>
      </c>
      <c r="O38" s="35">
        <f ca="1">IFERROR(__xludf.DUMMYFUNCTION("IFERROR(INDEX(FILTER('充填效能'!I$2:I$1088, '充填效能'!$A$2:$A$1088=$C38, '充填效能'!$D$2:$D$1088=""充填""), 1), 0)"),120)</f>
        <v>120</v>
      </c>
      <c r="P38" s="35" t="str">
        <f ca="1">IFERROR(__xludf.DUMMYFUNCTION("IFERROR(INDEX(FILTER('充填效能'!J$2:J$1088, '充填效能'!$A$2:$A$1088=$C38, '充填效能'!$D$2:$D$1088=""充填""), 1), 0)"),"")</f>
        <v/>
      </c>
      <c r="Q38" s="35" t="str">
        <f ca="1">IFERROR(__xludf.DUMMYFUNCTION("IFERROR(INDEX(FILTER('充填效能'!K$2:K$1088, '充填效能'!$A$2:$A$1088=$C38, '充填效能'!$D$2:$D$1088=""充填""), 1), 0)"),"")</f>
        <v/>
      </c>
      <c r="R38" s="35" t="str">
        <f ca="1">IFERROR(__xludf.DUMMYFUNCTION("IFERROR(INDEX(FILTER('充填效能'!L$2:L$1088, '充填效能'!$A$2:$A$1088=$C38, '充填效能'!$D$2:$D$1088=""充填""), 1), 0)"),"")</f>
        <v/>
      </c>
      <c r="S38" s="35">
        <f ca="1">COUNTIFS(製造效能!B:B, $D38,製造效能!D:D,M38)</f>
        <v>3</v>
      </c>
      <c r="T38" s="36">
        <f ca="1">IFERROR(__xludf.DUMMYFUNCTION("VALUE(REGEXEXTRACT(TO_TEXT(O38), ""\d*\.?\d+""))"),120)</f>
        <v>120</v>
      </c>
      <c r="U38" s="17">
        <f t="shared" ca="1" si="2"/>
        <v>243599.99999999997</v>
      </c>
      <c r="V38" s="17">
        <f ca="1">IFERROR(__xludf.DUMMYFUNCTION("IFERROR(INDEX(FILTER('製造效能'!J:J, '製造效能'!A:A=$C38, '製造效能'!D:D=M38, '製造效能'!E:E=""攪料""), 1), INDEX(FILTER('製造效能'!J:J, '製造效能'!B:B=$D38, '製造效能'!D:D=M38, '製造效能'!E:E=""攪料""), 1))"),248)</f>
        <v>248</v>
      </c>
      <c r="W38" s="36">
        <f ca="1">IFERROR(__xludf.DUMMYFUNCTION("IFERROR(INDEX(FILTER('製造效能'!G:G, '製造效能'!A:A=$C38, '製造效能'!D:D=M38, '製造效能'!E:E=""攪料""), 1), INDEX(FILTER('製造效能'!G:G, '製造效能'!B:B=$D38, '製造效能'!D:D=M38, '製造效能'!E:E=""攪料""), 1))"),120)</f>
        <v>120</v>
      </c>
      <c r="X38" s="35">
        <f t="shared" ca="1" si="3"/>
        <v>1</v>
      </c>
      <c r="Y38" s="35">
        <f t="shared" ca="1" si="4"/>
        <v>120</v>
      </c>
      <c r="Z38" s="35">
        <f ca="1">IFERROR(__xludf.DUMMYFUNCTION("IFERROR(IFERROR(INDEX(FILTER('製造效能'!G:G, '製造效能'!A:A=$C38, '製造效能'!D:D=M38, '製造效能'!E:E=""預攪""), 1), INDEX(FILTER('製造效能'!G:G, '製造效能'!B:B=$D38, '製造效能'!D:D=M38, '製造效能'!E:E=""預攪""), 1)), 0)"),30)</f>
        <v>30</v>
      </c>
      <c r="AA38" s="35">
        <f ca="1">IFERROR(__xludf.DUMMYFUNCTION("IFERROR(INDEX(FILTER('製造效能'!G:G, '製造效能'!A:A=$C38, '製造效能'!D:D=M38, '製造效能'!E:E=""清洗""), 1), INDEX(FILTER('製造效能'!G:G, '製造效能'!B:B=$D38, '製造效能'!D:D=M38, '製造效能'!E:E=""清洗""), 1))"),30)</f>
        <v>30</v>
      </c>
      <c r="AB38" s="35" t="str">
        <f ca="1">IFERROR(__xludf.DUMMYFUNCTION("IFERROR(INDEX(FILTER('製造效能'!N:N, '製造效能'!$A:$A=$C38, '製造效能'!$D:$D=$M38, '製造效能'!$E:$E=""攪料""), 1), INDEX(FILTER('製造效能'!N:N, '製造效能'!$B:$B=$D38, '製造效能'!$D:$D=$M38, '製造效能'!$E:$E=""攪料""), 1))"),"")</f>
        <v/>
      </c>
      <c r="AC38" s="35" t="str">
        <f ca="1">IFERROR(__xludf.DUMMYFUNCTION("IFERROR(INDEX(FILTER('製造效能'!O:O, '製造效能'!$A:$A=$C38, '製造效能'!$D:$D=$M38, '製造效能'!$E:$E=""攪料""), 1), INDEX(FILTER('製造效能'!O:O, '製造效能'!$B:$B=$D38, '製造效能'!$D:$D=$M38, '製造效能'!$E:$E=""攪料""), 1))"),"")</f>
        <v/>
      </c>
      <c r="AD38" s="35" t="str">
        <f ca="1">IFERROR(__xludf.DUMMYFUNCTION("IFERROR(INDEX(FILTER('製造效能'!P:P, '製造效能'!$A:$A=$C38, '製造效能'!$D:$D=$M38, '製造效能'!$E:$E=""攪料""), 1), INDEX(FILTER('製造效能'!P:P, '製造效能'!$B:$B=$D38, '製造效能'!$D:$D=$M38, '製造效能'!$E:$E=""攪料""), 1))"),"")</f>
        <v/>
      </c>
      <c r="AE38" s="35" t="str">
        <f ca="1">IFERROR(__xludf.DUMMYFUNCTION("IFERROR(INDEX(FILTER('製造效能'!Q:Q, '製造效能'!$A:$A=$C38, '製造效能'!$D:$D=$M38, '製造效能'!$E:$E=""攪料""), 1), INDEX(FILTER('製造效能'!Q:Q, '製造效能'!$B:$B=$D38, '製造效能'!$D:$D=$M38, '製造效能'!$E:$E=""攪料""), 1))"),"")</f>
        <v/>
      </c>
      <c r="AF38" s="35" t="str">
        <f ca="1">IFERROR(__xludf.DUMMYFUNCTION("IFERROR(INDEX(FILTER('製造效能'!R:R, '製造效能'!$A:$A=$C38, '製造效能'!$D:$D=$M38, '製造效能'!$E:$E=""攪料""), 1), INDEX(FILTER('製造效能'!R:R, '製造效能'!$B:$B=$D38, '製造效能'!$D:$D=$M38, '製造效能'!$E:$E=""攪料""), 1))"),"")</f>
        <v/>
      </c>
      <c r="AG38" s="35">
        <f ca="1">IFERROR(__xludf.DUMMYFUNCTION("IFERROR(INDEX(FILTER('製造效能'!S:S, '製造效能'!$A:$A=$C38, '製造效能'!$D:$D=$M38, '製造效能'!$E:$E=""攪料""), 1), INDEX(FILTER('製造效能'!S:S, '製造效能'!$B:$B=$D38, '製造效能'!$D:$D=$M38, '製造效能'!$E:$E=""攪料""), 1))"),1)</f>
        <v>1</v>
      </c>
      <c r="AH38" s="35" t="str">
        <f ca="1">IFERROR(__xludf.DUMMYFUNCTION("IFERROR(INDEX(FILTER('製造效能'!T:T, '製造效能'!$A:$A=$C38, '製造效能'!$D:$D=$M38, '製造效能'!$E:$E=""攪料""), 1), INDEX(FILTER('製造效能'!T:T, '製造效能'!$B:$B=$D38, '製造效能'!$D:$D=$M38, '製造效能'!$E:$E=""攪料""), 1))"),"")</f>
        <v/>
      </c>
      <c r="AI38" s="35" t="str">
        <f ca="1">IFERROR(__xludf.DUMMYFUNCTION("IFERROR(INDEX(FILTER('製造效能'!U:U, '製造效能'!$A:$A=$C38, '製造效能'!$D:$D=$M38, '製造效能'!$E:$E=""攪料""), 1), INDEX(FILTER('製造效能'!U:U, '製造效能'!$B:$B=$D38, '製造效能'!$D:$D=$M38, '製造效能'!$E:$E=""攪料""), 1))"),"")</f>
        <v/>
      </c>
      <c r="AJ38" s="35" t="str">
        <f ca="1">IFERROR(__xludf.DUMMYFUNCTION("IFERROR(INDEX(FILTER('製造效能'!V:V, '製造效能'!$A:$A=$C38, '製造效能'!$D:$D=$M38, '製造效能'!$E:$E=""攪料""), 1), INDEX(FILTER('製造效能'!V:V, '製造效能'!$B:$B=$D38, '製造效能'!$D:$D=$M38, '製造效能'!$E:$E=""攪料""), 1))"),"")</f>
        <v/>
      </c>
      <c r="AK38" s="35">
        <f>COUNTIF(充填效能!$A:$A, $C38)</f>
        <v>2</v>
      </c>
      <c r="AL38" s="36" t="str">
        <f ca="1">IFERROR(__xludf.DUMMYFUNCTION("IFERROR(INDEX(FILTER('充填效能'!$Q$2:$Q$1088, '充填效能'!$A$2:$A$1088=$C38, '充填效能'!$D$2:$D$1088=""排瓶""), 1), 0)"),"440")</f>
        <v>440</v>
      </c>
      <c r="AM38" s="36">
        <f ca="1">IFERROR(__xludf.DUMMYFUNCTION("IFERROR(INDEX(FILTER('充填效能'!$R$2:$R$1088, '充填效能'!$A$2:$A$1088=$C38, '充填效能'!$D$2:$D$1088=""排瓶""), 1), 0)"),1)</f>
        <v>1</v>
      </c>
      <c r="AN38" s="35">
        <f t="shared" ca="1" si="5"/>
        <v>4.5454545454545459</v>
      </c>
      <c r="AO38" s="36" t="str">
        <f ca="1">IFERROR(__xludf.DUMMYFUNCTION("IFERROR(INDEX(FILTER('充填效能'!$Q$2:$Q$1088, '充填效能'!$A$2:$A$1088=$C38, '充填效能'!$D$2:$D$1088=""充填""), 1), 0)"),"600")</f>
        <v>600</v>
      </c>
      <c r="AP38" s="36">
        <f ca="1">IFERROR(__xludf.DUMMYFUNCTION("IFERROR(INDEX(FILTER('充填效能'!$R$2:$R$1088, '充填效能'!$A$2:$A$1088=$C38, '充填效能'!$D$2:$D$1088=""充填""), 1), 0)"),4)</f>
        <v>4</v>
      </c>
      <c r="AQ38" s="35">
        <f t="shared" ca="1" si="6"/>
        <v>3.3333333333333335</v>
      </c>
      <c r="AR38" s="17">
        <f t="shared" ca="1" si="7"/>
        <v>13.333333333333334</v>
      </c>
    </row>
    <row r="39" spans="1:44" ht="15.75" customHeight="1">
      <c r="A39" s="9" t="s">
        <v>138</v>
      </c>
      <c r="B39" s="34">
        <f t="shared" si="0"/>
        <v>45043</v>
      </c>
      <c r="C39" s="9" t="s">
        <v>129</v>
      </c>
      <c r="D39" s="17" t="str">
        <f t="shared" si="1"/>
        <v>N1UVH8</v>
      </c>
      <c r="E39" s="9" t="s">
        <v>130</v>
      </c>
      <c r="F39" s="9">
        <v>10000</v>
      </c>
      <c r="G39" s="10">
        <v>45077</v>
      </c>
      <c r="H39" s="10">
        <v>45069</v>
      </c>
      <c r="I39" s="10">
        <v>45034</v>
      </c>
      <c r="J39" s="10">
        <v>45054</v>
      </c>
      <c r="L39" s="17" t="str">
        <f ca="1">IFERROR(__xludf.DUMMYFUNCTION("TEXTJOIN("", "", TRUE, UNIQUE(FILTER('製造效能'!$D$2:$D$1732, '製造效能'!$B$2:$B$1732 = D39)))"),"精")</f>
        <v>精</v>
      </c>
      <c r="M39" s="17" t="str">
        <f ca="1">IFERROR(__xludf.DUMMYFUNCTION("INDEX(UNIQUE(FILTER('製造效能'!$D$2:$D$1732, ('製造效能'!$B$2:$B$1732 = D39) * ('製造效能'!$J$2:$J$1732 = MAXIFS('製造效能'!$J$2:$J$1732, '製造效能'!$B$2:$B$1732, D39)))), 1) 
"),"精")</f>
        <v>精</v>
      </c>
      <c r="N39" s="17" t="str">
        <f ca="1">IFERROR(__xludf.DUMMYFUNCTION("TEXTJOIN("", "", TRUE, UNIQUE(FILTER('製造效能'!$K$2:$K$1732, '製造效能'!$B$2:$B$1732 = D39)))"),"乳項")</f>
        <v>乳項</v>
      </c>
      <c r="P39" s="35" t="str">
        <f ca="1">IFERROR(__xludf.DUMMYFUNCTION("IFERROR(INDEX(FILTER('充填效能'!J$2:J$1088, '充填效能'!$A$2:$A$1088=$C39, '充填效能'!$D$2:$D$1088=""充填""), 1), 0)"),"")</f>
        <v/>
      </c>
      <c r="Q39" s="35" t="str">
        <f ca="1">IFERROR(__xludf.DUMMYFUNCTION("IFERROR(INDEX(FILTER('充填效能'!K$2:K$1088, '充填效能'!$A$2:$A$1088=$C39, '充填效能'!$D$2:$D$1088=""充填""), 1), 0)"),"")</f>
        <v/>
      </c>
      <c r="R39" s="35">
        <f ca="1">IFERROR(__xludf.DUMMYFUNCTION("IFERROR(INDEX(FILTER('充填效能'!I$2:I$1088, '充填效能'!$A$2:$A$1088=$C39, '充填效能'!$D$2:$D$1088=""充填""), 1), 0)"),50)</f>
        <v>50</v>
      </c>
      <c r="S39" s="35">
        <f ca="1">COUNTIFS(製造效能!B:B, $D39,製造效能!D:D,M39)</f>
        <v>3</v>
      </c>
      <c r="T39" s="36">
        <f ca="1">IFERROR(__xludf.DUMMYFUNCTION("VALUE(REGEXEXTRACT(TO_TEXT(R39), ""\d*\.?\d+""))"),50)</f>
        <v>50</v>
      </c>
      <c r="U39" s="17">
        <f t="shared" ca="1" si="2"/>
        <v>507499.99999999994</v>
      </c>
      <c r="V39" s="17">
        <f ca="1">IFERROR(__xludf.DUMMYFUNCTION("IFERROR(INDEX(FILTER('製造效能'!J:J, '製造效能'!A:A=$C39, '製造效能'!D:D=M39, '製造效能'!E:E=""攪料""), 1), INDEX(FILTER('製造效能'!J:J, '製造效能'!B:B=$D39, '製造效能'!D:D=M39, '製造效能'!E:E=""攪料""), 1))"),76)</f>
        <v>76</v>
      </c>
      <c r="W39" s="36">
        <f ca="1">IFERROR(__xludf.DUMMYFUNCTION("IFERROR(INDEX(FILTER('製造效能'!G:G, '製造效能'!A:A=$C39, '製造效能'!D:D=M39, '製造效能'!E:E=""攪料""), 1), INDEX(FILTER('製造效能'!G:G, '製造效能'!B:B=$D39, '製造效能'!D:D=M39, '製造效能'!E:E=""攪料""), 1))"),80)</f>
        <v>80</v>
      </c>
      <c r="X39" s="35">
        <f t="shared" ca="1" si="3"/>
        <v>7</v>
      </c>
      <c r="Y39" s="35">
        <f t="shared" ca="1" si="4"/>
        <v>560</v>
      </c>
      <c r="Z39" s="35">
        <f ca="1">IFERROR(__xludf.DUMMYFUNCTION("IFERROR(IFERROR(INDEX(FILTER('製造效能'!G:G, '製造效能'!A:A=$C39, '製造效能'!D:D=M39, '製造效能'!E:E=""預攪""), 1), INDEX(FILTER('製造效能'!G:G, '製造效能'!B:B=$D39, '製造效能'!D:D=M39, '製造效能'!E:E=""預攪""), 1)), 0)"),95)</f>
        <v>95</v>
      </c>
      <c r="AA39" s="35">
        <f ca="1">IFERROR(__xludf.DUMMYFUNCTION("IFERROR(INDEX(FILTER('製造效能'!G:G, '製造效能'!A:A=$C39, '製造效能'!D:D=M39, '製造效能'!E:E=""清洗""), 1), INDEX(FILTER('製造效能'!G:G, '製造效能'!B:B=$D39, '製造效能'!D:D=M39, '製造效能'!E:E=""清洗""), 1))"),30)</f>
        <v>30</v>
      </c>
      <c r="AB39" s="35" t="str">
        <f ca="1">IFERROR(__xludf.DUMMYFUNCTION("IFERROR(INDEX(FILTER('製造效能'!N:N, '製造效能'!$A:$A=$C39, '製造效能'!$D:$D=$M39, '製造效能'!$E:$E=""攪料""), 1), INDEX(FILTER('製造效能'!N:N, '製造效能'!$B:$B=$D39, '製造效能'!$D:$D=$M39, '製造效能'!$E:$E=""攪料""), 1))"),"")</f>
        <v/>
      </c>
      <c r="AC39" s="35">
        <f ca="1">IFERROR(__xludf.DUMMYFUNCTION("IFERROR(INDEX(FILTER('製造效能'!O:O, '製造效能'!$A:$A=$C39, '製造效能'!$D:$D=$M39, '製造效能'!$E:$E=""攪料""), 1), INDEX(FILTER('製造效能'!O:O, '製造效能'!$B:$B=$D39, '製造效能'!$D:$D=$M39, '製造效能'!$E:$E=""攪料""), 1))"),1)</f>
        <v>1</v>
      </c>
      <c r="AD39" s="35" t="str">
        <f ca="1">IFERROR(__xludf.DUMMYFUNCTION("IFERROR(INDEX(FILTER('製造效能'!P:P, '製造效能'!$A:$A=$C39, '製造效能'!$D:$D=$M39, '製造效能'!$E:$E=""攪料""), 1), INDEX(FILTER('製造效能'!P:P, '製造效能'!$B:$B=$D39, '製造效能'!$D:$D=$M39, '製造效能'!$E:$E=""攪料""), 1))"),"")</f>
        <v/>
      </c>
      <c r="AE39" s="35" t="str">
        <f ca="1">IFERROR(__xludf.DUMMYFUNCTION("IFERROR(INDEX(FILTER('製造效能'!Q:Q, '製造效能'!$A:$A=$C39, '製造效能'!$D:$D=$M39, '製造效能'!$E:$E=""攪料""), 1), INDEX(FILTER('製造效能'!Q:Q, '製造效能'!$B:$B=$D39, '製造效能'!$D:$D=$M39, '製造效能'!$E:$E=""攪料""), 1))"),"")</f>
        <v/>
      </c>
      <c r="AF39" s="35" t="str">
        <f ca="1">IFERROR(__xludf.DUMMYFUNCTION("IFERROR(INDEX(FILTER('製造效能'!R:R, '製造效能'!$A:$A=$C39, '製造效能'!$D:$D=$M39, '製造效能'!$E:$E=""攪料""), 1), INDEX(FILTER('製造效能'!R:R, '製造效能'!$B:$B=$D39, '製造效能'!$D:$D=$M39, '製造效能'!$E:$E=""攪料""), 1))"),"")</f>
        <v/>
      </c>
      <c r="AG39" s="35" t="str">
        <f ca="1">IFERROR(__xludf.DUMMYFUNCTION("IFERROR(INDEX(FILTER('製造效能'!S:S, '製造效能'!$A:$A=$C39, '製造效能'!$D:$D=$M39, '製造效能'!$E:$E=""攪料""), 1), INDEX(FILTER('製造效能'!S:S, '製造效能'!$B:$B=$D39, '製造效能'!$D:$D=$M39, '製造效能'!$E:$E=""攪料""), 1))"),"")</f>
        <v/>
      </c>
      <c r="AH39" s="35" t="str">
        <f ca="1">IFERROR(__xludf.DUMMYFUNCTION("IFERROR(INDEX(FILTER('製造效能'!T:T, '製造效能'!$A:$A=$C39, '製造效能'!$D:$D=$M39, '製造效能'!$E:$E=""攪料""), 1), INDEX(FILTER('製造效能'!T:T, '製造效能'!$B:$B=$D39, '製造效能'!$D:$D=$M39, '製造效能'!$E:$E=""攪料""), 1))"),"")</f>
        <v/>
      </c>
      <c r="AI39" s="35" t="str">
        <f ca="1">IFERROR(__xludf.DUMMYFUNCTION("IFERROR(INDEX(FILTER('製造效能'!U:U, '製造效能'!$A:$A=$C39, '製造效能'!$D:$D=$M39, '製造效能'!$E:$E=""攪料""), 1), INDEX(FILTER('製造效能'!U:U, '製造效能'!$B:$B=$D39, '製造效能'!$D:$D=$M39, '製造效能'!$E:$E=""攪料""), 1))"),"")</f>
        <v/>
      </c>
      <c r="AJ39" s="35" t="str">
        <f ca="1">IFERROR(__xludf.DUMMYFUNCTION("IFERROR(INDEX(FILTER('製造效能'!V:V, '製造效能'!$A:$A=$C39, '製造效能'!$D:$D=$M39, '製造效能'!$E:$E=""攪料""), 1), INDEX(FILTER('製造效能'!V:V, '製造效能'!$B:$B=$D39, '製造效能'!$D:$D=$M39, '製造效能'!$E:$E=""攪料""), 1))"),"")</f>
        <v/>
      </c>
      <c r="AK39" s="35">
        <f>COUNTIF(充填效能!$A:$A, $C39)</f>
        <v>2</v>
      </c>
      <c r="AL39" s="36" t="str">
        <f ca="1">IFERROR(__xludf.DUMMYFUNCTION("IFERROR(INDEX(FILTER('充填效能'!$Q$2:$Q$1088, '充填效能'!$A$2:$A$1088=$C39, '充填效能'!$D$2:$D$1088=""排瓶""), 1), 0)"),"1100")</f>
        <v>1100</v>
      </c>
      <c r="AM39" s="36">
        <f ca="1">IFERROR(__xludf.DUMMYFUNCTION("IFERROR(INDEX(FILTER('充填效能'!$R$2:$R$1088, '充填效能'!$A$2:$A$1088=$C39, '充填效能'!$D$2:$D$1088=""排瓶""), 1), 0)"),1)</f>
        <v>1</v>
      </c>
      <c r="AN39" s="35">
        <f t="shared" ca="1" si="5"/>
        <v>9.0909090909090917</v>
      </c>
      <c r="AO39" s="36" t="str">
        <f ca="1">IFERROR(__xludf.DUMMYFUNCTION("IFERROR(INDEX(FILTER('充填效能'!$Q$2:$Q$1088, '充填效能'!$A$2:$A$1088=$C39, '充填效能'!$D$2:$D$1088=""充填""), 1), 0)"),"900")</f>
        <v>900</v>
      </c>
      <c r="AP39" s="36">
        <f ca="1">IFERROR(__xludf.DUMMYFUNCTION("IFERROR(INDEX(FILTER('充填效能'!$R$2:$R$1088, '充填效能'!$A$2:$A$1088=$C39, '充填效能'!$D$2:$D$1088=""充填""), 1), 0)"),4)</f>
        <v>4</v>
      </c>
      <c r="AQ39" s="35">
        <f t="shared" ca="1" si="6"/>
        <v>11.111111111111111</v>
      </c>
      <c r="AR39" s="17">
        <f t="shared" ca="1" si="7"/>
        <v>44.444444444444443</v>
      </c>
    </row>
    <row r="40" spans="1:44" ht="15.75" customHeight="1">
      <c r="A40" s="9" t="s">
        <v>144</v>
      </c>
      <c r="B40" s="34">
        <f t="shared" si="0"/>
        <v>44904</v>
      </c>
      <c r="C40" s="9" t="s">
        <v>114</v>
      </c>
      <c r="D40" s="17" t="str">
        <f t="shared" si="1"/>
        <v>HM23D1</v>
      </c>
      <c r="E40" s="9" t="s">
        <v>115</v>
      </c>
      <c r="F40" s="9">
        <v>2000</v>
      </c>
      <c r="G40" s="10">
        <v>45072</v>
      </c>
      <c r="H40" s="10">
        <v>45070</v>
      </c>
      <c r="I40" s="10">
        <v>45051</v>
      </c>
      <c r="J40" s="10">
        <v>45063</v>
      </c>
      <c r="L40" s="17" t="str">
        <f ca="1">IFERROR(__xludf.DUMMYFUNCTION("TEXTJOIN("", "", TRUE, UNIQUE(FILTER('製造效能'!$D$2:$D$1732, '製造效能'!$B$2:$B$1732 = D40)))"),"精")</f>
        <v>精</v>
      </c>
      <c r="M40" s="17" t="str">
        <f ca="1">IFERROR(__xludf.DUMMYFUNCTION("INDEX(UNIQUE(FILTER('製造效能'!$D$2:$D$1732, ('製造效能'!$B$2:$B$1732 = D40) * ('製造效能'!$J$2:$J$1732 = MAXIFS('製造效能'!$J$2:$J$1732, '製造效能'!$B$2:$B$1732, D40)))), 1) 
"),"精")</f>
        <v>精</v>
      </c>
      <c r="N40" s="17" t="str">
        <f ca="1">IFERROR(__xludf.DUMMYFUNCTION("TEXTJOIN("", "", TRUE, UNIQUE(FILTER('製造效能'!$K$2:$K$1732, '製造效能'!$B$2:$B$1732 = D40)))"),"水項")</f>
        <v>水項</v>
      </c>
      <c r="O40" s="35">
        <f ca="1">IFERROR(__xludf.DUMMYFUNCTION("IFERROR(INDEX(FILTER('充填效能'!I$2:I$1088, '充填效能'!$A$2:$A$1088=$C40, '充填效能'!$D$2:$D$1088=""充填""), 1), 0)"),32.4)</f>
        <v>32.4</v>
      </c>
      <c r="P40" s="35" t="str">
        <f ca="1">IFERROR(__xludf.DUMMYFUNCTION("IFERROR(INDEX(FILTER('充填效能'!J$2:J$1088, '充填效能'!$A$2:$A$1088=$C40, '充填效能'!$D$2:$D$1088=""充填""), 1), 0)"),"")</f>
        <v/>
      </c>
      <c r="Q40" s="35" t="str">
        <f ca="1">IFERROR(__xludf.DUMMYFUNCTION("IFERROR(INDEX(FILTER('充填效能'!K$2:K$1088, '充填效能'!$A$2:$A$1088=$C40, '充填效能'!$D$2:$D$1088=""充填""), 1), 0)"),"")</f>
        <v/>
      </c>
      <c r="R40" s="35" t="str">
        <f ca="1">IFERROR(__xludf.DUMMYFUNCTION("IFERROR(INDEX(FILTER('充填效能'!L$2:L$1088, '充填效能'!$A$2:$A$1088=$C40, '充填效能'!$D$2:$D$1088=""充填""), 1), 0)"),"")</f>
        <v/>
      </c>
      <c r="S40" s="35">
        <f ca="1">COUNTIFS(製造效能!B:B, $D40,製造效能!D:D,M40)</f>
        <v>3</v>
      </c>
      <c r="T40" s="36">
        <f ca="1">IFERROR(__xludf.DUMMYFUNCTION("VALUE(REGEXEXTRACT(TO_TEXT(O40), ""\d*\.?\d+""))"),32.4)</f>
        <v>32.4</v>
      </c>
      <c r="U40" s="17">
        <f t="shared" ca="1" si="2"/>
        <v>65772</v>
      </c>
      <c r="V40" s="17">
        <f ca="1">IFERROR(__xludf.DUMMYFUNCTION("IFERROR(INDEX(FILTER('製造效能'!J:J, '製造效能'!A:A=$C40, '製造效能'!D:D=M40, '製造效能'!E:E=""攪料""), 1), INDEX(FILTER('製造效能'!J:J, '製造效能'!B:B=$D40, '製造效能'!D:D=M40, '製造效能'!E:E=""攪料""), 1))"),100)</f>
        <v>100</v>
      </c>
      <c r="W40" s="36">
        <f ca="1">IFERROR(__xludf.DUMMYFUNCTION("IFERROR(INDEX(FILTER('製造效能'!G:G, '製造效能'!A:A=$C40, '製造效能'!D:D=M40, '製造效能'!E:E=""攪料""), 1), INDEX(FILTER('製造效能'!G:G, '製造效能'!B:B=$D40, '製造效能'!D:D=M40, '製造效能'!E:E=""攪料""), 1))"),80)</f>
        <v>80</v>
      </c>
      <c r="X40" s="35">
        <f t="shared" ca="1" si="3"/>
        <v>1</v>
      </c>
      <c r="Y40" s="35">
        <f t="shared" ca="1" si="4"/>
        <v>80</v>
      </c>
      <c r="Z40" s="35">
        <f ca="1">IFERROR(__xludf.DUMMYFUNCTION("IFERROR(IFERROR(INDEX(FILTER('製造效能'!G:G, '製造效能'!A:A=$C40, '製造效能'!D:D=M40, '製造效能'!E:E=""預攪""), 1), INDEX(FILTER('製造效能'!G:G, '製造效能'!B:B=$D40, '製造效能'!D:D=M40, '製造效能'!E:E=""預攪""), 1)), 0)"),25)</f>
        <v>25</v>
      </c>
      <c r="AA40" s="35">
        <f ca="1">IFERROR(__xludf.DUMMYFUNCTION("IFERROR(INDEX(FILTER('製造效能'!G:G, '製造效能'!A:A=$C40, '製造效能'!D:D=M40, '製造效能'!E:E=""清洗""), 1), INDEX(FILTER('製造效能'!G:G, '製造效能'!B:B=$D40, '製造效能'!D:D=M40, '製造效能'!E:E=""清洗""), 1))"),15)</f>
        <v>15</v>
      </c>
      <c r="AB40" s="35" t="str">
        <f ca="1">IFERROR(__xludf.DUMMYFUNCTION("IFERROR(INDEX(FILTER('製造效能'!N:N, '製造效能'!$A:$A=$C40, '製造效能'!$D:$D=$M40, '製造效能'!$E:$E=""攪料""), 1), INDEX(FILTER('製造效能'!N:N, '製造效能'!$B:$B=$D40, '製造效能'!$D:$D=$M40, '製造效能'!$E:$E=""攪料""), 1))"),"")</f>
        <v/>
      </c>
      <c r="AC40" s="35">
        <f ca="1">IFERROR(__xludf.DUMMYFUNCTION("IFERROR(INDEX(FILTER('製造效能'!O:O, '製造效能'!$A:$A=$C40, '製造效能'!$D:$D=$M40, '製造效能'!$E:$E=""攪料""), 1), INDEX(FILTER('製造效能'!O:O, '製造效能'!$B:$B=$D40, '製造效能'!$D:$D=$M40, '製造效能'!$E:$E=""攪料""), 1))"),1)</f>
        <v>1</v>
      </c>
      <c r="AD40" s="35" t="str">
        <f ca="1">IFERROR(__xludf.DUMMYFUNCTION("IFERROR(INDEX(FILTER('製造效能'!P:P, '製造效能'!$A:$A=$C40, '製造效能'!$D:$D=$M40, '製造效能'!$E:$E=""攪料""), 1), INDEX(FILTER('製造效能'!P:P, '製造效能'!$B:$B=$D40, '製造效能'!$D:$D=$M40, '製造效能'!$E:$E=""攪料""), 1))"),"")</f>
        <v/>
      </c>
      <c r="AE40" s="35" t="str">
        <f ca="1">IFERROR(__xludf.DUMMYFUNCTION("IFERROR(INDEX(FILTER('製造效能'!Q:Q, '製造效能'!$A:$A=$C40, '製造效能'!$D:$D=$M40, '製造效能'!$E:$E=""攪料""), 1), INDEX(FILTER('製造效能'!Q:Q, '製造效能'!$B:$B=$D40, '製造效能'!$D:$D=$M40, '製造效能'!$E:$E=""攪料""), 1))"),"")</f>
        <v/>
      </c>
      <c r="AF40" s="35" t="str">
        <f ca="1">IFERROR(__xludf.DUMMYFUNCTION("IFERROR(INDEX(FILTER('製造效能'!R:R, '製造效能'!$A:$A=$C40, '製造效能'!$D:$D=$M40, '製造效能'!$E:$E=""攪料""), 1), INDEX(FILTER('製造效能'!R:R, '製造效能'!$B:$B=$D40, '製造效能'!$D:$D=$M40, '製造效能'!$E:$E=""攪料""), 1))"),"")</f>
        <v/>
      </c>
      <c r="AG40" s="35" t="str">
        <f ca="1">IFERROR(__xludf.DUMMYFUNCTION("IFERROR(INDEX(FILTER('製造效能'!S:S, '製造效能'!$A:$A=$C40, '製造效能'!$D:$D=$M40, '製造效能'!$E:$E=""攪料""), 1), INDEX(FILTER('製造效能'!S:S, '製造效能'!$B:$B=$D40, '製造效能'!$D:$D=$M40, '製造效能'!$E:$E=""攪料""), 1))"),"")</f>
        <v/>
      </c>
      <c r="AH40" s="35" t="str">
        <f ca="1">IFERROR(__xludf.DUMMYFUNCTION("IFERROR(INDEX(FILTER('製造效能'!T:T, '製造效能'!$A:$A=$C40, '製造效能'!$D:$D=$M40, '製造效能'!$E:$E=""攪料""), 1), INDEX(FILTER('製造效能'!T:T, '製造效能'!$B:$B=$D40, '製造效能'!$D:$D=$M40, '製造效能'!$E:$E=""攪料""), 1))"),"")</f>
        <v/>
      </c>
      <c r="AI40" s="35" t="str">
        <f ca="1">IFERROR(__xludf.DUMMYFUNCTION("IFERROR(INDEX(FILTER('製造效能'!U:U, '製造效能'!$A:$A=$C40, '製造效能'!$D:$D=$M40, '製造效能'!$E:$E=""攪料""), 1), INDEX(FILTER('製造效能'!U:U, '製造效能'!$B:$B=$D40, '製造效能'!$D:$D=$M40, '製造效能'!$E:$E=""攪料""), 1))"),"")</f>
        <v/>
      </c>
      <c r="AJ40" s="35" t="str">
        <f ca="1">IFERROR(__xludf.DUMMYFUNCTION("IFERROR(INDEX(FILTER('製造效能'!V:V, '製造效能'!$A:$A=$C40, '製造效能'!$D:$D=$M40, '製造效能'!$E:$E=""攪料""), 1), INDEX(FILTER('製造效能'!V:V, '製造效能'!$B:$B=$D40, '製造效能'!$D:$D=$M40, '製造效能'!$E:$E=""攪料""), 1))"),"")</f>
        <v/>
      </c>
      <c r="AK40" s="35">
        <f>COUNTIF(充填效能!$A:$A, $C40)</f>
        <v>2</v>
      </c>
      <c r="AL40" s="36" t="str">
        <f ca="1">IFERROR(__xludf.DUMMYFUNCTION("IFERROR(INDEX(FILTER('充填效能'!$Q$2:$Q$1088, '充填效能'!$A$2:$A$1088=$C40, '充填效能'!$D$2:$D$1088=""排瓶""), 1), 0)"),"570")</f>
        <v>570</v>
      </c>
      <c r="AM40" s="36">
        <f ca="1">IFERROR(__xludf.DUMMYFUNCTION("IFERROR(INDEX(FILTER('充填效能'!$R$2:$R$1088, '充填效能'!$A$2:$A$1088=$C40, '充填效能'!$D$2:$D$1088=""排瓶""), 1), 0)"),1)</f>
        <v>1</v>
      </c>
      <c r="AN40" s="35">
        <f t="shared" ca="1" si="5"/>
        <v>3.5087719298245612</v>
      </c>
      <c r="AO40" s="36" t="str">
        <f ca="1">IFERROR(__xludf.DUMMYFUNCTION("IFERROR(INDEX(FILTER('充填效能'!$Q$2:$Q$1088, '充填效能'!$A$2:$A$1088=$C40, '充填效能'!$D$2:$D$1088=""充填""), 1), 0)"),"1000")</f>
        <v>1000</v>
      </c>
      <c r="AP40" s="36">
        <f ca="1">IFERROR(__xludf.DUMMYFUNCTION("IFERROR(INDEX(FILTER('充填效能'!$R$2:$R$1088, '充填效能'!$A$2:$A$1088=$C40, '充填效能'!$D$2:$D$1088=""充填""), 1), 0)"),4)</f>
        <v>4</v>
      </c>
      <c r="AQ40" s="35">
        <f t="shared" ca="1" si="6"/>
        <v>2</v>
      </c>
      <c r="AR40" s="17">
        <f t="shared" ca="1" si="7"/>
        <v>8</v>
      </c>
    </row>
    <row r="41" spans="1:44" ht="15.75" customHeight="1">
      <c r="A41" s="9" t="s">
        <v>162</v>
      </c>
      <c r="B41" s="34">
        <f t="shared" si="0"/>
        <v>45001</v>
      </c>
      <c r="C41" s="9" t="s">
        <v>164</v>
      </c>
      <c r="D41" s="17" t="str">
        <f t="shared" si="1"/>
        <v>EH22P1</v>
      </c>
      <c r="E41" s="9" t="s">
        <v>165</v>
      </c>
      <c r="F41" s="9">
        <v>1180</v>
      </c>
      <c r="G41" s="10">
        <v>45076</v>
      </c>
      <c r="H41" s="10">
        <v>45070</v>
      </c>
      <c r="I41" s="10">
        <v>45050</v>
      </c>
      <c r="J41" s="10">
        <v>45036</v>
      </c>
      <c r="L41" s="17" t="str">
        <f ca="1">IFERROR(__xludf.DUMMYFUNCTION("TEXTJOIN("", "", TRUE, UNIQUE(FILTER('製造效能'!$D$2:$D$1732, '製造效能'!$B$2:$B$1732 = D41)))"),"小乳")</f>
        <v>小乳</v>
      </c>
      <c r="M41" s="17" t="str">
        <f ca="1">IFERROR(__xludf.DUMMYFUNCTION("INDEX(UNIQUE(FILTER('製造效能'!$D$2:$D$1732, ('製造效能'!$B$2:$B$1732 = D41) * ('製造效能'!$J$2:$J$1732 = MAXIFS('製造效能'!$J$2:$J$1732, '製造效能'!$B$2:$B$1732, D41)))), 1) 
"),"小乳")</f>
        <v>小乳</v>
      </c>
      <c r="N41" s="17" t="str">
        <f ca="1">IFERROR(__xludf.DUMMYFUNCTION("TEXTJOIN("", "", TRUE, UNIQUE(FILTER('製造效能'!$K$2:$K$1732, '製造效能'!$B$2:$B$1732 = D41)))"),"乳項")</f>
        <v>乳項</v>
      </c>
      <c r="P41" s="35" t="str">
        <f ca="1">IFERROR(__xludf.DUMMYFUNCTION("IFERROR(INDEX(FILTER('充填效能'!J$2:J$1088, '充填效能'!$A$2:$A$1088=$C41, '充填效能'!$D$2:$D$1088=""充填""), 1), 0)"),"")</f>
        <v/>
      </c>
      <c r="Q41" s="35" t="str">
        <f ca="1">IFERROR(__xludf.DUMMYFUNCTION("IFERROR(INDEX(FILTER('充填效能'!K$2:K$1088, '充填效能'!$A$2:$A$1088=$C41, '充填效能'!$D$2:$D$1088=""充填""), 1), 0)"),"")</f>
        <v/>
      </c>
      <c r="R41" s="35">
        <f ca="1">IFERROR(__xludf.DUMMYFUNCTION("IFERROR(INDEX(FILTER('充填效能'!I$2:I$1088, '充填效能'!$A$2:$A$1088=$C41, '充填效能'!$D$2:$D$1088=""充填""), 1), 0)"),170)</f>
        <v>170</v>
      </c>
      <c r="S41" s="35">
        <f ca="1">COUNTIFS(製造效能!B:B, $D41,製造效能!D:D,M41)</f>
        <v>3</v>
      </c>
      <c r="T41" s="36">
        <f ca="1">IFERROR(__xludf.DUMMYFUNCTION("VALUE(REGEXEXTRACT(TO_TEXT(R41), ""\d*\.?\d+""))"),170)</f>
        <v>170</v>
      </c>
      <c r="U41" s="17">
        <f t="shared" ca="1" si="2"/>
        <v>203608.99999999997</v>
      </c>
      <c r="V41" s="17">
        <f ca="1">IFERROR(__xludf.DUMMYFUNCTION("IFERROR(INDEX(FILTER('製造效能'!J:J, '製造效能'!A:A=$C41, '製造效能'!D:D=M41, '製造效能'!E:E=""攪料""), 1), INDEX(FILTER('製造效能'!J:J, '製造效能'!B:B=$D41, '製造效能'!D:D=M41, '製造效能'!E:E=""攪料""), 1))"),50)</f>
        <v>50</v>
      </c>
      <c r="W41" s="36">
        <f ca="1">IFERROR(__xludf.DUMMYFUNCTION("IFERROR(INDEX(FILTER('製造效能'!G:G, '製造效能'!A:A=$C41, '製造效能'!D:D=M41, '製造效能'!E:E=""攪料""), 1), INDEX(FILTER('製造效能'!G:G, '製造效能'!B:B=$D41, '製造效能'!D:D=M41, '製造效能'!E:E=""攪料""), 1))"),140)</f>
        <v>140</v>
      </c>
      <c r="X41" s="35">
        <f t="shared" ca="1" si="3"/>
        <v>5</v>
      </c>
      <c r="Y41" s="35">
        <f t="shared" ca="1" si="4"/>
        <v>700</v>
      </c>
      <c r="Z41" s="35">
        <f ca="1">IFERROR(__xludf.DUMMYFUNCTION("IFERROR(IFERROR(INDEX(FILTER('製造效能'!G:G, '製造效能'!A:A=$C41, '製造效能'!D:D=M41, '製造效能'!E:E=""預攪""), 1), INDEX(FILTER('製造效能'!G:G, '製造效能'!B:B=$D41, '製造效能'!D:D=M41, '製造效能'!E:E=""預攪""), 1)), 0)"),35)</f>
        <v>35</v>
      </c>
      <c r="AA41" s="35">
        <f ca="1">IFERROR(__xludf.DUMMYFUNCTION("IFERROR(INDEX(FILTER('製造效能'!G:G, '製造效能'!A:A=$C41, '製造效能'!D:D=M41, '製造效能'!E:E=""清洗""), 1), INDEX(FILTER('製造效能'!G:G, '製造效能'!B:B=$D41, '製造效能'!D:D=M41, '製造效能'!E:E=""清洗""), 1))"),40)</f>
        <v>40</v>
      </c>
      <c r="AB41" s="35" t="str">
        <f ca="1">IFERROR(__xludf.DUMMYFUNCTION("IFERROR(INDEX(FILTER('製造效能'!N:N, '製造效能'!$A:$A=$C41, '製造效能'!$D:$D=$M41, '製造效能'!$E:$E=""攪料""), 1), INDEX(FILTER('製造效能'!N:N, '製造效能'!$B:$B=$D41, '製造效能'!$D:$D=$M41, '製造效能'!$E:$E=""攪料""), 1))"),"")</f>
        <v/>
      </c>
      <c r="AC41" s="35">
        <f ca="1">IFERROR(__xludf.DUMMYFUNCTION("IFERROR(INDEX(FILTER('製造效能'!O:O, '製造效能'!$A:$A=$C41, '製造效能'!$D:$D=$M41, '製造效能'!$E:$E=""攪料""), 1), INDEX(FILTER('製造效能'!O:O, '製造效能'!$B:$B=$D41, '製造效能'!$D:$D=$M41, '製造效能'!$E:$E=""攪料""), 1))"),1)</f>
        <v>1</v>
      </c>
      <c r="AD41" s="35">
        <f ca="1">IFERROR(__xludf.DUMMYFUNCTION("IFERROR(INDEX(FILTER('製造效能'!P:P, '製造效能'!$A:$A=$C41, '製造效能'!$D:$D=$M41, '製造效能'!$E:$E=""攪料""), 1), INDEX(FILTER('製造效能'!P:P, '製造效能'!$B:$B=$D41, '製造效能'!$D:$D=$M41, '製造效能'!$E:$E=""攪料""), 1))"),1)</f>
        <v>1</v>
      </c>
      <c r="AE41" s="35" t="str">
        <f ca="1">IFERROR(__xludf.DUMMYFUNCTION("IFERROR(INDEX(FILTER('製造效能'!Q:Q, '製造效能'!$A:$A=$C41, '製造效能'!$D:$D=$M41, '製造效能'!$E:$E=""攪料""), 1), INDEX(FILTER('製造效能'!Q:Q, '製造效能'!$B:$B=$D41, '製造效能'!$D:$D=$M41, '製造效能'!$E:$E=""攪料""), 1))"),"")</f>
        <v/>
      </c>
      <c r="AF41" s="35" t="str">
        <f ca="1">IFERROR(__xludf.DUMMYFUNCTION("IFERROR(INDEX(FILTER('製造效能'!R:R, '製造效能'!$A:$A=$C41, '製造效能'!$D:$D=$M41, '製造效能'!$E:$E=""攪料""), 1), INDEX(FILTER('製造效能'!R:R, '製造效能'!$B:$B=$D41, '製造效能'!$D:$D=$M41, '製造效能'!$E:$E=""攪料""), 1))"),"")</f>
        <v/>
      </c>
      <c r="AG41" s="35" t="str">
        <f ca="1">IFERROR(__xludf.DUMMYFUNCTION("IFERROR(INDEX(FILTER('製造效能'!S:S, '製造效能'!$A:$A=$C41, '製造效能'!$D:$D=$M41, '製造效能'!$E:$E=""攪料""), 1), INDEX(FILTER('製造效能'!S:S, '製造效能'!$B:$B=$D41, '製造效能'!$D:$D=$M41, '製造效能'!$E:$E=""攪料""), 1))"),"")</f>
        <v/>
      </c>
      <c r="AH41" s="35">
        <f ca="1">IFERROR(__xludf.DUMMYFUNCTION("IFERROR(INDEX(FILTER('製造效能'!T:T, '製造效能'!$A:$A=$C41, '製造效能'!$D:$D=$M41, '製造效能'!$E:$E=""攪料""), 1), INDEX(FILTER('製造效能'!T:T, '製造效能'!$B:$B=$D41, '製造效能'!$D:$D=$M41, '製造效能'!$E:$E=""攪料""), 1))"),1)</f>
        <v>1</v>
      </c>
      <c r="AI41" s="35" t="str">
        <f ca="1">IFERROR(__xludf.DUMMYFUNCTION("IFERROR(INDEX(FILTER('製造效能'!U:U, '製造效能'!$A:$A=$C41, '製造效能'!$D:$D=$M41, '製造效能'!$E:$E=""攪料""), 1), INDEX(FILTER('製造效能'!U:U, '製造效能'!$B:$B=$D41, '製造效能'!$D:$D=$M41, '製造效能'!$E:$E=""攪料""), 1))"),"")</f>
        <v/>
      </c>
      <c r="AJ41" s="35" t="str">
        <f ca="1">IFERROR(__xludf.DUMMYFUNCTION("IFERROR(INDEX(FILTER('製造效能'!V:V, '製造效能'!$A:$A=$C41, '製造效能'!$D:$D=$M41, '製造效能'!$E:$E=""攪料""), 1), INDEX(FILTER('製造效能'!V:V, '製造效能'!$B:$B=$D41, '製造效能'!$D:$D=$M41, '製造效能'!$E:$E=""攪料""), 1))"),"")</f>
        <v/>
      </c>
      <c r="AK41" s="35">
        <f>COUNTIF(充填效能!$A:$A, $C41)</f>
        <v>4</v>
      </c>
      <c r="AL41" s="36" t="str">
        <f ca="1">IFERROR(__xludf.DUMMYFUNCTION("IFERROR(INDEX(FILTER('充填效能'!$Q$2:$Q$1088, '充填效能'!$A$2:$A$1088=$C41, '充填效能'!$D$2:$D$1088=""排瓶""), 1), 0)"),"400")</f>
        <v>400</v>
      </c>
      <c r="AM41" s="36">
        <f ca="1">IFERROR(__xludf.DUMMYFUNCTION("IFERROR(INDEX(FILTER('充填效能'!$R$2:$R$1088, '充填效能'!$A$2:$A$1088=$C41, '充填效能'!$D$2:$D$1088=""排瓶""), 1), 0)"),1)</f>
        <v>1</v>
      </c>
      <c r="AN41" s="35">
        <f t="shared" ca="1" si="5"/>
        <v>2.95</v>
      </c>
      <c r="AO41" s="36" t="str">
        <f ca="1">IFERROR(__xludf.DUMMYFUNCTION("IFERROR(INDEX(FILTER('充填效能'!$Q$2:$Q$1088, '充填效能'!$A$2:$A$1088=$C41, '充填效能'!$D$2:$D$1088=""充填""), 1), 0)"),"320")</f>
        <v>320</v>
      </c>
      <c r="AP41" s="36">
        <f ca="1">IFERROR(__xludf.DUMMYFUNCTION("IFERROR(INDEX(FILTER('充填效能'!$R$2:$R$1088, '充填效能'!$A$2:$A$1088=$C41, '充填效能'!$D$2:$D$1088=""充填""), 1), 0)"),3)</f>
        <v>3</v>
      </c>
      <c r="AQ41" s="35">
        <f t="shared" ca="1" si="6"/>
        <v>3.6875</v>
      </c>
      <c r="AR41" s="17">
        <f t="shared" ca="1" si="7"/>
        <v>11.0625</v>
      </c>
    </row>
    <row r="42" spans="1:44" ht="15.75" customHeight="1">
      <c r="A42" s="9" t="s">
        <v>147</v>
      </c>
      <c r="B42" s="34">
        <f t="shared" si="0"/>
        <v>45034</v>
      </c>
      <c r="C42" s="9" t="s">
        <v>139</v>
      </c>
      <c r="D42" s="17" t="str">
        <f t="shared" si="1"/>
        <v>N1RED1</v>
      </c>
      <c r="E42" s="9" t="s">
        <v>140</v>
      </c>
      <c r="F42" s="9">
        <v>10000</v>
      </c>
      <c r="G42" s="10">
        <v>45082</v>
      </c>
      <c r="H42" s="10">
        <v>45072</v>
      </c>
      <c r="I42" s="10">
        <v>45034</v>
      </c>
      <c r="J42" s="10">
        <v>45065</v>
      </c>
      <c r="L42" s="17" t="str">
        <f ca="1">IFERROR(__xludf.DUMMYFUNCTION("TEXTJOIN("", "", TRUE, UNIQUE(FILTER('製造效能'!$D$2:$D$1732, '製造效能'!$B$2:$B$1732 = D42)))"),"精")</f>
        <v>精</v>
      </c>
      <c r="M42" s="17" t="str">
        <f ca="1">IFERROR(__xludf.DUMMYFUNCTION("INDEX(UNIQUE(FILTER('製造效能'!$D$2:$D$1732, ('製造效能'!$B$2:$B$1732 = D42) * ('製造效能'!$J$2:$J$1732 = MAXIFS('製造效能'!$J$2:$J$1732, '製造效能'!$B$2:$B$1732, D42)))), 1) 
"),"精")</f>
        <v>精</v>
      </c>
      <c r="N42" s="17" t="str">
        <f ca="1">IFERROR(__xludf.DUMMYFUNCTION("TEXTJOIN("", "", TRUE, UNIQUE(FILTER('製造效能'!$K$2:$K$1732, '製造效能'!$B$2:$B$1732 = D42)))"),"水項")</f>
        <v>水項</v>
      </c>
      <c r="O42" s="35">
        <f ca="1">IFERROR(__xludf.DUMMYFUNCTION("IFERROR(INDEX(FILTER('充填效能'!I$2:I$1088, '充填效能'!$A$2:$A$1088=$C42, '充填效能'!$D$2:$D$1088=""充填""), 1), 0)"),10.1)</f>
        <v>10.1</v>
      </c>
      <c r="P42" s="35" t="str">
        <f ca="1">IFERROR(__xludf.DUMMYFUNCTION("IFERROR(INDEX(FILTER('充填效能'!J$2:J$1088, '充填效能'!$A$2:$A$1088=$C42, '充填效能'!$D$2:$D$1088=""充填""), 1), 0)"),"")</f>
        <v/>
      </c>
      <c r="Q42" s="35" t="str">
        <f ca="1">IFERROR(__xludf.DUMMYFUNCTION("IFERROR(INDEX(FILTER('充填效能'!K$2:K$1088, '充填效能'!$A$2:$A$1088=$C42, '充填效能'!$D$2:$D$1088=""充填""), 1), 0)"),"")</f>
        <v/>
      </c>
      <c r="R42" s="35" t="str">
        <f ca="1">IFERROR(__xludf.DUMMYFUNCTION("IFERROR(INDEX(FILTER('充填效能'!L$2:L$1088, '充填效能'!$A$2:$A$1088=$C42, '充填效能'!$D$2:$D$1088=""充填""), 1), 0)"),"")</f>
        <v/>
      </c>
      <c r="S42" s="35">
        <f ca="1">COUNTIFS(製造效能!B:B, $D42,製造效能!D:D,M42)</f>
        <v>3</v>
      </c>
      <c r="T42" s="36">
        <f ca="1">IFERROR(__xludf.DUMMYFUNCTION("VALUE(REGEXEXTRACT(TO_TEXT(O42), ""\d*\.?\d+""))"),10.1)</f>
        <v>10.1</v>
      </c>
      <c r="U42" s="17">
        <f t="shared" ca="1" si="2"/>
        <v>102514.99999999999</v>
      </c>
      <c r="V42" s="17">
        <f ca="1">IFERROR(__xludf.DUMMYFUNCTION("IFERROR(INDEX(FILTER('製造效能'!J:J, '製造效能'!A:A=$C42, '製造效能'!D:D=M42, '製造效能'!E:E=""攪料""), 1), INDEX(FILTER('製造效能'!J:J, '製造效能'!B:B=$D42, '製造效能'!D:D=M42, '製造效能'!E:E=""攪料""), 1))"),103)</f>
        <v>103</v>
      </c>
      <c r="W42" s="36">
        <f ca="1">IFERROR(__xludf.DUMMYFUNCTION("IFERROR(INDEX(FILTER('製造效能'!G:G, '製造效能'!A:A=$C42, '製造效能'!D:D=M42, '製造效能'!E:E=""攪料""), 1), INDEX(FILTER('製造效能'!G:G, '製造效能'!B:B=$D42, '製造效能'!D:D=M42, '製造效能'!E:E=""攪料""), 1))"),110)</f>
        <v>110</v>
      </c>
      <c r="X42" s="35">
        <f t="shared" ca="1" si="3"/>
        <v>1</v>
      </c>
      <c r="Y42" s="35">
        <f t="shared" ca="1" si="4"/>
        <v>110</v>
      </c>
      <c r="Z42" s="35">
        <f ca="1">IFERROR(__xludf.DUMMYFUNCTION("IFERROR(IFERROR(INDEX(FILTER('製造效能'!G:G, '製造效能'!A:A=$C42, '製造效能'!D:D=M42, '製造效能'!E:E=""預攪""), 1), INDEX(FILTER('製造效能'!G:G, '製造效能'!B:B=$D42, '製造效能'!D:D=M42, '製造效能'!E:E=""預攪""), 1)), 0)"),25)</f>
        <v>25</v>
      </c>
      <c r="AA42" s="35">
        <f ca="1">IFERROR(__xludf.DUMMYFUNCTION("IFERROR(INDEX(FILTER('製造效能'!G:G, '製造效能'!A:A=$C42, '製造效能'!D:D=M42, '製造效能'!E:E=""清洗""), 1), INDEX(FILTER('製造效能'!G:G, '製造效能'!B:B=$D42, '製造效能'!D:D=M42, '製造效能'!E:E=""清洗""), 1))"),20)</f>
        <v>20</v>
      </c>
      <c r="AB42" s="35" t="str">
        <f ca="1">IFERROR(__xludf.DUMMYFUNCTION("IFERROR(INDEX(FILTER('製造效能'!N:N, '製造效能'!$A:$A=$C42, '製造效能'!$D:$D=$M42, '製造效能'!$E:$E=""攪料""), 1), INDEX(FILTER('製造效能'!N:N, '製造效能'!$B:$B=$D42, '製造效能'!$D:$D=$M42, '製造效能'!$E:$E=""攪料""), 1))"),"")</f>
        <v/>
      </c>
      <c r="AC42" s="35">
        <f ca="1">IFERROR(__xludf.DUMMYFUNCTION("IFERROR(INDEX(FILTER('製造效能'!O:O, '製造效能'!$A:$A=$C42, '製造效能'!$D:$D=$M42, '製造效能'!$E:$E=""攪料""), 1), INDEX(FILTER('製造效能'!O:O, '製造效能'!$B:$B=$D42, '製造效能'!$D:$D=$M42, '製造效能'!$E:$E=""攪料""), 1))"),1)</f>
        <v>1</v>
      </c>
      <c r="AD42" s="35" t="str">
        <f ca="1">IFERROR(__xludf.DUMMYFUNCTION("IFERROR(INDEX(FILTER('製造效能'!P:P, '製造效能'!$A:$A=$C42, '製造效能'!$D:$D=$M42, '製造效能'!$E:$E=""攪料""), 1), INDEX(FILTER('製造效能'!P:P, '製造效能'!$B:$B=$D42, '製造效能'!$D:$D=$M42, '製造效能'!$E:$E=""攪料""), 1))"),"")</f>
        <v/>
      </c>
      <c r="AE42" s="35" t="str">
        <f ca="1">IFERROR(__xludf.DUMMYFUNCTION("IFERROR(INDEX(FILTER('製造效能'!Q:Q, '製造效能'!$A:$A=$C42, '製造效能'!$D:$D=$M42, '製造效能'!$E:$E=""攪料""), 1), INDEX(FILTER('製造效能'!Q:Q, '製造效能'!$B:$B=$D42, '製造效能'!$D:$D=$M42, '製造效能'!$E:$E=""攪料""), 1))"),"")</f>
        <v/>
      </c>
      <c r="AF42" s="35" t="str">
        <f ca="1">IFERROR(__xludf.DUMMYFUNCTION("IFERROR(INDEX(FILTER('製造效能'!R:R, '製造效能'!$A:$A=$C42, '製造效能'!$D:$D=$M42, '製造效能'!$E:$E=""攪料""), 1), INDEX(FILTER('製造效能'!R:R, '製造效能'!$B:$B=$D42, '製造效能'!$D:$D=$M42, '製造效能'!$E:$E=""攪料""), 1))"),"")</f>
        <v/>
      </c>
      <c r="AG42" s="35" t="str">
        <f ca="1">IFERROR(__xludf.DUMMYFUNCTION("IFERROR(INDEX(FILTER('製造效能'!S:S, '製造效能'!$A:$A=$C42, '製造效能'!$D:$D=$M42, '製造效能'!$E:$E=""攪料""), 1), INDEX(FILTER('製造效能'!S:S, '製造效能'!$B:$B=$D42, '製造效能'!$D:$D=$M42, '製造效能'!$E:$E=""攪料""), 1))"),"")</f>
        <v/>
      </c>
      <c r="AH42" s="35" t="str">
        <f ca="1">IFERROR(__xludf.DUMMYFUNCTION("IFERROR(INDEX(FILTER('製造效能'!T:T, '製造效能'!$A:$A=$C42, '製造效能'!$D:$D=$M42, '製造效能'!$E:$E=""攪料""), 1), INDEX(FILTER('製造效能'!T:T, '製造效能'!$B:$B=$D42, '製造效能'!$D:$D=$M42, '製造效能'!$E:$E=""攪料""), 1))"),"")</f>
        <v/>
      </c>
      <c r="AI42" s="35" t="str">
        <f ca="1">IFERROR(__xludf.DUMMYFUNCTION("IFERROR(INDEX(FILTER('製造效能'!U:U, '製造效能'!$A:$A=$C42, '製造效能'!$D:$D=$M42, '製造效能'!$E:$E=""攪料""), 1), INDEX(FILTER('製造效能'!U:U, '製造效能'!$B:$B=$D42, '製造效能'!$D:$D=$M42, '製造效能'!$E:$E=""攪料""), 1))"),"")</f>
        <v/>
      </c>
      <c r="AJ42" s="35" t="str">
        <f ca="1">IFERROR(__xludf.DUMMYFUNCTION("IFERROR(INDEX(FILTER('製造效能'!V:V, '製造效能'!$A:$A=$C42, '製造效能'!$D:$D=$M42, '製造效能'!$E:$E=""攪料""), 1), INDEX(FILTER('製造效能'!V:V, '製造效能'!$B:$B=$D42, '製造效能'!$D:$D=$M42, '製造效能'!$E:$E=""攪料""), 1))"),"")</f>
        <v/>
      </c>
      <c r="AK42" s="35">
        <f>COUNTIF(充填效能!$A:$A, $C42)</f>
        <v>1</v>
      </c>
      <c r="AL42" s="36">
        <f ca="1">IFERROR(__xludf.DUMMYFUNCTION("IFERROR(INDEX(FILTER('充填效能'!$Q$2:$Q$1088, '充填效能'!$A$2:$A$1088=$C42, '充填效能'!$D$2:$D$1088=""排瓶""), 1), 0)"),0)</f>
        <v>0</v>
      </c>
      <c r="AM42" s="36">
        <f ca="1">IFERROR(__xludf.DUMMYFUNCTION("IFERROR(INDEX(FILTER('充填效能'!$R$2:$R$1088, '充填效能'!$A$2:$A$1088=$C42, '充填效能'!$D$2:$D$1088=""排瓶""), 1), 0)"),0)</f>
        <v>0</v>
      </c>
      <c r="AN42" s="35">
        <f t="shared" ca="1" si="5"/>
        <v>0</v>
      </c>
      <c r="AO42" s="36" t="str">
        <f ca="1">IFERROR(__xludf.DUMMYFUNCTION("IFERROR(INDEX(FILTER('充填效能'!$Q$2:$Q$1088, '充填效能'!$A$2:$A$1088=$C42, '充填效能'!$D$2:$D$1088=""充填""), 1), 0)"),"1000")</f>
        <v>1000</v>
      </c>
      <c r="AP42" s="36">
        <f ca="1">IFERROR(__xludf.DUMMYFUNCTION("IFERROR(INDEX(FILTER('充填效能'!$R$2:$R$1088, '充填效能'!$A$2:$A$1088=$C42, '充填效能'!$D$2:$D$1088=""充填""), 1), 0)"),4)</f>
        <v>4</v>
      </c>
      <c r="AQ42" s="35">
        <f t="shared" ca="1" si="6"/>
        <v>10</v>
      </c>
      <c r="AR42" s="17">
        <f t="shared" ca="1" si="7"/>
        <v>40</v>
      </c>
    </row>
    <row r="43" spans="1:44" ht="15.75" customHeight="1">
      <c r="A43" s="9" t="s">
        <v>150</v>
      </c>
      <c r="B43" s="34">
        <f t="shared" si="0"/>
        <v>45034</v>
      </c>
      <c r="C43" s="9" t="s">
        <v>142</v>
      </c>
      <c r="D43" s="17" t="str">
        <f t="shared" si="1"/>
        <v>HC23P1</v>
      </c>
      <c r="E43" s="9" t="s">
        <v>143</v>
      </c>
      <c r="F43" s="9">
        <v>2500</v>
      </c>
      <c r="G43" s="10">
        <v>45076</v>
      </c>
      <c r="H43" s="10">
        <v>45072</v>
      </c>
      <c r="I43" s="10">
        <v>45027</v>
      </c>
      <c r="J43" s="10">
        <v>45058</v>
      </c>
      <c r="L43" s="17" t="str">
        <f ca="1">IFERROR(__xludf.DUMMYFUNCTION("TEXTJOIN("", "", TRUE, UNIQUE(FILTER('製造效能'!$D$2:$D$1732, '製造效能'!$B$2:$B$1732 = D43)))"),"大乳, 小乳")</f>
        <v>大乳, 小乳</v>
      </c>
      <c r="M43" s="17" t="str">
        <f ca="1">IFERROR(__xludf.DUMMYFUNCTION("INDEX(UNIQUE(FILTER('製造效能'!$D$2:$D$1732, ('製造效能'!$B$2:$B$1732 = D43) * ('製造效能'!$J$2:$J$1732 = MAXIFS('製造效能'!$J$2:$J$1732, '製造效能'!$B$2:$B$1732, D43)))), 1) 
"),"大乳")</f>
        <v>大乳</v>
      </c>
      <c r="N43" s="17" t="str">
        <f ca="1">IFERROR(__xludf.DUMMYFUNCTION("TEXTJOIN("", "", TRUE, UNIQUE(FILTER('製造效能'!$K$2:$K$1732, '製造效能'!$B$2:$B$1732 = D43)))"),"乳項")</f>
        <v>乳項</v>
      </c>
      <c r="P43" s="35" t="str">
        <f ca="1">IFERROR(__xludf.DUMMYFUNCTION("IFERROR(INDEX(FILTER('充填效能'!J$2:J$1088, '充填效能'!$A$2:$A$1088=$C43, '充填效能'!$D$2:$D$1088=""充填""), 1), 0)"),"")</f>
        <v/>
      </c>
      <c r="Q43" s="35" t="str">
        <f ca="1">IFERROR(__xludf.DUMMYFUNCTION("IFERROR(INDEX(FILTER('充填效能'!K$2:K$1088, '充填效能'!$A$2:$A$1088=$C43, '充填效能'!$D$2:$D$1088=""充填""), 1), 0)"),"")</f>
        <v/>
      </c>
      <c r="R43" s="35">
        <f ca="1">IFERROR(__xludf.DUMMYFUNCTION("IFERROR(INDEX(FILTER('充填效能'!I$2:I$1088, '充填效能'!$A$2:$A$1088=$C43, '充填效能'!$D$2:$D$1088=""充填""), 1), 0)"),175)</f>
        <v>175</v>
      </c>
      <c r="S43" s="35">
        <f ca="1">COUNTIFS(製造效能!B:B, $D43,製造效能!D:D,M43)</f>
        <v>3</v>
      </c>
      <c r="T43" s="36">
        <f ca="1">IFERROR(__xludf.DUMMYFUNCTION("VALUE(REGEXEXTRACT(TO_TEXT(R43), ""\d*\.?\d+""))"),175)</f>
        <v>175</v>
      </c>
      <c r="U43" s="17">
        <f t="shared" ca="1" si="2"/>
        <v>444062.49999999994</v>
      </c>
      <c r="V43" s="17">
        <f ca="1">IFERROR(__xludf.DUMMYFUNCTION("IFERROR(INDEX(FILTER('製造效能'!J:J, '製造效能'!A:A=$C43, '製造效能'!D:D=M43, '製造效能'!E:E=""攪料""), 1), INDEX(FILTER('製造效能'!J:J, '製造效能'!B:B=$D43, '製造效能'!D:D=M43, '製造效能'!E:E=""攪料""), 1))"),103)</f>
        <v>103</v>
      </c>
      <c r="W43" s="36">
        <f ca="1">IFERROR(__xludf.DUMMYFUNCTION("IFERROR(INDEX(FILTER('製造效能'!G:G, '製造效能'!A:A=$C43, '製造效能'!D:D=M43, '製造效能'!E:E=""攪料""), 1), INDEX(FILTER('製造效能'!G:G, '製造效能'!B:B=$D43, '製造效能'!D:D=M43, '製造效能'!E:E=""攪料""), 1))"),180)</f>
        <v>180</v>
      </c>
      <c r="X43" s="35">
        <f t="shared" ca="1" si="3"/>
        <v>5</v>
      </c>
      <c r="Y43" s="35">
        <f t="shared" ca="1" si="4"/>
        <v>900</v>
      </c>
      <c r="Z43" s="35">
        <f ca="1">IFERROR(__xludf.DUMMYFUNCTION("IFERROR(IFERROR(INDEX(FILTER('製造效能'!G:G, '製造效能'!A:A=$C43, '製造效能'!D:D=M43, '製造效能'!E:E=""預攪""), 1), INDEX(FILTER('製造效能'!G:G, '製造效能'!B:B=$D43, '製造效能'!D:D=M43, '製造效能'!E:E=""預攪""), 1)), 0)"),25)</f>
        <v>25</v>
      </c>
      <c r="AA43" s="35">
        <f ca="1">IFERROR(__xludf.DUMMYFUNCTION("IFERROR(INDEX(FILTER('製造效能'!G:G, '製造效能'!A:A=$C43, '製造效能'!D:D=M43, '製造效能'!E:E=""清洗""), 1), INDEX(FILTER('製造效能'!G:G, '製造效能'!B:B=$D43, '製造效能'!D:D=M43, '製造效能'!E:E=""清洗""), 1))"),30)</f>
        <v>30</v>
      </c>
      <c r="AB43" s="35" t="str">
        <f ca="1">IFERROR(__xludf.DUMMYFUNCTION("IFERROR(INDEX(FILTER('製造效能'!N:N, '製造效能'!$A:$A=$C43, '製造效能'!$D:$D=$M43, '製造效能'!$E:$E=""攪料""), 1), INDEX(FILTER('製造效能'!N:N, '製造效能'!$B:$B=$D43, '製造效能'!$D:$D=$M43, '製造效能'!$E:$E=""攪料""), 1))"),"")</f>
        <v/>
      </c>
      <c r="AC43" s="35" t="str">
        <f ca="1">IFERROR(__xludf.DUMMYFUNCTION("IFERROR(INDEX(FILTER('製造效能'!O:O, '製造效能'!$A:$A=$C43, '製造效能'!$D:$D=$M43, '製造效能'!$E:$E=""攪料""), 1), INDEX(FILTER('製造效能'!O:O, '製造效能'!$B:$B=$D43, '製造效能'!$D:$D=$M43, '製造效能'!$E:$E=""攪料""), 1))"),"")</f>
        <v/>
      </c>
      <c r="AD43" s="35" t="str">
        <f ca="1">IFERROR(__xludf.DUMMYFUNCTION("IFERROR(INDEX(FILTER('製造效能'!P:P, '製造效能'!$A:$A=$C43, '製造效能'!$D:$D=$M43, '製造效能'!$E:$E=""攪料""), 1), INDEX(FILTER('製造效能'!P:P, '製造效能'!$B:$B=$D43, '製造效能'!$D:$D=$M43, '製造效能'!$E:$E=""攪料""), 1))"),"")</f>
        <v/>
      </c>
      <c r="AE43" s="35">
        <f ca="1">IFERROR(__xludf.DUMMYFUNCTION("IFERROR(INDEX(FILTER('製造效能'!Q:Q, '製造效能'!$A:$A=$C43, '製造效能'!$D:$D=$M43, '製造效能'!$E:$E=""攪料""), 1), INDEX(FILTER('製造效能'!Q:Q, '製造效能'!$B:$B=$D43, '製造效能'!$D:$D=$M43, '製造效能'!$E:$E=""攪料""), 1))"),1)</f>
        <v>1</v>
      </c>
      <c r="AF43" s="35" t="str">
        <f ca="1">IFERROR(__xludf.DUMMYFUNCTION("IFERROR(INDEX(FILTER('製造效能'!R:R, '製造效能'!$A:$A=$C43, '製造效能'!$D:$D=$M43, '製造效能'!$E:$E=""攪料""), 1), INDEX(FILTER('製造效能'!R:R, '製造效能'!$B:$B=$D43, '製造效能'!$D:$D=$M43, '製造效能'!$E:$E=""攪料""), 1))"),"")</f>
        <v/>
      </c>
      <c r="AG43" s="35" t="str">
        <f ca="1">IFERROR(__xludf.DUMMYFUNCTION("IFERROR(INDEX(FILTER('製造效能'!S:S, '製造效能'!$A:$A=$C43, '製造效能'!$D:$D=$M43, '製造效能'!$E:$E=""攪料""), 1), INDEX(FILTER('製造效能'!S:S, '製造效能'!$B:$B=$D43, '製造效能'!$D:$D=$M43, '製造效能'!$E:$E=""攪料""), 1))"),"")</f>
        <v/>
      </c>
      <c r="AH43" s="35" t="str">
        <f ca="1">IFERROR(__xludf.DUMMYFUNCTION("IFERROR(INDEX(FILTER('製造效能'!T:T, '製造效能'!$A:$A=$C43, '製造效能'!$D:$D=$M43, '製造效能'!$E:$E=""攪料""), 1), INDEX(FILTER('製造效能'!T:T, '製造效能'!$B:$B=$D43, '製造效能'!$D:$D=$M43, '製造效能'!$E:$E=""攪料""), 1))"),"")</f>
        <v/>
      </c>
      <c r="AI43" s="35" t="str">
        <f ca="1">IFERROR(__xludf.DUMMYFUNCTION("IFERROR(INDEX(FILTER('製造效能'!U:U, '製造效能'!$A:$A=$C43, '製造效能'!$D:$D=$M43, '製造效能'!$E:$E=""攪料""), 1), INDEX(FILTER('製造效能'!U:U, '製造效能'!$B:$B=$D43, '製造效能'!$D:$D=$M43, '製造效能'!$E:$E=""攪料""), 1))"),"")</f>
        <v/>
      </c>
      <c r="AJ43" s="35" t="str">
        <f ca="1">IFERROR(__xludf.DUMMYFUNCTION("IFERROR(INDEX(FILTER('製造效能'!V:V, '製造效能'!$A:$A=$C43, '製造效能'!$D:$D=$M43, '製造效能'!$E:$E=""攪料""), 1), INDEX(FILTER('製造效能'!V:V, '製造效能'!$B:$B=$D43, '製造效能'!$D:$D=$M43, '製造效能'!$E:$E=""攪料""), 1))"),"")</f>
        <v/>
      </c>
      <c r="AK43" s="35">
        <f>COUNTIF(充填效能!$A:$A, $C43)</f>
        <v>2</v>
      </c>
      <c r="AL43" s="36" t="str">
        <f ca="1">IFERROR(__xludf.DUMMYFUNCTION("IFERROR(INDEX(FILTER('充填效能'!$Q$2:$Q$1088, '充填效能'!$A$2:$A$1088=$C43, '充填效能'!$D$2:$D$1088=""排瓶""), 1), 0)"),"800")</f>
        <v>800</v>
      </c>
      <c r="AM43" s="36">
        <f ca="1">IFERROR(__xludf.DUMMYFUNCTION("IFERROR(INDEX(FILTER('充填效能'!$R$2:$R$1088, '充填效能'!$A$2:$A$1088=$C43, '充填效能'!$D$2:$D$1088=""排瓶""), 1), 0)"),1)</f>
        <v>1</v>
      </c>
      <c r="AN43" s="35">
        <f t="shared" ca="1" si="5"/>
        <v>3.125</v>
      </c>
      <c r="AO43" s="36" t="str">
        <f ca="1">IFERROR(__xludf.DUMMYFUNCTION("IFERROR(INDEX(FILTER('充填效能'!$Q$2:$Q$1088, '充填效能'!$A$2:$A$1088=$C43, '充填效能'!$D$2:$D$1088=""充填""), 1), 0)"),"500")</f>
        <v>500</v>
      </c>
      <c r="AP43" s="36">
        <f ca="1">IFERROR(__xludf.DUMMYFUNCTION("IFERROR(INDEX(FILTER('充填效能'!$R$2:$R$1088, '充填效能'!$A$2:$A$1088=$C43, '充填效能'!$D$2:$D$1088=""充填""), 1), 0)"),3)</f>
        <v>3</v>
      </c>
      <c r="AQ43" s="35">
        <f t="shared" ca="1" si="6"/>
        <v>5</v>
      </c>
      <c r="AR43" s="17">
        <f t="shared" ca="1" si="7"/>
        <v>15</v>
      </c>
    </row>
    <row r="44" spans="1:44" ht="15.75" customHeight="1">
      <c r="A44" s="9" t="s">
        <v>153</v>
      </c>
      <c r="B44" s="34">
        <f t="shared" si="0"/>
        <v>44966</v>
      </c>
      <c r="C44" s="9" t="s">
        <v>50</v>
      </c>
      <c r="D44" s="17" t="str">
        <f t="shared" si="1"/>
        <v>AA17Z1</v>
      </c>
      <c r="E44" s="9" t="s">
        <v>51</v>
      </c>
      <c r="F44" s="9">
        <v>2385</v>
      </c>
      <c r="G44" s="10">
        <v>45085</v>
      </c>
      <c r="H44" s="10">
        <v>45075</v>
      </c>
      <c r="I44" s="10">
        <v>45022</v>
      </c>
      <c r="J44" s="10">
        <v>45065</v>
      </c>
      <c r="L44" s="17" t="str">
        <f ca="1">IFERROR(__xludf.DUMMYFUNCTION("TEXTJOIN("", "", TRUE, UNIQUE(FILTER('製造效能'!$D$2:$D$1732, '製造效能'!$B$2:$B$1732 = D44)))"),"大, 精")</f>
        <v>大, 精</v>
      </c>
      <c r="M44" s="17" t="str">
        <f ca="1">IFERROR(__xludf.DUMMYFUNCTION("INDEX(UNIQUE(FILTER('製造效能'!$D$2:$D$1732, ('製造效能'!$B$2:$B$1732 = D44) * ('製造效能'!$J$2:$J$1732 = MAXIFS('製造效能'!$J$2:$J$1732, '製造效能'!$B$2:$B$1732, D44)))), 1) 
"),"大")</f>
        <v>大</v>
      </c>
      <c r="N44" s="17" t="str">
        <f ca="1">IFERROR(__xludf.DUMMYFUNCTION("TEXTJOIN("", "", TRUE, UNIQUE(FILTER('製造效能'!$K$2:$K$1732, '製造效能'!$B$2:$B$1732 = D44)))"),"水項")</f>
        <v>水項</v>
      </c>
      <c r="O44" s="35">
        <f ca="1">IFERROR(__xludf.DUMMYFUNCTION("IFERROR(INDEX(FILTER('充填效能'!I$2:I$1088, '充填效能'!$A$2:$A$1088=$C44, '充填效能'!$D$2:$D$1088=""充填""), 1), 0)"),90)</f>
        <v>90</v>
      </c>
      <c r="P44" s="35" t="str">
        <f ca="1">IFERROR(__xludf.DUMMYFUNCTION("IFERROR(INDEX(FILTER('充填效能'!J$2:J$1088, '充填效能'!$A$2:$A$1088=$C44, '充填效能'!$D$2:$D$1088=""充填""), 1), 0)"),"")</f>
        <v/>
      </c>
      <c r="Q44" s="35" t="str">
        <f ca="1">IFERROR(__xludf.DUMMYFUNCTION("IFERROR(INDEX(FILTER('充填效能'!K$2:K$1088, '充填效能'!$A$2:$A$1088=$C44, '充填效能'!$D$2:$D$1088=""充填""), 1), 0)"),"")</f>
        <v/>
      </c>
      <c r="R44" s="35" t="str">
        <f ca="1">IFERROR(__xludf.DUMMYFUNCTION("IFERROR(INDEX(FILTER('充填效能'!L$2:L$1088, '充填效能'!$A$2:$A$1088=$C44, '充填效能'!$D$2:$D$1088=""充填""), 1), 0)"),"")</f>
        <v/>
      </c>
      <c r="S44" s="35">
        <f ca="1">COUNTIFS(製造效能!B:B, $D44,製造效能!D:D,M44)</f>
        <v>3</v>
      </c>
      <c r="T44" s="36">
        <f ca="1">IFERROR(__xludf.DUMMYFUNCTION("VALUE(REGEXEXTRACT(TO_TEXT(O44), ""\d*\.?\d+""))"),90)</f>
        <v>90</v>
      </c>
      <c r="U44" s="17">
        <f t="shared" ca="1" si="2"/>
        <v>217869.74999999997</v>
      </c>
      <c r="V44" s="17">
        <f ca="1">IFERROR(__xludf.DUMMYFUNCTION("IFERROR(INDEX(FILTER('製造效能'!J:J, '製造效能'!A:A=$C44, '製造效能'!D:D=M44, '製造效能'!E:E=""攪料""), 1), INDEX(FILTER('製造效能'!J:J, '製造效能'!B:B=$D44, '製造效能'!D:D=M44, '製造效能'!E:E=""攪料""), 1))"),367)</f>
        <v>367</v>
      </c>
      <c r="W44" s="36">
        <f ca="1">IFERROR(__xludf.DUMMYFUNCTION("IFERROR(INDEX(FILTER('製造效能'!G:G, '製造效能'!A:A=$C44, '製造效能'!D:D=M44, '製造效能'!E:E=""攪料""), 1), INDEX(FILTER('製造效能'!G:G, '製造效能'!B:B=$D44, '製造效能'!D:D=M44, '製造效能'!E:E=""攪料""), 1))"),90)</f>
        <v>90</v>
      </c>
      <c r="X44" s="35">
        <f t="shared" ca="1" si="3"/>
        <v>1</v>
      </c>
      <c r="Y44" s="35">
        <f t="shared" ca="1" si="4"/>
        <v>90</v>
      </c>
      <c r="Z44" s="35">
        <f ca="1">IFERROR(__xludf.DUMMYFUNCTION("IFERROR(IFERROR(INDEX(FILTER('製造效能'!G:G, '製造效能'!A:A=$C44, '製造效能'!D:D=M44, '製造效能'!E:E=""預攪""), 1), INDEX(FILTER('製造效能'!G:G, '製造效能'!B:B=$D44, '製造效能'!D:D=M44, '製造效能'!E:E=""預攪""), 1)), 0)"),50)</f>
        <v>50</v>
      </c>
      <c r="AA44" s="35">
        <f ca="1">IFERROR(__xludf.DUMMYFUNCTION("IFERROR(INDEX(FILTER('製造效能'!G:G, '製造效能'!A:A=$C44, '製造效能'!D:D=M44, '製造效能'!E:E=""清洗""), 1), INDEX(FILTER('製造效能'!G:G, '製造效能'!B:B=$D44, '製造效能'!D:D=M44, '製造效能'!E:E=""清洗""), 1))"),30)</f>
        <v>30</v>
      </c>
      <c r="AB44" s="35" t="str">
        <f ca="1">IFERROR(__xludf.DUMMYFUNCTION("IFERROR(INDEX(FILTER('製造效能'!N:N, '製造效能'!$A:$A=$C44, '製造效能'!$D:$D=$M44, '製造效能'!$E:$E=""攪料""), 1), INDEX(FILTER('製造效能'!N:N, '製造效能'!$B:$B=$D44, '製造效能'!$D:$D=$M44, '製造效能'!$E:$E=""攪料""), 1))"),"")</f>
        <v/>
      </c>
      <c r="AC44" s="35" t="str">
        <f ca="1">IFERROR(__xludf.DUMMYFUNCTION("IFERROR(INDEX(FILTER('製造效能'!O:O, '製造效能'!$A:$A=$C44, '製造效能'!$D:$D=$M44, '製造效能'!$E:$E=""攪料""), 1), INDEX(FILTER('製造效能'!O:O, '製造效能'!$B:$B=$D44, '製造效能'!$D:$D=$M44, '製造效能'!$E:$E=""攪料""), 1))"),"")</f>
        <v/>
      </c>
      <c r="AD44" s="35" t="str">
        <f ca="1">IFERROR(__xludf.DUMMYFUNCTION("IFERROR(INDEX(FILTER('製造效能'!P:P, '製造效能'!$A:$A=$C44, '製造效能'!$D:$D=$M44, '製造效能'!$E:$E=""攪料""), 1), INDEX(FILTER('製造效能'!P:P, '製造效能'!$B:$B=$D44, '製造效能'!$D:$D=$M44, '製造效能'!$E:$E=""攪料""), 1))"),"")</f>
        <v/>
      </c>
      <c r="AE44" s="35" t="str">
        <f ca="1">IFERROR(__xludf.DUMMYFUNCTION("IFERROR(INDEX(FILTER('製造效能'!Q:Q, '製造效能'!$A:$A=$C44, '製造效能'!$D:$D=$M44, '製造效能'!$E:$E=""攪料""), 1), INDEX(FILTER('製造效能'!Q:Q, '製造效能'!$B:$B=$D44, '製造效能'!$D:$D=$M44, '製造效能'!$E:$E=""攪料""), 1))"),"")</f>
        <v/>
      </c>
      <c r="AF44" s="35" t="str">
        <f ca="1">IFERROR(__xludf.DUMMYFUNCTION("IFERROR(INDEX(FILTER('製造效能'!R:R, '製造效能'!$A:$A=$C44, '製造效能'!$D:$D=$M44, '製造效能'!$E:$E=""攪料""), 1), INDEX(FILTER('製造效能'!R:R, '製造效能'!$B:$B=$D44, '製造效能'!$D:$D=$M44, '製造效能'!$E:$E=""攪料""), 1))"),"")</f>
        <v/>
      </c>
      <c r="AG44" s="35">
        <f ca="1">IFERROR(__xludf.DUMMYFUNCTION("IFERROR(INDEX(FILTER('製造效能'!S:S, '製造效能'!$A:$A=$C44, '製造效能'!$D:$D=$M44, '製造效能'!$E:$E=""攪料""), 1), INDEX(FILTER('製造效能'!S:S, '製造效能'!$B:$B=$D44, '製造效能'!$D:$D=$M44, '製造效能'!$E:$E=""攪料""), 1))"),1)</f>
        <v>1</v>
      </c>
      <c r="AH44" s="35" t="str">
        <f ca="1">IFERROR(__xludf.DUMMYFUNCTION("IFERROR(INDEX(FILTER('製造效能'!T:T, '製造效能'!$A:$A=$C44, '製造效能'!$D:$D=$M44, '製造效能'!$E:$E=""攪料""), 1), INDEX(FILTER('製造效能'!T:T, '製造效能'!$B:$B=$D44, '製造效能'!$D:$D=$M44, '製造效能'!$E:$E=""攪料""), 1))"),"")</f>
        <v/>
      </c>
      <c r="AI44" s="35" t="str">
        <f ca="1">IFERROR(__xludf.DUMMYFUNCTION("IFERROR(INDEX(FILTER('製造效能'!U:U, '製造效能'!$A:$A=$C44, '製造效能'!$D:$D=$M44, '製造效能'!$E:$E=""攪料""), 1), INDEX(FILTER('製造效能'!U:U, '製造效能'!$B:$B=$D44, '製造效能'!$D:$D=$M44, '製造效能'!$E:$E=""攪料""), 1))"),"")</f>
        <v/>
      </c>
      <c r="AJ44" s="35" t="str">
        <f ca="1">IFERROR(__xludf.DUMMYFUNCTION("IFERROR(INDEX(FILTER('製造效能'!V:V, '製造效能'!$A:$A=$C44, '製造效能'!$D:$D=$M44, '製造效能'!$E:$E=""攪料""), 1), INDEX(FILTER('製造效能'!V:V, '製造效能'!$B:$B=$D44, '製造效能'!$D:$D=$M44, '製造效能'!$E:$E=""攪料""), 1))"),"")</f>
        <v/>
      </c>
      <c r="AK44" s="35">
        <f>COUNTIF(充填效能!$A:$A, $C44)</f>
        <v>2</v>
      </c>
      <c r="AL44" s="36" t="str">
        <f ca="1">IFERROR(__xludf.DUMMYFUNCTION("IFERROR(INDEX(FILTER('充填效能'!$Q$2:$Q$1088, '充填效能'!$A$2:$A$1088=$C44, '充填效能'!$D$2:$D$1088=""排瓶""), 1), 0)"),"1300")</f>
        <v>1300</v>
      </c>
      <c r="AM44" s="36">
        <f ca="1">IFERROR(__xludf.DUMMYFUNCTION("IFERROR(INDEX(FILTER('充填效能'!$R$2:$R$1088, '充填效能'!$A$2:$A$1088=$C44, '充填效能'!$D$2:$D$1088=""排瓶""), 1), 0)"),1)</f>
        <v>1</v>
      </c>
      <c r="AN44" s="35">
        <f t="shared" ca="1" si="5"/>
        <v>1.8346153846153845</v>
      </c>
      <c r="AO44" s="36" t="str">
        <f ca="1">IFERROR(__xludf.DUMMYFUNCTION("IFERROR(INDEX(FILTER('充填效能'!$Q$2:$Q$1088, '充填效能'!$A$2:$A$1088=$C44, '充填效能'!$D$2:$D$1088=""充填""), 1), 0)"),"900")</f>
        <v>900</v>
      </c>
      <c r="AP44" s="36">
        <f ca="1">IFERROR(__xludf.DUMMYFUNCTION("IFERROR(INDEX(FILTER('充填效能'!$R$2:$R$1088, '充填效能'!$A$2:$A$1088=$C44, '充填效能'!$D$2:$D$1088=""充填""), 1), 0)"),4)</f>
        <v>4</v>
      </c>
      <c r="AQ44" s="35">
        <f t="shared" ca="1" si="6"/>
        <v>2.65</v>
      </c>
      <c r="AR44" s="17">
        <f t="shared" ca="1" si="7"/>
        <v>10.6</v>
      </c>
    </row>
    <row r="45" spans="1:44" ht="15.75" customHeight="1">
      <c r="A45" s="9" t="s">
        <v>156</v>
      </c>
      <c r="B45" s="34">
        <f t="shared" si="0"/>
        <v>44966</v>
      </c>
      <c r="C45" s="9" t="s">
        <v>167</v>
      </c>
      <c r="D45" s="17" t="str">
        <f t="shared" si="1"/>
        <v>N1REE1</v>
      </c>
      <c r="E45" s="9" t="s">
        <v>168</v>
      </c>
      <c r="F45" s="9">
        <v>10000</v>
      </c>
      <c r="G45" s="10">
        <v>45086</v>
      </c>
      <c r="H45" s="10">
        <v>45076</v>
      </c>
      <c r="I45" s="10">
        <v>45055</v>
      </c>
      <c r="J45" s="10">
        <v>45050</v>
      </c>
      <c r="L45" s="17" t="str">
        <f ca="1">IFERROR(__xludf.DUMMYFUNCTION("TEXTJOIN("", "", TRUE, UNIQUE(FILTER('製造效能'!$D$2:$D$1732, '製造效能'!$B$2:$B$1732 = D45)))"),"小乳, 大乳")</f>
        <v>小乳, 大乳</v>
      </c>
      <c r="M45" s="17" t="str">
        <f ca="1">IFERROR(__xludf.DUMMYFUNCTION("INDEX(UNIQUE(FILTER('製造效能'!$D$2:$D$1732, ('製造效能'!$B$2:$B$1732 = D45) * ('製造效能'!$J$2:$J$1732 = MAXIFS('製造效能'!$J$2:$J$1732, '製造效能'!$B$2:$B$1732, D45)))), 1) 
"),"大乳")</f>
        <v>大乳</v>
      </c>
      <c r="N45" s="17" t="str">
        <f ca="1">IFERROR(__xludf.DUMMYFUNCTION("TEXTJOIN("", "", TRUE, UNIQUE(FILTER('製造效能'!$K$2:$K$1732, '製造效能'!$B$2:$B$1732 = D45)))"),"乳項")</f>
        <v>乳項</v>
      </c>
      <c r="P45" s="35" t="str">
        <f ca="1">IFERROR(__xludf.DUMMYFUNCTION("IFERROR(INDEX(FILTER('充填效能'!J$2:J$1088, '充填效能'!$A$2:$A$1088=$C45, '充填效能'!$D$2:$D$1088=""充填""), 1), 0)"),"")</f>
        <v/>
      </c>
      <c r="Q45" s="35" t="str">
        <f ca="1">IFERROR(__xludf.DUMMYFUNCTION("IFERROR(INDEX(FILTER('充填效能'!K$2:K$1088, '充填效能'!$A$2:$A$1088=$C45, '充填效能'!$D$2:$D$1088=""充填""), 1), 0)"),"")</f>
        <v/>
      </c>
      <c r="R45" s="35">
        <f ca="1">IFERROR(__xludf.DUMMYFUNCTION("IFERROR(INDEX(FILTER('充填效能'!I$2:I$1088, '充填效能'!$A$2:$A$1088=$C45, '充填效能'!$D$2:$D$1088=""充填""), 1), 0)"),30)</f>
        <v>30</v>
      </c>
      <c r="S45" s="35">
        <f ca="1">COUNTIFS(製造效能!B:B, $D45,製造效能!D:D,M45)</f>
        <v>3</v>
      </c>
      <c r="T45" s="36">
        <f ca="1">IFERROR(__xludf.DUMMYFUNCTION("VALUE(REGEXEXTRACT(TO_TEXT(R45), ""\d*\.?\d+""))"),30)</f>
        <v>30</v>
      </c>
      <c r="U45" s="17">
        <f t="shared" ca="1" si="2"/>
        <v>304499.99999999994</v>
      </c>
      <c r="V45" s="17">
        <f ca="1">IFERROR(__xludf.DUMMYFUNCTION("IFERROR(INDEX(FILTER('製造效能'!J:J, '製造效能'!A:A=$C45, '製造效能'!D:D=M45, '製造效能'!E:E=""攪料""), 1), INDEX(FILTER('製造效能'!J:J, '製造效能'!B:B=$D45, '製造效能'!D:D=M45, '製造效能'!E:E=""攪料""), 1))"),103)</f>
        <v>103</v>
      </c>
      <c r="W45" s="36">
        <f ca="1">IFERROR(__xludf.DUMMYFUNCTION("IFERROR(INDEX(FILTER('製造效能'!G:G, '製造效能'!A:A=$C45, '製造效能'!D:D=M45, '製造效能'!E:E=""攪料""), 1), INDEX(FILTER('製造效能'!G:G, '製造效能'!B:B=$D45, '製造效能'!D:D=M45, '製造效能'!E:E=""攪料""), 1))"),180)</f>
        <v>180</v>
      </c>
      <c r="X45" s="35">
        <f t="shared" ca="1" si="3"/>
        <v>3</v>
      </c>
      <c r="Y45" s="35">
        <f t="shared" ca="1" si="4"/>
        <v>540</v>
      </c>
      <c r="Z45" s="35">
        <f ca="1">IFERROR(__xludf.DUMMYFUNCTION("IFERROR(IFERROR(INDEX(FILTER('製造效能'!G:G, '製造效能'!A:A=$C45, '製造效能'!D:D=M45, '製造效能'!E:E=""預攪""), 1), INDEX(FILTER('製造效能'!G:G, '製造效能'!B:B=$D45, '製造效能'!D:D=M45, '製造效能'!E:E=""預攪""), 1)), 0)"),25)</f>
        <v>25</v>
      </c>
      <c r="AA45" s="35">
        <f ca="1">IFERROR(__xludf.DUMMYFUNCTION("IFERROR(INDEX(FILTER('製造效能'!G:G, '製造效能'!A:A=$C45, '製造效能'!D:D=M45, '製造效能'!E:E=""清洗""), 1), INDEX(FILTER('製造效能'!G:G, '製造效能'!B:B=$D45, '製造效能'!D:D=M45, '製造效能'!E:E=""清洗""), 1))"),40)</f>
        <v>40</v>
      </c>
      <c r="AB45" s="35" t="str">
        <f ca="1">IFERROR(__xludf.DUMMYFUNCTION("IFERROR(INDEX(FILTER('製造效能'!N:N, '製造效能'!$A:$A=$C45, '製造效能'!$D:$D=$M45, '製造效能'!$E:$E=""攪料""), 1), INDEX(FILTER('製造效能'!N:N, '製造效能'!$B:$B=$D45, '製造效能'!$D:$D=$M45, '製造效能'!$E:$E=""攪料""), 1))"),"")</f>
        <v/>
      </c>
      <c r="AC45" s="35" t="str">
        <f ca="1">IFERROR(__xludf.DUMMYFUNCTION("IFERROR(INDEX(FILTER('製造效能'!O:O, '製造效能'!$A:$A=$C45, '製造效能'!$D:$D=$M45, '製造效能'!$E:$E=""攪料""), 1), INDEX(FILTER('製造效能'!O:O, '製造效能'!$B:$B=$D45, '製造效能'!$D:$D=$M45, '製造效能'!$E:$E=""攪料""), 1))"),"")</f>
        <v/>
      </c>
      <c r="AD45" s="35" t="str">
        <f ca="1">IFERROR(__xludf.DUMMYFUNCTION("IFERROR(INDEX(FILTER('製造效能'!P:P, '製造效能'!$A:$A=$C45, '製造效能'!$D:$D=$M45, '製造效能'!$E:$E=""攪料""), 1), INDEX(FILTER('製造效能'!P:P, '製造效能'!$B:$B=$D45, '製造效能'!$D:$D=$M45, '製造效能'!$E:$E=""攪料""), 1))"),"")</f>
        <v/>
      </c>
      <c r="AE45" s="35">
        <f ca="1">IFERROR(__xludf.DUMMYFUNCTION("IFERROR(INDEX(FILTER('製造效能'!Q:Q, '製造效能'!$A:$A=$C45, '製造效能'!$D:$D=$M45, '製造效能'!$E:$E=""攪料""), 1), INDEX(FILTER('製造效能'!Q:Q, '製造效能'!$B:$B=$D45, '製造效能'!$D:$D=$M45, '製造效能'!$E:$E=""攪料""), 1))"),1)</f>
        <v>1</v>
      </c>
      <c r="AF45" s="35" t="str">
        <f ca="1">IFERROR(__xludf.DUMMYFUNCTION("IFERROR(INDEX(FILTER('製造效能'!R:R, '製造效能'!$A:$A=$C45, '製造效能'!$D:$D=$M45, '製造效能'!$E:$E=""攪料""), 1), INDEX(FILTER('製造效能'!R:R, '製造效能'!$B:$B=$D45, '製造效能'!$D:$D=$M45, '製造效能'!$E:$E=""攪料""), 1))"),"")</f>
        <v/>
      </c>
      <c r="AG45" s="35" t="str">
        <f ca="1">IFERROR(__xludf.DUMMYFUNCTION("IFERROR(INDEX(FILTER('製造效能'!S:S, '製造效能'!$A:$A=$C45, '製造效能'!$D:$D=$M45, '製造效能'!$E:$E=""攪料""), 1), INDEX(FILTER('製造效能'!S:S, '製造效能'!$B:$B=$D45, '製造效能'!$D:$D=$M45, '製造效能'!$E:$E=""攪料""), 1))"),"")</f>
        <v/>
      </c>
      <c r="AH45" s="35" t="str">
        <f ca="1">IFERROR(__xludf.DUMMYFUNCTION("IFERROR(INDEX(FILTER('製造效能'!T:T, '製造效能'!$A:$A=$C45, '製造效能'!$D:$D=$M45, '製造效能'!$E:$E=""攪料""), 1), INDEX(FILTER('製造效能'!T:T, '製造效能'!$B:$B=$D45, '製造效能'!$D:$D=$M45, '製造效能'!$E:$E=""攪料""), 1))"),"")</f>
        <v/>
      </c>
      <c r="AI45" s="35" t="str">
        <f ca="1">IFERROR(__xludf.DUMMYFUNCTION("IFERROR(INDEX(FILTER('製造效能'!U:U, '製造效能'!$A:$A=$C45, '製造效能'!$D:$D=$M45, '製造效能'!$E:$E=""攪料""), 1), INDEX(FILTER('製造效能'!U:U, '製造效能'!$B:$B=$D45, '製造效能'!$D:$D=$M45, '製造效能'!$E:$E=""攪料""), 1))"),"")</f>
        <v/>
      </c>
      <c r="AJ45" s="35" t="str">
        <f ca="1">IFERROR(__xludf.DUMMYFUNCTION("IFERROR(INDEX(FILTER('製造效能'!V:V, '製造效能'!$A:$A=$C45, '製造效能'!$D:$D=$M45, '製造效能'!$E:$E=""攪料""), 1), INDEX(FILTER('製造效能'!V:V, '製造效能'!$B:$B=$D45, '製造效能'!$D:$D=$M45, '製造效能'!$E:$E=""攪料""), 1))"),"")</f>
        <v/>
      </c>
      <c r="AK45" s="35">
        <f>COUNTIF(充填效能!$A:$A, $C45)</f>
        <v>2</v>
      </c>
      <c r="AL45" s="36" t="str">
        <f ca="1">IFERROR(__xludf.DUMMYFUNCTION("IFERROR(INDEX(FILTER('充填效能'!$Q$2:$Q$1088, '充填效能'!$A$2:$A$1088=$C45, '充填效能'!$D$2:$D$1088=""排瓶""), 1), 0)"),"1500")</f>
        <v>1500</v>
      </c>
      <c r="AM45" s="36">
        <f ca="1">IFERROR(__xludf.DUMMYFUNCTION("IFERROR(INDEX(FILTER('充填效能'!$R$2:$R$1088, '充填效能'!$A$2:$A$1088=$C45, '充填效能'!$D$2:$D$1088=""排瓶""), 1), 0)"),1)</f>
        <v>1</v>
      </c>
      <c r="AN45" s="35">
        <f t="shared" ca="1" si="5"/>
        <v>6.666666666666667</v>
      </c>
      <c r="AO45" s="36" t="str">
        <f ca="1">IFERROR(__xludf.DUMMYFUNCTION("IFERROR(INDEX(FILTER('充填效能'!$Q$2:$Q$1088, '充填效能'!$A$2:$A$1088=$C45, '充填效能'!$D$2:$D$1088=""充填""), 1), 0)"),"1300")</f>
        <v>1300</v>
      </c>
      <c r="AP45" s="36">
        <f ca="1">IFERROR(__xludf.DUMMYFUNCTION("IFERROR(INDEX(FILTER('充填效能'!$R$2:$R$1088, '充填效能'!$A$2:$A$1088=$C45, '充填效能'!$D$2:$D$1088=""充填""), 1), 0)"),4)</f>
        <v>4</v>
      </c>
      <c r="AQ45" s="35">
        <f t="shared" ca="1" si="6"/>
        <v>7.6923076923076925</v>
      </c>
      <c r="AR45" s="17">
        <f t="shared" ca="1" si="7"/>
        <v>30.76923076923077</v>
      </c>
    </row>
    <row r="46" spans="1:44" ht="15.75" customHeight="1">
      <c r="A46" s="9" t="s">
        <v>166</v>
      </c>
      <c r="B46" s="34">
        <f t="shared" si="0"/>
        <v>45050</v>
      </c>
      <c r="C46" s="9" t="s">
        <v>207</v>
      </c>
      <c r="D46" s="17" t="str">
        <f t="shared" si="1"/>
        <v>FH21D1</v>
      </c>
      <c r="E46" s="9" t="s">
        <v>208</v>
      </c>
      <c r="F46" s="9">
        <v>2500</v>
      </c>
      <c r="G46" s="10">
        <v>45103</v>
      </c>
      <c r="H46" s="10">
        <v>45076</v>
      </c>
      <c r="I46" s="10">
        <v>45010</v>
      </c>
      <c r="J46" s="10">
        <v>45010</v>
      </c>
      <c r="L46" s="17" t="str">
        <f ca="1">IFERROR(__xludf.DUMMYFUNCTION("TEXTJOIN("", "", TRUE, UNIQUE(FILTER('製造效能'!$D$2:$D$1732, '製造效能'!$B$2:$B$1732 = D46)))"),"精")</f>
        <v>精</v>
      </c>
      <c r="M46" s="17" t="str">
        <f ca="1">IFERROR(__xludf.DUMMYFUNCTION("INDEX(UNIQUE(FILTER('製造效能'!$D$2:$D$1732, ('製造效能'!$B$2:$B$1732 = D46) * ('製造效能'!$J$2:$J$1732 = MAXIFS('製造效能'!$J$2:$J$1732, '製造效能'!$B$2:$B$1732, D46)))), 1) 
"),"精")</f>
        <v>精</v>
      </c>
      <c r="N46" s="17" t="str">
        <f ca="1">IFERROR(__xludf.DUMMYFUNCTION("TEXTJOIN("", "", TRUE, UNIQUE(FILTER('製造效能'!$K$2:$K$1732, '製造效能'!$B$2:$B$1732 = D46)))"),"水項")</f>
        <v>水項</v>
      </c>
      <c r="O46" s="35">
        <f ca="1">IFERROR(__xludf.DUMMYFUNCTION("IFERROR(INDEX(FILTER('充填效能'!I$2:I$1088, '充填效能'!$A$2:$A$1088=$C46, '充填效能'!$D$2:$D$1088=""充填""), 1), 0)"),30.5)</f>
        <v>30.5</v>
      </c>
      <c r="P46" s="35" t="str">
        <f ca="1">IFERROR(__xludf.DUMMYFUNCTION("IFERROR(INDEX(FILTER('充填效能'!J$2:J$1088, '充填效能'!$A$2:$A$1088=$C46, '充填效能'!$D$2:$D$1088=""充填""), 1), 0)"),"")</f>
        <v/>
      </c>
      <c r="Q46" s="35" t="str">
        <f ca="1">IFERROR(__xludf.DUMMYFUNCTION("IFERROR(INDEX(FILTER('充填效能'!K$2:K$1088, '充填效能'!$A$2:$A$1088=$C46, '充填效能'!$D$2:$D$1088=""充填""), 1), 0)"),"")</f>
        <v/>
      </c>
      <c r="R46" s="35" t="str">
        <f ca="1">IFERROR(__xludf.DUMMYFUNCTION("IFERROR(INDEX(FILTER('充填效能'!L$2:L$1088, '充填效能'!$A$2:$A$1088=$C46, '充填效能'!$D$2:$D$1088=""充填""), 1), 0)"),"")</f>
        <v/>
      </c>
      <c r="S46" s="35">
        <f ca="1">COUNTIFS(製造效能!B:B, $D46,製造效能!D:D,M46)</f>
        <v>3</v>
      </c>
      <c r="T46" s="36">
        <f ca="1">IFERROR(__xludf.DUMMYFUNCTION("VALUE(REGEXEXTRACT(TO_TEXT(O46), ""\d*\.?\d+""))"),30.5)</f>
        <v>30.5</v>
      </c>
      <c r="U46" s="17">
        <f t="shared" ca="1" si="2"/>
        <v>77393.749999999985</v>
      </c>
      <c r="V46" s="17">
        <f ca="1">IFERROR(__xludf.DUMMYFUNCTION("IFERROR(INDEX(FILTER('製造效能'!J:J, '製造效能'!A:A=$C46, '製造效能'!D:D=M46, '製造效能'!E:E=""攪料""), 1), INDEX(FILTER('製造效能'!J:J, '製造效能'!B:B=$D46, '製造效能'!D:D=M46, '製造效能'!E:E=""攪料""), 1))"),100)</f>
        <v>100</v>
      </c>
      <c r="W46" s="36">
        <f ca="1">IFERROR(__xludf.DUMMYFUNCTION("IFERROR(INDEX(FILTER('製造效能'!G:G, '製造效能'!A:A=$C46, '製造效能'!D:D=M46, '製造效能'!E:E=""攪料""), 1), INDEX(FILTER('製造效能'!G:G, '製造效能'!B:B=$D46, '製造效能'!D:D=M46, '製造效能'!E:E=""攪料""), 1))"),50)</f>
        <v>50</v>
      </c>
      <c r="X46" s="35">
        <f t="shared" ca="1" si="3"/>
        <v>1</v>
      </c>
      <c r="Y46" s="35">
        <f t="shared" ca="1" si="4"/>
        <v>50</v>
      </c>
      <c r="Z46" s="35">
        <f ca="1">IFERROR(__xludf.DUMMYFUNCTION("IFERROR(IFERROR(INDEX(FILTER('製造效能'!G:G, '製造效能'!A:A=$C46, '製造效能'!D:D=M46, '製造效能'!E:E=""預攪""), 1), INDEX(FILTER('製造效能'!G:G, '製造效能'!B:B=$D46, '製造效能'!D:D=M46, '製造效能'!E:E=""預攪""), 1)), 0)"),90)</f>
        <v>90</v>
      </c>
      <c r="AA46" s="35">
        <f ca="1">IFERROR(__xludf.DUMMYFUNCTION("IFERROR(INDEX(FILTER('製造效能'!G:G, '製造效能'!A:A=$C46, '製造效能'!D:D=M46, '製造效能'!E:E=""清洗""), 1), INDEX(FILTER('製造效能'!G:G, '製造效能'!B:B=$D46, '製造效能'!D:D=M46, '製造效能'!E:E=""清洗""), 1))"),10)</f>
        <v>10</v>
      </c>
      <c r="AB46" s="35" t="str">
        <f ca="1">IFERROR(__xludf.DUMMYFUNCTION("IFERROR(INDEX(FILTER('製造效能'!N:N, '製造效能'!$A:$A=$C46, '製造效能'!$D:$D=$M46, '製造效能'!$E:$E=""攪料""), 1), INDEX(FILTER('製造效能'!N:N, '製造效能'!$B:$B=$D46, '製造效能'!$D:$D=$M46, '製造效能'!$E:$E=""攪料""), 1))"),"")</f>
        <v/>
      </c>
      <c r="AC46" s="35">
        <f ca="1">IFERROR(__xludf.DUMMYFUNCTION("IFERROR(INDEX(FILTER('製造效能'!O:O, '製造效能'!$A:$A=$C46, '製造效能'!$D:$D=$M46, '製造效能'!$E:$E=""攪料""), 1), INDEX(FILTER('製造效能'!O:O, '製造效能'!$B:$B=$D46, '製造效能'!$D:$D=$M46, '製造效能'!$E:$E=""攪料""), 1))"),1)</f>
        <v>1</v>
      </c>
      <c r="AD46" s="35" t="str">
        <f ca="1">IFERROR(__xludf.DUMMYFUNCTION("IFERROR(INDEX(FILTER('製造效能'!P:P, '製造效能'!$A:$A=$C46, '製造效能'!$D:$D=$M46, '製造效能'!$E:$E=""攪料""), 1), INDEX(FILTER('製造效能'!P:P, '製造效能'!$B:$B=$D46, '製造效能'!$D:$D=$M46, '製造效能'!$E:$E=""攪料""), 1))"),"")</f>
        <v/>
      </c>
      <c r="AE46" s="35" t="str">
        <f ca="1">IFERROR(__xludf.DUMMYFUNCTION("IFERROR(INDEX(FILTER('製造效能'!Q:Q, '製造效能'!$A:$A=$C46, '製造效能'!$D:$D=$M46, '製造效能'!$E:$E=""攪料""), 1), INDEX(FILTER('製造效能'!Q:Q, '製造效能'!$B:$B=$D46, '製造效能'!$D:$D=$M46, '製造效能'!$E:$E=""攪料""), 1))"),"")</f>
        <v/>
      </c>
      <c r="AF46" s="35" t="str">
        <f ca="1">IFERROR(__xludf.DUMMYFUNCTION("IFERROR(INDEX(FILTER('製造效能'!R:R, '製造效能'!$A:$A=$C46, '製造效能'!$D:$D=$M46, '製造效能'!$E:$E=""攪料""), 1), INDEX(FILTER('製造效能'!R:R, '製造效能'!$B:$B=$D46, '製造效能'!$D:$D=$M46, '製造效能'!$E:$E=""攪料""), 1))"),"")</f>
        <v/>
      </c>
      <c r="AG46" s="35" t="str">
        <f ca="1">IFERROR(__xludf.DUMMYFUNCTION("IFERROR(INDEX(FILTER('製造效能'!S:S, '製造效能'!$A:$A=$C46, '製造效能'!$D:$D=$M46, '製造效能'!$E:$E=""攪料""), 1), INDEX(FILTER('製造效能'!S:S, '製造效能'!$B:$B=$D46, '製造效能'!$D:$D=$M46, '製造效能'!$E:$E=""攪料""), 1))"),"")</f>
        <v/>
      </c>
      <c r="AH46" s="35" t="str">
        <f ca="1">IFERROR(__xludf.DUMMYFUNCTION("IFERROR(INDEX(FILTER('製造效能'!T:T, '製造效能'!$A:$A=$C46, '製造效能'!$D:$D=$M46, '製造效能'!$E:$E=""攪料""), 1), INDEX(FILTER('製造效能'!T:T, '製造效能'!$B:$B=$D46, '製造效能'!$D:$D=$M46, '製造效能'!$E:$E=""攪料""), 1))"),"")</f>
        <v/>
      </c>
      <c r="AI46" s="35" t="str">
        <f ca="1">IFERROR(__xludf.DUMMYFUNCTION("IFERROR(INDEX(FILTER('製造效能'!U:U, '製造效能'!$A:$A=$C46, '製造效能'!$D:$D=$M46, '製造效能'!$E:$E=""攪料""), 1), INDEX(FILTER('製造效能'!U:U, '製造效能'!$B:$B=$D46, '製造效能'!$D:$D=$M46, '製造效能'!$E:$E=""攪料""), 1))"),"")</f>
        <v/>
      </c>
      <c r="AJ46" s="35" t="str">
        <f ca="1">IFERROR(__xludf.DUMMYFUNCTION("IFERROR(INDEX(FILTER('製造效能'!V:V, '製造效能'!$A:$A=$C46, '製造效能'!$D:$D=$M46, '製造效能'!$E:$E=""攪料""), 1), INDEX(FILTER('製造效能'!V:V, '製造效能'!$B:$B=$D46, '製造效能'!$D:$D=$M46, '製造效能'!$E:$E=""攪料""), 1))"),"")</f>
        <v/>
      </c>
      <c r="AK46" s="35">
        <f>COUNTIF(充填效能!$A:$A, $C46)</f>
        <v>2</v>
      </c>
      <c r="AL46" s="36" t="str">
        <f ca="1">IFERROR(__xludf.DUMMYFUNCTION("IFERROR(INDEX(FILTER('充填效能'!$Q$2:$Q$1088, '充填效能'!$A$2:$A$1088=$C46, '充填效能'!$D$2:$D$1088=""排瓶""), 1), 0)"),"800")</f>
        <v>800</v>
      </c>
      <c r="AM46" s="36">
        <f ca="1">IFERROR(__xludf.DUMMYFUNCTION("IFERROR(INDEX(FILTER('充填效能'!$R$2:$R$1088, '充填效能'!$A$2:$A$1088=$C46, '充填效能'!$D$2:$D$1088=""排瓶""), 1), 0)"),1)</f>
        <v>1</v>
      </c>
      <c r="AN46" s="35">
        <f t="shared" ca="1" si="5"/>
        <v>3.125</v>
      </c>
      <c r="AO46" s="36" t="str">
        <f ca="1">IFERROR(__xludf.DUMMYFUNCTION("IFERROR(INDEX(FILTER('充填效能'!$Q$2:$Q$1088, '充填效能'!$A$2:$A$1088=$C46, '充填效能'!$D$2:$D$1088=""充填""), 1), 0)"),"1000")</f>
        <v>1000</v>
      </c>
      <c r="AP46" s="36">
        <f ca="1">IFERROR(__xludf.DUMMYFUNCTION("IFERROR(INDEX(FILTER('充填效能'!$R$2:$R$1088, '充填效能'!$A$2:$A$1088=$C46, '充填效能'!$D$2:$D$1088=""充填""), 1), 0)"),4)</f>
        <v>4</v>
      </c>
      <c r="AQ46" s="35">
        <f t="shared" ca="1" si="6"/>
        <v>2.5</v>
      </c>
      <c r="AR46" s="17">
        <f t="shared" ca="1" si="7"/>
        <v>10</v>
      </c>
    </row>
    <row r="47" spans="1:44" ht="15.75" customHeight="1">
      <c r="A47" s="9" t="s">
        <v>159</v>
      </c>
      <c r="B47" s="34">
        <f t="shared" si="0"/>
        <v>45029</v>
      </c>
      <c r="C47" s="9" t="s">
        <v>173</v>
      </c>
      <c r="D47" s="17" t="str">
        <f t="shared" si="1"/>
        <v>AA20H2</v>
      </c>
      <c r="E47" s="9" t="s">
        <v>174</v>
      </c>
      <c r="F47" s="9">
        <v>2500</v>
      </c>
      <c r="G47" s="10">
        <v>45090</v>
      </c>
      <c r="H47" s="10">
        <v>45076</v>
      </c>
      <c r="I47" s="10">
        <v>45062</v>
      </c>
      <c r="J47" s="10">
        <v>44992</v>
      </c>
      <c r="L47" s="17" t="str">
        <f ca="1">IFERROR(__xludf.DUMMYFUNCTION("TEXTJOIN("", "", TRUE, UNIQUE(FILTER('製造效能'!$D$2:$D$1732, '製造效能'!$B$2:$B$1732 = D47)))"),"小乳")</f>
        <v>小乳</v>
      </c>
      <c r="M47" s="17" t="str">
        <f ca="1">IFERROR(__xludf.DUMMYFUNCTION("INDEX(UNIQUE(FILTER('製造效能'!$D$2:$D$1732, ('製造效能'!$B$2:$B$1732 = D47) * ('製造效能'!$J$2:$J$1732 = MAXIFS('製造效能'!$J$2:$J$1732, '製造效能'!$B$2:$B$1732, D47)))), 1) 
"),"小乳")</f>
        <v>小乳</v>
      </c>
      <c r="N47" s="17" t="str">
        <f ca="1">IFERROR(__xludf.DUMMYFUNCTION("TEXTJOIN("", "", TRUE, UNIQUE(FILTER('製造效能'!$K$2:$K$1732, '製造效能'!$B$2:$B$1732 = D47)))"),"乳項")</f>
        <v>乳項</v>
      </c>
      <c r="P47" s="35" t="str">
        <f ca="1">IFERROR(__xludf.DUMMYFUNCTION("IFERROR(INDEX(FILTER('充填效能'!J$2:J$1088, '充填效能'!$A$2:$A$1088=$C47, '充填效能'!$D$2:$D$1088=""充填""), 1), 0)"),"")</f>
        <v/>
      </c>
      <c r="Q47" s="35" t="str">
        <f ca="1">IFERROR(__xludf.DUMMYFUNCTION("IFERROR(INDEX(FILTER('充填效能'!K$2:K$1088, '充填效能'!$A$2:$A$1088=$C47, '充填效能'!$D$2:$D$1088=""充填""), 1), 0)"),"")</f>
        <v/>
      </c>
      <c r="R47" s="35">
        <f ca="1">IFERROR(__xludf.DUMMYFUNCTION("IFERROR(INDEX(FILTER('充填效能'!I$2:I$1088, '充填效能'!$A$2:$A$1088=$C47, '充填效能'!$D$2:$D$1088=""充填""), 1), 0)"),40)</f>
        <v>40</v>
      </c>
      <c r="S47" s="35">
        <f ca="1">COUNTIFS(製造效能!B:B, $D47,製造效能!D:D,M47)</f>
        <v>3</v>
      </c>
      <c r="T47" s="36">
        <f ca="1">IFERROR(__xludf.DUMMYFUNCTION("VALUE(REGEXEXTRACT(TO_TEXT(R47), ""\d*\.?\d+""))"),40)</f>
        <v>40</v>
      </c>
      <c r="U47" s="17">
        <f t="shared" ca="1" si="2"/>
        <v>101499.99999999999</v>
      </c>
      <c r="V47" s="17">
        <f ca="1">IFERROR(__xludf.DUMMYFUNCTION("IFERROR(INDEX(FILTER('製造效能'!J:J, '製造效能'!A:A=$C47, '製造效能'!D:D=M47, '製造效能'!E:E=""攪料""), 1), INDEX(FILTER('製造效能'!J:J, '製造效能'!B:B=$D47, '製造效能'!D:D=M47, '製造效能'!E:E=""攪料""), 1))"),52)</f>
        <v>52</v>
      </c>
      <c r="W47" s="36">
        <f ca="1">IFERROR(__xludf.DUMMYFUNCTION("IFERROR(INDEX(FILTER('製造效能'!G:G, '製造效能'!A:A=$C47, '製造效能'!D:D=M47, '製造效能'!E:E=""攪料""), 1), INDEX(FILTER('製造效能'!G:G, '製造效能'!B:B=$D47, '製造效能'!D:D=M47, '製造效能'!E:E=""攪料""), 1))"),120)</f>
        <v>120</v>
      </c>
      <c r="X47" s="35">
        <f t="shared" ca="1" si="3"/>
        <v>2</v>
      </c>
      <c r="Y47" s="35">
        <f t="shared" ca="1" si="4"/>
        <v>240</v>
      </c>
      <c r="Z47" s="35">
        <f ca="1">IFERROR(__xludf.DUMMYFUNCTION("IFERROR(IFERROR(INDEX(FILTER('製造效能'!G:G, '製造效能'!A:A=$C47, '製造效能'!D:D=M47, '製造效能'!E:E=""預攪""), 1), INDEX(FILTER('製造效能'!G:G, '製造效能'!B:B=$D47, '製造效能'!D:D=M47, '製造效能'!E:E=""預攪""), 1)), 0)"),105)</f>
        <v>105</v>
      </c>
      <c r="AA47" s="35">
        <f ca="1">IFERROR(__xludf.DUMMYFUNCTION("IFERROR(INDEX(FILTER('製造效能'!G:G, '製造效能'!A:A=$C47, '製造效能'!D:D=M47, '製造效能'!E:E=""清洗""), 1), INDEX(FILTER('製造效能'!G:G, '製造效能'!B:B=$D47, '製造效能'!D:D=M47, '製造效能'!E:E=""清洗""), 1))"),90)</f>
        <v>90</v>
      </c>
      <c r="AB47" s="35" t="str">
        <f ca="1">IFERROR(__xludf.DUMMYFUNCTION("IFERROR(INDEX(FILTER('製造效能'!N:N, '製造效能'!$A:$A=$C47, '製造效能'!$D:$D=$M47, '製造效能'!$E:$E=""攪料""), 1), INDEX(FILTER('製造效能'!N:N, '製造效能'!$B:$B=$D47, '製造效能'!$D:$D=$M47, '製造效能'!$E:$E=""攪料""), 1))"),"")</f>
        <v/>
      </c>
      <c r="AC47" s="35">
        <f ca="1">IFERROR(__xludf.DUMMYFUNCTION("IFERROR(INDEX(FILTER('製造效能'!O:O, '製造效能'!$A:$A=$C47, '製造效能'!$D:$D=$M47, '製造效能'!$E:$E=""攪料""), 1), INDEX(FILTER('製造效能'!O:O, '製造效能'!$B:$B=$D47, '製造效能'!$D:$D=$M47, '製造效能'!$E:$E=""攪料""), 1))"),1)</f>
        <v>1</v>
      </c>
      <c r="AD47" s="35">
        <f ca="1">IFERROR(__xludf.DUMMYFUNCTION("IFERROR(INDEX(FILTER('製造效能'!P:P, '製造效能'!$A:$A=$C47, '製造效能'!$D:$D=$M47, '製造效能'!$E:$E=""攪料""), 1), INDEX(FILTER('製造效能'!P:P, '製造效能'!$B:$B=$D47, '製造效能'!$D:$D=$M47, '製造效能'!$E:$E=""攪料""), 1))"),1)</f>
        <v>1</v>
      </c>
      <c r="AE47" s="35" t="str">
        <f ca="1">IFERROR(__xludf.DUMMYFUNCTION("IFERROR(INDEX(FILTER('製造效能'!Q:Q, '製造效能'!$A:$A=$C47, '製造效能'!$D:$D=$M47, '製造效能'!$E:$E=""攪料""), 1), INDEX(FILTER('製造效能'!Q:Q, '製造效能'!$B:$B=$D47, '製造效能'!$D:$D=$M47, '製造效能'!$E:$E=""攪料""), 1))"),"")</f>
        <v/>
      </c>
      <c r="AF47" s="35" t="str">
        <f ca="1">IFERROR(__xludf.DUMMYFUNCTION("IFERROR(INDEX(FILTER('製造效能'!R:R, '製造效能'!$A:$A=$C47, '製造效能'!$D:$D=$M47, '製造效能'!$E:$E=""攪料""), 1), INDEX(FILTER('製造效能'!R:R, '製造效能'!$B:$B=$D47, '製造效能'!$D:$D=$M47, '製造效能'!$E:$E=""攪料""), 1))"),"")</f>
        <v/>
      </c>
      <c r="AG47" s="35" t="str">
        <f ca="1">IFERROR(__xludf.DUMMYFUNCTION("IFERROR(INDEX(FILTER('製造效能'!S:S, '製造效能'!$A:$A=$C47, '製造效能'!$D:$D=$M47, '製造效能'!$E:$E=""攪料""), 1), INDEX(FILTER('製造效能'!S:S, '製造效能'!$B:$B=$D47, '製造效能'!$D:$D=$M47, '製造效能'!$E:$E=""攪料""), 1))"),"")</f>
        <v/>
      </c>
      <c r="AH47" s="35" t="str">
        <f ca="1">IFERROR(__xludf.DUMMYFUNCTION("IFERROR(INDEX(FILTER('製造效能'!T:T, '製造效能'!$A:$A=$C47, '製造效能'!$D:$D=$M47, '製造效能'!$E:$E=""攪料""), 1), INDEX(FILTER('製造效能'!T:T, '製造效能'!$B:$B=$D47, '製造效能'!$D:$D=$M47, '製造效能'!$E:$E=""攪料""), 1))"),"")</f>
        <v/>
      </c>
      <c r="AI47" s="35" t="str">
        <f ca="1">IFERROR(__xludf.DUMMYFUNCTION("IFERROR(INDEX(FILTER('製造效能'!U:U, '製造效能'!$A:$A=$C47, '製造效能'!$D:$D=$M47, '製造效能'!$E:$E=""攪料""), 1), INDEX(FILTER('製造效能'!U:U, '製造效能'!$B:$B=$D47, '製造效能'!$D:$D=$M47, '製造效能'!$E:$E=""攪料""), 1))"),"")</f>
        <v/>
      </c>
      <c r="AJ47" s="35" t="str">
        <f ca="1">IFERROR(__xludf.DUMMYFUNCTION("IFERROR(INDEX(FILTER('製造效能'!V:V, '製造效能'!$A:$A=$C47, '製造效能'!$D:$D=$M47, '製造效能'!$E:$E=""攪料""), 1), INDEX(FILTER('製造效能'!V:V, '製造效能'!$B:$B=$D47, '製造效能'!$D:$D=$M47, '製造效能'!$E:$E=""攪料""), 1))"),"")</f>
        <v/>
      </c>
      <c r="AK47" s="35">
        <f>COUNTIF(充填效能!$A:$A, $C47)</f>
        <v>1</v>
      </c>
      <c r="AL47" s="36">
        <f ca="1">IFERROR(__xludf.DUMMYFUNCTION("IFERROR(INDEX(FILTER('充填效能'!$Q$2:$Q$1088, '充填效能'!$A$2:$A$1088=$C47, '充填效能'!$D$2:$D$1088=""排瓶""), 1), 0)"),0)</f>
        <v>0</v>
      </c>
      <c r="AM47" s="36">
        <f ca="1">IFERROR(__xludf.DUMMYFUNCTION("IFERROR(INDEX(FILTER('充填效能'!$R$2:$R$1088, '充填效能'!$A$2:$A$1088=$C47, '充填效能'!$D$2:$D$1088=""排瓶""), 1), 0)"),0)</f>
        <v>0</v>
      </c>
      <c r="AN47" s="35">
        <f t="shared" ca="1" si="5"/>
        <v>0</v>
      </c>
      <c r="AO47" s="36" t="str">
        <f ca="1">IFERROR(__xludf.DUMMYFUNCTION("IFERROR(INDEX(FILTER('充填效能'!$Q$2:$Q$1088, '充填效能'!$A$2:$A$1088=$C47, '充填效能'!$D$2:$D$1088=""充填""), 1), 0)"),"750")</f>
        <v>750</v>
      </c>
      <c r="AP47" s="36">
        <f ca="1">IFERROR(__xludf.DUMMYFUNCTION("IFERROR(INDEX(FILTER('充填效能'!$R$2:$R$1088, '充填效能'!$A$2:$A$1088=$C47, '充填效能'!$D$2:$D$1088=""充填""), 1), 0)"),4)</f>
        <v>4</v>
      </c>
      <c r="AQ47" s="35">
        <f t="shared" ca="1" si="6"/>
        <v>3.3333333333333335</v>
      </c>
      <c r="AR47" s="17">
        <f t="shared" ca="1" si="7"/>
        <v>13.333333333333334</v>
      </c>
    </row>
    <row r="48" spans="1:44" ht="15.75" customHeight="1">
      <c r="A48" s="9" t="s">
        <v>306</v>
      </c>
      <c r="B48" s="34">
        <f t="shared" si="0"/>
        <v>44721</v>
      </c>
      <c r="C48" s="9" t="s">
        <v>151</v>
      </c>
      <c r="D48" s="17" t="str">
        <f t="shared" si="1"/>
        <v>ET21B1</v>
      </c>
      <c r="E48" s="9" t="s">
        <v>152</v>
      </c>
      <c r="F48" s="9">
        <v>200</v>
      </c>
      <c r="G48" s="10">
        <v>45086</v>
      </c>
      <c r="H48" s="10">
        <v>45077</v>
      </c>
      <c r="I48" s="10">
        <v>45050</v>
      </c>
      <c r="J48" s="10">
        <v>45044</v>
      </c>
      <c r="L48" s="17" t="str">
        <f ca="1">IFERROR(__xludf.DUMMYFUNCTION("TEXTJOIN("", "", TRUE, UNIQUE(FILTER('製造效能'!$D$2:$D$1732, '製造效能'!$B$2:$B$1732 = D48)))"),"大")</f>
        <v>大</v>
      </c>
      <c r="M48" s="17" t="str">
        <f ca="1">IFERROR(__xludf.DUMMYFUNCTION("INDEX(UNIQUE(FILTER('製造效能'!$D$2:$D$1732, ('製造效能'!$B$2:$B$1732 = D48) * ('製造效能'!$J$2:$J$1732 = MAXIFS('製造效能'!$J$2:$J$1732, '製造效能'!$B$2:$B$1732, D48)))), 1) 
"),"大")</f>
        <v>大</v>
      </c>
      <c r="N48" s="17" t="str">
        <f ca="1">IFERROR(__xludf.DUMMYFUNCTION("TEXTJOIN("", "", TRUE, UNIQUE(FILTER('製造效能'!$K$2:$K$1732, '製造效能'!$B$2:$B$1732 = D48)))"),"水項")</f>
        <v>水項</v>
      </c>
      <c r="O48" s="35">
        <f ca="1">IFERROR(__xludf.DUMMYFUNCTION("IFERROR(INDEX(FILTER('充填效能'!I$2:I$1088, '充填效能'!$A$2:$A$1088=$C48, '充填效能'!$D$2:$D$1088=""充填""), 1), 0)"),500)</f>
        <v>500</v>
      </c>
      <c r="P48" s="35" t="str">
        <f ca="1">IFERROR(__xludf.DUMMYFUNCTION("IFERROR(INDEX(FILTER('充填效能'!J$2:J$1088, '充填效能'!$A$2:$A$1088=$C48, '充填效能'!$D$2:$D$1088=""充填""), 1), 0)"),"")</f>
        <v/>
      </c>
      <c r="Q48" s="35" t="str">
        <f ca="1">IFERROR(__xludf.DUMMYFUNCTION("IFERROR(INDEX(FILTER('充填效能'!K$2:K$1088, '充填效能'!$A$2:$A$1088=$C48, '充填效能'!$D$2:$D$1088=""充填""), 1), 0)"),"")</f>
        <v/>
      </c>
      <c r="R48" s="35" t="str">
        <f ca="1">IFERROR(__xludf.DUMMYFUNCTION("IFERROR(INDEX(FILTER('充填效能'!L$2:L$1088, '充填效能'!$A$2:$A$1088=$C48, '充填效能'!$D$2:$D$1088=""充填""), 1), 0)"),"")</f>
        <v/>
      </c>
      <c r="S48" s="35">
        <f ca="1">COUNTIFS(製造效能!B:B, $D48,製造效能!D:D,M48)</f>
        <v>3</v>
      </c>
      <c r="T48" s="36">
        <f ca="1">IFERROR(__xludf.DUMMYFUNCTION("VALUE(REGEXEXTRACT(TO_TEXT(O48), ""\d*\.?\d+""))"),500)</f>
        <v>500</v>
      </c>
      <c r="U48" s="17">
        <f t="shared" ca="1" si="2"/>
        <v>101499.99999999999</v>
      </c>
      <c r="V48" s="17">
        <f ca="1">IFERROR(__xludf.DUMMYFUNCTION("IFERROR(INDEX(FILTER('製造效能'!J:J, '製造效能'!A:A=$C48, '製造效能'!D:D=M48, '製造效能'!E:E=""攪料""), 1), INDEX(FILTER('製造效能'!J:J, '製造效能'!B:B=$D48, '製造效能'!D:D=M48, '製造效能'!E:E=""攪料""), 1))"),412)</f>
        <v>412</v>
      </c>
      <c r="W48" s="36">
        <f ca="1">IFERROR(__xludf.DUMMYFUNCTION("IFERROR(INDEX(FILTER('製造效能'!G:G, '製造效能'!A:A=$C48, '製造效能'!D:D=M48, '製造效能'!E:E=""攪料""), 1), INDEX(FILTER('製造效能'!G:G, '製造效能'!B:B=$D48, '製造效能'!D:D=M48, '製造效能'!E:E=""攪料""), 1))"),180)</f>
        <v>180</v>
      </c>
      <c r="X48" s="35">
        <f t="shared" ca="1" si="3"/>
        <v>1</v>
      </c>
      <c r="Y48" s="35">
        <f t="shared" ca="1" si="4"/>
        <v>180</v>
      </c>
      <c r="Z48" s="35">
        <f ca="1">IFERROR(__xludf.DUMMYFUNCTION("IFERROR(IFERROR(INDEX(FILTER('製造效能'!G:G, '製造效能'!A:A=$C48, '製造效能'!D:D=M48, '製造效能'!E:E=""預攪""), 1), INDEX(FILTER('製造效能'!G:G, '製造效能'!B:B=$D48, '製造效能'!D:D=M48, '製造效能'!E:E=""預攪""), 1)), 0)"),25)</f>
        <v>25</v>
      </c>
      <c r="AA48" s="35">
        <f ca="1">IFERROR(__xludf.DUMMYFUNCTION("IFERROR(INDEX(FILTER('製造效能'!G:G, '製造效能'!A:A=$C48, '製造效能'!D:D=M48, '製造效能'!E:E=""清洗""), 1), INDEX(FILTER('製造效能'!G:G, '製造效能'!B:B=$D48, '製造效能'!D:D=M48, '製造效能'!E:E=""清洗""), 1))"),30)</f>
        <v>30</v>
      </c>
      <c r="AB48" s="35" t="str">
        <f ca="1">IFERROR(__xludf.DUMMYFUNCTION("IFERROR(INDEX(FILTER('製造效能'!N:N, '製造效能'!$A:$A=$C48, '製造效能'!$D:$D=$M48, '製造效能'!$E:$E=""攪料""), 1), INDEX(FILTER('製造效能'!N:N, '製造效能'!$B:$B=$D48, '製造效能'!$D:$D=$M48, '製造效能'!$E:$E=""攪料""), 1))"),"")</f>
        <v/>
      </c>
      <c r="AC48" s="35">
        <f ca="1">IFERROR(__xludf.DUMMYFUNCTION("IFERROR(INDEX(FILTER('製造效能'!O:O, '製造效能'!$A:$A=$C48, '製造效能'!$D:$D=$M48, '製造效能'!$E:$E=""攪料""), 1), INDEX(FILTER('製造效能'!O:O, '製造效能'!$B:$B=$D48, '製造效能'!$D:$D=$M48, '製造效能'!$E:$E=""攪料""), 1))"),1)</f>
        <v>1</v>
      </c>
      <c r="AD48" s="35" t="str">
        <f ca="1">IFERROR(__xludf.DUMMYFUNCTION("IFERROR(INDEX(FILTER('製造效能'!P:P, '製造效能'!$A:$A=$C48, '製造效能'!$D:$D=$M48, '製造效能'!$E:$E=""攪料""), 1), INDEX(FILTER('製造效能'!P:P, '製造效能'!$B:$B=$D48, '製造效能'!$D:$D=$M48, '製造效能'!$E:$E=""攪料""), 1))"),"")</f>
        <v/>
      </c>
      <c r="AE48" s="35" t="str">
        <f ca="1">IFERROR(__xludf.DUMMYFUNCTION("IFERROR(INDEX(FILTER('製造效能'!Q:Q, '製造效能'!$A:$A=$C48, '製造效能'!$D:$D=$M48, '製造效能'!$E:$E=""攪料""), 1), INDEX(FILTER('製造效能'!Q:Q, '製造效能'!$B:$B=$D48, '製造效能'!$D:$D=$M48, '製造效能'!$E:$E=""攪料""), 1))"),"")</f>
        <v/>
      </c>
      <c r="AF48" s="35" t="str">
        <f ca="1">IFERROR(__xludf.DUMMYFUNCTION("IFERROR(INDEX(FILTER('製造效能'!R:R, '製造效能'!$A:$A=$C48, '製造效能'!$D:$D=$M48, '製造效能'!$E:$E=""攪料""), 1), INDEX(FILTER('製造效能'!R:R, '製造效能'!$B:$B=$D48, '製造效能'!$D:$D=$M48, '製造效能'!$E:$E=""攪料""), 1))"),"")</f>
        <v/>
      </c>
      <c r="AG48" s="35">
        <f ca="1">IFERROR(__xludf.DUMMYFUNCTION("IFERROR(INDEX(FILTER('製造效能'!S:S, '製造效能'!$A:$A=$C48, '製造效能'!$D:$D=$M48, '製造效能'!$E:$E=""攪料""), 1), INDEX(FILTER('製造效能'!S:S, '製造效能'!$B:$B=$D48, '製造效能'!$D:$D=$M48, '製造效能'!$E:$E=""攪料""), 1))"),1)</f>
        <v>1</v>
      </c>
      <c r="AH48" s="35" t="str">
        <f ca="1">IFERROR(__xludf.DUMMYFUNCTION("IFERROR(INDEX(FILTER('製造效能'!T:T, '製造效能'!$A:$A=$C48, '製造效能'!$D:$D=$M48, '製造效能'!$E:$E=""攪料""), 1), INDEX(FILTER('製造效能'!T:T, '製造效能'!$B:$B=$D48, '製造效能'!$D:$D=$M48, '製造效能'!$E:$E=""攪料""), 1))"),"")</f>
        <v/>
      </c>
      <c r="AI48" s="35" t="str">
        <f ca="1">IFERROR(__xludf.DUMMYFUNCTION("IFERROR(INDEX(FILTER('製造效能'!U:U, '製造效能'!$A:$A=$C48, '製造效能'!$D:$D=$M48, '製造效能'!$E:$E=""攪料""), 1), INDEX(FILTER('製造效能'!U:U, '製造效能'!$B:$B=$D48, '製造效能'!$D:$D=$M48, '製造效能'!$E:$E=""攪料""), 1))"),"")</f>
        <v/>
      </c>
      <c r="AJ48" s="35" t="str">
        <f ca="1">IFERROR(__xludf.DUMMYFUNCTION("IFERROR(INDEX(FILTER('製造效能'!V:V, '製造效能'!$A:$A=$C48, '製造效能'!$D:$D=$M48, '製造效能'!$E:$E=""攪料""), 1), INDEX(FILTER('製造效能'!V:V, '製造效能'!$B:$B=$D48, '製造效能'!$D:$D=$M48, '製造效能'!$E:$E=""攪料""), 1))"),"")</f>
        <v/>
      </c>
      <c r="AK48" s="35">
        <f>COUNTIF(充填效能!$A:$A, $C48)</f>
        <v>2</v>
      </c>
      <c r="AL48" s="36" t="str">
        <f ca="1">IFERROR(__xludf.DUMMYFUNCTION("IFERROR(INDEX(FILTER('充填效能'!$Q$2:$Q$1088, '充填效能'!$A$2:$A$1088=$C48, '充填效能'!$D$2:$D$1088=""排瓶""), 1), 0)"),"770")</f>
        <v>770</v>
      </c>
      <c r="AM48" s="36">
        <f ca="1">IFERROR(__xludf.DUMMYFUNCTION("IFERROR(INDEX(FILTER('充填效能'!$R$2:$R$1088, '充填效能'!$A$2:$A$1088=$C48, '充填效能'!$D$2:$D$1088=""排瓶""), 1), 0)"),1)</f>
        <v>1</v>
      </c>
      <c r="AN48" s="35">
        <f t="shared" ca="1" si="5"/>
        <v>0.25974025974025972</v>
      </c>
      <c r="AO48" s="36" t="str">
        <f ca="1">IFERROR(__xludf.DUMMYFUNCTION("IFERROR(INDEX(FILTER('充填效能'!$Q$2:$Q$1088, '充填效能'!$A$2:$A$1088=$C48, '充填效能'!$D$2:$D$1088=""充填""), 1), 0)"),"350")</f>
        <v>350</v>
      </c>
      <c r="AP48" s="36">
        <f ca="1">IFERROR(__xludf.DUMMYFUNCTION("IFERROR(INDEX(FILTER('充填效能'!$R$2:$R$1088, '充填效能'!$A$2:$A$1088=$C48, '充填效能'!$D$2:$D$1088=""充填""), 1), 0)"),4)</f>
        <v>4</v>
      </c>
      <c r="AQ48" s="35">
        <f t="shared" ca="1" si="6"/>
        <v>0.5714285714285714</v>
      </c>
      <c r="AR48" s="17">
        <f t="shared" ca="1" si="7"/>
        <v>2.2857142857142856</v>
      </c>
    </row>
    <row r="49" spans="1:44" ht="15.75" customHeight="1">
      <c r="A49" s="9" t="s">
        <v>172</v>
      </c>
      <c r="B49" s="34">
        <f t="shared" si="0"/>
        <v>44979</v>
      </c>
      <c r="C49" s="9" t="s">
        <v>148</v>
      </c>
      <c r="D49" s="17" t="str">
        <f t="shared" si="1"/>
        <v>ET21B1</v>
      </c>
      <c r="E49" s="9" t="s">
        <v>149</v>
      </c>
      <c r="F49" s="9">
        <v>640</v>
      </c>
      <c r="G49" s="10">
        <v>45086</v>
      </c>
      <c r="H49" s="10">
        <v>45077</v>
      </c>
      <c r="I49" s="10">
        <v>45050</v>
      </c>
      <c r="J49" s="10">
        <v>45055</v>
      </c>
      <c r="L49" s="17" t="str">
        <f ca="1">IFERROR(__xludf.DUMMYFUNCTION("TEXTJOIN("", "", TRUE, UNIQUE(FILTER('製造效能'!$D$2:$D$1732, '製造效能'!$B$2:$B$1732 = D49)))"),"大")</f>
        <v>大</v>
      </c>
      <c r="M49" s="17" t="str">
        <f ca="1">IFERROR(__xludf.DUMMYFUNCTION("INDEX(UNIQUE(FILTER('製造效能'!$D$2:$D$1732, ('製造效能'!$B$2:$B$1732 = D49) * ('製造效能'!$J$2:$J$1732 = MAXIFS('製造效能'!$J$2:$J$1732, '製造效能'!$B$2:$B$1732, D49)))), 1) 
"),"大")</f>
        <v>大</v>
      </c>
      <c r="N49" s="17" t="str">
        <f ca="1">IFERROR(__xludf.DUMMYFUNCTION("TEXTJOIN("", "", TRUE, UNIQUE(FILTER('製造效能'!$K$2:$K$1732, '製造效能'!$B$2:$B$1732 = D49)))"),"水項")</f>
        <v>水項</v>
      </c>
      <c r="O49" s="35">
        <f ca="1">IFERROR(__xludf.DUMMYFUNCTION("IFERROR(INDEX(FILTER('充填效能'!I$2:I$1088, '充填效能'!$A$2:$A$1088=$C49, '充填效能'!$D$2:$D$1088=""充填""), 1), 0)"),250)</f>
        <v>250</v>
      </c>
      <c r="P49" s="35" t="str">
        <f ca="1">IFERROR(__xludf.DUMMYFUNCTION("IFERROR(INDEX(FILTER('充填效能'!J$2:J$1088, '充填效能'!$A$2:$A$1088=$C49, '充填效能'!$D$2:$D$1088=""充填""), 1), 0)"),"")</f>
        <v/>
      </c>
      <c r="Q49" s="35" t="str">
        <f ca="1">IFERROR(__xludf.DUMMYFUNCTION("IFERROR(INDEX(FILTER('充填效能'!K$2:K$1088, '充填效能'!$A$2:$A$1088=$C49, '充填效能'!$D$2:$D$1088=""充填""), 1), 0)"),"")</f>
        <v/>
      </c>
      <c r="R49" s="35" t="str">
        <f ca="1">IFERROR(__xludf.DUMMYFUNCTION("IFERROR(INDEX(FILTER('充填效能'!L$2:L$1088, '充填效能'!$A$2:$A$1088=$C49, '充填效能'!$D$2:$D$1088=""充填""), 1), 0)"),"")</f>
        <v/>
      </c>
      <c r="S49" s="35">
        <f ca="1">COUNTIFS(製造效能!B:B, $D49,製造效能!D:D,M49)</f>
        <v>3</v>
      </c>
      <c r="T49" s="36">
        <f ca="1">IFERROR(__xludf.DUMMYFUNCTION("VALUE(REGEXEXTRACT(TO_TEXT(O49), ""\d*\.?\d+""))"),250)</f>
        <v>250</v>
      </c>
      <c r="U49" s="17">
        <f t="shared" ca="1" si="2"/>
        <v>162399.99999999997</v>
      </c>
      <c r="V49" s="17">
        <f ca="1">IFERROR(__xludf.DUMMYFUNCTION("IFERROR(INDEX(FILTER('製造效能'!J:J, '製造效能'!A:A=$C49, '製造效能'!D:D=M49, '製造效能'!E:E=""攪料""), 1), INDEX(FILTER('製造效能'!J:J, '製造效能'!B:B=$D49, '製造效能'!D:D=M49, '製造效能'!E:E=""攪料""), 1))"),412)</f>
        <v>412</v>
      </c>
      <c r="W49" s="36">
        <f ca="1">IFERROR(__xludf.DUMMYFUNCTION("IFERROR(INDEX(FILTER('製造效能'!G:G, '製造效能'!A:A=$C49, '製造效能'!D:D=M49, '製造效能'!E:E=""攪料""), 1), INDEX(FILTER('製造效能'!G:G, '製造效能'!B:B=$D49, '製造效能'!D:D=M49, '製造效能'!E:E=""攪料""), 1))"),180)</f>
        <v>180</v>
      </c>
      <c r="X49" s="35">
        <f t="shared" ca="1" si="3"/>
        <v>1</v>
      </c>
      <c r="Y49" s="35">
        <f t="shared" ca="1" si="4"/>
        <v>180</v>
      </c>
      <c r="Z49" s="35">
        <f ca="1">IFERROR(__xludf.DUMMYFUNCTION("IFERROR(IFERROR(INDEX(FILTER('製造效能'!G:G, '製造效能'!A:A=$C49, '製造效能'!D:D=M49, '製造效能'!E:E=""預攪""), 1), INDEX(FILTER('製造效能'!G:G, '製造效能'!B:B=$D49, '製造效能'!D:D=M49, '製造效能'!E:E=""預攪""), 1)), 0)"),25)</f>
        <v>25</v>
      </c>
      <c r="AA49" s="35">
        <f ca="1">IFERROR(__xludf.DUMMYFUNCTION("IFERROR(INDEX(FILTER('製造效能'!G:G, '製造效能'!A:A=$C49, '製造效能'!D:D=M49, '製造效能'!E:E=""清洗""), 1), INDEX(FILTER('製造效能'!G:G, '製造效能'!B:B=$D49, '製造效能'!D:D=M49, '製造效能'!E:E=""清洗""), 1))"),30)</f>
        <v>30</v>
      </c>
      <c r="AB49" s="35" t="str">
        <f ca="1">IFERROR(__xludf.DUMMYFUNCTION("IFERROR(INDEX(FILTER('製造效能'!N:N, '製造效能'!$A:$A=$C49, '製造效能'!$D:$D=$M49, '製造效能'!$E:$E=""攪料""), 1), INDEX(FILTER('製造效能'!N:N, '製造效能'!$B:$B=$D49, '製造效能'!$D:$D=$M49, '製造效能'!$E:$E=""攪料""), 1))"),"")</f>
        <v/>
      </c>
      <c r="AC49" s="35">
        <f ca="1">IFERROR(__xludf.DUMMYFUNCTION("IFERROR(INDEX(FILTER('製造效能'!O:O, '製造效能'!$A:$A=$C49, '製造效能'!$D:$D=$M49, '製造效能'!$E:$E=""攪料""), 1), INDEX(FILTER('製造效能'!O:O, '製造效能'!$B:$B=$D49, '製造效能'!$D:$D=$M49, '製造效能'!$E:$E=""攪料""), 1))"),1)</f>
        <v>1</v>
      </c>
      <c r="AD49" s="35" t="str">
        <f ca="1">IFERROR(__xludf.DUMMYFUNCTION("IFERROR(INDEX(FILTER('製造效能'!P:P, '製造效能'!$A:$A=$C49, '製造效能'!$D:$D=$M49, '製造效能'!$E:$E=""攪料""), 1), INDEX(FILTER('製造效能'!P:P, '製造效能'!$B:$B=$D49, '製造效能'!$D:$D=$M49, '製造效能'!$E:$E=""攪料""), 1))"),"")</f>
        <v/>
      </c>
      <c r="AE49" s="35" t="str">
        <f ca="1">IFERROR(__xludf.DUMMYFUNCTION("IFERROR(INDEX(FILTER('製造效能'!Q:Q, '製造效能'!$A:$A=$C49, '製造效能'!$D:$D=$M49, '製造效能'!$E:$E=""攪料""), 1), INDEX(FILTER('製造效能'!Q:Q, '製造效能'!$B:$B=$D49, '製造效能'!$D:$D=$M49, '製造效能'!$E:$E=""攪料""), 1))"),"")</f>
        <v/>
      </c>
      <c r="AF49" s="35" t="str">
        <f ca="1">IFERROR(__xludf.DUMMYFUNCTION("IFERROR(INDEX(FILTER('製造效能'!R:R, '製造效能'!$A:$A=$C49, '製造效能'!$D:$D=$M49, '製造效能'!$E:$E=""攪料""), 1), INDEX(FILTER('製造效能'!R:R, '製造效能'!$B:$B=$D49, '製造效能'!$D:$D=$M49, '製造效能'!$E:$E=""攪料""), 1))"),"")</f>
        <v/>
      </c>
      <c r="AG49" s="35">
        <f ca="1">IFERROR(__xludf.DUMMYFUNCTION("IFERROR(INDEX(FILTER('製造效能'!S:S, '製造效能'!$A:$A=$C49, '製造效能'!$D:$D=$M49, '製造效能'!$E:$E=""攪料""), 1), INDEX(FILTER('製造效能'!S:S, '製造效能'!$B:$B=$D49, '製造效能'!$D:$D=$M49, '製造效能'!$E:$E=""攪料""), 1))"),1)</f>
        <v>1</v>
      </c>
      <c r="AH49" s="35" t="str">
        <f ca="1">IFERROR(__xludf.DUMMYFUNCTION("IFERROR(INDEX(FILTER('製造效能'!T:T, '製造效能'!$A:$A=$C49, '製造效能'!$D:$D=$M49, '製造效能'!$E:$E=""攪料""), 1), INDEX(FILTER('製造效能'!T:T, '製造效能'!$B:$B=$D49, '製造效能'!$D:$D=$M49, '製造效能'!$E:$E=""攪料""), 1))"),"")</f>
        <v/>
      </c>
      <c r="AI49" s="35" t="str">
        <f ca="1">IFERROR(__xludf.DUMMYFUNCTION("IFERROR(INDEX(FILTER('製造效能'!U:U, '製造效能'!$A:$A=$C49, '製造效能'!$D:$D=$M49, '製造效能'!$E:$E=""攪料""), 1), INDEX(FILTER('製造效能'!U:U, '製造效能'!$B:$B=$D49, '製造效能'!$D:$D=$M49, '製造效能'!$E:$E=""攪料""), 1))"),"")</f>
        <v/>
      </c>
      <c r="AJ49" s="35" t="str">
        <f ca="1">IFERROR(__xludf.DUMMYFUNCTION("IFERROR(INDEX(FILTER('製造效能'!V:V, '製造效能'!$A:$A=$C49, '製造效能'!$D:$D=$M49, '製造效能'!$E:$E=""攪料""), 1), INDEX(FILTER('製造效能'!V:V, '製造效能'!$B:$B=$D49, '製造效能'!$D:$D=$M49, '製造效能'!$E:$E=""攪料""), 1))"),"")</f>
        <v/>
      </c>
      <c r="AK49" s="35">
        <f>COUNTIF(充填效能!$A:$A, $C49)</f>
        <v>2</v>
      </c>
      <c r="AL49" s="36" t="str">
        <f ca="1">IFERROR(__xludf.DUMMYFUNCTION("IFERROR(INDEX(FILTER('充填效能'!$Q$2:$Q$1088, '充填效能'!$A$2:$A$1088=$C49, '充填效能'!$D$2:$D$1088=""排瓶""), 1), 0)"),"990")</f>
        <v>990</v>
      </c>
      <c r="AM49" s="36">
        <f ca="1">IFERROR(__xludf.DUMMYFUNCTION("IFERROR(INDEX(FILTER('充填效能'!$R$2:$R$1088, '充填效能'!$A$2:$A$1088=$C49, '充填效能'!$D$2:$D$1088=""排瓶""), 1), 0)"),1)</f>
        <v>1</v>
      </c>
      <c r="AN49" s="35">
        <f t="shared" ca="1" si="5"/>
        <v>0.64646464646464652</v>
      </c>
      <c r="AO49" s="36" t="str">
        <f ca="1">IFERROR(__xludf.DUMMYFUNCTION("IFERROR(INDEX(FILTER('充填效能'!$Q$2:$Q$1088, '充填效能'!$A$2:$A$1088=$C49, '充填效能'!$D$2:$D$1088=""充填""), 1), 0)"),"480")</f>
        <v>480</v>
      </c>
      <c r="AP49" s="36">
        <f ca="1">IFERROR(__xludf.DUMMYFUNCTION("IFERROR(INDEX(FILTER('充填效能'!$R$2:$R$1088, '充填效能'!$A$2:$A$1088=$C49, '充填效能'!$D$2:$D$1088=""充填""), 1), 0)"),3)</f>
        <v>3</v>
      </c>
      <c r="AQ49" s="35">
        <f t="shared" ca="1" si="6"/>
        <v>1.3333333333333333</v>
      </c>
      <c r="AR49" s="17">
        <f t="shared" ca="1" si="7"/>
        <v>4</v>
      </c>
    </row>
    <row r="50" spans="1:44" ht="15.75" customHeight="1">
      <c r="A50" s="9" t="s">
        <v>175</v>
      </c>
      <c r="B50" s="34">
        <f t="shared" si="0"/>
        <v>45051</v>
      </c>
      <c r="C50" s="9" t="s">
        <v>234</v>
      </c>
      <c r="D50" s="17" t="str">
        <f t="shared" si="1"/>
        <v>EU22D2</v>
      </c>
      <c r="E50" s="9" t="s">
        <v>235</v>
      </c>
      <c r="F50" s="9">
        <v>10000</v>
      </c>
      <c r="G50" s="10">
        <v>45089</v>
      </c>
      <c r="H50" s="10">
        <v>45079</v>
      </c>
      <c r="I50" s="10">
        <v>44987</v>
      </c>
      <c r="J50" s="10">
        <v>44721</v>
      </c>
      <c r="L50" s="17" t="str">
        <f ca="1">IFERROR(__xludf.DUMMYFUNCTION("TEXTJOIN("", "", TRUE, UNIQUE(FILTER('製造效能'!$D$2:$D$1732, '製造效能'!$B$2:$B$1732 = D50)))"),"大, 精")</f>
        <v>大, 精</v>
      </c>
      <c r="M50" s="17" t="str">
        <f ca="1">IFERROR(__xludf.DUMMYFUNCTION("INDEX(UNIQUE(FILTER('製造效能'!$D$2:$D$1732, ('製造效能'!$B$2:$B$1732 = D50) * ('製造效能'!$J$2:$J$1732 = MAXIFS('製造效能'!$J$2:$J$1732, '製造效能'!$B$2:$B$1732, D50)))), 1) 
"),"大")</f>
        <v>大</v>
      </c>
      <c r="N50" s="17" t="str">
        <f ca="1">IFERROR(__xludf.DUMMYFUNCTION("TEXTJOIN("", "", TRUE, UNIQUE(FILTER('製造效能'!$K$2:$K$1732, '製造效能'!$B$2:$B$1732 = D50)))"),"水項")</f>
        <v>水項</v>
      </c>
      <c r="O50" s="35">
        <f ca="1">IFERROR(__xludf.DUMMYFUNCTION("IFERROR(INDEX(FILTER('充填效能'!I$2:I$1088, '充填效能'!$A$2:$A$1088=$C50, '充填效能'!$D$2:$D$1088=""充填""), 1), 0)"),31.4)</f>
        <v>31.4</v>
      </c>
      <c r="P50" s="35" t="str">
        <f ca="1">IFERROR(__xludf.DUMMYFUNCTION("IFERROR(INDEX(FILTER('充填效能'!J$2:J$1088, '充填效能'!$A$2:$A$1088=$C50, '充填效能'!$D$2:$D$1088=""充填""), 1), 0)"),"")</f>
        <v/>
      </c>
      <c r="Q50" s="35" t="str">
        <f ca="1">IFERROR(__xludf.DUMMYFUNCTION("IFERROR(INDEX(FILTER('充填效能'!K$2:K$1088, '充填效能'!$A$2:$A$1088=$C50, '充填效能'!$D$2:$D$1088=""充填""), 1), 0)"),"")</f>
        <v/>
      </c>
      <c r="R50" s="35" t="str">
        <f ca="1">IFERROR(__xludf.DUMMYFUNCTION("IFERROR(INDEX(FILTER('充填效能'!L$2:L$1088, '充填效能'!$A$2:$A$1088=$C50, '充填效能'!$D$2:$D$1088=""充填""), 1), 0)"),"")</f>
        <v/>
      </c>
      <c r="S50" s="35">
        <f ca="1">COUNTIFS(製造效能!B:B, $D50,製造效能!D:D,M50)</f>
        <v>3</v>
      </c>
      <c r="T50" s="36">
        <f ca="1">IFERROR(__xludf.DUMMYFUNCTION("VALUE(REGEXEXTRACT(TO_TEXT(O50), ""\d*\.?\d+""))"),31.4)</f>
        <v>31.4</v>
      </c>
      <c r="U50" s="17">
        <f t="shared" ca="1" si="2"/>
        <v>318709.99999999994</v>
      </c>
      <c r="V50" s="17">
        <f ca="1">IFERROR(__xludf.DUMMYFUNCTION("IFERROR(INDEX(FILTER('製造效能'!J:J, '製造效能'!A:A=$C50, '製造效能'!D:D=M50, '製造效能'!E:E=""攪料""), 1), INDEX(FILTER('製造效能'!J:J, '製造效能'!B:B=$D50, '製造效能'!D:D=M50, '製造效能'!E:E=""攪料""), 1))"),412)</f>
        <v>412</v>
      </c>
      <c r="W50" s="36">
        <f ca="1">IFERROR(__xludf.DUMMYFUNCTION("IFERROR(INDEX(FILTER('製造效能'!G:G, '製造效能'!A:A=$C50, '製造效能'!D:D=M50, '製造效能'!E:E=""攪料""), 1), INDEX(FILTER('製造效能'!G:G, '製造效能'!B:B=$D50, '製造效能'!D:D=M50, '製造效能'!E:E=""攪料""), 1))"),110)</f>
        <v>110</v>
      </c>
      <c r="X50" s="35">
        <f t="shared" ca="1" si="3"/>
        <v>1</v>
      </c>
      <c r="Y50" s="35">
        <f t="shared" ca="1" si="4"/>
        <v>110</v>
      </c>
      <c r="Z50" s="35">
        <f ca="1">IFERROR(__xludf.DUMMYFUNCTION("IFERROR(IFERROR(INDEX(FILTER('製造效能'!G:G, '製造效能'!A:A=$C50, '製造效能'!D:D=M50, '製造效能'!E:E=""預攪""), 1), INDEX(FILTER('製造效能'!G:G, '製造效能'!B:B=$D50, '製造效能'!D:D=M50, '製造效能'!E:E=""預攪""), 1)), 0)"),60)</f>
        <v>60</v>
      </c>
      <c r="AA50" s="35">
        <f ca="1">IFERROR(__xludf.DUMMYFUNCTION("IFERROR(INDEX(FILTER('製造效能'!G:G, '製造效能'!A:A=$C50, '製造效能'!D:D=M50, '製造效能'!E:E=""清洗""), 1), INDEX(FILTER('製造效能'!G:G, '製造效能'!B:B=$D50, '製造效能'!D:D=M50, '製造效能'!E:E=""清洗""), 1))"),30)</f>
        <v>30</v>
      </c>
      <c r="AB50" s="35" t="str">
        <f ca="1">IFERROR(__xludf.DUMMYFUNCTION("IFERROR(INDEX(FILTER('製造效能'!N:N, '製造效能'!$A:$A=$C50, '製造效能'!$D:$D=$M50, '製造效能'!$E:$E=""攪料""), 1), INDEX(FILTER('製造效能'!N:N, '製造效能'!$B:$B=$D50, '製造效能'!$D:$D=$M50, '製造效能'!$E:$E=""攪料""), 1))"),"")</f>
        <v/>
      </c>
      <c r="AC50" s="35" t="str">
        <f ca="1">IFERROR(__xludf.DUMMYFUNCTION("IFERROR(INDEX(FILTER('製造效能'!O:O, '製造效能'!$A:$A=$C50, '製造效能'!$D:$D=$M50, '製造效能'!$E:$E=""攪料""), 1), INDEX(FILTER('製造效能'!O:O, '製造效能'!$B:$B=$D50, '製造效能'!$D:$D=$M50, '製造效能'!$E:$E=""攪料""), 1))"),"")</f>
        <v/>
      </c>
      <c r="AD50" s="35" t="str">
        <f ca="1">IFERROR(__xludf.DUMMYFUNCTION("IFERROR(INDEX(FILTER('製造效能'!P:P, '製造效能'!$A:$A=$C50, '製造效能'!$D:$D=$M50, '製造效能'!$E:$E=""攪料""), 1), INDEX(FILTER('製造效能'!P:P, '製造效能'!$B:$B=$D50, '製造效能'!$D:$D=$M50, '製造效能'!$E:$E=""攪料""), 1))"),"")</f>
        <v/>
      </c>
      <c r="AE50" s="35" t="str">
        <f ca="1">IFERROR(__xludf.DUMMYFUNCTION("IFERROR(INDEX(FILTER('製造效能'!Q:Q, '製造效能'!$A:$A=$C50, '製造效能'!$D:$D=$M50, '製造效能'!$E:$E=""攪料""), 1), INDEX(FILTER('製造效能'!Q:Q, '製造效能'!$B:$B=$D50, '製造效能'!$D:$D=$M50, '製造效能'!$E:$E=""攪料""), 1))"),"")</f>
        <v/>
      </c>
      <c r="AF50" s="35" t="str">
        <f ca="1">IFERROR(__xludf.DUMMYFUNCTION("IFERROR(INDEX(FILTER('製造效能'!R:R, '製造效能'!$A:$A=$C50, '製造效能'!$D:$D=$M50, '製造效能'!$E:$E=""攪料""), 1), INDEX(FILTER('製造效能'!R:R, '製造效能'!$B:$B=$D50, '製造效能'!$D:$D=$M50, '製造效能'!$E:$E=""攪料""), 1))"),"")</f>
        <v/>
      </c>
      <c r="AG50" s="35">
        <f ca="1">IFERROR(__xludf.DUMMYFUNCTION("IFERROR(INDEX(FILTER('製造效能'!S:S, '製造效能'!$A:$A=$C50, '製造效能'!$D:$D=$M50, '製造效能'!$E:$E=""攪料""), 1), INDEX(FILTER('製造效能'!S:S, '製造效能'!$B:$B=$D50, '製造效能'!$D:$D=$M50, '製造效能'!$E:$E=""攪料""), 1))"),1)</f>
        <v>1</v>
      </c>
      <c r="AH50" s="35" t="str">
        <f ca="1">IFERROR(__xludf.DUMMYFUNCTION("IFERROR(INDEX(FILTER('製造效能'!T:T, '製造效能'!$A:$A=$C50, '製造效能'!$D:$D=$M50, '製造效能'!$E:$E=""攪料""), 1), INDEX(FILTER('製造效能'!T:T, '製造效能'!$B:$B=$D50, '製造效能'!$D:$D=$M50, '製造效能'!$E:$E=""攪料""), 1))"),"")</f>
        <v/>
      </c>
      <c r="AI50" s="35" t="str">
        <f ca="1">IFERROR(__xludf.DUMMYFUNCTION("IFERROR(INDEX(FILTER('製造效能'!U:U, '製造效能'!$A:$A=$C50, '製造效能'!$D:$D=$M50, '製造效能'!$E:$E=""攪料""), 1), INDEX(FILTER('製造效能'!U:U, '製造效能'!$B:$B=$D50, '製造效能'!$D:$D=$M50, '製造效能'!$E:$E=""攪料""), 1))"),"")</f>
        <v/>
      </c>
      <c r="AJ50" s="35" t="str">
        <f ca="1">IFERROR(__xludf.DUMMYFUNCTION("IFERROR(INDEX(FILTER('製造效能'!V:V, '製造效能'!$A:$A=$C50, '製造效能'!$D:$D=$M50, '製造效能'!$E:$E=""攪料""), 1), INDEX(FILTER('製造效能'!V:V, '製造效能'!$B:$B=$D50, '製造效能'!$D:$D=$M50, '製造效能'!$E:$E=""攪料""), 1))"),"")</f>
        <v/>
      </c>
      <c r="AK50" s="35">
        <f>COUNTIF(充填效能!$A:$A, $C50)</f>
        <v>2</v>
      </c>
      <c r="AL50" s="36" t="str">
        <f ca="1">IFERROR(__xludf.DUMMYFUNCTION("IFERROR(INDEX(FILTER('充填效能'!$Q$2:$Q$1088, '充填效能'!$A$2:$A$1088=$C50, '充填效能'!$D$2:$D$1088=""排瓶""), 1), 0)"),"1300")</f>
        <v>1300</v>
      </c>
      <c r="AM50" s="36">
        <f ca="1">IFERROR(__xludf.DUMMYFUNCTION("IFERROR(INDEX(FILTER('充填效能'!$R$2:$R$1088, '充填效能'!$A$2:$A$1088=$C50, '充填效能'!$D$2:$D$1088=""排瓶""), 1), 0)"),1)</f>
        <v>1</v>
      </c>
      <c r="AN50" s="35">
        <f t="shared" ca="1" si="5"/>
        <v>7.6923076923076925</v>
      </c>
      <c r="AO50" s="36" t="str">
        <f ca="1">IFERROR(__xludf.DUMMYFUNCTION("IFERROR(INDEX(FILTER('充填效能'!$Q$2:$Q$1088, '充填效能'!$A$2:$A$1088=$C50, '充填效能'!$D$2:$D$1088=""充填""), 1), 0)"),"1200")</f>
        <v>1200</v>
      </c>
      <c r="AP50" s="36">
        <f ca="1">IFERROR(__xludf.DUMMYFUNCTION("IFERROR(INDEX(FILTER('充填效能'!$R$2:$R$1088, '充填效能'!$A$2:$A$1088=$C50, '充填效能'!$D$2:$D$1088=""充填""), 1), 0)"),4)</f>
        <v>4</v>
      </c>
      <c r="AQ50" s="35">
        <f t="shared" ca="1" si="6"/>
        <v>8.3333333333333339</v>
      </c>
      <c r="AR50" s="17">
        <f t="shared" ca="1" si="7"/>
        <v>33.333333333333336</v>
      </c>
    </row>
    <row r="51" spans="1:44" ht="15.75" customHeight="1">
      <c r="A51" s="9" t="s">
        <v>178</v>
      </c>
      <c r="B51" s="34">
        <f t="shared" si="0"/>
        <v>44977</v>
      </c>
      <c r="C51" s="9" t="s">
        <v>170</v>
      </c>
      <c r="D51" s="17" t="str">
        <f t="shared" si="1"/>
        <v>N1REE1</v>
      </c>
      <c r="E51" s="9" t="s">
        <v>171</v>
      </c>
      <c r="F51" s="9">
        <v>20000</v>
      </c>
      <c r="G51" s="10">
        <v>45097</v>
      </c>
      <c r="H51" s="10">
        <v>45079</v>
      </c>
      <c r="I51" s="10">
        <v>45055</v>
      </c>
      <c r="J51" s="10">
        <v>45065</v>
      </c>
      <c r="L51" s="17" t="str">
        <f ca="1">IFERROR(__xludf.DUMMYFUNCTION("TEXTJOIN("", "", TRUE, UNIQUE(FILTER('製造效能'!$D$2:$D$1732, '製造效能'!$B$2:$B$1732 = D51)))"),"小乳, 大乳")</f>
        <v>小乳, 大乳</v>
      </c>
      <c r="M51" s="17" t="str">
        <f ca="1">IFERROR(__xludf.DUMMYFUNCTION("INDEX(UNIQUE(FILTER('製造效能'!$D$2:$D$1732, ('製造效能'!$B$2:$B$1732 = D51) * ('製造效能'!$J$2:$J$1732 = MAXIFS('製造效能'!$J$2:$J$1732, '製造效能'!$B$2:$B$1732, D51)))), 1) 
"),"大乳")</f>
        <v>大乳</v>
      </c>
      <c r="N51" s="17" t="str">
        <f ca="1">IFERROR(__xludf.DUMMYFUNCTION("TEXTJOIN("", "", TRUE, UNIQUE(FILTER('製造效能'!$K$2:$K$1732, '製造效能'!$B$2:$B$1732 = D51)))"),"乳項")</f>
        <v>乳項</v>
      </c>
      <c r="P51" s="35" t="str">
        <f ca="1">IFERROR(__xludf.DUMMYFUNCTION("IFERROR(INDEX(FILTER('充填效能'!J$2:J$1088, '充填效能'!$A$2:$A$1088=$C51, '充填效能'!$D$2:$D$1088=""充填""), 1), 0)"),"")</f>
        <v/>
      </c>
      <c r="Q51" s="35" t="str">
        <f ca="1">IFERROR(__xludf.DUMMYFUNCTION("IFERROR(INDEX(FILTER('充填效能'!K$2:K$1088, '充填效能'!$A$2:$A$1088=$C51, '充填效能'!$D$2:$D$1088=""充填""), 1), 0)"),"")</f>
        <v/>
      </c>
      <c r="R51" s="35">
        <f ca="1">IFERROR(__xludf.DUMMYFUNCTION("IFERROR(INDEX(FILTER('充填效能'!I$2:I$1088, '充填效能'!$A$2:$A$1088=$C51, '充填效能'!$D$2:$D$1088=""充填""), 1), 0)"),10)</f>
        <v>10</v>
      </c>
      <c r="S51" s="35">
        <f ca="1">COUNTIFS(製造效能!B:B, $D51,製造效能!D:D,M51)</f>
        <v>3</v>
      </c>
      <c r="T51" s="36">
        <f ca="1">IFERROR(__xludf.DUMMYFUNCTION("VALUE(REGEXEXTRACT(TO_TEXT(R51), ""\d*\.?\d+""))"),10)</f>
        <v>10</v>
      </c>
      <c r="U51" s="17">
        <f t="shared" ca="1" si="2"/>
        <v>202999.99999999997</v>
      </c>
      <c r="V51" s="17">
        <f ca="1">IFERROR(__xludf.DUMMYFUNCTION("IFERROR(INDEX(FILTER('製造效能'!J:J, '製造效能'!A:A=$C51, '製造效能'!D:D=M51, '製造效能'!E:E=""攪料""), 1), INDEX(FILTER('製造效能'!J:J, '製造效能'!B:B=$D51, '製造效能'!D:D=M51, '製造效能'!E:E=""攪料""), 1))"),103)</f>
        <v>103</v>
      </c>
      <c r="W51" s="36">
        <f ca="1">IFERROR(__xludf.DUMMYFUNCTION("IFERROR(INDEX(FILTER('製造效能'!G:G, '製造效能'!A:A=$C51, '製造效能'!D:D=M51, '製造效能'!E:E=""攪料""), 1), INDEX(FILTER('製造效能'!G:G, '製造效能'!B:B=$D51, '製造效能'!D:D=M51, '製造效能'!E:E=""攪料""), 1))"),180)</f>
        <v>180</v>
      </c>
      <c r="X51" s="35">
        <f t="shared" ca="1" si="3"/>
        <v>2</v>
      </c>
      <c r="Y51" s="35">
        <f t="shared" ca="1" si="4"/>
        <v>360</v>
      </c>
      <c r="Z51" s="35">
        <f ca="1">IFERROR(__xludf.DUMMYFUNCTION("IFERROR(IFERROR(INDEX(FILTER('製造效能'!G:G, '製造效能'!A:A=$C51, '製造效能'!D:D=M51, '製造效能'!E:E=""預攪""), 1), INDEX(FILTER('製造效能'!G:G, '製造效能'!B:B=$D51, '製造效能'!D:D=M51, '製造效能'!E:E=""預攪""), 1)), 0)"),25)</f>
        <v>25</v>
      </c>
      <c r="AA51" s="35">
        <f ca="1">IFERROR(__xludf.DUMMYFUNCTION("IFERROR(INDEX(FILTER('製造效能'!G:G, '製造效能'!A:A=$C51, '製造效能'!D:D=M51, '製造效能'!E:E=""清洗""), 1), INDEX(FILTER('製造效能'!G:G, '製造效能'!B:B=$D51, '製造效能'!D:D=M51, '製造效能'!E:E=""清洗""), 1))"),40)</f>
        <v>40</v>
      </c>
      <c r="AB51" s="35" t="str">
        <f ca="1">IFERROR(__xludf.DUMMYFUNCTION("IFERROR(INDEX(FILTER('製造效能'!N:N, '製造效能'!$A:$A=$C51, '製造效能'!$D:$D=$M51, '製造效能'!$E:$E=""攪料""), 1), INDEX(FILTER('製造效能'!N:N, '製造效能'!$B:$B=$D51, '製造效能'!$D:$D=$M51, '製造效能'!$E:$E=""攪料""), 1))"),"")</f>
        <v/>
      </c>
      <c r="AC51" s="35" t="str">
        <f ca="1">IFERROR(__xludf.DUMMYFUNCTION("IFERROR(INDEX(FILTER('製造效能'!O:O, '製造效能'!$A:$A=$C51, '製造效能'!$D:$D=$M51, '製造效能'!$E:$E=""攪料""), 1), INDEX(FILTER('製造效能'!O:O, '製造效能'!$B:$B=$D51, '製造效能'!$D:$D=$M51, '製造效能'!$E:$E=""攪料""), 1))"),"")</f>
        <v/>
      </c>
      <c r="AD51" s="35" t="str">
        <f ca="1">IFERROR(__xludf.DUMMYFUNCTION("IFERROR(INDEX(FILTER('製造效能'!P:P, '製造效能'!$A:$A=$C51, '製造效能'!$D:$D=$M51, '製造效能'!$E:$E=""攪料""), 1), INDEX(FILTER('製造效能'!P:P, '製造效能'!$B:$B=$D51, '製造效能'!$D:$D=$M51, '製造效能'!$E:$E=""攪料""), 1))"),"")</f>
        <v/>
      </c>
      <c r="AE51" s="35">
        <f ca="1">IFERROR(__xludf.DUMMYFUNCTION("IFERROR(INDEX(FILTER('製造效能'!Q:Q, '製造效能'!$A:$A=$C51, '製造效能'!$D:$D=$M51, '製造效能'!$E:$E=""攪料""), 1), INDEX(FILTER('製造效能'!Q:Q, '製造效能'!$B:$B=$D51, '製造效能'!$D:$D=$M51, '製造效能'!$E:$E=""攪料""), 1))"),1)</f>
        <v>1</v>
      </c>
      <c r="AF51" s="35" t="str">
        <f ca="1">IFERROR(__xludf.DUMMYFUNCTION("IFERROR(INDEX(FILTER('製造效能'!R:R, '製造效能'!$A:$A=$C51, '製造效能'!$D:$D=$M51, '製造效能'!$E:$E=""攪料""), 1), INDEX(FILTER('製造效能'!R:R, '製造效能'!$B:$B=$D51, '製造效能'!$D:$D=$M51, '製造效能'!$E:$E=""攪料""), 1))"),"")</f>
        <v/>
      </c>
      <c r="AG51" s="35" t="str">
        <f ca="1">IFERROR(__xludf.DUMMYFUNCTION("IFERROR(INDEX(FILTER('製造效能'!S:S, '製造效能'!$A:$A=$C51, '製造效能'!$D:$D=$M51, '製造效能'!$E:$E=""攪料""), 1), INDEX(FILTER('製造效能'!S:S, '製造效能'!$B:$B=$D51, '製造效能'!$D:$D=$M51, '製造效能'!$E:$E=""攪料""), 1))"),"")</f>
        <v/>
      </c>
      <c r="AH51" s="35" t="str">
        <f ca="1">IFERROR(__xludf.DUMMYFUNCTION("IFERROR(INDEX(FILTER('製造效能'!T:T, '製造效能'!$A:$A=$C51, '製造效能'!$D:$D=$M51, '製造效能'!$E:$E=""攪料""), 1), INDEX(FILTER('製造效能'!T:T, '製造效能'!$B:$B=$D51, '製造效能'!$D:$D=$M51, '製造效能'!$E:$E=""攪料""), 1))"),"")</f>
        <v/>
      </c>
      <c r="AI51" s="35" t="str">
        <f ca="1">IFERROR(__xludf.DUMMYFUNCTION("IFERROR(INDEX(FILTER('製造效能'!U:U, '製造效能'!$A:$A=$C51, '製造效能'!$D:$D=$M51, '製造效能'!$E:$E=""攪料""), 1), INDEX(FILTER('製造效能'!U:U, '製造效能'!$B:$B=$D51, '製造效能'!$D:$D=$M51, '製造效能'!$E:$E=""攪料""), 1))"),"")</f>
        <v/>
      </c>
      <c r="AJ51" s="35" t="str">
        <f ca="1">IFERROR(__xludf.DUMMYFUNCTION("IFERROR(INDEX(FILTER('製造效能'!V:V, '製造效能'!$A:$A=$C51, '製造效能'!$D:$D=$M51, '製造效能'!$E:$E=""攪料""), 1), INDEX(FILTER('製造效能'!V:V, '製造效能'!$B:$B=$D51, '製造效能'!$D:$D=$M51, '製造效能'!$E:$E=""攪料""), 1))"),"")</f>
        <v/>
      </c>
      <c r="AK51" s="35">
        <f>COUNTIF(充填效能!$A:$A, $C51)</f>
        <v>1</v>
      </c>
      <c r="AL51" s="36">
        <f ca="1">IFERROR(__xludf.DUMMYFUNCTION("IFERROR(INDEX(FILTER('充填效能'!$Q$2:$Q$1088, '充填效能'!$A$2:$A$1088=$C51, '充填效能'!$D$2:$D$1088=""排瓶""), 1), 0)"),0)</f>
        <v>0</v>
      </c>
      <c r="AM51" s="36">
        <f ca="1">IFERROR(__xludf.DUMMYFUNCTION("IFERROR(INDEX(FILTER('充填效能'!$R$2:$R$1088, '充填效能'!$A$2:$A$1088=$C51, '充填效能'!$D$2:$D$1088=""排瓶""), 1), 0)"),0)</f>
        <v>0</v>
      </c>
      <c r="AN51" s="35">
        <f t="shared" ca="1" si="5"/>
        <v>0</v>
      </c>
      <c r="AO51" s="36" t="str">
        <f ca="1">IFERROR(__xludf.DUMMYFUNCTION("IFERROR(INDEX(FILTER('充填效能'!$Q$2:$Q$1088, '充填效能'!$A$2:$A$1088=$C51, '充填效能'!$D$2:$D$1088=""充填""), 1), 0)"),"1000")</f>
        <v>1000</v>
      </c>
      <c r="AP51" s="36">
        <f ca="1">IFERROR(__xludf.DUMMYFUNCTION("IFERROR(INDEX(FILTER('充填效能'!$R$2:$R$1088, '充填效能'!$A$2:$A$1088=$C51, '充填效能'!$D$2:$D$1088=""充填""), 1), 0)"),4)</f>
        <v>4</v>
      </c>
      <c r="AQ51" s="35">
        <f t="shared" ca="1" si="6"/>
        <v>20</v>
      </c>
      <c r="AR51" s="17">
        <f t="shared" ca="1" si="7"/>
        <v>80</v>
      </c>
    </row>
    <row r="52" spans="1:44" ht="15.75" customHeight="1">
      <c r="A52" s="9" t="s">
        <v>183</v>
      </c>
      <c r="B52" s="34">
        <f t="shared" si="0"/>
        <v>44994</v>
      </c>
      <c r="C52" s="9" t="s">
        <v>160</v>
      </c>
      <c r="D52" s="17" t="str">
        <f t="shared" si="1"/>
        <v>AB17H1</v>
      </c>
      <c r="E52" s="9" t="s">
        <v>161</v>
      </c>
      <c r="F52" s="9">
        <v>1660</v>
      </c>
      <c r="G52" s="10">
        <v>45089</v>
      </c>
      <c r="H52" s="10">
        <v>45082</v>
      </c>
      <c r="I52" s="10">
        <v>45029</v>
      </c>
      <c r="J52" s="10">
        <v>45079</v>
      </c>
      <c r="L52" s="17" t="str">
        <f ca="1">IFERROR(__xludf.DUMMYFUNCTION("TEXTJOIN("", "", TRUE, UNIQUE(FILTER('製造效能'!$D$2:$D$1732, '製造效能'!$B$2:$B$1732 = D52)))"),"小乳")</f>
        <v>小乳</v>
      </c>
      <c r="M52" s="17" t="str">
        <f ca="1">IFERROR(__xludf.DUMMYFUNCTION("INDEX(UNIQUE(FILTER('製造效能'!$D$2:$D$1732, ('製造效能'!$B$2:$B$1732 = D52) * ('製造效能'!$J$2:$J$1732 = MAXIFS('製造效能'!$J$2:$J$1732, '製造效能'!$B$2:$B$1732, D52)))), 1) 
"),"小乳")</f>
        <v>小乳</v>
      </c>
      <c r="N52" s="17" t="str">
        <f ca="1">IFERROR(__xludf.DUMMYFUNCTION("TEXTJOIN("", "", TRUE, UNIQUE(FILTER('製造效能'!$K$2:$K$1732, '製造效能'!$B$2:$B$1732 = D52)))"),"乳項")</f>
        <v>乳項</v>
      </c>
      <c r="P52" s="35" t="str">
        <f ca="1">IFERROR(__xludf.DUMMYFUNCTION("IFERROR(INDEX(FILTER('充填效能'!J$2:J$1088, '充填效能'!$A$2:$A$1088=$C52, '充填效能'!$D$2:$D$1088=""充填""), 1), 0)"),"")</f>
        <v/>
      </c>
      <c r="Q52" s="35" t="str">
        <f ca="1">IFERROR(__xludf.DUMMYFUNCTION("IFERROR(INDEX(FILTER('充填效能'!K$2:K$1088, '充填效能'!$A$2:$A$1088=$C52, '充填效能'!$D$2:$D$1088=""充填""), 1), 0)"),"")</f>
        <v/>
      </c>
      <c r="R52" s="35">
        <f ca="1">IFERROR(__xludf.DUMMYFUNCTION("IFERROR(INDEX(FILTER('充填效能'!I$2:I$1088, '充填效能'!$A$2:$A$1088=$C52, '充填效能'!$D$2:$D$1088=""充填""), 1), 0)"),60)</f>
        <v>60</v>
      </c>
      <c r="S52" s="35">
        <f ca="1">COUNTIFS(製造效能!B:B, $D52,製造效能!D:D,M52)</f>
        <v>3</v>
      </c>
      <c r="T52" s="36">
        <f ca="1">IFERROR(__xludf.DUMMYFUNCTION("VALUE(REGEXEXTRACT(TO_TEXT(R52), ""\d*\.?\d+""))"),60)</f>
        <v>60</v>
      </c>
      <c r="U52" s="17">
        <f t="shared" ca="1" si="2"/>
        <v>101093.99999999999</v>
      </c>
      <c r="V52" s="17">
        <f ca="1">IFERROR(__xludf.DUMMYFUNCTION("IFERROR(INDEX(FILTER('製造效能'!J:J, '製造效能'!A:A=$C52, '製造效能'!D:D=M52, '製造效能'!E:E=""攪料""), 1), INDEX(FILTER('製造效能'!J:J, '製造效能'!B:B=$D52, '製造效能'!D:D=M52, '製造效能'!E:E=""攪料""), 1))"),51.5)</f>
        <v>51.5</v>
      </c>
      <c r="W52" s="36">
        <f ca="1">IFERROR(__xludf.DUMMYFUNCTION("IFERROR(INDEX(FILTER('製造效能'!G:G, '製造效能'!A:A=$C52, '製造效能'!D:D=M52, '製造效能'!E:E=""攪料""), 1), INDEX(FILTER('製造效能'!G:G, '製造效能'!B:B=$D52, '製造效能'!D:D=M52, '製造效能'!E:E=""攪料""), 1))"),150)</f>
        <v>150</v>
      </c>
      <c r="X52" s="35">
        <f t="shared" ca="1" si="3"/>
        <v>2</v>
      </c>
      <c r="Y52" s="35">
        <f t="shared" ca="1" si="4"/>
        <v>300</v>
      </c>
      <c r="Z52" s="35">
        <f ca="1">IFERROR(__xludf.DUMMYFUNCTION("IFERROR(IFERROR(INDEX(FILTER('製造效能'!G:G, '製造效能'!A:A=$C52, '製造效能'!D:D=M52, '製造效能'!E:E=""預攪""), 1), INDEX(FILTER('製造效能'!G:G, '製造效能'!B:B=$D52, '製造效能'!D:D=M52, '製造效能'!E:E=""預攪""), 1)), 0)"),90)</f>
        <v>90</v>
      </c>
      <c r="AA52" s="35">
        <f ca="1">IFERROR(__xludf.DUMMYFUNCTION("IFERROR(INDEX(FILTER('製造效能'!G:G, '製造效能'!A:A=$C52, '製造效能'!D:D=M52, '製造效能'!E:E=""清洗""), 1), INDEX(FILTER('製造效能'!G:G, '製造效能'!B:B=$D52, '製造效能'!D:D=M52, '製造效能'!E:E=""清洗""), 1))"),90)</f>
        <v>90</v>
      </c>
      <c r="AB52" s="35" t="str">
        <f ca="1">IFERROR(__xludf.DUMMYFUNCTION("IFERROR(INDEX(FILTER('製造效能'!N:N, '製造效能'!$A:$A=$C52, '製造效能'!$D:$D=$M52, '製造效能'!$E:$E=""攪料""), 1), INDEX(FILTER('製造效能'!N:N, '製造效能'!$B:$B=$D52, '製造效能'!$D:$D=$M52, '製造效能'!$E:$E=""攪料""), 1))"),"")</f>
        <v/>
      </c>
      <c r="AC52" s="35">
        <f ca="1">IFERROR(__xludf.DUMMYFUNCTION("IFERROR(INDEX(FILTER('製造效能'!O:O, '製造效能'!$A:$A=$C52, '製造效能'!$D:$D=$M52, '製造效能'!$E:$E=""攪料""), 1), INDEX(FILTER('製造效能'!O:O, '製造效能'!$B:$B=$D52, '製造效能'!$D:$D=$M52, '製造效能'!$E:$E=""攪料""), 1))"),1)</f>
        <v>1</v>
      </c>
      <c r="AD52" s="35">
        <f ca="1">IFERROR(__xludf.DUMMYFUNCTION("IFERROR(INDEX(FILTER('製造效能'!P:P, '製造效能'!$A:$A=$C52, '製造效能'!$D:$D=$M52, '製造效能'!$E:$E=""攪料""), 1), INDEX(FILTER('製造效能'!P:P, '製造效能'!$B:$B=$D52, '製造效能'!$D:$D=$M52, '製造效能'!$E:$E=""攪料""), 1))"),1)</f>
        <v>1</v>
      </c>
      <c r="AE52" s="35" t="str">
        <f ca="1">IFERROR(__xludf.DUMMYFUNCTION("IFERROR(INDEX(FILTER('製造效能'!Q:Q, '製造效能'!$A:$A=$C52, '製造效能'!$D:$D=$M52, '製造效能'!$E:$E=""攪料""), 1), INDEX(FILTER('製造效能'!Q:Q, '製造效能'!$B:$B=$D52, '製造效能'!$D:$D=$M52, '製造效能'!$E:$E=""攪料""), 1))"),"")</f>
        <v/>
      </c>
      <c r="AF52" s="35" t="str">
        <f ca="1">IFERROR(__xludf.DUMMYFUNCTION("IFERROR(INDEX(FILTER('製造效能'!R:R, '製造效能'!$A:$A=$C52, '製造效能'!$D:$D=$M52, '製造效能'!$E:$E=""攪料""), 1), INDEX(FILTER('製造效能'!R:R, '製造效能'!$B:$B=$D52, '製造效能'!$D:$D=$M52, '製造效能'!$E:$E=""攪料""), 1))"),"")</f>
        <v/>
      </c>
      <c r="AG52" s="35" t="str">
        <f ca="1">IFERROR(__xludf.DUMMYFUNCTION("IFERROR(INDEX(FILTER('製造效能'!S:S, '製造效能'!$A:$A=$C52, '製造效能'!$D:$D=$M52, '製造效能'!$E:$E=""攪料""), 1), INDEX(FILTER('製造效能'!S:S, '製造效能'!$B:$B=$D52, '製造效能'!$D:$D=$M52, '製造效能'!$E:$E=""攪料""), 1))"),"")</f>
        <v/>
      </c>
      <c r="AH52" s="35" t="str">
        <f ca="1">IFERROR(__xludf.DUMMYFUNCTION("IFERROR(INDEX(FILTER('製造效能'!T:T, '製造效能'!$A:$A=$C52, '製造效能'!$D:$D=$M52, '製造效能'!$E:$E=""攪料""), 1), INDEX(FILTER('製造效能'!T:T, '製造效能'!$B:$B=$D52, '製造效能'!$D:$D=$M52, '製造效能'!$E:$E=""攪料""), 1))"),"")</f>
        <v/>
      </c>
      <c r="AI52" s="35" t="str">
        <f ca="1">IFERROR(__xludf.DUMMYFUNCTION("IFERROR(INDEX(FILTER('製造效能'!U:U, '製造效能'!$A:$A=$C52, '製造效能'!$D:$D=$M52, '製造效能'!$E:$E=""攪料""), 1), INDEX(FILTER('製造效能'!U:U, '製造效能'!$B:$B=$D52, '製造效能'!$D:$D=$M52, '製造效能'!$E:$E=""攪料""), 1))"),"")</f>
        <v/>
      </c>
      <c r="AJ52" s="35" t="str">
        <f ca="1">IFERROR(__xludf.DUMMYFUNCTION("IFERROR(INDEX(FILTER('製造效能'!V:V, '製造效能'!$A:$A=$C52, '製造效能'!$D:$D=$M52, '製造效能'!$E:$E=""攪料""), 1), INDEX(FILTER('製造效能'!V:V, '製造效能'!$B:$B=$D52, '製造效能'!$D:$D=$M52, '製造效能'!$E:$E=""攪料""), 1))"),"")</f>
        <v/>
      </c>
      <c r="AK52" s="35">
        <f>COUNTIF(充填效能!$A:$A, $C52)</f>
        <v>1</v>
      </c>
      <c r="AL52" s="36">
        <f ca="1">IFERROR(__xludf.DUMMYFUNCTION("IFERROR(INDEX(FILTER('充填效能'!$Q$2:$Q$1088, '充填效能'!$A$2:$A$1088=$C52, '充填效能'!$D$2:$D$1088=""排瓶""), 1), 0)"),0)</f>
        <v>0</v>
      </c>
      <c r="AM52" s="36">
        <f ca="1">IFERROR(__xludf.DUMMYFUNCTION("IFERROR(INDEX(FILTER('充填效能'!$R$2:$R$1088, '充填效能'!$A$2:$A$1088=$C52, '充填效能'!$D$2:$D$1088=""排瓶""), 1), 0)"),0)</f>
        <v>0</v>
      </c>
      <c r="AN52" s="35">
        <f t="shared" ca="1" si="5"/>
        <v>0</v>
      </c>
      <c r="AO52" s="36" t="str">
        <f ca="1">IFERROR(__xludf.DUMMYFUNCTION("IFERROR(INDEX(FILTER('充填效能'!$Q$2:$Q$1088, '充填效能'!$A$2:$A$1088=$C52, '充填效能'!$D$2:$D$1088=""充填""), 1), 0)"),"850")</f>
        <v>850</v>
      </c>
      <c r="AP52" s="36">
        <f ca="1">IFERROR(__xludf.DUMMYFUNCTION("IFERROR(INDEX(FILTER('充填效能'!$R$2:$R$1088, '充填效能'!$A$2:$A$1088=$C52, '充填效能'!$D$2:$D$1088=""充填""), 1), 0)"),4)</f>
        <v>4</v>
      </c>
      <c r="AQ52" s="35">
        <f t="shared" ca="1" si="6"/>
        <v>1.9529411764705882</v>
      </c>
      <c r="AR52" s="17">
        <f t="shared" ca="1" si="7"/>
        <v>7.8117647058823527</v>
      </c>
    </row>
    <row r="53" spans="1:44" ht="15.75" customHeight="1">
      <c r="A53" s="9" t="s">
        <v>169</v>
      </c>
      <c r="B53" s="34">
        <f t="shared" si="0"/>
        <v>45050</v>
      </c>
      <c r="C53" s="9" t="s">
        <v>213</v>
      </c>
      <c r="D53" s="17" t="str">
        <f t="shared" si="1"/>
        <v>FH21G1</v>
      </c>
      <c r="E53" s="9" t="s">
        <v>214</v>
      </c>
      <c r="F53" s="9">
        <v>1273</v>
      </c>
      <c r="G53" s="10">
        <v>45103</v>
      </c>
      <c r="H53" s="10">
        <v>45082</v>
      </c>
      <c r="I53" s="10">
        <v>45050</v>
      </c>
      <c r="J53" s="10">
        <v>45010</v>
      </c>
      <c r="K53" s="9" t="s">
        <v>408</v>
      </c>
      <c r="L53" s="17" t="str">
        <f ca="1">IFERROR(__xludf.DUMMYFUNCTION("TEXTJOIN("", "", TRUE, UNIQUE(FILTER('製造效能'!$D$2:$D$1732, '製造效能'!$B$2:$B$1732 = D53)))"),"大")</f>
        <v>大</v>
      </c>
      <c r="M53" s="17" t="str">
        <f ca="1">IFERROR(__xludf.DUMMYFUNCTION("INDEX(UNIQUE(FILTER('製造效能'!$D$2:$D$1732, ('製造效能'!$B$2:$B$1732 = D53) * ('製造效能'!$J$2:$J$1732 = MAXIFS('製造效能'!$J$2:$J$1732, '製造效能'!$B$2:$B$1732, D53)))), 1) 
"),"大")</f>
        <v>大</v>
      </c>
      <c r="N53" s="17" t="str">
        <f ca="1">IFERROR(__xludf.DUMMYFUNCTION("TEXTJOIN("", "", TRUE, UNIQUE(FILTER('製造效能'!$K$2:$K$1732, '製造效能'!$B$2:$B$1732 = D53)))"),"水項")</f>
        <v>水項</v>
      </c>
      <c r="O53" s="35">
        <f ca="1">IFERROR(__xludf.DUMMYFUNCTION("IFERROR(INDEX(FILTER('充填效能'!I$2:I$1088, '充填效能'!$A$2:$A$1088=$C53, '充填效能'!$D$2:$D$1088=""充填""), 1), 0)"),25.3)</f>
        <v>25.3</v>
      </c>
      <c r="P53" s="35" t="str">
        <f ca="1">IFERROR(__xludf.DUMMYFUNCTION("IFERROR(INDEX(FILTER('充填效能'!J$2:J$1088, '充填效能'!$A$2:$A$1088=$C53, '充填效能'!$D$2:$D$1088=""充填""), 1), 0)"),"")</f>
        <v/>
      </c>
      <c r="Q53" s="35" t="str">
        <f ca="1">IFERROR(__xludf.DUMMYFUNCTION("IFERROR(INDEX(FILTER('充填效能'!K$2:K$1088, '充填效能'!$A$2:$A$1088=$C53, '充填效能'!$D$2:$D$1088=""充填""), 1), 0)"),"")</f>
        <v/>
      </c>
      <c r="R53" s="35" t="str">
        <f ca="1">IFERROR(__xludf.DUMMYFUNCTION("IFERROR(INDEX(FILTER('充填效能'!L$2:L$1088, '充填效能'!$A$2:$A$1088=$C53, '充填效能'!$D$2:$D$1088=""充填""), 1), 0)"),"")</f>
        <v/>
      </c>
      <c r="S53" s="35">
        <f ca="1">COUNTIFS(製造效能!B:B, $D53,製造效能!D:D,M53)</f>
        <v>3</v>
      </c>
      <c r="T53" s="36">
        <f ca="1">IFERROR(__xludf.DUMMYFUNCTION("VALUE(REGEXEXTRACT(TO_TEXT(O53), ""\d*\.?\d+""))"),25.3)</f>
        <v>25.3</v>
      </c>
      <c r="U53" s="17">
        <f t="shared" ca="1" si="2"/>
        <v>32690.003499999999</v>
      </c>
      <c r="V53" s="17">
        <f ca="1">IFERROR(__xludf.DUMMYFUNCTION("IFERROR(INDEX(FILTER('製造效能'!J:J, '製造效能'!A:A=$C53, '製造效能'!D:D=M53, '製造效能'!E:E=""攪料""), 1), INDEX(FILTER('製造效能'!J:J, '製造效能'!B:B=$D53, '製造效能'!D:D=M53, '製造效能'!E:E=""攪料""), 1))"),400)</f>
        <v>400</v>
      </c>
      <c r="W53" s="36">
        <f ca="1">IFERROR(__xludf.DUMMYFUNCTION("IFERROR(INDEX(FILTER('製造效能'!G:G, '製造效能'!A:A=$C53, '製造效能'!D:D=M53, '製造效能'!E:E=""攪料""), 1), INDEX(FILTER('製造效能'!G:G, '製造效能'!B:B=$D53, '製造效能'!D:D=M53, '製造效能'!E:E=""攪料""), 1))"),115)</f>
        <v>115</v>
      </c>
      <c r="X53" s="35">
        <f t="shared" ca="1" si="3"/>
        <v>1</v>
      </c>
      <c r="Y53" s="35">
        <f t="shared" ca="1" si="4"/>
        <v>115</v>
      </c>
      <c r="Z53" s="35">
        <f ca="1">IFERROR(__xludf.DUMMYFUNCTION("IFERROR(IFERROR(INDEX(FILTER('製造效能'!G:G, '製造效能'!A:A=$C53, '製造效能'!D:D=M53, '製造效能'!E:E=""預攪""), 1), INDEX(FILTER('製造效能'!G:G, '製造效能'!B:B=$D53, '製造效能'!D:D=M53, '製造效能'!E:E=""預攪""), 1)), 0)"),25)</f>
        <v>25</v>
      </c>
      <c r="AA53" s="35">
        <f ca="1">IFERROR(__xludf.DUMMYFUNCTION("IFERROR(INDEX(FILTER('製造效能'!G:G, '製造效能'!A:A=$C53, '製造效能'!D:D=M53, '製造效能'!E:E=""清洗""), 1), INDEX(FILTER('製造效能'!G:G, '製造效能'!B:B=$D53, '製造效能'!D:D=M53, '製造效能'!E:E=""清洗""), 1))"),30)</f>
        <v>30</v>
      </c>
      <c r="AB53" s="35" t="str">
        <f ca="1">IFERROR(__xludf.DUMMYFUNCTION("IFERROR(INDEX(FILTER('製造效能'!N:N, '製造效能'!$A:$A=$C53, '製造效能'!$D:$D=$M53, '製造效能'!$E:$E=""攪料""), 1), INDEX(FILTER('製造效能'!N:N, '製造效能'!$B:$B=$D53, '製造效能'!$D:$D=$M53, '製造效能'!$E:$E=""攪料""), 1))"),"")</f>
        <v/>
      </c>
      <c r="AC53" s="35" t="str">
        <f ca="1">IFERROR(__xludf.DUMMYFUNCTION("IFERROR(INDEX(FILTER('製造效能'!O:O, '製造效能'!$A:$A=$C53, '製造效能'!$D:$D=$M53, '製造效能'!$E:$E=""攪料""), 1), INDEX(FILTER('製造效能'!O:O, '製造效能'!$B:$B=$D53, '製造效能'!$D:$D=$M53, '製造效能'!$E:$E=""攪料""), 1))"),"")</f>
        <v/>
      </c>
      <c r="AD53" s="35" t="str">
        <f ca="1">IFERROR(__xludf.DUMMYFUNCTION("IFERROR(INDEX(FILTER('製造效能'!P:P, '製造效能'!$A:$A=$C53, '製造效能'!$D:$D=$M53, '製造效能'!$E:$E=""攪料""), 1), INDEX(FILTER('製造效能'!P:P, '製造效能'!$B:$B=$D53, '製造效能'!$D:$D=$M53, '製造效能'!$E:$E=""攪料""), 1))"),"")</f>
        <v/>
      </c>
      <c r="AE53" s="35" t="str">
        <f ca="1">IFERROR(__xludf.DUMMYFUNCTION("IFERROR(INDEX(FILTER('製造效能'!Q:Q, '製造效能'!$A:$A=$C53, '製造效能'!$D:$D=$M53, '製造效能'!$E:$E=""攪料""), 1), INDEX(FILTER('製造效能'!Q:Q, '製造效能'!$B:$B=$D53, '製造效能'!$D:$D=$M53, '製造效能'!$E:$E=""攪料""), 1))"),"")</f>
        <v/>
      </c>
      <c r="AF53" s="35" t="str">
        <f ca="1">IFERROR(__xludf.DUMMYFUNCTION("IFERROR(INDEX(FILTER('製造效能'!R:R, '製造效能'!$A:$A=$C53, '製造效能'!$D:$D=$M53, '製造效能'!$E:$E=""攪料""), 1), INDEX(FILTER('製造效能'!R:R, '製造效能'!$B:$B=$D53, '製造效能'!$D:$D=$M53, '製造效能'!$E:$E=""攪料""), 1))"),"")</f>
        <v/>
      </c>
      <c r="AG53" s="35">
        <f ca="1">IFERROR(__xludf.DUMMYFUNCTION("IFERROR(INDEX(FILTER('製造效能'!S:S, '製造效能'!$A:$A=$C53, '製造效能'!$D:$D=$M53, '製造效能'!$E:$E=""攪料""), 1), INDEX(FILTER('製造效能'!S:S, '製造效能'!$B:$B=$D53, '製造效能'!$D:$D=$M53, '製造效能'!$E:$E=""攪料""), 1))"),1)</f>
        <v>1</v>
      </c>
      <c r="AH53" s="35" t="str">
        <f ca="1">IFERROR(__xludf.DUMMYFUNCTION("IFERROR(INDEX(FILTER('製造效能'!T:T, '製造效能'!$A:$A=$C53, '製造效能'!$D:$D=$M53, '製造效能'!$E:$E=""攪料""), 1), INDEX(FILTER('製造效能'!T:T, '製造效能'!$B:$B=$D53, '製造效能'!$D:$D=$M53, '製造效能'!$E:$E=""攪料""), 1))"),"")</f>
        <v/>
      </c>
      <c r="AI53" s="35" t="str">
        <f ca="1">IFERROR(__xludf.DUMMYFUNCTION("IFERROR(INDEX(FILTER('製造效能'!U:U, '製造效能'!$A:$A=$C53, '製造效能'!$D:$D=$M53, '製造效能'!$E:$E=""攪料""), 1), INDEX(FILTER('製造效能'!U:U, '製造效能'!$B:$B=$D53, '製造效能'!$D:$D=$M53, '製造效能'!$E:$E=""攪料""), 1))"),"")</f>
        <v/>
      </c>
      <c r="AJ53" s="35" t="str">
        <f ca="1">IFERROR(__xludf.DUMMYFUNCTION("IFERROR(INDEX(FILTER('製造效能'!V:V, '製造效能'!$A:$A=$C53, '製造效能'!$D:$D=$M53, '製造效能'!$E:$E=""攪料""), 1), INDEX(FILTER('製造效能'!V:V, '製造效能'!$B:$B=$D53, '製造效能'!$D:$D=$M53, '製造效能'!$E:$E=""攪料""), 1))"),"")</f>
        <v/>
      </c>
      <c r="AK53" s="35">
        <f>COUNTIF(充填效能!$A:$A, $C53)</f>
        <v>1</v>
      </c>
      <c r="AL53" s="36">
        <f ca="1">IFERROR(__xludf.DUMMYFUNCTION("IFERROR(INDEX(FILTER('充填效能'!$Q$2:$Q$1088, '充填效能'!$A$2:$A$1088=$C53, '充填效能'!$D$2:$D$1088=""排瓶""), 1), 0)"),0)</f>
        <v>0</v>
      </c>
      <c r="AM53" s="36">
        <f ca="1">IFERROR(__xludf.DUMMYFUNCTION("IFERROR(INDEX(FILTER('充填效能'!$R$2:$R$1088, '充填效能'!$A$2:$A$1088=$C53, '充填效能'!$D$2:$D$1088=""排瓶""), 1), 0)"),0)</f>
        <v>0</v>
      </c>
      <c r="AN53" s="35">
        <f t="shared" ca="1" si="5"/>
        <v>0</v>
      </c>
      <c r="AO53" s="36" t="str">
        <f ca="1">IFERROR(__xludf.DUMMYFUNCTION("IFERROR(INDEX(FILTER('充填效能'!$Q$2:$Q$1088, '充填效能'!$A$2:$A$1088=$C53, '充填效能'!$D$2:$D$1088=""充填""), 1), 0)"),"1428")</f>
        <v>1428</v>
      </c>
      <c r="AP53" s="36">
        <f ca="1">IFERROR(__xludf.DUMMYFUNCTION("IFERROR(INDEX(FILTER('充填效能'!$R$2:$R$1088, '充填效能'!$A$2:$A$1088=$C53, '充填效能'!$D$2:$D$1088=""充填""), 1), 0)"),1)</f>
        <v>1</v>
      </c>
      <c r="AQ53" s="35">
        <f t="shared" ca="1" si="6"/>
        <v>0.89145658263305327</v>
      </c>
      <c r="AR53" s="17">
        <f t="shared" ca="1" si="7"/>
        <v>0.89145658263305327</v>
      </c>
    </row>
    <row r="54" spans="1:44" ht="15.75" customHeight="1">
      <c r="A54" s="9" t="s">
        <v>186</v>
      </c>
      <c r="B54" s="34">
        <f t="shared" si="0"/>
        <v>45050</v>
      </c>
      <c r="C54" s="9" t="s">
        <v>154</v>
      </c>
      <c r="D54" s="17" t="str">
        <f t="shared" si="1"/>
        <v>BX21E1</v>
      </c>
      <c r="E54" s="9" t="s">
        <v>155</v>
      </c>
      <c r="F54" s="9">
        <v>1460</v>
      </c>
      <c r="G54" s="10">
        <v>45086</v>
      </c>
      <c r="H54" s="10">
        <v>45082</v>
      </c>
      <c r="I54" s="10">
        <v>44987</v>
      </c>
      <c r="J54" s="10">
        <v>45037</v>
      </c>
      <c r="L54" s="17" t="str">
        <f ca="1">IFERROR(__xludf.DUMMYFUNCTION("TEXTJOIN("", "", TRUE, UNIQUE(FILTER('製造效能'!$D$2:$D$1732, '製造效能'!$B$2:$B$1732 = D54)))"),"小乳")</f>
        <v>小乳</v>
      </c>
      <c r="M54" s="17" t="str">
        <f ca="1">IFERROR(__xludf.DUMMYFUNCTION("INDEX(UNIQUE(FILTER('製造效能'!$D$2:$D$1732, ('製造效能'!$B$2:$B$1732 = D54) * ('製造效能'!$J$2:$J$1732 = MAXIFS('製造效能'!$J$2:$J$1732, '製造效能'!$B$2:$B$1732, D54)))), 1) 
"),"小乳")</f>
        <v>小乳</v>
      </c>
      <c r="N54" s="17" t="str">
        <f ca="1">IFERROR(__xludf.DUMMYFUNCTION("TEXTJOIN("", "", TRUE, UNIQUE(FILTER('製造效能'!$K$2:$K$1732, '製造效能'!$B$2:$B$1732 = D54)))"),"乳項")</f>
        <v>乳項</v>
      </c>
      <c r="P54" s="35" t="str">
        <f ca="1">IFERROR(__xludf.DUMMYFUNCTION("IFERROR(INDEX(FILTER('充填效能'!J$2:J$1088, '充填效能'!$A$2:$A$1088=$C54, '充填效能'!$D$2:$D$1088=""充填""), 1), 0)"),"")</f>
        <v/>
      </c>
      <c r="Q54" s="35" t="str">
        <f ca="1">IFERROR(__xludf.DUMMYFUNCTION("IFERROR(INDEX(FILTER('充填效能'!K$2:K$1088, '充填效能'!$A$2:$A$1088=$C54, '充填效能'!$D$2:$D$1088=""充填""), 1), 0)"),"")</f>
        <v/>
      </c>
      <c r="R54" s="35">
        <f ca="1">IFERROR(__xludf.DUMMYFUNCTION("IFERROR(INDEX(FILTER('充填效能'!I$2:I$1088, '充填效能'!$A$2:$A$1088=$C54, '充填效能'!$D$2:$D$1088=""充填""), 1), 0)"),8)</f>
        <v>8</v>
      </c>
      <c r="S54" s="35">
        <f ca="1">COUNTIFS(製造效能!B:B, $D54,製造效能!D:D,M54)</f>
        <v>3</v>
      </c>
      <c r="T54" s="36">
        <f ca="1">IFERROR(__xludf.DUMMYFUNCTION("VALUE(REGEXEXTRACT(TO_TEXT(R54), ""\d*\.?\d+""))"),8)</f>
        <v>8</v>
      </c>
      <c r="U54" s="17">
        <f t="shared" ca="1" si="2"/>
        <v>11855.199999999999</v>
      </c>
      <c r="V54" s="17">
        <f ca="1">IFERROR(__xludf.DUMMYFUNCTION("IFERROR(INDEX(FILTER('製造效能'!J:J, '製造效能'!A:A=$C54, '製造效能'!D:D=M54, '製造效能'!E:E=""攪料""), 1), INDEX(FILTER('製造效能'!J:J, '製造效能'!B:B=$D54, '製造效能'!D:D=M54, '製造效能'!E:E=""攪料""), 1))"),52)</f>
        <v>52</v>
      </c>
      <c r="W54" s="36">
        <f ca="1">IFERROR(__xludf.DUMMYFUNCTION("IFERROR(INDEX(FILTER('製造效能'!G:G, '製造效能'!A:A=$C54, '製造效能'!D:D=M54, '製造效能'!E:E=""攪料""), 1), INDEX(FILTER('製造效能'!G:G, '製造效能'!B:B=$D54, '製造效能'!D:D=M54, '製造效能'!E:E=""攪料""), 1))"),125)</f>
        <v>125</v>
      </c>
      <c r="X54" s="35">
        <f t="shared" ca="1" si="3"/>
        <v>1</v>
      </c>
      <c r="Y54" s="35">
        <f t="shared" ca="1" si="4"/>
        <v>125</v>
      </c>
      <c r="Z54" s="35">
        <f ca="1">IFERROR(__xludf.DUMMYFUNCTION("IFERROR(IFERROR(INDEX(FILTER('製造效能'!G:G, '製造效能'!A:A=$C54, '製造效能'!D:D=M54, '製造效能'!E:E=""預攪""), 1), INDEX(FILTER('製造效能'!G:G, '製造效能'!B:B=$D54, '製造效能'!D:D=M54, '製造效能'!E:E=""預攪""), 1)), 0)"),25)</f>
        <v>25</v>
      </c>
      <c r="AA54" s="35">
        <f ca="1">IFERROR(__xludf.DUMMYFUNCTION("IFERROR(INDEX(FILTER('製造效能'!G:G, '製造效能'!A:A=$C54, '製造效能'!D:D=M54, '製造效能'!E:E=""清洗""), 1), INDEX(FILTER('製造效能'!G:G, '製造效能'!B:B=$D54, '製造效能'!D:D=M54, '製造效能'!E:E=""清洗""), 1))"),30)</f>
        <v>30</v>
      </c>
      <c r="AB54" s="35" t="str">
        <f ca="1">IFERROR(__xludf.DUMMYFUNCTION("IFERROR(INDEX(FILTER('製造效能'!N:N, '製造效能'!$A:$A=$C54, '製造效能'!$D:$D=$M54, '製造效能'!$E:$E=""攪料""), 1), INDEX(FILTER('製造效能'!N:N, '製造效能'!$B:$B=$D54, '製造效能'!$D:$D=$M54, '製造效能'!$E:$E=""攪料""), 1))"),"")</f>
        <v/>
      </c>
      <c r="AC54" s="35" t="str">
        <f ca="1">IFERROR(__xludf.DUMMYFUNCTION("IFERROR(INDEX(FILTER('製造效能'!O:O, '製造效能'!$A:$A=$C54, '製造效能'!$D:$D=$M54, '製造效能'!$E:$E=""攪料""), 1), INDEX(FILTER('製造效能'!O:O, '製造效能'!$B:$B=$D54, '製造效能'!$D:$D=$M54, '製造效能'!$E:$E=""攪料""), 1))"),"")</f>
        <v/>
      </c>
      <c r="AD54" s="35">
        <f ca="1">IFERROR(__xludf.DUMMYFUNCTION("IFERROR(INDEX(FILTER('製造效能'!P:P, '製造效能'!$A:$A=$C54, '製造效能'!$D:$D=$M54, '製造效能'!$E:$E=""攪料""), 1), INDEX(FILTER('製造效能'!P:P, '製造效能'!$B:$B=$D54, '製造效能'!$D:$D=$M54, '製造效能'!$E:$E=""攪料""), 1))"),1)</f>
        <v>1</v>
      </c>
      <c r="AE54" s="35" t="str">
        <f ca="1">IFERROR(__xludf.DUMMYFUNCTION("IFERROR(INDEX(FILTER('製造效能'!Q:Q, '製造效能'!$A:$A=$C54, '製造效能'!$D:$D=$M54, '製造效能'!$E:$E=""攪料""), 1), INDEX(FILTER('製造效能'!Q:Q, '製造效能'!$B:$B=$D54, '製造效能'!$D:$D=$M54, '製造效能'!$E:$E=""攪料""), 1))"),"")</f>
        <v/>
      </c>
      <c r="AF54" s="35" t="str">
        <f ca="1">IFERROR(__xludf.DUMMYFUNCTION("IFERROR(INDEX(FILTER('製造效能'!R:R, '製造效能'!$A:$A=$C54, '製造效能'!$D:$D=$M54, '製造效能'!$E:$E=""攪料""), 1), INDEX(FILTER('製造效能'!R:R, '製造效能'!$B:$B=$D54, '製造效能'!$D:$D=$M54, '製造效能'!$E:$E=""攪料""), 1))"),"")</f>
        <v/>
      </c>
      <c r="AG54" s="35" t="str">
        <f ca="1">IFERROR(__xludf.DUMMYFUNCTION("IFERROR(INDEX(FILTER('製造效能'!S:S, '製造效能'!$A:$A=$C54, '製造效能'!$D:$D=$M54, '製造效能'!$E:$E=""攪料""), 1), INDEX(FILTER('製造效能'!S:S, '製造效能'!$B:$B=$D54, '製造效能'!$D:$D=$M54, '製造效能'!$E:$E=""攪料""), 1))"),"")</f>
        <v/>
      </c>
      <c r="AH54" s="35" t="str">
        <f ca="1">IFERROR(__xludf.DUMMYFUNCTION("IFERROR(INDEX(FILTER('製造效能'!T:T, '製造效能'!$A:$A=$C54, '製造效能'!$D:$D=$M54, '製造效能'!$E:$E=""攪料""), 1), INDEX(FILTER('製造效能'!T:T, '製造效能'!$B:$B=$D54, '製造效能'!$D:$D=$M54, '製造效能'!$E:$E=""攪料""), 1))"),"")</f>
        <v/>
      </c>
      <c r="AI54" s="35" t="str">
        <f ca="1">IFERROR(__xludf.DUMMYFUNCTION("IFERROR(INDEX(FILTER('製造效能'!U:U, '製造效能'!$A:$A=$C54, '製造效能'!$D:$D=$M54, '製造效能'!$E:$E=""攪料""), 1), INDEX(FILTER('製造效能'!U:U, '製造效能'!$B:$B=$D54, '製造效能'!$D:$D=$M54, '製造效能'!$E:$E=""攪料""), 1))"),"")</f>
        <v/>
      </c>
      <c r="AJ54" s="35" t="str">
        <f ca="1">IFERROR(__xludf.DUMMYFUNCTION("IFERROR(INDEX(FILTER('製造效能'!V:V, '製造效能'!$A:$A=$C54, '製造效能'!$D:$D=$M54, '製造效能'!$E:$E=""攪料""), 1), INDEX(FILTER('製造效能'!V:V, '製造效能'!$B:$B=$D54, '製造效能'!$D:$D=$M54, '製造效能'!$E:$E=""攪料""), 1))"),"")</f>
        <v/>
      </c>
      <c r="AK54" s="35">
        <f>COUNTIF(充填效能!$A:$A, $C54)</f>
        <v>2</v>
      </c>
      <c r="AL54" s="36" t="str">
        <f ca="1">IFERROR(__xludf.DUMMYFUNCTION("IFERROR(INDEX(FILTER('充填效能'!$Q$2:$Q$1088, '充填效能'!$A$2:$A$1088=$C54, '充填效能'!$D$2:$D$1088=""排瓶""), 1), 0)"),"1400")</f>
        <v>1400</v>
      </c>
      <c r="AM54" s="36">
        <f ca="1">IFERROR(__xludf.DUMMYFUNCTION("IFERROR(INDEX(FILTER('充填效能'!$R$2:$R$1088, '充填效能'!$A$2:$A$1088=$C54, '充填效能'!$D$2:$D$1088=""排瓶""), 1), 0)"),1)</f>
        <v>1</v>
      </c>
      <c r="AN54" s="35">
        <f t="shared" ca="1" si="5"/>
        <v>1.0428571428571429</v>
      </c>
      <c r="AO54" s="36" t="str">
        <f ca="1">IFERROR(__xludf.DUMMYFUNCTION("IFERROR(INDEX(FILTER('充填效能'!$Q$2:$Q$1088, '充填效能'!$A$2:$A$1088=$C54, '充填效能'!$D$2:$D$1088=""充填""), 1), 0)"),"1000")</f>
        <v>1000</v>
      </c>
      <c r="AP54" s="36">
        <f ca="1">IFERROR(__xludf.DUMMYFUNCTION("IFERROR(INDEX(FILTER('充填效能'!$R$2:$R$1088, '充填效能'!$A$2:$A$1088=$C54, '充填效能'!$D$2:$D$1088=""充填""), 1), 0)"),4)</f>
        <v>4</v>
      </c>
      <c r="AQ54" s="35">
        <f t="shared" ca="1" si="6"/>
        <v>1.46</v>
      </c>
      <c r="AR54" s="17">
        <f t="shared" ca="1" si="7"/>
        <v>5.84</v>
      </c>
    </row>
    <row r="55" spans="1:44" ht="15.75" customHeight="1">
      <c r="A55" s="9" t="s">
        <v>194</v>
      </c>
      <c r="B55" s="34">
        <f t="shared" si="0"/>
        <v>45029</v>
      </c>
      <c r="C55" s="9" t="s">
        <v>157</v>
      </c>
      <c r="D55" s="17" t="str">
        <f t="shared" si="1"/>
        <v>BX21E1</v>
      </c>
      <c r="E55" s="9" t="s">
        <v>158</v>
      </c>
      <c r="F55" s="9">
        <v>2500</v>
      </c>
      <c r="G55" s="10">
        <v>45086</v>
      </c>
      <c r="H55" s="10">
        <v>45082</v>
      </c>
      <c r="I55" s="10">
        <v>45055</v>
      </c>
      <c r="J55" s="10">
        <v>45037</v>
      </c>
      <c r="L55" s="17" t="str">
        <f ca="1">IFERROR(__xludf.DUMMYFUNCTION("TEXTJOIN("", "", TRUE, UNIQUE(FILTER('製造效能'!$D$2:$D$1732, '製造效能'!$B$2:$B$1732 = D55)))"),"小乳")</f>
        <v>小乳</v>
      </c>
      <c r="M55" s="17" t="str">
        <f ca="1">IFERROR(__xludf.DUMMYFUNCTION("INDEX(UNIQUE(FILTER('製造效能'!$D$2:$D$1732, ('製造效能'!$B$2:$B$1732 = D55) * ('製造效能'!$J$2:$J$1732 = MAXIFS('製造效能'!$J$2:$J$1732, '製造效能'!$B$2:$B$1732, D55)))), 1) 
"),"小乳")</f>
        <v>小乳</v>
      </c>
      <c r="N55" s="17" t="str">
        <f ca="1">IFERROR(__xludf.DUMMYFUNCTION("TEXTJOIN("", "", TRUE, UNIQUE(FILTER('製造效能'!$K$2:$K$1732, '製造效能'!$B$2:$B$1732 = D55)))"),"乳項")</f>
        <v>乳項</v>
      </c>
      <c r="P55" s="35" t="str">
        <f ca="1">IFERROR(__xludf.DUMMYFUNCTION("IFERROR(INDEX(FILTER('充填效能'!J$2:J$1088, '充填效能'!$A$2:$A$1088=$C55, '充填效能'!$D$2:$D$1088=""充填""), 1), 0)"),"")</f>
        <v/>
      </c>
      <c r="Q55" s="35" t="str">
        <f ca="1">IFERROR(__xludf.DUMMYFUNCTION("IFERROR(INDEX(FILTER('充填效能'!K$2:K$1088, '充填效能'!$A$2:$A$1088=$C55, '充填效能'!$D$2:$D$1088=""充填""), 1), 0)"),"")</f>
        <v/>
      </c>
      <c r="R55" s="35">
        <f ca="1">IFERROR(__xludf.DUMMYFUNCTION("IFERROR(INDEX(FILTER('充填效能'!I$2:I$1088, '充填效能'!$A$2:$A$1088=$C55, '充填效能'!$D$2:$D$1088=""充填""), 1), 0)"),62)</f>
        <v>62</v>
      </c>
      <c r="S55" s="35">
        <f ca="1">COUNTIFS(製造效能!B:B, $D55,製造效能!D:D,M55)</f>
        <v>3</v>
      </c>
      <c r="T55" s="36">
        <f ca="1">IFERROR(__xludf.DUMMYFUNCTION("VALUE(REGEXEXTRACT(TO_TEXT(R55), ""\d*\.?\d+""))"),62)</f>
        <v>62</v>
      </c>
      <c r="U55" s="17">
        <f t="shared" ca="1" si="2"/>
        <v>157324.99999999997</v>
      </c>
      <c r="V55" s="17">
        <f ca="1">IFERROR(__xludf.DUMMYFUNCTION("IFERROR(INDEX(FILTER('製造效能'!J:J, '製造效能'!A:A=$C55, '製造效能'!D:D=M55, '製造效能'!E:E=""攪料""), 1), INDEX(FILTER('製造效能'!J:J, '製造效能'!B:B=$D55, '製造效能'!D:D=M55, '製造效能'!E:E=""攪料""), 1))"),52)</f>
        <v>52</v>
      </c>
      <c r="W55" s="36">
        <f ca="1">IFERROR(__xludf.DUMMYFUNCTION("IFERROR(INDEX(FILTER('製造效能'!G:G, '製造效能'!A:A=$C55, '製造效能'!D:D=M55, '製造效能'!E:E=""攪料""), 1), INDEX(FILTER('製造效能'!G:G, '製造效能'!B:B=$D55, '製造效能'!D:D=M55, '製造效能'!E:E=""攪料""), 1))"),125)</f>
        <v>125</v>
      </c>
      <c r="X55" s="35">
        <f t="shared" ca="1" si="3"/>
        <v>4</v>
      </c>
      <c r="Y55" s="35">
        <f t="shared" ca="1" si="4"/>
        <v>500</v>
      </c>
      <c r="Z55" s="35">
        <f ca="1">IFERROR(__xludf.DUMMYFUNCTION("IFERROR(IFERROR(INDEX(FILTER('製造效能'!G:G, '製造效能'!A:A=$C55, '製造效能'!D:D=M55, '製造效能'!E:E=""預攪""), 1), INDEX(FILTER('製造效能'!G:G, '製造效能'!B:B=$D55, '製造效能'!D:D=M55, '製造效能'!E:E=""預攪""), 1)), 0)"),25)</f>
        <v>25</v>
      </c>
      <c r="AA55" s="35">
        <f ca="1">IFERROR(__xludf.DUMMYFUNCTION("IFERROR(INDEX(FILTER('製造效能'!G:G, '製造效能'!A:A=$C55, '製造效能'!D:D=M55, '製造效能'!E:E=""清洗""), 1), INDEX(FILTER('製造效能'!G:G, '製造效能'!B:B=$D55, '製造效能'!D:D=M55, '製造效能'!E:E=""清洗""), 1))"),30)</f>
        <v>30</v>
      </c>
      <c r="AB55" s="35" t="str">
        <f ca="1">IFERROR(__xludf.DUMMYFUNCTION("IFERROR(INDEX(FILTER('製造效能'!N:N, '製造效能'!$A:$A=$C55, '製造效能'!$D:$D=$M55, '製造效能'!$E:$E=""攪料""), 1), INDEX(FILTER('製造效能'!N:N, '製造效能'!$B:$B=$D55, '製造效能'!$D:$D=$M55, '製造效能'!$E:$E=""攪料""), 1))"),"")</f>
        <v/>
      </c>
      <c r="AC55" s="35" t="str">
        <f ca="1">IFERROR(__xludf.DUMMYFUNCTION("IFERROR(INDEX(FILTER('製造效能'!O:O, '製造效能'!$A:$A=$C55, '製造效能'!$D:$D=$M55, '製造效能'!$E:$E=""攪料""), 1), INDEX(FILTER('製造效能'!O:O, '製造效能'!$B:$B=$D55, '製造效能'!$D:$D=$M55, '製造效能'!$E:$E=""攪料""), 1))"),"")</f>
        <v/>
      </c>
      <c r="AD55" s="35">
        <f ca="1">IFERROR(__xludf.DUMMYFUNCTION("IFERROR(INDEX(FILTER('製造效能'!P:P, '製造效能'!$A:$A=$C55, '製造效能'!$D:$D=$M55, '製造效能'!$E:$E=""攪料""), 1), INDEX(FILTER('製造效能'!P:P, '製造效能'!$B:$B=$D55, '製造效能'!$D:$D=$M55, '製造效能'!$E:$E=""攪料""), 1))"),1)</f>
        <v>1</v>
      </c>
      <c r="AE55" s="35" t="str">
        <f ca="1">IFERROR(__xludf.DUMMYFUNCTION("IFERROR(INDEX(FILTER('製造效能'!Q:Q, '製造效能'!$A:$A=$C55, '製造效能'!$D:$D=$M55, '製造效能'!$E:$E=""攪料""), 1), INDEX(FILTER('製造效能'!Q:Q, '製造效能'!$B:$B=$D55, '製造效能'!$D:$D=$M55, '製造效能'!$E:$E=""攪料""), 1))"),"")</f>
        <v/>
      </c>
      <c r="AF55" s="35" t="str">
        <f ca="1">IFERROR(__xludf.DUMMYFUNCTION("IFERROR(INDEX(FILTER('製造效能'!R:R, '製造效能'!$A:$A=$C55, '製造效能'!$D:$D=$M55, '製造效能'!$E:$E=""攪料""), 1), INDEX(FILTER('製造效能'!R:R, '製造效能'!$B:$B=$D55, '製造效能'!$D:$D=$M55, '製造效能'!$E:$E=""攪料""), 1))"),"")</f>
        <v/>
      </c>
      <c r="AG55" s="35" t="str">
        <f ca="1">IFERROR(__xludf.DUMMYFUNCTION("IFERROR(INDEX(FILTER('製造效能'!S:S, '製造效能'!$A:$A=$C55, '製造效能'!$D:$D=$M55, '製造效能'!$E:$E=""攪料""), 1), INDEX(FILTER('製造效能'!S:S, '製造效能'!$B:$B=$D55, '製造效能'!$D:$D=$M55, '製造效能'!$E:$E=""攪料""), 1))"),"")</f>
        <v/>
      </c>
      <c r="AH55" s="35" t="str">
        <f ca="1">IFERROR(__xludf.DUMMYFUNCTION("IFERROR(INDEX(FILTER('製造效能'!T:T, '製造效能'!$A:$A=$C55, '製造效能'!$D:$D=$M55, '製造效能'!$E:$E=""攪料""), 1), INDEX(FILTER('製造效能'!T:T, '製造效能'!$B:$B=$D55, '製造效能'!$D:$D=$M55, '製造效能'!$E:$E=""攪料""), 1))"),"")</f>
        <v/>
      </c>
      <c r="AI55" s="35" t="str">
        <f ca="1">IFERROR(__xludf.DUMMYFUNCTION("IFERROR(INDEX(FILTER('製造效能'!U:U, '製造效能'!$A:$A=$C55, '製造效能'!$D:$D=$M55, '製造效能'!$E:$E=""攪料""), 1), INDEX(FILTER('製造效能'!U:U, '製造效能'!$B:$B=$D55, '製造效能'!$D:$D=$M55, '製造效能'!$E:$E=""攪料""), 1))"),"")</f>
        <v/>
      </c>
      <c r="AJ55" s="35" t="str">
        <f ca="1">IFERROR(__xludf.DUMMYFUNCTION("IFERROR(INDEX(FILTER('製造效能'!V:V, '製造效能'!$A:$A=$C55, '製造效能'!$D:$D=$M55, '製造效能'!$E:$E=""攪料""), 1), INDEX(FILTER('製造效能'!V:V, '製造效能'!$B:$B=$D55, '製造效能'!$D:$D=$M55, '製造效能'!$E:$E=""攪料""), 1))"),"")</f>
        <v/>
      </c>
      <c r="AK55" s="35">
        <f>COUNTIF(充填效能!$A:$A, $C55)</f>
        <v>2</v>
      </c>
      <c r="AL55" s="36" t="str">
        <f ca="1">IFERROR(__xludf.DUMMYFUNCTION("IFERROR(INDEX(FILTER('充填效能'!$Q$2:$Q$1088, '充填效能'!$A$2:$A$1088=$C55, '充填效能'!$D$2:$D$1088=""排瓶""), 1), 0)"),"1400")</f>
        <v>1400</v>
      </c>
      <c r="AM55" s="36">
        <f ca="1">IFERROR(__xludf.DUMMYFUNCTION("IFERROR(INDEX(FILTER('充填效能'!$R$2:$R$1088, '充填效能'!$A$2:$A$1088=$C55, '充填效能'!$D$2:$D$1088=""排瓶""), 1), 0)"),1)</f>
        <v>1</v>
      </c>
      <c r="AN55" s="35">
        <f t="shared" ca="1" si="5"/>
        <v>1.7857142857142858</v>
      </c>
      <c r="AO55" s="36" t="str">
        <f ca="1">IFERROR(__xludf.DUMMYFUNCTION("IFERROR(INDEX(FILTER('充填效能'!$Q$2:$Q$1088, '充填效能'!$A$2:$A$1088=$C55, '充填效能'!$D$2:$D$1088=""充填""), 1), 0)"),"870")</f>
        <v>870</v>
      </c>
      <c r="AP55" s="36">
        <f ca="1">IFERROR(__xludf.DUMMYFUNCTION("IFERROR(INDEX(FILTER('充填效能'!$R$2:$R$1088, '充填效能'!$A$2:$A$1088=$C55, '充填效能'!$D$2:$D$1088=""充填""), 1), 0)"),3)</f>
        <v>3</v>
      </c>
      <c r="AQ55" s="35">
        <f t="shared" ca="1" si="6"/>
        <v>2.8735632183908044</v>
      </c>
      <c r="AR55" s="17">
        <f t="shared" ca="1" si="7"/>
        <v>8.6206896551724128</v>
      </c>
    </row>
    <row r="56" spans="1:44" ht="15.75" customHeight="1">
      <c r="A56" s="9" t="s">
        <v>191</v>
      </c>
      <c r="B56" s="34">
        <f t="shared" si="0"/>
        <v>45050</v>
      </c>
      <c r="C56" s="9" t="s">
        <v>204</v>
      </c>
      <c r="D56" s="17" t="str">
        <f t="shared" si="1"/>
        <v>FH21B1</v>
      </c>
      <c r="E56" s="9" t="s">
        <v>205</v>
      </c>
      <c r="F56" s="9">
        <v>2511</v>
      </c>
      <c r="G56" s="10">
        <v>45103</v>
      </c>
      <c r="H56" s="10">
        <v>45082</v>
      </c>
      <c r="I56" s="10">
        <v>45050</v>
      </c>
      <c r="J56" s="10">
        <v>45010</v>
      </c>
      <c r="L56" s="17" t="str">
        <f ca="1">IFERROR(__xludf.DUMMYFUNCTION("TEXTJOIN("", "", TRUE, UNIQUE(FILTER('製造效能'!$D$2:$D$1732, '製造效能'!$B$2:$B$1732 = D56)))"),"大")</f>
        <v>大</v>
      </c>
      <c r="M56" s="17" t="str">
        <f ca="1">IFERROR(__xludf.DUMMYFUNCTION("INDEX(UNIQUE(FILTER('製造效能'!$D$2:$D$1732, ('製造效能'!$B$2:$B$1732 = D56) * ('製造效能'!$J$2:$J$1732 = MAXIFS('製造效能'!$J$2:$J$1732, '製造效能'!$B$2:$B$1732, D56)))), 1) 
"),"大")</f>
        <v>大</v>
      </c>
      <c r="N56" s="17" t="str">
        <f ca="1">IFERROR(__xludf.DUMMYFUNCTION("TEXTJOIN("", "", TRUE, UNIQUE(FILTER('製造效能'!$K$2:$K$1732, '製造效能'!$B$2:$B$1732 = D56)))"),"水項")</f>
        <v>水項</v>
      </c>
      <c r="O56" s="35">
        <f ca="1">IFERROR(__xludf.DUMMYFUNCTION("IFERROR(INDEX(FILTER('充填效能'!I$2:I$1088, '充填效能'!$A$2:$A$1088=$C56, '充填效能'!$D$2:$D$1088=""充填""), 1), 0)"),100.3)</f>
        <v>100.3</v>
      </c>
      <c r="P56" s="35" t="str">
        <f ca="1">IFERROR(__xludf.DUMMYFUNCTION("IFERROR(INDEX(FILTER('充填效能'!J$2:J$1088, '充填效能'!$A$2:$A$1088=$C56, '充填效能'!$D$2:$D$1088=""充填""), 1), 0)"),"")</f>
        <v/>
      </c>
      <c r="Q56" s="35" t="str">
        <f ca="1">IFERROR(__xludf.DUMMYFUNCTION("IFERROR(INDEX(FILTER('充填效能'!K$2:K$1088, '充填效能'!$A$2:$A$1088=$C56, '充填效能'!$D$2:$D$1088=""充填""), 1), 0)"),"")</f>
        <v/>
      </c>
      <c r="R56" s="35" t="str">
        <f ca="1">IFERROR(__xludf.DUMMYFUNCTION("IFERROR(INDEX(FILTER('充填效能'!L$2:L$1088, '充填效能'!$A$2:$A$1088=$C56, '充填效能'!$D$2:$D$1088=""充填""), 1), 0)"),"")</f>
        <v/>
      </c>
      <c r="S56" s="35">
        <f ca="1">COUNTIFS(製造效能!B:B, $D56,製造效能!D:D,M56)</f>
        <v>2</v>
      </c>
      <c r="T56" s="36">
        <f ca="1">IFERROR(__xludf.DUMMYFUNCTION("VALUE(REGEXEXTRACT(TO_TEXT(O56), ""\d*\.?\d+""))"),100.3)</f>
        <v>100.3</v>
      </c>
      <c r="U56" s="17">
        <f t="shared" ca="1" si="2"/>
        <v>255631.09949999995</v>
      </c>
      <c r="V56" s="17">
        <f ca="1">IFERROR(__xludf.DUMMYFUNCTION("IFERROR(INDEX(FILTER('製造效能'!J:J, '製造效能'!A:A=$C56, '製造效能'!D:D=M56, '製造效能'!E:E=""攪料""), 1), INDEX(FILTER('製造效能'!J:J, '製造效能'!B:B=$D56, '製造效能'!D:D=M56, '製造效能'!E:E=""攪料""), 1))"),412)</f>
        <v>412</v>
      </c>
      <c r="W56" s="36">
        <f ca="1">IFERROR(__xludf.DUMMYFUNCTION("IFERROR(INDEX(FILTER('製造效能'!G:G, '製造效能'!A:A=$C56, '製造效能'!D:D=M56, '製造效能'!E:E=""攪料""), 1), INDEX(FILTER('製造效能'!G:G, '製造效能'!B:B=$D56, '製造效能'!D:D=M56, '製造效能'!E:E=""攪料""), 1))"),280)</f>
        <v>280</v>
      </c>
      <c r="X56" s="35">
        <f t="shared" ca="1" si="3"/>
        <v>1</v>
      </c>
      <c r="Y56" s="35">
        <f t="shared" ca="1" si="4"/>
        <v>280</v>
      </c>
      <c r="Z56" s="35">
        <f ca="1">IFERROR(__xludf.DUMMYFUNCTION("IFERROR(IFERROR(INDEX(FILTER('製造效能'!G:G, '製造效能'!A:A=$C56, '製造效能'!D:D=M56, '製造效能'!E:E=""預攪""), 1), INDEX(FILTER('製造效能'!G:G, '製造效能'!B:B=$D56, '製造效能'!D:D=M56, '製造效能'!E:E=""預攪""), 1)), 0)"),0)</f>
        <v>0</v>
      </c>
      <c r="AA56" s="35">
        <f ca="1">IFERROR(__xludf.DUMMYFUNCTION("IFERROR(INDEX(FILTER('製造效能'!G:G, '製造效能'!A:A=$C56, '製造效能'!D:D=M56, '製造效能'!E:E=""清洗""), 1), INDEX(FILTER('製造效能'!G:G, '製造效能'!B:B=$D56, '製造效能'!D:D=M56, '製造效能'!E:E=""清洗""), 1))"),30)</f>
        <v>30</v>
      </c>
      <c r="AB56" s="35" t="str">
        <f ca="1">IFERROR(__xludf.DUMMYFUNCTION("IFERROR(INDEX(FILTER('製造效能'!N:N, '製造效能'!$A:$A=$C56, '製造效能'!$D:$D=$M56, '製造效能'!$E:$E=""攪料""), 1), INDEX(FILTER('製造效能'!N:N, '製造效能'!$B:$B=$D56, '製造效能'!$D:$D=$M56, '製造效能'!$E:$E=""攪料""), 1))"),"")</f>
        <v/>
      </c>
      <c r="AC56" s="35" t="str">
        <f ca="1">IFERROR(__xludf.DUMMYFUNCTION("IFERROR(INDEX(FILTER('製造效能'!O:O, '製造效能'!$A:$A=$C56, '製造效能'!$D:$D=$M56, '製造效能'!$E:$E=""攪料""), 1), INDEX(FILTER('製造效能'!O:O, '製造效能'!$B:$B=$D56, '製造效能'!$D:$D=$M56, '製造效能'!$E:$E=""攪料""), 1))"),"")</f>
        <v/>
      </c>
      <c r="AD56" s="35" t="str">
        <f ca="1">IFERROR(__xludf.DUMMYFUNCTION("IFERROR(INDEX(FILTER('製造效能'!P:P, '製造效能'!$A:$A=$C56, '製造效能'!$D:$D=$M56, '製造效能'!$E:$E=""攪料""), 1), INDEX(FILTER('製造效能'!P:P, '製造效能'!$B:$B=$D56, '製造效能'!$D:$D=$M56, '製造效能'!$E:$E=""攪料""), 1))"),"")</f>
        <v/>
      </c>
      <c r="AE56" s="35" t="str">
        <f ca="1">IFERROR(__xludf.DUMMYFUNCTION("IFERROR(INDEX(FILTER('製造效能'!Q:Q, '製造效能'!$A:$A=$C56, '製造效能'!$D:$D=$M56, '製造效能'!$E:$E=""攪料""), 1), INDEX(FILTER('製造效能'!Q:Q, '製造效能'!$B:$B=$D56, '製造效能'!$D:$D=$M56, '製造效能'!$E:$E=""攪料""), 1))"),"")</f>
        <v/>
      </c>
      <c r="AF56" s="35" t="str">
        <f ca="1">IFERROR(__xludf.DUMMYFUNCTION("IFERROR(INDEX(FILTER('製造效能'!R:R, '製造效能'!$A:$A=$C56, '製造效能'!$D:$D=$M56, '製造效能'!$E:$E=""攪料""), 1), INDEX(FILTER('製造效能'!R:R, '製造效能'!$B:$B=$D56, '製造效能'!$D:$D=$M56, '製造效能'!$E:$E=""攪料""), 1))"),"")</f>
        <v/>
      </c>
      <c r="AG56" s="35" t="str">
        <f ca="1">IFERROR(__xludf.DUMMYFUNCTION("IFERROR(INDEX(FILTER('製造效能'!S:S, '製造效能'!$A:$A=$C56, '製造效能'!$D:$D=$M56, '製造效能'!$E:$E=""攪料""), 1), INDEX(FILTER('製造效能'!S:S, '製造效能'!$B:$B=$D56, '製造效能'!$D:$D=$M56, '製造效能'!$E:$E=""攪料""), 1))"),"")</f>
        <v/>
      </c>
      <c r="AH56" s="35">
        <f ca="1">IFERROR(__xludf.DUMMYFUNCTION("IFERROR(INDEX(FILTER('製造效能'!T:T, '製造效能'!$A:$A=$C56, '製造效能'!$D:$D=$M56, '製造效能'!$E:$E=""攪料""), 1), INDEX(FILTER('製造效能'!T:T, '製造效能'!$B:$B=$D56, '製造效能'!$D:$D=$M56, '製造效能'!$E:$E=""攪料""), 1))"),1)</f>
        <v>1</v>
      </c>
      <c r="AI56" s="35" t="str">
        <f ca="1">IFERROR(__xludf.DUMMYFUNCTION("IFERROR(INDEX(FILTER('製造效能'!U:U, '製造效能'!$A:$A=$C56, '製造效能'!$D:$D=$M56, '製造效能'!$E:$E=""攪料""), 1), INDEX(FILTER('製造效能'!U:U, '製造效能'!$B:$B=$D56, '製造效能'!$D:$D=$M56, '製造效能'!$E:$E=""攪料""), 1))"),"")</f>
        <v/>
      </c>
      <c r="AJ56" s="35" t="str">
        <f ca="1">IFERROR(__xludf.DUMMYFUNCTION("IFERROR(INDEX(FILTER('製造效能'!V:V, '製造效能'!$A:$A=$C56, '製造效能'!$D:$D=$M56, '製造效能'!$E:$E=""攪料""), 1), INDEX(FILTER('製造效能'!V:V, '製造效能'!$B:$B=$D56, '製造效能'!$D:$D=$M56, '製造效能'!$E:$E=""攪料""), 1))"),"")</f>
        <v/>
      </c>
      <c r="AK56" s="35">
        <f>COUNTIF(充填效能!$A:$A, $C56)</f>
        <v>1</v>
      </c>
      <c r="AL56" s="36">
        <f ca="1">IFERROR(__xludf.DUMMYFUNCTION("IFERROR(INDEX(FILTER('充填效能'!$Q$2:$Q$1088, '充填效能'!$A$2:$A$1088=$C56, '充填效能'!$D$2:$D$1088=""排瓶""), 1), 0)"),0)</f>
        <v>0</v>
      </c>
      <c r="AM56" s="36">
        <f ca="1">IFERROR(__xludf.DUMMYFUNCTION("IFERROR(INDEX(FILTER('充填效能'!$R$2:$R$1088, '充填效能'!$A$2:$A$1088=$C56, '充填效能'!$D$2:$D$1088=""排瓶""), 1), 0)"),0)</f>
        <v>0</v>
      </c>
      <c r="AN56" s="35">
        <f t="shared" ca="1" si="5"/>
        <v>0</v>
      </c>
      <c r="AO56" s="36" t="str">
        <f ca="1">IFERROR(__xludf.DUMMYFUNCTION("IFERROR(INDEX(FILTER('充填效能'!$Q$2:$Q$1088, '充填效能'!$A$2:$A$1088=$C56, '充填效能'!$D$2:$D$1088=""充填""), 1), 0)"),"450")</f>
        <v>450</v>
      </c>
      <c r="AP56" s="36">
        <f ca="1">IFERROR(__xludf.DUMMYFUNCTION("IFERROR(INDEX(FILTER('充填效能'!$R$2:$R$1088, '充填效能'!$A$2:$A$1088=$C56, '充填效能'!$D$2:$D$1088=""充填""), 1), 0)"),3)</f>
        <v>3</v>
      </c>
      <c r="AQ56" s="35">
        <f t="shared" ca="1" si="6"/>
        <v>5.58</v>
      </c>
      <c r="AR56" s="17">
        <f t="shared" ca="1" si="7"/>
        <v>16.740000000000002</v>
      </c>
    </row>
    <row r="57" spans="1:44" ht="15.75" customHeight="1">
      <c r="A57" s="9" t="s">
        <v>197</v>
      </c>
      <c r="B57" s="34">
        <f t="shared" si="0"/>
        <v>45010</v>
      </c>
      <c r="C57" s="9" t="s">
        <v>210</v>
      </c>
      <c r="D57" s="17" t="str">
        <f t="shared" si="1"/>
        <v>FH21E1</v>
      </c>
      <c r="E57" s="9" t="s">
        <v>211</v>
      </c>
      <c r="F57" s="9">
        <v>2500</v>
      </c>
      <c r="G57" s="10">
        <v>45103</v>
      </c>
      <c r="H57" s="10">
        <v>45084</v>
      </c>
      <c r="I57" s="10">
        <v>45050</v>
      </c>
      <c r="J57" s="10">
        <v>45010</v>
      </c>
      <c r="L57" s="17" t="str">
        <f ca="1">IFERROR(__xludf.DUMMYFUNCTION("TEXTJOIN("", "", TRUE, UNIQUE(FILTER('製造效能'!$D$2:$D$1732, '製造效能'!$B$2:$B$1732 = D57)))"),"小乳")</f>
        <v>小乳</v>
      </c>
      <c r="M57" s="17" t="str">
        <f ca="1">IFERROR(__xludf.DUMMYFUNCTION("INDEX(UNIQUE(FILTER('製造效能'!$D$2:$D$1732, ('製造效能'!$B$2:$B$1732 = D57) * ('製造效能'!$J$2:$J$1732 = MAXIFS('製造效能'!$J$2:$J$1732, '製造效能'!$B$2:$B$1732, D57)))), 1) 
"),"小乳")</f>
        <v>小乳</v>
      </c>
      <c r="N57" s="17" t="str">
        <f ca="1">IFERROR(__xludf.DUMMYFUNCTION("TEXTJOIN("", "", TRUE, UNIQUE(FILTER('製造效能'!$K$2:$K$1732, '製造效能'!$B$2:$B$1732 = D57)))"),"乳項")</f>
        <v>乳項</v>
      </c>
      <c r="P57" s="35" t="str">
        <f ca="1">IFERROR(__xludf.DUMMYFUNCTION("IFERROR(INDEX(FILTER('充填效能'!J$2:J$1088, '充填效能'!$A$2:$A$1088=$C57, '充填效能'!$D$2:$D$1088=""充填""), 1), 0)"),"")</f>
        <v/>
      </c>
      <c r="Q57" s="35" t="str">
        <f ca="1">IFERROR(__xludf.DUMMYFUNCTION("IFERROR(INDEX(FILTER('充填效能'!K$2:K$1088, '充填效能'!$A$2:$A$1088=$C57, '充填效能'!$D$2:$D$1088=""充填""), 1), 0)"),"")</f>
        <v/>
      </c>
      <c r="R57" s="35">
        <f ca="1">IFERROR(__xludf.DUMMYFUNCTION("IFERROR(INDEX(FILTER('充填效能'!I$2:I$1088, '充填效能'!$A$2:$A$1088=$C57, '充填效能'!$D$2:$D$1088=""充填""), 1), 0)"),100)</f>
        <v>100</v>
      </c>
      <c r="S57" s="35">
        <f ca="1">COUNTIFS(製造效能!B:B, $D57,製造效能!D:D,M57)</f>
        <v>3</v>
      </c>
      <c r="T57" s="36">
        <f ca="1">IFERROR(__xludf.DUMMYFUNCTION("VALUE(REGEXEXTRACT(TO_TEXT(R57), ""\d*\.?\d+""))"),100)</f>
        <v>100</v>
      </c>
      <c r="U57" s="17">
        <f t="shared" ca="1" si="2"/>
        <v>253749.99999999997</v>
      </c>
      <c r="V57" s="17">
        <f ca="1">IFERROR(__xludf.DUMMYFUNCTION("IFERROR(INDEX(FILTER('製造效能'!J:J, '製造效能'!A:A=$C57, '製造效能'!D:D=M57, '製造效能'!E:E=""攪料""), 1), INDEX(FILTER('製造效能'!J:J, '製造效能'!B:B=$D57, '製造效能'!D:D=M57, '製造效能'!E:E=""攪料""), 1))"),52)</f>
        <v>52</v>
      </c>
      <c r="W57" s="36">
        <f ca="1">IFERROR(__xludf.DUMMYFUNCTION("IFERROR(INDEX(FILTER('製造效能'!G:G, '製造效能'!A:A=$C57, '製造效能'!D:D=M57, '製造效能'!E:E=""攪料""), 1), INDEX(FILTER('製造效能'!G:G, '製造效能'!B:B=$D57, '製造效能'!D:D=M57, '製造效能'!E:E=""攪料""), 1))"),155)</f>
        <v>155</v>
      </c>
      <c r="X57" s="35">
        <f t="shared" ca="1" si="3"/>
        <v>5</v>
      </c>
      <c r="Y57" s="35">
        <f t="shared" ca="1" si="4"/>
        <v>775</v>
      </c>
      <c r="Z57" s="35">
        <f ca="1">IFERROR(__xludf.DUMMYFUNCTION("IFERROR(IFERROR(INDEX(FILTER('製造效能'!G:G, '製造效能'!A:A=$C57, '製造效能'!D:D=M57, '製造效能'!E:E=""預攪""), 1), INDEX(FILTER('製造效能'!G:G, '製造效能'!B:B=$D57, '製造效能'!D:D=M57, '製造效能'!E:E=""預攪""), 1)), 0)"),30)</f>
        <v>30</v>
      </c>
      <c r="AA57" s="35">
        <f ca="1">IFERROR(__xludf.DUMMYFUNCTION("IFERROR(INDEX(FILTER('製造效能'!G:G, '製造效能'!A:A=$C57, '製造效能'!D:D=M57, '製造效能'!E:E=""清洗""), 1), INDEX(FILTER('製造效能'!G:G, '製造效能'!B:B=$D57, '製造效能'!D:D=M57, '製造效能'!E:E=""清洗""), 1))"),40)</f>
        <v>40</v>
      </c>
      <c r="AB57" s="35" t="str">
        <f ca="1">IFERROR(__xludf.DUMMYFUNCTION("IFERROR(INDEX(FILTER('製造效能'!N:N, '製造效能'!$A:$A=$C57, '製造效能'!$D:$D=$M57, '製造效能'!$E:$E=""攪料""), 1), INDEX(FILTER('製造效能'!N:N, '製造效能'!$B:$B=$D57, '製造效能'!$D:$D=$M57, '製造效能'!$E:$E=""攪料""), 1))"),"")</f>
        <v/>
      </c>
      <c r="AC57" s="35" t="str">
        <f ca="1">IFERROR(__xludf.DUMMYFUNCTION("IFERROR(INDEX(FILTER('製造效能'!O:O, '製造效能'!$A:$A=$C57, '製造效能'!$D:$D=$M57, '製造效能'!$E:$E=""攪料""), 1), INDEX(FILTER('製造效能'!O:O, '製造效能'!$B:$B=$D57, '製造效能'!$D:$D=$M57, '製造效能'!$E:$E=""攪料""), 1))"),"")</f>
        <v/>
      </c>
      <c r="AD57" s="35">
        <f ca="1">IFERROR(__xludf.DUMMYFUNCTION("IFERROR(INDEX(FILTER('製造效能'!P:P, '製造效能'!$A:$A=$C57, '製造效能'!$D:$D=$M57, '製造效能'!$E:$E=""攪料""), 1), INDEX(FILTER('製造效能'!P:P, '製造效能'!$B:$B=$D57, '製造效能'!$D:$D=$M57, '製造效能'!$E:$E=""攪料""), 1))"),1)</f>
        <v>1</v>
      </c>
      <c r="AE57" s="35" t="str">
        <f ca="1">IFERROR(__xludf.DUMMYFUNCTION("IFERROR(INDEX(FILTER('製造效能'!Q:Q, '製造效能'!$A:$A=$C57, '製造效能'!$D:$D=$M57, '製造效能'!$E:$E=""攪料""), 1), INDEX(FILTER('製造效能'!Q:Q, '製造效能'!$B:$B=$D57, '製造效能'!$D:$D=$M57, '製造效能'!$E:$E=""攪料""), 1))"),"")</f>
        <v/>
      </c>
      <c r="AF57" s="35">
        <f ca="1">IFERROR(__xludf.DUMMYFUNCTION("IFERROR(INDEX(FILTER('製造效能'!R:R, '製造效能'!$A:$A=$C57, '製造效能'!$D:$D=$M57, '製造效能'!$E:$E=""攪料""), 1), INDEX(FILTER('製造效能'!R:R, '製造效能'!$B:$B=$D57, '製造效能'!$D:$D=$M57, '製造效能'!$E:$E=""攪料""), 1))"),1)</f>
        <v>1</v>
      </c>
      <c r="AG57" s="35" t="str">
        <f ca="1">IFERROR(__xludf.DUMMYFUNCTION("IFERROR(INDEX(FILTER('製造效能'!S:S, '製造效能'!$A:$A=$C57, '製造效能'!$D:$D=$M57, '製造效能'!$E:$E=""攪料""), 1), INDEX(FILTER('製造效能'!S:S, '製造效能'!$B:$B=$D57, '製造效能'!$D:$D=$M57, '製造效能'!$E:$E=""攪料""), 1))"),"")</f>
        <v/>
      </c>
      <c r="AH57" s="35">
        <f ca="1">IFERROR(__xludf.DUMMYFUNCTION("IFERROR(INDEX(FILTER('製造效能'!T:T, '製造效能'!$A:$A=$C57, '製造效能'!$D:$D=$M57, '製造效能'!$E:$E=""攪料""), 1), INDEX(FILTER('製造效能'!T:T, '製造效能'!$B:$B=$D57, '製造效能'!$D:$D=$M57, '製造效能'!$E:$E=""攪料""), 1))"),1)</f>
        <v>1</v>
      </c>
      <c r="AI57" s="35" t="str">
        <f ca="1">IFERROR(__xludf.DUMMYFUNCTION("IFERROR(INDEX(FILTER('製造效能'!U:U, '製造效能'!$A:$A=$C57, '製造效能'!$D:$D=$M57, '製造效能'!$E:$E=""攪料""), 1), INDEX(FILTER('製造效能'!U:U, '製造效能'!$B:$B=$D57, '製造效能'!$D:$D=$M57, '製造效能'!$E:$E=""攪料""), 1))"),"")</f>
        <v/>
      </c>
      <c r="AJ57" s="35" t="str">
        <f ca="1">IFERROR(__xludf.DUMMYFUNCTION("IFERROR(INDEX(FILTER('製造效能'!V:V, '製造效能'!$A:$A=$C57, '製造效能'!$D:$D=$M57, '製造效能'!$E:$E=""攪料""), 1), INDEX(FILTER('製造效能'!V:V, '製造效能'!$B:$B=$D57, '製造效能'!$D:$D=$M57, '製造效能'!$E:$E=""攪料""), 1))"),"")</f>
        <v/>
      </c>
      <c r="AK57" s="35">
        <f>COUNTIF(充填效能!$A:$A, $C57)</f>
        <v>2</v>
      </c>
      <c r="AL57" s="36" t="str">
        <f ca="1">IFERROR(__xludf.DUMMYFUNCTION("IFERROR(INDEX(FILTER('充填效能'!$Q$2:$Q$1088, '充填效能'!$A$2:$A$1088=$C57, '充填效能'!$D$2:$D$1088=""排瓶""), 1), 0)"),"1000")</f>
        <v>1000</v>
      </c>
      <c r="AM57" s="36">
        <f ca="1">IFERROR(__xludf.DUMMYFUNCTION("IFERROR(INDEX(FILTER('充填效能'!$R$2:$R$1088, '充填效能'!$A$2:$A$1088=$C57, '充填效能'!$D$2:$D$1088=""排瓶""), 1), 0)"),1)</f>
        <v>1</v>
      </c>
      <c r="AN57" s="35">
        <f t="shared" ca="1" si="5"/>
        <v>2.5</v>
      </c>
      <c r="AO57" s="36" t="str">
        <f ca="1">IFERROR(__xludf.DUMMYFUNCTION("IFERROR(INDEX(FILTER('充填效能'!$Q$2:$Q$1088, '充填效能'!$A$2:$A$1088=$C57, '充填效能'!$D$2:$D$1088=""充填""), 1), 0)"),"600")</f>
        <v>600</v>
      </c>
      <c r="AP57" s="36">
        <f ca="1">IFERROR(__xludf.DUMMYFUNCTION("IFERROR(INDEX(FILTER('充填效能'!$R$2:$R$1088, '充填效能'!$A$2:$A$1088=$C57, '充填效能'!$D$2:$D$1088=""充填""), 1), 0)"),4)</f>
        <v>4</v>
      </c>
      <c r="AQ57" s="35">
        <f t="shared" ca="1" si="6"/>
        <v>4.166666666666667</v>
      </c>
      <c r="AR57" s="17">
        <f t="shared" ca="1" si="7"/>
        <v>16.666666666666668</v>
      </c>
    </row>
    <row r="58" spans="1:44" ht="15.75" customHeight="1">
      <c r="A58" s="9" t="s">
        <v>200</v>
      </c>
      <c r="B58" s="34">
        <f t="shared" si="0"/>
        <v>45010</v>
      </c>
      <c r="C58" s="9" t="s">
        <v>176</v>
      </c>
      <c r="D58" s="17" t="str">
        <f t="shared" si="1"/>
        <v>HJ23D2</v>
      </c>
      <c r="E58" s="9" t="s">
        <v>177</v>
      </c>
      <c r="F58" s="9">
        <v>2000</v>
      </c>
      <c r="G58" s="10">
        <v>45091</v>
      </c>
      <c r="H58" s="10">
        <v>45085</v>
      </c>
      <c r="I58" s="10">
        <v>45064</v>
      </c>
      <c r="J58" s="10">
        <v>45076</v>
      </c>
      <c r="L58" s="17" t="str">
        <f ca="1">IFERROR(__xludf.DUMMYFUNCTION("TEXTJOIN("", "", TRUE, UNIQUE(FILTER('製造效能'!$D$2:$D$1732, '製造效能'!$B$2:$B$1732 = D58)))"),"精")</f>
        <v>精</v>
      </c>
      <c r="M58" s="17" t="str">
        <f ca="1">IFERROR(__xludf.DUMMYFUNCTION("INDEX(UNIQUE(FILTER('製造效能'!$D$2:$D$1732, ('製造效能'!$B$2:$B$1732 = D58) * ('製造效能'!$J$2:$J$1732 = MAXIFS('製造效能'!$J$2:$J$1732, '製造效能'!$B$2:$B$1732, D58)))), 1) 
"),"精")</f>
        <v>精</v>
      </c>
      <c r="N58" s="17" t="str">
        <f ca="1">IFERROR(__xludf.DUMMYFUNCTION("TEXTJOIN("", "", TRUE, UNIQUE(FILTER('製造效能'!$K$2:$K$1732, '製造效能'!$B$2:$B$1732 = D58)))"),"水項")</f>
        <v>水項</v>
      </c>
      <c r="O58" s="35">
        <v>35</v>
      </c>
      <c r="P58" s="35"/>
      <c r="Q58" s="35"/>
      <c r="R58" s="35"/>
      <c r="S58" s="35">
        <f ca="1">COUNTIFS(製造效能!B:B, $D58,製造效能!D:D,M58)</f>
        <v>3</v>
      </c>
      <c r="T58" s="36">
        <f ca="1">IFERROR(__xludf.DUMMYFUNCTION("VALUE(REGEXEXTRACT(TO_TEXT(O58), ""\d*\.?\d+""))"),35)</f>
        <v>35</v>
      </c>
      <c r="U58" s="17">
        <f t="shared" ca="1" si="2"/>
        <v>71050</v>
      </c>
      <c r="V58" s="17">
        <f ca="1">IFERROR(__xludf.DUMMYFUNCTION("IFERROR(INDEX(FILTER('製造效能'!J:J, '製造效能'!A:A=$C58, '製造效能'!D:D=M58, '製造效能'!E:E=""攪料""), 1), INDEX(FILTER('製造效能'!J:J, '製造效能'!B:B=$D58, '製造效能'!D:D=M58, '製造效能'!E:E=""攪料""), 1))"),75)</f>
        <v>75</v>
      </c>
      <c r="W58" s="36">
        <f ca="1">IFERROR(__xludf.DUMMYFUNCTION("IFERROR(INDEX(FILTER('製造效能'!G:G, '製造效能'!A:A=$C58, '製造效能'!D:D=M58, '製造效能'!E:E=""攪料""), 1), INDEX(FILTER('製造效能'!G:G, '製造效能'!B:B=$D58, '製造效能'!D:D=M58, '製造效能'!E:E=""攪料""), 1))"),160)</f>
        <v>160</v>
      </c>
      <c r="X58" s="35">
        <f t="shared" ca="1" si="3"/>
        <v>1</v>
      </c>
      <c r="Y58" s="35">
        <f t="shared" ca="1" si="4"/>
        <v>160</v>
      </c>
      <c r="Z58" s="35">
        <f ca="1">IFERROR(__xludf.DUMMYFUNCTION("IFERROR(IFERROR(INDEX(FILTER('製造效能'!G:G, '製造效能'!A:A=$C58, '製造效能'!D:D=M58, '製造效能'!E:E=""預攪""), 1), INDEX(FILTER('製造效能'!G:G, '製造效能'!B:B=$D58, '製造效能'!D:D=M58, '製造效能'!E:E=""預攪""), 1)), 0)"),100)</f>
        <v>100</v>
      </c>
      <c r="AA58" s="35">
        <f ca="1">IFERROR(__xludf.DUMMYFUNCTION("IFERROR(INDEX(FILTER('製造效能'!G:G, '製造效能'!A:A=$C58, '製造效能'!D:D=M58, '製造效能'!E:E=""清洗""), 1), INDEX(FILTER('製造效能'!G:G, '製造效能'!B:B=$D58, '製造效能'!D:D=M58, '製造效能'!E:E=""清洗""), 1))"),15)</f>
        <v>15</v>
      </c>
      <c r="AB58" s="35" t="str">
        <f ca="1">IFERROR(__xludf.DUMMYFUNCTION("IFERROR(INDEX(FILTER('製造效能'!N:N, '製造效能'!$A:$A=$C58, '製造效能'!$D:$D=$M58, '製造效能'!$E:$E=""攪料""), 1), INDEX(FILTER('製造效能'!N:N, '製造效能'!$B:$B=$D58, '製造效能'!$D:$D=$M58, '製造效能'!$E:$E=""攪料""), 1))"),"")</f>
        <v/>
      </c>
      <c r="AC58" s="35">
        <f ca="1">IFERROR(__xludf.DUMMYFUNCTION("IFERROR(INDEX(FILTER('製造效能'!O:O, '製造效能'!$A:$A=$C58, '製造效能'!$D:$D=$M58, '製造效能'!$E:$E=""攪料""), 1), INDEX(FILTER('製造效能'!O:O, '製造效能'!$B:$B=$D58, '製造效能'!$D:$D=$M58, '製造效能'!$E:$E=""攪料""), 1))"),1)</f>
        <v>1</v>
      </c>
      <c r="AD58" s="35" t="str">
        <f ca="1">IFERROR(__xludf.DUMMYFUNCTION("IFERROR(INDEX(FILTER('製造效能'!P:P, '製造效能'!$A:$A=$C58, '製造效能'!$D:$D=$M58, '製造效能'!$E:$E=""攪料""), 1), INDEX(FILTER('製造效能'!P:P, '製造效能'!$B:$B=$D58, '製造效能'!$D:$D=$M58, '製造效能'!$E:$E=""攪料""), 1))"),"")</f>
        <v/>
      </c>
      <c r="AE58" s="35" t="str">
        <f ca="1">IFERROR(__xludf.DUMMYFUNCTION("IFERROR(INDEX(FILTER('製造效能'!Q:Q, '製造效能'!$A:$A=$C58, '製造效能'!$D:$D=$M58, '製造效能'!$E:$E=""攪料""), 1), INDEX(FILTER('製造效能'!Q:Q, '製造效能'!$B:$B=$D58, '製造效能'!$D:$D=$M58, '製造效能'!$E:$E=""攪料""), 1))"),"")</f>
        <v/>
      </c>
      <c r="AF58" s="35" t="str">
        <f ca="1">IFERROR(__xludf.DUMMYFUNCTION("IFERROR(INDEX(FILTER('製造效能'!R:R, '製造效能'!$A:$A=$C58, '製造效能'!$D:$D=$M58, '製造效能'!$E:$E=""攪料""), 1), INDEX(FILTER('製造效能'!R:R, '製造效能'!$B:$B=$D58, '製造效能'!$D:$D=$M58, '製造效能'!$E:$E=""攪料""), 1))"),"")</f>
        <v/>
      </c>
      <c r="AG58" s="35" t="str">
        <f ca="1">IFERROR(__xludf.DUMMYFUNCTION("IFERROR(INDEX(FILTER('製造效能'!S:S, '製造效能'!$A:$A=$C58, '製造效能'!$D:$D=$M58, '製造效能'!$E:$E=""攪料""), 1), INDEX(FILTER('製造效能'!S:S, '製造效能'!$B:$B=$D58, '製造效能'!$D:$D=$M58, '製造效能'!$E:$E=""攪料""), 1))"),"")</f>
        <v/>
      </c>
      <c r="AH58" s="35" t="str">
        <f ca="1">IFERROR(__xludf.DUMMYFUNCTION("IFERROR(INDEX(FILTER('製造效能'!T:T, '製造效能'!$A:$A=$C58, '製造效能'!$D:$D=$M58, '製造效能'!$E:$E=""攪料""), 1), INDEX(FILTER('製造效能'!T:T, '製造效能'!$B:$B=$D58, '製造效能'!$D:$D=$M58, '製造效能'!$E:$E=""攪料""), 1))"),"")</f>
        <v/>
      </c>
      <c r="AI58" s="35" t="str">
        <f ca="1">IFERROR(__xludf.DUMMYFUNCTION("IFERROR(INDEX(FILTER('製造效能'!U:U, '製造效能'!$A:$A=$C58, '製造效能'!$D:$D=$M58, '製造效能'!$E:$E=""攪料""), 1), INDEX(FILTER('製造效能'!U:U, '製造效能'!$B:$B=$D58, '製造效能'!$D:$D=$M58, '製造效能'!$E:$E=""攪料""), 1))"),"")</f>
        <v/>
      </c>
      <c r="AJ58" s="35" t="str">
        <f ca="1">IFERROR(__xludf.DUMMYFUNCTION("IFERROR(INDEX(FILTER('製造效能'!V:V, '製造效能'!$A:$A=$C58, '製造效能'!$D:$D=$M58, '製造效能'!$E:$E=""攪料""), 1), INDEX(FILTER('製造效能'!V:V, '製造效能'!$B:$B=$D58, '製造效能'!$D:$D=$M58, '製造效能'!$E:$E=""攪料""), 1))"),"")</f>
        <v/>
      </c>
      <c r="AK58" s="35">
        <f>COUNTIF(充填效能!$A:$A, $C58)</f>
        <v>0</v>
      </c>
      <c r="AL58" s="36">
        <f ca="1">IFERROR(__xludf.DUMMYFUNCTION("IFERROR(INDEX(FILTER('充填效能'!$Q$2:$Q$1088, '充填效能'!$A$2:$A$1088=$C58, '充填效能'!$D$2:$D$1088=""排瓶""), 1), 0)"),0)</f>
        <v>0</v>
      </c>
      <c r="AM58" s="36">
        <f ca="1">IFERROR(__xludf.DUMMYFUNCTION("IFERROR(INDEX(FILTER('充填效能'!$R$2:$R$1088, '充填效能'!$A$2:$A$1088=$C58, '充填效能'!$D$2:$D$1088=""排瓶""), 1), 0)"),0)</f>
        <v>0</v>
      </c>
      <c r="AN58" s="35">
        <f t="shared" ca="1" si="5"/>
        <v>0</v>
      </c>
      <c r="AO58" s="36">
        <f ca="1">IFERROR(__xludf.DUMMYFUNCTION("IFERROR(INDEX(FILTER('充填效能'!$Q$2:$Q$1088, '充填效能'!$A$2:$A$1088=$C58, '充填效能'!$D$2:$D$1088=""充填""), 1), 0)"),0)</f>
        <v>0</v>
      </c>
      <c r="AP58" s="36">
        <f ca="1">IFERROR(__xludf.DUMMYFUNCTION("IFERROR(INDEX(FILTER('充填效能'!$R$2:$R$1088, '充填效能'!$A$2:$A$1088=$C58, '充填效能'!$D$2:$D$1088=""充填""), 1), 0)"),0)</f>
        <v>0</v>
      </c>
      <c r="AQ58" s="35">
        <f t="shared" ca="1" si="6"/>
        <v>0</v>
      </c>
      <c r="AR58" s="17">
        <f t="shared" ca="1" si="7"/>
        <v>0</v>
      </c>
    </row>
    <row r="59" spans="1:44" ht="15.75" customHeight="1">
      <c r="A59" s="9" t="s">
        <v>203</v>
      </c>
      <c r="B59" s="34">
        <f t="shared" si="0"/>
        <v>45010</v>
      </c>
      <c r="C59" s="9" t="s">
        <v>187</v>
      </c>
      <c r="D59" s="17" t="str">
        <f t="shared" si="1"/>
        <v>N1HAD4</v>
      </c>
      <c r="E59" s="9" t="s">
        <v>188</v>
      </c>
      <c r="F59" s="9">
        <v>10000</v>
      </c>
      <c r="G59" s="10">
        <v>45097</v>
      </c>
      <c r="H59" s="10">
        <v>45089</v>
      </c>
      <c r="I59" s="10">
        <v>45055</v>
      </c>
      <c r="J59" s="10">
        <v>45065</v>
      </c>
      <c r="L59" s="17" t="str">
        <f ca="1">IFERROR(__xludf.DUMMYFUNCTION("TEXTJOIN("", "", TRUE, UNIQUE(FILTER('製造效能'!$D$2:$D$1732, '製造效能'!$B$2:$B$1732 = D59)))"),"精")</f>
        <v>精</v>
      </c>
      <c r="M59" s="17" t="str">
        <f ca="1">IFERROR(__xludf.DUMMYFUNCTION("INDEX(UNIQUE(FILTER('製造效能'!$D$2:$D$1732, ('製造效能'!$B$2:$B$1732 = D59) * ('製造效能'!$J$2:$J$1732 = MAXIFS('製造效能'!$J$2:$J$1732, '製造效能'!$B$2:$B$1732, D59)))), 1) 
"),"精")</f>
        <v>精</v>
      </c>
      <c r="N59" s="17" t="str">
        <f ca="1">IFERROR(__xludf.DUMMYFUNCTION("TEXTJOIN("", "", TRUE, UNIQUE(FILTER('製造效能'!$K$2:$K$1732, '製造效能'!$B$2:$B$1732 = D59)))"),"水項")</f>
        <v>水項</v>
      </c>
      <c r="O59" s="35">
        <f ca="1">IFERROR(__xludf.DUMMYFUNCTION("IFERROR(INDEX(FILTER('充填效能'!I$2:I$1088, '充填效能'!$A$2:$A$1088=$C59, '充填效能'!$D$2:$D$1088=""充填""), 1), 0)"),29.7)</f>
        <v>29.7</v>
      </c>
      <c r="P59" s="35" t="str">
        <f ca="1">IFERROR(__xludf.DUMMYFUNCTION("IFERROR(INDEX(FILTER('充填效能'!J$2:J$1088, '充填效能'!$A$2:$A$1088=$C59, '充填效能'!$D$2:$D$1088=""充填""), 1), 0)"),"")</f>
        <v/>
      </c>
      <c r="Q59" s="35" t="str">
        <f ca="1">IFERROR(__xludf.DUMMYFUNCTION("IFERROR(INDEX(FILTER('充填效能'!K$2:K$1088, '充填效能'!$A$2:$A$1088=$C59, '充填效能'!$D$2:$D$1088=""充填""), 1), 0)"),"")</f>
        <v/>
      </c>
      <c r="R59" s="35" t="str">
        <f ca="1">IFERROR(__xludf.DUMMYFUNCTION("IFERROR(INDEX(FILTER('充填效能'!L$2:L$1088, '充填效能'!$A$2:$A$1088=$C59, '充填效能'!$D$2:$D$1088=""充填""), 1), 0)"),"")</f>
        <v/>
      </c>
      <c r="S59" s="35">
        <f ca="1">COUNTIFS(製造效能!B:B, $D59,製造效能!D:D,M59)</f>
        <v>3</v>
      </c>
      <c r="T59" s="36">
        <f ca="1">IFERROR(__xludf.DUMMYFUNCTION("VALUE(REGEXEXTRACT(TO_TEXT(O59), ""\d*\.?\d+""))"),29.7)</f>
        <v>29.7</v>
      </c>
      <c r="U59" s="17">
        <f t="shared" ca="1" si="2"/>
        <v>301455</v>
      </c>
      <c r="V59" s="17">
        <f ca="1">IFERROR(__xludf.DUMMYFUNCTION("IFERROR(INDEX(FILTER('製造效能'!J:J, '製造效能'!A:A=$C59, '製造效能'!D:D=M59, '製造效能'!E:E=""攪料""), 1), INDEX(FILTER('製造效能'!J:J, '製造效能'!B:B=$D59, '製造效能'!D:D=M59, '製造效能'!E:E=""攪料""), 1))"),103)</f>
        <v>103</v>
      </c>
      <c r="W59" s="36">
        <f ca="1">IFERROR(__xludf.DUMMYFUNCTION("IFERROR(INDEX(FILTER('製造效能'!G:G, '製造效能'!A:A=$C59, '製造效能'!D:D=M59, '製造效能'!E:E=""攪料""), 1), INDEX(FILTER('製造效能'!G:G, '製造效能'!B:B=$D59, '製造效能'!D:D=M59, '製造效能'!E:E=""攪料""), 1))"),110)</f>
        <v>110</v>
      </c>
      <c r="X59" s="35">
        <f t="shared" ca="1" si="3"/>
        <v>3</v>
      </c>
      <c r="Y59" s="35">
        <f t="shared" ca="1" si="4"/>
        <v>330</v>
      </c>
      <c r="Z59" s="35">
        <f ca="1">IFERROR(__xludf.DUMMYFUNCTION("IFERROR(IFERROR(INDEX(FILTER('製造效能'!G:G, '製造效能'!A:A=$C59, '製造效能'!D:D=M59, '製造效能'!E:E=""預攪""), 1), INDEX(FILTER('製造效能'!G:G, '製造效能'!B:B=$D59, '製造效能'!D:D=M59, '製造效能'!E:E=""預攪""), 1)), 0)"),20)</f>
        <v>20</v>
      </c>
      <c r="AA59" s="35">
        <f ca="1">IFERROR(__xludf.DUMMYFUNCTION("IFERROR(INDEX(FILTER('製造效能'!G:G, '製造效能'!A:A=$C59, '製造效能'!D:D=M59, '製造效能'!E:E=""清洗""), 1), INDEX(FILTER('製造效能'!G:G, '製造效能'!B:B=$D59, '製造效能'!D:D=M59, '製造效能'!E:E=""清洗""), 1))"),20)</f>
        <v>20</v>
      </c>
      <c r="AB59" s="35" t="str">
        <f ca="1">IFERROR(__xludf.DUMMYFUNCTION("IFERROR(INDEX(FILTER('製造效能'!N:N, '製造效能'!$A:$A=$C59, '製造效能'!$D:$D=$M59, '製造效能'!$E:$E=""攪料""), 1), INDEX(FILTER('製造效能'!N:N, '製造效能'!$B:$B=$D59, '製造效能'!$D:$D=$M59, '製造效能'!$E:$E=""攪料""), 1))"),"")</f>
        <v/>
      </c>
      <c r="AC59" s="35">
        <f ca="1">IFERROR(__xludf.DUMMYFUNCTION("IFERROR(INDEX(FILTER('製造效能'!O:O, '製造效能'!$A:$A=$C59, '製造效能'!$D:$D=$M59, '製造效能'!$E:$E=""攪料""), 1), INDEX(FILTER('製造效能'!O:O, '製造效能'!$B:$B=$D59, '製造效能'!$D:$D=$M59, '製造效能'!$E:$E=""攪料""), 1))"),1)</f>
        <v>1</v>
      </c>
      <c r="AD59" s="35" t="str">
        <f ca="1">IFERROR(__xludf.DUMMYFUNCTION("IFERROR(INDEX(FILTER('製造效能'!P:P, '製造效能'!$A:$A=$C59, '製造效能'!$D:$D=$M59, '製造效能'!$E:$E=""攪料""), 1), INDEX(FILTER('製造效能'!P:P, '製造效能'!$B:$B=$D59, '製造效能'!$D:$D=$M59, '製造效能'!$E:$E=""攪料""), 1))"),"")</f>
        <v/>
      </c>
      <c r="AE59" s="35" t="str">
        <f ca="1">IFERROR(__xludf.DUMMYFUNCTION("IFERROR(INDEX(FILTER('製造效能'!Q:Q, '製造效能'!$A:$A=$C59, '製造效能'!$D:$D=$M59, '製造效能'!$E:$E=""攪料""), 1), INDEX(FILTER('製造效能'!Q:Q, '製造效能'!$B:$B=$D59, '製造效能'!$D:$D=$M59, '製造效能'!$E:$E=""攪料""), 1))"),"")</f>
        <v/>
      </c>
      <c r="AF59" s="35" t="str">
        <f ca="1">IFERROR(__xludf.DUMMYFUNCTION("IFERROR(INDEX(FILTER('製造效能'!R:R, '製造效能'!$A:$A=$C59, '製造效能'!$D:$D=$M59, '製造效能'!$E:$E=""攪料""), 1), INDEX(FILTER('製造效能'!R:R, '製造效能'!$B:$B=$D59, '製造效能'!$D:$D=$M59, '製造效能'!$E:$E=""攪料""), 1))"),"")</f>
        <v/>
      </c>
      <c r="AG59" s="35" t="str">
        <f ca="1">IFERROR(__xludf.DUMMYFUNCTION("IFERROR(INDEX(FILTER('製造效能'!S:S, '製造效能'!$A:$A=$C59, '製造效能'!$D:$D=$M59, '製造效能'!$E:$E=""攪料""), 1), INDEX(FILTER('製造效能'!S:S, '製造效能'!$B:$B=$D59, '製造效能'!$D:$D=$M59, '製造效能'!$E:$E=""攪料""), 1))"),"")</f>
        <v/>
      </c>
      <c r="AH59" s="35" t="str">
        <f ca="1">IFERROR(__xludf.DUMMYFUNCTION("IFERROR(INDEX(FILTER('製造效能'!T:T, '製造效能'!$A:$A=$C59, '製造效能'!$D:$D=$M59, '製造效能'!$E:$E=""攪料""), 1), INDEX(FILTER('製造效能'!T:T, '製造效能'!$B:$B=$D59, '製造效能'!$D:$D=$M59, '製造效能'!$E:$E=""攪料""), 1))"),"")</f>
        <v/>
      </c>
      <c r="AI59" s="35" t="str">
        <f ca="1">IFERROR(__xludf.DUMMYFUNCTION("IFERROR(INDEX(FILTER('製造效能'!U:U, '製造效能'!$A:$A=$C59, '製造效能'!$D:$D=$M59, '製造效能'!$E:$E=""攪料""), 1), INDEX(FILTER('製造效能'!U:U, '製造效能'!$B:$B=$D59, '製造效能'!$D:$D=$M59, '製造效能'!$E:$E=""攪料""), 1))"),"")</f>
        <v/>
      </c>
      <c r="AJ59" s="35" t="str">
        <f ca="1">IFERROR(__xludf.DUMMYFUNCTION("IFERROR(INDEX(FILTER('製造效能'!V:V, '製造效能'!$A:$A=$C59, '製造效能'!$D:$D=$M59, '製造效能'!$E:$E=""攪料""), 1), INDEX(FILTER('製造效能'!V:V, '製造效能'!$B:$B=$D59, '製造效能'!$D:$D=$M59, '製造效能'!$E:$E=""攪料""), 1))"),"")</f>
        <v/>
      </c>
      <c r="AK59" s="35">
        <f>COUNTIF(充填效能!$A:$A, $C59)</f>
        <v>2</v>
      </c>
      <c r="AL59" s="36" t="str">
        <f ca="1">IFERROR(__xludf.DUMMYFUNCTION("IFERROR(INDEX(FILTER('充填效能'!$Q$2:$Q$1088, '充填效能'!$A$2:$A$1088=$C59, '充填效能'!$D$2:$D$1088=""排瓶""), 1), 0)"),"600")</f>
        <v>600</v>
      </c>
      <c r="AM59" s="36">
        <f ca="1">IFERROR(__xludf.DUMMYFUNCTION("IFERROR(INDEX(FILTER('充填效能'!$R$2:$R$1088, '充填效能'!$A$2:$A$1088=$C59, '充填效能'!$D$2:$D$1088=""排瓶""), 1), 0)"),1)</f>
        <v>1</v>
      </c>
      <c r="AN59" s="35">
        <f t="shared" ca="1" si="5"/>
        <v>16.666666666666668</v>
      </c>
      <c r="AO59" s="36" t="str">
        <f ca="1">IFERROR(__xludf.DUMMYFUNCTION("IFERROR(INDEX(FILTER('充填效能'!$Q$2:$Q$1088, '充填效能'!$A$2:$A$1088=$C59, '充填效能'!$D$2:$D$1088=""充填""), 1), 0)"),"1200")</f>
        <v>1200</v>
      </c>
      <c r="AP59" s="36">
        <f ca="1">IFERROR(__xludf.DUMMYFUNCTION("IFERROR(INDEX(FILTER('充填效能'!$R$2:$R$1088, '充填效能'!$A$2:$A$1088=$C59, '充填效能'!$D$2:$D$1088=""充填""), 1), 0)"),4)</f>
        <v>4</v>
      </c>
      <c r="AQ59" s="35">
        <f t="shared" ca="1" si="6"/>
        <v>8.3333333333333339</v>
      </c>
      <c r="AR59" s="17">
        <f t="shared" ca="1" si="7"/>
        <v>33.333333333333336</v>
      </c>
    </row>
    <row r="60" spans="1:44" ht="15.75" customHeight="1">
      <c r="A60" s="9" t="s">
        <v>206</v>
      </c>
      <c r="B60" s="34">
        <f t="shared" si="0"/>
        <v>45010</v>
      </c>
      <c r="C60" s="9" t="s">
        <v>38</v>
      </c>
      <c r="D60" s="17" t="str">
        <f t="shared" si="1"/>
        <v>EU21C1</v>
      </c>
      <c r="E60" s="9" t="s">
        <v>39</v>
      </c>
      <c r="F60" s="9">
        <v>10000</v>
      </c>
      <c r="G60" s="10">
        <v>45092</v>
      </c>
      <c r="H60" s="10">
        <v>45089</v>
      </c>
      <c r="I60" s="10">
        <v>44999</v>
      </c>
      <c r="J60" s="10">
        <v>44977</v>
      </c>
      <c r="K60" s="9" t="s">
        <v>405</v>
      </c>
      <c r="L60" s="17" t="str">
        <f ca="1">IFERROR(__xludf.DUMMYFUNCTION("TEXTJOIN("", "", TRUE, UNIQUE(FILTER('製造效能'!$D$2:$D$1732, '製造效能'!$B$2:$B$1732 = D60)))"),"大, 小乳")</f>
        <v>大, 小乳</v>
      </c>
      <c r="M60" s="17" t="str">
        <f ca="1">IFERROR(__xludf.DUMMYFUNCTION("INDEX(UNIQUE(FILTER('製造效能'!$D$2:$D$1732, ('製造效能'!$B$2:$B$1732 = D60) * ('製造效能'!$J$2:$J$1732 = MAXIFS('製造效能'!$J$2:$J$1732, '製造效能'!$B$2:$B$1732, D60)))), 1) 
"),"大")</f>
        <v>大</v>
      </c>
      <c r="N60" s="17" t="str">
        <f ca="1">IFERROR(__xludf.DUMMYFUNCTION("TEXTJOIN("", "", TRUE, UNIQUE(FILTER('製造效能'!$K$2:$K$1732, '製造效能'!$B$2:$B$1732 = D60)))"),"水項, 乳項")</f>
        <v>水項, 乳項</v>
      </c>
      <c r="O60" s="35">
        <v>11.7</v>
      </c>
      <c r="P60" s="35" t="str">
        <f ca="1">IFERROR(__xludf.DUMMYFUNCTION("IFERROR(INDEX(FILTER('充填效能'!J$2:J$1088, '充填效能'!$A$2:$A$1088=$C60, '充填效能'!$D$2:$D$1088=""充填""), 1), 0)"),"")</f>
        <v/>
      </c>
      <c r="Q60" s="35" t="str">
        <f ca="1">IFERROR(__xludf.DUMMYFUNCTION("IFERROR(INDEX(FILTER('充填效能'!K$2:K$1088, '充填效能'!$A$2:$A$1088=$C60, '充填效能'!$D$2:$D$1088=""充填""), 1), 0)"),"")</f>
        <v/>
      </c>
      <c r="R60" s="35">
        <f ca="1">IFERROR(__xludf.DUMMYFUNCTION("IFERROR(INDEX(FILTER('充填效能'!L$2:L$1088, '充填效能'!$A$2:$A$1088=$C60, '充填效能'!$D$2:$D$1088=""充填""), 1), 0)"),2.8)</f>
        <v>2.8</v>
      </c>
      <c r="S60" s="35">
        <f ca="1">COUNTIFS(製造效能!B:B, $D60,製造效能!D:D,M60)</f>
        <v>6</v>
      </c>
      <c r="T60" s="36">
        <f ca="1">IFERROR(__xludf.DUMMYFUNCTION("VALUE(REGEXEXTRACT(TO_TEXT(O60), ""\d*\.?\d+""))"),11.7)</f>
        <v>11.7</v>
      </c>
      <c r="U60" s="17">
        <f t="shared" ca="1" si="2"/>
        <v>118754.99999999999</v>
      </c>
      <c r="V60" s="17">
        <f ca="1">IFERROR(__xludf.DUMMYFUNCTION("IFERROR(INDEX(FILTER('製造效能'!J:J, '製造效能'!A:A=$C60, '製造效能'!D:D=M60, '製造效能'!E:E=""攪料""), 1), INDEX(FILTER('製造效能'!J:J, '製造效能'!B:B=$D60, '製造效能'!D:D=M60, '製造效能'!E:E=""攪料""), 1))"),400)</f>
        <v>400</v>
      </c>
      <c r="W60" s="36">
        <f ca="1">IFERROR(__xludf.DUMMYFUNCTION("IFERROR(INDEX(FILTER('製造效能'!G:G, '製造效能'!A:A=$C60, '製造效能'!D:D=M60, '製造效能'!E:E=""攪料""), 1), INDEX(FILTER('製造效能'!G:G, '製造效能'!B:B=$D60, '製造效能'!D:D=M60, '製造效能'!E:E=""攪料""), 1))"),70)</f>
        <v>70</v>
      </c>
      <c r="X60" s="35">
        <f t="shared" ca="1" si="3"/>
        <v>1</v>
      </c>
      <c r="Y60" s="35">
        <f t="shared" ca="1" si="4"/>
        <v>70</v>
      </c>
      <c r="Z60" s="35">
        <f ca="1">IFERROR(__xludf.DUMMYFUNCTION("IFERROR(IFERROR(INDEX(FILTER('製造效能'!G:G, '製造效能'!A:A=$C60, '製造效能'!D:D=M60, '製造效能'!E:E=""預攪""), 1), INDEX(FILTER('製造效能'!G:G, '製造效能'!B:B=$D60, '製造效能'!D:D=M60, '製造效能'!E:E=""預攪""), 1)), 0)"),70)</f>
        <v>70</v>
      </c>
      <c r="AA60" s="35">
        <f ca="1">IFERROR(__xludf.DUMMYFUNCTION("IFERROR(INDEX(FILTER('製造效能'!G:G, '製造效能'!A:A=$C60, '製造效能'!D:D=M60, '製造效能'!E:E=""清洗""), 1), INDEX(FILTER('製造效能'!G:G, '製造效能'!B:B=$D60, '製造效能'!D:D=M60, '製造效能'!E:E=""清洗""), 1))"),30)</f>
        <v>30</v>
      </c>
      <c r="AB60" s="35" t="str">
        <f ca="1">IFERROR(__xludf.DUMMYFUNCTION("IFERROR(INDEX(FILTER('製造效能'!N:N, '製造效能'!$A:$A=$C60, '製造效能'!$D:$D=$M60, '製造效能'!$E:$E=""攪料""), 1), INDEX(FILTER('製造效能'!N:N, '製造效能'!$B:$B=$D60, '製造效能'!$D:$D=$M60, '製造效能'!$E:$E=""攪料""), 1))"),"")</f>
        <v/>
      </c>
      <c r="AC60" s="35" t="str">
        <f ca="1">IFERROR(__xludf.DUMMYFUNCTION("IFERROR(INDEX(FILTER('製造效能'!O:O, '製造效能'!$A:$A=$C60, '製造效能'!$D:$D=$M60, '製造效能'!$E:$E=""攪料""), 1), INDEX(FILTER('製造效能'!O:O, '製造效能'!$B:$B=$D60, '製造效能'!$D:$D=$M60, '製造效能'!$E:$E=""攪料""), 1))"),"")</f>
        <v/>
      </c>
      <c r="AD60" s="35" t="str">
        <f ca="1">IFERROR(__xludf.DUMMYFUNCTION("IFERROR(INDEX(FILTER('製造效能'!P:P, '製造效能'!$A:$A=$C60, '製造效能'!$D:$D=$M60, '製造效能'!$E:$E=""攪料""), 1), INDEX(FILTER('製造效能'!P:P, '製造效能'!$B:$B=$D60, '製造效能'!$D:$D=$M60, '製造效能'!$E:$E=""攪料""), 1))"),"")</f>
        <v/>
      </c>
      <c r="AE60" s="35" t="str">
        <f ca="1">IFERROR(__xludf.DUMMYFUNCTION("IFERROR(INDEX(FILTER('製造效能'!Q:Q, '製造效能'!$A:$A=$C60, '製造效能'!$D:$D=$M60, '製造效能'!$E:$E=""攪料""), 1), INDEX(FILTER('製造效能'!Q:Q, '製造效能'!$B:$B=$D60, '製造效能'!$D:$D=$M60, '製造效能'!$E:$E=""攪料""), 1))"),"")</f>
        <v/>
      </c>
      <c r="AF60" s="35" t="str">
        <f ca="1">IFERROR(__xludf.DUMMYFUNCTION("IFERROR(INDEX(FILTER('製造效能'!R:R, '製造效能'!$A:$A=$C60, '製造效能'!$D:$D=$M60, '製造效能'!$E:$E=""攪料""), 1), INDEX(FILTER('製造效能'!R:R, '製造效能'!$B:$B=$D60, '製造效能'!$D:$D=$M60, '製造效能'!$E:$E=""攪料""), 1))"),"")</f>
        <v/>
      </c>
      <c r="AG60" s="35">
        <f ca="1">IFERROR(__xludf.DUMMYFUNCTION("IFERROR(INDEX(FILTER('製造效能'!S:S, '製造效能'!$A:$A=$C60, '製造效能'!$D:$D=$M60, '製造效能'!$E:$E=""攪料""), 1), INDEX(FILTER('製造效能'!S:S, '製造效能'!$B:$B=$D60, '製造效能'!$D:$D=$M60, '製造效能'!$E:$E=""攪料""), 1))"),1)</f>
        <v>1</v>
      </c>
      <c r="AH60" s="35" t="str">
        <f ca="1">IFERROR(__xludf.DUMMYFUNCTION("IFERROR(INDEX(FILTER('製造效能'!T:T, '製造效能'!$A:$A=$C60, '製造效能'!$D:$D=$M60, '製造效能'!$E:$E=""攪料""), 1), INDEX(FILTER('製造效能'!T:T, '製造效能'!$B:$B=$D60, '製造效能'!$D:$D=$M60, '製造效能'!$E:$E=""攪料""), 1))"),"")</f>
        <v/>
      </c>
      <c r="AI60" s="35" t="str">
        <f ca="1">IFERROR(__xludf.DUMMYFUNCTION("IFERROR(INDEX(FILTER('製造效能'!U:U, '製造效能'!$A:$A=$C60, '製造效能'!$D:$D=$M60, '製造效能'!$E:$E=""攪料""), 1), INDEX(FILTER('製造效能'!U:U, '製造效能'!$B:$B=$D60, '製造效能'!$D:$D=$M60, '製造效能'!$E:$E=""攪料""), 1))"),"")</f>
        <v/>
      </c>
      <c r="AJ60" s="35" t="str">
        <f ca="1">IFERROR(__xludf.DUMMYFUNCTION("IFERROR(INDEX(FILTER('製造效能'!V:V, '製造效能'!$A:$A=$C60, '製造效能'!$D:$D=$M60, '製造效能'!$E:$E=""攪料""), 1), INDEX(FILTER('製造效能'!V:V, '製造效能'!$B:$B=$D60, '製造效能'!$D:$D=$M60, '製造效能'!$E:$E=""攪料""), 1))"),"")</f>
        <v/>
      </c>
      <c r="AK60" s="35">
        <f>COUNTIF(充填效能!$A:$A, $C60)</f>
        <v>2</v>
      </c>
      <c r="AL60" s="36" t="str">
        <f ca="1">IFERROR(__xludf.DUMMYFUNCTION("IFERROR(INDEX(FILTER('充填效能'!$Q$2:$Q$1088, '充填效能'!$A$2:$A$1088=$C60, '充填效能'!$D$2:$D$1088=""排瓶""), 1), 0)"),"1100")</f>
        <v>1100</v>
      </c>
      <c r="AM60" s="36">
        <f ca="1">IFERROR(__xludf.DUMMYFUNCTION("IFERROR(INDEX(FILTER('充填效能'!$R$2:$R$1088, '充填效能'!$A$2:$A$1088=$C60, '充填效能'!$D$2:$D$1088=""排瓶""), 1), 0)"),1)</f>
        <v>1</v>
      </c>
      <c r="AN60" s="35">
        <f t="shared" ca="1" si="5"/>
        <v>9.0909090909090917</v>
      </c>
      <c r="AO60" s="36" t="str">
        <f ca="1">IFERROR(__xludf.DUMMYFUNCTION("IFERROR(INDEX(FILTER('充填效能'!$Q$2:$Q$1088, '充填效能'!$A$2:$A$1088=$C60, '充填效能'!$D$2:$D$1088=""充填""), 1), 0)"),"820")</f>
        <v>820</v>
      </c>
      <c r="AP60" s="36">
        <f ca="1">IFERROR(__xludf.DUMMYFUNCTION("IFERROR(INDEX(FILTER('充填效能'!$R$2:$R$1088, '充填效能'!$A$2:$A$1088=$C60, '充填效能'!$D$2:$D$1088=""充填""), 1), 0)"),4)</f>
        <v>4</v>
      </c>
      <c r="AQ60" s="35">
        <f t="shared" ca="1" si="6"/>
        <v>12.195121951219512</v>
      </c>
      <c r="AR60" s="17">
        <f t="shared" ca="1" si="7"/>
        <v>48.780487804878049</v>
      </c>
    </row>
    <row r="61" spans="1:44" ht="15.75" customHeight="1">
      <c r="A61" s="9" t="s">
        <v>209</v>
      </c>
      <c r="B61" s="34">
        <f t="shared" si="0"/>
        <v>45010</v>
      </c>
      <c r="C61" s="9" t="s">
        <v>184</v>
      </c>
      <c r="D61" s="17" t="str">
        <f t="shared" si="1"/>
        <v>FY22D1</v>
      </c>
      <c r="E61" s="9" t="s">
        <v>185</v>
      </c>
      <c r="F61" s="9">
        <v>1000</v>
      </c>
      <c r="G61" s="10">
        <v>45093</v>
      </c>
      <c r="H61" s="10">
        <v>45089</v>
      </c>
      <c r="I61" s="10">
        <v>45027</v>
      </c>
      <c r="J61" s="10">
        <v>45079</v>
      </c>
      <c r="K61" s="9" t="s">
        <v>405</v>
      </c>
      <c r="L61" s="17" t="str">
        <f ca="1">IFERROR(__xludf.DUMMYFUNCTION("TEXTJOIN("", "", TRUE, UNIQUE(FILTER('製造效能'!$D$2:$D$1732, '製造效能'!$B$2:$B$1732 = D61)))"),"精")</f>
        <v>精</v>
      </c>
      <c r="M61" s="17" t="str">
        <f ca="1">IFERROR(__xludf.DUMMYFUNCTION("INDEX(UNIQUE(FILTER('製造效能'!$D$2:$D$1732, ('製造效能'!$B$2:$B$1732 = D61) * ('製造效能'!$J$2:$J$1732 = MAXIFS('製造效能'!$J$2:$J$1732, '製造效能'!$B$2:$B$1732, D61)))), 1) 
"),"精")</f>
        <v>精</v>
      </c>
      <c r="N61" s="17" t="str">
        <f ca="1">IFERROR(__xludf.DUMMYFUNCTION("TEXTJOIN("", "", TRUE, UNIQUE(FILTER('製造效能'!$K$2:$K$1732, '製造效能'!$B$2:$B$1732 = D61)))"),"醇項, 油項")</f>
        <v>醇項, 油項</v>
      </c>
      <c r="O61" s="35"/>
      <c r="P61" s="35">
        <f ca="1">IFERROR(__xludf.DUMMYFUNCTION("IFERROR(INDEX(FILTER('充填效能'!J$2:J$1088, '充填效能'!$A$2:$A$1088=$C61, '充填效能'!$D$2:$D$1088=""充填""), 1), 0)"),16)</f>
        <v>16</v>
      </c>
      <c r="Q61" s="35">
        <f ca="1">IFERROR(__xludf.DUMMYFUNCTION("IFERROR(INDEX(FILTER('充填效能'!K$2:K$1088, '充填效能'!$A$2:$A$1088=$C61, '充填效能'!$D$2:$D$1088=""充填""), 1), 0)"),16)</f>
        <v>16</v>
      </c>
      <c r="R61" s="35" t="str">
        <f ca="1">IFERROR(__xludf.DUMMYFUNCTION("IFERROR(INDEX(FILTER('充填效能'!L$2:L$1088, '充填效能'!$A$2:$A$1088=$C61, '充填效能'!$D$2:$D$1088=""充填""), 1), 0)"),"")</f>
        <v/>
      </c>
      <c r="S61" s="35">
        <f ca="1">COUNTIFS(製造效能!B:B, $D61,製造效能!D:D,M61)</f>
        <v>4</v>
      </c>
      <c r="T61" s="36" t="str">
        <f ca="1">IFERROR(__xludf.DUMMYFUNCTION("VALUE(REGEXEXTRACT(TO_TEXT(O61), ""\d*\.?\d+""))"),"#N/A")</f>
        <v>#N/A</v>
      </c>
      <c r="U61" s="17" t="e">
        <f t="shared" ca="1" si="2"/>
        <v>#VALUE!</v>
      </c>
      <c r="V61" s="17">
        <f ca="1">IFERROR(__xludf.DUMMYFUNCTION("IFERROR(INDEX(FILTER('製造效能'!J:J, '製造效能'!A:A=$C61, '製造效能'!D:D=M61, '製造效能'!E:E=""攪料""), 1), INDEX(FILTER('製造效能'!J:J, '製造效能'!B:B=$D61, '製造效能'!D:D=M61, '製造效能'!E:E=""攪料""), 1))"),18)</f>
        <v>18</v>
      </c>
      <c r="W61" s="36">
        <f ca="1">IFERROR(__xludf.DUMMYFUNCTION("IFERROR(INDEX(FILTER('製造效能'!G:G, '製造效能'!A:A=$C61, '製造效能'!D:D=M61, '製造效能'!E:E=""攪料""), 1), INDEX(FILTER('製造效能'!G:G, '製造效能'!B:B=$D61, '製造效能'!D:D=M61, '製造效能'!E:E=""攪料""), 1))"),190)</f>
        <v>190</v>
      </c>
      <c r="X61" s="35" t="e">
        <f t="shared" ca="1" si="3"/>
        <v>#VALUE!</v>
      </c>
      <c r="Y61" s="35" t="e">
        <f t="shared" ca="1" si="4"/>
        <v>#VALUE!</v>
      </c>
      <c r="Z61" s="35">
        <f ca="1">IFERROR(__xludf.DUMMYFUNCTION("IFERROR(IFERROR(INDEX(FILTER('製造效能'!G:G, '製造效能'!A:A=$C61, '製造效能'!D:D=M61, '製造效能'!E:E=""預攪""), 1), INDEX(FILTER('製造效能'!G:G, '製造效能'!B:B=$D61, '製造效能'!D:D=M61, '製造效能'!E:E=""預攪""), 1)), 0)"),0)</f>
        <v>0</v>
      </c>
      <c r="AA61" s="35">
        <f ca="1">IFERROR(__xludf.DUMMYFUNCTION("IFERROR(INDEX(FILTER('製造效能'!G:G, '製造效能'!A:A=$C61, '製造效能'!D:D=M61, '製造效能'!E:E=""清洗""), 1), INDEX(FILTER('製造效能'!G:G, '製造效能'!B:B=$D61, '製造效能'!D:D=M61, '製造效能'!E:E=""清洗""), 1))"),10)</f>
        <v>10</v>
      </c>
      <c r="AB61" s="35" t="str">
        <f ca="1">IFERROR(__xludf.DUMMYFUNCTION("IFERROR(INDEX(FILTER('製造效能'!N:N, '製造效能'!$A:$A=$C61, '製造效能'!$D:$D=$M61, '製造效能'!$E:$E=""攪料""), 1), INDEX(FILTER('製造效能'!N:N, '製造效能'!$B:$B=$D61, '製造效能'!$D:$D=$M61, '製造效能'!$E:$E=""攪料""), 1))"),"")</f>
        <v/>
      </c>
      <c r="AC61" s="35" t="str">
        <f ca="1">IFERROR(__xludf.DUMMYFUNCTION("IFERROR(INDEX(FILTER('製造效能'!O:O, '製造效能'!$A:$A=$C61, '製造效能'!$D:$D=$M61, '製造效能'!$E:$E=""攪料""), 1), INDEX(FILTER('製造效能'!O:O, '製造效能'!$B:$B=$D61, '製造效能'!$D:$D=$M61, '製造效能'!$E:$E=""攪料""), 1))"),"")</f>
        <v/>
      </c>
      <c r="AD61" s="35" t="str">
        <f ca="1">IFERROR(__xludf.DUMMYFUNCTION("IFERROR(INDEX(FILTER('製造效能'!P:P, '製造效能'!$A:$A=$C61, '製造效能'!$D:$D=$M61, '製造效能'!$E:$E=""攪料""), 1), INDEX(FILTER('製造效能'!P:P, '製造效能'!$B:$B=$D61, '製造效能'!$D:$D=$M61, '製造效能'!$E:$E=""攪料""), 1))"),"")</f>
        <v/>
      </c>
      <c r="AE61" s="35" t="str">
        <f ca="1">IFERROR(__xludf.DUMMYFUNCTION("IFERROR(INDEX(FILTER('製造效能'!Q:Q, '製造效能'!$A:$A=$C61, '製造效能'!$D:$D=$M61, '製造效能'!$E:$E=""攪料""), 1), INDEX(FILTER('製造效能'!Q:Q, '製造效能'!$B:$B=$D61, '製造效能'!$D:$D=$M61, '製造效能'!$E:$E=""攪料""), 1))"),"")</f>
        <v/>
      </c>
      <c r="AF61" s="35" t="str">
        <f ca="1">IFERROR(__xludf.DUMMYFUNCTION("IFERROR(INDEX(FILTER('製造效能'!R:R, '製造效能'!$A:$A=$C61, '製造效能'!$D:$D=$M61, '製造效能'!$E:$E=""攪料""), 1), INDEX(FILTER('製造效能'!R:R, '製造效能'!$B:$B=$D61, '製造效能'!$D:$D=$M61, '製造效能'!$E:$E=""攪料""), 1))"),"")</f>
        <v/>
      </c>
      <c r="AG61" s="35" t="str">
        <f ca="1">IFERROR(__xludf.DUMMYFUNCTION("IFERROR(INDEX(FILTER('製造效能'!S:S, '製造效能'!$A:$A=$C61, '製造效能'!$D:$D=$M61, '製造效能'!$E:$E=""攪料""), 1), INDEX(FILTER('製造效能'!S:S, '製造效能'!$B:$B=$D61, '製造效能'!$D:$D=$M61, '製造效能'!$E:$E=""攪料""), 1))"),"")</f>
        <v/>
      </c>
      <c r="AH61" s="35" t="str">
        <f ca="1">IFERROR(__xludf.DUMMYFUNCTION("IFERROR(INDEX(FILTER('製造效能'!T:T, '製造效能'!$A:$A=$C61, '製造效能'!$D:$D=$M61, '製造效能'!$E:$E=""攪料""), 1), INDEX(FILTER('製造效能'!T:T, '製造效能'!$B:$B=$D61, '製造效能'!$D:$D=$M61, '製造效能'!$E:$E=""攪料""), 1))"),"")</f>
        <v/>
      </c>
      <c r="AI61" s="35" t="str">
        <f ca="1">IFERROR(__xludf.DUMMYFUNCTION("IFERROR(INDEX(FILTER('製造效能'!U:U, '製造效能'!$A:$A=$C61, '製造效能'!$D:$D=$M61, '製造效能'!$E:$E=""攪料""), 1), INDEX(FILTER('製造效能'!U:U, '製造效能'!$B:$B=$D61, '製造效能'!$D:$D=$M61, '製造效能'!$E:$E=""攪料""), 1))"),"")</f>
        <v/>
      </c>
      <c r="AJ61" s="35" t="str">
        <f ca="1">IFERROR(__xludf.DUMMYFUNCTION("IFERROR(INDEX(FILTER('製造效能'!V:V, '製造效能'!$A:$A=$C61, '製造效能'!$D:$D=$M61, '製造效能'!$E:$E=""攪料""), 1), INDEX(FILTER('製造效能'!V:V, '製造效能'!$B:$B=$D61, '製造效能'!$D:$D=$M61, '製造效能'!$E:$E=""攪料""), 1))"),"")</f>
        <v/>
      </c>
      <c r="AK61" s="35">
        <f>COUNTIF(充填效能!$A:$A, $C61)</f>
        <v>2</v>
      </c>
      <c r="AL61" s="36" t="str">
        <f ca="1">IFERROR(__xludf.DUMMYFUNCTION("IFERROR(INDEX(FILTER('充填效能'!$Q$2:$Q$1088, '充填效能'!$A$2:$A$1088=$C61, '充填效能'!$D$2:$D$1088=""排瓶""), 1), 0)"),"1200")</f>
        <v>1200</v>
      </c>
      <c r="AM61" s="36">
        <f ca="1">IFERROR(__xludf.DUMMYFUNCTION("IFERROR(INDEX(FILTER('充填效能'!$R$2:$R$1088, '充填效能'!$A$2:$A$1088=$C61, '充填效能'!$D$2:$D$1088=""排瓶""), 1), 0)"),1)</f>
        <v>1</v>
      </c>
      <c r="AN61" s="35">
        <f t="shared" ca="1" si="5"/>
        <v>0.83333333333333337</v>
      </c>
      <c r="AO61" s="36" t="str">
        <f ca="1">IFERROR(__xludf.DUMMYFUNCTION("IFERROR(INDEX(FILTER('充填效能'!$Q$2:$Q$1088, '充填效能'!$A$2:$A$1088=$C61, '充填效能'!$D$2:$D$1088=""充填""), 1), 0)"),"550")</f>
        <v>550</v>
      </c>
      <c r="AP61" s="36">
        <f ca="1">IFERROR(__xludf.DUMMYFUNCTION("IFERROR(INDEX(FILTER('充填效能'!$R$2:$R$1088, '充填效能'!$A$2:$A$1088=$C61, '充填效能'!$D$2:$D$1088=""充填""), 1), 0)"),4)</f>
        <v>4</v>
      </c>
      <c r="AQ61" s="35">
        <f t="shared" ca="1" si="6"/>
        <v>1.8181818181818181</v>
      </c>
      <c r="AR61" s="17">
        <f t="shared" ca="1" si="7"/>
        <v>7.2727272727272725</v>
      </c>
    </row>
    <row r="62" spans="1:44" ht="15.75" customHeight="1">
      <c r="A62" s="9" t="s">
        <v>212</v>
      </c>
      <c r="B62" s="34">
        <f t="shared" si="0"/>
        <v>45010</v>
      </c>
      <c r="C62" s="9" t="s">
        <v>195</v>
      </c>
      <c r="D62" s="17" t="str">
        <f t="shared" si="1"/>
        <v>AB18D1</v>
      </c>
      <c r="E62" s="9" t="s">
        <v>196</v>
      </c>
      <c r="F62" s="9">
        <v>2000</v>
      </c>
      <c r="G62" s="10">
        <v>45098</v>
      </c>
      <c r="H62" s="10">
        <v>45090</v>
      </c>
      <c r="I62" s="10">
        <v>45050</v>
      </c>
      <c r="J62" s="10">
        <v>45084</v>
      </c>
      <c r="K62" s="9" t="s">
        <v>409</v>
      </c>
      <c r="L62" s="17" t="str">
        <f ca="1">IFERROR(__xludf.DUMMYFUNCTION("TEXTJOIN("", "", TRUE, UNIQUE(FILTER('製造效能'!$D$2:$D$1732, '製造效能'!$B$2:$B$1732 = D62)))"),"精")</f>
        <v>精</v>
      </c>
      <c r="M62" s="17" t="str">
        <f ca="1">IFERROR(__xludf.DUMMYFUNCTION("INDEX(UNIQUE(FILTER('製造效能'!$D$2:$D$1732, ('製造效能'!$B$2:$B$1732 = D62) * ('製造效能'!$J$2:$J$1732 = MAXIFS('製造效能'!$J$2:$J$1732, '製造效能'!$B$2:$B$1732, D62)))), 1) 
"),"精")</f>
        <v>精</v>
      </c>
      <c r="N62" s="17" t="str">
        <f ca="1">IFERROR(__xludf.DUMMYFUNCTION("TEXTJOIN("", "", TRUE, UNIQUE(FILTER('製造效能'!$K$2:$K$1732, '製造效能'!$B$2:$B$1732 = D62)))"),"水項")</f>
        <v>水項</v>
      </c>
      <c r="O62" s="35">
        <f ca="1">IFERROR(__xludf.DUMMYFUNCTION("IFERROR(INDEX(FILTER('充填效能'!I$2:I$1088, '充填效能'!$A$2:$A$1088=$C62, '充填效能'!$D$2:$D$1088=""充填""), 1), 0)"),8)</f>
        <v>8</v>
      </c>
      <c r="P62" s="35" t="str">
        <f ca="1">IFERROR(__xludf.DUMMYFUNCTION("IFERROR(INDEX(FILTER('充填效能'!J$2:J$1088, '充填效能'!$A$2:$A$1088=$C62, '充填效能'!$D$2:$D$1088=""充填""), 1), 0)"),"")</f>
        <v/>
      </c>
      <c r="Q62" s="35" t="str">
        <f ca="1">IFERROR(__xludf.DUMMYFUNCTION("IFERROR(INDEX(FILTER('充填效能'!K$2:K$1088, '充填效能'!$A$2:$A$1088=$C62, '充填效能'!$D$2:$D$1088=""充填""), 1), 0)"),"")</f>
        <v/>
      </c>
      <c r="R62" s="35" t="str">
        <f ca="1">IFERROR(__xludf.DUMMYFUNCTION("IFERROR(INDEX(FILTER('充填效能'!L$2:L$1088, '充填效能'!$A$2:$A$1088=$C62, '充填效能'!$D$2:$D$1088=""充填""), 1), 0)"),"")</f>
        <v/>
      </c>
      <c r="S62" s="35">
        <f ca="1">COUNTIFS(製造效能!B:B, $D62,製造效能!D:D,M62)</f>
        <v>3</v>
      </c>
      <c r="T62" s="36">
        <f ca="1">IFERROR(__xludf.DUMMYFUNCTION("VALUE(REGEXEXTRACT(TO_TEXT(O62), ""\d*\.?\d+""))"),8)</f>
        <v>8</v>
      </c>
      <c r="U62" s="17">
        <f t="shared" ca="1" si="2"/>
        <v>16239.999999999998</v>
      </c>
      <c r="V62" s="17">
        <f ca="1">IFERROR(__xludf.DUMMYFUNCTION("IFERROR(INDEX(FILTER('製造效能'!J:J, '製造效能'!A:A=$C62, '製造效能'!D:D=M62, '製造效能'!E:E=""攪料""), 1), INDEX(FILTER('製造效能'!J:J, '製造效能'!B:B=$D62, '製造效能'!D:D=M62, '製造效能'!E:E=""攪料""), 1))"),82.5)</f>
        <v>82.5</v>
      </c>
      <c r="W62" s="36">
        <f ca="1">IFERROR(__xludf.DUMMYFUNCTION("IFERROR(INDEX(FILTER('製造效能'!G:G, '製造效能'!A:A=$C62, '製造效能'!D:D=M62, '製造效能'!E:E=""攪料""), 1), INDEX(FILTER('製造效能'!G:G, '製造效能'!B:B=$D62, '製造效能'!D:D=M62, '製造效能'!E:E=""攪料""), 1))"),105)</f>
        <v>105</v>
      </c>
      <c r="X62" s="35">
        <f t="shared" ca="1" si="3"/>
        <v>1</v>
      </c>
      <c r="Y62" s="35">
        <f t="shared" ca="1" si="4"/>
        <v>105</v>
      </c>
      <c r="Z62" s="35">
        <f ca="1">IFERROR(__xludf.DUMMYFUNCTION("IFERROR(IFERROR(INDEX(FILTER('製造效能'!G:G, '製造效能'!A:A=$C62, '製造效能'!D:D=M62, '製造效能'!E:E=""預攪""), 1), INDEX(FILTER('製造效能'!G:G, '製造效能'!B:B=$D62, '製造效能'!D:D=M62, '製造效能'!E:E=""預攪""), 1)), 0)"),20)</f>
        <v>20</v>
      </c>
      <c r="AA62" s="35">
        <f ca="1">IFERROR(__xludf.DUMMYFUNCTION("IFERROR(INDEX(FILTER('製造效能'!G:G, '製造效能'!A:A=$C62, '製造效能'!D:D=M62, '製造效能'!E:E=""清洗""), 1), INDEX(FILTER('製造效能'!G:G, '製造效能'!B:B=$D62, '製造效能'!D:D=M62, '製造效能'!E:E=""清洗""), 1))"),15)</f>
        <v>15</v>
      </c>
      <c r="AB62" s="35" t="str">
        <f ca="1">IFERROR(__xludf.DUMMYFUNCTION("IFERROR(INDEX(FILTER('製造效能'!N:N, '製造效能'!$A:$A=$C62, '製造效能'!$D:$D=$M62, '製造效能'!$E:$E=""攪料""), 1), INDEX(FILTER('製造效能'!N:N, '製造效能'!$B:$B=$D62, '製造效能'!$D:$D=$M62, '製造效能'!$E:$E=""攪料""), 1))"),"")</f>
        <v/>
      </c>
      <c r="AC62" s="35">
        <f ca="1">IFERROR(__xludf.DUMMYFUNCTION("IFERROR(INDEX(FILTER('製造效能'!O:O, '製造效能'!$A:$A=$C62, '製造效能'!$D:$D=$M62, '製造效能'!$E:$E=""攪料""), 1), INDEX(FILTER('製造效能'!O:O, '製造效能'!$B:$B=$D62, '製造效能'!$D:$D=$M62, '製造效能'!$E:$E=""攪料""), 1))"),1)</f>
        <v>1</v>
      </c>
      <c r="AD62" s="35" t="str">
        <f ca="1">IFERROR(__xludf.DUMMYFUNCTION("IFERROR(INDEX(FILTER('製造效能'!P:P, '製造效能'!$A:$A=$C62, '製造效能'!$D:$D=$M62, '製造效能'!$E:$E=""攪料""), 1), INDEX(FILTER('製造效能'!P:P, '製造效能'!$B:$B=$D62, '製造效能'!$D:$D=$M62, '製造效能'!$E:$E=""攪料""), 1))"),"")</f>
        <v/>
      </c>
      <c r="AE62" s="35" t="str">
        <f ca="1">IFERROR(__xludf.DUMMYFUNCTION("IFERROR(INDEX(FILTER('製造效能'!Q:Q, '製造效能'!$A:$A=$C62, '製造效能'!$D:$D=$M62, '製造效能'!$E:$E=""攪料""), 1), INDEX(FILTER('製造效能'!Q:Q, '製造效能'!$B:$B=$D62, '製造效能'!$D:$D=$M62, '製造效能'!$E:$E=""攪料""), 1))"),"")</f>
        <v/>
      </c>
      <c r="AF62" s="35" t="str">
        <f ca="1">IFERROR(__xludf.DUMMYFUNCTION("IFERROR(INDEX(FILTER('製造效能'!R:R, '製造效能'!$A:$A=$C62, '製造效能'!$D:$D=$M62, '製造效能'!$E:$E=""攪料""), 1), INDEX(FILTER('製造效能'!R:R, '製造效能'!$B:$B=$D62, '製造效能'!$D:$D=$M62, '製造效能'!$E:$E=""攪料""), 1))"),"")</f>
        <v/>
      </c>
      <c r="AG62" s="35" t="str">
        <f ca="1">IFERROR(__xludf.DUMMYFUNCTION("IFERROR(INDEX(FILTER('製造效能'!S:S, '製造效能'!$A:$A=$C62, '製造效能'!$D:$D=$M62, '製造效能'!$E:$E=""攪料""), 1), INDEX(FILTER('製造效能'!S:S, '製造效能'!$B:$B=$D62, '製造效能'!$D:$D=$M62, '製造效能'!$E:$E=""攪料""), 1))"),"")</f>
        <v/>
      </c>
      <c r="AH62" s="35" t="str">
        <f ca="1">IFERROR(__xludf.DUMMYFUNCTION("IFERROR(INDEX(FILTER('製造效能'!T:T, '製造效能'!$A:$A=$C62, '製造效能'!$D:$D=$M62, '製造效能'!$E:$E=""攪料""), 1), INDEX(FILTER('製造效能'!T:T, '製造效能'!$B:$B=$D62, '製造效能'!$D:$D=$M62, '製造效能'!$E:$E=""攪料""), 1))"),"")</f>
        <v/>
      </c>
      <c r="AI62" s="35" t="str">
        <f ca="1">IFERROR(__xludf.DUMMYFUNCTION("IFERROR(INDEX(FILTER('製造效能'!U:U, '製造效能'!$A:$A=$C62, '製造效能'!$D:$D=$M62, '製造效能'!$E:$E=""攪料""), 1), INDEX(FILTER('製造效能'!U:U, '製造效能'!$B:$B=$D62, '製造效能'!$D:$D=$M62, '製造效能'!$E:$E=""攪料""), 1))"),"")</f>
        <v/>
      </c>
      <c r="AJ62" s="35" t="str">
        <f ca="1">IFERROR(__xludf.DUMMYFUNCTION("IFERROR(INDEX(FILTER('製造效能'!V:V, '製造效能'!$A:$A=$C62, '製造效能'!$D:$D=$M62, '製造效能'!$E:$E=""攪料""), 1), INDEX(FILTER('製造效能'!V:V, '製造效能'!$B:$B=$D62, '製造效能'!$D:$D=$M62, '製造效能'!$E:$E=""攪料""), 1))"),"")</f>
        <v/>
      </c>
      <c r="AK62" s="35">
        <f>COUNTIF(充填效能!$A:$A, $C62)</f>
        <v>3</v>
      </c>
      <c r="AL62" s="36" t="str">
        <f ca="1">IFERROR(__xludf.DUMMYFUNCTION("IFERROR(INDEX(FILTER('充填效能'!$Q$2:$Q$1088, '充填效能'!$A$2:$A$1088=$C62, '充填效能'!$D$2:$D$1088=""排瓶""), 1), 0)"),"1850")</f>
        <v>1850</v>
      </c>
      <c r="AM62" s="36">
        <f ca="1">IFERROR(__xludf.DUMMYFUNCTION("IFERROR(INDEX(FILTER('充填效能'!$R$2:$R$1088, '充填效能'!$A$2:$A$1088=$C62, '充填效能'!$D$2:$D$1088=""排瓶""), 1), 0)"),1)</f>
        <v>1</v>
      </c>
      <c r="AN62" s="35">
        <f t="shared" ca="1" si="5"/>
        <v>1.0810810810810811</v>
      </c>
      <c r="AO62" s="36" t="str">
        <f ca="1">IFERROR(__xludf.DUMMYFUNCTION("IFERROR(INDEX(FILTER('充填效能'!$Q$2:$Q$1088, '充填效能'!$A$2:$A$1088=$C62, '充填效能'!$D$2:$D$1088=""充填""), 1), 0)"),"1500")</f>
        <v>1500</v>
      </c>
      <c r="AP62" s="36">
        <f ca="1">IFERROR(__xludf.DUMMYFUNCTION("IFERROR(INDEX(FILTER('充填效能'!$R$2:$R$1088, '充填效能'!$A$2:$A$1088=$C62, '充填效能'!$D$2:$D$1088=""充填""), 1), 0)"),4)</f>
        <v>4</v>
      </c>
      <c r="AQ62" s="35">
        <f t="shared" ca="1" si="6"/>
        <v>1.3333333333333333</v>
      </c>
      <c r="AR62" s="17">
        <f t="shared" ca="1" si="7"/>
        <v>5.333333333333333</v>
      </c>
    </row>
    <row r="63" spans="1:44" ht="15.75" customHeight="1">
      <c r="A63" s="9" t="s">
        <v>216</v>
      </c>
      <c r="B63" s="34">
        <f t="shared" si="0"/>
        <v>45057</v>
      </c>
      <c r="C63" s="9" t="s">
        <v>201</v>
      </c>
      <c r="D63" s="17" t="str">
        <f t="shared" si="1"/>
        <v>FH21C1</v>
      </c>
      <c r="E63" s="9" t="s">
        <v>202</v>
      </c>
      <c r="F63" s="9">
        <v>2504</v>
      </c>
      <c r="G63" s="10">
        <v>45103</v>
      </c>
      <c r="H63" s="10">
        <v>45091</v>
      </c>
      <c r="I63" s="10">
        <v>45050</v>
      </c>
      <c r="J63" s="10">
        <v>45010</v>
      </c>
      <c r="L63" s="17" t="str">
        <f ca="1">IFERROR(__xludf.DUMMYFUNCTION("TEXTJOIN("", "", TRUE, UNIQUE(FILTER('製造效能'!$D$2:$D$1732, '製造效能'!$B$2:$B$1732 = D63)))"),"大")</f>
        <v>大</v>
      </c>
      <c r="M63" s="17" t="str">
        <f ca="1">IFERROR(__xludf.DUMMYFUNCTION("INDEX(UNIQUE(FILTER('製造效能'!$D$2:$D$1732, ('製造效能'!$B$2:$B$1732 = D63) * ('製造效能'!$J$2:$J$1732 = MAXIFS('製造效能'!$J$2:$J$1732, '製造效能'!$B$2:$B$1732, D63)))), 1) 
"),"大")</f>
        <v>大</v>
      </c>
      <c r="N63" s="17" t="str">
        <f ca="1">IFERROR(__xludf.DUMMYFUNCTION("TEXTJOIN("", "", TRUE, UNIQUE(FILTER('製造效能'!$K$2:$K$1732, '製造效能'!$B$2:$B$1732 = D63)))"),"水項")</f>
        <v>水項</v>
      </c>
      <c r="O63" s="35">
        <f ca="1">IFERROR(__xludf.DUMMYFUNCTION("IFERROR(INDEX(FILTER('充填效能'!I$2:I$1088, '充填效能'!$A$2:$A$1088=$C63, '充填效能'!$D$2:$D$1088=""充填""), 1), 0)"),202)</f>
        <v>202</v>
      </c>
      <c r="P63" s="35" t="str">
        <f ca="1">IFERROR(__xludf.DUMMYFUNCTION("IFERROR(INDEX(FILTER('充填效能'!J$2:J$1088, '充填效能'!$A$2:$A$1088=$C63, '充填效能'!$D$2:$D$1088=""充填""), 1), 0)"),"")</f>
        <v/>
      </c>
      <c r="Q63" s="35" t="str">
        <f ca="1">IFERROR(__xludf.DUMMYFUNCTION("IFERROR(INDEX(FILTER('充填效能'!K$2:K$1088, '充填效能'!$A$2:$A$1088=$C63, '充填效能'!$D$2:$D$1088=""充填""), 1), 0)"),"")</f>
        <v/>
      </c>
      <c r="R63" s="35" t="str">
        <f ca="1">IFERROR(__xludf.DUMMYFUNCTION("IFERROR(INDEX(FILTER('充填效能'!L$2:L$1088, '充填效能'!$A$2:$A$1088=$C63, '充填效能'!$D$2:$D$1088=""充填""), 1), 0)"),"")</f>
        <v/>
      </c>
      <c r="S63" s="35">
        <f ca="1">COUNTIFS(製造效能!B:B, $D63,製造效能!D:D,M63)</f>
        <v>3</v>
      </c>
      <c r="T63" s="36">
        <f ca="1">IFERROR(__xludf.DUMMYFUNCTION("VALUE(REGEXEXTRACT(TO_TEXT(O63), ""\d*\.?\d+""))"),202)</f>
        <v>202</v>
      </c>
      <c r="U63" s="17">
        <f t="shared" ca="1" si="2"/>
        <v>513395.11999999994</v>
      </c>
      <c r="V63" s="17">
        <f ca="1">IFERROR(__xludf.DUMMYFUNCTION("IFERROR(INDEX(FILTER('製造效能'!J:J, '製造效能'!A:A=$C63, '製造效能'!D:D=M63, '製造效能'!E:E=""攪料""), 1), INDEX(FILTER('製造效能'!J:J, '製造效能'!B:B=$D63, '製造效能'!D:D=M63, '製造效能'!E:E=""攪料""), 1))"),400)</f>
        <v>400</v>
      </c>
      <c r="W63" s="36">
        <f ca="1">IFERROR(__xludf.DUMMYFUNCTION("IFERROR(INDEX(FILTER('製造效能'!G:G, '製造效能'!A:A=$C63, '製造效能'!D:D=M63, '製造效能'!E:E=""攪料""), 1), INDEX(FILTER('製造效能'!G:G, '製造效能'!B:B=$D63, '製造效能'!D:D=M63, '製造效能'!E:E=""攪料""), 1))"),130)</f>
        <v>130</v>
      </c>
      <c r="X63" s="35">
        <f t="shared" ca="1" si="3"/>
        <v>2</v>
      </c>
      <c r="Y63" s="35">
        <f t="shared" ca="1" si="4"/>
        <v>260</v>
      </c>
      <c r="Z63" s="35">
        <f ca="1">IFERROR(__xludf.DUMMYFUNCTION("IFERROR(IFERROR(INDEX(FILTER('製造效能'!G:G, '製造效能'!A:A=$C63, '製造效能'!D:D=M63, '製造效能'!E:E=""預攪""), 1), INDEX(FILTER('製造效能'!G:G, '製造效能'!B:B=$D63, '製造效能'!D:D=M63, '製造效能'!E:E=""預攪""), 1)), 0)"),70)</f>
        <v>70</v>
      </c>
      <c r="AA63" s="35">
        <f ca="1">IFERROR(__xludf.DUMMYFUNCTION("IFERROR(INDEX(FILTER('製造效能'!G:G, '製造效能'!A:A=$C63, '製造效能'!D:D=M63, '製造效能'!E:E=""清洗""), 1), INDEX(FILTER('製造效能'!G:G, '製造效能'!B:B=$D63, '製造效能'!D:D=M63, '製造效能'!E:E=""清洗""), 1))"),30)</f>
        <v>30</v>
      </c>
      <c r="AB63" s="35" t="str">
        <f ca="1">IFERROR(__xludf.DUMMYFUNCTION("IFERROR(INDEX(FILTER('製造效能'!N:N, '製造效能'!$A:$A=$C63, '製造效能'!$D:$D=$M63, '製造效能'!$E:$E=""攪料""), 1), INDEX(FILTER('製造效能'!N:N, '製造效能'!$B:$B=$D63, '製造效能'!$D:$D=$M63, '製造效能'!$E:$E=""攪料""), 1))"),"")</f>
        <v/>
      </c>
      <c r="AC63" s="35">
        <f ca="1">IFERROR(__xludf.DUMMYFUNCTION("IFERROR(INDEX(FILTER('製造效能'!O:O, '製造效能'!$A:$A=$C63, '製造效能'!$D:$D=$M63, '製造效能'!$E:$E=""攪料""), 1), INDEX(FILTER('製造效能'!O:O, '製造效能'!$B:$B=$D63, '製造效能'!$D:$D=$M63, '製造效能'!$E:$E=""攪料""), 1))"),1)</f>
        <v>1</v>
      </c>
      <c r="AD63" s="35" t="str">
        <f ca="1">IFERROR(__xludf.DUMMYFUNCTION("IFERROR(INDEX(FILTER('製造效能'!P:P, '製造效能'!$A:$A=$C63, '製造效能'!$D:$D=$M63, '製造效能'!$E:$E=""攪料""), 1), INDEX(FILTER('製造效能'!P:P, '製造效能'!$B:$B=$D63, '製造效能'!$D:$D=$M63, '製造效能'!$E:$E=""攪料""), 1))"),"")</f>
        <v/>
      </c>
      <c r="AE63" s="35" t="str">
        <f ca="1">IFERROR(__xludf.DUMMYFUNCTION("IFERROR(INDEX(FILTER('製造效能'!Q:Q, '製造效能'!$A:$A=$C63, '製造效能'!$D:$D=$M63, '製造效能'!$E:$E=""攪料""), 1), INDEX(FILTER('製造效能'!Q:Q, '製造效能'!$B:$B=$D63, '製造效能'!$D:$D=$M63, '製造效能'!$E:$E=""攪料""), 1))"),"")</f>
        <v/>
      </c>
      <c r="AF63" s="35" t="str">
        <f ca="1">IFERROR(__xludf.DUMMYFUNCTION("IFERROR(INDEX(FILTER('製造效能'!R:R, '製造效能'!$A:$A=$C63, '製造效能'!$D:$D=$M63, '製造效能'!$E:$E=""攪料""), 1), INDEX(FILTER('製造效能'!R:R, '製造效能'!$B:$B=$D63, '製造效能'!$D:$D=$M63, '製造效能'!$E:$E=""攪料""), 1))"),"")</f>
        <v/>
      </c>
      <c r="AG63" s="35">
        <f ca="1">IFERROR(__xludf.DUMMYFUNCTION("IFERROR(INDEX(FILTER('製造效能'!S:S, '製造效能'!$A:$A=$C63, '製造效能'!$D:$D=$M63, '製造效能'!$E:$E=""攪料""), 1), INDEX(FILTER('製造效能'!S:S, '製造效能'!$B:$B=$D63, '製造效能'!$D:$D=$M63, '製造效能'!$E:$E=""攪料""), 1))"),1)</f>
        <v>1</v>
      </c>
      <c r="AH63" s="35" t="str">
        <f ca="1">IFERROR(__xludf.DUMMYFUNCTION("IFERROR(INDEX(FILTER('製造效能'!T:T, '製造效能'!$A:$A=$C63, '製造效能'!$D:$D=$M63, '製造效能'!$E:$E=""攪料""), 1), INDEX(FILTER('製造效能'!T:T, '製造效能'!$B:$B=$D63, '製造效能'!$D:$D=$M63, '製造效能'!$E:$E=""攪料""), 1))"),"")</f>
        <v/>
      </c>
      <c r="AI63" s="35" t="str">
        <f ca="1">IFERROR(__xludf.DUMMYFUNCTION("IFERROR(INDEX(FILTER('製造效能'!U:U, '製造效能'!$A:$A=$C63, '製造效能'!$D:$D=$M63, '製造效能'!$E:$E=""攪料""), 1), INDEX(FILTER('製造效能'!U:U, '製造效能'!$B:$B=$D63, '製造效能'!$D:$D=$M63, '製造效能'!$E:$E=""攪料""), 1))"),"")</f>
        <v/>
      </c>
      <c r="AJ63" s="35" t="str">
        <f ca="1">IFERROR(__xludf.DUMMYFUNCTION("IFERROR(INDEX(FILTER('製造效能'!V:V, '製造效能'!$A:$A=$C63, '製造效能'!$D:$D=$M63, '製造效能'!$E:$E=""攪料""), 1), INDEX(FILTER('製造效能'!V:V, '製造效能'!$B:$B=$D63, '製造效能'!$D:$D=$M63, '製造效能'!$E:$E=""攪料""), 1))"),"")</f>
        <v/>
      </c>
      <c r="AK63" s="35">
        <f>COUNTIF(充填效能!$A:$A, $C63)</f>
        <v>2</v>
      </c>
      <c r="AL63" s="36" t="str">
        <f ca="1">IFERROR(__xludf.DUMMYFUNCTION("IFERROR(INDEX(FILTER('充填效能'!$Q$2:$Q$1088, '充填效能'!$A$2:$A$1088=$C63, '充填效能'!$D$2:$D$1088=""排瓶""), 1), 0)"),"600")</f>
        <v>600</v>
      </c>
      <c r="AM63" s="36">
        <f ca="1">IFERROR(__xludf.DUMMYFUNCTION("IFERROR(INDEX(FILTER('充填效能'!$R$2:$R$1088, '充填效能'!$A$2:$A$1088=$C63, '充填效能'!$D$2:$D$1088=""排瓶""), 1), 0)"),1)</f>
        <v>1</v>
      </c>
      <c r="AN63" s="35">
        <f t="shared" ca="1" si="5"/>
        <v>4.1733333333333329</v>
      </c>
      <c r="AO63" s="36" t="str">
        <f ca="1">IFERROR(__xludf.DUMMYFUNCTION("IFERROR(INDEX(FILTER('充填效能'!$Q$2:$Q$1088, '充填效能'!$A$2:$A$1088=$C63, '充填效能'!$D$2:$D$1088=""充填""), 1), 0)"),"630")</f>
        <v>630</v>
      </c>
      <c r="AP63" s="36">
        <f ca="1">IFERROR(__xludf.DUMMYFUNCTION("IFERROR(INDEX(FILTER('充填效能'!$R$2:$R$1088, '充填效能'!$A$2:$A$1088=$C63, '充填效能'!$D$2:$D$1088=""充填""), 1), 0)"),4)</f>
        <v>4</v>
      </c>
      <c r="AQ63" s="35">
        <f t="shared" ca="1" si="6"/>
        <v>3.9746031746031747</v>
      </c>
      <c r="AR63" s="17">
        <f t="shared" ca="1" si="7"/>
        <v>15.898412698412699</v>
      </c>
    </row>
    <row r="64" spans="1:44" ht="15.75" customHeight="1">
      <c r="A64" s="9" t="s">
        <v>229</v>
      </c>
      <c r="B64" s="34">
        <f t="shared" si="0"/>
        <v>45055</v>
      </c>
      <c r="C64" s="9" t="s">
        <v>192</v>
      </c>
      <c r="D64" s="17" t="str">
        <f t="shared" si="1"/>
        <v>N1HAD4</v>
      </c>
      <c r="E64" s="9" t="s">
        <v>193</v>
      </c>
      <c r="F64" s="9">
        <v>10000</v>
      </c>
      <c r="G64" s="10">
        <v>45103</v>
      </c>
      <c r="H64" s="10">
        <v>45091</v>
      </c>
      <c r="I64" s="10">
        <v>45055</v>
      </c>
      <c r="J64" s="10">
        <v>45064</v>
      </c>
      <c r="L64" s="17" t="str">
        <f ca="1">IFERROR(__xludf.DUMMYFUNCTION("TEXTJOIN("", "", TRUE, UNIQUE(FILTER('製造效能'!$D$2:$D$1732, '製造效能'!$B$2:$B$1732 = D64)))"),"精")</f>
        <v>精</v>
      </c>
      <c r="M64" s="17" t="str">
        <f ca="1">IFERROR(__xludf.DUMMYFUNCTION("INDEX(UNIQUE(FILTER('製造效能'!$D$2:$D$1732, ('製造效能'!$B$2:$B$1732 = D64) * ('製造效能'!$J$2:$J$1732 = MAXIFS('製造效能'!$J$2:$J$1732, '製造效能'!$B$2:$B$1732, D64)))), 1) 
"),"精")</f>
        <v>精</v>
      </c>
      <c r="N64" s="17" t="str">
        <f ca="1">IFERROR(__xludf.DUMMYFUNCTION("TEXTJOIN("", "", TRUE, UNIQUE(FILTER('製造效能'!$K$2:$K$1732, '製造效能'!$B$2:$B$1732 = D64)))"),"水項")</f>
        <v>水項</v>
      </c>
      <c r="O64" s="35">
        <f ca="1">IFERROR(__xludf.DUMMYFUNCTION("IFERROR(INDEX(FILTER('充填效能'!I$2:I$1088, '充填效能'!$A$2:$A$1088=$C64, '充填效能'!$D$2:$D$1088=""充填""), 1), 0)"),10.1)</f>
        <v>10.1</v>
      </c>
      <c r="P64" s="35" t="str">
        <f ca="1">IFERROR(__xludf.DUMMYFUNCTION("IFERROR(INDEX(FILTER('充填效能'!J$2:J$1088, '充填效能'!$A$2:$A$1088=$C64, '充填效能'!$D$2:$D$1088=""充填""), 1), 0)"),"")</f>
        <v/>
      </c>
      <c r="Q64" s="35" t="str">
        <f ca="1">IFERROR(__xludf.DUMMYFUNCTION("IFERROR(INDEX(FILTER('充填效能'!K$2:K$1088, '充填效能'!$A$2:$A$1088=$C64, '充填效能'!$D$2:$D$1088=""充填""), 1), 0)"),"")</f>
        <v/>
      </c>
      <c r="R64" s="35" t="str">
        <f ca="1">IFERROR(__xludf.DUMMYFUNCTION("IFERROR(INDEX(FILTER('充填效能'!L$2:L$1088, '充填效能'!$A$2:$A$1088=$C64, '充填效能'!$D$2:$D$1088=""充填""), 1), 0)"),"")</f>
        <v/>
      </c>
      <c r="S64" s="35">
        <f ca="1">COUNTIFS(製造效能!B:B, $D64,製造效能!D:D,M64)</f>
        <v>3</v>
      </c>
      <c r="T64" s="36">
        <f ca="1">IFERROR(__xludf.DUMMYFUNCTION("VALUE(REGEXEXTRACT(TO_TEXT(O64), ""\d*\.?\d+""))"),10.1)</f>
        <v>10.1</v>
      </c>
      <c r="U64" s="17">
        <f t="shared" ca="1" si="2"/>
        <v>102514.99999999999</v>
      </c>
      <c r="V64" s="17">
        <f ca="1">IFERROR(__xludf.DUMMYFUNCTION("IFERROR(INDEX(FILTER('製造效能'!J:J, '製造效能'!A:A=$C64, '製造效能'!D:D=M64, '製造效能'!E:E=""攪料""), 1), INDEX(FILTER('製造效能'!J:J, '製造效能'!B:B=$D64, '製造效能'!D:D=M64, '製造效能'!E:E=""攪料""), 1))"),103)</f>
        <v>103</v>
      </c>
      <c r="W64" s="36">
        <f ca="1">IFERROR(__xludf.DUMMYFUNCTION("IFERROR(INDEX(FILTER('製造效能'!G:G, '製造效能'!A:A=$C64, '製造效能'!D:D=M64, '製造效能'!E:E=""攪料""), 1), INDEX(FILTER('製造效能'!G:G, '製造效能'!B:B=$D64, '製造效能'!D:D=M64, '製造效能'!E:E=""攪料""), 1))"),110)</f>
        <v>110</v>
      </c>
      <c r="X64" s="35">
        <f t="shared" ca="1" si="3"/>
        <v>1</v>
      </c>
      <c r="Y64" s="35">
        <f t="shared" ca="1" si="4"/>
        <v>110</v>
      </c>
      <c r="Z64" s="35">
        <f ca="1">IFERROR(__xludf.DUMMYFUNCTION("IFERROR(IFERROR(INDEX(FILTER('製造效能'!G:G, '製造效能'!A:A=$C64, '製造效能'!D:D=M64, '製造效能'!E:E=""預攪""), 1), INDEX(FILTER('製造效能'!G:G, '製造效能'!B:B=$D64, '製造效能'!D:D=M64, '製造效能'!E:E=""預攪""), 1)), 0)"),20)</f>
        <v>20</v>
      </c>
      <c r="AA64" s="35">
        <f ca="1">IFERROR(__xludf.DUMMYFUNCTION("IFERROR(INDEX(FILTER('製造效能'!G:G, '製造效能'!A:A=$C64, '製造效能'!D:D=M64, '製造效能'!E:E=""清洗""), 1), INDEX(FILTER('製造效能'!G:G, '製造效能'!B:B=$D64, '製造效能'!D:D=M64, '製造效能'!E:E=""清洗""), 1))"),20)</f>
        <v>20</v>
      </c>
      <c r="AB64" s="35" t="str">
        <f ca="1">IFERROR(__xludf.DUMMYFUNCTION("IFERROR(INDEX(FILTER('製造效能'!N:N, '製造效能'!$A:$A=$C64, '製造效能'!$D:$D=$M64, '製造效能'!$E:$E=""攪料""), 1), INDEX(FILTER('製造效能'!N:N, '製造效能'!$B:$B=$D64, '製造效能'!$D:$D=$M64, '製造效能'!$E:$E=""攪料""), 1))"),"")</f>
        <v/>
      </c>
      <c r="AC64" s="35">
        <f ca="1">IFERROR(__xludf.DUMMYFUNCTION("IFERROR(INDEX(FILTER('製造效能'!O:O, '製造效能'!$A:$A=$C64, '製造效能'!$D:$D=$M64, '製造效能'!$E:$E=""攪料""), 1), INDEX(FILTER('製造效能'!O:O, '製造效能'!$B:$B=$D64, '製造效能'!$D:$D=$M64, '製造效能'!$E:$E=""攪料""), 1))"),1)</f>
        <v>1</v>
      </c>
      <c r="AD64" s="35" t="str">
        <f ca="1">IFERROR(__xludf.DUMMYFUNCTION("IFERROR(INDEX(FILTER('製造效能'!P:P, '製造效能'!$A:$A=$C64, '製造效能'!$D:$D=$M64, '製造效能'!$E:$E=""攪料""), 1), INDEX(FILTER('製造效能'!P:P, '製造效能'!$B:$B=$D64, '製造效能'!$D:$D=$M64, '製造效能'!$E:$E=""攪料""), 1))"),"")</f>
        <v/>
      </c>
      <c r="AE64" s="35" t="str">
        <f ca="1">IFERROR(__xludf.DUMMYFUNCTION("IFERROR(INDEX(FILTER('製造效能'!Q:Q, '製造效能'!$A:$A=$C64, '製造效能'!$D:$D=$M64, '製造效能'!$E:$E=""攪料""), 1), INDEX(FILTER('製造效能'!Q:Q, '製造效能'!$B:$B=$D64, '製造效能'!$D:$D=$M64, '製造效能'!$E:$E=""攪料""), 1))"),"")</f>
        <v/>
      </c>
      <c r="AF64" s="35" t="str">
        <f ca="1">IFERROR(__xludf.DUMMYFUNCTION("IFERROR(INDEX(FILTER('製造效能'!R:R, '製造效能'!$A:$A=$C64, '製造效能'!$D:$D=$M64, '製造效能'!$E:$E=""攪料""), 1), INDEX(FILTER('製造效能'!R:R, '製造效能'!$B:$B=$D64, '製造效能'!$D:$D=$M64, '製造效能'!$E:$E=""攪料""), 1))"),"")</f>
        <v/>
      </c>
      <c r="AG64" s="35" t="str">
        <f ca="1">IFERROR(__xludf.DUMMYFUNCTION("IFERROR(INDEX(FILTER('製造效能'!S:S, '製造效能'!$A:$A=$C64, '製造效能'!$D:$D=$M64, '製造效能'!$E:$E=""攪料""), 1), INDEX(FILTER('製造效能'!S:S, '製造效能'!$B:$B=$D64, '製造效能'!$D:$D=$M64, '製造效能'!$E:$E=""攪料""), 1))"),"")</f>
        <v/>
      </c>
      <c r="AH64" s="35" t="str">
        <f ca="1">IFERROR(__xludf.DUMMYFUNCTION("IFERROR(INDEX(FILTER('製造效能'!T:T, '製造效能'!$A:$A=$C64, '製造效能'!$D:$D=$M64, '製造效能'!$E:$E=""攪料""), 1), INDEX(FILTER('製造效能'!T:T, '製造效能'!$B:$B=$D64, '製造效能'!$D:$D=$M64, '製造效能'!$E:$E=""攪料""), 1))"),"")</f>
        <v/>
      </c>
      <c r="AI64" s="35" t="str">
        <f ca="1">IFERROR(__xludf.DUMMYFUNCTION("IFERROR(INDEX(FILTER('製造效能'!U:U, '製造效能'!$A:$A=$C64, '製造效能'!$D:$D=$M64, '製造效能'!$E:$E=""攪料""), 1), INDEX(FILTER('製造效能'!U:U, '製造效能'!$B:$B=$D64, '製造效能'!$D:$D=$M64, '製造效能'!$E:$E=""攪料""), 1))"),"")</f>
        <v/>
      </c>
      <c r="AJ64" s="35" t="str">
        <f ca="1">IFERROR(__xludf.DUMMYFUNCTION("IFERROR(INDEX(FILTER('製造效能'!V:V, '製造效能'!$A:$A=$C64, '製造效能'!$D:$D=$M64, '製造效能'!$E:$E=""攪料""), 1), INDEX(FILTER('製造效能'!V:V, '製造效能'!$B:$B=$D64, '製造效能'!$D:$D=$M64, '製造效能'!$E:$E=""攪料""), 1))"),"")</f>
        <v/>
      </c>
      <c r="AK64" s="35">
        <f>COUNTIF(充填效能!$A:$A, $C64)</f>
        <v>1</v>
      </c>
      <c r="AL64" s="36">
        <f ca="1">IFERROR(__xludf.DUMMYFUNCTION("IFERROR(INDEX(FILTER('充填效能'!$Q$2:$Q$1088, '充填效能'!$A$2:$A$1088=$C64, '充填效能'!$D$2:$D$1088=""排瓶""), 1), 0)"),0)</f>
        <v>0</v>
      </c>
      <c r="AM64" s="36">
        <f ca="1">IFERROR(__xludf.DUMMYFUNCTION("IFERROR(INDEX(FILTER('充填效能'!$R$2:$R$1088, '充填效能'!$A$2:$A$1088=$C64, '充填效能'!$D$2:$D$1088=""排瓶""), 1), 0)"),0)</f>
        <v>0</v>
      </c>
      <c r="AN64" s="35">
        <f t="shared" ca="1" si="5"/>
        <v>0</v>
      </c>
      <c r="AO64" s="36" t="str">
        <f ca="1">IFERROR(__xludf.DUMMYFUNCTION("IFERROR(INDEX(FILTER('充填效能'!$Q$2:$Q$1088, '充填效能'!$A$2:$A$1088=$C64, '充填效能'!$D$2:$D$1088=""充填""), 1), 0)"),"1050")</f>
        <v>1050</v>
      </c>
      <c r="AP64" s="36">
        <f ca="1">IFERROR(__xludf.DUMMYFUNCTION("IFERROR(INDEX(FILTER('充填效能'!$R$2:$R$1088, '充填效能'!$A$2:$A$1088=$C64, '充填效能'!$D$2:$D$1088=""充填""), 1), 0)"),4)</f>
        <v>4</v>
      </c>
      <c r="AQ64" s="35">
        <f t="shared" ca="1" si="6"/>
        <v>9.5238095238095237</v>
      </c>
      <c r="AR64" s="17">
        <f t="shared" ca="1" si="7"/>
        <v>38.095238095238095</v>
      </c>
    </row>
    <row r="65" spans="1:44" ht="15.75" customHeight="1">
      <c r="A65" s="9" t="s">
        <v>230</v>
      </c>
      <c r="B65" s="34">
        <f t="shared" si="0"/>
        <v>45070</v>
      </c>
      <c r="C65" s="9" t="s">
        <v>227</v>
      </c>
      <c r="D65" s="17" t="str">
        <f t="shared" si="1"/>
        <v>N1CAB1</v>
      </c>
      <c r="E65" s="9" t="s">
        <v>228</v>
      </c>
      <c r="F65" s="9">
        <v>7790</v>
      </c>
      <c r="G65" s="10">
        <v>45111</v>
      </c>
      <c r="H65" s="10">
        <v>45091</v>
      </c>
      <c r="I65" s="10">
        <v>44959</v>
      </c>
      <c r="J65" s="10">
        <v>44975</v>
      </c>
      <c r="L65" s="17" t="str">
        <f ca="1">IFERROR(__xludf.DUMMYFUNCTION("TEXTJOIN("", "", TRUE, UNIQUE(FILTER('製造效能'!$D$2:$D$1732, '製造效能'!$B$2:$B$1732 = D65)))"),"大")</f>
        <v>大</v>
      </c>
      <c r="M65" s="17" t="str">
        <f ca="1">IFERROR(__xludf.DUMMYFUNCTION("INDEX(UNIQUE(FILTER('製造效能'!$D$2:$D$1732, ('製造效能'!$B$2:$B$1732 = D65) * ('製造效能'!$J$2:$J$1732 = MAXIFS('製造效能'!$J$2:$J$1732, '製造效能'!$B$2:$B$1732, D65)))), 1) 
"),"大")</f>
        <v>大</v>
      </c>
      <c r="N65" s="17" t="str">
        <f ca="1">IFERROR(__xludf.DUMMYFUNCTION("TEXTJOIN("", "", TRUE, UNIQUE(FILTER('製造效能'!$K$2:$K$1732, '製造效能'!$B$2:$B$1732 = D65)))"),"水項")</f>
        <v>水項</v>
      </c>
      <c r="O65" s="35">
        <f ca="1">IFERROR(__xludf.DUMMYFUNCTION("IFERROR(INDEX(FILTER('充填效能'!I$2:I$1088, '充填效能'!$A$2:$A$1088=$C65, '充填效能'!$D$2:$D$1088=""充填""), 1), 0)"),312)</f>
        <v>312</v>
      </c>
      <c r="P65" s="35" t="str">
        <f ca="1">IFERROR(__xludf.DUMMYFUNCTION("IFERROR(INDEX(FILTER('充填效能'!J$2:J$1088, '充填效能'!$A$2:$A$1088=$C65, '充填效能'!$D$2:$D$1088=""充填""), 1), 0)"),"")</f>
        <v/>
      </c>
      <c r="Q65" s="35" t="str">
        <f ca="1">IFERROR(__xludf.DUMMYFUNCTION("IFERROR(INDEX(FILTER('充填效能'!K$2:K$1088, '充填效能'!$A$2:$A$1088=$C65, '充填效能'!$D$2:$D$1088=""充填""), 1), 0)"),"")</f>
        <v/>
      </c>
      <c r="R65" s="35" t="str">
        <f ca="1">IFERROR(__xludf.DUMMYFUNCTION("IFERROR(INDEX(FILTER('充填效能'!L$2:L$1088, '充填效能'!$A$2:$A$1088=$C65, '充填效能'!$D$2:$D$1088=""充填""), 1), 0)"),"")</f>
        <v/>
      </c>
      <c r="S65" s="35">
        <f ca="1">COUNTIFS(製造效能!B:B, $D65,製造效能!D:D,M65)</f>
        <v>3</v>
      </c>
      <c r="T65" s="36">
        <f ca="1">IFERROR(__xludf.DUMMYFUNCTION("VALUE(REGEXEXTRACT(TO_TEXT(O65), ""\d*\.?\d+""))"),312)</f>
        <v>312</v>
      </c>
      <c r="U65" s="17">
        <f t="shared" ca="1" si="2"/>
        <v>2466937.1999999997</v>
      </c>
      <c r="V65" s="17">
        <f ca="1">IFERROR(__xludf.DUMMYFUNCTION("IFERROR(INDEX(FILTER('製造效能'!J:J, '製造效能'!A:A=$C65, '製造效能'!D:D=M65, '製造效能'!E:E=""攪料""), 1), INDEX(FILTER('製造效能'!J:J, '製造效能'!B:B=$D65, '製造效能'!D:D=M65, '製造效能'!E:E=""攪料""), 1))"),412)</f>
        <v>412</v>
      </c>
      <c r="W65" s="36">
        <f ca="1">IFERROR(__xludf.DUMMYFUNCTION("IFERROR(INDEX(FILTER('製造效能'!G:G, '製造效能'!A:A=$C65, '製造效能'!D:D=M65, '製造效能'!E:E=""攪料""), 1), INDEX(FILTER('製造效能'!G:G, '製造效能'!B:B=$D65, '製造效能'!D:D=M65, '製造效能'!E:E=""攪料""), 1))"),105)</f>
        <v>105</v>
      </c>
      <c r="X65" s="35">
        <f t="shared" ca="1" si="3"/>
        <v>6</v>
      </c>
      <c r="Y65" s="35">
        <f t="shared" ca="1" si="4"/>
        <v>630</v>
      </c>
      <c r="Z65" s="35">
        <f ca="1">IFERROR(__xludf.DUMMYFUNCTION("IFERROR(IFERROR(INDEX(FILTER('製造效能'!G:G, '製造效能'!A:A=$C65, '製造效能'!D:D=M65, '製造效能'!E:E=""預攪""), 1), INDEX(FILTER('製造效能'!G:G, '製造效能'!B:B=$D65, '製造效能'!D:D=M65, '製造效能'!E:E=""預攪""), 1)), 0)"),50)</f>
        <v>50</v>
      </c>
      <c r="AA65" s="35">
        <f ca="1">IFERROR(__xludf.DUMMYFUNCTION("IFERROR(INDEX(FILTER('製造效能'!G:G, '製造效能'!A:A=$C65, '製造效能'!D:D=M65, '製造效能'!E:E=""清洗""), 1), INDEX(FILTER('製造效能'!G:G, '製造效能'!B:B=$D65, '製造效能'!D:D=M65, '製造效能'!E:E=""清洗""), 1))"),30)</f>
        <v>30</v>
      </c>
      <c r="AB65" s="35" t="str">
        <f ca="1">IFERROR(__xludf.DUMMYFUNCTION("IFERROR(INDEX(FILTER('製造效能'!N:N, '製造效能'!$A:$A=$C65, '製造效能'!$D:$D=$M65, '製造效能'!$E:$E=""攪料""), 1), INDEX(FILTER('製造效能'!N:N, '製造效能'!$B:$B=$D65, '製造效能'!$D:$D=$M65, '製造效能'!$E:$E=""攪料""), 1))"),"")</f>
        <v/>
      </c>
      <c r="AC65" s="35" t="str">
        <f ca="1">IFERROR(__xludf.DUMMYFUNCTION("IFERROR(INDEX(FILTER('製造效能'!O:O, '製造效能'!$A:$A=$C65, '製造效能'!$D:$D=$M65, '製造效能'!$E:$E=""攪料""), 1), INDEX(FILTER('製造效能'!O:O, '製造效能'!$B:$B=$D65, '製造效能'!$D:$D=$M65, '製造效能'!$E:$E=""攪料""), 1))"),"")</f>
        <v/>
      </c>
      <c r="AD65" s="35" t="str">
        <f ca="1">IFERROR(__xludf.DUMMYFUNCTION("IFERROR(INDEX(FILTER('製造效能'!P:P, '製造效能'!$A:$A=$C65, '製造效能'!$D:$D=$M65, '製造效能'!$E:$E=""攪料""), 1), INDEX(FILTER('製造效能'!P:P, '製造效能'!$B:$B=$D65, '製造效能'!$D:$D=$M65, '製造效能'!$E:$E=""攪料""), 1))"),"")</f>
        <v/>
      </c>
      <c r="AE65" s="35" t="str">
        <f ca="1">IFERROR(__xludf.DUMMYFUNCTION("IFERROR(INDEX(FILTER('製造效能'!Q:Q, '製造效能'!$A:$A=$C65, '製造效能'!$D:$D=$M65, '製造效能'!$E:$E=""攪料""), 1), INDEX(FILTER('製造效能'!Q:Q, '製造效能'!$B:$B=$D65, '製造效能'!$D:$D=$M65, '製造效能'!$E:$E=""攪料""), 1))"),"")</f>
        <v/>
      </c>
      <c r="AF65" s="35" t="str">
        <f ca="1">IFERROR(__xludf.DUMMYFUNCTION("IFERROR(INDEX(FILTER('製造效能'!R:R, '製造效能'!$A:$A=$C65, '製造效能'!$D:$D=$M65, '製造效能'!$E:$E=""攪料""), 1), INDEX(FILTER('製造效能'!R:R, '製造效能'!$B:$B=$D65, '製造效能'!$D:$D=$M65, '製造效能'!$E:$E=""攪料""), 1))"),"")</f>
        <v/>
      </c>
      <c r="AG65" s="35">
        <f ca="1">IFERROR(__xludf.DUMMYFUNCTION("IFERROR(INDEX(FILTER('製造效能'!S:S, '製造效能'!$A:$A=$C65, '製造效能'!$D:$D=$M65, '製造效能'!$E:$E=""攪料""), 1), INDEX(FILTER('製造效能'!S:S, '製造效能'!$B:$B=$D65, '製造效能'!$D:$D=$M65, '製造效能'!$E:$E=""攪料""), 1))"),1)</f>
        <v>1</v>
      </c>
      <c r="AH65" s="35" t="str">
        <f ca="1">IFERROR(__xludf.DUMMYFUNCTION("IFERROR(INDEX(FILTER('製造效能'!T:T, '製造效能'!$A:$A=$C65, '製造效能'!$D:$D=$M65, '製造效能'!$E:$E=""攪料""), 1), INDEX(FILTER('製造效能'!T:T, '製造效能'!$B:$B=$D65, '製造效能'!$D:$D=$M65, '製造效能'!$E:$E=""攪料""), 1))"),"")</f>
        <v/>
      </c>
      <c r="AI65" s="35" t="str">
        <f ca="1">IFERROR(__xludf.DUMMYFUNCTION("IFERROR(INDEX(FILTER('製造效能'!U:U, '製造效能'!$A:$A=$C65, '製造效能'!$D:$D=$M65, '製造效能'!$E:$E=""攪料""), 1), INDEX(FILTER('製造效能'!U:U, '製造效能'!$B:$B=$D65, '製造效能'!$D:$D=$M65, '製造效能'!$E:$E=""攪料""), 1))"),"")</f>
        <v/>
      </c>
      <c r="AJ65" s="35" t="str">
        <f ca="1">IFERROR(__xludf.DUMMYFUNCTION("IFERROR(INDEX(FILTER('製造效能'!V:V, '製造效能'!$A:$A=$C65, '製造效能'!$D:$D=$M65, '製造效能'!$E:$E=""攪料""), 1), INDEX(FILTER('製造效能'!V:V, '製造效能'!$B:$B=$D65, '製造效能'!$D:$D=$M65, '製造效能'!$E:$E=""攪料""), 1))"),"")</f>
        <v/>
      </c>
      <c r="AK65" s="35">
        <f>COUNTIF(充填效能!$A:$A, $C65)</f>
        <v>2</v>
      </c>
      <c r="AL65" s="36" t="str">
        <f ca="1">IFERROR(__xludf.DUMMYFUNCTION("IFERROR(INDEX(FILTER('充填效能'!$Q$2:$Q$1088, '充填效能'!$A$2:$A$1088=$C65, '充填效能'!$D$2:$D$1088=""排瓶""), 1), 0)"),"670")</f>
        <v>670</v>
      </c>
      <c r="AM65" s="36">
        <f ca="1">IFERROR(__xludf.DUMMYFUNCTION("IFERROR(INDEX(FILTER('充填效能'!$R$2:$R$1088, '充填效能'!$A$2:$A$1088=$C65, '充填效能'!$D$2:$D$1088=""排瓶""), 1), 0)"),1)</f>
        <v>1</v>
      </c>
      <c r="AN65" s="35">
        <f t="shared" ca="1" si="5"/>
        <v>11.626865671641792</v>
      </c>
      <c r="AO65" s="36" t="str">
        <f ca="1">IFERROR(__xludf.DUMMYFUNCTION("IFERROR(INDEX(FILTER('充填效能'!$Q$2:$Q$1088, '充填效能'!$A$2:$A$1088=$C65, '充填效能'!$D$2:$D$1088=""充填""), 1), 0)"),"430")</f>
        <v>430</v>
      </c>
      <c r="AP65" s="36">
        <f ca="1">IFERROR(__xludf.DUMMYFUNCTION("IFERROR(INDEX(FILTER('充填效能'!$R$2:$R$1088, '充填效能'!$A$2:$A$1088=$C65, '充填效能'!$D$2:$D$1088=""充填""), 1), 0)"),3)</f>
        <v>3</v>
      </c>
      <c r="AQ65" s="35">
        <f t="shared" ca="1" si="6"/>
        <v>18.11627906976744</v>
      </c>
      <c r="AR65" s="17">
        <f t="shared" ca="1" si="7"/>
        <v>54.348837209302317</v>
      </c>
    </row>
    <row r="66" spans="1:44" ht="15.75" customHeight="1">
      <c r="A66" s="9" t="s">
        <v>215</v>
      </c>
      <c r="B66" s="34">
        <f t="shared" si="0"/>
        <v>45057</v>
      </c>
      <c r="C66" s="9" t="s">
        <v>198</v>
      </c>
      <c r="D66" s="17" t="str">
        <f t="shared" si="1"/>
        <v>FH21Q1</v>
      </c>
      <c r="E66" s="9" t="s">
        <v>199</v>
      </c>
      <c r="F66" s="9">
        <v>2504</v>
      </c>
      <c r="G66" s="10">
        <v>45103</v>
      </c>
      <c r="H66" s="10">
        <v>45092</v>
      </c>
      <c r="I66" s="10">
        <v>45050</v>
      </c>
      <c r="J66" s="10">
        <v>45010</v>
      </c>
      <c r="L66" s="17" t="str">
        <f ca="1">IFERROR(__xludf.DUMMYFUNCTION("TEXTJOIN("", "", TRUE, UNIQUE(FILTER('製造效能'!$D$2:$D$1732, '製造效能'!$B$2:$B$1732 = D66)))"),"大")</f>
        <v>大</v>
      </c>
      <c r="M66" s="17" t="str">
        <f ca="1">IFERROR(__xludf.DUMMYFUNCTION("INDEX(UNIQUE(FILTER('製造效能'!$D$2:$D$1732, ('製造效能'!$B$2:$B$1732 = D66) * ('製造效能'!$J$2:$J$1732 = MAXIFS('製造效能'!$J$2:$J$1732, '製造效能'!$B$2:$B$1732, D66)))), 1) 
"),"大")</f>
        <v>大</v>
      </c>
      <c r="N66" s="17" t="str">
        <f ca="1">IFERROR(__xludf.DUMMYFUNCTION("TEXTJOIN("", "", TRUE, UNIQUE(FILTER('製造效能'!$K$2:$K$1732, '製造效能'!$B$2:$B$1732 = D66)))"),"水項")</f>
        <v>水項</v>
      </c>
      <c r="O66" s="35">
        <f ca="1">IFERROR(__xludf.DUMMYFUNCTION("IFERROR(INDEX(FILTER('充填效能'!I$2:I$1088, '充填效能'!$A$2:$A$1088=$C66, '充填效能'!$D$2:$D$1088=""充填""), 1), 0)"),206)</f>
        <v>206</v>
      </c>
      <c r="P66" s="35" t="str">
        <f ca="1">IFERROR(__xludf.DUMMYFUNCTION("IFERROR(INDEX(FILTER('充填效能'!J$2:J$1088, '充填效能'!$A$2:$A$1088=$C66, '充填效能'!$D$2:$D$1088=""充填""), 1), 0)"),"")</f>
        <v/>
      </c>
      <c r="Q66" s="35" t="str">
        <f ca="1">IFERROR(__xludf.DUMMYFUNCTION("IFERROR(INDEX(FILTER('充填效能'!K$2:K$1088, '充填效能'!$A$2:$A$1088=$C66, '充填效能'!$D$2:$D$1088=""充填""), 1), 0)"),"")</f>
        <v/>
      </c>
      <c r="R66" s="35" t="str">
        <f ca="1">IFERROR(__xludf.DUMMYFUNCTION("IFERROR(INDEX(FILTER('充填效能'!L$2:L$1088, '充填效能'!$A$2:$A$1088=$C66, '充填效能'!$D$2:$D$1088=""充填""), 1), 0)"),"")</f>
        <v/>
      </c>
      <c r="S66" s="35">
        <f ca="1">COUNTIFS(製造效能!B:B, $D66,製造效能!D:D,M66)</f>
        <v>2</v>
      </c>
      <c r="T66" s="36">
        <f ca="1">IFERROR(__xludf.DUMMYFUNCTION("VALUE(REGEXEXTRACT(TO_TEXT(O66), ""\d*\.?\d+""))"),206)</f>
        <v>206</v>
      </c>
      <c r="U66" s="17">
        <f t="shared" ca="1" si="2"/>
        <v>523561.35999999993</v>
      </c>
      <c r="V66" s="17">
        <f ca="1">IFERROR(__xludf.DUMMYFUNCTION("IFERROR(INDEX(FILTER('製造效能'!J:J, '製造效能'!A:A=$C66, '製造效能'!D:D=M66, '製造效能'!E:E=""攪料""), 1), INDEX(FILTER('製造效能'!J:J, '製造效能'!B:B=$D66, '製造效能'!D:D=M66, '製造效能'!E:E=""攪料""), 1))"),412)</f>
        <v>412</v>
      </c>
      <c r="W66" s="36">
        <f ca="1">IFERROR(__xludf.DUMMYFUNCTION("IFERROR(INDEX(FILTER('製造效能'!G:G, '製造效能'!A:A=$C66, '製造效能'!D:D=M66, '製造效能'!E:E=""攪料""), 1), INDEX(FILTER('製造效能'!G:G, '製造效能'!B:B=$D66, '製造效能'!D:D=M66, '製造效能'!E:E=""攪料""), 1))"),315)</f>
        <v>315</v>
      </c>
      <c r="X66" s="35">
        <f t="shared" ca="1" si="3"/>
        <v>2</v>
      </c>
      <c r="Y66" s="35">
        <f t="shared" ca="1" si="4"/>
        <v>630</v>
      </c>
      <c r="Z66" s="35">
        <f ca="1">IFERROR(__xludf.DUMMYFUNCTION("IFERROR(IFERROR(INDEX(FILTER('製造效能'!G:G, '製造效能'!A:A=$C66, '製造效能'!D:D=M66, '製造效能'!E:E=""預攪""), 1), INDEX(FILTER('製造效能'!G:G, '製造效能'!B:B=$D66, '製造效能'!D:D=M66, '製造效能'!E:E=""預攪""), 1)), 0)"),0)</f>
        <v>0</v>
      </c>
      <c r="AA66" s="35">
        <f ca="1">IFERROR(__xludf.DUMMYFUNCTION("IFERROR(INDEX(FILTER('製造效能'!G:G, '製造效能'!A:A=$C66, '製造效能'!D:D=M66, '製造效能'!E:E=""清洗""), 1), INDEX(FILTER('製造效能'!G:G, '製造效能'!B:B=$D66, '製造效能'!D:D=M66, '製造效能'!E:E=""清洗""), 1))"),30)</f>
        <v>30</v>
      </c>
      <c r="AB66" s="35" t="str">
        <f ca="1">IFERROR(__xludf.DUMMYFUNCTION("IFERROR(INDEX(FILTER('製造效能'!N:N, '製造效能'!$A:$A=$C66, '製造效能'!$D:$D=$M66, '製造效能'!$E:$E=""攪料""), 1), INDEX(FILTER('製造效能'!N:N, '製造效能'!$B:$B=$D66, '製造效能'!$D:$D=$M66, '製造效能'!$E:$E=""攪料""), 1))"),"")</f>
        <v/>
      </c>
      <c r="AC66" s="35">
        <f ca="1">IFERROR(__xludf.DUMMYFUNCTION("IFERROR(INDEX(FILTER('製造效能'!O:O, '製造效能'!$A:$A=$C66, '製造效能'!$D:$D=$M66, '製造效能'!$E:$E=""攪料""), 1), INDEX(FILTER('製造效能'!O:O, '製造效能'!$B:$B=$D66, '製造效能'!$D:$D=$M66, '製造效能'!$E:$E=""攪料""), 1))"),1)</f>
        <v>1</v>
      </c>
      <c r="AD66" s="35" t="str">
        <f ca="1">IFERROR(__xludf.DUMMYFUNCTION("IFERROR(INDEX(FILTER('製造效能'!P:P, '製造效能'!$A:$A=$C66, '製造效能'!$D:$D=$M66, '製造效能'!$E:$E=""攪料""), 1), INDEX(FILTER('製造效能'!P:P, '製造效能'!$B:$B=$D66, '製造效能'!$D:$D=$M66, '製造效能'!$E:$E=""攪料""), 1))"),"")</f>
        <v/>
      </c>
      <c r="AE66" s="35" t="str">
        <f ca="1">IFERROR(__xludf.DUMMYFUNCTION("IFERROR(INDEX(FILTER('製造效能'!Q:Q, '製造效能'!$A:$A=$C66, '製造效能'!$D:$D=$M66, '製造效能'!$E:$E=""攪料""), 1), INDEX(FILTER('製造效能'!Q:Q, '製造效能'!$B:$B=$D66, '製造效能'!$D:$D=$M66, '製造效能'!$E:$E=""攪料""), 1))"),"")</f>
        <v/>
      </c>
      <c r="AF66" s="35" t="str">
        <f ca="1">IFERROR(__xludf.DUMMYFUNCTION("IFERROR(INDEX(FILTER('製造效能'!R:R, '製造效能'!$A:$A=$C66, '製造效能'!$D:$D=$M66, '製造效能'!$E:$E=""攪料""), 1), INDEX(FILTER('製造效能'!R:R, '製造效能'!$B:$B=$D66, '製造效能'!$D:$D=$M66, '製造效能'!$E:$E=""攪料""), 1))"),"")</f>
        <v/>
      </c>
      <c r="AG66" s="35" t="str">
        <f ca="1">IFERROR(__xludf.DUMMYFUNCTION("IFERROR(INDEX(FILTER('製造效能'!S:S, '製造效能'!$A:$A=$C66, '製造效能'!$D:$D=$M66, '製造效能'!$E:$E=""攪料""), 1), INDEX(FILTER('製造效能'!S:S, '製造效能'!$B:$B=$D66, '製造效能'!$D:$D=$M66, '製造效能'!$E:$E=""攪料""), 1))"),"")</f>
        <v/>
      </c>
      <c r="AH66" s="35">
        <f ca="1">IFERROR(__xludf.DUMMYFUNCTION("IFERROR(INDEX(FILTER('製造效能'!T:T, '製造效能'!$A:$A=$C66, '製造效能'!$D:$D=$M66, '製造效能'!$E:$E=""攪料""), 1), INDEX(FILTER('製造效能'!T:T, '製造效能'!$B:$B=$D66, '製造效能'!$D:$D=$M66, '製造效能'!$E:$E=""攪料""), 1))"),1)</f>
        <v>1</v>
      </c>
      <c r="AI66" s="35" t="str">
        <f ca="1">IFERROR(__xludf.DUMMYFUNCTION("IFERROR(INDEX(FILTER('製造效能'!U:U, '製造效能'!$A:$A=$C66, '製造效能'!$D:$D=$M66, '製造效能'!$E:$E=""攪料""), 1), INDEX(FILTER('製造效能'!U:U, '製造效能'!$B:$B=$D66, '製造效能'!$D:$D=$M66, '製造效能'!$E:$E=""攪料""), 1))"),"")</f>
        <v/>
      </c>
      <c r="AJ66" s="35" t="str">
        <f ca="1">IFERROR(__xludf.DUMMYFUNCTION("IFERROR(INDEX(FILTER('製造效能'!V:V, '製造效能'!$A:$A=$C66, '製造效能'!$D:$D=$M66, '製造效能'!$E:$E=""攪料""), 1), INDEX(FILTER('製造效能'!V:V, '製造效能'!$B:$B=$D66, '製造效能'!$D:$D=$M66, '製造效能'!$E:$E=""攪料""), 1))"),"")</f>
        <v/>
      </c>
      <c r="AK66" s="35">
        <f>COUNTIF(充填效能!$A:$A, $C66)</f>
        <v>2</v>
      </c>
      <c r="AL66" s="36" t="str">
        <f ca="1">IFERROR(__xludf.DUMMYFUNCTION("IFERROR(INDEX(FILTER('充填效能'!$Q$2:$Q$1088, '充填效能'!$A$2:$A$1088=$C66, '充填效能'!$D$2:$D$1088=""排瓶""), 1), 0)"),"900")</f>
        <v>900</v>
      </c>
      <c r="AM66" s="36">
        <f ca="1">IFERROR(__xludf.DUMMYFUNCTION("IFERROR(INDEX(FILTER('充填效能'!$R$2:$R$1088, '充填效能'!$A$2:$A$1088=$C66, '充填效能'!$D$2:$D$1088=""排瓶""), 1), 0)"),1)</f>
        <v>1</v>
      </c>
      <c r="AN66" s="35">
        <f t="shared" ca="1" si="5"/>
        <v>2.7822222222222224</v>
      </c>
      <c r="AO66" s="36" t="str">
        <f ca="1">IFERROR(__xludf.DUMMYFUNCTION("IFERROR(INDEX(FILTER('充填效能'!$Q$2:$Q$1088, '充填效能'!$A$2:$A$1088=$C66, '充填效能'!$D$2:$D$1088=""充填""), 1), 0)"),"480")</f>
        <v>480</v>
      </c>
      <c r="AP66" s="36">
        <f ca="1">IFERROR(__xludf.DUMMYFUNCTION("IFERROR(INDEX(FILTER('充填效能'!$R$2:$R$1088, '充填效能'!$A$2:$A$1088=$C66, '充填效能'!$D$2:$D$1088=""充填""), 1), 0)"),4)</f>
        <v>4</v>
      </c>
      <c r="AQ66" s="35">
        <f t="shared" ca="1" si="6"/>
        <v>5.2166666666666668</v>
      </c>
      <c r="AR66" s="17">
        <f t="shared" ca="1" si="7"/>
        <v>20.866666666666667</v>
      </c>
    </row>
    <row r="67" spans="1:44" ht="15.75" customHeight="1">
      <c r="A67" s="9" t="s">
        <v>219</v>
      </c>
      <c r="B67" s="34">
        <f t="shared" si="0"/>
        <v>45077</v>
      </c>
      <c r="C67" s="9" t="s">
        <v>142</v>
      </c>
      <c r="D67" s="17" t="str">
        <f t="shared" si="1"/>
        <v>HC23P1</v>
      </c>
      <c r="E67" s="9" t="s">
        <v>143</v>
      </c>
      <c r="F67" s="9">
        <v>2500</v>
      </c>
      <c r="G67" s="10">
        <v>45106</v>
      </c>
      <c r="H67" s="10">
        <v>45093</v>
      </c>
      <c r="I67" s="10">
        <v>45068</v>
      </c>
      <c r="J67" s="10">
        <v>45058</v>
      </c>
      <c r="L67" s="17" t="str">
        <f ca="1">IFERROR(__xludf.DUMMYFUNCTION("TEXTJOIN("", "", TRUE, UNIQUE(FILTER('製造效能'!$D$2:$D$1732, '製造效能'!$B$2:$B$1732 = D67)))"),"大乳, 小乳")</f>
        <v>大乳, 小乳</v>
      </c>
      <c r="M67" s="17" t="str">
        <f ca="1">IFERROR(__xludf.DUMMYFUNCTION("INDEX(UNIQUE(FILTER('製造效能'!$D$2:$D$1732, ('製造效能'!$B$2:$B$1732 = D67) * ('製造效能'!$J$2:$J$1732 = MAXIFS('製造效能'!$J$2:$J$1732, '製造效能'!$B$2:$B$1732, D67)))), 1) 
"),"大乳")</f>
        <v>大乳</v>
      </c>
      <c r="N67" s="17" t="str">
        <f ca="1">IFERROR(__xludf.DUMMYFUNCTION("TEXTJOIN("", "", TRUE, UNIQUE(FILTER('製造效能'!$K$2:$K$1732, '製造效能'!$B$2:$B$1732 = D67)))"),"乳項")</f>
        <v>乳項</v>
      </c>
      <c r="P67" s="35" t="str">
        <f ca="1">IFERROR(__xludf.DUMMYFUNCTION("IFERROR(INDEX(FILTER('充填效能'!J$2:J$1088, '充填效能'!$A$2:$A$1088=$C67, '充填效能'!$D$2:$D$1088=""充填""), 1), 0)"),"")</f>
        <v/>
      </c>
      <c r="Q67" s="35" t="str">
        <f ca="1">IFERROR(__xludf.DUMMYFUNCTION("IFERROR(INDEX(FILTER('充填效能'!K$2:K$1088, '充填效能'!$A$2:$A$1088=$C67, '充填效能'!$D$2:$D$1088=""充填""), 1), 0)"),"")</f>
        <v/>
      </c>
      <c r="R67" s="35">
        <f ca="1">IFERROR(__xludf.DUMMYFUNCTION("IFERROR(INDEX(FILTER('充填效能'!I$2:I$1088, '充填效能'!$A$2:$A$1088=$C67, '充填效能'!$D$2:$D$1088=""充填""), 1), 0)"),175)</f>
        <v>175</v>
      </c>
      <c r="S67" s="35">
        <f ca="1">COUNTIFS(製造效能!B:B, $D67,製造效能!D:D,M67)</f>
        <v>3</v>
      </c>
      <c r="T67" s="36">
        <f ca="1">IFERROR(__xludf.DUMMYFUNCTION("VALUE(REGEXEXTRACT(TO_TEXT(R67), ""\d*\.?\d+""))"),175)</f>
        <v>175</v>
      </c>
      <c r="U67" s="17">
        <f t="shared" ca="1" si="2"/>
        <v>444062.49999999994</v>
      </c>
      <c r="V67" s="17">
        <f ca="1">IFERROR(__xludf.DUMMYFUNCTION("IFERROR(INDEX(FILTER('製造效能'!J:J, '製造效能'!A:A=$C67, '製造效能'!D:D=M67, '製造效能'!E:E=""攪料""), 1), INDEX(FILTER('製造效能'!J:J, '製造效能'!B:B=$D67, '製造效能'!D:D=M67, '製造效能'!E:E=""攪料""), 1))"),103)</f>
        <v>103</v>
      </c>
      <c r="W67" s="36">
        <f ca="1">IFERROR(__xludf.DUMMYFUNCTION("IFERROR(INDEX(FILTER('製造效能'!G:G, '製造效能'!A:A=$C67, '製造效能'!D:D=M67, '製造效能'!E:E=""攪料""), 1), INDEX(FILTER('製造效能'!G:G, '製造效能'!B:B=$D67, '製造效能'!D:D=M67, '製造效能'!E:E=""攪料""), 1))"),180)</f>
        <v>180</v>
      </c>
      <c r="X67" s="35">
        <f t="shared" ca="1" si="3"/>
        <v>5</v>
      </c>
      <c r="Y67" s="35">
        <f t="shared" ca="1" si="4"/>
        <v>900</v>
      </c>
      <c r="Z67" s="35">
        <f ca="1">IFERROR(__xludf.DUMMYFUNCTION("IFERROR(IFERROR(INDEX(FILTER('製造效能'!G:G, '製造效能'!A:A=$C67, '製造效能'!D:D=M67, '製造效能'!E:E=""預攪""), 1), INDEX(FILTER('製造效能'!G:G, '製造效能'!B:B=$D67, '製造效能'!D:D=M67, '製造效能'!E:E=""預攪""), 1)), 0)"),25)</f>
        <v>25</v>
      </c>
      <c r="AA67" s="35">
        <f ca="1">IFERROR(__xludf.DUMMYFUNCTION("IFERROR(INDEX(FILTER('製造效能'!G:G, '製造效能'!A:A=$C67, '製造效能'!D:D=M67, '製造效能'!E:E=""清洗""), 1), INDEX(FILTER('製造效能'!G:G, '製造效能'!B:B=$D67, '製造效能'!D:D=M67, '製造效能'!E:E=""清洗""), 1))"),30)</f>
        <v>30</v>
      </c>
      <c r="AB67" s="35" t="str">
        <f ca="1">IFERROR(__xludf.DUMMYFUNCTION("IFERROR(INDEX(FILTER('製造效能'!N:N, '製造效能'!$A:$A=$C67, '製造效能'!$D:$D=$M67, '製造效能'!$E:$E=""攪料""), 1), INDEX(FILTER('製造效能'!N:N, '製造效能'!$B:$B=$D67, '製造效能'!$D:$D=$M67, '製造效能'!$E:$E=""攪料""), 1))"),"")</f>
        <v/>
      </c>
      <c r="AC67" s="35" t="str">
        <f ca="1">IFERROR(__xludf.DUMMYFUNCTION("IFERROR(INDEX(FILTER('製造效能'!O:O, '製造效能'!$A:$A=$C67, '製造效能'!$D:$D=$M67, '製造效能'!$E:$E=""攪料""), 1), INDEX(FILTER('製造效能'!O:O, '製造效能'!$B:$B=$D67, '製造效能'!$D:$D=$M67, '製造效能'!$E:$E=""攪料""), 1))"),"")</f>
        <v/>
      </c>
      <c r="AD67" s="35" t="str">
        <f ca="1">IFERROR(__xludf.DUMMYFUNCTION("IFERROR(INDEX(FILTER('製造效能'!P:P, '製造效能'!$A:$A=$C67, '製造效能'!$D:$D=$M67, '製造效能'!$E:$E=""攪料""), 1), INDEX(FILTER('製造效能'!P:P, '製造效能'!$B:$B=$D67, '製造效能'!$D:$D=$M67, '製造效能'!$E:$E=""攪料""), 1))"),"")</f>
        <v/>
      </c>
      <c r="AE67" s="35">
        <f ca="1">IFERROR(__xludf.DUMMYFUNCTION("IFERROR(INDEX(FILTER('製造效能'!Q:Q, '製造效能'!$A:$A=$C67, '製造效能'!$D:$D=$M67, '製造效能'!$E:$E=""攪料""), 1), INDEX(FILTER('製造效能'!Q:Q, '製造效能'!$B:$B=$D67, '製造效能'!$D:$D=$M67, '製造效能'!$E:$E=""攪料""), 1))"),1)</f>
        <v>1</v>
      </c>
      <c r="AF67" s="35" t="str">
        <f ca="1">IFERROR(__xludf.DUMMYFUNCTION("IFERROR(INDEX(FILTER('製造效能'!R:R, '製造效能'!$A:$A=$C67, '製造效能'!$D:$D=$M67, '製造效能'!$E:$E=""攪料""), 1), INDEX(FILTER('製造效能'!R:R, '製造效能'!$B:$B=$D67, '製造效能'!$D:$D=$M67, '製造效能'!$E:$E=""攪料""), 1))"),"")</f>
        <v/>
      </c>
      <c r="AG67" s="35" t="str">
        <f ca="1">IFERROR(__xludf.DUMMYFUNCTION("IFERROR(INDEX(FILTER('製造效能'!S:S, '製造效能'!$A:$A=$C67, '製造效能'!$D:$D=$M67, '製造效能'!$E:$E=""攪料""), 1), INDEX(FILTER('製造效能'!S:S, '製造效能'!$B:$B=$D67, '製造效能'!$D:$D=$M67, '製造效能'!$E:$E=""攪料""), 1))"),"")</f>
        <v/>
      </c>
      <c r="AH67" s="35" t="str">
        <f ca="1">IFERROR(__xludf.DUMMYFUNCTION("IFERROR(INDEX(FILTER('製造效能'!T:T, '製造效能'!$A:$A=$C67, '製造效能'!$D:$D=$M67, '製造效能'!$E:$E=""攪料""), 1), INDEX(FILTER('製造效能'!T:T, '製造效能'!$B:$B=$D67, '製造效能'!$D:$D=$M67, '製造效能'!$E:$E=""攪料""), 1))"),"")</f>
        <v/>
      </c>
      <c r="AI67" s="35" t="str">
        <f ca="1">IFERROR(__xludf.DUMMYFUNCTION("IFERROR(INDEX(FILTER('製造效能'!U:U, '製造效能'!$A:$A=$C67, '製造效能'!$D:$D=$M67, '製造效能'!$E:$E=""攪料""), 1), INDEX(FILTER('製造效能'!U:U, '製造效能'!$B:$B=$D67, '製造效能'!$D:$D=$M67, '製造效能'!$E:$E=""攪料""), 1))"),"")</f>
        <v/>
      </c>
      <c r="AJ67" s="35" t="str">
        <f ca="1">IFERROR(__xludf.DUMMYFUNCTION("IFERROR(INDEX(FILTER('製造效能'!V:V, '製造效能'!$A:$A=$C67, '製造效能'!$D:$D=$M67, '製造效能'!$E:$E=""攪料""), 1), INDEX(FILTER('製造效能'!V:V, '製造效能'!$B:$B=$D67, '製造效能'!$D:$D=$M67, '製造效能'!$E:$E=""攪料""), 1))"),"")</f>
        <v/>
      </c>
      <c r="AK67" s="35">
        <f>COUNTIF(充填效能!$A:$A, $C67)</f>
        <v>2</v>
      </c>
      <c r="AL67" s="36" t="str">
        <f ca="1">IFERROR(__xludf.DUMMYFUNCTION("IFERROR(INDEX(FILTER('充填效能'!$Q$2:$Q$1088, '充填效能'!$A$2:$A$1088=$C67, '充填效能'!$D$2:$D$1088=""排瓶""), 1), 0)"),"800")</f>
        <v>800</v>
      </c>
      <c r="AM67" s="36">
        <f ca="1">IFERROR(__xludf.DUMMYFUNCTION("IFERROR(INDEX(FILTER('充填效能'!$R$2:$R$1088, '充填效能'!$A$2:$A$1088=$C67, '充填效能'!$D$2:$D$1088=""排瓶""), 1), 0)"),1)</f>
        <v>1</v>
      </c>
      <c r="AN67" s="35">
        <f t="shared" ca="1" si="5"/>
        <v>3.125</v>
      </c>
      <c r="AO67" s="36" t="str">
        <f ca="1">IFERROR(__xludf.DUMMYFUNCTION("IFERROR(INDEX(FILTER('充填效能'!$Q$2:$Q$1088, '充填效能'!$A$2:$A$1088=$C67, '充填效能'!$D$2:$D$1088=""充填""), 1), 0)"),"500")</f>
        <v>500</v>
      </c>
      <c r="AP67" s="36">
        <f ca="1">IFERROR(__xludf.DUMMYFUNCTION("IFERROR(INDEX(FILTER('充填效能'!$R$2:$R$1088, '充填效能'!$A$2:$A$1088=$C67, '充填效能'!$D$2:$D$1088=""充填""), 1), 0)"),3)</f>
        <v>3</v>
      </c>
      <c r="AQ67" s="35">
        <f t="shared" ca="1" si="6"/>
        <v>5</v>
      </c>
      <c r="AR67" s="17">
        <f t="shared" ca="1" si="7"/>
        <v>15</v>
      </c>
    </row>
    <row r="68" spans="1:44" ht="15.75" customHeight="1">
      <c r="A68" s="9" t="s">
        <v>222</v>
      </c>
      <c r="B68" s="34">
        <f t="shared" si="0"/>
        <v>45055</v>
      </c>
      <c r="C68" s="9" t="s">
        <v>217</v>
      </c>
      <c r="D68" s="17" t="str">
        <f t="shared" si="1"/>
        <v>HC22H1</v>
      </c>
      <c r="E68" s="9" t="s">
        <v>218</v>
      </c>
      <c r="F68" s="9">
        <v>2500</v>
      </c>
      <c r="G68" s="10">
        <v>45104</v>
      </c>
      <c r="H68" s="10">
        <v>45094</v>
      </c>
      <c r="I68" s="10">
        <v>45069</v>
      </c>
      <c r="J68" s="10">
        <v>45057</v>
      </c>
      <c r="L68" s="17" t="str">
        <f ca="1">IFERROR(__xludf.DUMMYFUNCTION("TEXTJOIN("", "", TRUE, UNIQUE(FILTER('製造效能'!$D$2:$D$1732, '製造效能'!$B$2:$B$1732 = D68)))"),"精")</f>
        <v>精</v>
      </c>
      <c r="M68" s="17" t="str">
        <f ca="1">IFERROR(__xludf.DUMMYFUNCTION("INDEX(UNIQUE(FILTER('製造效能'!$D$2:$D$1732, ('製造效能'!$B$2:$B$1732 = D68) * ('製造效能'!$J$2:$J$1732 = MAXIFS('製造效能'!$J$2:$J$1732, '製造效能'!$B$2:$B$1732, D68)))), 1) 
"),"精")</f>
        <v>精</v>
      </c>
      <c r="N68" s="17" t="str">
        <f ca="1">IFERROR(__xludf.DUMMYFUNCTION("TEXTJOIN("", "", TRUE, UNIQUE(FILTER('製造效能'!$K$2:$K$1732, '製造效能'!$B$2:$B$1732 = D68)))"),"水項")</f>
        <v>水項</v>
      </c>
      <c r="O68" s="35">
        <f ca="1">IFERROR(__xludf.DUMMYFUNCTION("IFERROR(INDEX(FILTER('充填效能'!I$2:I$1088, '充填效能'!$A$2:$A$1088=$C68, '充填效能'!$D$2:$D$1088=""充填""), 1), 0)"),51.5)</f>
        <v>51.5</v>
      </c>
      <c r="P68" s="35" t="str">
        <f ca="1">IFERROR(__xludf.DUMMYFUNCTION("IFERROR(INDEX(FILTER('充填效能'!J$2:J$1088, '充填效能'!$A$2:$A$1088=$C68, '充填效能'!$D$2:$D$1088=""充填""), 1), 0)"),"")</f>
        <v/>
      </c>
      <c r="Q68" s="35" t="str">
        <f ca="1">IFERROR(__xludf.DUMMYFUNCTION("IFERROR(INDEX(FILTER('充填效能'!K$2:K$1088, '充填效能'!$A$2:$A$1088=$C68, '充填效能'!$D$2:$D$1088=""充填""), 1), 0)"),"")</f>
        <v/>
      </c>
      <c r="R68" s="35" t="str">
        <f ca="1">IFERROR(__xludf.DUMMYFUNCTION("IFERROR(INDEX(FILTER('充填效能'!L$2:L$1088, '充填效能'!$A$2:$A$1088=$C68, '充填效能'!$D$2:$D$1088=""充填""), 1), 0)"),"")</f>
        <v/>
      </c>
      <c r="S68" s="35">
        <f ca="1">COUNTIFS(製造效能!B:B, $D68,製造效能!D:D,M68)</f>
        <v>3</v>
      </c>
      <c r="T68" s="36">
        <f ca="1">IFERROR(__xludf.DUMMYFUNCTION("VALUE(REGEXEXTRACT(TO_TEXT(O68), ""\d*\.?\d+""))"),51.5)</f>
        <v>51.5</v>
      </c>
      <c r="U68" s="17">
        <f t="shared" ca="1" si="2"/>
        <v>130681.24999999999</v>
      </c>
      <c r="V68" s="17">
        <f ca="1">IFERROR(__xludf.DUMMYFUNCTION("IFERROR(INDEX(FILTER('製造效能'!J:J, '製造效能'!A:A=$C68, '製造效能'!D:D=M68, '製造效能'!E:E=""攪料""), 1), INDEX(FILTER('製造效能'!J:J, '製造效能'!B:B=$D68, '製造效能'!D:D=M68, '製造效能'!E:E=""攪料""), 1))"),79.5)</f>
        <v>79.5</v>
      </c>
      <c r="W68" s="36">
        <f ca="1">IFERROR(__xludf.DUMMYFUNCTION("IFERROR(INDEX(FILTER('製造效能'!G:G, '製造效能'!A:A=$C68, '製造效能'!D:D=M68, '製造效能'!E:E=""攪料""), 1), INDEX(FILTER('製造效能'!G:G, '製造效能'!B:B=$D68, '製造效能'!D:D=M68, '製造效能'!E:E=""攪料""), 1))"),105)</f>
        <v>105</v>
      </c>
      <c r="X68" s="35">
        <f t="shared" ca="1" si="3"/>
        <v>2</v>
      </c>
      <c r="Y68" s="35">
        <f t="shared" ca="1" si="4"/>
        <v>210</v>
      </c>
      <c r="Z68" s="35">
        <f ca="1">IFERROR(__xludf.DUMMYFUNCTION("IFERROR(IFERROR(INDEX(FILTER('製造效能'!G:G, '製造效能'!A:A=$C68, '製造效能'!D:D=M68, '製造效能'!E:E=""預攪""), 1), INDEX(FILTER('製造效能'!G:G, '製造效能'!B:B=$D68, '製造效能'!D:D=M68, '製造效能'!E:E=""預攪""), 1)), 0)"),45)</f>
        <v>45</v>
      </c>
      <c r="AA68" s="35">
        <f ca="1">IFERROR(__xludf.DUMMYFUNCTION("IFERROR(INDEX(FILTER('製造效能'!G:G, '製造效能'!A:A=$C68, '製造效能'!D:D=M68, '製造效能'!E:E=""清洗""), 1), INDEX(FILTER('製造效能'!G:G, '製造效能'!B:B=$D68, '製造效能'!D:D=M68, '製造效能'!E:E=""清洗""), 1))"),20)</f>
        <v>20</v>
      </c>
      <c r="AB68" s="35" t="str">
        <f ca="1">IFERROR(__xludf.DUMMYFUNCTION("IFERROR(INDEX(FILTER('製造效能'!N:N, '製造效能'!$A:$A=$C68, '製造效能'!$D:$D=$M68, '製造效能'!$E:$E=""攪料""), 1), INDEX(FILTER('製造效能'!N:N, '製造效能'!$B:$B=$D68, '製造效能'!$D:$D=$M68, '製造效能'!$E:$E=""攪料""), 1))"),"")</f>
        <v/>
      </c>
      <c r="AC68" s="35">
        <f ca="1">IFERROR(__xludf.DUMMYFUNCTION("IFERROR(INDEX(FILTER('製造效能'!O:O, '製造效能'!$A:$A=$C68, '製造效能'!$D:$D=$M68, '製造效能'!$E:$E=""攪料""), 1), INDEX(FILTER('製造效能'!O:O, '製造效能'!$B:$B=$D68, '製造效能'!$D:$D=$M68, '製造效能'!$E:$E=""攪料""), 1))"),1)</f>
        <v>1</v>
      </c>
      <c r="AD68" s="35" t="str">
        <f ca="1">IFERROR(__xludf.DUMMYFUNCTION("IFERROR(INDEX(FILTER('製造效能'!P:P, '製造效能'!$A:$A=$C68, '製造效能'!$D:$D=$M68, '製造效能'!$E:$E=""攪料""), 1), INDEX(FILTER('製造效能'!P:P, '製造效能'!$B:$B=$D68, '製造效能'!$D:$D=$M68, '製造效能'!$E:$E=""攪料""), 1))"),"")</f>
        <v/>
      </c>
      <c r="AE68" s="35" t="str">
        <f ca="1">IFERROR(__xludf.DUMMYFUNCTION("IFERROR(INDEX(FILTER('製造效能'!Q:Q, '製造效能'!$A:$A=$C68, '製造效能'!$D:$D=$M68, '製造效能'!$E:$E=""攪料""), 1), INDEX(FILTER('製造效能'!Q:Q, '製造效能'!$B:$B=$D68, '製造效能'!$D:$D=$M68, '製造效能'!$E:$E=""攪料""), 1))"),"")</f>
        <v/>
      </c>
      <c r="AF68" s="35" t="str">
        <f ca="1">IFERROR(__xludf.DUMMYFUNCTION("IFERROR(INDEX(FILTER('製造效能'!R:R, '製造效能'!$A:$A=$C68, '製造效能'!$D:$D=$M68, '製造效能'!$E:$E=""攪料""), 1), INDEX(FILTER('製造效能'!R:R, '製造效能'!$B:$B=$D68, '製造效能'!$D:$D=$M68, '製造效能'!$E:$E=""攪料""), 1))"),"")</f>
        <v/>
      </c>
      <c r="AG68" s="35" t="str">
        <f ca="1">IFERROR(__xludf.DUMMYFUNCTION("IFERROR(INDEX(FILTER('製造效能'!S:S, '製造效能'!$A:$A=$C68, '製造效能'!$D:$D=$M68, '製造效能'!$E:$E=""攪料""), 1), INDEX(FILTER('製造效能'!S:S, '製造效能'!$B:$B=$D68, '製造效能'!$D:$D=$M68, '製造效能'!$E:$E=""攪料""), 1))"),"")</f>
        <v/>
      </c>
      <c r="AH68" s="35" t="str">
        <f ca="1">IFERROR(__xludf.DUMMYFUNCTION("IFERROR(INDEX(FILTER('製造效能'!T:T, '製造效能'!$A:$A=$C68, '製造效能'!$D:$D=$M68, '製造效能'!$E:$E=""攪料""), 1), INDEX(FILTER('製造效能'!T:T, '製造效能'!$B:$B=$D68, '製造效能'!$D:$D=$M68, '製造效能'!$E:$E=""攪料""), 1))"),"")</f>
        <v/>
      </c>
      <c r="AI68" s="35" t="str">
        <f ca="1">IFERROR(__xludf.DUMMYFUNCTION("IFERROR(INDEX(FILTER('製造效能'!U:U, '製造效能'!$A:$A=$C68, '製造效能'!$D:$D=$M68, '製造效能'!$E:$E=""攪料""), 1), INDEX(FILTER('製造效能'!U:U, '製造效能'!$B:$B=$D68, '製造效能'!$D:$D=$M68, '製造效能'!$E:$E=""攪料""), 1))"),"")</f>
        <v/>
      </c>
      <c r="AJ68" s="35" t="str">
        <f ca="1">IFERROR(__xludf.DUMMYFUNCTION("IFERROR(INDEX(FILTER('製造效能'!V:V, '製造效能'!$A:$A=$C68, '製造效能'!$D:$D=$M68, '製造效能'!$E:$E=""攪料""), 1), INDEX(FILTER('製造效能'!V:V, '製造效能'!$B:$B=$D68, '製造效能'!$D:$D=$M68, '製造效能'!$E:$E=""攪料""), 1))"),"")</f>
        <v/>
      </c>
      <c r="AK68" s="35">
        <f>COUNTIF(充填效能!$A:$A, $C68)</f>
        <v>1</v>
      </c>
      <c r="AL68" s="36">
        <f ca="1">IFERROR(__xludf.DUMMYFUNCTION("IFERROR(INDEX(FILTER('充填效能'!$Q$2:$Q$1088, '充填效能'!$A$2:$A$1088=$C68, '充填效能'!$D$2:$D$1088=""排瓶""), 1), 0)"),0)</f>
        <v>0</v>
      </c>
      <c r="AM68" s="36">
        <f ca="1">IFERROR(__xludf.DUMMYFUNCTION("IFERROR(INDEX(FILTER('充填效能'!$R$2:$R$1088, '充填效能'!$A$2:$A$1088=$C68, '充填效能'!$D$2:$D$1088=""排瓶""), 1), 0)"),0)</f>
        <v>0</v>
      </c>
      <c r="AN68" s="35">
        <f t="shared" ca="1" si="5"/>
        <v>0</v>
      </c>
      <c r="AO68" s="36" t="str">
        <f ca="1">IFERROR(__xludf.DUMMYFUNCTION("IFERROR(INDEX(FILTER('充填效能'!$Q$2:$Q$1088, '充填效能'!$A$2:$A$1088=$C68, '充填效能'!$D$2:$D$1088=""充填""), 1), 0)"),"700")</f>
        <v>700</v>
      </c>
      <c r="AP68" s="36">
        <f ca="1">IFERROR(__xludf.DUMMYFUNCTION("IFERROR(INDEX(FILTER('充填效能'!$R$2:$R$1088, '充填效能'!$A$2:$A$1088=$C68, '充填效能'!$D$2:$D$1088=""充填""), 1), 0)"),3)</f>
        <v>3</v>
      </c>
      <c r="AQ68" s="35">
        <f t="shared" ca="1" si="6"/>
        <v>3.5714285714285716</v>
      </c>
      <c r="AR68" s="17">
        <f t="shared" ca="1" si="7"/>
        <v>10.714285714285715</v>
      </c>
    </row>
    <row r="69" spans="1:44" ht="15.75" customHeight="1">
      <c r="A69" s="9" t="s">
        <v>223</v>
      </c>
      <c r="B69" s="34">
        <f t="shared" si="0"/>
        <v>45055</v>
      </c>
      <c r="C69" s="9" t="s">
        <v>250</v>
      </c>
      <c r="D69" s="17" t="str">
        <f t="shared" si="1"/>
        <v>EU21C1</v>
      </c>
      <c r="E69" s="9" t="s">
        <v>251</v>
      </c>
      <c r="F69" s="9">
        <v>10000</v>
      </c>
      <c r="G69" s="10">
        <v>45110</v>
      </c>
      <c r="H69" s="10">
        <v>45096</v>
      </c>
      <c r="I69" s="10">
        <v>45071</v>
      </c>
      <c r="J69" s="10">
        <v>45056</v>
      </c>
      <c r="K69" s="9" t="s">
        <v>405</v>
      </c>
      <c r="L69" s="17" t="str">
        <f ca="1">IFERROR(__xludf.DUMMYFUNCTION("TEXTJOIN("", "", TRUE, UNIQUE(FILTER('製造效能'!$D$2:$D$1732, '製造效能'!$B$2:$B$1732 = D69)))"),"大, 小乳")</f>
        <v>大, 小乳</v>
      </c>
      <c r="M69" s="17" t="str">
        <f ca="1">IFERROR(__xludf.DUMMYFUNCTION("INDEX(UNIQUE(FILTER('製造效能'!$D$2:$D$1732, ('製造效能'!$B$2:$B$1732 = D69) * ('製造效能'!$J$2:$J$1732 = MAXIFS('製造效能'!$J$2:$J$1732, '製造效能'!$B$2:$B$1732, D69)))), 1) 
"),"大")</f>
        <v>大</v>
      </c>
      <c r="N69" s="17" t="str">
        <f ca="1">IFERROR(__xludf.DUMMYFUNCTION("TEXTJOIN("", "", TRUE, UNIQUE(FILTER('製造效能'!$K$2:$K$1732, '製造效能'!$B$2:$B$1732 = D69)))"),"水項, 乳項")</f>
        <v>水項, 乳項</v>
      </c>
      <c r="O69" s="35">
        <v>96.6</v>
      </c>
      <c r="P69" s="35" t="str">
        <f ca="1">IFERROR(__xludf.DUMMYFUNCTION("IFERROR(INDEX(FILTER('充填效能'!J$2:J$1088, '充填效能'!$A$2:$A$1088=$C69, '充填效能'!$D$2:$D$1088=""充填""), 1), 0)"),"")</f>
        <v/>
      </c>
      <c r="Q69" s="35" t="str">
        <f ca="1">IFERROR(__xludf.DUMMYFUNCTION("IFERROR(INDEX(FILTER('充填效能'!K$2:K$1088, '充填效能'!$A$2:$A$1088=$C69, '充填效能'!$D$2:$D$1088=""充填""), 1), 0)"),"")</f>
        <v/>
      </c>
      <c r="R69" s="35">
        <f ca="1">IFERROR(__xludf.DUMMYFUNCTION("IFERROR(INDEX(FILTER('充填效能'!L$2:L$1088, '充填效能'!$A$2:$A$1088=$C69, '充填效能'!$D$2:$D$1088=""充填""), 1), 0)"),23.4)</f>
        <v>23.4</v>
      </c>
      <c r="S69" s="35">
        <f ca="1">COUNTIFS(製造效能!B:B, $D69,製造效能!D:D,M69)</f>
        <v>6</v>
      </c>
      <c r="T69" s="36">
        <f ca="1">IFERROR(__xludf.DUMMYFUNCTION("VALUE(REGEXEXTRACT(TO_TEXT(O69), ""\d*\.?\d+""))"),96.6)</f>
        <v>96.6</v>
      </c>
      <c r="U69" s="17">
        <f t="shared" ca="1" si="2"/>
        <v>980489.99999999988</v>
      </c>
      <c r="V69" s="17">
        <f ca="1">IFERROR(__xludf.DUMMYFUNCTION("IFERROR(INDEX(FILTER('製造效能'!J:J, '製造效能'!A:A=$C69, '製造效能'!D:D=M69, '製造效能'!E:E=""攪料""), 1), INDEX(FILTER('製造效能'!J:J, '製造效能'!B:B=$D69, '製造效能'!D:D=M69, '製造效能'!E:E=""攪料""), 1))"),400)</f>
        <v>400</v>
      </c>
      <c r="W69" s="36">
        <f ca="1">IFERROR(__xludf.DUMMYFUNCTION("IFERROR(INDEX(FILTER('製造效能'!G:G, '製造效能'!A:A=$C69, '製造效能'!D:D=M69, '製造效能'!E:E=""攪料""), 1), INDEX(FILTER('製造效能'!G:G, '製造效能'!B:B=$D69, '製造效能'!D:D=M69, '製造效能'!E:E=""攪料""), 1))"),70)</f>
        <v>70</v>
      </c>
      <c r="X69" s="35">
        <f t="shared" ca="1" si="3"/>
        <v>3</v>
      </c>
      <c r="Y69" s="35">
        <f t="shared" ca="1" si="4"/>
        <v>210</v>
      </c>
      <c r="Z69" s="35">
        <f ca="1">IFERROR(__xludf.DUMMYFUNCTION("IFERROR(IFERROR(INDEX(FILTER('製造效能'!G:G, '製造效能'!A:A=$C69, '製造效能'!D:D=M69, '製造效能'!E:E=""預攪""), 1), INDEX(FILTER('製造效能'!G:G, '製造效能'!B:B=$D69, '製造效能'!D:D=M69, '製造效能'!E:E=""預攪""), 1)), 0)"),70)</f>
        <v>70</v>
      </c>
      <c r="AA69" s="35">
        <f ca="1">IFERROR(__xludf.DUMMYFUNCTION("IFERROR(INDEX(FILTER('製造效能'!G:G, '製造效能'!A:A=$C69, '製造效能'!D:D=M69, '製造效能'!E:E=""清洗""), 1), INDEX(FILTER('製造效能'!G:G, '製造效能'!B:B=$D69, '製造效能'!D:D=M69, '製造效能'!E:E=""清洗""), 1))"),30)</f>
        <v>30</v>
      </c>
      <c r="AB69" s="35" t="str">
        <f ca="1">IFERROR(__xludf.DUMMYFUNCTION("IFERROR(INDEX(FILTER('製造效能'!N:N, '製造效能'!$A:$A=$C69, '製造效能'!$D:$D=$M69, '製造效能'!$E:$E=""攪料""), 1), INDEX(FILTER('製造效能'!N:N, '製造效能'!$B:$B=$D69, '製造效能'!$D:$D=$M69, '製造效能'!$E:$E=""攪料""), 1))"),"")</f>
        <v/>
      </c>
      <c r="AC69" s="35" t="str">
        <f ca="1">IFERROR(__xludf.DUMMYFUNCTION("IFERROR(INDEX(FILTER('製造效能'!O:O, '製造效能'!$A:$A=$C69, '製造效能'!$D:$D=$M69, '製造效能'!$E:$E=""攪料""), 1), INDEX(FILTER('製造效能'!O:O, '製造效能'!$B:$B=$D69, '製造效能'!$D:$D=$M69, '製造效能'!$E:$E=""攪料""), 1))"),"")</f>
        <v/>
      </c>
      <c r="AD69" s="35" t="str">
        <f ca="1">IFERROR(__xludf.DUMMYFUNCTION("IFERROR(INDEX(FILTER('製造效能'!P:P, '製造效能'!$A:$A=$C69, '製造效能'!$D:$D=$M69, '製造效能'!$E:$E=""攪料""), 1), INDEX(FILTER('製造效能'!P:P, '製造效能'!$B:$B=$D69, '製造效能'!$D:$D=$M69, '製造效能'!$E:$E=""攪料""), 1))"),"")</f>
        <v/>
      </c>
      <c r="AE69" s="35" t="str">
        <f ca="1">IFERROR(__xludf.DUMMYFUNCTION("IFERROR(INDEX(FILTER('製造效能'!Q:Q, '製造效能'!$A:$A=$C69, '製造效能'!$D:$D=$M69, '製造效能'!$E:$E=""攪料""), 1), INDEX(FILTER('製造效能'!Q:Q, '製造效能'!$B:$B=$D69, '製造效能'!$D:$D=$M69, '製造效能'!$E:$E=""攪料""), 1))"),"")</f>
        <v/>
      </c>
      <c r="AF69" s="35" t="str">
        <f ca="1">IFERROR(__xludf.DUMMYFUNCTION("IFERROR(INDEX(FILTER('製造效能'!R:R, '製造效能'!$A:$A=$C69, '製造效能'!$D:$D=$M69, '製造效能'!$E:$E=""攪料""), 1), INDEX(FILTER('製造效能'!R:R, '製造效能'!$B:$B=$D69, '製造效能'!$D:$D=$M69, '製造效能'!$E:$E=""攪料""), 1))"),"")</f>
        <v/>
      </c>
      <c r="AG69" s="35">
        <f ca="1">IFERROR(__xludf.DUMMYFUNCTION("IFERROR(INDEX(FILTER('製造效能'!S:S, '製造效能'!$A:$A=$C69, '製造效能'!$D:$D=$M69, '製造效能'!$E:$E=""攪料""), 1), INDEX(FILTER('製造效能'!S:S, '製造效能'!$B:$B=$D69, '製造效能'!$D:$D=$M69, '製造效能'!$E:$E=""攪料""), 1))"),1)</f>
        <v>1</v>
      </c>
      <c r="AH69" s="35" t="str">
        <f ca="1">IFERROR(__xludf.DUMMYFUNCTION("IFERROR(INDEX(FILTER('製造效能'!T:T, '製造效能'!$A:$A=$C69, '製造效能'!$D:$D=$M69, '製造效能'!$E:$E=""攪料""), 1), INDEX(FILTER('製造效能'!T:T, '製造效能'!$B:$B=$D69, '製造效能'!$D:$D=$M69, '製造效能'!$E:$E=""攪料""), 1))"),"")</f>
        <v/>
      </c>
      <c r="AI69" s="35" t="str">
        <f ca="1">IFERROR(__xludf.DUMMYFUNCTION("IFERROR(INDEX(FILTER('製造效能'!U:U, '製造效能'!$A:$A=$C69, '製造效能'!$D:$D=$M69, '製造效能'!$E:$E=""攪料""), 1), INDEX(FILTER('製造效能'!U:U, '製造效能'!$B:$B=$D69, '製造效能'!$D:$D=$M69, '製造效能'!$E:$E=""攪料""), 1))"),"")</f>
        <v/>
      </c>
      <c r="AJ69" s="35" t="str">
        <f ca="1">IFERROR(__xludf.DUMMYFUNCTION("IFERROR(INDEX(FILTER('製造效能'!V:V, '製造效能'!$A:$A=$C69, '製造效能'!$D:$D=$M69, '製造效能'!$E:$E=""攪料""), 1), INDEX(FILTER('製造效能'!V:V, '製造效能'!$B:$B=$D69, '製造效能'!$D:$D=$M69, '製造效能'!$E:$E=""攪料""), 1))"),"")</f>
        <v/>
      </c>
      <c r="AK69" s="35">
        <f>COUNTIF(充填效能!$A:$A, $C69)</f>
        <v>2</v>
      </c>
      <c r="AL69" s="36" t="str">
        <f ca="1">IFERROR(__xludf.DUMMYFUNCTION("IFERROR(INDEX(FILTER('充填效能'!$Q$2:$Q$1088, '充填效能'!$A$2:$A$1088=$C69, '充填效能'!$D$2:$D$1088=""排瓶""), 1), 0)"),"650")</f>
        <v>650</v>
      </c>
      <c r="AM69" s="36">
        <f ca="1">IFERROR(__xludf.DUMMYFUNCTION("IFERROR(INDEX(FILTER('充填效能'!$R$2:$R$1088, '充填效能'!$A$2:$A$1088=$C69, '充填效能'!$D$2:$D$1088=""排瓶""), 1), 0)"),1)</f>
        <v>1</v>
      </c>
      <c r="AN69" s="35">
        <f t="shared" ca="1" si="5"/>
        <v>15.384615384615385</v>
      </c>
      <c r="AO69" s="36" t="str">
        <f ca="1">IFERROR(__xludf.DUMMYFUNCTION("IFERROR(INDEX(FILTER('充填效能'!$Q$2:$Q$1088, '充填效能'!$A$2:$A$1088=$C69, '充填效能'!$D$2:$D$1088=""充填""), 1), 0)"),"500")</f>
        <v>500</v>
      </c>
      <c r="AP69" s="36">
        <f ca="1">IFERROR(__xludf.DUMMYFUNCTION("IFERROR(INDEX(FILTER('充填效能'!$R$2:$R$1088, '充填效能'!$A$2:$A$1088=$C69, '充填效能'!$D$2:$D$1088=""充填""), 1), 0)"),4)</f>
        <v>4</v>
      </c>
      <c r="AQ69" s="35">
        <f t="shared" ca="1" si="6"/>
        <v>20</v>
      </c>
      <c r="AR69" s="17">
        <f t="shared" ca="1" si="7"/>
        <v>80</v>
      </c>
    </row>
    <row r="70" spans="1:44" ht="15.75" customHeight="1">
      <c r="A70" s="9" t="s">
        <v>179</v>
      </c>
      <c r="B70" s="34">
        <f t="shared" si="0"/>
        <v>44904</v>
      </c>
      <c r="C70" s="9" t="s">
        <v>35</v>
      </c>
      <c r="D70" s="17" t="str">
        <f t="shared" si="1"/>
        <v>DD20D1</v>
      </c>
      <c r="E70" s="9" t="s">
        <v>36</v>
      </c>
      <c r="F70" s="9">
        <v>70</v>
      </c>
      <c r="G70" s="10">
        <v>45105</v>
      </c>
      <c r="H70" s="10">
        <v>45097</v>
      </c>
      <c r="I70" s="10">
        <v>45070</v>
      </c>
      <c r="J70" s="10">
        <v>45086</v>
      </c>
      <c r="L70" s="17" t="str">
        <f ca="1">IFERROR(__xludf.DUMMYFUNCTION("TEXTJOIN("", "", TRUE, UNIQUE(FILTER('製造效能'!$D$2:$D$1732, '製造效能'!$B$2:$B$1732 = D70)))"),"精")</f>
        <v>精</v>
      </c>
      <c r="M70" s="17" t="str">
        <f ca="1">IFERROR(__xludf.DUMMYFUNCTION("INDEX(UNIQUE(FILTER('製造效能'!$D$2:$D$1732, ('製造效能'!$B$2:$B$1732 = D70) * ('製造效能'!$J$2:$J$1732 = MAXIFS('製造效能'!$J$2:$J$1732, '製造效能'!$B$2:$B$1732, D70)))), 1) 
"),"精")</f>
        <v>精</v>
      </c>
      <c r="N70" s="17" t="str">
        <f ca="1">IFERROR(__xludf.DUMMYFUNCTION("TEXTJOIN("", "", TRUE, UNIQUE(FILTER('製造效能'!$K$2:$K$1732, '製造效能'!$B$2:$B$1732 = D70)))"),"水項")</f>
        <v>水項</v>
      </c>
      <c r="O70" s="35">
        <f ca="1">IFERROR(__xludf.DUMMYFUNCTION("IFERROR(INDEX(FILTER('充填效能'!I$2:I$1088, '充填效能'!$A$2:$A$1088=$C70, '充填效能'!$D$2:$D$1088=""充填""), 1), 0)"),99.1)</f>
        <v>99.1</v>
      </c>
      <c r="P70" s="35" t="str">
        <f ca="1">IFERROR(__xludf.DUMMYFUNCTION("IFERROR(INDEX(FILTER('充填效能'!J$2:J$1088, '充填效能'!$A$2:$A$1088=$C70, '充填效能'!$D$2:$D$1088=""充填""), 1), 0)"),"")</f>
        <v/>
      </c>
      <c r="Q70" s="35" t="str">
        <f ca="1">IFERROR(__xludf.DUMMYFUNCTION("IFERROR(INDEX(FILTER('充填效能'!K$2:K$1088, '充填效能'!$A$2:$A$1088=$C70, '充填效能'!$D$2:$D$1088=""充填""), 1), 0)"),"")</f>
        <v/>
      </c>
      <c r="R70" s="35" t="str">
        <f ca="1">IFERROR(__xludf.DUMMYFUNCTION("IFERROR(INDEX(FILTER('充填效能'!L$2:L$1088, '充填效能'!$A$2:$A$1088=$C70, '充填效能'!$D$2:$D$1088=""充填""), 1), 0)"),"")</f>
        <v/>
      </c>
      <c r="S70" s="35">
        <f ca="1">COUNTIFS(製造效能!B:B, $D70,製造效能!D:D,M70)</f>
        <v>3</v>
      </c>
      <c r="T70" s="36">
        <f ca="1">IFERROR(__xludf.DUMMYFUNCTION("VALUE(REGEXEXTRACT(TO_TEXT(O70), ""\d*\.?\d+""))"),99.1)</f>
        <v>99.1</v>
      </c>
      <c r="U70" s="17">
        <f t="shared" ca="1" si="2"/>
        <v>7041.0549999999994</v>
      </c>
      <c r="V70" s="17">
        <f ca="1">IFERROR(__xludf.DUMMYFUNCTION("IFERROR(INDEX(FILTER('製造效能'!J:J, '製造效能'!A:A=$C70, '製造效能'!D:D=M70, '製造效能'!E:E=""攪料""), 1), INDEX(FILTER('製造效能'!J:J, '製造效能'!B:B=$D70, '製造效能'!D:D=M70, '製造效能'!E:E=""攪料""), 1))"),18)</f>
        <v>18</v>
      </c>
      <c r="W70" s="36">
        <f ca="1">IFERROR(__xludf.DUMMYFUNCTION("IFERROR(INDEX(FILTER('製造效能'!G:G, '製造效能'!A:A=$C70, '製造效能'!D:D=M70, '製造效能'!E:E=""攪料""), 1), INDEX(FILTER('製造效能'!G:G, '製造效能'!B:B=$D70, '製造效能'!D:D=M70, '製造效能'!E:E=""攪料""), 1))"),65)</f>
        <v>65</v>
      </c>
      <c r="X70" s="35">
        <f t="shared" ca="1" si="3"/>
        <v>1</v>
      </c>
      <c r="Y70" s="35">
        <f t="shared" ca="1" si="4"/>
        <v>65</v>
      </c>
      <c r="Z70" s="35">
        <f ca="1">IFERROR(__xludf.DUMMYFUNCTION("IFERROR(IFERROR(INDEX(FILTER('製造效能'!G:G, '製造效能'!A:A=$C70, '製造效能'!D:D=M70, '製造效能'!E:E=""預攪""), 1), INDEX(FILTER('製造效能'!G:G, '製造效能'!B:B=$D70, '製造效能'!D:D=M70, '製造效能'!E:E=""預攪""), 1)), 0)"),65)</f>
        <v>65</v>
      </c>
      <c r="AA70" s="35">
        <f ca="1">IFERROR(__xludf.DUMMYFUNCTION("IFERROR(INDEX(FILTER('製造效能'!G:G, '製造效能'!A:A=$C70, '製造效能'!D:D=M70, '製造效能'!E:E=""清洗""), 1), INDEX(FILTER('製造效能'!G:G, '製造效能'!B:B=$D70, '製造效能'!D:D=M70, '製造效能'!E:E=""清洗""), 1))"),20)</f>
        <v>20</v>
      </c>
      <c r="AB70" s="35" t="str">
        <f ca="1">IFERROR(__xludf.DUMMYFUNCTION("IFERROR(INDEX(FILTER('製造效能'!N:N, '製造效能'!$A:$A=$C70, '製造效能'!$D:$D=$M70, '製造效能'!$E:$E=""攪料""), 1), INDEX(FILTER('製造效能'!N:N, '製造效能'!$B:$B=$D70, '製造效能'!$D:$D=$M70, '製造效能'!$E:$E=""攪料""), 1))"),"")</f>
        <v/>
      </c>
      <c r="AC70" s="35" t="str">
        <f ca="1">IFERROR(__xludf.DUMMYFUNCTION("IFERROR(INDEX(FILTER('製造效能'!O:O, '製造效能'!$A:$A=$C70, '製造效能'!$D:$D=$M70, '製造效能'!$E:$E=""攪料""), 1), INDEX(FILTER('製造效能'!O:O, '製造效能'!$B:$B=$D70, '製造效能'!$D:$D=$M70, '製造效能'!$E:$E=""攪料""), 1))"),"")</f>
        <v/>
      </c>
      <c r="AD70" s="35" t="str">
        <f ca="1">IFERROR(__xludf.DUMMYFUNCTION("IFERROR(INDEX(FILTER('製造效能'!P:P, '製造效能'!$A:$A=$C70, '製造效能'!$D:$D=$M70, '製造效能'!$E:$E=""攪料""), 1), INDEX(FILTER('製造效能'!P:P, '製造效能'!$B:$B=$D70, '製造效能'!$D:$D=$M70, '製造效能'!$E:$E=""攪料""), 1))"),"")</f>
        <v/>
      </c>
      <c r="AE70" s="35" t="str">
        <f ca="1">IFERROR(__xludf.DUMMYFUNCTION("IFERROR(INDEX(FILTER('製造效能'!Q:Q, '製造效能'!$A:$A=$C70, '製造效能'!$D:$D=$M70, '製造效能'!$E:$E=""攪料""), 1), INDEX(FILTER('製造效能'!Q:Q, '製造效能'!$B:$B=$D70, '製造效能'!$D:$D=$M70, '製造效能'!$E:$E=""攪料""), 1))"),"")</f>
        <v/>
      </c>
      <c r="AF70" s="35" t="str">
        <f ca="1">IFERROR(__xludf.DUMMYFUNCTION("IFERROR(INDEX(FILTER('製造效能'!R:R, '製造效能'!$A:$A=$C70, '製造效能'!$D:$D=$M70, '製造效能'!$E:$E=""攪料""), 1), INDEX(FILTER('製造效能'!R:R, '製造效能'!$B:$B=$D70, '製造效能'!$D:$D=$M70, '製造效能'!$E:$E=""攪料""), 1))"),"")</f>
        <v/>
      </c>
      <c r="AG70" s="35" t="str">
        <f ca="1">IFERROR(__xludf.DUMMYFUNCTION("IFERROR(INDEX(FILTER('製造效能'!S:S, '製造效能'!$A:$A=$C70, '製造效能'!$D:$D=$M70, '製造效能'!$E:$E=""攪料""), 1), INDEX(FILTER('製造效能'!S:S, '製造效能'!$B:$B=$D70, '製造效能'!$D:$D=$M70, '製造效能'!$E:$E=""攪料""), 1))"),"")</f>
        <v/>
      </c>
      <c r="AH70" s="35" t="str">
        <f ca="1">IFERROR(__xludf.DUMMYFUNCTION("IFERROR(INDEX(FILTER('製造效能'!T:T, '製造效能'!$A:$A=$C70, '製造效能'!$D:$D=$M70, '製造效能'!$E:$E=""攪料""), 1), INDEX(FILTER('製造效能'!T:T, '製造效能'!$B:$B=$D70, '製造效能'!$D:$D=$M70, '製造效能'!$E:$E=""攪料""), 1))"),"")</f>
        <v/>
      </c>
      <c r="AI70" s="35" t="str">
        <f ca="1">IFERROR(__xludf.DUMMYFUNCTION("IFERROR(INDEX(FILTER('製造效能'!U:U, '製造效能'!$A:$A=$C70, '製造效能'!$D:$D=$M70, '製造效能'!$E:$E=""攪料""), 1), INDEX(FILTER('製造效能'!U:U, '製造效能'!$B:$B=$D70, '製造效能'!$D:$D=$M70, '製造效能'!$E:$E=""攪料""), 1))"),"")</f>
        <v/>
      </c>
      <c r="AJ70" s="35" t="str">
        <f ca="1">IFERROR(__xludf.DUMMYFUNCTION("IFERROR(INDEX(FILTER('製造效能'!V:V, '製造效能'!$A:$A=$C70, '製造效能'!$D:$D=$M70, '製造效能'!$E:$E=""攪料""), 1), INDEX(FILTER('製造效能'!V:V, '製造效能'!$B:$B=$D70, '製造效能'!$D:$D=$M70, '製造效能'!$E:$E=""攪料""), 1))"),"")</f>
        <v/>
      </c>
      <c r="AK70" s="35">
        <f>COUNTIF(充填效能!$A:$A, $C70)</f>
        <v>2</v>
      </c>
      <c r="AL70" s="36" t="str">
        <f ca="1">IFERROR(__xludf.DUMMYFUNCTION("IFERROR(INDEX(FILTER('充填效能'!$Q$2:$Q$1088, '充填效能'!$A$2:$A$1088=$C70, '充填效能'!$D$2:$D$1088=""排瓶""), 1), 0)"),"1000")</f>
        <v>1000</v>
      </c>
      <c r="AM70" s="36">
        <f ca="1">IFERROR(__xludf.DUMMYFUNCTION("IFERROR(INDEX(FILTER('充填效能'!$R$2:$R$1088, '充填效能'!$A$2:$A$1088=$C70, '充填效能'!$D$2:$D$1088=""排瓶""), 1), 0)"),1)</f>
        <v>1</v>
      </c>
      <c r="AN70" s="35">
        <f t="shared" ca="1" si="5"/>
        <v>7.0000000000000007E-2</v>
      </c>
      <c r="AO70" s="36" t="str">
        <f ca="1">IFERROR(__xludf.DUMMYFUNCTION("IFERROR(INDEX(FILTER('充填效能'!$Q$2:$Q$1088, '充填效能'!$A$2:$A$1088=$C70, '充填效能'!$D$2:$D$1088=""充填""), 1), 0)"),"390")</f>
        <v>390</v>
      </c>
      <c r="AP70" s="36">
        <f ca="1">IFERROR(__xludf.DUMMYFUNCTION("IFERROR(INDEX(FILTER('充填效能'!$R$2:$R$1088, '充填效能'!$A$2:$A$1088=$C70, '充填效能'!$D$2:$D$1088=""充填""), 1), 0)"),4)</f>
        <v>4</v>
      </c>
      <c r="AQ70" s="35">
        <f t="shared" ca="1" si="6"/>
        <v>0.17948717948717949</v>
      </c>
      <c r="AR70" s="17">
        <f t="shared" ca="1" si="7"/>
        <v>0.71794871794871795</v>
      </c>
    </row>
    <row r="71" spans="1:44" ht="15.75" customHeight="1">
      <c r="A71" s="9" t="s">
        <v>180</v>
      </c>
      <c r="B71" s="34">
        <f t="shared" si="0"/>
        <v>44904</v>
      </c>
      <c r="C71" s="9" t="s">
        <v>35</v>
      </c>
      <c r="D71" s="17" t="str">
        <f t="shared" si="1"/>
        <v>DD20D1</v>
      </c>
      <c r="E71" s="9" t="s">
        <v>36</v>
      </c>
      <c r="F71" s="9">
        <v>40</v>
      </c>
      <c r="G71" s="10">
        <v>45105</v>
      </c>
      <c r="H71" s="10">
        <v>45097</v>
      </c>
      <c r="I71" s="10">
        <v>45063</v>
      </c>
      <c r="J71" s="10">
        <v>45055</v>
      </c>
      <c r="L71" s="17" t="str">
        <f ca="1">IFERROR(__xludf.DUMMYFUNCTION("TEXTJOIN("", "", TRUE, UNIQUE(FILTER('製造效能'!$D$2:$D$1732, '製造效能'!$B$2:$B$1732 = D71)))"),"精")</f>
        <v>精</v>
      </c>
      <c r="M71" s="17" t="str">
        <f ca="1">IFERROR(__xludf.DUMMYFUNCTION("INDEX(UNIQUE(FILTER('製造效能'!$D$2:$D$1732, ('製造效能'!$B$2:$B$1732 = D71) * ('製造效能'!$J$2:$J$1732 = MAXIFS('製造效能'!$J$2:$J$1732, '製造效能'!$B$2:$B$1732, D71)))), 1) 
"),"精")</f>
        <v>精</v>
      </c>
      <c r="N71" s="17" t="str">
        <f ca="1">IFERROR(__xludf.DUMMYFUNCTION("TEXTJOIN("", "", TRUE, UNIQUE(FILTER('製造效能'!$K$2:$K$1732, '製造效能'!$B$2:$B$1732 = D71)))"),"水項")</f>
        <v>水項</v>
      </c>
      <c r="O71" s="35">
        <f ca="1">IFERROR(__xludf.DUMMYFUNCTION("IFERROR(INDEX(FILTER('充填效能'!I$2:I$1088, '充填效能'!$A$2:$A$1088=$C71, '充填效能'!$D$2:$D$1088=""充填""), 1), 0)"),99.1)</f>
        <v>99.1</v>
      </c>
      <c r="P71" s="35" t="str">
        <f ca="1">IFERROR(__xludf.DUMMYFUNCTION("IFERROR(INDEX(FILTER('充填效能'!J$2:J$1088, '充填效能'!$A$2:$A$1088=$C71, '充填效能'!$D$2:$D$1088=""充填""), 1), 0)"),"")</f>
        <v/>
      </c>
      <c r="Q71" s="35" t="str">
        <f ca="1">IFERROR(__xludf.DUMMYFUNCTION("IFERROR(INDEX(FILTER('充填效能'!K$2:K$1088, '充填效能'!$A$2:$A$1088=$C71, '充填效能'!$D$2:$D$1088=""充填""), 1), 0)"),"")</f>
        <v/>
      </c>
      <c r="R71" s="35" t="str">
        <f ca="1">IFERROR(__xludf.DUMMYFUNCTION("IFERROR(INDEX(FILTER('充填效能'!L$2:L$1088, '充填效能'!$A$2:$A$1088=$C71, '充填效能'!$D$2:$D$1088=""充填""), 1), 0)"),"")</f>
        <v/>
      </c>
      <c r="S71" s="35">
        <f ca="1">COUNTIFS(製造效能!B:B, $D71,製造效能!D:D,M71)</f>
        <v>3</v>
      </c>
      <c r="T71" s="36">
        <f ca="1">IFERROR(__xludf.DUMMYFUNCTION("VALUE(REGEXEXTRACT(TO_TEXT(O71), ""\d*\.?\d+""))"),99.1)</f>
        <v>99.1</v>
      </c>
      <c r="U71" s="17">
        <f t="shared" ca="1" si="2"/>
        <v>4023.4599999999996</v>
      </c>
      <c r="V71" s="17">
        <f ca="1">IFERROR(__xludf.DUMMYFUNCTION("IFERROR(INDEX(FILTER('製造效能'!J:J, '製造效能'!A:A=$C71, '製造效能'!D:D=M71, '製造效能'!E:E=""攪料""), 1), INDEX(FILTER('製造效能'!J:J, '製造效能'!B:B=$D71, '製造效能'!D:D=M71, '製造效能'!E:E=""攪料""), 1))"),18)</f>
        <v>18</v>
      </c>
      <c r="W71" s="36">
        <f ca="1">IFERROR(__xludf.DUMMYFUNCTION("IFERROR(INDEX(FILTER('製造效能'!G:G, '製造效能'!A:A=$C71, '製造效能'!D:D=M71, '製造效能'!E:E=""攪料""), 1), INDEX(FILTER('製造效能'!G:G, '製造效能'!B:B=$D71, '製造效能'!D:D=M71, '製造效能'!E:E=""攪料""), 1))"),65)</f>
        <v>65</v>
      </c>
      <c r="X71" s="35">
        <f t="shared" ca="1" si="3"/>
        <v>1</v>
      </c>
      <c r="Y71" s="35">
        <f t="shared" ca="1" si="4"/>
        <v>65</v>
      </c>
      <c r="Z71" s="35">
        <f ca="1">IFERROR(__xludf.DUMMYFUNCTION("IFERROR(IFERROR(INDEX(FILTER('製造效能'!G:G, '製造效能'!A:A=$C71, '製造效能'!D:D=M71, '製造效能'!E:E=""預攪""), 1), INDEX(FILTER('製造效能'!G:G, '製造效能'!B:B=$D71, '製造效能'!D:D=M71, '製造效能'!E:E=""預攪""), 1)), 0)"),65)</f>
        <v>65</v>
      </c>
      <c r="AA71" s="35">
        <f ca="1">IFERROR(__xludf.DUMMYFUNCTION("IFERROR(INDEX(FILTER('製造效能'!G:G, '製造效能'!A:A=$C71, '製造效能'!D:D=M71, '製造效能'!E:E=""清洗""), 1), INDEX(FILTER('製造效能'!G:G, '製造效能'!B:B=$D71, '製造效能'!D:D=M71, '製造效能'!E:E=""清洗""), 1))"),20)</f>
        <v>20</v>
      </c>
      <c r="AB71" s="35" t="str">
        <f ca="1">IFERROR(__xludf.DUMMYFUNCTION("IFERROR(INDEX(FILTER('製造效能'!N:N, '製造效能'!$A:$A=$C71, '製造效能'!$D:$D=$M71, '製造效能'!$E:$E=""攪料""), 1), INDEX(FILTER('製造效能'!N:N, '製造效能'!$B:$B=$D71, '製造效能'!$D:$D=$M71, '製造效能'!$E:$E=""攪料""), 1))"),"")</f>
        <v/>
      </c>
      <c r="AC71" s="35" t="str">
        <f ca="1">IFERROR(__xludf.DUMMYFUNCTION("IFERROR(INDEX(FILTER('製造效能'!O:O, '製造效能'!$A:$A=$C71, '製造效能'!$D:$D=$M71, '製造效能'!$E:$E=""攪料""), 1), INDEX(FILTER('製造效能'!O:O, '製造效能'!$B:$B=$D71, '製造效能'!$D:$D=$M71, '製造效能'!$E:$E=""攪料""), 1))"),"")</f>
        <v/>
      </c>
      <c r="AD71" s="35" t="str">
        <f ca="1">IFERROR(__xludf.DUMMYFUNCTION("IFERROR(INDEX(FILTER('製造效能'!P:P, '製造效能'!$A:$A=$C71, '製造效能'!$D:$D=$M71, '製造效能'!$E:$E=""攪料""), 1), INDEX(FILTER('製造效能'!P:P, '製造效能'!$B:$B=$D71, '製造效能'!$D:$D=$M71, '製造效能'!$E:$E=""攪料""), 1))"),"")</f>
        <v/>
      </c>
      <c r="AE71" s="35" t="str">
        <f ca="1">IFERROR(__xludf.DUMMYFUNCTION("IFERROR(INDEX(FILTER('製造效能'!Q:Q, '製造效能'!$A:$A=$C71, '製造效能'!$D:$D=$M71, '製造效能'!$E:$E=""攪料""), 1), INDEX(FILTER('製造效能'!Q:Q, '製造效能'!$B:$B=$D71, '製造效能'!$D:$D=$M71, '製造效能'!$E:$E=""攪料""), 1))"),"")</f>
        <v/>
      </c>
      <c r="AF71" s="35" t="str">
        <f ca="1">IFERROR(__xludf.DUMMYFUNCTION("IFERROR(INDEX(FILTER('製造效能'!R:R, '製造效能'!$A:$A=$C71, '製造效能'!$D:$D=$M71, '製造效能'!$E:$E=""攪料""), 1), INDEX(FILTER('製造效能'!R:R, '製造效能'!$B:$B=$D71, '製造效能'!$D:$D=$M71, '製造效能'!$E:$E=""攪料""), 1))"),"")</f>
        <v/>
      </c>
      <c r="AG71" s="35" t="str">
        <f ca="1">IFERROR(__xludf.DUMMYFUNCTION("IFERROR(INDEX(FILTER('製造效能'!S:S, '製造效能'!$A:$A=$C71, '製造效能'!$D:$D=$M71, '製造效能'!$E:$E=""攪料""), 1), INDEX(FILTER('製造效能'!S:S, '製造效能'!$B:$B=$D71, '製造效能'!$D:$D=$M71, '製造效能'!$E:$E=""攪料""), 1))"),"")</f>
        <v/>
      </c>
      <c r="AH71" s="35" t="str">
        <f ca="1">IFERROR(__xludf.DUMMYFUNCTION("IFERROR(INDEX(FILTER('製造效能'!T:T, '製造效能'!$A:$A=$C71, '製造效能'!$D:$D=$M71, '製造效能'!$E:$E=""攪料""), 1), INDEX(FILTER('製造效能'!T:T, '製造效能'!$B:$B=$D71, '製造效能'!$D:$D=$M71, '製造效能'!$E:$E=""攪料""), 1))"),"")</f>
        <v/>
      </c>
      <c r="AI71" s="35" t="str">
        <f ca="1">IFERROR(__xludf.DUMMYFUNCTION("IFERROR(INDEX(FILTER('製造效能'!U:U, '製造效能'!$A:$A=$C71, '製造效能'!$D:$D=$M71, '製造效能'!$E:$E=""攪料""), 1), INDEX(FILTER('製造效能'!U:U, '製造效能'!$B:$B=$D71, '製造效能'!$D:$D=$M71, '製造效能'!$E:$E=""攪料""), 1))"),"")</f>
        <v/>
      </c>
      <c r="AJ71" s="35" t="str">
        <f ca="1">IFERROR(__xludf.DUMMYFUNCTION("IFERROR(INDEX(FILTER('製造效能'!V:V, '製造效能'!$A:$A=$C71, '製造效能'!$D:$D=$M71, '製造效能'!$E:$E=""攪料""), 1), INDEX(FILTER('製造效能'!V:V, '製造效能'!$B:$B=$D71, '製造效能'!$D:$D=$M71, '製造效能'!$E:$E=""攪料""), 1))"),"")</f>
        <v/>
      </c>
      <c r="AK71" s="35">
        <f>COUNTIF(充填效能!$A:$A, $C71)</f>
        <v>2</v>
      </c>
      <c r="AL71" s="36" t="str">
        <f ca="1">IFERROR(__xludf.DUMMYFUNCTION("IFERROR(INDEX(FILTER('充填效能'!$Q$2:$Q$1088, '充填效能'!$A$2:$A$1088=$C71, '充填效能'!$D$2:$D$1088=""排瓶""), 1), 0)"),"1000")</f>
        <v>1000</v>
      </c>
      <c r="AM71" s="36">
        <f ca="1">IFERROR(__xludf.DUMMYFUNCTION("IFERROR(INDEX(FILTER('充填效能'!$R$2:$R$1088, '充填效能'!$A$2:$A$1088=$C71, '充填效能'!$D$2:$D$1088=""排瓶""), 1), 0)"),1)</f>
        <v>1</v>
      </c>
      <c r="AN71" s="35">
        <f t="shared" ca="1" si="5"/>
        <v>0.04</v>
      </c>
      <c r="AO71" s="36" t="str">
        <f ca="1">IFERROR(__xludf.DUMMYFUNCTION("IFERROR(INDEX(FILTER('充填效能'!$Q$2:$Q$1088, '充填效能'!$A$2:$A$1088=$C71, '充填效能'!$D$2:$D$1088=""充填""), 1), 0)"),"390")</f>
        <v>390</v>
      </c>
      <c r="AP71" s="36">
        <f ca="1">IFERROR(__xludf.DUMMYFUNCTION("IFERROR(INDEX(FILTER('充填效能'!$R$2:$R$1088, '充填效能'!$A$2:$A$1088=$C71, '充填效能'!$D$2:$D$1088=""充填""), 1), 0)"),4)</f>
        <v>4</v>
      </c>
      <c r="AQ71" s="35">
        <f t="shared" ca="1" si="6"/>
        <v>0.10256410256410256</v>
      </c>
      <c r="AR71" s="17">
        <f t="shared" ca="1" si="7"/>
        <v>0.41025641025641024</v>
      </c>
    </row>
    <row r="72" spans="1:44" ht="15.75" customHeight="1">
      <c r="A72" s="9" t="s">
        <v>189</v>
      </c>
      <c r="B72" s="34">
        <f t="shared" si="0"/>
        <v>44904</v>
      </c>
      <c r="C72" s="9" t="s">
        <v>241</v>
      </c>
      <c r="D72" s="17" t="str">
        <f t="shared" si="1"/>
        <v>DC23D2</v>
      </c>
      <c r="E72" s="9" t="s">
        <v>242</v>
      </c>
      <c r="F72" s="9">
        <v>1000</v>
      </c>
      <c r="G72" s="10">
        <v>45117</v>
      </c>
      <c r="H72" s="10">
        <v>45097</v>
      </c>
      <c r="I72" s="10">
        <v>45050</v>
      </c>
      <c r="J72" s="10">
        <v>45086</v>
      </c>
      <c r="L72" s="17" t="str">
        <f ca="1">IFERROR(__xludf.DUMMYFUNCTION("TEXTJOIN("", "", TRUE, UNIQUE(FILTER('製造效能'!$D$2:$D$1732, '製造效能'!$B$2:$B$1732 = D72)))"),"精")</f>
        <v>精</v>
      </c>
      <c r="M72" s="17" t="str">
        <f ca="1">IFERROR(__xludf.DUMMYFUNCTION("INDEX(UNIQUE(FILTER('製造效能'!$D$2:$D$1732, ('製造效能'!$B$2:$B$1732 = D72) * ('製造效能'!$J$2:$J$1732 = MAXIFS('製造效能'!$J$2:$J$1732, '製造效能'!$B$2:$B$1732, D72)))), 1) 
"),"精")</f>
        <v>精</v>
      </c>
      <c r="N72" s="17" t="str">
        <f ca="1">IFERROR(__xludf.DUMMYFUNCTION("TEXTJOIN("", "", TRUE, UNIQUE(FILTER('製造效能'!$K$2:$K$1732, '製造效能'!$B$2:$B$1732 = D72)))"),"水項")</f>
        <v>水項</v>
      </c>
      <c r="O72" s="35">
        <f ca="1">IFERROR(__xludf.DUMMYFUNCTION("IFERROR(INDEX(FILTER('充填效能'!I$2:I$1088, '充填效能'!$A$2:$A$1088=$C72, '充填效能'!$D$2:$D$1088=""充填""), 1), 0)"),44.5)</f>
        <v>44.5</v>
      </c>
      <c r="P72" s="35" t="str">
        <f ca="1">IFERROR(__xludf.DUMMYFUNCTION("IFERROR(INDEX(FILTER('充填效能'!J$2:J$1088, '充填效能'!$A$2:$A$1088=$C72, '充填效能'!$D$2:$D$1088=""充填""), 1), 0)"),"")</f>
        <v/>
      </c>
      <c r="Q72" s="35" t="str">
        <f ca="1">IFERROR(__xludf.DUMMYFUNCTION("IFERROR(INDEX(FILTER('充填效能'!K$2:K$1088, '充填效能'!$A$2:$A$1088=$C72, '充填效能'!$D$2:$D$1088=""充填""), 1), 0)"),"")</f>
        <v/>
      </c>
      <c r="R72" s="35" t="str">
        <f ca="1">IFERROR(__xludf.DUMMYFUNCTION("IFERROR(INDEX(FILTER('充填效能'!L$2:L$1088, '充填效能'!$A$2:$A$1088=$C72, '充填效能'!$D$2:$D$1088=""充填""), 1), 0)"),"")</f>
        <v/>
      </c>
      <c r="S72" s="35">
        <f ca="1">COUNTIFS(製造效能!B:B, $D72,製造效能!D:D,M72)</f>
        <v>2</v>
      </c>
      <c r="T72" s="36">
        <f ca="1">IFERROR(__xludf.DUMMYFUNCTION("VALUE(REGEXEXTRACT(TO_TEXT(O72), ""\d*\.?\d+""))"),44.5)</f>
        <v>44.5</v>
      </c>
      <c r="U72" s="17">
        <f t="shared" ca="1" si="2"/>
        <v>45167.499999999993</v>
      </c>
      <c r="V72" s="17">
        <f ca="1">IFERROR(__xludf.DUMMYFUNCTION("IFERROR(INDEX(FILTER('製造效能'!J:J, '製造效能'!A:A=$C72, '製造效能'!D:D=M72, '製造效能'!E:E=""攪料""), 1), INDEX(FILTER('製造效能'!J:J, '製造效能'!B:B=$D72, '製造效能'!D:D=M72, '製造效能'!E:E=""攪料""), 1))"),48)</f>
        <v>48</v>
      </c>
      <c r="W72" s="36">
        <f ca="1">IFERROR(__xludf.DUMMYFUNCTION("IFERROR(INDEX(FILTER('製造效能'!G:G, '製造效能'!A:A=$C72, '製造效能'!D:D=M72, '製造效能'!E:E=""攪料""), 1), INDEX(FILTER('製造效能'!G:G, '製造效能'!B:B=$D72, '製造效能'!D:D=M72, '製造效能'!E:E=""攪料""), 1))"),30)</f>
        <v>30</v>
      </c>
      <c r="X72" s="35">
        <f t="shared" ca="1" si="3"/>
        <v>1</v>
      </c>
      <c r="Y72" s="35">
        <f t="shared" ca="1" si="4"/>
        <v>30</v>
      </c>
      <c r="Z72" s="35">
        <f ca="1">IFERROR(__xludf.DUMMYFUNCTION("IFERROR(IFERROR(INDEX(FILTER('製造效能'!G:G, '製造效能'!A:A=$C72, '製造效能'!D:D=M72, '製造效能'!E:E=""預攪""), 1), INDEX(FILTER('製造效能'!G:G, '製造效能'!B:B=$D72, '製造效能'!D:D=M72, '製造效能'!E:E=""預攪""), 1)), 0)"),0)</f>
        <v>0</v>
      </c>
      <c r="AA72" s="35">
        <f ca="1">IFERROR(__xludf.DUMMYFUNCTION("IFERROR(INDEX(FILTER('製造效能'!G:G, '製造效能'!A:A=$C72, '製造效能'!D:D=M72, '製造效能'!E:E=""清洗""), 1), INDEX(FILTER('製造效能'!G:G, '製造效能'!B:B=$D72, '製造效能'!D:D=M72, '製造效能'!E:E=""清洗""), 1))"),15)</f>
        <v>15</v>
      </c>
      <c r="AB72" s="35" t="str">
        <f ca="1">IFERROR(__xludf.DUMMYFUNCTION("IFERROR(INDEX(FILTER('製造效能'!N:N, '製造效能'!$A:$A=$C72, '製造效能'!$D:$D=$M72, '製造效能'!$E:$E=""攪料""), 1), INDEX(FILTER('製造效能'!N:N, '製造效能'!$B:$B=$D72, '製造效能'!$D:$D=$M72, '製造效能'!$E:$E=""攪料""), 1))"),"")</f>
        <v/>
      </c>
      <c r="AC72" s="35">
        <f ca="1">IFERROR(__xludf.DUMMYFUNCTION("IFERROR(INDEX(FILTER('製造效能'!O:O, '製造效能'!$A:$A=$C72, '製造效能'!$D:$D=$M72, '製造效能'!$E:$E=""攪料""), 1), INDEX(FILTER('製造效能'!O:O, '製造效能'!$B:$B=$D72, '製造效能'!$D:$D=$M72, '製造效能'!$E:$E=""攪料""), 1))"),1)</f>
        <v>1</v>
      </c>
      <c r="AD72" s="35" t="str">
        <f ca="1">IFERROR(__xludf.DUMMYFUNCTION("IFERROR(INDEX(FILTER('製造效能'!P:P, '製造效能'!$A:$A=$C72, '製造效能'!$D:$D=$M72, '製造效能'!$E:$E=""攪料""), 1), INDEX(FILTER('製造效能'!P:P, '製造效能'!$B:$B=$D72, '製造效能'!$D:$D=$M72, '製造效能'!$E:$E=""攪料""), 1))"),"")</f>
        <v/>
      </c>
      <c r="AE72" s="35" t="str">
        <f ca="1">IFERROR(__xludf.DUMMYFUNCTION("IFERROR(INDEX(FILTER('製造效能'!Q:Q, '製造效能'!$A:$A=$C72, '製造效能'!$D:$D=$M72, '製造效能'!$E:$E=""攪料""), 1), INDEX(FILTER('製造效能'!Q:Q, '製造效能'!$B:$B=$D72, '製造效能'!$D:$D=$M72, '製造效能'!$E:$E=""攪料""), 1))"),"")</f>
        <v/>
      </c>
      <c r="AF72" s="35" t="str">
        <f ca="1">IFERROR(__xludf.DUMMYFUNCTION("IFERROR(INDEX(FILTER('製造效能'!R:R, '製造效能'!$A:$A=$C72, '製造效能'!$D:$D=$M72, '製造效能'!$E:$E=""攪料""), 1), INDEX(FILTER('製造效能'!R:R, '製造效能'!$B:$B=$D72, '製造效能'!$D:$D=$M72, '製造效能'!$E:$E=""攪料""), 1))"),"")</f>
        <v/>
      </c>
      <c r="AG72" s="35" t="str">
        <f ca="1">IFERROR(__xludf.DUMMYFUNCTION("IFERROR(INDEX(FILTER('製造效能'!S:S, '製造效能'!$A:$A=$C72, '製造效能'!$D:$D=$M72, '製造效能'!$E:$E=""攪料""), 1), INDEX(FILTER('製造效能'!S:S, '製造效能'!$B:$B=$D72, '製造效能'!$D:$D=$M72, '製造效能'!$E:$E=""攪料""), 1))"),"")</f>
        <v/>
      </c>
      <c r="AH72" s="35" t="str">
        <f ca="1">IFERROR(__xludf.DUMMYFUNCTION("IFERROR(INDEX(FILTER('製造效能'!T:T, '製造效能'!$A:$A=$C72, '製造效能'!$D:$D=$M72, '製造效能'!$E:$E=""攪料""), 1), INDEX(FILTER('製造效能'!T:T, '製造效能'!$B:$B=$D72, '製造效能'!$D:$D=$M72, '製造效能'!$E:$E=""攪料""), 1))"),"")</f>
        <v/>
      </c>
      <c r="AI72" s="35" t="str">
        <f ca="1">IFERROR(__xludf.DUMMYFUNCTION("IFERROR(INDEX(FILTER('製造效能'!U:U, '製造效能'!$A:$A=$C72, '製造效能'!$D:$D=$M72, '製造效能'!$E:$E=""攪料""), 1), INDEX(FILTER('製造效能'!U:U, '製造效能'!$B:$B=$D72, '製造效能'!$D:$D=$M72, '製造效能'!$E:$E=""攪料""), 1))"),"")</f>
        <v/>
      </c>
      <c r="AJ72" s="35" t="str">
        <f ca="1">IFERROR(__xludf.DUMMYFUNCTION("IFERROR(INDEX(FILTER('製造效能'!V:V, '製造效能'!$A:$A=$C72, '製造效能'!$D:$D=$M72, '製造效能'!$E:$E=""攪料""), 1), INDEX(FILTER('製造效能'!V:V, '製造效能'!$B:$B=$D72, '製造效能'!$D:$D=$M72, '製造效能'!$E:$E=""攪料""), 1))"),"")</f>
        <v/>
      </c>
      <c r="AK72" s="35">
        <f>COUNTIF(充填效能!$A:$A, $C72)</f>
        <v>2</v>
      </c>
      <c r="AL72" s="36" t="str">
        <f ca="1">IFERROR(__xludf.DUMMYFUNCTION("IFERROR(INDEX(FILTER('充填效能'!$Q$2:$Q$1088, '充填效能'!$A$2:$A$1088=$C72, '充填效能'!$D$2:$D$1088=""排瓶""), 1), 0)"),"700")</f>
        <v>700</v>
      </c>
      <c r="AM72" s="36">
        <f ca="1">IFERROR(__xludf.DUMMYFUNCTION("IFERROR(INDEX(FILTER('充填效能'!$R$2:$R$1088, '充填效能'!$A$2:$A$1088=$C72, '充填效能'!$D$2:$D$1088=""排瓶""), 1), 0)"),1)</f>
        <v>1</v>
      </c>
      <c r="AN72" s="35">
        <f t="shared" ca="1" si="5"/>
        <v>1.4285714285714286</v>
      </c>
      <c r="AO72" s="36" t="str">
        <f ca="1">IFERROR(__xludf.DUMMYFUNCTION("IFERROR(INDEX(FILTER('充填效能'!$Q$2:$Q$1088, '充填效能'!$A$2:$A$1088=$C72, '充填效能'!$D$2:$D$1088=""充填""), 1), 0)"),"700")</f>
        <v>700</v>
      </c>
      <c r="AP72" s="36">
        <f ca="1">IFERROR(__xludf.DUMMYFUNCTION("IFERROR(INDEX(FILTER('充填效能'!$R$2:$R$1088, '充填效能'!$A$2:$A$1088=$C72, '充填效能'!$D$2:$D$1088=""充填""), 1), 0)"),4)</f>
        <v>4</v>
      </c>
      <c r="AQ72" s="35">
        <f t="shared" ca="1" si="6"/>
        <v>1.4285714285714286</v>
      </c>
      <c r="AR72" s="17">
        <f t="shared" ca="1" si="7"/>
        <v>5.7142857142857144</v>
      </c>
    </row>
    <row r="73" spans="1:44" ht="15.75" customHeight="1">
      <c r="A73" s="9" t="s">
        <v>249</v>
      </c>
      <c r="B73" s="34">
        <f t="shared" si="0"/>
        <v>45056</v>
      </c>
      <c r="C73" s="9" t="s">
        <v>237</v>
      </c>
      <c r="D73" s="17" t="str">
        <f t="shared" si="1"/>
        <v>N1CAD1</v>
      </c>
      <c r="E73" s="9" t="s">
        <v>238</v>
      </c>
      <c r="F73" s="9">
        <v>30000</v>
      </c>
      <c r="G73" s="10">
        <v>45124</v>
      </c>
      <c r="H73" s="10">
        <v>45098</v>
      </c>
      <c r="I73" s="10">
        <v>44990</v>
      </c>
      <c r="J73" s="10">
        <v>44904</v>
      </c>
      <c r="K73" s="17" t="s">
        <v>410</v>
      </c>
      <c r="L73" s="17" t="str">
        <f ca="1">IFERROR(__xludf.DUMMYFUNCTION("TEXTJOIN("", "", TRUE, UNIQUE(FILTER('製造效能'!$D$2:$D$1732, '製造效能'!$B$2:$B$1732 = D73)))"),"精, 大")</f>
        <v>精, 大</v>
      </c>
      <c r="M73" s="17" t="str">
        <f ca="1">IFERROR(__xludf.DUMMYFUNCTION("INDEX(UNIQUE(FILTER('製造效能'!$D$2:$D$1732, ('製造效能'!$B$2:$B$1732 = D73) * ('製造效能'!$J$2:$J$1732 = MAXIFS('製造效能'!$J$2:$J$1732, '製造效能'!$B$2:$B$1732, D73)))), 1) 
"),"大")</f>
        <v>大</v>
      </c>
      <c r="N73" s="17" t="str">
        <f ca="1">IFERROR(__xludf.DUMMYFUNCTION("TEXTJOIN("", "", TRUE, UNIQUE(FILTER('製造效能'!$K$2:$K$1732, '製造效能'!$B$2:$B$1732 = D73)))"),"水項")</f>
        <v>水項</v>
      </c>
      <c r="O73" s="35">
        <v>60.4</v>
      </c>
      <c r="P73" s="35" t="str">
        <f ca="1">IFERROR(__xludf.DUMMYFUNCTION("IFERROR(INDEX(FILTER('充填效能'!J$2:J$1088, '充填效能'!$A$2:$A$1088=$C73, '充填效能'!$D$2:$D$1088=""充填""), 1), 0)"),"")</f>
        <v/>
      </c>
      <c r="Q73" s="35" t="str">
        <f ca="1">IFERROR(__xludf.DUMMYFUNCTION("IFERROR(INDEX(FILTER('充填效能'!K$2:K$1088, '充填效能'!$A$2:$A$1088=$C73, '充填效能'!$D$2:$D$1088=""充填""), 1), 0)"),"")</f>
        <v/>
      </c>
      <c r="R73" s="35" t="str">
        <f ca="1">IFERROR(__xludf.DUMMYFUNCTION("IFERROR(INDEX(FILTER('充填效能'!L$2:L$1088, '充填效能'!$A$2:$A$1088=$C73, '充填效能'!$D$2:$D$1088=""充填""), 1), 0)"),"")</f>
        <v/>
      </c>
      <c r="S73" s="35">
        <f ca="1">COUNTIFS(製造效能!B:B, $D73,製造效能!D:D,M73)</f>
        <v>3</v>
      </c>
      <c r="T73" s="36">
        <f ca="1">IFERROR(__xludf.DUMMYFUNCTION("VALUE(REGEXEXTRACT(TO_TEXT(O73), ""\d*\.?\d+""))"),60.4)</f>
        <v>60.4</v>
      </c>
      <c r="U73" s="17">
        <f t="shared" ca="1" si="2"/>
        <v>1839179.9999999998</v>
      </c>
      <c r="V73" s="17">
        <f ca="1">IFERROR(__xludf.DUMMYFUNCTION("IFERROR(INDEX(FILTER('製造效能'!J:J, '製造效能'!A:A=$C73, '製造效能'!D:D=M73, '製造效能'!E:E=""攪料""), 1), INDEX(FILTER('製造效能'!J:J, '製造效能'!B:B=$D73, '製造效能'!D:D=M73, '製造效能'!E:E=""攪料""), 1))"),213)</f>
        <v>213</v>
      </c>
      <c r="W73" s="36">
        <f ca="1">IFERROR(__xludf.DUMMYFUNCTION("IFERROR(INDEX(FILTER('製造效能'!G:G, '製造效能'!A:A=$C73, '製造效能'!D:D=M73, '製造效能'!E:E=""攪料""), 1), INDEX(FILTER('製造效能'!G:G, '製造效能'!B:B=$D73, '製造效能'!D:D=M73, '製造效能'!E:E=""攪料""), 1))"),90)</f>
        <v>90</v>
      </c>
      <c r="X73" s="35">
        <f t="shared" ca="1" si="3"/>
        <v>9</v>
      </c>
      <c r="Y73" s="35">
        <f t="shared" ca="1" si="4"/>
        <v>810</v>
      </c>
      <c r="Z73" s="35">
        <f ca="1">IFERROR(__xludf.DUMMYFUNCTION("IFERROR(IFERROR(INDEX(FILTER('製造效能'!G:G, '製造效能'!A:A=$C73, '製造效能'!D:D=M73, '製造效能'!E:E=""預攪""), 1), INDEX(FILTER('製造效能'!G:G, '製造效能'!B:B=$D73, '製造效能'!D:D=M73, '製造效能'!E:E=""預攪""), 1)), 0)"),90)</f>
        <v>90</v>
      </c>
      <c r="AA73" s="35">
        <f ca="1">IFERROR(__xludf.DUMMYFUNCTION("IFERROR(INDEX(FILTER('製造效能'!G:G, '製造效能'!A:A=$C73, '製造效能'!D:D=M73, '製造效能'!E:E=""清洗""), 1), INDEX(FILTER('製造效能'!G:G, '製造效能'!B:B=$D73, '製造效能'!D:D=M73, '製造效能'!E:E=""清洗""), 1))"),30)</f>
        <v>30</v>
      </c>
      <c r="AB73" s="35" t="str">
        <f ca="1">IFERROR(__xludf.DUMMYFUNCTION("IFERROR(INDEX(FILTER('製造效能'!N:N, '製造效能'!$A:$A=$C73, '製造效能'!$D:$D=$M73, '製造效能'!$E:$E=""攪料""), 1), INDEX(FILTER('製造效能'!N:N, '製造效能'!$B:$B=$D73, '製造效能'!$D:$D=$M73, '製造效能'!$E:$E=""攪料""), 1))"),"")</f>
        <v/>
      </c>
      <c r="AC73" s="35">
        <f ca="1">IFERROR(__xludf.DUMMYFUNCTION("IFERROR(INDEX(FILTER('製造效能'!O:O, '製造效能'!$A:$A=$C73, '製造效能'!$D:$D=$M73, '製造效能'!$E:$E=""攪料""), 1), INDEX(FILTER('製造效能'!O:O, '製造效能'!$B:$B=$D73, '製造效能'!$D:$D=$M73, '製造效能'!$E:$E=""攪料""), 1))"),1)</f>
        <v>1</v>
      </c>
      <c r="AD73" s="35" t="str">
        <f ca="1">IFERROR(__xludf.DUMMYFUNCTION("IFERROR(INDEX(FILTER('製造效能'!P:P, '製造效能'!$A:$A=$C73, '製造效能'!$D:$D=$M73, '製造效能'!$E:$E=""攪料""), 1), INDEX(FILTER('製造效能'!P:P, '製造效能'!$B:$B=$D73, '製造效能'!$D:$D=$M73, '製造效能'!$E:$E=""攪料""), 1))"),"")</f>
        <v/>
      </c>
      <c r="AE73" s="35" t="str">
        <f ca="1">IFERROR(__xludf.DUMMYFUNCTION("IFERROR(INDEX(FILTER('製造效能'!Q:Q, '製造效能'!$A:$A=$C73, '製造效能'!$D:$D=$M73, '製造效能'!$E:$E=""攪料""), 1), INDEX(FILTER('製造效能'!Q:Q, '製造效能'!$B:$B=$D73, '製造效能'!$D:$D=$M73, '製造效能'!$E:$E=""攪料""), 1))"),"")</f>
        <v/>
      </c>
      <c r="AF73" s="35" t="str">
        <f ca="1">IFERROR(__xludf.DUMMYFUNCTION("IFERROR(INDEX(FILTER('製造效能'!R:R, '製造效能'!$A:$A=$C73, '製造效能'!$D:$D=$M73, '製造效能'!$E:$E=""攪料""), 1), INDEX(FILTER('製造效能'!R:R, '製造效能'!$B:$B=$D73, '製造效能'!$D:$D=$M73, '製造效能'!$E:$E=""攪料""), 1))"),"")</f>
        <v/>
      </c>
      <c r="AG73" s="35">
        <f ca="1">IFERROR(__xludf.DUMMYFUNCTION("IFERROR(INDEX(FILTER('製造效能'!S:S, '製造效能'!$A:$A=$C73, '製造效能'!$D:$D=$M73, '製造效能'!$E:$E=""攪料""), 1), INDEX(FILTER('製造效能'!S:S, '製造效能'!$B:$B=$D73, '製造效能'!$D:$D=$M73, '製造效能'!$E:$E=""攪料""), 1))"),1)</f>
        <v>1</v>
      </c>
      <c r="AH73" s="35" t="str">
        <f ca="1">IFERROR(__xludf.DUMMYFUNCTION("IFERROR(INDEX(FILTER('製造效能'!T:T, '製造效能'!$A:$A=$C73, '製造效能'!$D:$D=$M73, '製造效能'!$E:$E=""攪料""), 1), INDEX(FILTER('製造效能'!T:T, '製造效能'!$B:$B=$D73, '製造效能'!$D:$D=$M73, '製造效能'!$E:$E=""攪料""), 1))"),"")</f>
        <v/>
      </c>
      <c r="AI73" s="35" t="str">
        <f ca="1">IFERROR(__xludf.DUMMYFUNCTION("IFERROR(INDEX(FILTER('製造效能'!U:U, '製造效能'!$A:$A=$C73, '製造效能'!$D:$D=$M73, '製造效能'!$E:$E=""攪料""), 1), INDEX(FILTER('製造效能'!U:U, '製造效能'!$B:$B=$D73, '製造效能'!$D:$D=$M73, '製造效能'!$E:$E=""攪料""), 1))"),"")</f>
        <v/>
      </c>
      <c r="AJ73" s="35" t="str">
        <f ca="1">IFERROR(__xludf.DUMMYFUNCTION("IFERROR(INDEX(FILTER('製造效能'!V:V, '製造效能'!$A:$A=$C73, '製造效能'!$D:$D=$M73, '製造效能'!$E:$E=""攪料""), 1), INDEX(FILTER('製造效能'!V:V, '製造效能'!$B:$B=$D73, '製造效能'!$D:$D=$M73, '製造效能'!$E:$E=""攪料""), 1))"),"")</f>
        <v/>
      </c>
      <c r="AK73" s="35">
        <f>COUNTIF(充填效能!$A:$A, $C73)</f>
        <v>2</v>
      </c>
      <c r="AL73" s="36" t="str">
        <f ca="1">IFERROR(__xludf.DUMMYFUNCTION("IFERROR(INDEX(FILTER('充填效能'!$Q$2:$Q$1088, '充填效能'!$A$2:$A$1088=$C73, '充填效能'!$D$2:$D$1088=""排瓶""), 1), 0)"),"650")</f>
        <v>650</v>
      </c>
      <c r="AM73" s="36">
        <f ca="1">IFERROR(__xludf.DUMMYFUNCTION("IFERROR(INDEX(FILTER('充填效能'!$R$2:$R$1088, '充填效能'!$A$2:$A$1088=$C73, '充填效能'!$D$2:$D$1088=""排瓶""), 1), 0)"),1)</f>
        <v>1</v>
      </c>
      <c r="AN73" s="35">
        <f t="shared" ca="1" si="5"/>
        <v>46.153846153846153</v>
      </c>
      <c r="AO73" s="36" t="str">
        <f ca="1">IFERROR(__xludf.DUMMYFUNCTION("IFERROR(INDEX(FILTER('充填效能'!$Q$2:$Q$1088, '充填效能'!$A$2:$A$1088=$C73, '充填效能'!$D$2:$D$1088=""充填""), 1), 0)"),"850")</f>
        <v>850</v>
      </c>
      <c r="AP73" s="36">
        <f ca="1">IFERROR(__xludf.DUMMYFUNCTION("IFERROR(INDEX(FILTER('充填效能'!$R$2:$R$1088, '充填效能'!$A$2:$A$1088=$C73, '充填效能'!$D$2:$D$1088=""充填""), 1), 0)"),3)</f>
        <v>3</v>
      </c>
      <c r="AQ73" s="35">
        <f t="shared" ca="1" si="6"/>
        <v>35.294117647058826</v>
      </c>
      <c r="AR73" s="17">
        <f t="shared" ca="1" si="7"/>
        <v>105.88235294117648</v>
      </c>
    </row>
    <row r="74" spans="1:44" ht="15.75" customHeight="1">
      <c r="A74" s="9" t="s">
        <v>226</v>
      </c>
      <c r="B74" s="34">
        <f t="shared" si="0"/>
        <v>44904</v>
      </c>
      <c r="C74" s="9" t="s">
        <v>173</v>
      </c>
      <c r="D74" s="17" t="str">
        <f t="shared" si="1"/>
        <v>AA20H2</v>
      </c>
      <c r="E74" s="9" t="s">
        <v>174</v>
      </c>
      <c r="F74" s="9">
        <v>2500</v>
      </c>
      <c r="G74" s="10">
        <v>45112</v>
      </c>
      <c r="H74" s="10">
        <v>45103</v>
      </c>
      <c r="I74" s="10">
        <v>45083</v>
      </c>
      <c r="J74" s="10">
        <v>45058</v>
      </c>
      <c r="L74" s="17" t="str">
        <f ca="1">IFERROR(__xludf.DUMMYFUNCTION("TEXTJOIN("", "", TRUE, UNIQUE(FILTER('製造效能'!$D$2:$D$1732, '製造效能'!$B$2:$B$1732 = D74)))"),"小乳")</f>
        <v>小乳</v>
      </c>
      <c r="M74" s="17" t="str">
        <f ca="1">IFERROR(__xludf.DUMMYFUNCTION("INDEX(UNIQUE(FILTER('製造效能'!$D$2:$D$1732, ('製造效能'!$B$2:$B$1732 = D74) * ('製造效能'!$J$2:$J$1732 = MAXIFS('製造效能'!$J$2:$J$1732, '製造效能'!$B$2:$B$1732, D74)))), 1) 
"),"小乳")</f>
        <v>小乳</v>
      </c>
      <c r="N74" s="17" t="str">
        <f ca="1">IFERROR(__xludf.DUMMYFUNCTION("TEXTJOIN("", "", TRUE, UNIQUE(FILTER('製造效能'!$K$2:$K$1732, '製造效能'!$B$2:$B$1732 = D74)))"),"乳項")</f>
        <v>乳項</v>
      </c>
      <c r="P74" s="35" t="str">
        <f ca="1">IFERROR(__xludf.DUMMYFUNCTION("IFERROR(INDEX(FILTER('充填效能'!J$2:J$1088, '充填效能'!$A$2:$A$1088=$C74, '充填效能'!$D$2:$D$1088=""充填""), 1), 0)"),"")</f>
        <v/>
      </c>
      <c r="Q74" s="35" t="str">
        <f ca="1">IFERROR(__xludf.DUMMYFUNCTION("IFERROR(INDEX(FILTER('充填效能'!K$2:K$1088, '充填效能'!$A$2:$A$1088=$C74, '充填效能'!$D$2:$D$1088=""充填""), 1), 0)"),"")</f>
        <v/>
      </c>
      <c r="R74" s="35">
        <f ca="1">IFERROR(__xludf.DUMMYFUNCTION("IFERROR(INDEX(FILTER('充填效能'!I$2:I$1088, '充填效能'!$A$2:$A$1088=$C74, '充填效能'!$D$2:$D$1088=""充填""), 1), 0)"),40)</f>
        <v>40</v>
      </c>
      <c r="S74" s="35">
        <f ca="1">COUNTIFS(製造效能!B:B, $D74,製造效能!D:D,M74)</f>
        <v>3</v>
      </c>
      <c r="T74" s="36">
        <f ca="1">IFERROR(__xludf.DUMMYFUNCTION("VALUE(REGEXEXTRACT(TO_TEXT(R74), ""\d*\.?\d+""))"),40)</f>
        <v>40</v>
      </c>
      <c r="U74" s="17">
        <f t="shared" ca="1" si="2"/>
        <v>101499.99999999999</v>
      </c>
      <c r="V74" s="17">
        <f ca="1">IFERROR(__xludf.DUMMYFUNCTION("IFERROR(INDEX(FILTER('製造效能'!J:J, '製造效能'!A:A=$C74, '製造效能'!D:D=M74, '製造效能'!E:E=""攪料""), 1), INDEX(FILTER('製造效能'!J:J, '製造效能'!B:B=$D74, '製造效能'!D:D=M74, '製造效能'!E:E=""攪料""), 1))"),52)</f>
        <v>52</v>
      </c>
      <c r="W74" s="36">
        <f ca="1">IFERROR(__xludf.DUMMYFUNCTION("IFERROR(INDEX(FILTER('製造效能'!G:G, '製造效能'!A:A=$C74, '製造效能'!D:D=M74, '製造效能'!E:E=""攪料""), 1), INDEX(FILTER('製造效能'!G:G, '製造效能'!B:B=$D74, '製造效能'!D:D=M74, '製造效能'!E:E=""攪料""), 1))"),120)</f>
        <v>120</v>
      </c>
      <c r="X74" s="35">
        <f t="shared" ca="1" si="3"/>
        <v>2</v>
      </c>
      <c r="Y74" s="35">
        <f t="shared" ca="1" si="4"/>
        <v>240</v>
      </c>
      <c r="Z74" s="35">
        <f ca="1">IFERROR(__xludf.DUMMYFUNCTION("IFERROR(IFERROR(INDEX(FILTER('製造效能'!G:G, '製造效能'!A:A=$C74, '製造效能'!D:D=M74, '製造效能'!E:E=""預攪""), 1), INDEX(FILTER('製造效能'!G:G, '製造效能'!B:B=$D74, '製造效能'!D:D=M74, '製造效能'!E:E=""預攪""), 1)), 0)"),105)</f>
        <v>105</v>
      </c>
      <c r="AA74" s="35">
        <f ca="1">IFERROR(__xludf.DUMMYFUNCTION("IFERROR(INDEX(FILTER('製造效能'!G:G, '製造效能'!A:A=$C74, '製造效能'!D:D=M74, '製造效能'!E:E=""清洗""), 1), INDEX(FILTER('製造效能'!G:G, '製造效能'!B:B=$D74, '製造效能'!D:D=M74, '製造效能'!E:E=""清洗""), 1))"),90)</f>
        <v>90</v>
      </c>
      <c r="AB74" s="35" t="str">
        <f ca="1">IFERROR(__xludf.DUMMYFUNCTION("IFERROR(INDEX(FILTER('製造效能'!N:N, '製造效能'!$A:$A=$C74, '製造效能'!$D:$D=$M74, '製造效能'!$E:$E=""攪料""), 1), INDEX(FILTER('製造效能'!N:N, '製造效能'!$B:$B=$D74, '製造效能'!$D:$D=$M74, '製造效能'!$E:$E=""攪料""), 1))"),"")</f>
        <v/>
      </c>
      <c r="AC74" s="35">
        <f ca="1">IFERROR(__xludf.DUMMYFUNCTION("IFERROR(INDEX(FILTER('製造效能'!O:O, '製造效能'!$A:$A=$C74, '製造效能'!$D:$D=$M74, '製造效能'!$E:$E=""攪料""), 1), INDEX(FILTER('製造效能'!O:O, '製造效能'!$B:$B=$D74, '製造效能'!$D:$D=$M74, '製造效能'!$E:$E=""攪料""), 1))"),1)</f>
        <v>1</v>
      </c>
      <c r="AD74" s="35">
        <f ca="1">IFERROR(__xludf.DUMMYFUNCTION("IFERROR(INDEX(FILTER('製造效能'!P:P, '製造效能'!$A:$A=$C74, '製造效能'!$D:$D=$M74, '製造效能'!$E:$E=""攪料""), 1), INDEX(FILTER('製造效能'!P:P, '製造效能'!$B:$B=$D74, '製造效能'!$D:$D=$M74, '製造效能'!$E:$E=""攪料""), 1))"),1)</f>
        <v>1</v>
      </c>
      <c r="AE74" s="35" t="str">
        <f ca="1">IFERROR(__xludf.DUMMYFUNCTION("IFERROR(INDEX(FILTER('製造效能'!Q:Q, '製造效能'!$A:$A=$C74, '製造效能'!$D:$D=$M74, '製造效能'!$E:$E=""攪料""), 1), INDEX(FILTER('製造效能'!Q:Q, '製造效能'!$B:$B=$D74, '製造效能'!$D:$D=$M74, '製造效能'!$E:$E=""攪料""), 1))"),"")</f>
        <v/>
      </c>
      <c r="AF74" s="35" t="str">
        <f ca="1">IFERROR(__xludf.DUMMYFUNCTION("IFERROR(INDEX(FILTER('製造效能'!R:R, '製造效能'!$A:$A=$C74, '製造效能'!$D:$D=$M74, '製造效能'!$E:$E=""攪料""), 1), INDEX(FILTER('製造效能'!R:R, '製造效能'!$B:$B=$D74, '製造效能'!$D:$D=$M74, '製造效能'!$E:$E=""攪料""), 1))"),"")</f>
        <v/>
      </c>
      <c r="AG74" s="35" t="str">
        <f ca="1">IFERROR(__xludf.DUMMYFUNCTION("IFERROR(INDEX(FILTER('製造效能'!S:S, '製造效能'!$A:$A=$C74, '製造效能'!$D:$D=$M74, '製造效能'!$E:$E=""攪料""), 1), INDEX(FILTER('製造效能'!S:S, '製造效能'!$B:$B=$D74, '製造效能'!$D:$D=$M74, '製造效能'!$E:$E=""攪料""), 1))"),"")</f>
        <v/>
      </c>
      <c r="AH74" s="35" t="str">
        <f ca="1">IFERROR(__xludf.DUMMYFUNCTION("IFERROR(INDEX(FILTER('製造效能'!T:T, '製造效能'!$A:$A=$C74, '製造效能'!$D:$D=$M74, '製造效能'!$E:$E=""攪料""), 1), INDEX(FILTER('製造效能'!T:T, '製造效能'!$B:$B=$D74, '製造效能'!$D:$D=$M74, '製造效能'!$E:$E=""攪料""), 1))"),"")</f>
        <v/>
      </c>
      <c r="AI74" s="35" t="str">
        <f ca="1">IFERROR(__xludf.DUMMYFUNCTION("IFERROR(INDEX(FILTER('製造效能'!U:U, '製造效能'!$A:$A=$C74, '製造效能'!$D:$D=$M74, '製造效能'!$E:$E=""攪料""), 1), INDEX(FILTER('製造效能'!U:U, '製造效能'!$B:$B=$D74, '製造效能'!$D:$D=$M74, '製造效能'!$E:$E=""攪料""), 1))"),"")</f>
        <v/>
      </c>
      <c r="AJ74" s="35" t="str">
        <f ca="1">IFERROR(__xludf.DUMMYFUNCTION("IFERROR(INDEX(FILTER('製造效能'!V:V, '製造效能'!$A:$A=$C74, '製造效能'!$D:$D=$M74, '製造效能'!$E:$E=""攪料""), 1), INDEX(FILTER('製造效能'!V:V, '製造效能'!$B:$B=$D74, '製造效能'!$D:$D=$M74, '製造效能'!$E:$E=""攪料""), 1))"),"")</f>
        <v/>
      </c>
      <c r="AK74" s="35">
        <f>COUNTIF(充填效能!$A:$A, $C74)</f>
        <v>1</v>
      </c>
      <c r="AL74" s="36">
        <f ca="1">IFERROR(__xludf.DUMMYFUNCTION("IFERROR(INDEX(FILTER('充填效能'!$Q$2:$Q$1088, '充填效能'!$A$2:$A$1088=$C74, '充填效能'!$D$2:$D$1088=""排瓶""), 1), 0)"),0)</f>
        <v>0</v>
      </c>
      <c r="AM74" s="36">
        <f ca="1">IFERROR(__xludf.DUMMYFUNCTION("IFERROR(INDEX(FILTER('充填效能'!$R$2:$R$1088, '充填效能'!$A$2:$A$1088=$C74, '充填效能'!$D$2:$D$1088=""排瓶""), 1), 0)"),0)</f>
        <v>0</v>
      </c>
      <c r="AN74" s="35">
        <f t="shared" ca="1" si="5"/>
        <v>0</v>
      </c>
      <c r="AO74" s="36" t="str">
        <f ca="1">IFERROR(__xludf.DUMMYFUNCTION("IFERROR(INDEX(FILTER('充填效能'!$Q$2:$Q$1088, '充填效能'!$A$2:$A$1088=$C74, '充填效能'!$D$2:$D$1088=""充填""), 1), 0)"),"750")</f>
        <v>750</v>
      </c>
      <c r="AP74" s="36">
        <f ca="1">IFERROR(__xludf.DUMMYFUNCTION("IFERROR(INDEX(FILTER('充填效能'!$R$2:$R$1088, '充填效能'!$A$2:$A$1088=$C74, '充填效能'!$D$2:$D$1088=""充填""), 1), 0)"),4)</f>
        <v>4</v>
      </c>
      <c r="AQ74" s="35">
        <f t="shared" ca="1" si="6"/>
        <v>3.3333333333333335</v>
      </c>
      <c r="AR74" s="17">
        <f t="shared" ca="1" si="7"/>
        <v>13.333333333333334</v>
      </c>
    </row>
    <row r="75" spans="1:44" ht="15.75" customHeight="1">
      <c r="A75" s="9" t="s">
        <v>231</v>
      </c>
      <c r="B75" s="34">
        <f t="shared" si="0"/>
        <v>45055</v>
      </c>
      <c r="C75" s="9" t="s">
        <v>50</v>
      </c>
      <c r="D75" s="17" t="str">
        <f t="shared" si="1"/>
        <v>AA17Z1</v>
      </c>
      <c r="E75" s="9" t="s">
        <v>51</v>
      </c>
      <c r="F75" s="9">
        <v>2544</v>
      </c>
      <c r="G75" s="10">
        <v>45112</v>
      </c>
      <c r="H75" s="10">
        <v>45103</v>
      </c>
      <c r="I75" s="10">
        <v>45083</v>
      </c>
      <c r="J75" s="10">
        <v>45086</v>
      </c>
      <c r="L75" s="17" t="str">
        <f ca="1">IFERROR(__xludf.DUMMYFUNCTION("TEXTJOIN("", "", TRUE, UNIQUE(FILTER('製造效能'!$D$2:$D$1732, '製造效能'!$B$2:$B$1732 = D75)))"),"大, 精")</f>
        <v>大, 精</v>
      </c>
      <c r="M75" s="17" t="str">
        <f ca="1">IFERROR(__xludf.DUMMYFUNCTION("INDEX(UNIQUE(FILTER('製造效能'!$D$2:$D$1732, ('製造效能'!$B$2:$B$1732 = D75) * ('製造效能'!$J$2:$J$1732 = MAXIFS('製造效能'!$J$2:$J$1732, '製造效能'!$B$2:$B$1732, D75)))), 1) 
"),"大")</f>
        <v>大</v>
      </c>
      <c r="N75" s="17" t="str">
        <f ca="1">IFERROR(__xludf.DUMMYFUNCTION("TEXTJOIN("", "", TRUE, UNIQUE(FILTER('製造效能'!$K$2:$K$1732, '製造效能'!$B$2:$B$1732 = D75)))"),"水項")</f>
        <v>水項</v>
      </c>
      <c r="O75" s="35">
        <f ca="1">IFERROR(__xludf.DUMMYFUNCTION("IFERROR(INDEX(FILTER('充填效能'!I$2:I$1088, '充填效能'!$A$2:$A$1088=$C75, '充填效能'!$D$2:$D$1088=""充填""), 1), 0)"),90)</f>
        <v>90</v>
      </c>
      <c r="P75" s="35" t="str">
        <f ca="1">IFERROR(__xludf.DUMMYFUNCTION("IFERROR(INDEX(FILTER('充填效能'!J$2:J$1088, '充填效能'!$A$2:$A$1088=$C75, '充填效能'!$D$2:$D$1088=""充填""), 1), 0)"),"")</f>
        <v/>
      </c>
      <c r="Q75" s="35" t="str">
        <f ca="1">IFERROR(__xludf.DUMMYFUNCTION("IFERROR(INDEX(FILTER('充填效能'!K$2:K$1088, '充填效能'!$A$2:$A$1088=$C75, '充填效能'!$D$2:$D$1088=""充填""), 1), 0)"),"")</f>
        <v/>
      </c>
      <c r="R75" s="35" t="str">
        <f ca="1">IFERROR(__xludf.DUMMYFUNCTION("IFERROR(INDEX(FILTER('充填效能'!L$2:L$1088, '充填效能'!$A$2:$A$1088=$C75, '充填效能'!$D$2:$D$1088=""充填""), 1), 0)"),"")</f>
        <v/>
      </c>
      <c r="S75" s="35">
        <f ca="1">COUNTIFS(製造效能!B:B, $D75,製造效能!D:D,M75)</f>
        <v>3</v>
      </c>
      <c r="T75" s="36">
        <f ca="1">IFERROR(__xludf.DUMMYFUNCTION("VALUE(REGEXEXTRACT(TO_TEXT(O75), ""\d*\.?\d+""))"),90)</f>
        <v>90</v>
      </c>
      <c r="U75" s="17">
        <f t="shared" ca="1" si="2"/>
        <v>232394.39999999997</v>
      </c>
      <c r="V75" s="17">
        <f ca="1">IFERROR(__xludf.DUMMYFUNCTION("IFERROR(INDEX(FILTER('製造效能'!J:J, '製造效能'!A:A=$C75, '製造效能'!D:D=M75, '製造效能'!E:E=""攪料""), 1), INDEX(FILTER('製造效能'!J:J, '製造效能'!B:B=$D75, '製造效能'!D:D=M75, '製造效能'!E:E=""攪料""), 1))"),367)</f>
        <v>367</v>
      </c>
      <c r="W75" s="36">
        <f ca="1">IFERROR(__xludf.DUMMYFUNCTION("IFERROR(INDEX(FILTER('製造效能'!G:G, '製造效能'!A:A=$C75, '製造效能'!D:D=M75, '製造效能'!E:E=""攪料""), 1), INDEX(FILTER('製造效能'!G:G, '製造效能'!B:B=$D75, '製造效能'!D:D=M75, '製造效能'!E:E=""攪料""), 1))"),90)</f>
        <v>90</v>
      </c>
      <c r="X75" s="35">
        <f t="shared" ca="1" si="3"/>
        <v>1</v>
      </c>
      <c r="Y75" s="35">
        <f t="shared" ca="1" si="4"/>
        <v>90</v>
      </c>
      <c r="Z75" s="35">
        <f ca="1">IFERROR(__xludf.DUMMYFUNCTION("IFERROR(IFERROR(INDEX(FILTER('製造效能'!G:G, '製造效能'!A:A=$C75, '製造效能'!D:D=M75, '製造效能'!E:E=""預攪""), 1), INDEX(FILTER('製造效能'!G:G, '製造效能'!B:B=$D75, '製造效能'!D:D=M75, '製造效能'!E:E=""預攪""), 1)), 0)"),50)</f>
        <v>50</v>
      </c>
      <c r="AA75" s="35">
        <f ca="1">IFERROR(__xludf.DUMMYFUNCTION("IFERROR(INDEX(FILTER('製造效能'!G:G, '製造效能'!A:A=$C75, '製造效能'!D:D=M75, '製造效能'!E:E=""清洗""), 1), INDEX(FILTER('製造效能'!G:G, '製造效能'!B:B=$D75, '製造效能'!D:D=M75, '製造效能'!E:E=""清洗""), 1))"),30)</f>
        <v>30</v>
      </c>
      <c r="AB75" s="35" t="str">
        <f ca="1">IFERROR(__xludf.DUMMYFUNCTION("IFERROR(INDEX(FILTER('製造效能'!N:N, '製造效能'!$A:$A=$C75, '製造效能'!$D:$D=$M75, '製造效能'!$E:$E=""攪料""), 1), INDEX(FILTER('製造效能'!N:N, '製造效能'!$B:$B=$D75, '製造效能'!$D:$D=$M75, '製造效能'!$E:$E=""攪料""), 1))"),"")</f>
        <v/>
      </c>
      <c r="AC75" s="35" t="str">
        <f ca="1">IFERROR(__xludf.DUMMYFUNCTION("IFERROR(INDEX(FILTER('製造效能'!O:O, '製造效能'!$A:$A=$C75, '製造效能'!$D:$D=$M75, '製造效能'!$E:$E=""攪料""), 1), INDEX(FILTER('製造效能'!O:O, '製造效能'!$B:$B=$D75, '製造效能'!$D:$D=$M75, '製造效能'!$E:$E=""攪料""), 1))"),"")</f>
        <v/>
      </c>
      <c r="AD75" s="35" t="str">
        <f ca="1">IFERROR(__xludf.DUMMYFUNCTION("IFERROR(INDEX(FILTER('製造效能'!P:P, '製造效能'!$A:$A=$C75, '製造效能'!$D:$D=$M75, '製造效能'!$E:$E=""攪料""), 1), INDEX(FILTER('製造效能'!P:P, '製造效能'!$B:$B=$D75, '製造效能'!$D:$D=$M75, '製造效能'!$E:$E=""攪料""), 1))"),"")</f>
        <v/>
      </c>
      <c r="AE75" s="35" t="str">
        <f ca="1">IFERROR(__xludf.DUMMYFUNCTION("IFERROR(INDEX(FILTER('製造效能'!Q:Q, '製造效能'!$A:$A=$C75, '製造效能'!$D:$D=$M75, '製造效能'!$E:$E=""攪料""), 1), INDEX(FILTER('製造效能'!Q:Q, '製造效能'!$B:$B=$D75, '製造效能'!$D:$D=$M75, '製造效能'!$E:$E=""攪料""), 1))"),"")</f>
        <v/>
      </c>
      <c r="AF75" s="35" t="str">
        <f ca="1">IFERROR(__xludf.DUMMYFUNCTION("IFERROR(INDEX(FILTER('製造效能'!R:R, '製造效能'!$A:$A=$C75, '製造效能'!$D:$D=$M75, '製造效能'!$E:$E=""攪料""), 1), INDEX(FILTER('製造效能'!R:R, '製造效能'!$B:$B=$D75, '製造效能'!$D:$D=$M75, '製造效能'!$E:$E=""攪料""), 1))"),"")</f>
        <v/>
      </c>
      <c r="AG75" s="35">
        <f ca="1">IFERROR(__xludf.DUMMYFUNCTION("IFERROR(INDEX(FILTER('製造效能'!S:S, '製造效能'!$A:$A=$C75, '製造效能'!$D:$D=$M75, '製造效能'!$E:$E=""攪料""), 1), INDEX(FILTER('製造效能'!S:S, '製造效能'!$B:$B=$D75, '製造效能'!$D:$D=$M75, '製造效能'!$E:$E=""攪料""), 1))"),1)</f>
        <v>1</v>
      </c>
      <c r="AH75" s="35" t="str">
        <f ca="1">IFERROR(__xludf.DUMMYFUNCTION("IFERROR(INDEX(FILTER('製造效能'!T:T, '製造效能'!$A:$A=$C75, '製造效能'!$D:$D=$M75, '製造效能'!$E:$E=""攪料""), 1), INDEX(FILTER('製造效能'!T:T, '製造效能'!$B:$B=$D75, '製造效能'!$D:$D=$M75, '製造效能'!$E:$E=""攪料""), 1))"),"")</f>
        <v/>
      </c>
      <c r="AI75" s="35" t="str">
        <f ca="1">IFERROR(__xludf.DUMMYFUNCTION("IFERROR(INDEX(FILTER('製造效能'!U:U, '製造效能'!$A:$A=$C75, '製造效能'!$D:$D=$M75, '製造效能'!$E:$E=""攪料""), 1), INDEX(FILTER('製造效能'!U:U, '製造效能'!$B:$B=$D75, '製造效能'!$D:$D=$M75, '製造效能'!$E:$E=""攪料""), 1))"),"")</f>
        <v/>
      </c>
      <c r="AJ75" s="35" t="str">
        <f ca="1">IFERROR(__xludf.DUMMYFUNCTION("IFERROR(INDEX(FILTER('製造效能'!V:V, '製造效能'!$A:$A=$C75, '製造效能'!$D:$D=$M75, '製造效能'!$E:$E=""攪料""), 1), INDEX(FILTER('製造效能'!V:V, '製造效能'!$B:$B=$D75, '製造效能'!$D:$D=$M75, '製造效能'!$E:$E=""攪料""), 1))"),"")</f>
        <v/>
      </c>
      <c r="AK75" s="35">
        <f>COUNTIF(充填效能!$A:$A, $C75)</f>
        <v>2</v>
      </c>
      <c r="AL75" s="36" t="str">
        <f ca="1">IFERROR(__xludf.DUMMYFUNCTION("IFERROR(INDEX(FILTER('充填效能'!$Q$2:$Q$1088, '充填效能'!$A$2:$A$1088=$C75, '充填效能'!$D$2:$D$1088=""排瓶""), 1), 0)"),"1300")</f>
        <v>1300</v>
      </c>
      <c r="AM75" s="36">
        <f ca="1">IFERROR(__xludf.DUMMYFUNCTION("IFERROR(INDEX(FILTER('充填效能'!$R$2:$R$1088, '充填效能'!$A$2:$A$1088=$C75, '充填效能'!$D$2:$D$1088=""排瓶""), 1), 0)"),1)</f>
        <v>1</v>
      </c>
      <c r="AN75" s="35">
        <f t="shared" ca="1" si="5"/>
        <v>1.956923076923077</v>
      </c>
      <c r="AO75" s="36" t="str">
        <f ca="1">IFERROR(__xludf.DUMMYFUNCTION("IFERROR(INDEX(FILTER('充填效能'!$Q$2:$Q$1088, '充填效能'!$A$2:$A$1088=$C75, '充填效能'!$D$2:$D$1088=""充填""), 1), 0)"),"900")</f>
        <v>900</v>
      </c>
      <c r="AP75" s="36">
        <f ca="1">IFERROR(__xludf.DUMMYFUNCTION("IFERROR(INDEX(FILTER('充填效能'!$R$2:$R$1088, '充填效能'!$A$2:$A$1088=$C75, '充填效能'!$D$2:$D$1088=""充填""), 1), 0)"),4)</f>
        <v>4</v>
      </c>
      <c r="AQ75" s="35">
        <f t="shared" ca="1" si="6"/>
        <v>2.8266666666666667</v>
      </c>
      <c r="AR75" s="17">
        <f t="shared" ca="1" si="7"/>
        <v>11.306666666666667</v>
      </c>
    </row>
    <row r="76" spans="1:44" ht="15.75" customHeight="1">
      <c r="A76" s="9" t="s">
        <v>232</v>
      </c>
      <c r="B76" s="34">
        <f t="shared" si="0"/>
        <v>45055</v>
      </c>
      <c r="C76" s="9" t="s">
        <v>220</v>
      </c>
      <c r="D76" s="17" t="str">
        <f t="shared" si="1"/>
        <v>BX19D2</v>
      </c>
      <c r="E76" s="9" t="s">
        <v>221</v>
      </c>
      <c r="F76" s="9">
        <v>1500</v>
      </c>
      <c r="G76" s="10">
        <v>45106</v>
      </c>
      <c r="H76" s="10">
        <v>45104</v>
      </c>
      <c r="I76" s="10">
        <v>45086</v>
      </c>
      <c r="J76" s="10">
        <v>45089</v>
      </c>
      <c r="L76" s="17" t="str">
        <f ca="1">IFERROR(__xludf.DUMMYFUNCTION("TEXTJOIN("", "", TRUE, UNIQUE(FILTER('製造效能'!$D$2:$D$1732, '製造效能'!$B$2:$B$1732 = D76)))"),"精")</f>
        <v>精</v>
      </c>
      <c r="M76" s="17" t="str">
        <f ca="1">IFERROR(__xludf.DUMMYFUNCTION("INDEX(UNIQUE(FILTER('製造效能'!$D$2:$D$1732, ('製造效能'!$B$2:$B$1732 = D76) * ('製造效能'!$J$2:$J$1732 = MAXIFS('製造效能'!$J$2:$J$1732, '製造效能'!$B$2:$B$1732, D76)))), 1) 
"),"精")</f>
        <v>精</v>
      </c>
      <c r="N76" s="17" t="str">
        <f ca="1">IFERROR(__xludf.DUMMYFUNCTION("TEXTJOIN("", "", TRUE, UNIQUE(FILTER('製造效能'!$K$2:$K$1732, '製造效能'!$B$2:$B$1732 = D76)))"),"水項")</f>
        <v>水項</v>
      </c>
      <c r="O76" s="35">
        <f ca="1">IFERROR(__xludf.DUMMYFUNCTION("IFERROR(INDEX(FILTER('充填效能'!I$2:I$1088, '充填效能'!$A$2:$A$1088=$C76, '充填效能'!$D$2:$D$1088=""充填""), 1), 0)"),10)</f>
        <v>10</v>
      </c>
      <c r="P76" s="35" t="str">
        <f ca="1">IFERROR(__xludf.DUMMYFUNCTION("IFERROR(INDEX(FILTER('充填效能'!J$2:J$1088, '充填效能'!$A$2:$A$1088=$C76, '充填效能'!$D$2:$D$1088=""充填""), 1), 0)"),"")</f>
        <v/>
      </c>
      <c r="Q76" s="35" t="str">
        <f ca="1">IFERROR(__xludf.DUMMYFUNCTION("IFERROR(INDEX(FILTER('充填效能'!K$2:K$1088, '充填效能'!$A$2:$A$1088=$C76, '充填效能'!$D$2:$D$1088=""充填""), 1), 0)"),"")</f>
        <v/>
      </c>
      <c r="R76" s="35" t="str">
        <f ca="1">IFERROR(__xludf.DUMMYFUNCTION("IFERROR(INDEX(FILTER('充填效能'!L$2:L$1088, '充填效能'!$A$2:$A$1088=$C76, '充填效能'!$D$2:$D$1088=""充填""), 1), 0)"),"")</f>
        <v/>
      </c>
      <c r="S76" s="35">
        <f ca="1">COUNTIFS(製造效能!B:B, $D76,製造效能!D:D,M76)</f>
        <v>3</v>
      </c>
      <c r="T76" s="36">
        <f ca="1">IFERROR(__xludf.DUMMYFUNCTION("VALUE(REGEXEXTRACT(TO_TEXT(O76), ""\d*\.?\d+""))"),10)</f>
        <v>10</v>
      </c>
      <c r="U76" s="17">
        <f t="shared" ca="1" si="2"/>
        <v>15224.999999999998</v>
      </c>
      <c r="V76" s="17">
        <f ca="1">IFERROR(__xludf.DUMMYFUNCTION("IFERROR(INDEX(FILTER('製造效能'!J:J, '製造效能'!A:A=$C76, '製造效能'!D:D=M76, '製造效能'!E:E=""攪料""), 1), INDEX(FILTER('製造效能'!J:J, '製造效能'!B:B=$D76, '製造效能'!D:D=M76, '製造效能'!E:E=""攪料""), 1))"),100)</f>
        <v>100</v>
      </c>
      <c r="W76" s="36">
        <f ca="1">IFERROR(__xludf.DUMMYFUNCTION("IFERROR(INDEX(FILTER('製造效能'!G:G, '製造效能'!A:A=$C76, '製造效能'!D:D=M76, '製造效能'!E:E=""攪料""), 1), INDEX(FILTER('製造效能'!G:G, '製造效能'!B:B=$D76, '製造效能'!D:D=M76, '製造效能'!E:E=""攪料""), 1))"),60)</f>
        <v>60</v>
      </c>
      <c r="X76" s="35">
        <f t="shared" ca="1" si="3"/>
        <v>1</v>
      </c>
      <c r="Y76" s="35">
        <f t="shared" ca="1" si="4"/>
        <v>60</v>
      </c>
      <c r="Z76" s="35">
        <f ca="1">IFERROR(__xludf.DUMMYFUNCTION("IFERROR(IFERROR(INDEX(FILTER('製造效能'!G:G, '製造效能'!A:A=$C76, '製造效能'!D:D=M76, '製造效能'!E:E=""預攪""), 1), INDEX(FILTER('製造效能'!G:G, '製造效能'!B:B=$D76, '製造效能'!D:D=M76, '製造效能'!E:E=""預攪""), 1)), 0)"),50)</f>
        <v>50</v>
      </c>
      <c r="AA76" s="35">
        <f ca="1">IFERROR(__xludf.DUMMYFUNCTION("IFERROR(INDEX(FILTER('製造效能'!G:G, '製造效能'!A:A=$C76, '製造效能'!D:D=M76, '製造效能'!E:E=""清洗""), 1), INDEX(FILTER('製造效能'!G:G, '製造效能'!B:B=$D76, '製造效能'!D:D=M76, '製造效能'!E:E=""清洗""), 1))"),10)</f>
        <v>10</v>
      </c>
      <c r="AB76" s="35" t="str">
        <f ca="1">IFERROR(__xludf.DUMMYFUNCTION("IFERROR(INDEX(FILTER('製造效能'!N:N, '製造效能'!$A:$A=$C76, '製造效能'!$D:$D=$M76, '製造效能'!$E:$E=""攪料""), 1), INDEX(FILTER('製造效能'!N:N, '製造效能'!$B:$B=$D76, '製造效能'!$D:$D=$M76, '製造效能'!$E:$E=""攪料""), 1))"),"")</f>
        <v/>
      </c>
      <c r="AC76" s="35">
        <f ca="1">IFERROR(__xludf.DUMMYFUNCTION("IFERROR(INDEX(FILTER('製造效能'!O:O, '製造效能'!$A:$A=$C76, '製造效能'!$D:$D=$M76, '製造效能'!$E:$E=""攪料""), 1), INDEX(FILTER('製造效能'!O:O, '製造效能'!$B:$B=$D76, '製造效能'!$D:$D=$M76, '製造效能'!$E:$E=""攪料""), 1))"),1)</f>
        <v>1</v>
      </c>
      <c r="AD76" s="35" t="str">
        <f ca="1">IFERROR(__xludf.DUMMYFUNCTION("IFERROR(INDEX(FILTER('製造效能'!P:P, '製造效能'!$A:$A=$C76, '製造效能'!$D:$D=$M76, '製造效能'!$E:$E=""攪料""), 1), INDEX(FILTER('製造效能'!P:P, '製造效能'!$B:$B=$D76, '製造效能'!$D:$D=$M76, '製造效能'!$E:$E=""攪料""), 1))"),"")</f>
        <v/>
      </c>
      <c r="AE76" s="35" t="str">
        <f ca="1">IFERROR(__xludf.DUMMYFUNCTION("IFERROR(INDEX(FILTER('製造效能'!Q:Q, '製造效能'!$A:$A=$C76, '製造效能'!$D:$D=$M76, '製造效能'!$E:$E=""攪料""), 1), INDEX(FILTER('製造效能'!Q:Q, '製造效能'!$B:$B=$D76, '製造效能'!$D:$D=$M76, '製造效能'!$E:$E=""攪料""), 1))"),"")</f>
        <v/>
      </c>
      <c r="AF76" s="35" t="str">
        <f ca="1">IFERROR(__xludf.DUMMYFUNCTION("IFERROR(INDEX(FILTER('製造效能'!R:R, '製造效能'!$A:$A=$C76, '製造效能'!$D:$D=$M76, '製造效能'!$E:$E=""攪料""), 1), INDEX(FILTER('製造效能'!R:R, '製造效能'!$B:$B=$D76, '製造效能'!$D:$D=$M76, '製造效能'!$E:$E=""攪料""), 1))"),"")</f>
        <v/>
      </c>
      <c r="AG76" s="35" t="str">
        <f ca="1">IFERROR(__xludf.DUMMYFUNCTION("IFERROR(INDEX(FILTER('製造效能'!S:S, '製造效能'!$A:$A=$C76, '製造效能'!$D:$D=$M76, '製造效能'!$E:$E=""攪料""), 1), INDEX(FILTER('製造效能'!S:S, '製造效能'!$B:$B=$D76, '製造效能'!$D:$D=$M76, '製造效能'!$E:$E=""攪料""), 1))"),"")</f>
        <v/>
      </c>
      <c r="AH76" s="35" t="str">
        <f ca="1">IFERROR(__xludf.DUMMYFUNCTION("IFERROR(INDEX(FILTER('製造效能'!T:T, '製造效能'!$A:$A=$C76, '製造效能'!$D:$D=$M76, '製造效能'!$E:$E=""攪料""), 1), INDEX(FILTER('製造效能'!T:T, '製造效能'!$B:$B=$D76, '製造效能'!$D:$D=$M76, '製造效能'!$E:$E=""攪料""), 1))"),"")</f>
        <v/>
      </c>
      <c r="AI76" s="35" t="str">
        <f ca="1">IFERROR(__xludf.DUMMYFUNCTION("IFERROR(INDEX(FILTER('製造效能'!U:U, '製造效能'!$A:$A=$C76, '製造效能'!$D:$D=$M76, '製造效能'!$E:$E=""攪料""), 1), INDEX(FILTER('製造效能'!U:U, '製造效能'!$B:$B=$D76, '製造效能'!$D:$D=$M76, '製造效能'!$E:$E=""攪料""), 1))"),"")</f>
        <v/>
      </c>
      <c r="AJ76" s="35" t="str">
        <f ca="1">IFERROR(__xludf.DUMMYFUNCTION("IFERROR(INDEX(FILTER('製造效能'!V:V, '製造效能'!$A:$A=$C76, '製造效能'!$D:$D=$M76, '製造效能'!$E:$E=""攪料""), 1), INDEX(FILTER('製造效能'!V:V, '製造效能'!$B:$B=$D76, '製造效能'!$D:$D=$M76, '製造效能'!$E:$E=""攪料""), 1))"),"")</f>
        <v/>
      </c>
      <c r="AK76" s="35">
        <f>COUNTIF(充填效能!$A:$A, $C76)</f>
        <v>2</v>
      </c>
      <c r="AL76" s="36" t="str">
        <f ca="1">IFERROR(__xludf.DUMMYFUNCTION("IFERROR(INDEX(FILTER('充填效能'!$Q$2:$Q$1088, '充填效能'!$A$2:$A$1088=$C76, '充填效能'!$D$2:$D$1088=""排瓶""), 1), 0)"),"1500")</f>
        <v>1500</v>
      </c>
      <c r="AM76" s="36">
        <f ca="1">IFERROR(__xludf.DUMMYFUNCTION("IFERROR(INDEX(FILTER('充填效能'!$R$2:$R$1088, '充填效能'!$A$2:$A$1088=$C76, '充填效能'!$D$2:$D$1088=""排瓶""), 1), 0)"),1)</f>
        <v>1</v>
      </c>
      <c r="AN76" s="35">
        <f t="shared" ca="1" si="5"/>
        <v>1</v>
      </c>
      <c r="AO76" s="36" t="str">
        <f ca="1">IFERROR(__xludf.DUMMYFUNCTION("IFERROR(INDEX(FILTER('充填效能'!$Q$2:$Q$1088, '充填效能'!$A$2:$A$1088=$C76, '充填效能'!$D$2:$D$1088=""充填""), 1), 0)"),"850")</f>
        <v>850</v>
      </c>
      <c r="AP76" s="36">
        <f ca="1">IFERROR(__xludf.DUMMYFUNCTION("IFERROR(INDEX(FILTER('充填效能'!$R$2:$R$1088, '充填效能'!$A$2:$A$1088=$C76, '充填效能'!$D$2:$D$1088=""充填""), 1), 0)"),4)</f>
        <v>4</v>
      </c>
      <c r="AQ76" s="35">
        <f t="shared" ca="1" si="6"/>
        <v>1.7647058823529411</v>
      </c>
      <c r="AR76" s="17">
        <f t="shared" ca="1" si="7"/>
        <v>7.0588235294117645</v>
      </c>
    </row>
    <row r="77" spans="1:44" ht="15.75" customHeight="1">
      <c r="A77" s="9" t="s">
        <v>240</v>
      </c>
      <c r="B77" s="34">
        <f t="shared" si="0"/>
        <v>45050</v>
      </c>
      <c r="C77" s="9" t="s">
        <v>220</v>
      </c>
      <c r="D77" s="17" t="str">
        <f t="shared" si="1"/>
        <v>BX19D2</v>
      </c>
      <c r="E77" s="9" t="s">
        <v>221</v>
      </c>
      <c r="F77" s="9">
        <v>3000</v>
      </c>
      <c r="G77" s="10">
        <v>45106</v>
      </c>
      <c r="H77" s="10">
        <v>45104</v>
      </c>
      <c r="I77" s="10">
        <v>45086</v>
      </c>
      <c r="J77" s="10">
        <v>45089</v>
      </c>
      <c r="L77" s="17" t="str">
        <f ca="1">IFERROR(__xludf.DUMMYFUNCTION("TEXTJOIN("", "", TRUE, UNIQUE(FILTER('製造效能'!$D$2:$D$1732, '製造效能'!$B$2:$B$1732 = D77)))"),"精")</f>
        <v>精</v>
      </c>
      <c r="M77" s="17" t="str">
        <f ca="1">IFERROR(__xludf.DUMMYFUNCTION("INDEX(UNIQUE(FILTER('製造效能'!$D$2:$D$1732, ('製造效能'!$B$2:$B$1732 = D77) * ('製造效能'!$J$2:$J$1732 = MAXIFS('製造效能'!$J$2:$J$1732, '製造效能'!$B$2:$B$1732, D77)))), 1) 
"),"精")</f>
        <v>精</v>
      </c>
      <c r="N77" s="17" t="str">
        <f ca="1">IFERROR(__xludf.DUMMYFUNCTION("TEXTJOIN("", "", TRUE, UNIQUE(FILTER('製造效能'!$K$2:$K$1732, '製造效能'!$B$2:$B$1732 = D77)))"),"水項")</f>
        <v>水項</v>
      </c>
      <c r="O77" s="35">
        <f ca="1">IFERROR(__xludf.DUMMYFUNCTION("IFERROR(INDEX(FILTER('充填效能'!I$2:I$1088, '充填效能'!$A$2:$A$1088=$C77, '充填效能'!$D$2:$D$1088=""充填""), 1), 0)"),10)</f>
        <v>10</v>
      </c>
      <c r="P77" s="35" t="str">
        <f ca="1">IFERROR(__xludf.DUMMYFUNCTION("IFERROR(INDEX(FILTER('充填效能'!J$2:J$1088, '充填效能'!$A$2:$A$1088=$C77, '充填效能'!$D$2:$D$1088=""充填""), 1), 0)"),"")</f>
        <v/>
      </c>
      <c r="Q77" s="35" t="str">
        <f ca="1">IFERROR(__xludf.DUMMYFUNCTION("IFERROR(INDEX(FILTER('充填效能'!K$2:K$1088, '充填效能'!$A$2:$A$1088=$C77, '充填效能'!$D$2:$D$1088=""充填""), 1), 0)"),"")</f>
        <v/>
      </c>
      <c r="R77" s="35" t="str">
        <f ca="1">IFERROR(__xludf.DUMMYFUNCTION("IFERROR(INDEX(FILTER('充填效能'!L$2:L$1088, '充填效能'!$A$2:$A$1088=$C77, '充填效能'!$D$2:$D$1088=""充填""), 1), 0)"),"")</f>
        <v/>
      </c>
      <c r="S77" s="35">
        <f ca="1">COUNTIFS(製造效能!B:B, $D77,製造效能!D:D,M77)</f>
        <v>3</v>
      </c>
      <c r="T77" s="36">
        <f ca="1">IFERROR(__xludf.DUMMYFUNCTION("VALUE(REGEXEXTRACT(TO_TEXT(O77), ""\d*\.?\d+""))"),10)</f>
        <v>10</v>
      </c>
      <c r="U77" s="17">
        <f t="shared" ca="1" si="2"/>
        <v>30449.999999999996</v>
      </c>
      <c r="V77" s="17">
        <f ca="1">IFERROR(__xludf.DUMMYFUNCTION("IFERROR(INDEX(FILTER('製造效能'!J:J, '製造效能'!A:A=$C77, '製造效能'!D:D=M77, '製造效能'!E:E=""攪料""), 1), INDEX(FILTER('製造效能'!J:J, '製造效能'!B:B=$D77, '製造效能'!D:D=M77, '製造效能'!E:E=""攪料""), 1))"),100)</f>
        <v>100</v>
      </c>
      <c r="W77" s="36">
        <f ca="1">IFERROR(__xludf.DUMMYFUNCTION("IFERROR(INDEX(FILTER('製造效能'!G:G, '製造效能'!A:A=$C77, '製造效能'!D:D=M77, '製造效能'!E:E=""攪料""), 1), INDEX(FILTER('製造效能'!G:G, '製造效能'!B:B=$D77, '製造效能'!D:D=M77, '製造效能'!E:E=""攪料""), 1))"),60)</f>
        <v>60</v>
      </c>
      <c r="X77" s="35">
        <f t="shared" ca="1" si="3"/>
        <v>1</v>
      </c>
      <c r="Y77" s="35">
        <f t="shared" ca="1" si="4"/>
        <v>60</v>
      </c>
      <c r="Z77" s="35">
        <f ca="1">IFERROR(__xludf.DUMMYFUNCTION("IFERROR(IFERROR(INDEX(FILTER('製造效能'!G:G, '製造效能'!A:A=$C77, '製造效能'!D:D=M77, '製造效能'!E:E=""預攪""), 1), INDEX(FILTER('製造效能'!G:G, '製造效能'!B:B=$D77, '製造效能'!D:D=M77, '製造效能'!E:E=""預攪""), 1)), 0)"),50)</f>
        <v>50</v>
      </c>
      <c r="AA77" s="35">
        <f ca="1">IFERROR(__xludf.DUMMYFUNCTION("IFERROR(INDEX(FILTER('製造效能'!G:G, '製造效能'!A:A=$C77, '製造效能'!D:D=M77, '製造效能'!E:E=""清洗""), 1), INDEX(FILTER('製造效能'!G:G, '製造效能'!B:B=$D77, '製造效能'!D:D=M77, '製造效能'!E:E=""清洗""), 1))"),10)</f>
        <v>10</v>
      </c>
      <c r="AB77" s="35" t="str">
        <f ca="1">IFERROR(__xludf.DUMMYFUNCTION("IFERROR(INDEX(FILTER('製造效能'!N:N, '製造效能'!$A:$A=$C77, '製造效能'!$D:$D=$M77, '製造效能'!$E:$E=""攪料""), 1), INDEX(FILTER('製造效能'!N:N, '製造效能'!$B:$B=$D77, '製造效能'!$D:$D=$M77, '製造效能'!$E:$E=""攪料""), 1))"),"")</f>
        <v/>
      </c>
      <c r="AC77" s="35">
        <f ca="1">IFERROR(__xludf.DUMMYFUNCTION("IFERROR(INDEX(FILTER('製造效能'!O:O, '製造效能'!$A:$A=$C77, '製造效能'!$D:$D=$M77, '製造效能'!$E:$E=""攪料""), 1), INDEX(FILTER('製造效能'!O:O, '製造效能'!$B:$B=$D77, '製造效能'!$D:$D=$M77, '製造效能'!$E:$E=""攪料""), 1))"),1)</f>
        <v>1</v>
      </c>
      <c r="AD77" s="35" t="str">
        <f ca="1">IFERROR(__xludf.DUMMYFUNCTION("IFERROR(INDEX(FILTER('製造效能'!P:P, '製造效能'!$A:$A=$C77, '製造效能'!$D:$D=$M77, '製造效能'!$E:$E=""攪料""), 1), INDEX(FILTER('製造效能'!P:P, '製造效能'!$B:$B=$D77, '製造效能'!$D:$D=$M77, '製造效能'!$E:$E=""攪料""), 1))"),"")</f>
        <v/>
      </c>
      <c r="AE77" s="35" t="str">
        <f ca="1">IFERROR(__xludf.DUMMYFUNCTION("IFERROR(INDEX(FILTER('製造效能'!Q:Q, '製造效能'!$A:$A=$C77, '製造效能'!$D:$D=$M77, '製造效能'!$E:$E=""攪料""), 1), INDEX(FILTER('製造效能'!Q:Q, '製造效能'!$B:$B=$D77, '製造效能'!$D:$D=$M77, '製造效能'!$E:$E=""攪料""), 1))"),"")</f>
        <v/>
      </c>
      <c r="AF77" s="35" t="str">
        <f ca="1">IFERROR(__xludf.DUMMYFUNCTION("IFERROR(INDEX(FILTER('製造效能'!R:R, '製造效能'!$A:$A=$C77, '製造效能'!$D:$D=$M77, '製造效能'!$E:$E=""攪料""), 1), INDEX(FILTER('製造效能'!R:R, '製造效能'!$B:$B=$D77, '製造效能'!$D:$D=$M77, '製造效能'!$E:$E=""攪料""), 1))"),"")</f>
        <v/>
      </c>
      <c r="AG77" s="35" t="str">
        <f ca="1">IFERROR(__xludf.DUMMYFUNCTION("IFERROR(INDEX(FILTER('製造效能'!S:S, '製造效能'!$A:$A=$C77, '製造效能'!$D:$D=$M77, '製造效能'!$E:$E=""攪料""), 1), INDEX(FILTER('製造效能'!S:S, '製造效能'!$B:$B=$D77, '製造效能'!$D:$D=$M77, '製造效能'!$E:$E=""攪料""), 1))"),"")</f>
        <v/>
      </c>
      <c r="AH77" s="35" t="str">
        <f ca="1">IFERROR(__xludf.DUMMYFUNCTION("IFERROR(INDEX(FILTER('製造效能'!T:T, '製造效能'!$A:$A=$C77, '製造效能'!$D:$D=$M77, '製造效能'!$E:$E=""攪料""), 1), INDEX(FILTER('製造效能'!T:T, '製造效能'!$B:$B=$D77, '製造效能'!$D:$D=$M77, '製造效能'!$E:$E=""攪料""), 1))"),"")</f>
        <v/>
      </c>
      <c r="AI77" s="35" t="str">
        <f ca="1">IFERROR(__xludf.DUMMYFUNCTION("IFERROR(INDEX(FILTER('製造效能'!U:U, '製造效能'!$A:$A=$C77, '製造效能'!$D:$D=$M77, '製造效能'!$E:$E=""攪料""), 1), INDEX(FILTER('製造效能'!U:U, '製造效能'!$B:$B=$D77, '製造效能'!$D:$D=$M77, '製造效能'!$E:$E=""攪料""), 1))"),"")</f>
        <v/>
      </c>
      <c r="AJ77" s="35" t="str">
        <f ca="1">IFERROR(__xludf.DUMMYFUNCTION("IFERROR(INDEX(FILTER('製造效能'!V:V, '製造效能'!$A:$A=$C77, '製造效能'!$D:$D=$M77, '製造效能'!$E:$E=""攪料""), 1), INDEX(FILTER('製造效能'!V:V, '製造效能'!$B:$B=$D77, '製造效能'!$D:$D=$M77, '製造效能'!$E:$E=""攪料""), 1))"),"")</f>
        <v/>
      </c>
      <c r="AK77" s="35">
        <f>COUNTIF(充填效能!$A:$A, $C77)</f>
        <v>2</v>
      </c>
      <c r="AL77" s="36" t="str">
        <f ca="1">IFERROR(__xludf.DUMMYFUNCTION("IFERROR(INDEX(FILTER('充填效能'!$Q$2:$Q$1088, '充填效能'!$A$2:$A$1088=$C77, '充填效能'!$D$2:$D$1088=""排瓶""), 1), 0)"),"1500")</f>
        <v>1500</v>
      </c>
      <c r="AM77" s="36">
        <f ca="1">IFERROR(__xludf.DUMMYFUNCTION("IFERROR(INDEX(FILTER('充填效能'!$R$2:$R$1088, '充填效能'!$A$2:$A$1088=$C77, '充填效能'!$D$2:$D$1088=""排瓶""), 1), 0)"),1)</f>
        <v>1</v>
      </c>
      <c r="AN77" s="35">
        <f t="shared" ca="1" si="5"/>
        <v>2</v>
      </c>
      <c r="AO77" s="36" t="str">
        <f ca="1">IFERROR(__xludf.DUMMYFUNCTION("IFERROR(INDEX(FILTER('充填效能'!$Q$2:$Q$1088, '充填效能'!$A$2:$A$1088=$C77, '充填效能'!$D$2:$D$1088=""充填""), 1), 0)"),"850")</f>
        <v>850</v>
      </c>
      <c r="AP77" s="36">
        <f ca="1">IFERROR(__xludf.DUMMYFUNCTION("IFERROR(INDEX(FILTER('充填效能'!$R$2:$R$1088, '充填效能'!$A$2:$A$1088=$C77, '充填效能'!$D$2:$D$1088=""充填""), 1), 0)"),4)</f>
        <v>4</v>
      </c>
      <c r="AQ77" s="35">
        <f t="shared" ca="1" si="6"/>
        <v>3.5294117647058822</v>
      </c>
      <c r="AR77" s="17">
        <f t="shared" ca="1" si="7"/>
        <v>14.117647058823529</v>
      </c>
    </row>
    <row r="78" spans="1:44" ht="15.75" customHeight="1">
      <c r="A78" s="9" t="s">
        <v>239</v>
      </c>
      <c r="B78" s="34">
        <f t="shared" si="0"/>
        <v>45056</v>
      </c>
      <c r="C78" s="9" t="s">
        <v>244</v>
      </c>
      <c r="D78" s="17" t="str">
        <f t="shared" si="1"/>
        <v>DC23H1</v>
      </c>
      <c r="E78" s="9" t="s">
        <v>245</v>
      </c>
      <c r="F78" s="9">
        <v>1000</v>
      </c>
      <c r="G78" s="10">
        <v>45120</v>
      </c>
      <c r="H78" s="10">
        <v>45104</v>
      </c>
      <c r="I78" s="10">
        <v>45027</v>
      </c>
      <c r="J78" s="10">
        <v>45091</v>
      </c>
      <c r="L78" s="17" t="str">
        <f ca="1">IFERROR(__xludf.DUMMYFUNCTION("TEXTJOIN("", "", TRUE, UNIQUE(FILTER('製造效能'!$D$2:$D$1732, '製造效能'!$B$2:$B$1732 = D78)))"),"精")</f>
        <v>精</v>
      </c>
      <c r="M78" s="17" t="str">
        <f ca="1">IFERROR(__xludf.DUMMYFUNCTION("INDEX(UNIQUE(FILTER('製造效能'!$D$2:$D$1732, ('製造效能'!$B$2:$B$1732 = D78) * ('製造效能'!$J$2:$J$1732 = MAXIFS('製造效能'!$J$2:$J$1732, '製造效能'!$B$2:$B$1732, D78)))), 1) 
"),"精")</f>
        <v>精</v>
      </c>
      <c r="N78" s="17" t="str">
        <f ca="1">IFERROR(__xludf.DUMMYFUNCTION("TEXTJOIN("", "", TRUE, UNIQUE(FILTER('製造效能'!$K$2:$K$1732, '製造效能'!$B$2:$B$1732 = D78)))"),"水項")</f>
        <v>水項</v>
      </c>
      <c r="O78" s="35">
        <f ca="1">IFERROR(__xludf.DUMMYFUNCTION("IFERROR(INDEX(FILTER('充填效能'!I$2:I$1088, '充填效能'!$A$2:$A$1088=$C78, '充填效能'!$D$2:$D$1088=""充填""), 1), 0)"),48.5)</f>
        <v>48.5</v>
      </c>
      <c r="P78" s="35" t="str">
        <f ca="1">IFERROR(__xludf.DUMMYFUNCTION("IFERROR(INDEX(FILTER('充填效能'!J$2:J$1088, '充填效能'!$A$2:$A$1088=$C78, '充填效能'!$D$2:$D$1088=""充填""), 1), 0)"),"")</f>
        <v/>
      </c>
      <c r="Q78" s="35" t="str">
        <f ca="1">IFERROR(__xludf.DUMMYFUNCTION("IFERROR(INDEX(FILTER('充填效能'!K$2:K$1088, '充填效能'!$A$2:$A$1088=$C78, '充填效能'!$D$2:$D$1088=""充填""), 1), 0)"),"")</f>
        <v/>
      </c>
      <c r="R78" s="35" t="str">
        <f ca="1">IFERROR(__xludf.DUMMYFUNCTION("IFERROR(INDEX(FILTER('充填效能'!L$2:L$1088, '充填效能'!$A$2:$A$1088=$C78, '充填效能'!$D$2:$D$1088=""充填""), 1), 0)"),"")</f>
        <v/>
      </c>
      <c r="S78" s="35">
        <f ca="1">COUNTIFS(製造效能!B:B, $D78,製造效能!D:D,M78)</f>
        <v>3</v>
      </c>
      <c r="T78" s="36">
        <f ca="1">IFERROR(__xludf.DUMMYFUNCTION("VALUE(REGEXEXTRACT(TO_TEXT(O78), ""\d*\.?\d+""))"),48.5)</f>
        <v>48.5</v>
      </c>
      <c r="U78" s="17">
        <f t="shared" ca="1" si="2"/>
        <v>49227.499999999993</v>
      </c>
      <c r="V78" s="17">
        <f ca="1">IFERROR(__xludf.DUMMYFUNCTION("IFERROR(INDEX(FILTER('製造效能'!J:J, '製造效能'!A:A=$C78, '製造效能'!D:D=M78, '製造效能'!E:E=""攪料""), 1), INDEX(FILTER('製造效能'!J:J, '製造效能'!B:B=$D78, '製造效能'!D:D=M78, '製造效能'!E:E=""攪料""), 1))"),70)</f>
        <v>70</v>
      </c>
      <c r="W78" s="36">
        <f ca="1">IFERROR(__xludf.DUMMYFUNCTION("IFERROR(INDEX(FILTER('製造效能'!G:G, '製造效能'!A:A=$C78, '製造效能'!D:D=M78, '製造效能'!E:E=""攪料""), 1), INDEX(FILTER('製造效能'!G:G, '製造效能'!B:B=$D78, '製造效能'!D:D=M78, '製造效能'!E:E=""攪料""), 1))"),125)</f>
        <v>125</v>
      </c>
      <c r="X78" s="35">
        <f t="shared" ca="1" si="3"/>
        <v>1</v>
      </c>
      <c r="Y78" s="35">
        <f t="shared" ca="1" si="4"/>
        <v>125</v>
      </c>
      <c r="Z78" s="35">
        <f ca="1">IFERROR(__xludf.DUMMYFUNCTION("IFERROR(IFERROR(INDEX(FILTER('製造效能'!G:G, '製造效能'!A:A=$C78, '製造效能'!D:D=M78, '製造效能'!E:E=""預攪""), 1), INDEX(FILTER('製造效能'!G:G, '製造效能'!B:B=$D78, '製造效能'!D:D=M78, '製造效能'!E:E=""預攪""), 1)), 0)"),35)</f>
        <v>35</v>
      </c>
      <c r="AA78" s="35">
        <f ca="1">IFERROR(__xludf.DUMMYFUNCTION("IFERROR(INDEX(FILTER('製造效能'!G:G, '製造效能'!A:A=$C78, '製造效能'!D:D=M78, '製造效能'!E:E=""清洗""), 1), INDEX(FILTER('製造效能'!G:G, '製造效能'!B:B=$D78, '製造效能'!D:D=M78, '製造效能'!E:E=""清洗""), 1))"),15)</f>
        <v>15</v>
      </c>
      <c r="AB78" s="35" t="str">
        <f ca="1">IFERROR(__xludf.DUMMYFUNCTION("IFERROR(INDEX(FILTER('製造效能'!N:N, '製造效能'!$A:$A=$C78, '製造效能'!$D:$D=$M78, '製造效能'!$E:$E=""攪料""), 1), INDEX(FILTER('製造效能'!N:N, '製造效能'!$B:$B=$D78, '製造效能'!$D:$D=$M78, '製造效能'!$E:$E=""攪料""), 1))"),"")</f>
        <v/>
      </c>
      <c r="AC78" s="35">
        <f ca="1">IFERROR(__xludf.DUMMYFUNCTION("IFERROR(INDEX(FILTER('製造效能'!O:O, '製造效能'!$A:$A=$C78, '製造效能'!$D:$D=$M78, '製造效能'!$E:$E=""攪料""), 1), INDEX(FILTER('製造效能'!O:O, '製造效能'!$B:$B=$D78, '製造效能'!$D:$D=$M78, '製造效能'!$E:$E=""攪料""), 1))"),1)</f>
        <v>1</v>
      </c>
      <c r="AD78" s="35" t="str">
        <f ca="1">IFERROR(__xludf.DUMMYFUNCTION("IFERROR(INDEX(FILTER('製造效能'!P:P, '製造效能'!$A:$A=$C78, '製造效能'!$D:$D=$M78, '製造效能'!$E:$E=""攪料""), 1), INDEX(FILTER('製造效能'!P:P, '製造效能'!$B:$B=$D78, '製造效能'!$D:$D=$M78, '製造效能'!$E:$E=""攪料""), 1))"),"")</f>
        <v/>
      </c>
      <c r="AE78" s="35" t="str">
        <f ca="1">IFERROR(__xludf.DUMMYFUNCTION("IFERROR(INDEX(FILTER('製造效能'!Q:Q, '製造效能'!$A:$A=$C78, '製造效能'!$D:$D=$M78, '製造效能'!$E:$E=""攪料""), 1), INDEX(FILTER('製造效能'!Q:Q, '製造效能'!$B:$B=$D78, '製造效能'!$D:$D=$M78, '製造效能'!$E:$E=""攪料""), 1))"),"")</f>
        <v/>
      </c>
      <c r="AF78" s="35" t="str">
        <f ca="1">IFERROR(__xludf.DUMMYFUNCTION("IFERROR(INDEX(FILTER('製造效能'!R:R, '製造效能'!$A:$A=$C78, '製造效能'!$D:$D=$M78, '製造效能'!$E:$E=""攪料""), 1), INDEX(FILTER('製造效能'!R:R, '製造效能'!$B:$B=$D78, '製造效能'!$D:$D=$M78, '製造效能'!$E:$E=""攪料""), 1))"),"")</f>
        <v/>
      </c>
      <c r="AG78" s="35" t="str">
        <f ca="1">IFERROR(__xludf.DUMMYFUNCTION("IFERROR(INDEX(FILTER('製造效能'!S:S, '製造效能'!$A:$A=$C78, '製造效能'!$D:$D=$M78, '製造效能'!$E:$E=""攪料""), 1), INDEX(FILTER('製造效能'!S:S, '製造效能'!$B:$B=$D78, '製造效能'!$D:$D=$M78, '製造效能'!$E:$E=""攪料""), 1))"),"")</f>
        <v/>
      </c>
      <c r="AH78" s="35" t="str">
        <f ca="1">IFERROR(__xludf.DUMMYFUNCTION("IFERROR(INDEX(FILTER('製造效能'!T:T, '製造效能'!$A:$A=$C78, '製造效能'!$D:$D=$M78, '製造效能'!$E:$E=""攪料""), 1), INDEX(FILTER('製造效能'!T:T, '製造效能'!$B:$B=$D78, '製造效能'!$D:$D=$M78, '製造效能'!$E:$E=""攪料""), 1))"),"")</f>
        <v/>
      </c>
      <c r="AI78" s="35" t="str">
        <f ca="1">IFERROR(__xludf.DUMMYFUNCTION("IFERROR(INDEX(FILTER('製造效能'!U:U, '製造效能'!$A:$A=$C78, '製造效能'!$D:$D=$M78, '製造效能'!$E:$E=""攪料""), 1), INDEX(FILTER('製造效能'!U:U, '製造效能'!$B:$B=$D78, '製造效能'!$D:$D=$M78, '製造效能'!$E:$E=""攪料""), 1))"),"")</f>
        <v/>
      </c>
      <c r="AJ78" s="35" t="str">
        <f ca="1">IFERROR(__xludf.DUMMYFUNCTION("IFERROR(INDEX(FILTER('製造效能'!V:V, '製造效能'!$A:$A=$C78, '製造效能'!$D:$D=$M78, '製造效能'!$E:$E=""攪料""), 1), INDEX(FILTER('製造效能'!V:V, '製造效能'!$B:$B=$D78, '製造效能'!$D:$D=$M78, '製造效能'!$E:$E=""攪料""), 1))"),"")</f>
        <v/>
      </c>
      <c r="AK78" s="35">
        <f>COUNTIF(充填效能!$A:$A, $C78)</f>
        <v>2</v>
      </c>
      <c r="AL78" s="36" t="str">
        <f ca="1">IFERROR(__xludf.DUMMYFUNCTION("IFERROR(INDEX(FILTER('充填效能'!$Q$2:$Q$1088, '充填效能'!$A$2:$A$1088=$C78, '充填效能'!$D$2:$D$1088=""排瓶""), 1), 0)"),"1300")</f>
        <v>1300</v>
      </c>
      <c r="AM78" s="36">
        <f ca="1">IFERROR(__xludf.DUMMYFUNCTION("IFERROR(INDEX(FILTER('充填效能'!$R$2:$R$1088, '充填效能'!$A$2:$A$1088=$C78, '充填效能'!$D$2:$D$1088=""排瓶""), 1), 0)"),1)</f>
        <v>1</v>
      </c>
      <c r="AN78" s="35">
        <f t="shared" ca="1" si="5"/>
        <v>0.76923076923076927</v>
      </c>
      <c r="AO78" s="36" t="str">
        <f ca="1">IFERROR(__xludf.DUMMYFUNCTION("IFERROR(INDEX(FILTER('充填效能'!$Q$2:$Q$1088, '充填效能'!$A$2:$A$1088=$C78, '充填效能'!$D$2:$D$1088=""充填""), 1), 0)"),"1100")</f>
        <v>1100</v>
      </c>
      <c r="AP78" s="36">
        <f ca="1">IFERROR(__xludf.DUMMYFUNCTION("IFERROR(INDEX(FILTER('充填效能'!$R$2:$R$1088, '充填效能'!$A$2:$A$1088=$C78, '充填效能'!$D$2:$D$1088=""充填""), 1), 0)"),4)</f>
        <v>4</v>
      </c>
      <c r="AQ78" s="35">
        <f t="shared" ca="1" si="6"/>
        <v>0.90909090909090906</v>
      </c>
      <c r="AR78" s="17">
        <f t="shared" ca="1" si="7"/>
        <v>3.6363636363636362</v>
      </c>
    </row>
    <row r="79" spans="1:44" ht="15.75" customHeight="1">
      <c r="A79" s="9" t="s">
        <v>243</v>
      </c>
      <c r="B79" s="34">
        <f t="shared" si="0"/>
        <v>45008</v>
      </c>
      <c r="C79" s="9" t="s">
        <v>224</v>
      </c>
      <c r="D79" s="17" t="str">
        <f t="shared" si="1"/>
        <v>BX19D2</v>
      </c>
      <c r="E79" s="9" t="s">
        <v>225</v>
      </c>
      <c r="F79" s="9">
        <v>3000</v>
      </c>
      <c r="G79" s="10">
        <v>45106</v>
      </c>
      <c r="H79" s="10">
        <v>45104</v>
      </c>
      <c r="I79" s="10">
        <v>45063</v>
      </c>
      <c r="J79" s="10">
        <v>45089</v>
      </c>
      <c r="L79" s="17" t="str">
        <f ca="1">IFERROR(__xludf.DUMMYFUNCTION("TEXTJOIN("", "", TRUE, UNIQUE(FILTER('製造效能'!$D$2:$D$1732, '製造效能'!$B$2:$B$1732 = D79)))"),"精")</f>
        <v>精</v>
      </c>
      <c r="M79" s="17" t="str">
        <f ca="1">IFERROR(__xludf.DUMMYFUNCTION("INDEX(UNIQUE(FILTER('製造效能'!$D$2:$D$1732, ('製造效能'!$B$2:$B$1732 = D79) * ('製造效能'!$J$2:$J$1732 = MAXIFS('製造效能'!$J$2:$J$1732, '製造效能'!$B$2:$B$1732, D79)))), 1) 
"),"精")</f>
        <v>精</v>
      </c>
      <c r="N79" s="17" t="str">
        <f ca="1">IFERROR(__xludf.DUMMYFUNCTION("TEXTJOIN("", "", TRUE, UNIQUE(FILTER('製造效能'!$K$2:$K$1732, '製造效能'!$B$2:$B$1732 = D79)))"),"水項")</f>
        <v>水項</v>
      </c>
      <c r="O79" s="35">
        <f ca="1">IFERROR(__xludf.DUMMYFUNCTION("IFERROR(INDEX(FILTER('充填效能'!I$2:I$1088, '充填效能'!$A$2:$A$1088=$C79, '充填效能'!$D$2:$D$1088=""充填""), 1), 0)"),1.72)</f>
        <v>1.72</v>
      </c>
      <c r="P79" s="35" t="str">
        <f ca="1">IFERROR(__xludf.DUMMYFUNCTION("IFERROR(INDEX(FILTER('充填效能'!J$2:J$1088, '充填效能'!$A$2:$A$1088=$C79, '充填效能'!$D$2:$D$1088=""充填""), 1), 0)"),"")</f>
        <v/>
      </c>
      <c r="Q79" s="35" t="str">
        <f ca="1">IFERROR(__xludf.DUMMYFUNCTION("IFERROR(INDEX(FILTER('充填效能'!K$2:K$1088, '充填效能'!$A$2:$A$1088=$C79, '充填效能'!$D$2:$D$1088=""充填""), 1), 0)"),"")</f>
        <v/>
      </c>
      <c r="R79" s="35" t="str">
        <f ca="1">IFERROR(__xludf.DUMMYFUNCTION("IFERROR(INDEX(FILTER('充填效能'!L$2:L$1088, '充填效能'!$A$2:$A$1088=$C79, '充填效能'!$D$2:$D$1088=""充填""), 1), 0)"),"")</f>
        <v/>
      </c>
      <c r="S79" s="35">
        <f ca="1">COUNTIFS(製造效能!B:B, $D79,製造效能!D:D,M79)</f>
        <v>3</v>
      </c>
      <c r="T79" s="36">
        <f ca="1">IFERROR(__xludf.DUMMYFUNCTION("VALUE(REGEXEXTRACT(TO_TEXT(O79), ""\d*\.?\d+""))"),1.72)</f>
        <v>1.72</v>
      </c>
      <c r="U79" s="17">
        <f t="shared" ca="1" si="2"/>
        <v>5237.3999999999996</v>
      </c>
      <c r="V79" s="17">
        <f ca="1">IFERROR(__xludf.DUMMYFUNCTION("IFERROR(INDEX(FILTER('製造效能'!J:J, '製造效能'!A:A=$C79, '製造效能'!D:D=M79, '製造效能'!E:E=""攪料""), 1), INDEX(FILTER('製造效能'!J:J, '製造效能'!B:B=$D79, '製造效能'!D:D=M79, '製造效能'!E:E=""攪料""), 1))"),100)</f>
        <v>100</v>
      </c>
      <c r="W79" s="36">
        <f ca="1">IFERROR(__xludf.DUMMYFUNCTION("IFERROR(INDEX(FILTER('製造效能'!G:G, '製造效能'!A:A=$C79, '製造效能'!D:D=M79, '製造效能'!E:E=""攪料""), 1), INDEX(FILTER('製造效能'!G:G, '製造效能'!B:B=$D79, '製造效能'!D:D=M79, '製造效能'!E:E=""攪料""), 1))"),60)</f>
        <v>60</v>
      </c>
      <c r="X79" s="35">
        <f t="shared" ca="1" si="3"/>
        <v>1</v>
      </c>
      <c r="Y79" s="35">
        <f t="shared" ca="1" si="4"/>
        <v>60</v>
      </c>
      <c r="Z79" s="35">
        <f ca="1">IFERROR(__xludf.DUMMYFUNCTION("IFERROR(IFERROR(INDEX(FILTER('製造效能'!G:G, '製造效能'!A:A=$C79, '製造效能'!D:D=M79, '製造效能'!E:E=""預攪""), 1), INDEX(FILTER('製造效能'!G:G, '製造效能'!B:B=$D79, '製造效能'!D:D=M79, '製造效能'!E:E=""預攪""), 1)), 0)"),50)</f>
        <v>50</v>
      </c>
      <c r="AA79" s="35">
        <f ca="1">IFERROR(__xludf.DUMMYFUNCTION("IFERROR(INDEX(FILTER('製造效能'!G:G, '製造效能'!A:A=$C79, '製造效能'!D:D=M79, '製造效能'!E:E=""清洗""), 1), INDEX(FILTER('製造效能'!G:G, '製造效能'!B:B=$D79, '製造效能'!D:D=M79, '製造效能'!E:E=""清洗""), 1))"),10)</f>
        <v>10</v>
      </c>
      <c r="AB79" s="35" t="str">
        <f ca="1">IFERROR(__xludf.DUMMYFUNCTION("IFERROR(INDEX(FILTER('製造效能'!N:N, '製造效能'!$A:$A=$C79, '製造效能'!$D:$D=$M79, '製造效能'!$E:$E=""攪料""), 1), INDEX(FILTER('製造效能'!N:N, '製造效能'!$B:$B=$D79, '製造效能'!$D:$D=$M79, '製造效能'!$E:$E=""攪料""), 1))"),"")</f>
        <v/>
      </c>
      <c r="AC79" s="35">
        <f ca="1">IFERROR(__xludf.DUMMYFUNCTION("IFERROR(INDEX(FILTER('製造效能'!O:O, '製造效能'!$A:$A=$C79, '製造效能'!$D:$D=$M79, '製造效能'!$E:$E=""攪料""), 1), INDEX(FILTER('製造效能'!O:O, '製造效能'!$B:$B=$D79, '製造效能'!$D:$D=$M79, '製造效能'!$E:$E=""攪料""), 1))"),1)</f>
        <v>1</v>
      </c>
      <c r="AD79" s="35" t="str">
        <f ca="1">IFERROR(__xludf.DUMMYFUNCTION("IFERROR(INDEX(FILTER('製造效能'!P:P, '製造效能'!$A:$A=$C79, '製造效能'!$D:$D=$M79, '製造效能'!$E:$E=""攪料""), 1), INDEX(FILTER('製造效能'!P:P, '製造效能'!$B:$B=$D79, '製造效能'!$D:$D=$M79, '製造效能'!$E:$E=""攪料""), 1))"),"")</f>
        <v/>
      </c>
      <c r="AE79" s="35" t="str">
        <f ca="1">IFERROR(__xludf.DUMMYFUNCTION("IFERROR(INDEX(FILTER('製造效能'!Q:Q, '製造效能'!$A:$A=$C79, '製造效能'!$D:$D=$M79, '製造效能'!$E:$E=""攪料""), 1), INDEX(FILTER('製造效能'!Q:Q, '製造效能'!$B:$B=$D79, '製造效能'!$D:$D=$M79, '製造效能'!$E:$E=""攪料""), 1))"),"")</f>
        <v/>
      </c>
      <c r="AF79" s="35" t="str">
        <f ca="1">IFERROR(__xludf.DUMMYFUNCTION("IFERROR(INDEX(FILTER('製造效能'!R:R, '製造效能'!$A:$A=$C79, '製造效能'!$D:$D=$M79, '製造效能'!$E:$E=""攪料""), 1), INDEX(FILTER('製造效能'!R:R, '製造效能'!$B:$B=$D79, '製造效能'!$D:$D=$M79, '製造效能'!$E:$E=""攪料""), 1))"),"")</f>
        <v/>
      </c>
      <c r="AG79" s="35" t="str">
        <f ca="1">IFERROR(__xludf.DUMMYFUNCTION("IFERROR(INDEX(FILTER('製造效能'!S:S, '製造效能'!$A:$A=$C79, '製造效能'!$D:$D=$M79, '製造效能'!$E:$E=""攪料""), 1), INDEX(FILTER('製造效能'!S:S, '製造效能'!$B:$B=$D79, '製造效能'!$D:$D=$M79, '製造效能'!$E:$E=""攪料""), 1))"),"")</f>
        <v/>
      </c>
      <c r="AH79" s="35" t="str">
        <f ca="1">IFERROR(__xludf.DUMMYFUNCTION("IFERROR(INDEX(FILTER('製造效能'!T:T, '製造效能'!$A:$A=$C79, '製造效能'!$D:$D=$M79, '製造效能'!$E:$E=""攪料""), 1), INDEX(FILTER('製造效能'!T:T, '製造效能'!$B:$B=$D79, '製造效能'!$D:$D=$M79, '製造效能'!$E:$E=""攪料""), 1))"),"")</f>
        <v/>
      </c>
      <c r="AI79" s="35" t="str">
        <f ca="1">IFERROR(__xludf.DUMMYFUNCTION("IFERROR(INDEX(FILTER('製造效能'!U:U, '製造效能'!$A:$A=$C79, '製造效能'!$D:$D=$M79, '製造效能'!$E:$E=""攪料""), 1), INDEX(FILTER('製造效能'!U:U, '製造效能'!$B:$B=$D79, '製造效能'!$D:$D=$M79, '製造效能'!$E:$E=""攪料""), 1))"),"")</f>
        <v/>
      </c>
      <c r="AJ79" s="35" t="str">
        <f ca="1">IFERROR(__xludf.DUMMYFUNCTION("IFERROR(INDEX(FILTER('製造效能'!V:V, '製造效能'!$A:$A=$C79, '製造效能'!$D:$D=$M79, '製造效能'!$E:$E=""攪料""), 1), INDEX(FILTER('製造效能'!V:V, '製造效能'!$B:$B=$D79, '製造效能'!$D:$D=$M79, '製造效能'!$E:$E=""攪料""), 1))"),"")</f>
        <v/>
      </c>
      <c r="AK79" s="35">
        <f>COUNTIF(充填效能!$A:$A, $C79)</f>
        <v>2</v>
      </c>
      <c r="AL79" s="36" t="str">
        <f ca="1">IFERROR(__xludf.DUMMYFUNCTION("IFERROR(INDEX(FILTER('充填效能'!$Q$2:$Q$1088, '充填效能'!$A$2:$A$1088=$C79, '充填效能'!$D$2:$D$1088=""排瓶""), 1), 0)"),"1500")</f>
        <v>1500</v>
      </c>
      <c r="AM79" s="36">
        <f ca="1">IFERROR(__xludf.DUMMYFUNCTION("IFERROR(INDEX(FILTER('充填效能'!$R$2:$R$1088, '充填效能'!$A$2:$A$1088=$C79, '充填效能'!$D$2:$D$1088=""排瓶""), 1), 0)"),1)</f>
        <v>1</v>
      </c>
      <c r="AN79" s="35">
        <f t="shared" ca="1" si="5"/>
        <v>2</v>
      </c>
      <c r="AO79" s="36" t="str">
        <f ca="1">IFERROR(__xludf.DUMMYFUNCTION("IFERROR(INDEX(FILTER('充填效能'!$Q$2:$Q$1088, '充填效能'!$A$2:$A$1088=$C79, '充填效能'!$D$2:$D$1088=""充填""), 1), 0)"),"900")</f>
        <v>900</v>
      </c>
      <c r="AP79" s="36">
        <f ca="1">IFERROR(__xludf.DUMMYFUNCTION("IFERROR(INDEX(FILTER('充填效能'!$R$2:$R$1088, '充填效能'!$A$2:$A$1088=$C79, '充填效能'!$D$2:$D$1088=""充填""), 1), 0)"),4)</f>
        <v>4</v>
      </c>
      <c r="AQ79" s="35">
        <f t="shared" ca="1" si="6"/>
        <v>3.3333333333333335</v>
      </c>
      <c r="AR79" s="17">
        <f t="shared" ca="1" si="7"/>
        <v>13.333333333333334</v>
      </c>
    </row>
    <row r="80" spans="1:44" ht="15.75" customHeight="1">
      <c r="A80" s="9" t="s">
        <v>246</v>
      </c>
      <c r="B80" s="34">
        <f t="shared" si="0"/>
        <v>45071</v>
      </c>
      <c r="C80" s="9" t="s">
        <v>247</v>
      </c>
      <c r="D80" s="17" t="str">
        <f t="shared" si="1"/>
        <v>BY22F1</v>
      </c>
      <c r="E80" s="9" t="s">
        <v>248</v>
      </c>
      <c r="F80" s="9">
        <v>3000</v>
      </c>
      <c r="G80" s="10">
        <v>45121</v>
      </c>
      <c r="H80" s="10">
        <v>45105</v>
      </c>
      <c r="I80" s="10">
        <v>45079</v>
      </c>
      <c r="J80" s="10">
        <v>45093</v>
      </c>
      <c r="L80" s="17" t="str">
        <f ca="1">IFERROR(__xludf.DUMMYFUNCTION("TEXTJOIN("", "", TRUE, UNIQUE(FILTER('製造效能'!$D$2:$D$1732, '製造效能'!$B$2:$B$1732 = D80)))"),"精")</f>
        <v>精</v>
      </c>
      <c r="M80" s="17" t="str">
        <f ca="1">IFERROR(__xludf.DUMMYFUNCTION("INDEX(UNIQUE(FILTER('製造效能'!$D$2:$D$1732, ('製造效能'!$B$2:$B$1732 = D80) * ('製造效能'!$J$2:$J$1732 = MAXIFS('製造效能'!$J$2:$J$1732, '製造效能'!$B$2:$B$1732, D80)))), 1) 
"),"精")</f>
        <v>精</v>
      </c>
      <c r="N80" s="17" t="str">
        <f ca="1">IFERROR(__xludf.DUMMYFUNCTION("TEXTJOIN("", "", TRUE, UNIQUE(FILTER('製造效能'!$K$2:$K$1732, '製造效能'!$B$2:$B$1732 = D80)))"),"水項")</f>
        <v>水項</v>
      </c>
      <c r="O80" s="35">
        <f ca="1">IFERROR(__xludf.DUMMYFUNCTION("IFERROR(INDEX(FILTER('充填效能'!I$2:I$1088, '充填效能'!$A$2:$A$1088=$C80, '充填效能'!$D$2:$D$1088=""充填""), 1), 0)"),15)</f>
        <v>15</v>
      </c>
      <c r="P80" s="35" t="str">
        <f ca="1">IFERROR(__xludf.DUMMYFUNCTION("IFERROR(INDEX(FILTER('充填效能'!J$2:J$1088, '充填效能'!$A$2:$A$1088=$C80, '充填效能'!$D$2:$D$1088=""充填""), 1), 0)"),"")</f>
        <v/>
      </c>
      <c r="Q80" s="35" t="str">
        <f ca="1">IFERROR(__xludf.DUMMYFUNCTION("IFERROR(INDEX(FILTER('充填效能'!K$2:K$1088, '充填效能'!$A$2:$A$1088=$C80, '充填效能'!$D$2:$D$1088=""充填""), 1), 0)"),"")</f>
        <v/>
      </c>
      <c r="R80" s="35" t="str">
        <f ca="1">IFERROR(__xludf.DUMMYFUNCTION("IFERROR(INDEX(FILTER('充填效能'!L$2:L$1088, '充填效能'!$A$2:$A$1088=$C80, '充填效能'!$D$2:$D$1088=""充填""), 1), 0)"),"")</f>
        <v/>
      </c>
      <c r="S80" s="35">
        <f ca="1">COUNTIFS(製造效能!B:B, $D80,製造效能!D:D,M80)</f>
        <v>3</v>
      </c>
      <c r="T80" s="36">
        <f ca="1">IFERROR(__xludf.DUMMYFUNCTION("VALUE(REGEXEXTRACT(TO_TEXT(O80), ""\d*\.?\d+""))"),15)</f>
        <v>15</v>
      </c>
      <c r="U80" s="17">
        <f t="shared" ca="1" si="2"/>
        <v>45674.999999999993</v>
      </c>
      <c r="V80" s="17">
        <f ca="1">IFERROR(__xludf.DUMMYFUNCTION("IFERROR(INDEX(FILTER('製造效能'!J:J, '製造效能'!A:A=$C80, '製造效能'!D:D=M80, '製造效能'!E:E=""攪料""), 1), INDEX(FILTER('製造效能'!J:J, '製造效能'!B:B=$D80, '製造效能'!D:D=M80, '製造效能'!E:E=""攪料""), 1))"),100)</f>
        <v>100</v>
      </c>
      <c r="W80" s="36">
        <f ca="1">IFERROR(__xludf.DUMMYFUNCTION("IFERROR(INDEX(FILTER('製造效能'!G:G, '製造效能'!A:A=$C80, '製造效能'!D:D=M80, '製造效能'!E:E=""攪料""), 1), INDEX(FILTER('製造效能'!G:G, '製造效能'!B:B=$D80, '製造效能'!D:D=M80, '製造效能'!E:E=""攪料""), 1))"),40)</f>
        <v>40</v>
      </c>
      <c r="X80" s="35">
        <f t="shared" ca="1" si="3"/>
        <v>1</v>
      </c>
      <c r="Y80" s="35">
        <f t="shared" ca="1" si="4"/>
        <v>40</v>
      </c>
      <c r="Z80" s="35">
        <f ca="1">IFERROR(__xludf.DUMMYFUNCTION("IFERROR(IFERROR(INDEX(FILTER('製造效能'!G:G, '製造效能'!A:A=$C80, '製造效能'!D:D=M80, '製造效能'!E:E=""預攪""), 1), INDEX(FILTER('製造效能'!G:G, '製造效能'!B:B=$D80, '製造效能'!D:D=M80, '製造效能'!E:E=""預攪""), 1)), 0)"),70)</f>
        <v>70</v>
      </c>
      <c r="AA80" s="35">
        <f ca="1">IFERROR(__xludf.DUMMYFUNCTION("IFERROR(INDEX(FILTER('製造效能'!G:G, '製造效能'!A:A=$C80, '製造效能'!D:D=M80, '製造效能'!E:E=""清洗""), 1), INDEX(FILTER('製造效能'!G:G, '製造效能'!B:B=$D80, '製造效能'!D:D=M80, '製造效能'!E:E=""清洗""), 1))"),10)</f>
        <v>10</v>
      </c>
      <c r="AB80" s="35" t="str">
        <f ca="1">IFERROR(__xludf.DUMMYFUNCTION("IFERROR(INDEX(FILTER('製造效能'!N:N, '製造效能'!$A:$A=$C80, '製造效能'!$D:$D=$M80, '製造效能'!$E:$E=""攪料""), 1), INDEX(FILTER('製造效能'!N:N, '製造效能'!$B:$B=$D80, '製造效能'!$D:$D=$M80, '製造效能'!$E:$E=""攪料""), 1))"),"")</f>
        <v/>
      </c>
      <c r="AC80" s="35">
        <f ca="1">IFERROR(__xludf.DUMMYFUNCTION("IFERROR(INDEX(FILTER('製造效能'!O:O, '製造效能'!$A:$A=$C80, '製造效能'!$D:$D=$M80, '製造效能'!$E:$E=""攪料""), 1), INDEX(FILTER('製造效能'!O:O, '製造效能'!$B:$B=$D80, '製造效能'!$D:$D=$M80, '製造效能'!$E:$E=""攪料""), 1))"),1)</f>
        <v>1</v>
      </c>
      <c r="AD80" s="35" t="str">
        <f ca="1">IFERROR(__xludf.DUMMYFUNCTION("IFERROR(INDEX(FILTER('製造效能'!P:P, '製造效能'!$A:$A=$C80, '製造效能'!$D:$D=$M80, '製造效能'!$E:$E=""攪料""), 1), INDEX(FILTER('製造效能'!P:P, '製造效能'!$B:$B=$D80, '製造效能'!$D:$D=$M80, '製造效能'!$E:$E=""攪料""), 1))"),"")</f>
        <v/>
      </c>
      <c r="AE80" s="35" t="str">
        <f ca="1">IFERROR(__xludf.DUMMYFUNCTION("IFERROR(INDEX(FILTER('製造效能'!Q:Q, '製造效能'!$A:$A=$C80, '製造效能'!$D:$D=$M80, '製造效能'!$E:$E=""攪料""), 1), INDEX(FILTER('製造效能'!Q:Q, '製造效能'!$B:$B=$D80, '製造效能'!$D:$D=$M80, '製造效能'!$E:$E=""攪料""), 1))"),"")</f>
        <v/>
      </c>
      <c r="AF80" s="35" t="str">
        <f ca="1">IFERROR(__xludf.DUMMYFUNCTION("IFERROR(INDEX(FILTER('製造效能'!R:R, '製造效能'!$A:$A=$C80, '製造效能'!$D:$D=$M80, '製造效能'!$E:$E=""攪料""), 1), INDEX(FILTER('製造效能'!R:R, '製造效能'!$B:$B=$D80, '製造效能'!$D:$D=$M80, '製造效能'!$E:$E=""攪料""), 1))"),"")</f>
        <v/>
      </c>
      <c r="AG80" s="35" t="str">
        <f ca="1">IFERROR(__xludf.DUMMYFUNCTION("IFERROR(INDEX(FILTER('製造效能'!S:S, '製造效能'!$A:$A=$C80, '製造效能'!$D:$D=$M80, '製造效能'!$E:$E=""攪料""), 1), INDEX(FILTER('製造效能'!S:S, '製造效能'!$B:$B=$D80, '製造效能'!$D:$D=$M80, '製造效能'!$E:$E=""攪料""), 1))"),"")</f>
        <v/>
      </c>
      <c r="AH80" s="35" t="str">
        <f ca="1">IFERROR(__xludf.DUMMYFUNCTION("IFERROR(INDEX(FILTER('製造效能'!T:T, '製造效能'!$A:$A=$C80, '製造效能'!$D:$D=$M80, '製造效能'!$E:$E=""攪料""), 1), INDEX(FILTER('製造效能'!T:T, '製造效能'!$B:$B=$D80, '製造效能'!$D:$D=$M80, '製造效能'!$E:$E=""攪料""), 1))"),"")</f>
        <v/>
      </c>
      <c r="AI80" s="35" t="str">
        <f ca="1">IFERROR(__xludf.DUMMYFUNCTION("IFERROR(INDEX(FILTER('製造效能'!U:U, '製造效能'!$A:$A=$C80, '製造效能'!$D:$D=$M80, '製造效能'!$E:$E=""攪料""), 1), INDEX(FILTER('製造效能'!U:U, '製造效能'!$B:$B=$D80, '製造效能'!$D:$D=$M80, '製造效能'!$E:$E=""攪料""), 1))"),"")</f>
        <v/>
      </c>
      <c r="AJ80" s="35" t="str">
        <f ca="1">IFERROR(__xludf.DUMMYFUNCTION("IFERROR(INDEX(FILTER('製造效能'!V:V, '製造效能'!$A:$A=$C80, '製造效能'!$D:$D=$M80, '製造效能'!$E:$E=""攪料""), 1), INDEX(FILTER('製造效能'!V:V, '製造效能'!$B:$B=$D80, '製造效能'!$D:$D=$M80, '製造效能'!$E:$E=""攪料""), 1))"),"")</f>
        <v/>
      </c>
      <c r="AK80" s="35">
        <f>COUNTIF(充填效能!$A:$A, $C80)</f>
        <v>2</v>
      </c>
      <c r="AL80" s="36" t="str">
        <f ca="1">IFERROR(__xludf.DUMMYFUNCTION("IFERROR(INDEX(FILTER('充填效能'!$Q$2:$Q$1088, '充填效能'!$A$2:$A$1088=$C80, '充填效能'!$D$2:$D$1088=""排瓶""), 1), 0)"),"2000")</f>
        <v>2000</v>
      </c>
      <c r="AM80" s="36">
        <f ca="1">IFERROR(__xludf.DUMMYFUNCTION("IFERROR(INDEX(FILTER('充填效能'!$R$2:$R$1088, '充填效能'!$A$2:$A$1088=$C80, '充填效能'!$D$2:$D$1088=""排瓶""), 1), 0)"),1)</f>
        <v>1</v>
      </c>
      <c r="AN80" s="35">
        <f t="shared" ca="1" si="5"/>
        <v>1.5</v>
      </c>
      <c r="AO80" s="36" t="str">
        <f ca="1">IFERROR(__xludf.DUMMYFUNCTION("IFERROR(INDEX(FILTER('充填效能'!$Q$2:$Q$1088, '充填效能'!$A$2:$A$1088=$C80, '充填效能'!$D$2:$D$1088=""充填""), 1), 0)"),"1800")</f>
        <v>1800</v>
      </c>
      <c r="AP80" s="36">
        <f ca="1">IFERROR(__xludf.DUMMYFUNCTION("IFERROR(INDEX(FILTER('充填效能'!$R$2:$R$1088, '充填效能'!$A$2:$A$1088=$C80, '充填效能'!$D$2:$D$1088=""充填""), 1), 0)"),4)</f>
        <v>4</v>
      </c>
      <c r="AQ80" s="35">
        <f t="shared" ca="1" si="6"/>
        <v>1.6666666666666667</v>
      </c>
      <c r="AR80" s="17">
        <f t="shared" ca="1" si="7"/>
        <v>6.666666666666667</v>
      </c>
    </row>
    <row r="81" spans="1:44" ht="15.75" customHeight="1">
      <c r="A81" s="9" t="s">
        <v>254</v>
      </c>
      <c r="B81" s="34">
        <f t="shared" si="0"/>
        <v>45072</v>
      </c>
      <c r="C81" s="9" t="s">
        <v>268</v>
      </c>
      <c r="D81" s="17" t="str">
        <f t="shared" si="1"/>
        <v>GU22H2</v>
      </c>
      <c r="E81" s="9" t="s">
        <v>269</v>
      </c>
      <c r="F81" s="9">
        <v>5000</v>
      </c>
      <c r="G81" s="10">
        <v>45124</v>
      </c>
      <c r="H81" s="10">
        <v>45105</v>
      </c>
      <c r="I81" s="10">
        <v>45076</v>
      </c>
      <c r="J81" s="10">
        <v>45063</v>
      </c>
      <c r="L81" s="17" t="str">
        <f ca="1">IFERROR(__xludf.DUMMYFUNCTION("TEXTJOIN("", "", TRUE, UNIQUE(FILTER('製造效能'!$D$2:$D$1732, '製造效能'!$B$2:$B$1732 = D81)))"),"精")</f>
        <v>精</v>
      </c>
      <c r="M81" s="17" t="str">
        <f ca="1">IFERROR(__xludf.DUMMYFUNCTION("INDEX(UNIQUE(FILTER('製造效能'!$D$2:$D$1732, ('製造效能'!$B$2:$B$1732 = D81) * ('製造效能'!$J$2:$J$1732 = MAXIFS('製造效能'!$J$2:$J$1732, '製造效能'!$B$2:$B$1732, D81)))), 1) 
"),"精")</f>
        <v>精</v>
      </c>
      <c r="N81" s="17" t="str">
        <f ca="1">IFERROR(__xludf.DUMMYFUNCTION("TEXTJOIN("", "", TRUE, UNIQUE(FILTER('製造效能'!$K$2:$K$1732, '製造效能'!$B$2:$B$1732 = D81)))"),"水項")</f>
        <v>水項</v>
      </c>
      <c r="O81" s="35">
        <f ca="1">IFERROR(__xludf.DUMMYFUNCTION("IFERROR(INDEX(FILTER('充填效能'!I$2:I$1088, '充填效能'!$A$2:$A$1088=$C81, '充填效能'!$D$2:$D$1088=""充填""), 1), 0)"),50)</f>
        <v>50</v>
      </c>
      <c r="P81" s="35" t="str">
        <f ca="1">IFERROR(__xludf.DUMMYFUNCTION("IFERROR(INDEX(FILTER('充填效能'!J$2:J$1088, '充填效能'!$A$2:$A$1088=$C81, '充填效能'!$D$2:$D$1088=""充填""), 1), 0)"),"")</f>
        <v/>
      </c>
      <c r="Q81" s="35" t="str">
        <f ca="1">IFERROR(__xludf.DUMMYFUNCTION("IFERROR(INDEX(FILTER('充填效能'!K$2:K$1088, '充填效能'!$A$2:$A$1088=$C81, '充填效能'!$D$2:$D$1088=""充填""), 1), 0)"),"")</f>
        <v/>
      </c>
      <c r="R81" s="35" t="str">
        <f ca="1">IFERROR(__xludf.DUMMYFUNCTION("IFERROR(INDEX(FILTER('充填效能'!L$2:L$1088, '充填效能'!$A$2:$A$1088=$C81, '充填效能'!$D$2:$D$1088=""充填""), 1), 0)"),"")</f>
        <v/>
      </c>
      <c r="S81" s="35">
        <f ca="1">COUNTIFS(製造效能!B:B, $D81,製造效能!D:D,M81)</f>
        <v>3</v>
      </c>
      <c r="T81" s="36">
        <f ca="1">IFERROR(__xludf.DUMMYFUNCTION("VALUE(REGEXEXTRACT(TO_TEXT(O81), ""\d*\.?\d+""))"),50)</f>
        <v>50</v>
      </c>
      <c r="U81" s="17">
        <f t="shared" ca="1" si="2"/>
        <v>253749.99999999997</v>
      </c>
      <c r="V81" s="17">
        <f ca="1">IFERROR(__xludf.DUMMYFUNCTION("IFERROR(INDEX(FILTER('製造效能'!J:J, '製造效能'!A:A=$C81, '製造效能'!D:D=M81, '製造效能'!E:E=""攪料""), 1), INDEX(FILTER('製造效能'!J:J, '製造效能'!B:B=$D81, '製造效能'!D:D=M81, '製造效能'!E:E=""攪料""), 1))"),78)</f>
        <v>78</v>
      </c>
      <c r="W81" s="36">
        <f ca="1">IFERROR(__xludf.DUMMYFUNCTION("IFERROR(INDEX(FILTER('製造效能'!G:G, '製造效能'!A:A=$C81, '製造效能'!D:D=M81, '製造效能'!E:E=""攪料""), 1), INDEX(FILTER('製造效能'!G:G, '製造效能'!B:B=$D81, '製造效能'!D:D=M81, '製造效能'!E:E=""攪料""), 1))"),125)</f>
        <v>125</v>
      </c>
      <c r="X81" s="35">
        <f t="shared" ca="1" si="3"/>
        <v>4</v>
      </c>
      <c r="Y81" s="35">
        <f t="shared" ca="1" si="4"/>
        <v>500</v>
      </c>
      <c r="Z81" s="35">
        <f ca="1">IFERROR(__xludf.DUMMYFUNCTION("IFERROR(IFERROR(INDEX(FILTER('製造效能'!G:G, '製造效能'!A:A=$C81, '製造效能'!D:D=M81, '製造效能'!E:E=""預攪""), 1), INDEX(FILTER('製造效能'!G:G, '製造效能'!B:B=$D81, '製造效能'!D:D=M81, '製造效能'!E:E=""預攪""), 1)), 0)"),35)</f>
        <v>35</v>
      </c>
      <c r="AA81" s="35">
        <f ca="1">IFERROR(__xludf.DUMMYFUNCTION("IFERROR(INDEX(FILTER('製造效能'!G:G, '製造效能'!A:A=$C81, '製造效能'!D:D=M81, '製造效能'!E:E=""清洗""), 1), INDEX(FILTER('製造效能'!G:G, '製造效能'!B:B=$D81, '製造效能'!D:D=M81, '製造效能'!E:E=""清洗""), 1))"),15)</f>
        <v>15</v>
      </c>
      <c r="AB81" s="35" t="str">
        <f ca="1">IFERROR(__xludf.DUMMYFUNCTION("IFERROR(INDEX(FILTER('製造效能'!N:N, '製造效能'!$A:$A=$C81, '製造效能'!$D:$D=$M81, '製造效能'!$E:$E=""攪料""), 1), INDEX(FILTER('製造效能'!N:N, '製造效能'!$B:$B=$D81, '製造效能'!$D:$D=$M81, '製造效能'!$E:$E=""攪料""), 1))"),"")</f>
        <v/>
      </c>
      <c r="AC81" s="35">
        <f ca="1">IFERROR(__xludf.DUMMYFUNCTION("IFERROR(INDEX(FILTER('製造效能'!O:O, '製造效能'!$A:$A=$C81, '製造效能'!$D:$D=$M81, '製造效能'!$E:$E=""攪料""), 1), INDEX(FILTER('製造效能'!O:O, '製造效能'!$B:$B=$D81, '製造效能'!$D:$D=$M81, '製造效能'!$E:$E=""攪料""), 1))"),1)</f>
        <v>1</v>
      </c>
      <c r="AD81" s="35" t="str">
        <f ca="1">IFERROR(__xludf.DUMMYFUNCTION("IFERROR(INDEX(FILTER('製造效能'!P:P, '製造效能'!$A:$A=$C81, '製造效能'!$D:$D=$M81, '製造效能'!$E:$E=""攪料""), 1), INDEX(FILTER('製造效能'!P:P, '製造效能'!$B:$B=$D81, '製造效能'!$D:$D=$M81, '製造效能'!$E:$E=""攪料""), 1))"),"")</f>
        <v/>
      </c>
      <c r="AE81" s="35" t="str">
        <f ca="1">IFERROR(__xludf.DUMMYFUNCTION("IFERROR(INDEX(FILTER('製造效能'!Q:Q, '製造效能'!$A:$A=$C81, '製造效能'!$D:$D=$M81, '製造效能'!$E:$E=""攪料""), 1), INDEX(FILTER('製造效能'!Q:Q, '製造效能'!$B:$B=$D81, '製造效能'!$D:$D=$M81, '製造效能'!$E:$E=""攪料""), 1))"),"")</f>
        <v/>
      </c>
      <c r="AF81" s="35" t="str">
        <f ca="1">IFERROR(__xludf.DUMMYFUNCTION("IFERROR(INDEX(FILTER('製造效能'!R:R, '製造效能'!$A:$A=$C81, '製造效能'!$D:$D=$M81, '製造效能'!$E:$E=""攪料""), 1), INDEX(FILTER('製造效能'!R:R, '製造效能'!$B:$B=$D81, '製造效能'!$D:$D=$M81, '製造效能'!$E:$E=""攪料""), 1))"),"")</f>
        <v/>
      </c>
      <c r="AG81" s="35" t="str">
        <f ca="1">IFERROR(__xludf.DUMMYFUNCTION("IFERROR(INDEX(FILTER('製造效能'!S:S, '製造效能'!$A:$A=$C81, '製造效能'!$D:$D=$M81, '製造效能'!$E:$E=""攪料""), 1), INDEX(FILTER('製造效能'!S:S, '製造效能'!$B:$B=$D81, '製造效能'!$D:$D=$M81, '製造效能'!$E:$E=""攪料""), 1))"),"")</f>
        <v/>
      </c>
      <c r="AH81" s="35" t="str">
        <f ca="1">IFERROR(__xludf.DUMMYFUNCTION("IFERROR(INDEX(FILTER('製造效能'!T:T, '製造效能'!$A:$A=$C81, '製造效能'!$D:$D=$M81, '製造效能'!$E:$E=""攪料""), 1), INDEX(FILTER('製造效能'!T:T, '製造效能'!$B:$B=$D81, '製造效能'!$D:$D=$M81, '製造效能'!$E:$E=""攪料""), 1))"),"")</f>
        <v/>
      </c>
      <c r="AI81" s="35" t="str">
        <f ca="1">IFERROR(__xludf.DUMMYFUNCTION("IFERROR(INDEX(FILTER('製造效能'!U:U, '製造效能'!$A:$A=$C81, '製造效能'!$D:$D=$M81, '製造效能'!$E:$E=""攪料""), 1), INDEX(FILTER('製造效能'!U:U, '製造效能'!$B:$B=$D81, '製造效能'!$D:$D=$M81, '製造效能'!$E:$E=""攪料""), 1))"),"")</f>
        <v/>
      </c>
      <c r="AJ81" s="35" t="str">
        <f ca="1">IFERROR(__xludf.DUMMYFUNCTION("IFERROR(INDEX(FILTER('製造效能'!V:V, '製造效能'!$A:$A=$C81, '製造效能'!$D:$D=$M81, '製造效能'!$E:$E=""攪料""), 1), INDEX(FILTER('製造效能'!V:V, '製造效能'!$B:$B=$D81, '製造效能'!$D:$D=$M81, '製造效能'!$E:$E=""攪料""), 1))"),"")</f>
        <v/>
      </c>
      <c r="AK81" s="35">
        <f>COUNTIF(充填效能!$A:$A, $C81)</f>
        <v>1</v>
      </c>
      <c r="AL81" s="36">
        <f ca="1">IFERROR(__xludf.DUMMYFUNCTION("IFERROR(INDEX(FILTER('充填效能'!$Q$2:$Q$1088, '充填效能'!$A$2:$A$1088=$C81, '充填效能'!$D$2:$D$1088=""排瓶""), 1), 0)"),0)</f>
        <v>0</v>
      </c>
      <c r="AM81" s="36">
        <f ca="1">IFERROR(__xludf.DUMMYFUNCTION("IFERROR(INDEX(FILTER('充填效能'!$R$2:$R$1088, '充填效能'!$A$2:$A$1088=$C81, '充填效能'!$D$2:$D$1088=""排瓶""), 1), 0)"),0)</f>
        <v>0</v>
      </c>
      <c r="AN81" s="35">
        <f t="shared" ca="1" si="5"/>
        <v>0</v>
      </c>
      <c r="AO81" s="36" t="str">
        <f ca="1">IFERROR(__xludf.DUMMYFUNCTION("IFERROR(INDEX(FILTER('充填效能'!$Q$2:$Q$1088, '充填效能'!$A$2:$A$1088=$C81, '充填效能'!$D$2:$D$1088=""充填""), 1), 0)"),"980")</f>
        <v>980</v>
      </c>
      <c r="AP81" s="36">
        <f ca="1">IFERROR(__xludf.DUMMYFUNCTION("IFERROR(INDEX(FILTER('充填效能'!$R$2:$R$1088, '充填效能'!$A$2:$A$1088=$C81, '充填效能'!$D$2:$D$1088=""充填""), 1), 0)"),4)</f>
        <v>4</v>
      </c>
      <c r="AQ81" s="35">
        <f t="shared" ca="1" si="6"/>
        <v>5.1020408163265305</v>
      </c>
      <c r="AR81" s="17">
        <f t="shared" ca="1" si="7"/>
        <v>20.408163265306122</v>
      </c>
    </row>
    <row r="82" spans="1:44" ht="15.75" customHeight="1">
      <c r="A82" s="9" t="s">
        <v>257</v>
      </c>
      <c r="B82" s="34">
        <f t="shared" si="0"/>
        <v>45084</v>
      </c>
      <c r="C82" s="9" t="s">
        <v>312</v>
      </c>
      <c r="D82" s="17" t="str">
        <f t="shared" si="1"/>
        <v>EU22H1</v>
      </c>
      <c r="E82" s="9" t="s">
        <v>313</v>
      </c>
      <c r="F82" s="9">
        <v>10000</v>
      </c>
      <c r="G82" s="10">
        <v>45127</v>
      </c>
      <c r="H82" s="10">
        <v>45110</v>
      </c>
      <c r="I82" s="10">
        <v>44839</v>
      </c>
      <c r="J82" s="10">
        <v>45093</v>
      </c>
      <c r="L82" s="17" t="str">
        <f ca="1">IFERROR(__xludf.DUMMYFUNCTION("TEXTJOIN("", "", TRUE, UNIQUE(FILTER('製造效能'!$D$2:$D$1732, '製造效能'!$B$2:$B$1732 = D82)))"),"小乳")</f>
        <v>小乳</v>
      </c>
      <c r="M82" s="17" t="str">
        <f ca="1">IFERROR(__xludf.DUMMYFUNCTION("INDEX(UNIQUE(FILTER('製造效能'!$D$2:$D$1732, ('製造效能'!$B$2:$B$1732 = D82) * ('製造效能'!$J$2:$J$1732 = MAXIFS('製造效能'!$J$2:$J$1732, '製造效能'!$B$2:$B$1732, D82)))), 1) 
"),"小乳")</f>
        <v>小乳</v>
      </c>
      <c r="N82" s="17" t="str">
        <f ca="1">IFERROR(__xludf.DUMMYFUNCTION("TEXTJOIN("", "", TRUE, UNIQUE(FILTER('製造效能'!$K$2:$K$1732, '製造效能'!$B$2:$B$1732 = D82)))"),"乳項")</f>
        <v>乳項</v>
      </c>
      <c r="P82" s="35" t="str">
        <f ca="1">IFERROR(__xludf.DUMMYFUNCTION("IFERROR(INDEX(FILTER('充填效能'!J$2:J$1088, '充填效能'!$A$2:$A$1088=$C82, '充填效能'!$D$2:$D$1088=""充填""), 1), 0)"),"")</f>
        <v/>
      </c>
      <c r="Q82" s="35" t="str">
        <f ca="1">IFERROR(__xludf.DUMMYFUNCTION("IFERROR(INDEX(FILTER('充填效能'!K$2:K$1088, '充填效能'!$A$2:$A$1088=$C82, '充填效能'!$D$2:$D$1088=""充填""), 1), 0)"),"")</f>
        <v/>
      </c>
      <c r="R82" s="35">
        <f ca="1">IFERROR(__xludf.DUMMYFUNCTION("IFERROR(INDEX(FILTER('充填效能'!I$2:I$1088, '充填效能'!$A$2:$A$1088=$C82, '充填效能'!$D$2:$D$1088=""充填""), 1), 0)"),31.5)</f>
        <v>31.5</v>
      </c>
      <c r="S82" s="35">
        <f ca="1">COUNTIFS(製造效能!B:B, $D82,製造效能!D:D,M82)</f>
        <v>3</v>
      </c>
      <c r="T82" s="36">
        <f ca="1">IFERROR(__xludf.DUMMYFUNCTION("VALUE(REGEXEXTRACT(TO_TEXT(R82), ""\d*\.?\d+""))"),31.5)</f>
        <v>31.5</v>
      </c>
      <c r="U82" s="17">
        <f t="shared" ca="1" si="2"/>
        <v>319724.99999999994</v>
      </c>
      <c r="V82" s="17">
        <f ca="1">IFERROR(__xludf.DUMMYFUNCTION("IFERROR(INDEX(FILTER('製造效能'!J:J, '製造效能'!A:A=$C82, '製造效能'!D:D=M82, '製造效能'!E:E=""攪料""), 1), INDEX(FILTER('製造效能'!J:J, '製造效能'!B:B=$D82, '製造效能'!D:D=M82, '製造效能'!E:E=""攪料""), 1))"),52)</f>
        <v>52</v>
      </c>
      <c r="W82" s="36">
        <f ca="1">IFERROR(__xludf.DUMMYFUNCTION("IFERROR(INDEX(FILTER('製造效能'!G:G, '製造效能'!A:A=$C82, '製造效能'!D:D=M82, '製造效能'!E:E=""攪料""), 1), INDEX(FILTER('製造效能'!G:G, '製造效能'!B:B=$D82, '製造效能'!D:D=M82, '製造效能'!E:E=""攪料""), 1))"),120)</f>
        <v>120</v>
      </c>
      <c r="X82" s="35">
        <f t="shared" ca="1" si="3"/>
        <v>7</v>
      </c>
      <c r="Y82" s="35">
        <f t="shared" ca="1" si="4"/>
        <v>840</v>
      </c>
      <c r="Z82" s="35">
        <f ca="1">IFERROR(__xludf.DUMMYFUNCTION("IFERROR(IFERROR(INDEX(FILTER('製造效能'!G:G, '製造效能'!A:A=$C82, '製造效能'!D:D=M82, '製造效能'!E:E=""預攪""), 1), INDEX(FILTER('製造效能'!G:G, '製造效能'!B:B=$D82, '製造效能'!D:D=M82, '製造效能'!E:E=""預攪""), 1)), 0)"),60)</f>
        <v>60</v>
      </c>
      <c r="AA82" s="35">
        <f ca="1">IFERROR(__xludf.DUMMYFUNCTION("IFERROR(INDEX(FILTER('製造效能'!G:G, '製造效能'!A:A=$C82, '製造效能'!D:D=M82, '製造效能'!E:E=""清洗""), 1), INDEX(FILTER('製造效能'!G:G, '製造效能'!B:B=$D82, '製造效能'!D:D=M82, '製造效能'!E:E=""清洗""), 1))"),105)</f>
        <v>105</v>
      </c>
      <c r="AB82" s="35" t="str">
        <f ca="1">IFERROR(__xludf.DUMMYFUNCTION("IFERROR(INDEX(FILTER('製造效能'!N:N, '製造效能'!$A:$A=$C82, '製造效能'!$D:$D=$M82, '製造效能'!$E:$E=""攪料""), 1), INDEX(FILTER('製造效能'!N:N, '製造效能'!$B:$B=$D82, '製造效能'!$D:$D=$M82, '製造效能'!$E:$E=""攪料""), 1))"),"")</f>
        <v/>
      </c>
      <c r="AC82" s="35">
        <f ca="1">IFERROR(__xludf.DUMMYFUNCTION("IFERROR(INDEX(FILTER('製造效能'!O:O, '製造效能'!$A:$A=$C82, '製造效能'!$D:$D=$M82, '製造效能'!$E:$E=""攪料""), 1), INDEX(FILTER('製造效能'!O:O, '製造效能'!$B:$B=$D82, '製造效能'!$D:$D=$M82, '製造效能'!$E:$E=""攪料""), 1))"),1)</f>
        <v>1</v>
      </c>
      <c r="AD82" s="35">
        <f ca="1">IFERROR(__xludf.DUMMYFUNCTION("IFERROR(INDEX(FILTER('製造效能'!P:P, '製造效能'!$A:$A=$C82, '製造效能'!$D:$D=$M82, '製造效能'!$E:$E=""攪料""), 1), INDEX(FILTER('製造效能'!P:P, '製造效能'!$B:$B=$D82, '製造效能'!$D:$D=$M82, '製造效能'!$E:$E=""攪料""), 1))"),1)</f>
        <v>1</v>
      </c>
      <c r="AE82" s="35" t="str">
        <f ca="1">IFERROR(__xludf.DUMMYFUNCTION("IFERROR(INDEX(FILTER('製造效能'!Q:Q, '製造效能'!$A:$A=$C82, '製造效能'!$D:$D=$M82, '製造效能'!$E:$E=""攪料""), 1), INDEX(FILTER('製造效能'!Q:Q, '製造效能'!$B:$B=$D82, '製造效能'!$D:$D=$M82, '製造效能'!$E:$E=""攪料""), 1))"),"")</f>
        <v/>
      </c>
      <c r="AF82" s="35" t="str">
        <f ca="1">IFERROR(__xludf.DUMMYFUNCTION("IFERROR(INDEX(FILTER('製造效能'!R:R, '製造效能'!$A:$A=$C82, '製造效能'!$D:$D=$M82, '製造效能'!$E:$E=""攪料""), 1), INDEX(FILTER('製造效能'!R:R, '製造效能'!$B:$B=$D82, '製造效能'!$D:$D=$M82, '製造效能'!$E:$E=""攪料""), 1))"),"")</f>
        <v/>
      </c>
      <c r="AG82" s="35" t="str">
        <f ca="1">IFERROR(__xludf.DUMMYFUNCTION("IFERROR(INDEX(FILTER('製造效能'!S:S, '製造效能'!$A:$A=$C82, '製造效能'!$D:$D=$M82, '製造效能'!$E:$E=""攪料""), 1), INDEX(FILTER('製造效能'!S:S, '製造效能'!$B:$B=$D82, '製造效能'!$D:$D=$M82, '製造效能'!$E:$E=""攪料""), 1))"),"")</f>
        <v/>
      </c>
      <c r="AH82" s="35" t="str">
        <f ca="1">IFERROR(__xludf.DUMMYFUNCTION("IFERROR(INDEX(FILTER('製造效能'!T:T, '製造效能'!$A:$A=$C82, '製造效能'!$D:$D=$M82, '製造效能'!$E:$E=""攪料""), 1), INDEX(FILTER('製造效能'!T:T, '製造效能'!$B:$B=$D82, '製造效能'!$D:$D=$M82, '製造效能'!$E:$E=""攪料""), 1))"),"")</f>
        <v/>
      </c>
      <c r="AI82" s="35" t="str">
        <f ca="1">IFERROR(__xludf.DUMMYFUNCTION("IFERROR(INDEX(FILTER('製造效能'!U:U, '製造效能'!$A:$A=$C82, '製造效能'!$D:$D=$M82, '製造效能'!$E:$E=""攪料""), 1), INDEX(FILTER('製造效能'!U:U, '製造效能'!$B:$B=$D82, '製造效能'!$D:$D=$M82, '製造效能'!$E:$E=""攪料""), 1))"),"")</f>
        <v/>
      </c>
      <c r="AJ82" s="35" t="str">
        <f ca="1">IFERROR(__xludf.DUMMYFUNCTION("IFERROR(INDEX(FILTER('製造效能'!V:V, '製造效能'!$A:$A=$C82, '製造效能'!$D:$D=$M82, '製造效能'!$E:$E=""攪料""), 1), INDEX(FILTER('製造效能'!V:V, '製造效能'!$B:$B=$D82, '製造效能'!$D:$D=$M82, '製造效能'!$E:$E=""攪料""), 1))"),"")</f>
        <v/>
      </c>
      <c r="AK82" s="35">
        <f>COUNTIF(充填效能!$A:$A, $C82)</f>
        <v>2</v>
      </c>
      <c r="AL82" s="36" t="str">
        <f ca="1">IFERROR(__xludf.DUMMYFUNCTION("IFERROR(INDEX(FILTER('充填效能'!$Q$2:$Q$1088, '充填效能'!$A$2:$A$1088=$C82, '充填效能'!$D$2:$D$1088=""排瓶""), 1), 0)"),"2000")</f>
        <v>2000</v>
      </c>
      <c r="AM82" s="36">
        <f ca="1">IFERROR(__xludf.DUMMYFUNCTION("IFERROR(INDEX(FILTER('充填效能'!$R$2:$R$1088, '充填效能'!$A$2:$A$1088=$C82, '充填效能'!$D$2:$D$1088=""排瓶""), 1), 0)"),1)</f>
        <v>1</v>
      </c>
      <c r="AN82" s="35">
        <f t="shared" ca="1" si="5"/>
        <v>5</v>
      </c>
      <c r="AO82" s="36" t="str">
        <f ca="1">IFERROR(__xludf.DUMMYFUNCTION("IFERROR(INDEX(FILTER('充填效能'!$Q$2:$Q$1088, '充填效能'!$A$2:$A$1088=$C82, '充填效能'!$D$2:$D$1088=""充填""), 1), 0)"),"850")</f>
        <v>850</v>
      </c>
      <c r="AP82" s="36">
        <f ca="1">IFERROR(__xludf.DUMMYFUNCTION("IFERROR(INDEX(FILTER('充填效能'!$R$2:$R$1088, '充填效能'!$A$2:$A$1088=$C82, '充填效能'!$D$2:$D$1088=""充填""), 1), 0)"),4)</f>
        <v>4</v>
      </c>
      <c r="AQ82" s="35">
        <f t="shared" ca="1" si="6"/>
        <v>11.764705882352942</v>
      </c>
      <c r="AR82" s="17">
        <f t="shared" ca="1" si="7"/>
        <v>47.058823529411768</v>
      </c>
    </row>
    <row r="83" spans="1:44" ht="15.75" customHeight="1">
      <c r="A83" s="9" t="s">
        <v>236</v>
      </c>
      <c r="B83" s="34">
        <f t="shared" si="0"/>
        <v>44904</v>
      </c>
      <c r="C83" s="9" t="s">
        <v>160</v>
      </c>
      <c r="D83" s="17" t="str">
        <f t="shared" si="1"/>
        <v>AB17H1</v>
      </c>
      <c r="E83" s="9" t="s">
        <v>161</v>
      </c>
      <c r="F83" s="9">
        <v>1660</v>
      </c>
      <c r="G83" s="10">
        <v>45119</v>
      </c>
      <c r="H83" s="10">
        <v>45110</v>
      </c>
      <c r="I83" s="10">
        <v>45069</v>
      </c>
      <c r="J83" s="10">
        <v>45079</v>
      </c>
      <c r="L83" s="17" t="str">
        <f ca="1">IFERROR(__xludf.DUMMYFUNCTION("TEXTJOIN("", "", TRUE, UNIQUE(FILTER('製造效能'!$D$2:$D$1732, '製造效能'!$B$2:$B$1732 = D83)))"),"小乳")</f>
        <v>小乳</v>
      </c>
      <c r="M83" s="17" t="str">
        <f ca="1">IFERROR(__xludf.DUMMYFUNCTION("INDEX(UNIQUE(FILTER('製造效能'!$D$2:$D$1732, ('製造效能'!$B$2:$B$1732 = D83) * ('製造效能'!$J$2:$J$1732 = MAXIFS('製造效能'!$J$2:$J$1732, '製造效能'!$B$2:$B$1732, D83)))), 1) 
"),"小乳")</f>
        <v>小乳</v>
      </c>
      <c r="N83" s="17" t="str">
        <f ca="1">IFERROR(__xludf.DUMMYFUNCTION("TEXTJOIN("", "", TRUE, UNIQUE(FILTER('製造效能'!$K$2:$K$1732, '製造效能'!$B$2:$B$1732 = D83)))"),"乳項")</f>
        <v>乳項</v>
      </c>
      <c r="P83" s="35" t="str">
        <f ca="1">IFERROR(__xludf.DUMMYFUNCTION("IFERROR(INDEX(FILTER('充填效能'!J$2:J$1088, '充填效能'!$A$2:$A$1088=$C83, '充填效能'!$D$2:$D$1088=""充填""), 1), 0)"),"")</f>
        <v/>
      </c>
      <c r="Q83" s="35" t="str">
        <f ca="1">IFERROR(__xludf.DUMMYFUNCTION("IFERROR(INDEX(FILTER('充填效能'!K$2:K$1088, '充填效能'!$A$2:$A$1088=$C83, '充填效能'!$D$2:$D$1088=""充填""), 1), 0)"),"")</f>
        <v/>
      </c>
      <c r="R83" s="35">
        <f ca="1">IFERROR(__xludf.DUMMYFUNCTION("IFERROR(INDEX(FILTER('充填效能'!I$2:I$1088, '充填效能'!$A$2:$A$1088=$C83, '充填效能'!$D$2:$D$1088=""充填""), 1), 0)"),60)</f>
        <v>60</v>
      </c>
      <c r="S83" s="35">
        <f ca="1">COUNTIFS(製造效能!B:B, $D83,製造效能!D:D,M83)</f>
        <v>3</v>
      </c>
      <c r="T83" s="36">
        <f ca="1">IFERROR(__xludf.DUMMYFUNCTION("VALUE(REGEXEXTRACT(TO_TEXT(R83), ""\d*\.?\d+""))"),60)</f>
        <v>60</v>
      </c>
      <c r="U83" s="17">
        <f t="shared" ca="1" si="2"/>
        <v>101093.99999999999</v>
      </c>
      <c r="V83" s="17">
        <f ca="1">IFERROR(__xludf.DUMMYFUNCTION("IFERROR(INDEX(FILTER('製造效能'!J:J, '製造效能'!A:A=$C83, '製造效能'!D:D=M83, '製造效能'!E:E=""攪料""), 1), INDEX(FILTER('製造效能'!J:J, '製造效能'!B:B=$D83, '製造效能'!D:D=M83, '製造效能'!E:E=""攪料""), 1))"),51.5)</f>
        <v>51.5</v>
      </c>
      <c r="W83" s="36">
        <f ca="1">IFERROR(__xludf.DUMMYFUNCTION("IFERROR(INDEX(FILTER('製造效能'!G:G, '製造效能'!A:A=$C83, '製造效能'!D:D=M83, '製造效能'!E:E=""攪料""), 1), INDEX(FILTER('製造效能'!G:G, '製造效能'!B:B=$D83, '製造效能'!D:D=M83, '製造效能'!E:E=""攪料""), 1))"),150)</f>
        <v>150</v>
      </c>
      <c r="X83" s="35">
        <f t="shared" ca="1" si="3"/>
        <v>2</v>
      </c>
      <c r="Y83" s="35">
        <f t="shared" ca="1" si="4"/>
        <v>300</v>
      </c>
      <c r="Z83" s="35">
        <f ca="1">IFERROR(__xludf.DUMMYFUNCTION("IFERROR(IFERROR(INDEX(FILTER('製造效能'!G:G, '製造效能'!A:A=$C83, '製造效能'!D:D=M83, '製造效能'!E:E=""預攪""), 1), INDEX(FILTER('製造效能'!G:G, '製造效能'!B:B=$D83, '製造效能'!D:D=M83, '製造效能'!E:E=""預攪""), 1)), 0)"),90)</f>
        <v>90</v>
      </c>
      <c r="AA83" s="35">
        <f ca="1">IFERROR(__xludf.DUMMYFUNCTION("IFERROR(INDEX(FILTER('製造效能'!G:G, '製造效能'!A:A=$C83, '製造效能'!D:D=M83, '製造效能'!E:E=""清洗""), 1), INDEX(FILTER('製造效能'!G:G, '製造效能'!B:B=$D83, '製造效能'!D:D=M83, '製造效能'!E:E=""清洗""), 1))"),90)</f>
        <v>90</v>
      </c>
      <c r="AB83" s="35" t="str">
        <f ca="1">IFERROR(__xludf.DUMMYFUNCTION("IFERROR(INDEX(FILTER('製造效能'!N:N, '製造效能'!$A:$A=$C83, '製造效能'!$D:$D=$M83, '製造效能'!$E:$E=""攪料""), 1), INDEX(FILTER('製造效能'!N:N, '製造效能'!$B:$B=$D83, '製造效能'!$D:$D=$M83, '製造效能'!$E:$E=""攪料""), 1))"),"")</f>
        <v/>
      </c>
      <c r="AC83" s="35">
        <f ca="1">IFERROR(__xludf.DUMMYFUNCTION("IFERROR(INDEX(FILTER('製造效能'!O:O, '製造效能'!$A:$A=$C83, '製造效能'!$D:$D=$M83, '製造效能'!$E:$E=""攪料""), 1), INDEX(FILTER('製造效能'!O:O, '製造效能'!$B:$B=$D83, '製造效能'!$D:$D=$M83, '製造效能'!$E:$E=""攪料""), 1))"),1)</f>
        <v>1</v>
      </c>
      <c r="AD83" s="35">
        <f ca="1">IFERROR(__xludf.DUMMYFUNCTION("IFERROR(INDEX(FILTER('製造效能'!P:P, '製造效能'!$A:$A=$C83, '製造效能'!$D:$D=$M83, '製造效能'!$E:$E=""攪料""), 1), INDEX(FILTER('製造效能'!P:P, '製造效能'!$B:$B=$D83, '製造效能'!$D:$D=$M83, '製造效能'!$E:$E=""攪料""), 1))"),1)</f>
        <v>1</v>
      </c>
      <c r="AE83" s="35" t="str">
        <f ca="1">IFERROR(__xludf.DUMMYFUNCTION("IFERROR(INDEX(FILTER('製造效能'!Q:Q, '製造效能'!$A:$A=$C83, '製造效能'!$D:$D=$M83, '製造效能'!$E:$E=""攪料""), 1), INDEX(FILTER('製造效能'!Q:Q, '製造效能'!$B:$B=$D83, '製造效能'!$D:$D=$M83, '製造效能'!$E:$E=""攪料""), 1))"),"")</f>
        <v/>
      </c>
      <c r="AF83" s="35" t="str">
        <f ca="1">IFERROR(__xludf.DUMMYFUNCTION("IFERROR(INDEX(FILTER('製造效能'!R:R, '製造效能'!$A:$A=$C83, '製造效能'!$D:$D=$M83, '製造效能'!$E:$E=""攪料""), 1), INDEX(FILTER('製造效能'!R:R, '製造效能'!$B:$B=$D83, '製造效能'!$D:$D=$M83, '製造效能'!$E:$E=""攪料""), 1))"),"")</f>
        <v/>
      </c>
      <c r="AG83" s="35" t="str">
        <f ca="1">IFERROR(__xludf.DUMMYFUNCTION("IFERROR(INDEX(FILTER('製造效能'!S:S, '製造效能'!$A:$A=$C83, '製造效能'!$D:$D=$M83, '製造效能'!$E:$E=""攪料""), 1), INDEX(FILTER('製造效能'!S:S, '製造效能'!$B:$B=$D83, '製造效能'!$D:$D=$M83, '製造效能'!$E:$E=""攪料""), 1))"),"")</f>
        <v/>
      </c>
      <c r="AH83" s="35" t="str">
        <f ca="1">IFERROR(__xludf.DUMMYFUNCTION("IFERROR(INDEX(FILTER('製造效能'!T:T, '製造效能'!$A:$A=$C83, '製造效能'!$D:$D=$M83, '製造效能'!$E:$E=""攪料""), 1), INDEX(FILTER('製造效能'!T:T, '製造效能'!$B:$B=$D83, '製造效能'!$D:$D=$M83, '製造效能'!$E:$E=""攪料""), 1))"),"")</f>
        <v/>
      </c>
      <c r="AI83" s="35" t="str">
        <f ca="1">IFERROR(__xludf.DUMMYFUNCTION("IFERROR(INDEX(FILTER('製造效能'!U:U, '製造效能'!$A:$A=$C83, '製造效能'!$D:$D=$M83, '製造效能'!$E:$E=""攪料""), 1), INDEX(FILTER('製造效能'!U:U, '製造效能'!$B:$B=$D83, '製造效能'!$D:$D=$M83, '製造效能'!$E:$E=""攪料""), 1))"),"")</f>
        <v/>
      </c>
      <c r="AJ83" s="35" t="str">
        <f ca="1">IFERROR(__xludf.DUMMYFUNCTION("IFERROR(INDEX(FILTER('製造效能'!V:V, '製造效能'!$A:$A=$C83, '製造效能'!$D:$D=$M83, '製造效能'!$E:$E=""攪料""), 1), INDEX(FILTER('製造效能'!V:V, '製造效能'!$B:$B=$D83, '製造效能'!$D:$D=$M83, '製造效能'!$E:$E=""攪料""), 1))"),"")</f>
        <v/>
      </c>
      <c r="AK83" s="35">
        <f>COUNTIF(充填效能!$A:$A, $C83)</f>
        <v>1</v>
      </c>
      <c r="AL83" s="36">
        <f ca="1">IFERROR(__xludf.DUMMYFUNCTION("IFERROR(INDEX(FILTER('充填效能'!$Q$2:$Q$1088, '充填效能'!$A$2:$A$1088=$C83, '充填效能'!$D$2:$D$1088=""排瓶""), 1), 0)"),0)</f>
        <v>0</v>
      </c>
      <c r="AM83" s="36">
        <f ca="1">IFERROR(__xludf.DUMMYFUNCTION("IFERROR(INDEX(FILTER('充填效能'!$R$2:$R$1088, '充填效能'!$A$2:$A$1088=$C83, '充填效能'!$D$2:$D$1088=""排瓶""), 1), 0)"),0)</f>
        <v>0</v>
      </c>
      <c r="AN83" s="35">
        <f t="shared" ca="1" si="5"/>
        <v>0</v>
      </c>
      <c r="AO83" s="36" t="str">
        <f ca="1">IFERROR(__xludf.DUMMYFUNCTION("IFERROR(INDEX(FILTER('充填效能'!$Q$2:$Q$1088, '充填效能'!$A$2:$A$1088=$C83, '充填效能'!$D$2:$D$1088=""充填""), 1), 0)"),"850")</f>
        <v>850</v>
      </c>
      <c r="AP83" s="36">
        <f ca="1">IFERROR(__xludf.DUMMYFUNCTION("IFERROR(INDEX(FILTER('充填效能'!$R$2:$R$1088, '充填效能'!$A$2:$A$1088=$C83, '充填效能'!$D$2:$D$1088=""充填""), 1), 0)"),4)</f>
        <v>4</v>
      </c>
      <c r="AQ83" s="35">
        <f t="shared" ca="1" si="6"/>
        <v>1.9529411764705882</v>
      </c>
      <c r="AR83" s="17">
        <f t="shared" ca="1" si="7"/>
        <v>7.8117647058823527</v>
      </c>
    </row>
    <row r="84" spans="1:44" ht="15.75" customHeight="1">
      <c r="A84" s="9" t="s">
        <v>267</v>
      </c>
      <c r="B84" s="34">
        <f t="shared" si="0"/>
        <v>45063</v>
      </c>
      <c r="C84" s="9" t="s">
        <v>258</v>
      </c>
      <c r="D84" s="17" t="str">
        <f t="shared" si="1"/>
        <v>ET21D1</v>
      </c>
      <c r="E84" s="9" t="s">
        <v>259</v>
      </c>
      <c r="F84" s="9">
        <v>50</v>
      </c>
      <c r="G84" s="10">
        <v>45121</v>
      </c>
      <c r="H84" s="10">
        <v>45112</v>
      </c>
      <c r="I84" s="10">
        <v>45084</v>
      </c>
      <c r="J84" s="10">
        <v>45110</v>
      </c>
      <c r="L84" s="17" t="str">
        <f ca="1">IFERROR(__xludf.DUMMYFUNCTION("TEXTJOIN("", "", TRUE, UNIQUE(FILTER('製造效能'!$D$2:$D$1732, '製造效能'!$B$2:$B$1732 = D84)))"),"精")</f>
        <v>精</v>
      </c>
      <c r="M84" s="17" t="str">
        <f ca="1">IFERROR(__xludf.DUMMYFUNCTION("INDEX(UNIQUE(FILTER('製造效能'!$D$2:$D$1732, ('製造效能'!$B$2:$B$1732 = D84) * ('製造效能'!$J$2:$J$1732 = MAXIFS('製造效能'!$J$2:$J$1732, '製造效能'!$B$2:$B$1732, D84)))), 1) 
"),"精")</f>
        <v>精</v>
      </c>
      <c r="N84" s="17" t="str">
        <f ca="1">IFERROR(__xludf.DUMMYFUNCTION("TEXTJOIN("", "", TRUE, UNIQUE(FILTER('製造效能'!$K$2:$K$1732, '製造效能'!$B$2:$B$1732 = D84)))"),"水項")</f>
        <v>水項</v>
      </c>
      <c r="O84" s="35">
        <f ca="1">IFERROR(__xludf.DUMMYFUNCTION("IFERROR(INDEX(FILTER('充填效能'!I$2:I$1088, '充填效能'!$A$2:$A$1088=$C84, '充填效能'!$D$2:$D$1088=""充填""), 1), 0)"),95.1)</f>
        <v>95.1</v>
      </c>
      <c r="P84" s="35" t="str">
        <f ca="1">IFERROR(__xludf.DUMMYFUNCTION("IFERROR(INDEX(FILTER('充填效能'!J$2:J$1088, '充填效能'!$A$2:$A$1088=$C84, '充填效能'!$D$2:$D$1088=""充填""), 1), 0)"),"")</f>
        <v/>
      </c>
      <c r="Q84" s="35" t="str">
        <f ca="1">IFERROR(__xludf.DUMMYFUNCTION("IFERROR(INDEX(FILTER('充填效能'!K$2:K$1088, '充填效能'!$A$2:$A$1088=$C84, '充填效能'!$D$2:$D$1088=""充填""), 1), 0)"),"")</f>
        <v/>
      </c>
      <c r="R84" s="35" t="str">
        <f ca="1">IFERROR(__xludf.DUMMYFUNCTION("IFERROR(INDEX(FILTER('充填效能'!L$2:L$1088, '充填效能'!$A$2:$A$1088=$C84, '充填效能'!$D$2:$D$1088=""充填""), 1), 0)"),"")</f>
        <v/>
      </c>
      <c r="S84" s="35">
        <f ca="1">COUNTIFS(製造效能!B:B, $D84,製造效能!D:D,M84)</f>
        <v>2</v>
      </c>
      <c r="T84" s="36">
        <f ca="1">IFERROR(__xludf.DUMMYFUNCTION("VALUE(REGEXEXTRACT(TO_TEXT(O84), ""\d*\.?\d+""))"),95.1)</f>
        <v>95.1</v>
      </c>
      <c r="U84" s="17">
        <f t="shared" ca="1" si="2"/>
        <v>4826.3249999999998</v>
      </c>
      <c r="V84" s="17">
        <f ca="1">IFERROR(__xludf.DUMMYFUNCTION("IFERROR(INDEX(FILTER('製造效能'!J:J, '製造效能'!A:A=$C84, '製造效能'!D:D=M84, '製造效能'!E:E=""攪料""), 1), INDEX(FILTER('製造效能'!J:J, '製造效能'!B:B=$D84, '製造效能'!D:D=M84, '製造效能'!E:E=""攪料""), 1))"),52)</f>
        <v>52</v>
      </c>
      <c r="W84" s="36">
        <f ca="1">IFERROR(__xludf.DUMMYFUNCTION("IFERROR(INDEX(FILTER('製造效能'!G:G, '製造效能'!A:A=$C84, '製造效能'!D:D=M84, '製造效能'!E:E=""攪料""), 1), INDEX(FILTER('製造效能'!G:G, '製造效能'!B:B=$D84, '製造效能'!D:D=M84, '製造效能'!E:E=""攪料""), 1))"),55)</f>
        <v>55</v>
      </c>
      <c r="X84" s="35">
        <f t="shared" ca="1" si="3"/>
        <v>1</v>
      </c>
      <c r="Y84" s="35">
        <f t="shared" ca="1" si="4"/>
        <v>55</v>
      </c>
      <c r="Z84" s="35">
        <f ca="1">IFERROR(__xludf.DUMMYFUNCTION("IFERROR(IFERROR(INDEX(FILTER('製造效能'!G:G, '製造效能'!A:A=$C84, '製造效能'!D:D=M84, '製造效能'!E:E=""預攪""), 1), INDEX(FILTER('製造效能'!G:G, '製造效能'!B:B=$D84, '製造效能'!D:D=M84, '製造效能'!E:E=""預攪""), 1)), 0)"),0)</f>
        <v>0</v>
      </c>
      <c r="AA84" s="35">
        <f ca="1">IFERROR(__xludf.DUMMYFUNCTION("IFERROR(INDEX(FILTER('製造效能'!G:G, '製造效能'!A:A=$C84, '製造效能'!D:D=M84, '製造效能'!E:E=""清洗""), 1), INDEX(FILTER('製造效能'!G:G, '製造效能'!B:B=$D84, '製造效能'!D:D=M84, '製造效能'!E:E=""清洗""), 1))"),15)</f>
        <v>15</v>
      </c>
      <c r="AB84" s="35" t="str">
        <f ca="1">IFERROR(__xludf.DUMMYFUNCTION("IFERROR(INDEX(FILTER('製造效能'!N:N, '製造效能'!$A:$A=$C84, '製造效能'!$D:$D=$M84, '製造效能'!$E:$E=""攪料""), 1), INDEX(FILTER('製造效能'!N:N, '製造效能'!$B:$B=$D84, '製造效能'!$D:$D=$M84, '製造效能'!$E:$E=""攪料""), 1))"),"")</f>
        <v/>
      </c>
      <c r="AC84" s="35">
        <f ca="1">IFERROR(__xludf.DUMMYFUNCTION("IFERROR(INDEX(FILTER('製造效能'!O:O, '製造效能'!$A:$A=$C84, '製造效能'!$D:$D=$M84, '製造效能'!$E:$E=""攪料""), 1), INDEX(FILTER('製造效能'!O:O, '製造效能'!$B:$B=$D84, '製造效能'!$D:$D=$M84, '製造效能'!$E:$E=""攪料""), 1))"),1)</f>
        <v>1</v>
      </c>
      <c r="AD84" s="35" t="str">
        <f ca="1">IFERROR(__xludf.DUMMYFUNCTION("IFERROR(INDEX(FILTER('製造效能'!P:P, '製造效能'!$A:$A=$C84, '製造效能'!$D:$D=$M84, '製造效能'!$E:$E=""攪料""), 1), INDEX(FILTER('製造效能'!P:P, '製造效能'!$B:$B=$D84, '製造效能'!$D:$D=$M84, '製造效能'!$E:$E=""攪料""), 1))"),"")</f>
        <v/>
      </c>
      <c r="AE84" s="35" t="str">
        <f ca="1">IFERROR(__xludf.DUMMYFUNCTION("IFERROR(INDEX(FILTER('製造效能'!Q:Q, '製造效能'!$A:$A=$C84, '製造效能'!$D:$D=$M84, '製造效能'!$E:$E=""攪料""), 1), INDEX(FILTER('製造效能'!Q:Q, '製造效能'!$B:$B=$D84, '製造效能'!$D:$D=$M84, '製造效能'!$E:$E=""攪料""), 1))"),"")</f>
        <v/>
      </c>
      <c r="AF84" s="35" t="str">
        <f ca="1">IFERROR(__xludf.DUMMYFUNCTION("IFERROR(INDEX(FILTER('製造效能'!R:R, '製造效能'!$A:$A=$C84, '製造效能'!$D:$D=$M84, '製造效能'!$E:$E=""攪料""), 1), INDEX(FILTER('製造效能'!R:R, '製造效能'!$B:$B=$D84, '製造效能'!$D:$D=$M84, '製造效能'!$E:$E=""攪料""), 1))"),"")</f>
        <v/>
      </c>
      <c r="AG84" s="35" t="str">
        <f ca="1">IFERROR(__xludf.DUMMYFUNCTION("IFERROR(INDEX(FILTER('製造效能'!S:S, '製造效能'!$A:$A=$C84, '製造效能'!$D:$D=$M84, '製造效能'!$E:$E=""攪料""), 1), INDEX(FILTER('製造效能'!S:S, '製造效能'!$B:$B=$D84, '製造效能'!$D:$D=$M84, '製造效能'!$E:$E=""攪料""), 1))"),"")</f>
        <v/>
      </c>
      <c r="AH84" s="35" t="str">
        <f ca="1">IFERROR(__xludf.DUMMYFUNCTION("IFERROR(INDEX(FILTER('製造效能'!T:T, '製造效能'!$A:$A=$C84, '製造效能'!$D:$D=$M84, '製造效能'!$E:$E=""攪料""), 1), INDEX(FILTER('製造效能'!T:T, '製造效能'!$B:$B=$D84, '製造效能'!$D:$D=$M84, '製造效能'!$E:$E=""攪料""), 1))"),"")</f>
        <v/>
      </c>
      <c r="AI84" s="35" t="str">
        <f ca="1">IFERROR(__xludf.DUMMYFUNCTION("IFERROR(INDEX(FILTER('製造效能'!U:U, '製造效能'!$A:$A=$C84, '製造效能'!$D:$D=$M84, '製造效能'!$E:$E=""攪料""), 1), INDEX(FILTER('製造效能'!U:U, '製造效能'!$B:$B=$D84, '製造效能'!$D:$D=$M84, '製造效能'!$E:$E=""攪料""), 1))"),"")</f>
        <v/>
      </c>
      <c r="AJ84" s="35" t="str">
        <f ca="1">IFERROR(__xludf.DUMMYFUNCTION("IFERROR(INDEX(FILTER('製造效能'!V:V, '製造效能'!$A:$A=$C84, '製造效能'!$D:$D=$M84, '製造效能'!$E:$E=""攪料""), 1), INDEX(FILTER('製造效能'!V:V, '製造效能'!$B:$B=$D84, '製造效能'!$D:$D=$M84, '製造效能'!$E:$E=""攪料""), 1))"),"")</f>
        <v/>
      </c>
      <c r="AK84" s="35">
        <f>COUNTIF(充填效能!$A:$A, $C84)</f>
        <v>2</v>
      </c>
      <c r="AL84" s="36" t="str">
        <f ca="1">IFERROR(__xludf.DUMMYFUNCTION("IFERROR(INDEX(FILTER('充填效能'!$Q$2:$Q$1088, '充填效能'!$A$2:$A$1088=$C84, '充填效能'!$D$2:$D$1088=""排瓶""), 1), 0)"),"1100")</f>
        <v>1100</v>
      </c>
      <c r="AM84" s="36">
        <f ca="1">IFERROR(__xludf.DUMMYFUNCTION("IFERROR(INDEX(FILTER('充填效能'!$R$2:$R$1088, '充填效能'!$A$2:$A$1088=$C84, '充填效能'!$D$2:$D$1088=""排瓶""), 1), 0)"),1)</f>
        <v>1</v>
      </c>
      <c r="AN84" s="35">
        <f t="shared" ca="1" si="5"/>
        <v>4.5454545454545456E-2</v>
      </c>
      <c r="AO84" s="36" t="str">
        <f ca="1">IFERROR(__xludf.DUMMYFUNCTION("IFERROR(INDEX(FILTER('充填效能'!$Q$2:$Q$1088, '充填效能'!$A$2:$A$1088=$C84, '充填效能'!$D$2:$D$1088=""充填""), 1), 0)"),"640")</f>
        <v>640</v>
      </c>
      <c r="AP84" s="36">
        <f ca="1">IFERROR(__xludf.DUMMYFUNCTION("IFERROR(INDEX(FILTER('充填效能'!$R$2:$R$1088, '充填效能'!$A$2:$A$1088=$C84, '充填效能'!$D$2:$D$1088=""充填""), 1), 0)"),4)</f>
        <v>4</v>
      </c>
      <c r="AQ84" s="35">
        <f t="shared" ca="1" si="6"/>
        <v>7.8125E-2</v>
      </c>
      <c r="AR84" s="17">
        <f t="shared" ca="1" si="7"/>
        <v>0.3125</v>
      </c>
    </row>
    <row r="85" spans="1:44" ht="15.75" customHeight="1">
      <c r="A85" s="9" t="s">
        <v>260</v>
      </c>
      <c r="B85" s="34">
        <f t="shared" si="0"/>
        <v>45051</v>
      </c>
      <c r="C85" s="9" t="s">
        <v>255</v>
      </c>
      <c r="D85" s="17" t="str">
        <f t="shared" si="1"/>
        <v>ET21D1</v>
      </c>
      <c r="E85" s="9" t="s">
        <v>256</v>
      </c>
      <c r="F85" s="9">
        <v>620</v>
      </c>
      <c r="G85" s="10">
        <v>45121</v>
      </c>
      <c r="H85" s="10">
        <v>45112</v>
      </c>
      <c r="I85" s="10">
        <v>45092</v>
      </c>
      <c r="J85" s="10">
        <v>45082</v>
      </c>
      <c r="L85" s="17" t="str">
        <f ca="1">IFERROR(__xludf.DUMMYFUNCTION("TEXTJOIN("", "", TRUE, UNIQUE(FILTER('製造效能'!$D$2:$D$1732, '製造效能'!$B$2:$B$1732 = D85)))"),"精")</f>
        <v>精</v>
      </c>
      <c r="M85" s="17" t="str">
        <f ca="1">IFERROR(__xludf.DUMMYFUNCTION("INDEX(UNIQUE(FILTER('製造效能'!$D$2:$D$1732, ('製造效能'!$B$2:$B$1732 = D85) * ('製造效能'!$J$2:$J$1732 = MAXIFS('製造效能'!$J$2:$J$1732, '製造效能'!$B$2:$B$1732, D85)))), 1) 
"),"精")</f>
        <v>精</v>
      </c>
      <c r="N85" s="17" t="str">
        <f ca="1">IFERROR(__xludf.DUMMYFUNCTION("TEXTJOIN("", "", TRUE, UNIQUE(FILTER('製造效能'!$K$2:$K$1732, '製造效能'!$B$2:$B$1732 = D85)))"),"水項")</f>
        <v>水項</v>
      </c>
      <c r="O85" s="35">
        <f ca="1">IFERROR(__xludf.DUMMYFUNCTION("IFERROR(INDEX(FILTER('充填效能'!I$2:I$1088, '充填效能'!$A$2:$A$1088=$C85, '充填效能'!$D$2:$D$1088=""充填""), 1), 0)"),28.5)</f>
        <v>28.5</v>
      </c>
      <c r="P85" s="35" t="str">
        <f ca="1">IFERROR(__xludf.DUMMYFUNCTION("IFERROR(INDEX(FILTER('充填效能'!J$2:J$1088, '充填效能'!$A$2:$A$1088=$C85, '充填效能'!$D$2:$D$1088=""充填""), 1), 0)"),"")</f>
        <v/>
      </c>
      <c r="Q85" s="35" t="str">
        <f ca="1">IFERROR(__xludf.DUMMYFUNCTION("IFERROR(INDEX(FILTER('充填效能'!K$2:K$1088, '充填效能'!$A$2:$A$1088=$C85, '充填效能'!$D$2:$D$1088=""充填""), 1), 0)"),"")</f>
        <v/>
      </c>
      <c r="R85" s="35" t="str">
        <f ca="1">IFERROR(__xludf.DUMMYFUNCTION("IFERROR(INDEX(FILTER('充填效能'!L$2:L$1088, '充填效能'!$A$2:$A$1088=$C85, '充填效能'!$D$2:$D$1088=""充填""), 1), 0)"),"")</f>
        <v/>
      </c>
      <c r="S85" s="35">
        <f ca="1">COUNTIFS(製造效能!B:B, $D85,製造效能!D:D,M85)</f>
        <v>2</v>
      </c>
      <c r="T85" s="36">
        <f ca="1">IFERROR(__xludf.DUMMYFUNCTION("VALUE(REGEXEXTRACT(TO_TEXT(O85), ""\d*\.?\d+""))"),28.5)</f>
        <v>28.5</v>
      </c>
      <c r="U85" s="17">
        <f t="shared" ca="1" si="2"/>
        <v>17935.05</v>
      </c>
      <c r="V85" s="17">
        <f ca="1">IFERROR(__xludf.DUMMYFUNCTION("IFERROR(INDEX(FILTER('製造效能'!J:J, '製造效能'!A:A=$C85, '製造效能'!D:D=M85, '製造效能'!E:E=""攪料""), 1), INDEX(FILTER('製造效能'!J:J, '製造效能'!B:B=$D85, '製造效能'!D:D=M85, '製造效能'!E:E=""攪料""), 1))"),52)</f>
        <v>52</v>
      </c>
      <c r="W85" s="36">
        <f ca="1">IFERROR(__xludf.DUMMYFUNCTION("IFERROR(INDEX(FILTER('製造效能'!G:G, '製造效能'!A:A=$C85, '製造效能'!D:D=M85, '製造效能'!E:E=""攪料""), 1), INDEX(FILTER('製造效能'!G:G, '製造效能'!B:B=$D85, '製造效能'!D:D=M85, '製造效能'!E:E=""攪料""), 1))"),55)</f>
        <v>55</v>
      </c>
      <c r="X85" s="35">
        <f t="shared" ca="1" si="3"/>
        <v>1</v>
      </c>
      <c r="Y85" s="35">
        <f t="shared" ca="1" si="4"/>
        <v>55</v>
      </c>
      <c r="Z85" s="35">
        <f ca="1">IFERROR(__xludf.DUMMYFUNCTION("IFERROR(IFERROR(INDEX(FILTER('製造效能'!G:G, '製造效能'!A:A=$C85, '製造效能'!D:D=M85, '製造效能'!E:E=""預攪""), 1), INDEX(FILTER('製造效能'!G:G, '製造效能'!B:B=$D85, '製造效能'!D:D=M85, '製造效能'!E:E=""預攪""), 1)), 0)"),0)</f>
        <v>0</v>
      </c>
      <c r="AA85" s="35">
        <f ca="1">IFERROR(__xludf.DUMMYFUNCTION("IFERROR(INDEX(FILTER('製造效能'!G:G, '製造效能'!A:A=$C85, '製造效能'!D:D=M85, '製造效能'!E:E=""清洗""), 1), INDEX(FILTER('製造效能'!G:G, '製造效能'!B:B=$D85, '製造效能'!D:D=M85, '製造效能'!E:E=""清洗""), 1))"),15)</f>
        <v>15</v>
      </c>
      <c r="AB85" s="35" t="str">
        <f ca="1">IFERROR(__xludf.DUMMYFUNCTION("IFERROR(INDEX(FILTER('製造效能'!N:N, '製造效能'!$A:$A=$C85, '製造效能'!$D:$D=$M85, '製造效能'!$E:$E=""攪料""), 1), INDEX(FILTER('製造效能'!N:N, '製造效能'!$B:$B=$D85, '製造效能'!$D:$D=$M85, '製造效能'!$E:$E=""攪料""), 1))"),"")</f>
        <v/>
      </c>
      <c r="AC85" s="35">
        <f ca="1">IFERROR(__xludf.DUMMYFUNCTION("IFERROR(INDEX(FILTER('製造效能'!O:O, '製造效能'!$A:$A=$C85, '製造效能'!$D:$D=$M85, '製造效能'!$E:$E=""攪料""), 1), INDEX(FILTER('製造效能'!O:O, '製造效能'!$B:$B=$D85, '製造效能'!$D:$D=$M85, '製造效能'!$E:$E=""攪料""), 1))"),1)</f>
        <v>1</v>
      </c>
      <c r="AD85" s="35" t="str">
        <f ca="1">IFERROR(__xludf.DUMMYFUNCTION("IFERROR(INDEX(FILTER('製造效能'!P:P, '製造效能'!$A:$A=$C85, '製造效能'!$D:$D=$M85, '製造效能'!$E:$E=""攪料""), 1), INDEX(FILTER('製造效能'!P:P, '製造效能'!$B:$B=$D85, '製造效能'!$D:$D=$M85, '製造效能'!$E:$E=""攪料""), 1))"),"")</f>
        <v/>
      </c>
      <c r="AE85" s="35" t="str">
        <f ca="1">IFERROR(__xludf.DUMMYFUNCTION("IFERROR(INDEX(FILTER('製造效能'!Q:Q, '製造效能'!$A:$A=$C85, '製造效能'!$D:$D=$M85, '製造效能'!$E:$E=""攪料""), 1), INDEX(FILTER('製造效能'!Q:Q, '製造效能'!$B:$B=$D85, '製造效能'!$D:$D=$M85, '製造效能'!$E:$E=""攪料""), 1))"),"")</f>
        <v/>
      </c>
      <c r="AF85" s="35" t="str">
        <f ca="1">IFERROR(__xludf.DUMMYFUNCTION("IFERROR(INDEX(FILTER('製造效能'!R:R, '製造效能'!$A:$A=$C85, '製造效能'!$D:$D=$M85, '製造效能'!$E:$E=""攪料""), 1), INDEX(FILTER('製造效能'!R:R, '製造效能'!$B:$B=$D85, '製造效能'!$D:$D=$M85, '製造效能'!$E:$E=""攪料""), 1))"),"")</f>
        <v/>
      </c>
      <c r="AG85" s="35" t="str">
        <f ca="1">IFERROR(__xludf.DUMMYFUNCTION("IFERROR(INDEX(FILTER('製造效能'!S:S, '製造效能'!$A:$A=$C85, '製造效能'!$D:$D=$M85, '製造效能'!$E:$E=""攪料""), 1), INDEX(FILTER('製造效能'!S:S, '製造效能'!$B:$B=$D85, '製造效能'!$D:$D=$M85, '製造效能'!$E:$E=""攪料""), 1))"),"")</f>
        <v/>
      </c>
      <c r="AH85" s="35" t="str">
        <f ca="1">IFERROR(__xludf.DUMMYFUNCTION("IFERROR(INDEX(FILTER('製造效能'!T:T, '製造效能'!$A:$A=$C85, '製造效能'!$D:$D=$M85, '製造效能'!$E:$E=""攪料""), 1), INDEX(FILTER('製造效能'!T:T, '製造效能'!$B:$B=$D85, '製造效能'!$D:$D=$M85, '製造效能'!$E:$E=""攪料""), 1))"),"")</f>
        <v/>
      </c>
      <c r="AI85" s="35" t="str">
        <f ca="1">IFERROR(__xludf.DUMMYFUNCTION("IFERROR(INDEX(FILTER('製造效能'!U:U, '製造效能'!$A:$A=$C85, '製造效能'!$D:$D=$M85, '製造效能'!$E:$E=""攪料""), 1), INDEX(FILTER('製造效能'!U:U, '製造效能'!$B:$B=$D85, '製造效能'!$D:$D=$M85, '製造效能'!$E:$E=""攪料""), 1))"),"")</f>
        <v/>
      </c>
      <c r="AJ85" s="35" t="str">
        <f ca="1">IFERROR(__xludf.DUMMYFUNCTION("IFERROR(INDEX(FILTER('製造效能'!V:V, '製造效能'!$A:$A=$C85, '製造效能'!$D:$D=$M85, '製造效能'!$E:$E=""攪料""), 1), INDEX(FILTER('製造效能'!V:V, '製造效能'!$B:$B=$D85, '製造效能'!$D:$D=$M85, '製造效能'!$E:$E=""攪料""), 1))"),"")</f>
        <v/>
      </c>
      <c r="AK85" s="35">
        <f>COUNTIF(充填效能!$A:$A, $C85)</f>
        <v>2</v>
      </c>
      <c r="AL85" s="36" t="str">
        <f ca="1">IFERROR(__xludf.DUMMYFUNCTION("IFERROR(INDEX(FILTER('充填效能'!$Q$2:$Q$1088, '充填效能'!$A$2:$A$1088=$C85, '充填效能'!$D$2:$D$1088=""排瓶""), 1), 0)"),"1500")</f>
        <v>1500</v>
      </c>
      <c r="AM85" s="36">
        <f ca="1">IFERROR(__xludf.DUMMYFUNCTION("IFERROR(INDEX(FILTER('充填效能'!$R$2:$R$1088, '充填效能'!$A$2:$A$1088=$C85, '充填效能'!$D$2:$D$1088=""排瓶""), 1), 0)"),1)</f>
        <v>1</v>
      </c>
      <c r="AN85" s="35">
        <f t="shared" ca="1" si="5"/>
        <v>0.41333333333333333</v>
      </c>
      <c r="AO85" s="36" t="str">
        <f ca="1">IFERROR(__xludf.DUMMYFUNCTION("IFERROR(INDEX(FILTER('充填效能'!$Q$2:$Q$1088, '充填效能'!$A$2:$A$1088=$C85, '充填效能'!$D$2:$D$1088=""充填""), 1), 0)"),"1000")</f>
        <v>1000</v>
      </c>
      <c r="AP85" s="36">
        <f ca="1">IFERROR(__xludf.DUMMYFUNCTION("IFERROR(INDEX(FILTER('充填效能'!$R$2:$R$1088, '充填效能'!$A$2:$A$1088=$C85, '充填效能'!$D$2:$D$1088=""充填""), 1), 0)"),4)</f>
        <v>4</v>
      </c>
      <c r="AQ85" s="35">
        <f t="shared" ca="1" si="6"/>
        <v>0.62</v>
      </c>
      <c r="AR85" s="17">
        <f t="shared" ca="1" si="7"/>
        <v>2.48</v>
      </c>
    </row>
    <row r="86" spans="1:44" ht="15.75" customHeight="1">
      <c r="A86" s="9" t="s">
        <v>252</v>
      </c>
      <c r="B86" s="34">
        <f t="shared" si="0"/>
        <v>45070</v>
      </c>
      <c r="C86" s="9" t="s">
        <v>309</v>
      </c>
      <c r="D86" s="17" t="str">
        <f t="shared" si="1"/>
        <v>EU21D4</v>
      </c>
      <c r="E86" s="9" t="s">
        <v>310</v>
      </c>
      <c r="F86" s="9">
        <v>5000</v>
      </c>
      <c r="G86" s="10">
        <v>45156</v>
      </c>
      <c r="H86" s="10">
        <v>45113</v>
      </c>
      <c r="I86" s="10">
        <v>45076</v>
      </c>
      <c r="J86" s="10">
        <v>45062</v>
      </c>
      <c r="L86" s="17" t="str">
        <f ca="1">IFERROR(__xludf.DUMMYFUNCTION("TEXTJOIN("", "", TRUE, UNIQUE(FILTER('製造效能'!$D$2:$D$1732, '製造效能'!$B$2:$B$1732 = D86)))"),"精, 大")</f>
        <v>精, 大</v>
      </c>
      <c r="M86" s="17" t="str">
        <f ca="1">IFERROR(__xludf.DUMMYFUNCTION("INDEX(UNIQUE(FILTER('製造效能'!$D$2:$D$1732, ('製造效能'!$B$2:$B$1732 = D86) * ('製造效能'!$J$2:$J$1732 = MAXIFS('製造效能'!$J$2:$J$1732, '製造效能'!$B$2:$B$1732, D86)))), 1) 
"),"大")</f>
        <v>大</v>
      </c>
      <c r="N86" s="17" t="str">
        <f ca="1">IFERROR(__xludf.DUMMYFUNCTION("TEXTJOIN("", "", TRUE, UNIQUE(FILTER('製造效能'!$K$2:$K$1732, '製造效能'!$B$2:$B$1732 = D86)))"),"水項")</f>
        <v>水項</v>
      </c>
      <c r="O86" s="35">
        <f ca="1">IFERROR(__xludf.DUMMYFUNCTION("IFERROR(INDEX(FILTER('充填效能'!I$2:I$1088, '充填效能'!$A$2:$A$1088=$C86, '充填效能'!$D$2:$D$1088=""充填""), 1), 0)"),30.6)</f>
        <v>30.6</v>
      </c>
      <c r="P86" s="35" t="str">
        <f ca="1">IFERROR(__xludf.DUMMYFUNCTION("IFERROR(INDEX(FILTER('充填效能'!J$2:J$1088, '充填效能'!$A$2:$A$1088=$C86, '充填效能'!$D$2:$D$1088=""充填""), 1), 0)"),"")</f>
        <v/>
      </c>
      <c r="Q86" s="35" t="str">
        <f ca="1">IFERROR(__xludf.DUMMYFUNCTION("IFERROR(INDEX(FILTER('充填效能'!K$2:K$1088, '充填效能'!$A$2:$A$1088=$C86, '充填效能'!$D$2:$D$1088=""充填""), 1), 0)"),"")</f>
        <v/>
      </c>
      <c r="R86" s="35" t="str">
        <f ca="1">IFERROR(__xludf.DUMMYFUNCTION("IFERROR(INDEX(FILTER('充填效能'!L$2:L$1088, '充填效能'!$A$2:$A$1088=$C86, '充填效能'!$D$2:$D$1088=""充填""), 1), 0)"),"")</f>
        <v/>
      </c>
      <c r="S86" s="35">
        <f ca="1">COUNTIFS(製造效能!B:B, $D86,製造效能!D:D,M86)</f>
        <v>3</v>
      </c>
      <c r="T86" s="36">
        <f ca="1">IFERROR(__xludf.DUMMYFUNCTION("VALUE(REGEXEXTRACT(TO_TEXT(O86), ""\d*\.?\d+""))"),30.6)</f>
        <v>30.6</v>
      </c>
      <c r="U86" s="17">
        <f t="shared" ca="1" si="2"/>
        <v>155294.99999999997</v>
      </c>
      <c r="V86" s="17">
        <f ca="1">IFERROR(__xludf.DUMMYFUNCTION("IFERROR(INDEX(FILTER('製造效能'!J:J, '製造效能'!A:A=$C86, '製造效能'!D:D=M86, '製造效能'!E:E=""攪料""), 1), INDEX(FILTER('製造效能'!J:J, '製造效能'!B:B=$D86, '製造效能'!D:D=M86, '製造效能'!E:E=""攪料""), 1))"),378)</f>
        <v>378</v>
      </c>
      <c r="W86" s="36">
        <f ca="1">IFERROR(__xludf.DUMMYFUNCTION("IFERROR(INDEX(FILTER('製造效能'!G:G, '製造效能'!A:A=$C86, '製造效能'!D:D=M86, '製造效能'!E:E=""攪料""), 1), INDEX(FILTER('製造效能'!G:G, '製造效能'!B:B=$D86, '製造效能'!D:D=M86, '製造效能'!E:E=""攪料""), 1))"),100)</f>
        <v>100</v>
      </c>
      <c r="X86" s="35">
        <f t="shared" ca="1" si="3"/>
        <v>1</v>
      </c>
      <c r="Y86" s="35">
        <f t="shared" ca="1" si="4"/>
        <v>100</v>
      </c>
      <c r="Z86" s="35">
        <f ca="1">IFERROR(__xludf.DUMMYFUNCTION("IFERROR(IFERROR(INDEX(FILTER('製造效能'!G:G, '製造效能'!A:A=$C86, '製造效能'!D:D=M86, '製造效能'!E:E=""預攪""), 1), INDEX(FILTER('製造效能'!G:G, '製造效能'!B:B=$D86, '製造效能'!D:D=M86, '製造效能'!E:E=""預攪""), 1)), 0)"),55)</f>
        <v>55</v>
      </c>
      <c r="AA86" s="35">
        <f ca="1">IFERROR(__xludf.DUMMYFUNCTION("IFERROR(INDEX(FILTER('製造效能'!G:G, '製造效能'!A:A=$C86, '製造效能'!D:D=M86, '製造效能'!E:E=""清洗""), 1), INDEX(FILTER('製造效能'!G:G, '製造效能'!B:B=$D86, '製造效能'!D:D=M86, '製造效能'!E:E=""清洗""), 1))"),30)</f>
        <v>30</v>
      </c>
      <c r="AB86" s="35" t="str">
        <f ca="1">IFERROR(__xludf.DUMMYFUNCTION("IFERROR(INDEX(FILTER('製造效能'!N:N, '製造效能'!$A:$A=$C86, '製造效能'!$D:$D=$M86, '製造效能'!$E:$E=""攪料""), 1), INDEX(FILTER('製造效能'!N:N, '製造效能'!$B:$B=$D86, '製造效能'!$D:$D=$M86, '製造效能'!$E:$E=""攪料""), 1))"),"")</f>
        <v/>
      </c>
      <c r="AC86" s="35" t="str">
        <f ca="1">IFERROR(__xludf.DUMMYFUNCTION("IFERROR(INDEX(FILTER('製造效能'!O:O, '製造效能'!$A:$A=$C86, '製造效能'!$D:$D=$M86, '製造效能'!$E:$E=""攪料""), 1), INDEX(FILTER('製造效能'!O:O, '製造效能'!$B:$B=$D86, '製造效能'!$D:$D=$M86, '製造效能'!$E:$E=""攪料""), 1))"),"")</f>
        <v/>
      </c>
      <c r="AD86" s="35" t="str">
        <f ca="1">IFERROR(__xludf.DUMMYFUNCTION("IFERROR(INDEX(FILTER('製造效能'!P:P, '製造效能'!$A:$A=$C86, '製造效能'!$D:$D=$M86, '製造效能'!$E:$E=""攪料""), 1), INDEX(FILTER('製造效能'!P:P, '製造效能'!$B:$B=$D86, '製造效能'!$D:$D=$M86, '製造效能'!$E:$E=""攪料""), 1))"),"")</f>
        <v/>
      </c>
      <c r="AE86" s="35" t="str">
        <f ca="1">IFERROR(__xludf.DUMMYFUNCTION("IFERROR(INDEX(FILTER('製造效能'!Q:Q, '製造效能'!$A:$A=$C86, '製造效能'!$D:$D=$M86, '製造效能'!$E:$E=""攪料""), 1), INDEX(FILTER('製造效能'!Q:Q, '製造效能'!$B:$B=$D86, '製造效能'!$D:$D=$M86, '製造效能'!$E:$E=""攪料""), 1))"),"")</f>
        <v/>
      </c>
      <c r="AF86" s="35" t="str">
        <f ca="1">IFERROR(__xludf.DUMMYFUNCTION("IFERROR(INDEX(FILTER('製造效能'!R:R, '製造效能'!$A:$A=$C86, '製造效能'!$D:$D=$M86, '製造效能'!$E:$E=""攪料""), 1), INDEX(FILTER('製造效能'!R:R, '製造效能'!$B:$B=$D86, '製造效能'!$D:$D=$M86, '製造效能'!$E:$E=""攪料""), 1))"),"")</f>
        <v/>
      </c>
      <c r="AG86" s="35">
        <f ca="1">IFERROR(__xludf.DUMMYFUNCTION("IFERROR(INDEX(FILTER('製造效能'!S:S, '製造效能'!$A:$A=$C86, '製造效能'!$D:$D=$M86, '製造效能'!$E:$E=""攪料""), 1), INDEX(FILTER('製造效能'!S:S, '製造效能'!$B:$B=$D86, '製造效能'!$D:$D=$M86, '製造效能'!$E:$E=""攪料""), 1))"),1)</f>
        <v>1</v>
      </c>
      <c r="AH86" s="35" t="str">
        <f ca="1">IFERROR(__xludf.DUMMYFUNCTION("IFERROR(INDEX(FILTER('製造效能'!T:T, '製造效能'!$A:$A=$C86, '製造效能'!$D:$D=$M86, '製造效能'!$E:$E=""攪料""), 1), INDEX(FILTER('製造效能'!T:T, '製造效能'!$B:$B=$D86, '製造效能'!$D:$D=$M86, '製造效能'!$E:$E=""攪料""), 1))"),"")</f>
        <v/>
      </c>
      <c r="AI86" s="35" t="str">
        <f ca="1">IFERROR(__xludf.DUMMYFUNCTION("IFERROR(INDEX(FILTER('製造效能'!U:U, '製造效能'!$A:$A=$C86, '製造效能'!$D:$D=$M86, '製造效能'!$E:$E=""攪料""), 1), INDEX(FILTER('製造效能'!U:U, '製造效能'!$B:$B=$D86, '製造效能'!$D:$D=$M86, '製造效能'!$E:$E=""攪料""), 1))"),"")</f>
        <v/>
      </c>
      <c r="AJ86" s="35" t="str">
        <f ca="1">IFERROR(__xludf.DUMMYFUNCTION("IFERROR(INDEX(FILTER('製造效能'!V:V, '製造效能'!$A:$A=$C86, '製造效能'!$D:$D=$M86, '製造效能'!$E:$E=""攪料""), 1), INDEX(FILTER('製造效能'!V:V, '製造效能'!$B:$B=$D86, '製造效能'!$D:$D=$M86, '製造效能'!$E:$E=""攪料""), 1))"),"")</f>
        <v/>
      </c>
      <c r="AK86" s="35">
        <f>COUNTIF(充填效能!$A:$A, $C86)</f>
        <v>2</v>
      </c>
      <c r="AL86" s="36" t="str">
        <f ca="1">IFERROR(__xludf.DUMMYFUNCTION("IFERROR(INDEX(FILTER('充填效能'!$Q$2:$Q$1088, '充填效能'!$A$2:$A$1088=$C86, '充填效能'!$D$2:$D$1088=""排瓶""), 1), 0)"),"1500")</f>
        <v>1500</v>
      </c>
      <c r="AM86" s="36">
        <f ca="1">IFERROR(__xludf.DUMMYFUNCTION("IFERROR(INDEX(FILTER('充填效能'!$R$2:$R$1088, '充填效能'!$A$2:$A$1088=$C86, '充填效能'!$D$2:$D$1088=""排瓶""), 1), 0)"),1)</f>
        <v>1</v>
      </c>
      <c r="AN86" s="35">
        <f t="shared" ca="1" si="5"/>
        <v>3.3333333333333335</v>
      </c>
      <c r="AO86" s="36" t="str">
        <f ca="1">IFERROR(__xludf.DUMMYFUNCTION("IFERROR(INDEX(FILTER('充填效能'!$Q$2:$Q$1088, '充填效能'!$A$2:$A$1088=$C86, '充填效能'!$D$2:$D$1088=""充填""), 1), 0)"),"1400")</f>
        <v>1400</v>
      </c>
      <c r="AP86" s="36">
        <f ca="1">IFERROR(__xludf.DUMMYFUNCTION("IFERROR(INDEX(FILTER('充填效能'!$R$2:$R$1088, '充填效能'!$A$2:$A$1088=$C86, '充填效能'!$D$2:$D$1088=""充填""), 1), 0)"),4)</f>
        <v>4</v>
      </c>
      <c r="AQ86" s="35">
        <f t="shared" ca="1" si="6"/>
        <v>3.5714285714285716</v>
      </c>
      <c r="AR86" s="17">
        <f t="shared" ca="1" si="7"/>
        <v>14.285714285714286</v>
      </c>
    </row>
    <row r="87" spans="1:44" ht="15.75" customHeight="1">
      <c r="A87" s="9" t="s">
        <v>263</v>
      </c>
      <c r="B87" s="34">
        <f t="shared" si="0"/>
        <v>45098</v>
      </c>
      <c r="C87" s="9" t="s">
        <v>261</v>
      </c>
      <c r="D87" s="17" t="str">
        <f t="shared" si="1"/>
        <v>BQ18C1</v>
      </c>
      <c r="E87" s="9" t="s">
        <v>262</v>
      </c>
      <c r="F87" s="9">
        <v>1500</v>
      </c>
      <c r="G87" s="10">
        <v>45125</v>
      </c>
      <c r="H87" s="10">
        <v>45114</v>
      </c>
      <c r="I87" s="10">
        <v>45097</v>
      </c>
      <c r="J87" s="10">
        <v>45093</v>
      </c>
      <c r="L87" s="17" t="str">
        <f ca="1">IFERROR(__xludf.DUMMYFUNCTION("TEXTJOIN("", "", TRUE, UNIQUE(FILTER('製造效能'!$D$2:$D$1732, '製造效能'!$B$2:$B$1732 = D87)))"),"大")</f>
        <v>大</v>
      </c>
      <c r="M87" s="17" t="str">
        <f ca="1">IFERROR(__xludf.DUMMYFUNCTION("INDEX(UNIQUE(FILTER('製造效能'!$D$2:$D$1732, ('製造效能'!$B$2:$B$1732 = D87) * ('製造效能'!$J$2:$J$1732 = MAXIFS('製造效能'!$J$2:$J$1732, '製造效能'!$B$2:$B$1732, D87)))), 1) 
"),"大")</f>
        <v>大</v>
      </c>
      <c r="N87" s="17" t="str">
        <f ca="1">IFERROR(__xludf.DUMMYFUNCTION("TEXTJOIN("", "", TRUE, UNIQUE(FILTER('製造效能'!$K$2:$K$1732, '製造效能'!$B$2:$B$1732 = D87)))"),"水項")</f>
        <v>水項</v>
      </c>
      <c r="O87" s="35">
        <f ca="1">IFERROR(__xludf.DUMMYFUNCTION("IFERROR(INDEX(FILTER('充填效能'!I$2:I$1088, '充填效能'!$A$2:$A$1088=$C87, '充填效能'!$D$2:$D$1088=""充填""), 1), 0)"),118.8)</f>
        <v>118.8</v>
      </c>
      <c r="P87" s="35" t="str">
        <f ca="1">IFERROR(__xludf.DUMMYFUNCTION("IFERROR(INDEX(FILTER('充填效能'!J$2:J$1088, '充填效能'!$A$2:$A$1088=$C87, '充填效能'!$D$2:$D$1088=""充填""), 1), 0)"),"")</f>
        <v/>
      </c>
      <c r="Q87" s="35" t="str">
        <f ca="1">IFERROR(__xludf.DUMMYFUNCTION("IFERROR(INDEX(FILTER('充填效能'!K$2:K$1088, '充填效能'!$A$2:$A$1088=$C87, '充填效能'!$D$2:$D$1088=""充填""), 1), 0)"),"")</f>
        <v/>
      </c>
      <c r="R87" s="35" t="str">
        <f ca="1">IFERROR(__xludf.DUMMYFUNCTION("IFERROR(INDEX(FILTER('充填效能'!L$2:L$1088, '充填效能'!$A$2:$A$1088=$C87, '充填效能'!$D$2:$D$1088=""充填""), 1), 0)"),"")</f>
        <v/>
      </c>
      <c r="S87" s="35">
        <f ca="1">COUNTIFS(製造效能!B:B, $D87,製造效能!D:D,M87)</f>
        <v>3</v>
      </c>
      <c r="T87" s="36">
        <f ca="1">IFERROR(__xludf.DUMMYFUNCTION("VALUE(REGEXEXTRACT(TO_TEXT(O87), ""\d*\.?\d+""))"),118.8)</f>
        <v>118.8</v>
      </c>
      <c r="U87" s="17">
        <f t="shared" ca="1" si="2"/>
        <v>180872.99999999997</v>
      </c>
      <c r="V87" s="17">
        <f ca="1">IFERROR(__xludf.DUMMYFUNCTION("IFERROR(INDEX(FILTER('製造效能'!J:J, '製造效能'!A:A=$C87, '製造效能'!D:D=M87, '製造效能'!E:E=""攪料""), 1), INDEX(FILTER('製造效能'!J:J, '製造效能'!B:B=$D87, '製造效能'!D:D=M87, '製造效能'!E:E=""攪料""), 1))"),102)</f>
        <v>102</v>
      </c>
      <c r="W87" s="36">
        <f ca="1">IFERROR(__xludf.DUMMYFUNCTION("IFERROR(INDEX(FILTER('製造效能'!G:G, '製造效能'!A:A=$C87, '製造效能'!D:D=M87, '製造效能'!E:E=""攪料""), 1), INDEX(FILTER('製造效能'!G:G, '製造效能'!B:B=$D87, '製造效能'!D:D=M87, '製造效能'!E:E=""攪料""), 1))"),130)</f>
        <v>130</v>
      </c>
      <c r="X87" s="35">
        <f t="shared" ca="1" si="3"/>
        <v>2</v>
      </c>
      <c r="Y87" s="35">
        <f t="shared" ca="1" si="4"/>
        <v>260</v>
      </c>
      <c r="Z87" s="35">
        <f ca="1">IFERROR(__xludf.DUMMYFUNCTION("IFERROR(IFERROR(INDEX(FILTER('製造效能'!G:G, '製造效能'!A:A=$C87, '製造效能'!D:D=M87, '製造效能'!E:E=""預攪""), 1), INDEX(FILTER('製造效能'!G:G, '製造效能'!B:B=$D87, '製造效能'!D:D=M87, '製造效能'!E:E=""預攪""), 1)), 0)"),30)</f>
        <v>30</v>
      </c>
      <c r="AA87" s="35">
        <f ca="1">IFERROR(__xludf.DUMMYFUNCTION("IFERROR(INDEX(FILTER('製造效能'!G:G, '製造效能'!A:A=$C87, '製造效能'!D:D=M87, '製造效能'!E:E=""清洗""), 1), INDEX(FILTER('製造效能'!G:G, '製造效能'!B:B=$D87, '製造效能'!D:D=M87, '製造效能'!E:E=""清洗""), 1))"),30)</f>
        <v>30</v>
      </c>
      <c r="AB87" s="35" t="str">
        <f ca="1">IFERROR(__xludf.DUMMYFUNCTION("IFERROR(INDEX(FILTER('製造效能'!N:N, '製造效能'!$A:$A=$C87, '製造效能'!$D:$D=$M87, '製造效能'!$E:$E=""攪料""), 1), INDEX(FILTER('製造效能'!N:N, '製造效能'!$B:$B=$D87, '製造效能'!$D:$D=$M87, '製造效能'!$E:$E=""攪料""), 1))"),"")</f>
        <v/>
      </c>
      <c r="AC87" s="35" t="str">
        <f ca="1">IFERROR(__xludf.DUMMYFUNCTION("IFERROR(INDEX(FILTER('製造效能'!O:O, '製造效能'!$A:$A=$C87, '製造效能'!$D:$D=$M87, '製造效能'!$E:$E=""攪料""), 1), INDEX(FILTER('製造效能'!O:O, '製造效能'!$B:$B=$D87, '製造效能'!$D:$D=$M87, '製造效能'!$E:$E=""攪料""), 1))"),"")</f>
        <v/>
      </c>
      <c r="AD87" s="35" t="str">
        <f ca="1">IFERROR(__xludf.DUMMYFUNCTION("IFERROR(INDEX(FILTER('製造效能'!P:P, '製造效能'!$A:$A=$C87, '製造效能'!$D:$D=$M87, '製造效能'!$E:$E=""攪料""), 1), INDEX(FILTER('製造效能'!P:P, '製造效能'!$B:$B=$D87, '製造效能'!$D:$D=$M87, '製造效能'!$E:$E=""攪料""), 1))"),"")</f>
        <v/>
      </c>
      <c r="AE87" s="35" t="str">
        <f ca="1">IFERROR(__xludf.DUMMYFUNCTION("IFERROR(INDEX(FILTER('製造效能'!Q:Q, '製造效能'!$A:$A=$C87, '製造效能'!$D:$D=$M87, '製造效能'!$E:$E=""攪料""), 1), INDEX(FILTER('製造效能'!Q:Q, '製造效能'!$B:$B=$D87, '製造效能'!$D:$D=$M87, '製造效能'!$E:$E=""攪料""), 1))"),"")</f>
        <v/>
      </c>
      <c r="AF87" s="35" t="str">
        <f ca="1">IFERROR(__xludf.DUMMYFUNCTION("IFERROR(INDEX(FILTER('製造效能'!R:R, '製造效能'!$A:$A=$C87, '製造效能'!$D:$D=$M87, '製造效能'!$E:$E=""攪料""), 1), INDEX(FILTER('製造效能'!R:R, '製造效能'!$B:$B=$D87, '製造效能'!$D:$D=$M87, '製造效能'!$E:$E=""攪料""), 1))"),"")</f>
        <v/>
      </c>
      <c r="AG87" s="35">
        <f ca="1">IFERROR(__xludf.DUMMYFUNCTION("IFERROR(INDEX(FILTER('製造效能'!S:S, '製造效能'!$A:$A=$C87, '製造效能'!$D:$D=$M87, '製造效能'!$E:$E=""攪料""), 1), INDEX(FILTER('製造效能'!S:S, '製造效能'!$B:$B=$D87, '製造效能'!$D:$D=$M87, '製造效能'!$E:$E=""攪料""), 1))"),1)</f>
        <v>1</v>
      </c>
      <c r="AH87" s="35" t="str">
        <f ca="1">IFERROR(__xludf.DUMMYFUNCTION("IFERROR(INDEX(FILTER('製造效能'!T:T, '製造效能'!$A:$A=$C87, '製造效能'!$D:$D=$M87, '製造效能'!$E:$E=""攪料""), 1), INDEX(FILTER('製造效能'!T:T, '製造效能'!$B:$B=$D87, '製造效能'!$D:$D=$M87, '製造效能'!$E:$E=""攪料""), 1))"),"")</f>
        <v/>
      </c>
      <c r="AI87" s="35" t="str">
        <f ca="1">IFERROR(__xludf.DUMMYFUNCTION("IFERROR(INDEX(FILTER('製造效能'!U:U, '製造效能'!$A:$A=$C87, '製造效能'!$D:$D=$M87, '製造效能'!$E:$E=""攪料""), 1), INDEX(FILTER('製造效能'!U:U, '製造效能'!$B:$B=$D87, '製造效能'!$D:$D=$M87, '製造效能'!$E:$E=""攪料""), 1))"),"")</f>
        <v/>
      </c>
      <c r="AJ87" s="35" t="str">
        <f ca="1">IFERROR(__xludf.DUMMYFUNCTION("IFERROR(INDEX(FILTER('製造效能'!V:V, '製造效能'!$A:$A=$C87, '製造效能'!$D:$D=$M87, '製造效能'!$E:$E=""攪料""), 1), INDEX(FILTER('製造效能'!V:V, '製造效能'!$B:$B=$D87, '製造效能'!$D:$D=$M87, '製造效能'!$E:$E=""攪料""), 1))"),"")</f>
        <v/>
      </c>
      <c r="AK87" s="35">
        <f>COUNTIF(充填效能!$A:$A, $C87)</f>
        <v>2</v>
      </c>
      <c r="AL87" s="36" t="str">
        <f ca="1">IFERROR(__xludf.DUMMYFUNCTION("IFERROR(INDEX(FILTER('充填效能'!$Q$2:$Q$1088, '充填效能'!$A$2:$A$1088=$C87, '充填效能'!$D$2:$D$1088=""排瓶""), 1), 0)"),"550")</f>
        <v>550</v>
      </c>
      <c r="AM87" s="36">
        <f ca="1">IFERROR(__xludf.DUMMYFUNCTION("IFERROR(INDEX(FILTER('充填效能'!$R$2:$R$1088, '充填效能'!$A$2:$A$1088=$C87, '充填效能'!$D$2:$D$1088=""排瓶""), 1), 0)"),1)</f>
        <v>1</v>
      </c>
      <c r="AN87" s="35">
        <f t="shared" ca="1" si="5"/>
        <v>2.7272727272727271</v>
      </c>
      <c r="AO87" s="36" t="str">
        <f ca="1">IFERROR(__xludf.DUMMYFUNCTION("IFERROR(INDEX(FILTER('充填效能'!$Q$2:$Q$1088, '充填效能'!$A$2:$A$1088=$C87, '充填效能'!$D$2:$D$1088=""充填""), 1), 0)"),"720")</f>
        <v>720</v>
      </c>
      <c r="AP87" s="36">
        <f ca="1">IFERROR(__xludf.DUMMYFUNCTION("IFERROR(INDEX(FILTER('充填效能'!$R$2:$R$1088, '充填效能'!$A$2:$A$1088=$C87, '充填效能'!$D$2:$D$1088=""充填""), 1), 0)"),3)</f>
        <v>3</v>
      </c>
      <c r="AQ87" s="35">
        <f t="shared" ca="1" si="6"/>
        <v>2.0833333333333335</v>
      </c>
      <c r="AR87" s="17">
        <f t="shared" ca="1" si="7"/>
        <v>6.25</v>
      </c>
    </row>
    <row r="88" spans="1:44" ht="15.75" customHeight="1">
      <c r="A88" s="9" t="s">
        <v>311</v>
      </c>
      <c r="B88" s="34">
        <f t="shared" si="0"/>
        <v>44839</v>
      </c>
      <c r="C88" s="9" t="s">
        <v>300</v>
      </c>
      <c r="D88" s="17" t="str">
        <f t="shared" si="1"/>
        <v>DC23B1</v>
      </c>
      <c r="E88" s="9" t="s">
        <v>301</v>
      </c>
      <c r="F88" s="9">
        <v>1000</v>
      </c>
      <c r="G88" s="10">
        <v>45154</v>
      </c>
      <c r="H88" s="10">
        <v>45114</v>
      </c>
      <c r="I88" s="10">
        <v>45057</v>
      </c>
      <c r="J88" s="10">
        <v>45110</v>
      </c>
      <c r="L88" s="17" t="str">
        <f ca="1">IFERROR(__xludf.DUMMYFUNCTION("TEXTJOIN("", "", TRUE, UNIQUE(FILTER('製造效能'!$D$2:$D$1732, '製造效能'!$B$2:$B$1732 = D88)))"),"精")</f>
        <v>精</v>
      </c>
      <c r="M88" s="17" t="str">
        <f ca="1">IFERROR(__xludf.DUMMYFUNCTION("INDEX(UNIQUE(FILTER('製造效能'!$D$2:$D$1732, ('製造效能'!$B$2:$B$1732 = D88) * ('製造效能'!$J$2:$J$1732 = MAXIFS('製造效能'!$J$2:$J$1732, '製造效能'!$B$2:$B$1732, D88)))), 1) 
"),"精")</f>
        <v>精</v>
      </c>
      <c r="N88" s="17" t="str">
        <f ca="1">IFERROR(__xludf.DUMMYFUNCTION("TEXTJOIN("", "", TRUE, UNIQUE(FILTER('製造效能'!$K$2:$K$1732, '製造效能'!$B$2:$B$1732 = D88)))"),"水項")</f>
        <v>水項</v>
      </c>
      <c r="O88" s="35">
        <f ca="1">IFERROR(__xludf.DUMMYFUNCTION("IFERROR(INDEX(FILTER('充填效能'!I$2:I$1088, '充填效能'!$A$2:$A$1088=$C88, '充填效能'!$D$2:$D$1088=""充填""), 1), 0)"),96.6)</f>
        <v>96.6</v>
      </c>
      <c r="P88" s="35" t="str">
        <f ca="1">IFERROR(__xludf.DUMMYFUNCTION("IFERROR(INDEX(FILTER('充填效能'!J$2:J$1088, '充填效能'!$A$2:$A$1088=$C88, '充填效能'!$D$2:$D$1088=""充填""), 1), 0)"),"")</f>
        <v/>
      </c>
      <c r="Q88" s="35" t="str">
        <f ca="1">IFERROR(__xludf.DUMMYFUNCTION("IFERROR(INDEX(FILTER('充填效能'!K$2:K$1088, '充填效能'!$A$2:$A$1088=$C88, '充填效能'!$D$2:$D$1088=""充填""), 1), 0)"),"")</f>
        <v/>
      </c>
      <c r="R88" s="35" t="str">
        <f ca="1">IFERROR(__xludf.DUMMYFUNCTION("IFERROR(INDEX(FILTER('充填效能'!L$2:L$1088, '充填效能'!$A$2:$A$1088=$C88, '充填效能'!$D$2:$D$1088=""充填""), 1), 0)"),"")</f>
        <v/>
      </c>
      <c r="S88" s="35">
        <f ca="1">COUNTIFS(製造效能!B:B, $D88,製造效能!D:D,M88)</f>
        <v>2</v>
      </c>
      <c r="T88" s="36">
        <f ca="1">IFERROR(__xludf.DUMMYFUNCTION("VALUE(REGEXEXTRACT(TO_TEXT(O88), ""\d*\.?\d+""))"),96.6)</f>
        <v>96.6</v>
      </c>
      <c r="U88" s="17">
        <f t="shared" ca="1" si="2"/>
        <v>98048.999999999985</v>
      </c>
      <c r="V88" s="17">
        <f ca="1">IFERROR(__xludf.DUMMYFUNCTION("IFERROR(INDEX(FILTER('製造效能'!J:J, '製造效能'!A:A=$C88, '製造效能'!D:D=M88, '製造效能'!E:E=""攪料""), 1), INDEX(FILTER('製造效能'!J:J, '製造效能'!B:B=$D88, '製造效能'!D:D=M88, '製造效能'!E:E=""攪料""), 1))"),99)</f>
        <v>99</v>
      </c>
      <c r="W88" s="36">
        <f ca="1">IFERROR(__xludf.DUMMYFUNCTION("IFERROR(INDEX(FILTER('製造效能'!G:G, '製造效能'!A:A=$C88, '製造效能'!D:D=M88, '製造效能'!E:E=""攪料""), 1), INDEX(FILTER('製造效能'!G:G, '製造效能'!B:B=$D88, '製造效能'!D:D=M88, '製造效能'!E:E=""攪料""), 1))"),150)</f>
        <v>150</v>
      </c>
      <c r="X88" s="35">
        <f t="shared" ca="1" si="3"/>
        <v>1</v>
      </c>
      <c r="Y88" s="35">
        <f t="shared" ca="1" si="4"/>
        <v>150</v>
      </c>
      <c r="Z88" s="35">
        <f ca="1">IFERROR(__xludf.DUMMYFUNCTION("IFERROR(IFERROR(INDEX(FILTER('製造效能'!G:G, '製造效能'!A:A=$C88, '製造效能'!D:D=M88, '製造效能'!E:E=""預攪""), 1), INDEX(FILTER('製造效能'!G:G, '製造效能'!B:B=$D88, '製造效能'!D:D=M88, '製造效能'!E:E=""預攪""), 1)), 0)"),0)</f>
        <v>0</v>
      </c>
      <c r="AA88" s="35">
        <f ca="1">IFERROR(__xludf.DUMMYFUNCTION("IFERROR(INDEX(FILTER('製造效能'!G:G, '製造效能'!A:A=$C88, '製造效能'!D:D=M88, '製造效能'!E:E=""清洗""), 1), INDEX(FILTER('製造效能'!G:G, '製造效能'!B:B=$D88, '製造效能'!D:D=M88, '製造效能'!E:E=""清洗""), 1))"),30)</f>
        <v>30</v>
      </c>
      <c r="AB88" s="35" t="str">
        <f ca="1">IFERROR(__xludf.DUMMYFUNCTION("IFERROR(INDEX(FILTER('製造效能'!N:N, '製造效能'!$A:$A=$C88, '製造效能'!$D:$D=$M88, '製造效能'!$E:$E=""攪料""), 1), INDEX(FILTER('製造效能'!N:N, '製造效能'!$B:$B=$D88, '製造效能'!$D:$D=$M88, '製造效能'!$E:$E=""攪料""), 1))"),"")</f>
        <v/>
      </c>
      <c r="AC88" s="35" t="str">
        <f ca="1">IFERROR(__xludf.DUMMYFUNCTION("IFERROR(INDEX(FILTER('製造效能'!O:O, '製造效能'!$A:$A=$C88, '製造效能'!$D:$D=$M88, '製造效能'!$E:$E=""攪料""), 1), INDEX(FILTER('製造效能'!O:O, '製造效能'!$B:$B=$D88, '製造效能'!$D:$D=$M88, '製造效能'!$E:$E=""攪料""), 1))"),"")</f>
        <v/>
      </c>
      <c r="AD88" s="35" t="str">
        <f ca="1">IFERROR(__xludf.DUMMYFUNCTION("IFERROR(INDEX(FILTER('製造效能'!P:P, '製造效能'!$A:$A=$C88, '製造效能'!$D:$D=$M88, '製造效能'!$E:$E=""攪料""), 1), INDEX(FILTER('製造效能'!P:P, '製造效能'!$B:$B=$D88, '製造效能'!$D:$D=$M88, '製造效能'!$E:$E=""攪料""), 1))"),"")</f>
        <v/>
      </c>
      <c r="AE88" s="35" t="str">
        <f ca="1">IFERROR(__xludf.DUMMYFUNCTION("IFERROR(INDEX(FILTER('製造效能'!Q:Q, '製造效能'!$A:$A=$C88, '製造效能'!$D:$D=$M88, '製造效能'!$E:$E=""攪料""), 1), INDEX(FILTER('製造效能'!Q:Q, '製造效能'!$B:$B=$D88, '製造效能'!$D:$D=$M88, '製造效能'!$E:$E=""攪料""), 1))"),"")</f>
        <v/>
      </c>
      <c r="AF88" s="35">
        <f ca="1">IFERROR(__xludf.DUMMYFUNCTION("IFERROR(INDEX(FILTER('製造效能'!R:R, '製造效能'!$A:$A=$C88, '製造效能'!$D:$D=$M88, '製造效能'!$E:$E=""攪料""), 1), INDEX(FILTER('製造效能'!R:R, '製造效能'!$B:$B=$D88, '製造效能'!$D:$D=$M88, '製造效能'!$E:$E=""攪料""), 1))"),1)</f>
        <v>1</v>
      </c>
      <c r="AG88" s="35" t="str">
        <f ca="1">IFERROR(__xludf.DUMMYFUNCTION("IFERROR(INDEX(FILTER('製造效能'!S:S, '製造效能'!$A:$A=$C88, '製造效能'!$D:$D=$M88, '製造效能'!$E:$E=""攪料""), 1), INDEX(FILTER('製造效能'!S:S, '製造效能'!$B:$B=$D88, '製造效能'!$D:$D=$M88, '製造效能'!$E:$E=""攪料""), 1))"),"")</f>
        <v/>
      </c>
      <c r="AH88" s="35" t="str">
        <f ca="1">IFERROR(__xludf.DUMMYFUNCTION("IFERROR(INDEX(FILTER('製造效能'!T:T, '製造效能'!$A:$A=$C88, '製造效能'!$D:$D=$M88, '製造效能'!$E:$E=""攪料""), 1), INDEX(FILTER('製造效能'!T:T, '製造效能'!$B:$B=$D88, '製造效能'!$D:$D=$M88, '製造效能'!$E:$E=""攪料""), 1))"),"")</f>
        <v/>
      </c>
      <c r="AI88" s="35" t="str">
        <f ca="1">IFERROR(__xludf.DUMMYFUNCTION("IFERROR(INDEX(FILTER('製造效能'!U:U, '製造效能'!$A:$A=$C88, '製造效能'!$D:$D=$M88, '製造效能'!$E:$E=""攪料""), 1), INDEX(FILTER('製造效能'!U:U, '製造效能'!$B:$B=$D88, '製造效能'!$D:$D=$M88, '製造效能'!$E:$E=""攪料""), 1))"),"")</f>
        <v/>
      </c>
      <c r="AJ88" s="35" t="str">
        <f ca="1">IFERROR(__xludf.DUMMYFUNCTION("IFERROR(INDEX(FILTER('製造效能'!V:V, '製造效能'!$A:$A=$C88, '製造效能'!$D:$D=$M88, '製造效能'!$E:$E=""攪料""), 1), INDEX(FILTER('製造效能'!V:V, '製造效能'!$B:$B=$D88, '製造效能'!$D:$D=$M88, '製造效能'!$E:$E=""攪料""), 1))"),"")</f>
        <v/>
      </c>
      <c r="AK88" s="35">
        <f>COUNTIF(充填效能!$A:$A, $C88)</f>
        <v>2</v>
      </c>
      <c r="AL88" s="36" t="str">
        <f ca="1">IFERROR(__xludf.DUMMYFUNCTION("IFERROR(INDEX(FILTER('充填效能'!$Q$2:$Q$1088, '充填效能'!$A$2:$A$1088=$C88, '充填效能'!$D$2:$D$1088=""排瓶""), 1), 0)"),"1200")</f>
        <v>1200</v>
      </c>
      <c r="AM88" s="36">
        <f ca="1">IFERROR(__xludf.DUMMYFUNCTION("IFERROR(INDEX(FILTER('充填效能'!$R$2:$R$1088, '充填效能'!$A$2:$A$1088=$C88, '充填效能'!$D$2:$D$1088=""排瓶""), 1), 0)"),1)</f>
        <v>1</v>
      </c>
      <c r="AN88" s="35">
        <f t="shared" ca="1" si="5"/>
        <v>0.83333333333333337</v>
      </c>
      <c r="AO88" s="36" t="str">
        <f ca="1">IFERROR(__xludf.DUMMYFUNCTION("IFERROR(INDEX(FILTER('充填效能'!$Q$2:$Q$1088, '充填效能'!$A$2:$A$1088=$C88, '充填效能'!$D$2:$D$1088=""充填""), 1), 0)"),"480")</f>
        <v>480</v>
      </c>
      <c r="AP88" s="36">
        <f ca="1">IFERROR(__xludf.DUMMYFUNCTION("IFERROR(INDEX(FILTER('充填效能'!$R$2:$R$1088, '充填效能'!$A$2:$A$1088=$C88, '充填效能'!$D$2:$D$1088=""充填""), 1), 0)"),3)</f>
        <v>3</v>
      </c>
      <c r="AQ88" s="35">
        <f t="shared" ca="1" si="6"/>
        <v>2.0833333333333335</v>
      </c>
      <c r="AR88" s="17">
        <f t="shared" ca="1" si="7"/>
        <v>6.25</v>
      </c>
    </row>
    <row r="89" spans="1:44" ht="15.75" customHeight="1">
      <c r="A89" s="9" t="s">
        <v>270</v>
      </c>
      <c r="B89" s="34">
        <f t="shared" si="0"/>
        <v>45092</v>
      </c>
      <c r="C89" s="9" t="s">
        <v>265</v>
      </c>
      <c r="D89" s="17" t="str">
        <f t="shared" si="1"/>
        <v>EU21D2</v>
      </c>
      <c r="E89" s="9" t="s">
        <v>266</v>
      </c>
      <c r="F89" s="9">
        <v>10000</v>
      </c>
      <c r="G89" s="10">
        <v>45135</v>
      </c>
      <c r="H89" s="10">
        <v>45117</v>
      </c>
      <c r="I89" s="10">
        <v>45089</v>
      </c>
      <c r="J89" s="10">
        <v>45093</v>
      </c>
      <c r="L89" s="17" t="str">
        <f ca="1">IFERROR(__xludf.DUMMYFUNCTION("TEXTJOIN("", "", TRUE, UNIQUE(FILTER('製造效能'!$D$2:$D$1732, '製造效能'!$B$2:$B$1732 = D89)))"),"精")</f>
        <v>精</v>
      </c>
      <c r="M89" s="17" t="str">
        <f ca="1">IFERROR(__xludf.DUMMYFUNCTION("INDEX(UNIQUE(FILTER('製造效能'!$D$2:$D$1732, ('製造效能'!$B$2:$B$1732 = D89) * ('製造效能'!$J$2:$J$1732 = MAXIFS('製造效能'!$J$2:$J$1732, '製造效能'!$B$2:$B$1732, D89)))), 1) 
"),"精")</f>
        <v>精</v>
      </c>
      <c r="N89" s="17" t="str">
        <f ca="1">IFERROR(__xludf.DUMMYFUNCTION("TEXTJOIN("", "", TRUE, UNIQUE(FILTER('製造效能'!$K$2:$K$1732, '製造效能'!$B$2:$B$1732 = D89)))"),"水項")</f>
        <v>水項</v>
      </c>
      <c r="O89" s="35">
        <f ca="1">IFERROR(__xludf.DUMMYFUNCTION("IFERROR(INDEX(FILTER('充填效能'!I$2:I$1088, '充填效能'!$A$2:$A$1088=$C89, '充填效能'!$D$2:$D$1088=""充填""), 1), 0)"),5)</f>
        <v>5</v>
      </c>
      <c r="P89" s="35" t="str">
        <f ca="1">IFERROR(__xludf.DUMMYFUNCTION("IFERROR(INDEX(FILTER('充填效能'!J$2:J$1088, '充填效能'!$A$2:$A$1088=$C89, '充填效能'!$D$2:$D$1088=""充填""), 1), 0)"),"")</f>
        <v/>
      </c>
      <c r="Q89" s="35" t="str">
        <f ca="1">IFERROR(__xludf.DUMMYFUNCTION("IFERROR(INDEX(FILTER('充填效能'!K$2:K$1088, '充填效能'!$A$2:$A$1088=$C89, '充填效能'!$D$2:$D$1088=""充填""), 1), 0)"),"")</f>
        <v/>
      </c>
      <c r="R89" s="35" t="str">
        <f ca="1">IFERROR(__xludf.DUMMYFUNCTION("IFERROR(INDEX(FILTER('充填效能'!L$2:L$1088, '充填效能'!$A$2:$A$1088=$C89, '充填效能'!$D$2:$D$1088=""充填""), 1), 0)"),"")</f>
        <v/>
      </c>
      <c r="S89" s="35">
        <f ca="1">COUNTIFS(製造效能!B:B, $D89,製造效能!D:D,M89)</f>
        <v>3</v>
      </c>
      <c r="T89" s="36">
        <f ca="1">IFERROR(__xludf.DUMMYFUNCTION("VALUE(REGEXEXTRACT(TO_TEXT(O89), ""\d*\.?\d+""))"),5)</f>
        <v>5</v>
      </c>
      <c r="U89" s="17">
        <f t="shared" ca="1" si="2"/>
        <v>50749.999999999993</v>
      </c>
      <c r="V89" s="17">
        <f ca="1">IFERROR(__xludf.DUMMYFUNCTION("IFERROR(INDEX(FILTER('製造效能'!J:J, '製造效能'!A:A=$C89, '製造效能'!D:D=M89, '製造效能'!E:E=""攪料""), 1), INDEX(FILTER('製造效能'!J:J, '製造效能'!B:B=$D89, '製造效能'!D:D=M89, '製造效能'!E:E=""攪料""), 1))"),80)</f>
        <v>80</v>
      </c>
      <c r="W89" s="36">
        <f ca="1">IFERROR(__xludf.DUMMYFUNCTION("IFERROR(INDEX(FILTER('製造效能'!G:G, '製造效能'!A:A=$C89, '製造效能'!D:D=M89, '製造效能'!E:E=""攪料""), 1), INDEX(FILTER('製造效能'!G:G, '製造效能'!B:B=$D89, '製造效能'!D:D=M89, '製造效能'!E:E=""攪料""), 1))"),110)</f>
        <v>110</v>
      </c>
      <c r="X89" s="35">
        <f t="shared" ca="1" si="3"/>
        <v>1</v>
      </c>
      <c r="Y89" s="35">
        <f t="shared" ca="1" si="4"/>
        <v>110</v>
      </c>
      <c r="Z89" s="35">
        <f ca="1">IFERROR(__xludf.DUMMYFUNCTION("IFERROR(IFERROR(INDEX(FILTER('製造效能'!G:G, '製造效能'!A:A=$C89, '製造效能'!D:D=M89, '製造效能'!E:E=""預攪""), 1), INDEX(FILTER('製造效能'!G:G, '製造效能'!B:B=$D89, '製造效能'!D:D=M89, '製造效能'!E:E=""預攪""), 1)), 0)"),95)</f>
        <v>95</v>
      </c>
      <c r="AA89" s="35">
        <f ca="1">IFERROR(__xludf.DUMMYFUNCTION("IFERROR(INDEX(FILTER('製造效能'!G:G, '製造效能'!A:A=$C89, '製造效能'!D:D=M89, '製造效能'!E:E=""清洗""), 1), INDEX(FILTER('製造效能'!G:G, '製造效能'!B:B=$D89, '製造效能'!D:D=M89, '製造效能'!E:E=""清洗""), 1))"),30)</f>
        <v>30</v>
      </c>
      <c r="AB89" s="35" t="str">
        <f ca="1">IFERROR(__xludf.DUMMYFUNCTION("IFERROR(INDEX(FILTER('製造效能'!N:N, '製造效能'!$A:$A=$C89, '製造效能'!$D:$D=$M89, '製造效能'!$E:$E=""攪料""), 1), INDEX(FILTER('製造效能'!N:N, '製造效能'!$B:$B=$D89, '製造效能'!$D:$D=$M89, '製造效能'!$E:$E=""攪料""), 1))"),"")</f>
        <v/>
      </c>
      <c r="AC89" s="35">
        <f ca="1">IFERROR(__xludf.DUMMYFUNCTION("IFERROR(INDEX(FILTER('製造效能'!O:O, '製造效能'!$A:$A=$C89, '製造效能'!$D:$D=$M89, '製造效能'!$E:$E=""攪料""), 1), INDEX(FILTER('製造效能'!O:O, '製造效能'!$B:$B=$D89, '製造效能'!$D:$D=$M89, '製造效能'!$E:$E=""攪料""), 1))"),1)</f>
        <v>1</v>
      </c>
      <c r="AD89" s="35" t="str">
        <f ca="1">IFERROR(__xludf.DUMMYFUNCTION("IFERROR(INDEX(FILTER('製造效能'!P:P, '製造效能'!$A:$A=$C89, '製造效能'!$D:$D=$M89, '製造效能'!$E:$E=""攪料""), 1), INDEX(FILTER('製造效能'!P:P, '製造效能'!$B:$B=$D89, '製造效能'!$D:$D=$M89, '製造效能'!$E:$E=""攪料""), 1))"),"")</f>
        <v/>
      </c>
      <c r="AE89" s="35" t="str">
        <f ca="1">IFERROR(__xludf.DUMMYFUNCTION("IFERROR(INDEX(FILTER('製造效能'!Q:Q, '製造效能'!$A:$A=$C89, '製造效能'!$D:$D=$M89, '製造效能'!$E:$E=""攪料""), 1), INDEX(FILTER('製造效能'!Q:Q, '製造效能'!$B:$B=$D89, '製造效能'!$D:$D=$M89, '製造效能'!$E:$E=""攪料""), 1))"),"")</f>
        <v/>
      </c>
      <c r="AF89" s="35" t="str">
        <f ca="1">IFERROR(__xludf.DUMMYFUNCTION("IFERROR(INDEX(FILTER('製造效能'!R:R, '製造效能'!$A:$A=$C89, '製造效能'!$D:$D=$M89, '製造效能'!$E:$E=""攪料""), 1), INDEX(FILTER('製造效能'!R:R, '製造效能'!$B:$B=$D89, '製造效能'!$D:$D=$M89, '製造效能'!$E:$E=""攪料""), 1))"),"")</f>
        <v/>
      </c>
      <c r="AG89" s="35" t="str">
        <f ca="1">IFERROR(__xludf.DUMMYFUNCTION("IFERROR(INDEX(FILTER('製造效能'!S:S, '製造效能'!$A:$A=$C89, '製造效能'!$D:$D=$M89, '製造效能'!$E:$E=""攪料""), 1), INDEX(FILTER('製造效能'!S:S, '製造效能'!$B:$B=$D89, '製造效能'!$D:$D=$M89, '製造效能'!$E:$E=""攪料""), 1))"),"")</f>
        <v/>
      </c>
      <c r="AH89" s="35" t="str">
        <f ca="1">IFERROR(__xludf.DUMMYFUNCTION("IFERROR(INDEX(FILTER('製造效能'!T:T, '製造效能'!$A:$A=$C89, '製造效能'!$D:$D=$M89, '製造效能'!$E:$E=""攪料""), 1), INDEX(FILTER('製造效能'!T:T, '製造效能'!$B:$B=$D89, '製造效能'!$D:$D=$M89, '製造效能'!$E:$E=""攪料""), 1))"),"")</f>
        <v/>
      </c>
      <c r="AI89" s="35" t="str">
        <f ca="1">IFERROR(__xludf.DUMMYFUNCTION("IFERROR(INDEX(FILTER('製造效能'!U:U, '製造效能'!$A:$A=$C89, '製造效能'!$D:$D=$M89, '製造效能'!$E:$E=""攪料""), 1), INDEX(FILTER('製造效能'!U:U, '製造效能'!$B:$B=$D89, '製造效能'!$D:$D=$M89, '製造效能'!$E:$E=""攪料""), 1))"),"")</f>
        <v/>
      </c>
      <c r="AJ89" s="35" t="str">
        <f ca="1">IFERROR(__xludf.DUMMYFUNCTION("IFERROR(INDEX(FILTER('製造效能'!V:V, '製造效能'!$A:$A=$C89, '製造效能'!$D:$D=$M89, '製造效能'!$E:$E=""攪料""), 1), INDEX(FILTER('製造效能'!V:V, '製造效能'!$B:$B=$D89, '製造效能'!$D:$D=$M89, '製造效能'!$E:$E=""攪料""), 1))"),"")</f>
        <v/>
      </c>
      <c r="AK89" s="35">
        <f>COUNTIF(充填效能!$A:$A, $C89)</f>
        <v>2</v>
      </c>
      <c r="AL89" s="36" t="str">
        <f ca="1">IFERROR(__xludf.DUMMYFUNCTION("IFERROR(INDEX(FILTER('充填效能'!$Q$2:$Q$1088, '充填效能'!$A$2:$A$1088=$C89, '充填效能'!$D$2:$D$1088=""排瓶""), 1), 0)"),"3000")</f>
        <v>3000</v>
      </c>
      <c r="AM89" s="36">
        <f ca="1">IFERROR(__xludf.DUMMYFUNCTION("IFERROR(INDEX(FILTER('充填效能'!$R$2:$R$1088, '充填效能'!$A$2:$A$1088=$C89, '充填效能'!$D$2:$D$1088=""排瓶""), 1), 0)"),1)</f>
        <v>1</v>
      </c>
      <c r="AN89" s="35">
        <f t="shared" ca="1" si="5"/>
        <v>3.3333333333333335</v>
      </c>
      <c r="AO89" s="36" t="str">
        <f ca="1">IFERROR(__xludf.DUMMYFUNCTION("IFERROR(INDEX(FILTER('充填效能'!$Q$2:$Q$1088, '充填效能'!$A$2:$A$1088=$C89, '充填效能'!$D$2:$D$1088=""充填""), 1), 0)"),"1200")</f>
        <v>1200</v>
      </c>
      <c r="AP89" s="36">
        <f ca="1">IFERROR(__xludf.DUMMYFUNCTION("IFERROR(INDEX(FILTER('充填效能'!$R$2:$R$1088, '充填效能'!$A$2:$A$1088=$C89, '充填效能'!$D$2:$D$1088=""充填""), 1), 0)"),3)</f>
        <v>3</v>
      </c>
      <c r="AQ89" s="35">
        <f t="shared" ca="1" si="6"/>
        <v>8.3333333333333339</v>
      </c>
      <c r="AR89" s="17">
        <f t="shared" ca="1" si="7"/>
        <v>25</v>
      </c>
    </row>
    <row r="90" spans="1:44" ht="15.75" customHeight="1">
      <c r="A90" s="9" t="s">
        <v>264</v>
      </c>
      <c r="B90" s="34">
        <f t="shared" si="0"/>
        <v>45062</v>
      </c>
      <c r="C90" s="9" t="s">
        <v>173</v>
      </c>
      <c r="D90" s="17" t="str">
        <f t="shared" si="1"/>
        <v>AA20H2</v>
      </c>
      <c r="E90" s="9" t="s">
        <v>174</v>
      </c>
      <c r="F90" s="9">
        <v>2500</v>
      </c>
      <c r="G90" s="10">
        <v>45146</v>
      </c>
      <c r="H90" s="10">
        <v>45118</v>
      </c>
      <c r="I90" s="10">
        <v>45092</v>
      </c>
      <c r="J90" s="10">
        <v>45072</v>
      </c>
      <c r="L90" s="17" t="str">
        <f ca="1">IFERROR(__xludf.DUMMYFUNCTION("TEXTJOIN("", "", TRUE, UNIQUE(FILTER('製造效能'!$D$2:$D$1732, '製造效能'!$B$2:$B$1732 = D90)))"),"小乳")</f>
        <v>小乳</v>
      </c>
      <c r="M90" s="17" t="str">
        <f ca="1">IFERROR(__xludf.DUMMYFUNCTION("INDEX(UNIQUE(FILTER('製造效能'!$D$2:$D$1732, ('製造效能'!$B$2:$B$1732 = D90) * ('製造效能'!$J$2:$J$1732 = MAXIFS('製造效能'!$J$2:$J$1732, '製造效能'!$B$2:$B$1732, D90)))), 1) 
"),"小乳")</f>
        <v>小乳</v>
      </c>
      <c r="N90" s="17" t="str">
        <f ca="1">IFERROR(__xludf.DUMMYFUNCTION("TEXTJOIN("", "", TRUE, UNIQUE(FILTER('製造效能'!$K$2:$K$1732, '製造效能'!$B$2:$B$1732 = D90)))"),"乳項")</f>
        <v>乳項</v>
      </c>
      <c r="P90" s="35" t="str">
        <f ca="1">IFERROR(__xludf.DUMMYFUNCTION("IFERROR(INDEX(FILTER('充填效能'!J$2:J$1088, '充填效能'!$A$2:$A$1088=$C90, '充填效能'!$D$2:$D$1088=""充填""), 1), 0)"),"")</f>
        <v/>
      </c>
      <c r="Q90" s="35" t="str">
        <f ca="1">IFERROR(__xludf.DUMMYFUNCTION("IFERROR(INDEX(FILTER('充填效能'!K$2:K$1088, '充填效能'!$A$2:$A$1088=$C90, '充填效能'!$D$2:$D$1088=""充填""), 1), 0)"),"")</f>
        <v/>
      </c>
      <c r="R90" s="35">
        <f ca="1">IFERROR(__xludf.DUMMYFUNCTION("IFERROR(INDEX(FILTER('充填效能'!I$2:I$1088, '充填效能'!$A$2:$A$1088=$C90, '充填效能'!$D$2:$D$1088=""充填""), 1), 0)"),40)</f>
        <v>40</v>
      </c>
      <c r="S90" s="35">
        <f ca="1">COUNTIFS(製造效能!B:B, $D90,製造效能!D:D,M90)</f>
        <v>3</v>
      </c>
      <c r="T90" s="36">
        <f ca="1">IFERROR(__xludf.DUMMYFUNCTION("VALUE(REGEXEXTRACT(TO_TEXT(R90), ""\d*\.?\d+""))"),40)</f>
        <v>40</v>
      </c>
      <c r="U90" s="17">
        <f t="shared" ca="1" si="2"/>
        <v>101499.99999999999</v>
      </c>
      <c r="V90" s="17">
        <f ca="1">IFERROR(__xludf.DUMMYFUNCTION("IFERROR(INDEX(FILTER('製造效能'!J:J, '製造效能'!A:A=$C90, '製造效能'!D:D=M90, '製造效能'!E:E=""攪料""), 1), INDEX(FILTER('製造效能'!J:J, '製造效能'!B:B=$D90, '製造效能'!D:D=M90, '製造效能'!E:E=""攪料""), 1))"),52)</f>
        <v>52</v>
      </c>
      <c r="W90" s="36">
        <f ca="1">IFERROR(__xludf.DUMMYFUNCTION("IFERROR(INDEX(FILTER('製造效能'!G:G, '製造效能'!A:A=$C90, '製造效能'!D:D=M90, '製造效能'!E:E=""攪料""), 1), INDEX(FILTER('製造效能'!G:G, '製造效能'!B:B=$D90, '製造效能'!D:D=M90, '製造效能'!E:E=""攪料""), 1))"),120)</f>
        <v>120</v>
      </c>
      <c r="X90" s="35">
        <f t="shared" ca="1" si="3"/>
        <v>2</v>
      </c>
      <c r="Y90" s="35">
        <f t="shared" ca="1" si="4"/>
        <v>240</v>
      </c>
      <c r="Z90" s="35">
        <f ca="1">IFERROR(__xludf.DUMMYFUNCTION("IFERROR(IFERROR(INDEX(FILTER('製造效能'!G:G, '製造效能'!A:A=$C90, '製造效能'!D:D=M90, '製造效能'!E:E=""預攪""), 1), INDEX(FILTER('製造效能'!G:G, '製造效能'!B:B=$D90, '製造效能'!D:D=M90, '製造效能'!E:E=""預攪""), 1)), 0)"),105)</f>
        <v>105</v>
      </c>
      <c r="AA90" s="35">
        <f ca="1">IFERROR(__xludf.DUMMYFUNCTION("IFERROR(INDEX(FILTER('製造效能'!G:G, '製造效能'!A:A=$C90, '製造效能'!D:D=M90, '製造效能'!E:E=""清洗""), 1), INDEX(FILTER('製造效能'!G:G, '製造效能'!B:B=$D90, '製造效能'!D:D=M90, '製造效能'!E:E=""清洗""), 1))"),90)</f>
        <v>90</v>
      </c>
      <c r="AB90" s="35" t="str">
        <f ca="1">IFERROR(__xludf.DUMMYFUNCTION("IFERROR(INDEX(FILTER('製造效能'!N:N, '製造效能'!$A:$A=$C90, '製造效能'!$D:$D=$M90, '製造效能'!$E:$E=""攪料""), 1), INDEX(FILTER('製造效能'!N:N, '製造效能'!$B:$B=$D90, '製造效能'!$D:$D=$M90, '製造效能'!$E:$E=""攪料""), 1))"),"")</f>
        <v/>
      </c>
      <c r="AC90" s="35">
        <f ca="1">IFERROR(__xludf.DUMMYFUNCTION("IFERROR(INDEX(FILTER('製造效能'!O:O, '製造效能'!$A:$A=$C90, '製造效能'!$D:$D=$M90, '製造效能'!$E:$E=""攪料""), 1), INDEX(FILTER('製造效能'!O:O, '製造效能'!$B:$B=$D90, '製造效能'!$D:$D=$M90, '製造效能'!$E:$E=""攪料""), 1))"),1)</f>
        <v>1</v>
      </c>
      <c r="AD90" s="35">
        <f ca="1">IFERROR(__xludf.DUMMYFUNCTION("IFERROR(INDEX(FILTER('製造效能'!P:P, '製造效能'!$A:$A=$C90, '製造效能'!$D:$D=$M90, '製造效能'!$E:$E=""攪料""), 1), INDEX(FILTER('製造效能'!P:P, '製造效能'!$B:$B=$D90, '製造效能'!$D:$D=$M90, '製造效能'!$E:$E=""攪料""), 1))"),1)</f>
        <v>1</v>
      </c>
      <c r="AE90" s="35" t="str">
        <f ca="1">IFERROR(__xludf.DUMMYFUNCTION("IFERROR(INDEX(FILTER('製造效能'!Q:Q, '製造效能'!$A:$A=$C90, '製造效能'!$D:$D=$M90, '製造效能'!$E:$E=""攪料""), 1), INDEX(FILTER('製造效能'!Q:Q, '製造效能'!$B:$B=$D90, '製造效能'!$D:$D=$M90, '製造效能'!$E:$E=""攪料""), 1))"),"")</f>
        <v/>
      </c>
      <c r="AF90" s="35" t="str">
        <f ca="1">IFERROR(__xludf.DUMMYFUNCTION("IFERROR(INDEX(FILTER('製造效能'!R:R, '製造效能'!$A:$A=$C90, '製造效能'!$D:$D=$M90, '製造效能'!$E:$E=""攪料""), 1), INDEX(FILTER('製造效能'!R:R, '製造效能'!$B:$B=$D90, '製造效能'!$D:$D=$M90, '製造效能'!$E:$E=""攪料""), 1))"),"")</f>
        <v/>
      </c>
      <c r="AG90" s="35" t="str">
        <f ca="1">IFERROR(__xludf.DUMMYFUNCTION("IFERROR(INDEX(FILTER('製造效能'!S:S, '製造效能'!$A:$A=$C90, '製造效能'!$D:$D=$M90, '製造效能'!$E:$E=""攪料""), 1), INDEX(FILTER('製造效能'!S:S, '製造效能'!$B:$B=$D90, '製造效能'!$D:$D=$M90, '製造效能'!$E:$E=""攪料""), 1))"),"")</f>
        <v/>
      </c>
      <c r="AH90" s="35" t="str">
        <f ca="1">IFERROR(__xludf.DUMMYFUNCTION("IFERROR(INDEX(FILTER('製造效能'!T:T, '製造效能'!$A:$A=$C90, '製造效能'!$D:$D=$M90, '製造效能'!$E:$E=""攪料""), 1), INDEX(FILTER('製造效能'!T:T, '製造效能'!$B:$B=$D90, '製造效能'!$D:$D=$M90, '製造效能'!$E:$E=""攪料""), 1))"),"")</f>
        <v/>
      </c>
      <c r="AI90" s="35" t="str">
        <f ca="1">IFERROR(__xludf.DUMMYFUNCTION("IFERROR(INDEX(FILTER('製造效能'!U:U, '製造效能'!$A:$A=$C90, '製造效能'!$D:$D=$M90, '製造效能'!$E:$E=""攪料""), 1), INDEX(FILTER('製造效能'!U:U, '製造效能'!$B:$B=$D90, '製造效能'!$D:$D=$M90, '製造效能'!$E:$E=""攪料""), 1))"),"")</f>
        <v/>
      </c>
      <c r="AJ90" s="35" t="str">
        <f ca="1">IFERROR(__xludf.DUMMYFUNCTION("IFERROR(INDEX(FILTER('製造效能'!V:V, '製造效能'!$A:$A=$C90, '製造效能'!$D:$D=$M90, '製造效能'!$E:$E=""攪料""), 1), INDEX(FILTER('製造效能'!V:V, '製造效能'!$B:$B=$D90, '製造效能'!$D:$D=$M90, '製造效能'!$E:$E=""攪料""), 1))"),"")</f>
        <v/>
      </c>
      <c r="AK90" s="35">
        <f>COUNTIF(充填效能!$A:$A, $C90)</f>
        <v>1</v>
      </c>
      <c r="AL90" s="36">
        <f ca="1">IFERROR(__xludf.DUMMYFUNCTION("IFERROR(INDEX(FILTER('充填效能'!$Q$2:$Q$1088, '充填效能'!$A$2:$A$1088=$C90, '充填效能'!$D$2:$D$1088=""排瓶""), 1), 0)"),0)</f>
        <v>0</v>
      </c>
      <c r="AM90" s="36">
        <f ca="1">IFERROR(__xludf.DUMMYFUNCTION("IFERROR(INDEX(FILTER('充填效能'!$R$2:$R$1088, '充填效能'!$A$2:$A$1088=$C90, '充填效能'!$D$2:$D$1088=""排瓶""), 1), 0)"),0)</f>
        <v>0</v>
      </c>
      <c r="AN90" s="35">
        <f t="shared" ca="1" si="5"/>
        <v>0</v>
      </c>
      <c r="AO90" s="36" t="str">
        <f ca="1">IFERROR(__xludf.DUMMYFUNCTION("IFERROR(INDEX(FILTER('充填效能'!$Q$2:$Q$1088, '充填效能'!$A$2:$A$1088=$C90, '充填效能'!$D$2:$D$1088=""充填""), 1), 0)"),"750")</f>
        <v>750</v>
      </c>
      <c r="AP90" s="36">
        <f ca="1">IFERROR(__xludf.DUMMYFUNCTION("IFERROR(INDEX(FILTER('充填效能'!$R$2:$R$1088, '充填效能'!$A$2:$A$1088=$C90, '充填效能'!$D$2:$D$1088=""充填""), 1), 0)"),4)</f>
        <v>4</v>
      </c>
      <c r="AQ90" s="35">
        <f t="shared" ca="1" si="6"/>
        <v>3.3333333333333335</v>
      </c>
      <c r="AR90" s="17">
        <f t="shared" ca="1" si="7"/>
        <v>13.333333333333334</v>
      </c>
    </row>
    <row r="91" spans="1:44" ht="15.75" customHeight="1">
      <c r="A91" s="9" t="s">
        <v>286</v>
      </c>
      <c r="B91" s="34">
        <f t="shared" si="0"/>
        <v>45051</v>
      </c>
      <c r="C91" s="9" t="s">
        <v>65</v>
      </c>
      <c r="D91" s="17" t="str">
        <f t="shared" si="1"/>
        <v>N1VCD3</v>
      </c>
      <c r="E91" s="9" t="s">
        <v>66</v>
      </c>
      <c r="F91" s="9">
        <v>10000</v>
      </c>
      <c r="G91" s="10">
        <v>45161</v>
      </c>
      <c r="H91" s="10">
        <v>45118</v>
      </c>
      <c r="I91" s="10">
        <v>44973</v>
      </c>
      <c r="J91" s="10">
        <v>45028</v>
      </c>
      <c r="K91" s="17" t="s">
        <v>407</v>
      </c>
      <c r="L91" s="17" t="str">
        <f ca="1">IFERROR(__xludf.DUMMYFUNCTION("TEXTJOIN("", "", TRUE, UNIQUE(FILTER('製造效能'!$D$2:$D$1732, '製造效能'!$B$2:$B$1732 = D91)))"),"精")</f>
        <v>精</v>
      </c>
      <c r="M91" s="17" t="str">
        <f ca="1">IFERROR(__xludf.DUMMYFUNCTION("INDEX(UNIQUE(FILTER('製造效能'!$D$2:$D$1732, ('製造效能'!$B$2:$B$1732 = D91) * ('製造效能'!$J$2:$J$1732 = MAXIFS('製造效能'!$J$2:$J$1732, '製造效能'!$B$2:$B$1732, D91)))), 1) 
"),"精")</f>
        <v>精</v>
      </c>
      <c r="N91" s="17" t="str">
        <f ca="1">IFERROR(__xludf.DUMMYFUNCTION("TEXTJOIN("", "", TRUE, UNIQUE(FILTER('製造效能'!$K$2:$K$1732, '製造效能'!$B$2:$B$1732 = D91)))"),"水項")</f>
        <v>水項</v>
      </c>
      <c r="O91" s="35">
        <v>61.4</v>
      </c>
      <c r="P91" s="35" t="str">
        <f ca="1">IFERROR(__xludf.DUMMYFUNCTION("IFERROR(INDEX(FILTER('充填效能'!J$2:J$1088, '充填效能'!$A$2:$A$1088=$C91, '充填效能'!$D$2:$D$1088=""充填""), 1), 0)"),"")</f>
        <v/>
      </c>
      <c r="Q91" s="35" t="str">
        <f ca="1">IFERROR(__xludf.DUMMYFUNCTION("IFERROR(INDEX(FILTER('充填效能'!K$2:K$1088, '充填效能'!$A$2:$A$1088=$C91, '充填效能'!$D$2:$D$1088=""充填""), 1), 0)"),"")</f>
        <v/>
      </c>
      <c r="R91" s="35" t="str">
        <f ca="1">IFERROR(__xludf.DUMMYFUNCTION("IFERROR(INDEX(FILTER('充填效能'!L$2:L$1088, '充填效能'!$A$2:$A$1088=$C91, '充填效能'!$D$2:$D$1088=""充填""), 1), 0)"),"")</f>
        <v/>
      </c>
      <c r="S91" s="35">
        <f ca="1">COUNTIFS(製造效能!B:B, $D91,製造效能!D:D,M91)</f>
        <v>6</v>
      </c>
      <c r="T91" s="36">
        <f ca="1">IFERROR(__xludf.DUMMYFUNCTION("VALUE(REGEXEXTRACT(TO_TEXT(O91), ""\d*\.?\d+""))"),61.4)</f>
        <v>61.4</v>
      </c>
      <c r="U91" s="17">
        <f t="shared" ca="1" si="2"/>
        <v>623209.99999999988</v>
      </c>
      <c r="V91" s="17">
        <f ca="1">IFERROR(__xludf.DUMMYFUNCTION("IFERROR(INDEX(FILTER('製造效能'!J:J, '製造效能'!A:A=$C91, '製造效能'!D:D=M91, '製造效能'!E:E=""攪料""), 1), INDEX(FILTER('製造效能'!J:J, '製造效能'!B:B=$D91, '製造效能'!D:D=M91, '製造效能'!E:E=""攪料""), 1))"),101.7)</f>
        <v>101.7</v>
      </c>
      <c r="W91" s="36">
        <f ca="1">IFERROR(__xludf.DUMMYFUNCTION("IFERROR(INDEX(FILTER('製造效能'!G:G, '製造效能'!A:A=$C91, '製造效能'!D:D=M91, '製造效能'!E:E=""攪料""), 1), INDEX(FILTER('製造效能'!G:G, '製造效能'!B:B=$D91, '製造效能'!D:D=M91, '製造效能'!E:E=""攪料""), 1))"),115)</f>
        <v>115</v>
      </c>
      <c r="X91" s="35">
        <f t="shared" ca="1" si="3"/>
        <v>7</v>
      </c>
      <c r="Y91" s="35">
        <f t="shared" ca="1" si="4"/>
        <v>805</v>
      </c>
      <c r="Z91" s="35">
        <f ca="1">IFERROR(__xludf.DUMMYFUNCTION("IFERROR(IFERROR(INDEX(FILTER('製造效能'!G:G, '製造效能'!A:A=$C91, '製造效能'!D:D=M91, '製造效能'!E:E=""預攪""), 1), INDEX(FILTER('製造效能'!G:G, '製造效能'!B:B=$D91, '製造效能'!D:D=M91, '製造效能'!E:E=""預攪""), 1)), 0)"),100)</f>
        <v>100</v>
      </c>
      <c r="AA91" s="35">
        <f ca="1">IFERROR(__xludf.DUMMYFUNCTION("IFERROR(INDEX(FILTER('製造效能'!G:G, '製造效能'!A:A=$C91, '製造效能'!D:D=M91, '製造效能'!E:E=""清洗""), 1), INDEX(FILTER('製造效能'!G:G, '製造效能'!B:B=$D91, '製造效能'!D:D=M91, '製造效能'!E:E=""清洗""), 1))"),50)</f>
        <v>50</v>
      </c>
      <c r="AB91" s="35">
        <f ca="1">IFERROR(__xludf.DUMMYFUNCTION("IFERROR(INDEX(FILTER('製造效能'!N:N, '製造效能'!$A:$A=$C91, '製造效能'!$D:$D=$M91, '製造效能'!$E:$E=""攪料""), 1), INDEX(FILTER('製造效能'!N:N, '製造效能'!$B:$B=$D91, '製造效能'!$D:$D=$M91, '製造效能'!$E:$E=""攪料""), 1))"),1)</f>
        <v>1</v>
      </c>
      <c r="AC91" s="35">
        <f ca="1">IFERROR(__xludf.DUMMYFUNCTION("IFERROR(INDEX(FILTER('製造效能'!O:O, '製造效能'!$A:$A=$C91, '製造效能'!$D:$D=$M91, '製造效能'!$E:$E=""攪料""), 1), INDEX(FILTER('製造效能'!O:O, '製造效能'!$B:$B=$D91, '製造效能'!$D:$D=$M91, '製造效能'!$E:$E=""攪料""), 1))"),2)</f>
        <v>2</v>
      </c>
      <c r="AD91" s="35" t="str">
        <f ca="1">IFERROR(__xludf.DUMMYFUNCTION("IFERROR(INDEX(FILTER('製造效能'!P:P, '製造效能'!$A:$A=$C91, '製造效能'!$D:$D=$M91, '製造效能'!$E:$E=""攪料""), 1), INDEX(FILTER('製造效能'!P:P, '製造效能'!$B:$B=$D91, '製造效能'!$D:$D=$M91, '製造效能'!$E:$E=""攪料""), 1))"),"")</f>
        <v/>
      </c>
      <c r="AE91" s="35" t="str">
        <f ca="1">IFERROR(__xludf.DUMMYFUNCTION("IFERROR(INDEX(FILTER('製造效能'!Q:Q, '製造效能'!$A:$A=$C91, '製造效能'!$D:$D=$M91, '製造效能'!$E:$E=""攪料""), 1), INDEX(FILTER('製造效能'!Q:Q, '製造效能'!$B:$B=$D91, '製造效能'!$D:$D=$M91, '製造效能'!$E:$E=""攪料""), 1))"),"")</f>
        <v/>
      </c>
      <c r="AF91" s="35" t="str">
        <f ca="1">IFERROR(__xludf.DUMMYFUNCTION("IFERROR(INDEX(FILTER('製造效能'!R:R, '製造效能'!$A:$A=$C91, '製造效能'!$D:$D=$M91, '製造效能'!$E:$E=""攪料""), 1), INDEX(FILTER('製造效能'!R:R, '製造效能'!$B:$B=$D91, '製造效能'!$D:$D=$M91, '製造效能'!$E:$E=""攪料""), 1))"),"")</f>
        <v/>
      </c>
      <c r="AG91" s="35" t="str">
        <f ca="1">IFERROR(__xludf.DUMMYFUNCTION("IFERROR(INDEX(FILTER('製造效能'!S:S, '製造效能'!$A:$A=$C91, '製造效能'!$D:$D=$M91, '製造效能'!$E:$E=""攪料""), 1), INDEX(FILTER('製造效能'!S:S, '製造效能'!$B:$B=$D91, '製造效能'!$D:$D=$M91, '製造效能'!$E:$E=""攪料""), 1))"),"")</f>
        <v/>
      </c>
      <c r="AH91" s="35" t="str">
        <f ca="1">IFERROR(__xludf.DUMMYFUNCTION("IFERROR(INDEX(FILTER('製造效能'!T:T, '製造效能'!$A:$A=$C91, '製造效能'!$D:$D=$M91, '製造效能'!$E:$E=""攪料""), 1), INDEX(FILTER('製造效能'!T:T, '製造效能'!$B:$B=$D91, '製造效能'!$D:$D=$M91, '製造效能'!$E:$E=""攪料""), 1))"),"")</f>
        <v/>
      </c>
      <c r="AI91" s="35" t="str">
        <f ca="1">IFERROR(__xludf.DUMMYFUNCTION("IFERROR(INDEX(FILTER('製造效能'!U:U, '製造效能'!$A:$A=$C91, '製造效能'!$D:$D=$M91, '製造效能'!$E:$E=""攪料""), 1), INDEX(FILTER('製造效能'!U:U, '製造效能'!$B:$B=$D91, '製造效能'!$D:$D=$M91, '製造效能'!$E:$E=""攪料""), 1))"),"")</f>
        <v/>
      </c>
      <c r="AJ91" s="35" t="str">
        <f ca="1">IFERROR(__xludf.DUMMYFUNCTION("IFERROR(INDEX(FILTER('製造效能'!V:V, '製造效能'!$A:$A=$C91, '製造效能'!$D:$D=$M91, '製造效能'!$E:$E=""攪料""), 1), INDEX(FILTER('製造效能'!V:V, '製造效能'!$B:$B=$D91, '製造效能'!$D:$D=$M91, '製造效能'!$E:$E=""攪料""), 1))"),"")</f>
        <v/>
      </c>
      <c r="AK91" s="35">
        <f>COUNTIF(充填效能!$A:$A, $C91)</f>
        <v>3</v>
      </c>
      <c r="AL91" s="36" t="str">
        <f ca="1">IFERROR(__xludf.DUMMYFUNCTION("IFERROR(INDEX(FILTER('充填效能'!$Q$2:$Q$1088, '充填效能'!$A$2:$A$1088=$C91, '充填效能'!$D$2:$D$1088=""排瓶""), 1), 0)"),"1235")</f>
        <v>1235</v>
      </c>
      <c r="AM91" s="36">
        <f ca="1">IFERROR(__xludf.DUMMYFUNCTION("IFERROR(INDEX(FILTER('充填效能'!$R$2:$R$1088, '充填效能'!$A$2:$A$1088=$C91, '充填效能'!$D$2:$D$1088=""排瓶""), 1), 0)"),1)</f>
        <v>1</v>
      </c>
      <c r="AN91" s="35">
        <f t="shared" ca="1" si="5"/>
        <v>8.097165991902834</v>
      </c>
      <c r="AO91" s="36" t="str">
        <f ca="1">IFERROR(__xludf.DUMMYFUNCTION("IFERROR(INDEX(FILTER('充填效能'!$Q$2:$Q$1088, '充填效能'!$A$2:$A$1088=$C91, '充填效能'!$D$2:$D$1088=""充填""), 1), 0)"),"800")</f>
        <v>800</v>
      </c>
      <c r="AP91" s="36">
        <f ca="1">IFERROR(__xludf.DUMMYFUNCTION("IFERROR(INDEX(FILTER('充填效能'!$R$2:$R$1088, '充填效能'!$A$2:$A$1088=$C91, '充填效能'!$D$2:$D$1088=""充填""), 1), 0)"),3)</f>
        <v>3</v>
      </c>
      <c r="AQ91" s="35">
        <f t="shared" ca="1" si="6"/>
        <v>12.5</v>
      </c>
      <c r="AR91" s="17">
        <f t="shared" ca="1" si="7"/>
        <v>37.5</v>
      </c>
    </row>
    <row r="92" spans="1:44" ht="15.75" customHeight="1">
      <c r="A92" s="9" t="s">
        <v>271</v>
      </c>
      <c r="B92" s="34">
        <f t="shared" si="0"/>
        <v>45117</v>
      </c>
      <c r="C92" s="9" t="s">
        <v>283</v>
      </c>
      <c r="D92" s="17" t="str">
        <f t="shared" si="1"/>
        <v>EU21D3</v>
      </c>
      <c r="E92" s="9" t="s">
        <v>284</v>
      </c>
      <c r="F92" s="9">
        <v>5000</v>
      </c>
      <c r="G92" s="10">
        <v>45146</v>
      </c>
      <c r="H92" s="10">
        <v>45119</v>
      </c>
      <c r="I92" s="10">
        <v>45015</v>
      </c>
      <c r="J92" s="10">
        <v>44967</v>
      </c>
      <c r="L92" s="17" t="str">
        <f ca="1">IFERROR(__xludf.DUMMYFUNCTION("TEXTJOIN("", "", TRUE, UNIQUE(FILTER('製造效能'!$D$2:$D$1732, '製造效能'!$B$2:$B$1732 = D92)))"),"大, 精")</f>
        <v>大, 精</v>
      </c>
      <c r="M92" s="17" t="str">
        <f ca="1">IFERROR(__xludf.DUMMYFUNCTION("INDEX(UNIQUE(FILTER('製造效能'!$D$2:$D$1732, ('製造效能'!$B$2:$B$1732 = D92) * ('製造效能'!$J$2:$J$1732 = MAXIFS('製造效能'!$J$2:$J$1732, '製造效能'!$B$2:$B$1732, D92)))), 1) 
"),"大")</f>
        <v>大</v>
      </c>
      <c r="N92" s="17" t="str">
        <f ca="1">IFERROR(__xludf.DUMMYFUNCTION("TEXTJOIN("", "", TRUE, UNIQUE(FILTER('製造效能'!$K$2:$K$1732, '製造效能'!$B$2:$B$1732 = D92)))"),"水項")</f>
        <v>水項</v>
      </c>
      <c r="O92" s="35">
        <f ca="1">IFERROR(__xludf.DUMMYFUNCTION("IFERROR(INDEX(FILTER('充填效能'!I$2:I$1088, '充填效能'!$A$2:$A$1088=$C92, '充填效能'!$D$2:$D$1088=""充填""), 1), 0)"),30.3)</f>
        <v>30.3</v>
      </c>
      <c r="P92" s="35" t="str">
        <f ca="1">IFERROR(__xludf.DUMMYFUNCTION("IFERROR(INDEX(FILTER('充填效能'!J$2:J$1088, '充填效能'!$A$2:$A$1088=$C92, '充填效能'!$D$2:$D$1088=""充填""), 1), 0)"),"")</f>
        <v/>
      </c>
      <c r="Q92" s="35" t="str">
        <f ca="1">IFERROR(__xludf.DUMMYFUNCTION("IFERROR(INDEX(FILTER('充填效能'!K$2:K$1088, '充填效能'!$A$2:$A$1088=$C92, '充填效能'!$D$2:$D$1088=""充填""), 1), 0)"),"")</f>
        <v/>
      </c>
      <c r="R92" s="35" t="str">
        <f ca="1">IFERROR(__xludf.DUMMYFUNCTION("IFERROR(INDEX(FILTER('充填效能'!L$2:L$1088, '充填效能'!$A$2:$A$1088=$C92, '充填效能'!$D$2:$D$1088=""充填""), 1), 0)"),"")</f>
        <v/>
      </c>
      <c r="S92" s="35">
        <f ca="1">COUNTIFS(製造效能!B:B, $D92,製造效能!D:D,M92)</f>
        <v>3</v>
      </c>
      <c r="T92" s="36">
        <f ca="1">IFERROR(__xludf.DUMMYFUNCTION("VALUE(REGEXEXTRACT(TO_TEXT(O92), ""\d*\.?\d+""))"),30.3)</f>
        <v>30.3</v>
      </c>
      <c r="U92" s="17">
        <f t="shared" ca="1" si="2"/>
        <v>153772.49999999997</v>
      </c>
      <c r="V92" s="17">
        <f ca="1">IFERROR(__xludf.DUMMYFUNCTION("IFERROR(INDEX(FILTER('製造效能'!J:J, '製造效能'!A:A=$C92, '製造效能'!D:D=M92, '製造效能'!E:E=""攪料""), 1), INDEX(FILTER('製造效能'!J:J, '製造效能'!B:B=$D92, '製造效能'!D:D=M92, '製造效能'!E:E=""攪料""), 1))"),400)</f>
        <v>400</v>
      </c>
      <c r="W92" s="36">
        <f ca="1">IFERROR(__xludf.DUMMYFUNCTION("IFERROR(INDEX(FILTER('製造效能'!G:G, '製造效能'!A:A=$C92, '製造效能'!D:D=M92, '製造效能'!E:E=""攪料""), 1), INDEX(FILTER('製造效能'!G:G, '製造效能'!B:B=$D92, '製造效能'!D:D=M92, '製造效能'!E:E=""攪料""), 1))"),90)</f>
        <v>90</v>
      </c>
      <c r="X92" s="35">
        <f t="shared" ca="1" si="3"/>
        <v>1</v>
      </c>
      <c r="Y92" s="35">
        <f t="shared" ca="1" si="4"/>
        <v>90</v>
      </c>
      <c r="Z92" s="35">
        <f ca="1">IFERROR(__xludf.DUMMYFUNCTION("IFERROR(IFERROR(INDEX(FILTER('製造效能'!G:G, '製造效能'!A:A=$C92, '製造效能'!D:D=M92, '製造效能'!E:E=""預攪""), 1), INDEX(FILTER('製造效能'!G:G, '製造效能'!B:B=$D92, '製造效能'!D:D=M92, '製造效能'!E:E=""預攪""), 1)), 0)"),70)</f>
        <v>70</v>
      </c>
      <c r="AA92" s="35">
        <f ca="1">IFERROR(__xludf.DUMMYFUNCTION("IFERROR(INDEX(FILTER('製造效能'!G:G, '製造效能'!A:A=$C92, '製造效能'!D:D=M92, '製造效能'!E:E=""清洗""), 1), INDEX(FILTER('製造效能'!G:G, '製造效能'!B:B=$D92, '製造效能'!D:D=M92, '製造效能'!E:E=""清洗""), 1))"),30)</f>
        <v>30</v>
      </c>
      <c r="AB92" s="35" t="str">
        <f ca="1">IFERROR(__xludf.DUMMYFUNCTION("IFERROR(INDEX(FILTER('製造效能'!N:N, '製造效能'!$A:$A=$C92, '製造效能'!$D:$D=$M92, '製造效能'!$E:$E=""攪料""), 1), INDEX(FILTER('製造效能'!N:N, '製造效能'!$B:$B=$D92, '製造效能'!$D:$D=$M92, '製造效能'!$E:$E=""攪料""), 1))"),"")</f>
        <v/>
      </c>
      <c r="AC92" s="35" t="str">
        <f ca="1">IFERROR(__xludf.DUMMYFUNCTION("IFERROR(INDEX(FILTER('製造效能'!O:O, '製造效能'!$A:$A=$C92, '製造效能'!$D:$D=$M92, '製造效能'!$E:$E=""攪料""), 1), INDEX(FILTER('製造效能'!O:O, '製造效能'!$B:$B=$D92, '製造效能'!$D:$D=$M92, '製造效能'!$E:$E=""攪料""), 1))"),"")</f>
        <v/>
      </c>
      <c r="AD92" s="35" t="str">
        <f ca="1">IFERROR(__xludf.DUMMYFUNCTION("IFERROR(INDEX(FILTER('製造效能'!P:P, '製造效能'!$A:$A=$C92, '製造效能'!$D:$D=$M92, '製造效能'!$E:$E=""攪料""), 1), INDEX(FILTER('製造效能'!P:P, '製造效能'!$B:$B=$D92, '製造效能'!$D:$D=$M92, '製造效能'!$E:$E=""攪料""), 1))"),"")</f>
        <v/>
      </c>
      <c r="AE92" s="35" t="str">
        <f ca="1">IFERROR(__xludf.DUMMYFUNCTION("IFERROR(INDEX(FILTER('製造效能'!Q:Q, '製造效能'!$A:$A=$C92, '製造效能'!$D:$D=$M92, '製造效能'!$E:$E=""攪料""), 1), INDEX(FILTER('製造效能'!Q:Q, '製造效能'!$B:$B=$D92, '製造效能'!$D:$D=$M92, '製造效能'!$E:$E=""攪料""), 1))"),"")</f>
        <v/>
      </c>
      <c r="AF92" s="35" t="str">
        <f ca="1">IFERROR(__xludf.DUMMYFUNCTION("IFERROR(INDEX(FILTER('製造效能'!R:R, '製造效能'!$A:$A=$C92, '製造效能'!$D:$D=$M92, '製造效能'!$E:$E=""攪料""), 1), INDEX(FILTER('製造效能'!R:R, '製造效能'!$B:$B=$D92, '製造效能'!$D:$D=$M92, '製造效能'!$E:$E=""攪料""), 1))"),"")</f>
        <v/>
      </c>
      <c r="AG92" s="35">
        <f ca="1">IFERROR(__xludf.DUMMYFUNCTION("IFERROR(INDEX(FILTER('製造效能'!S:S, '製造效能'!$A:$A=$C92, '製造效能'!$D:$D=$M92, '製造效能'!$E:$E=""攪料""), 1), INDEX(FILTER('製造效能'!S:S, '製造效能'!$B:$B=$D92, '製造效能'!$D:$D=$M92, '製造效能'!$E:$E=""攪料""), 1))"),1)</f>
        <v>1</v>
      </c>
      <c r="AH92" s="35" t="str">
        <f ca="1">IFERROR(__xludf.DUMMYFUNCTION("IFERROR(INDEX(FILTER('製造效能'!T:T, '製造效能'!$A:$A=$C92, '製造效能'!$D:$D=$M92, '製造效能'!$E:$E=""攪料""), 1), INDEX(FILTER('製造效能'!T:T, '製造效能'!$B:$B=$D92, '製造效能'!$D:$D=$M92, '製造效能'!$E:$E=""攪料""), 1))"),"")</f>
        <v/>
      </c>
      <c r="AI92" s="35" t="str">
        <f ca="1">IFERROR(__xludf.DUMMYFUNCTION("IFERROR(INDEX(FILTER('製造效能'!U:U, '製造效能'!$A:$A=$C92, '製造效能'!$D:$D=$M92, '製造效能'!$E:$E=""攪料""), 1), INDEX(FILTER('製造效能'!U:U, '製造效能'!$B:$B=$D92, '製造效能'!$D:$D=$M92, '製造效能'!$E:$E=""攪料""), 1))"),"")</f>
        <v/>
      </c>
      <c r="AJ92" s="35" t="str">
        <f ca="1">IFERROR(__xludf.DUMMYFUNCTION("IFERROR(INDEX(FILTER('製造效能'!V:V, '製造效能'!$A:$A=$C92, '製造效能'!$D:$D=$M92, '製造效能'!$E:$E=""攪料""), 1), INDEX(FILTER('製造效能'!V:V, '製造效能'!$B:$B=$D92, '製造效能'!$D:$D=$M92, '製造效能'!$E:$E=""攪料""), 1))"),"")</f>
        <v/>
      </c>
      <c r="AK92" s="35">
        <f>COUNTIF(充填效能!$A:$A, $C92)</f>
        <v>2</v>
      </c>
      <c r="AL92" s="36" t="str">
        <f ca="1">IFERROR(__xludf.DUMMYFUNCTION("IFERROR(INDEX(FILTER('充填效能'!$Q$2:$Q$1088, '充填效能'!$A$2:$A$1088=$C92, '充填效能'!$D$2:$D$1088=""排瓶""), 1), 0)"),"1600")</f>
        <v>1600</v>
      </c>
      <c r="AM92" s="36">
        <f ca="1">IFERROR(__xludf.DUMMYFUNCTION("IFERROR(INDEX(FILTER('充填效能'!$R$2:$R$1088, '充填效能'!$A$2:$A$1088=$C92, '充填效能'!$D$2:$D$1088=""排瓶""), 1), 0)"),1)</f>
        <v>1</v>
      </c>
      <c r="AN92" s="35">
        <f t="shared" ca="1" si="5"/>
        <v>3.125</v>
      </c>
      <c r="AO92" s="36" t="str">
        <f ca="1">IFERROR(__xludf.DUMMYFUNCTION("IFERROR(INDEX(FILTER('充填效能'!$Q$2:$Q$1088, '充填效能'!$A$2:$A$1088=$C92, '充填效能'!$D$2:$D$1088=""充填""), 1), 0)"),"1600")</f>
        <v>1600</v>
      </c>
      <c r="AP92" s="36">
        <f ca="1">IFERROR(__xludf.DUMMYFUNCTION("IFERROR(INDEX(FILTER('充填效能'!$R$2:$R$1088, '充填效能'!$A$2:$A$1088=$C92, '充填效能'!$D$2:$D$1088=""充填""), 1), 0)"),3)</f>
        <v>3</v>
      </c>
      <c r="AQ92" s="35">
        <f t="shared" ca="1" si="6"/>
        <v>3.125</v>
      </c>
      <c r="AR92" s="17">
        <f t="shared" ca="1" si="7"/>
        <v>9.375</v>
      </c>
    </row>
    <row r="93" spans="1:44" ht="15.75" customHeight="1">
      <c r="A93" s="9" t="s">
        <v>274</v>
      </c>
      <c r="B93" s="34">
        <f t="shared" si="0"/>
        <v>45082</v>
      </c>
      <c r="C93" s="9" t="s">
        <v>181</v>
      </c>
      <c r="D93" s="17" t="str">
        <f t="shared" si="1"/>
        <v>N1HAE2</v>
      </c>
      <c r="E93" s="9" t="s">
        <v>182</v>
      </c>
      <c r="F93" s="9">
        <v>10000</v>
      </c>
      <c r="G93" s="10">
        <v>45166</v>
      </c>
      <c r="H93" s="10">
        <v>45120</v>
      </c>
      <c r="I93" s="10">
        <v>44978</v>
      </c>
      <c r="J93" s="10">
        <v>44981</v>
      </c>
      <c r="L93" s="17" t="str">
        <f ca="1">IFERROR(__xludf.DUMMYFUNCTION("TEXTJOIN("", "", TRUE, UNIQUE(FILTER('製造效能'!$D$2:$D$1732, '製造效能'!$B$2:$B$1732 = D93)))"),"大乳, 小乳")</f>
        <v>大乳, 小乳</v>
      </c>
      <c r="M93" s="17" t="str">
        <f ca="1">IFERROR(__xludf.DUMMYFUNCTION("INDEX(UNIQUE(FILTER('製造效能'!$D$2:$D$1732, ('製造效能'!$B$2:$B$1732 = D93) * ('製造效能'!$J$2:$J$1732 = MAXIFS('製造效能'!$J$2:$J$1732, '製造效能'!$B$2:$B$1732, D93)))), 1) 
"),"大乳")</f>
        <v>大乳</v>
      </c>
      <c r="N93" s="17" t="str">
        <f ca="1">IFERROR(__xludf.DUMMYFUNCTION("TEXTJOIN("", "", TRUE, UNIQUE(FILTER('製造效能'!$K$2:$K$1732, '製造效能'!$B$2:$B$1732 = D93)))"),"乳項")</f>
        <v>乳項</v>
      </c>
      <c r="P93" s="35" t="str">
        <f ca="1">IFERROR(__xludf.DUMMYFUNCTION("IFERROR(INDEX(FILTER('充填效能'!J$2:J$1088, '充填效能'!$A$2:$A$1088=$C93, '充填效能'!$D$2:$D$1088=""充填""), 1), 0)"),"")</f>
        <v/>
      </c>
      <c r="Q93" s="35" t="str">
        <f ca="1">IFERROR(__xludf.DUMMYFUNCTION("IFERROR(INDEX(FILTER('充填效能'!K$2:K$1088, '充填效能'!$A$2:$A$1088=$C93, '充填效能'!$D$2:$D$1088=""充填""), 1), 0)"),"")</f>
        <v/>
      </c>
      <c r="R93" s="35">
        <f ca="1">IFERROR(__xludf.DUMMYFUNCTION("IFERROR(INDEX(FILTER('充填效能'!I$2:I$1088, '充填效能'!$A$2:$A$1088=$C93, '充填效能'!$D$2:$D$1088=""充填""), 1), 0)"),50)</f>
        <v>50</v>
      </c>
      <c r="S93" s="35">
        <f ca="1">COUNTIFS(製造效能!B:B, $D93,製造效能!D:D,M93)</f>
        <v>3</v>
      </c>
      <c r="T93" s="36">
        <f ca="1">IFERROR(__xludf.DUMMYFUNCTION("VALUE(REGEXEXTRACT(TO_TEXT(R93), ""\d*\.?\d+""))"),50)</f>
        <v>50</v>
      </c>
      <c r="U93" s="17">
        <f t="shared" ca="1" si="2"/>
        <v>507499.99999999994</v>
      </c>
      <c r="V93" s="17">
        <f ca="1">IFERROR(__xludf.DUMMYFUNCTION("IFERROR(INDEX(FILTER('製造效能'!J:J, '製造效能'!A:A=$C93, '製造效能'!D:D=M93, '製造效能'!E:E=""攪料""), 1), INDEX(FILTER('製造效能'!J:J, '製造效能'!B:B=$D93, '製造效能'!D:D=M93, '製造效能'!E:E=""攪料""), 1))"),103)</f>
        <v>103</v>
      </c>
      <c r="W93" s="36">
        <f ca="1">IFERROR(__xludf.DUMMYFUNCTION("IFERROR(INDEX(FILTER('製造效能'!G:G, '製造效能'!A:A=$C93, '製造效能'!D:D=M93, '製造效能'!E:E=""攪料""), 1), INDEX(FILTER('製造效能'!G:G, '製造效能'!B:B=$D93, '製造效能'!D:D=M93, '製造效能'!E:E=""攪料""), 1))"),180)</f>
        <v>180</v>
      </c>
      <c r="X93" s="35">
        <f t="shared" ca="1" si="3"/>
        <v>5</v>
      </c>
      <c r="Y93" s="35">
        <f t="shared" ca="1" si="4"/>
        <v>900</v>
      </c>
      <c r="Z93" s="35">
        <f ca="1">IFERROR(__xludf.DUMMYFUNCTION("IFERROR(IFERROR(INDEX(FILTER('製造效能'!G:G, '製造效能'!A:A=$C93, '製造效能'!D:D=M93, '製造效能'!E:E=""預攪""), 1), INDEX(FILTER('製造效能'!G:G, '製造效能'!B:B=$D93, '製造效能'!D:D=M93, '製造效能'!E:E=""預攪""), 1)), 0)"),25)</f>
        <v>25</v>
      </c>
      <c r="AA93" s="35">
        <f ca="1">IFERROR(__xludf.DUMMYFUNCTION("IFERROR(INDEX(FILTER('製造效能'!G:G, '製造效能'!A:A=$C93, '製造效能'!D:D=M93, '製造效能'!E:E=""清洗""), 1), INDEX(FILTER('製造效能'!G:G, '製造效能'!B:B=$D93, '製造效能'!D:D=M93, '製造效能'!E:E=""清洗""), 1))"),40)</f>
        <v>40</v>
      </c>
      <c r="AB93" s="35" t="str">
        <f ca="1">IFERROR(__xludf.DUMMYFUNCTION("IFERROR(INDEX(FILTER('製造效能'!N:N, '製造效能'!$A:$A=$C93, '製造效能'!$D:$D=$M93, '製造效能'!$E:$E=""攪料""), 1), INDEX(FILTER('製造效能'!N:N, '製造效能'!$B:$B=$D93, '製造效能'!$D:$D=$M93, '製造效能'!$E:$E=""攪料""), 1))"),"")</f>
        <v/>
      </c>
      <c r="AC93" s="35" t="str">
        <f ca="1">IFERROR(__xludf.DUMMYFUNCTION("IFERROR(INDEX(FILTER('製造效能'!O:O, '製造效能'!$A:$A=$C93, '製造效能'!$D:$D=$M93, '製造效能'!$E:$E=""攪料""), 1), INDEX(FILTER('製造效能'!O:O, '製造效能'!$B:$B=$D93, '製造效能'!$D:$D=$M93, '製造效能'!$E:$E=""攪料""), 1))"),"")</f>
        <v/>
      </c>
      <c r="AD93" s="35" t="str">
        <f ca="1">IFERROR(__xludf.DUMMYFUNCTION("IFERROR(INDEX(FILTER('製造效能'!P:P, '製造效能'!$A:$A=$C93, '製造效能'!$D:$D=$M93, '製造效能'!$E:$E=""攪料""), 1), INDEX(FILTER('製造效能'!P:P, '製造效能'!$B:$B=$D93, '製造效能'!$D:$D=$M93, '製造效能'!$E:$E=""攪料""), 1))"),"")</f>
        <v/>
      </c>
      <c r="AE93" s="35">
        <f ca="1">IFERROR(__xludf.DUMMYFUNCTION("IFERROR(INDEX(FILTER('製造效能'!Q:Q, '製造效能'!$A:$A=$C93, '製造效能'!$D:$D=$M93, '製造效能'!$E:$E=""攪料""), 1), INDEX(FILTER('製造效能'!Q:Q, '製造效能'!$B:$B=$D93, '製造效能'!$D:$D=$M93, '製造效能'!$E:$E=""攪料""), 1))"),1)</f>
        <v>1</v>
      </c>
      <c r="AF93" s="35" t="str">
        <f ca="1">IFERROR(__xludf.DUMMYFUNCTION("IFERROR(INDEX(FILTER('製造效能'!R:R, '製造效能'!$A:$A=$C93, '製造效能'!$D:$D=$M93, '製造效能'!$E:$E=""攪料""), 1), INDEX(FILTER('製造效能'!R:R, '製造效能'!$B:$B=$D93, '製造效能'!$D:$D=$M93, '製造效能'!$E:$E=""攪料""), 1))"),"")</f>
        <v/>
      </c>
      <c r="AG93" s="35" t="str">
        <f ca="1">IFERROR(__xludf.DUMMYFUNCTION("IFERROR(INDEX(FILTER('製造效能'!S:S, '製造效能'!$A:$A=$C93, '製造效能'!$D:$D=$M93, '製造效能'!$E:$E=""攪料""), 1), INDEX(FILTER('製造效能'!S:S, '製造效能'!$B:$B=$D93, '製造效能'!$D:$D=$M93, '製造效能'!$E:$E=""攪料""), 1))"),"")</f>
        <v/>
      </c>
      <c r="AH93" s="35" t="str">
        <f ca="1">IFERROR(__xludf.DUMMYFUNCTION("IFERROR(INDEX(FILTER('製造效能'!T:T, '製造效能'!$A:$A=$C93, '製造效能'!$D:$D=$M93, '製造效能'!$E:$E=""攪料""), 1), INDEX(FILTER('製造效能'!T:T, '製造效能'!$B:$B=$D93, '製造效能'!$D:$D=$M93, '製造效能'!$E:$E=""攪料""), 1))"),"")</f>
        <v/>
      </c>
      <c r="AI93" s="35" t="str">
        <f ca="1">IFERROR(__xludf.DUMMYFUNCTION("IFERROR(INDEX(FILTER('製造效能'!U:U, '製造效能'!$A:$A=$C93, '製造效能'!$D:$D=$M93, '製造效能'!$E:$E=""攪料""), 1), INDEX(FILTER('製造效能'!U:U, '製造效能'!$B:$B=$D93, '製造效能'!$D:$D=$M93, '製造效能'!$E:$E=""攪料""), 1))"),"")</f>
        <v/>
      </c>
      <c r="AJ93" s="35" t="str">
        <f ca="1">IFERROR(__xludf.DUMMYFUNCTION("IFERROR(INDEX(FILTER('製造效能'!V:V, '製造效能'!$A:$A=$C93, '製造效能'!$D:$D=$M93, '製造效能'!$E:$E=""攪料""), 1), INDEX(FILTER('製造效能'!V:V, '製造效能'!$B:$B=$D93, '製造效能'!$D:$D=$M93, '製造效能'!$E:$E=""攪料""), 1))"),"")</f>
        <v/>
      </c>
      <c r="AK93" s="35">
        <f>COUNTIF(充填效能!$A:$A, $C93)</f>
        <v>3</v>
      </c>
      <c r="AL93" s="36" t="str">
        <f ca="1">IFERROR(__xludf.DUMMYFUNCTION("IFERROR(INDEX(FILTER('充填效能'!$Q$2:$Q$1088, '充填效能'!$A$2:$A$1088=$C93, '充填效能'!$D$2:$D$1088=""排瓶""), 1), 0)"),"1600")</f>
        <v>1600</v>
      </c>
      <c r="AM93" s="36">
        <f ca="1">IFERROR(__xludf.DUMMYFUNCTION("IFERROR(INDEX(FILTER('充填效能'!$R$2:$R$1088, '充填效能'!$A$2:$A$1088=$C93, '充填效能'!$D$2:$D$1088=""排瓶""), 1), 0)"),1)</f>
        <v>1</v>
      </c>
      <c r="AN93" s="35">
        <f t="shared" ca="1" si="5"/>
        <v>6.25</v>
      </c>
      <c r="AO93" s="36" t="str">
        <f ca="1">IFERROR(__xludf.DUMMYFUNCTION("IFERROR(INDEX(FILTER('充填效能'!$Q$2:$Q$1088, '充填效能'!$A$2:$A$1088=$C93, '充填效能'!$D$2:$D$1088=""充填""), 1), 0)"),"1000")</f>
        <v>1000</v>
      </c>
      <c r="AP93" s="36">
        <f ca="1">IFERROR(__xludf.DUMMYFUNCTION("IFERROR(INDEX(FILTER('充填效能'!$R$2:$R$1088, '充填效能'!$A$2:$A$1088=$C93, '充填效能'!$D$2:$D$1088=""充填""), 1), 0)"),4)</f>
        <v>4</v>
      </c>
      <c r="AQ93" s="35">
        <f t="shared" ca="1" si="6"/>
        <v>10</v>
      </c>
      <c r="AR93" s="17">
        <f t="shared" ca="1" si="7"/>
        <v>40</v>
      </c>
    </row>
    <row r="94" spans="1:44" ht="15.75" customHeight="1">
      <c r="A94" s="9" t="s">
        <v>278</v>
      </c>
      <c r="B94" s="34">
        <f t="shared" si="0"/>
        <v>45098</v>
      </c>
      <c r="C94" s="9" t="s">
        <v>111</v>
      </c>
      <c r="D94" s="17" t="str">
        <f t="shared" si="1"/>
        <v>N1N2F1</v>
      </c>
      <c r="E94" s="9" t="s">
        <v>112</v>
      </c>
      <c r="F94" s="9">
        <v>5000</v>
      </c>
      <c r="G94" s="10">
        <v>45126</v>
      </c>
      <c r="H94" s="10">
        <v>45121</v>
      </c>
      <c r="I94" s="10">
        <v>45079</v>
      </c>
      <c r="J94" s="10">
        <v>45114</v>
      </c>
      <c r="L94" s="17" t="str">
        <f ca="1">IFERROR(__xludf.DUMMYFUNCTION("TEXTJOIN("", "", TRUE, UNIQUE(FILTER('製造效能'!$D$2:$D$1732, '製造效能'!$B$2:$B$1732 = D94)))"),"小乳, 精")</f>
        <v>小乳, 精</v>
      </c>
      <c r="M94" s="17" t="str">
        <f ca="1">IFERROR(__xludf.DUMMYFUNCTION("INDEX(UNIQUE(FILTER('製造效能'!$D$2:$D$1732, ('製造效能'!$B$2:$B$1732 = D94) * ('製造效能'!$J$2:$J$1732 = MAXIFS('製造效能'!$J$2:$J$1732, '製造效能'!$B$2:$B$1732, D94)))), 1) 
"),"精")</f>
        <v>精</v>
      </c>
      <c r="N94" s="17" t="str">
        <f ca="1">IFERROR(__xludf.DUMMYFUNCTION("TEXTJOIN("", "", TRUE, UNIQUE(FILTER('製造效能'!$K$2:$K$1732, '製造效能'!$B$2:$B$1732 = D94)))"),"乳項")</f>
        <v>乳項</v>
      </c>
      <c r="P94" s="35" t="str">
        <f ca="1">IFERROR(__xludf.DUMMYFUNCTION("IFERROR(INDEX(FILTER('充填效能'!J$2:J$1088, '充填效能'!$A$2:$A$1088=$C94, '充填效能'!$D$2:$D$1088=""充填""), 1), 0)"),"")</f>
        <v/>
      </c>
      <c r="Q94" s="35" t="str">
        <f ca="1">IFERROR(__xludf.DUMMYFUNCTION("IFERROR(INDEX(FILTER('充填效能'!K$2:K$1088, '充填效能'!$A$2:$A$1088=$C94, '充填效能'!$D$2:$D$1088=""充填""), 1), 0)"),"")</f>
        <v/>
      </c>
      <c r="R94" s="35">
        <f ca="1">IFERROR(__xludf.DUMMYFUNCTION("IFERROR(INDEX(FILTER('充填效能'!I$2:I$1088, '充填效能'!$A$2:$A$1088=$C94, '充填效能'!$D$2:$D$1088=""充填""), 1), 0)"),370)</f>
        <v>370</v>
      </c>
      <c r="S94" s="35">
        <f ca="1">COUNTIFS(製造效能!B:B, $D94,製造效能!D:D,M94)</f>
        <v>3</v>
      </c>
      <c r="T94" s="36">
        <f ca="1">IFERROR(__xludf.DUMMYFUNCTION("VALUE(REGEXEXTRACT(TO_TEXT(R94), ""\d*\.?\d+""))"),370)</f>
        <v>370</v>
      </c>
      <c r="U94" s="17">
        <f t="shared" ca="1" si="2"/>
        <v>1877749.9999999998</v>
      </c>
      <c r="V94" s="17">
        <f ca="1">IFERROR(__xludf.DUMMYFUNCTION("IFERROR(INDEX(FILTER('製造效能'!J:J, '製造效能'!A:A=$C94, '製造效能'!D:D=M94, '製造效能'!E:E=""攪料""), 1), INDEX(FILTER('製造效能'!J:J, '製造效能'!B:B=$D94, '製造效能'!D:D=M94, '製造效能'!E:E=""攪料""), 1))"),100)</f>
        <v>100</v>
      </c>
      <c r="W94" s="36">
        <f ca="1">IFERROR(__xludf.DUMMYFUNCTION("IFERROR(INDEX(FILTER('製造效能'!G:G, '製造效能'!A:A=$C94, '製造效能'!D:D=M94, '製造效能'!E:E=""攪料""), 1), INDEX(FILTER('製造效能'!G:G, '製造效能'!B:B=$D94, '製造效能'!D:D=M94, '製造效能'!E:E=""攪料""), 1))"),60)</f>
        <v>60</v>
      </c>
      <c r="X94" s="35">
        <f t="shared" ca="1" si="3"/>
        <v>19</v>
      </c>
      <c r="Y94" s="35">
        <f t="shared" ca="1" si="4"/>
        <v>1140</v>
      </c>
      <c r="Z94" s="35">
        <f ca="1">IFERROR(__xludf.DUMMYFUNCTION("IFERROR(IFERROR(INDEX(FILTER('製造效能'!G:G, '製造效能'!A:A=$C94, '製造效能'!D:D=M94, '製造效能'!E:E=""預攪""), 1), INDEX(FILTER('製造效能'!G:G, '製造效能'!B:B=$D94, '製造效能'!D:D=M94, '製造效能'!E:E=""預攪""), 1)), 0)"),75)</f>
        <v>75</v>
      </c>
      <c r="AA94" s="35">
        <f ca="1">IFERROR(__xludf.DUMMYFUNCTION("IFERROR(INDEX(FILTER('製造效能'!G:G, '製造效能'!A:A=$C94, '製造效能'!D:D=M94, '製造效能'!E:E=""清洗""), 1), INDEX(FILTER('製造效能'!G:G, '製造效能'!B:B=$D94, '製造效能'!D:D=M94, '製造效能'!E:E=""清洗""), 1))"),10)</f>
        <v>10</v>
      </c>
      <c r="AB94" s="35" t="str">
        <f ca="1">IFERROR(__xludf.DUMMYFUNCTION("IFERROR(INDEX(FILTER('製造效能'!N:N, '製造效能'!$A:$A=$C94, '製造效能'!$D:$D=$M94, '製造效能'!$E:$E=""攪料""), 1), INDEX(FILTER('製造效能'!N:N, '製造效能'!$B:$B=$D94, '製造效能'!$D:$D=$M94, '製造效能'!$E:$E=""攪料""), 1))"),"")</f>
        <v/>
      </c>
      <c r="AC94" s="35">
        <f ca="1">IFERROR(__xludf.DUMMYFUNCTION("IFERROR(INDEX(FILTER('製造效能'!O:O, '製造效能'!$A:$A=$C94, '製造效能'!$D:$D=$M94, '製造效能'!$E:$E=""攪料""), 1), INDEX(FILTER('製造效能'!O:O, '製造效能'!$B:$B=$D94, '製造效能'!$D:$D=$M94, '製造效能'!$E:$E=""攪料""), 1))"),1)</f>
        <v>1</v>
      </c>
      <c r="AD94" s="35" t="str">
        <f ca="1">IFERROR(__xludf.DUMMYFUNCTION("IFERROR(INDEX(FILTER('製造效能'!P:P, '製造效能'!$A:$A=$C94, '製造效能'!$D:$D=$M94, '製造效能'!$E:$E=""攪料""), 1), INDEX(FILTER('製造效能'!P:P, '製造效能'!$B:$B=$D94, '製造效能'!$D:$D=$M94, '製造效能'!$E:$E=""攪料""), 1))"),"")</f>
        <v/>
      </c>
      <c r="AE94" s="35" t="str">
        <f ca="1">IFERROR(__xludf.DUMMYFUNCTION("IFERROR(INDEX(FILTER('製造效能'!Q:Q, '製造效能'!$A:$A=$C94, '製造效能'!$D:$D=$M94, '製造效能'!$E:$E=""攪料""), 1), INDEX(FILTER('製造效能'!Q:Q, '製造效能'!$B:$B=$D94, '製造效能'!$D:$D=$M94, '製造效能'!$E:$E=""攪料""), 1))"),"")</f>
        <v/>
      </c>
      <c r="AF94" s="35" t="str">
        <f ca="1">IFERROR(__xludf.DUMMYFUNCTION("IFERROR(INDEX(FILTER('製造效能'!R:R, '製造效能'!$A:$A=$C94, '製造效能'!$D:$D=$M94, '製造效能'!$E:$E=""攪料""), 1), INDEX(FILTER('製造效能'!R:R, '製造效能'!$B:$B=$D94, '製造效能'!$D:$D=$M94, '製造效能'!$E:$E=""攪料""), 1))"),"")</f>
        <v/>
      </c>
      <c r="AG94" s="35" t="str">
        <f ca="1">IFERROR(__xludf.DUMMYFUNCTION("IFERROR(INDEX(FILTER('製造效能'!S:S, '製造效能'!$A:$A=$C94, '製造效能'!$D:$D=$M94, '製造效能'!$E:$E=""攪料""), 1), INDEX(FILTER('製造效能'!S:S, '製造效能'!$B:$B=$D94, '製造效能'!$D:$D=$M94, '製造效能'!$E:$E=""攪料""), 1))"),"")</f>
        <v/>
      </c>
      <c r="AH94" s="35" t="str">
        <f ca="1">IFERROR(__xludf.DUMMYFUNCTION("IFERROR(INDEX(FILTER('製造效能'!T:T, '製造效能'!$A:$A=$C94, '製造效能'!$D:$D=$M94, '製造效能'!$E:$E=""攪料""), 1), INDEX(FILTER('製造效能'!T:T, '製造效能'!$B:$B=$D94, '製造效能'!$D:$D=$M94, '製造效能'!$E:$E=""攪料""), 1))"),"")</f>
        <v/>
      </c>
      <c r="AI94" s="35" t="str">
        <f ca="1">IFERROR(__xludf.DUMMYFUNCTION("IFERROR(INDEX(FILTER('製造效能'!U:U, '製造效能'!$A:$A=$C94, '製造效能'!$D:$D=$M94, '製造效能'!$E:$E=""攪料""), 1), INDEX(FILTER('製造效能'!U:U, '製造效能'!$B:$B=$D94, '製造效能'!$D:$D=$M94, '製造效能'!$E:$E=""攪料""), 1))"),"")</f>
        <v/>
      </c>
      <c r="AJ94" s="35" t="str">
        <f ca="1">IFERROR(__xludf.DUMMYFUNCTION("IFERROR(INDEX(FILTER('製造效能'!V:V, '製造效能'!$A:$A=$C94, '製造效能'!$D:$D=$M94, '製造效能'!$E:$E=""攪料""), 1), INDEX(FILTER('製造效能'!V:V, '製造效能'!$B:$B=$D94, '製造效能'!$D:$D=$M94, '製造效能'!$E:$E=""攪料""), 1))"),"")</f>
        <v/>
      </c>
      <c r="AK94" s="35">
        <f>COUNTIF(充填效能!$A:$A, $C94)</f>
        <v>2</v>
      </c>
      <c r="AL94" s="36" t="str">
        <f ca="1">IFERROR(__xludf.DUMMYFUNCTION("IFERROR(INDEX(FILTER('充填效能'!$Q$2:$Q$1088, '充填效能'!$A$2:$A$1088=$C94, '充填效能'!$D$2:$D$1088=""排瓶""), 1), 0)"),"570")</f>
        <v>570</v>
      </c>
      <c r="AM94" s="36">
        <f ca="1">IFERROR(__xludf.DUMMYFUNCTION("IFERROR(INDEX(FILTER('充填效能'!$R$2:$R$1088, '充填效能'!$A$2:$A$1088=$C94, '充填效能'!$D$2:$D$1088=""排瓶""), 1), 0)"),1)</f>
        <v>1</v>
      </c>
      <c r="AN94" s="35">
        <f t="shared" ca="1" si="5"/>
        <v>8.7719298245614041</v>
      </c>
      <c r="AO94" s="36" t="str">
        <f ca="1">IFERROR(__xludf.DUMMYFUNCTION("IFERROR(INDEX(FILTER('充填效能'!$Q$2:$Q$1088, '充填效能'!$A$2:$A$1088=$C94, '充填效能'!$D$2:$D$1088=""充填""), 1), 0)"),"480")</f>
        <v>480</v>
      </c>
      <c r="AP94" s="36">
        <f ca="1">IFERROR(__xludf.DUMMYFUNCTION("IFERROR(INDEX(FILTER('充填效能'!$R$2:$R$1088, '充填效能'!$A$2:$A$1088=$C94, '充填效能'!$D$2:$D$1088=""充填""), 1), 0)"),4)</f>
        <v>4</v>
      </c>
      <c r="AQ94" s="35">
        <f t="shared" ca="1" si="6"/>
        <v>10.416666666666666</v>
      </c>
      <c r="AR94" s="17">
        <f t="shared" ca="1" si="7"/>
        <v>41.666666666666664</v>
      </c>
    </row>
    <row r="95" spans="1:44" ht="15.75" customHeight="1">
      <c r="A95" s="9" t="s">
        <v>285</v>
      </c>
      <c r="B95" s="34">
        <f t="shared" si="0"/>
        <v>45126</v>
      </c>
      <c r="C95" s="9" t="s">
        <v>76</v>
      </c>
      <c r="D95" s="17" t="str">
        <f t="shared" si="1"/>
        <v>N1RED1</v>
      </c>
      <c r="E95" s="9" t="s">
        <v>77</v>
      </c>
      <c r="F95" s="9">
        <v>10000</v>
      </c>
      <c r="G95" s="10">
        <v>45127</v>
      </c>
      <c r="H95" s="10">
        <v>45124</v>
      </c>
      <c r="I95" s="10">
        <v>45113</v>
      </c>
      <c r="J95" s="10">
        <v>45098</v>
      </c>
      <c r="L95" s="17" t="str">
        <f ca="1">IFERROR(__xludf.DUMMYFUNCTION("TEXTJOIN("", "", TRUE, UNIQUE(FILTER('製造效能'!$D$2:$D$1732, '製造效能'!$B$2:$B$1732 = D95)))"),"精")</f>
        <v>精</v>
      </c>
      <c r="M95" s="17" t="str">
        <f ca="1">IFERROR(__xludf.DUMMYFUNCTION("INDEX(UNIQUE(FILTER('製造效能'!$D$2:$D$1732, ('製造效能'!$B$2:$B$1732 = D95) * ('製造效能'!$J$2:$J$1732 = MAXIFS('製造效能'!$J$2:$J$1732, '製造效能'!$B$2:$B$1732, D95)))), 1) 
"),"精")</f>
        <v>精</v>
      </c>
      <c r="N95" s="17" t="str">
        <f ca="1">IFERROR(__xludf.DUMMYFUNCTION("TEXTJOIN("", "", TRUE, UNIQUE(FILTER('製造效能'!$K$2:$K$1732, '製造效能'!$B$2:$B$1732 = D95)))"),"水項")</f>
        <v>水項</v>
      </c>
      <c r="O95" s="35">
        <f ca="1">IFERROR(__xludf.DUMMYFUNCTION("IFERROR(INDEX(FILTER('充填效能'!I$2:I$1088, '充填效能'!$A$2:$A$1088=$C95, '充填效能'!$D$2:$D$1088=""充填""), 1), 0)"),30.2)</f>
        <v>30.2</v>
      </c>
      <c r="P95" s="35" t="str">
        <f ca="1">IFERROR(__xludf.DUMMYFUNCTION("IFERROR(INDEX(FILTER('充填效能'!J$2:J$1088, '充填效能'!$A$2:$A$1088=$C95, '充填效能'!$D$2:$D$1088=""充填""), 1), 0)"),"")</f>
        <v/>
      </c>
      <c r="Q95" s="35" t="str">
        <f ca="1">IFERROR(__xludf.DUMMYFUNCTION("IFERROR(INDEX(FILTER('充填效能'!K$2:K$1088, '充填效能'!$A$2:$A$1088=$C95, '充填效能'!$D$2:$D$1088=""充填""), 1), 0)"),"")</f>
        <v/>
      </c>
      <c r="R95" s="35" t="str">
        <f ca="1">IFERROR(__xludf.DUMMYFUNCTION("IFERROR(INDEX(FILTER('充填效能'!L$2:L$1088, '充填效能'!$A$2:$A$1088=$C95, '充填效能'!$D$2:$D$1088=""充填""), 1), 0)"),"")</f>
        <v/>
      </c>
      <c r="S95" s="35">
        <f ca="1">COUNTIFS(製造效能!B:B, $D95,製造效能!D:D,M95)</f>
        <v>3</v>
      </c>
      <c r="T95" s="36">
        <f ca="1">IFERROR(__xludf.DUMMYFUNCTION("VALUE(REGEXEXTRACT(TO_TEXT(O95), ""\d*\.?\d+""))"),30.2)</f>
        <v>30.2</v>
      </c>
      <c r="U95" s="17">
        <f t="shared" ca="1" si="2"/>
        <v>306529.99999999994</v>
      </c>
      <c r="V95" s="17">
        <f ca="1">IFERROR(__xludf.DUMMYFUNCTION("IFERROR(INDEX(FILTER('製造效能'!J:J, '製造效能'!A:A=$C95, '製造效能'!D:D=M95, '製造效能'!E:E=""攪料""), 1), INDEX(FILTER('製造效能'!J:J, '製造效能'!B:B=$D95, '製造效能'!D:D=M95, '製造效能'!E:E=""攪料""), 1))"),103)</f>
        <v>103</v>
      </c>
      <c r="W95" s="36">
        <f ca="1">IFERROR(__xludf.DUMMYFUNCTION("IFERROR(INDEX(FILTER('製造效能'!G:G, '製造效能'!A:A=$C95, '製造效能'!D:D=M95, '製造效能'!E:E=""攪料""), 1), INDEX(FILTER('製造效能'!G:G, '製造效能'!B:B=$D95, '製造效能'!D:D=M95, '製造效能'!E:E=""攪料""), 1))"),110)</f>
        <v>110</v>
      </c>
      <c r="X95" s="35">
        <f t="shared" ca="1" si="3"/>
        <v>3</v>
      </c>
      <c r="Y95" s="35">
        <f t="shared" ca="1" si="4"/>
        <v>330</v>
      </c>
      <c r="Z95" s="35">
        <f ca="1">IFERROR(__xludf.DUMMYFUNCTION("IFERROR(IFERROR(INDEX(FILTER('製造效能'!G:G, '製造效能'!A:A=$C95, '製造效能'!D:D=M95, '製造效能'!E:E=""預攪""), 1), INDEX(FILTER('製造效能'!G:G, '製造效能'!B:B=$D95, '製造效能'!D:D=M95, '製造效能'!E:E=""預攪""), 1)), 0)"),25)</f>
        <v>25</v>
      </c>
      <c r="AA95" s="35">
        <f ca="1">IFERROR(__xludf.DUMMYFUNCTION("IFERROR(INDEX(FILTER('製造效能'!G:G, '製造效能'!A:A=$C95, '製造效能'!D:D=M95, '製造效能'!E:E=""清洗""), 1), INDEX(FILTER('製造效能'!G:G, '製造效能'!B:B=$D95, '製造效能'!D:D=M95, '製造效能'!E:E=""清洗""), 1))"),20)</f>
        <v>20</v>
      </c>
      <c r="AB95" s="35" t="str">
        <f ca="1">IFERROR(__xludf.DUMMYFUNCTION("IFERROR(INDEX(FILTER('製造效能'!N:N, '製造效能'!$A:$A=$C95, '製造效能'!$D:$D=$M95, '製造效能'!$E:$E=""攪料""), 1), INDEX(FILTER('製造效能'!N:N, '製造效能'!$B:$B=$D95, '製造效能'!$D:$D=$M95, '製造效能'!$E:$E=""攪料""), 1))"),"")</f>
        <v/>
      </c>
      <c r="AC95" s="35">
        <f ca="1">IFERROR(__xludf.DUMMYFUNCTION("IFERROR(INDEX(FILTER('製造效能'!O:O, '製造效能'!$A:$A=$C95, '製造效能'!$D:$D=$M95, '製造效能'!$E:$E=""攪料""), 1), INDEX(FILTER('製造效能'!O:O, '製造效能'!$B:$B=$D95, '製造效能'!$D:$D=$M95, '製造效能'!$E:$E=""攪料""), 1))"),1)</f>
        <v>1</v>
      </c>
      <c r="AD95" s="35" t="str">
        <f ca="1">IFERROR(__xludf.DUMMYFUNCTION("IFERROR(INDEX(FILTER('製造效能'!P:P, '製造效能'!$A:$A=$C95, '製造效能'!$D:$D=$M95, '製造效能'!$E:$E=""攪料""), 1), INDEX(FILTER('製造效能'!P:P, '製造效能'!$B:$B=$D95, '製造效能'!$D:$D=$M95, '製造效能'!$E:$E=""攪料""), 1))"),"")</f>
        <v/>
      </c>
      <c r="AE95" s="35" t="str">
        <f ca="1">IFERROR(__xludf.DUMMYFUNCTION("IFERROR(INDEX(FILTER('製造效能'!Q:Q, '製造效能'!$A:$A=$C95, '製造效能'!$D:$D=$M95, '製造效能'!$E:$E=""攪料""), 1), INDEX(FILTER('製造效能'!Q:Q, '製造效能'!$B:$B=$D95, '製造效能'!$D:$D=$M95, '製造效能'!$E:$E=""攪料""), 1))"),"")</f>
        <v/>
      </c>
      <c r="AF95" s="35" t="str">
        <f ca="1">IFERROR(__xludf.DUMMYFUNCTION("IFERROR(INDEX(FILTER('製造效能'!R:R, '製造效能'!$A:$A=$C95, '製造效能'!$D:$D=$M95, '製造效能'!$E:$E=""攪料""), 1), INDEX(FILTER('製造效能'!R:R, '製造效能'!$B:$B=$D95, '製造效能'!$D:$D=$M95, '製造效能'!$E:$E=""攪料""), 1))"),"")</f>
        <v/>
      </c>
      <c r="AG95" s="35" t="str">
        <f ca="1">IFERROR(__xludf.DUMMYFUNCTION("IFERROR(INDEX(FILTER('製造效能'!S:S, '製造效能'!$A:$A=$C95, '製造效能'!$D:$D=$M95, '製造效能'!$E:$E=""攪料""), 1), INDEX(FILTER('製造效能'!S:S, '製造效能'!$B:$B=$D95, '製造效能'!$D:$D=$M95, '製造效能'!$E:$E=""攪料""), 1))"),"")</f>
        <v/>
      </c>
      <c r="AH95" s="35" t="str">
        <f ca="1">IFERROR(__xludf.DUMMYFUNCTION("IFERROR(INDEX(FILTER('製造效能'!T:T, '製造效能'!$A:$A=$C95, '製造效能'!$D:$D=$M95, '製造效能'!$E:$E=""攪料""), 1), INDEX(FILTER('製造效能'!T:T, '製造效能'!$B:$B=$D95, '製造效能'!$D:$D=$M95, '製造效能'!$E:$E=""攪料""), 1))"),"")</f>
        <v/>
      </c>
      <c r="AI95" s="35" t="str">
        <f ca="1">IFERROR(__xludf.DUMMYFUNCTION("IFERROR(INDEX(FILTER('製造效能'!U:U, '製造效能'!$A:$A=$C95, '製造效能'!$D:$D=$M95, '製造效能'!$E:$E=""攪料""), 1), INDEX(FILTER('製造效能'!U:U, '製造效能'!$B:$B=$D95, '製造效能'!$D:$D=$M95, '製造效能'!$E:$E=""攪料""), 1))"),"")</f>
        <v/>
      </c>
      <c r="AJ95" s="35" t="str">
        <f ca="1">IFERROR(__xludf.DUMMYFUNCTION("IFERROR(INDEX(FILTER('製造效能'!V:V, '製造效能'!$A:$A=$C95, '製造效能'!$D:$D=$M95, '製造效能'!$E:$E=""攪料""), 1), INDEX(FILTER('製造效能'!V:V, '製造效能'!$B:$B=$D95, '製造效能'!$D:$D=$M95, '製造效能'!$E:$E=""攪料""), 1))"),"")</f>
        <v/>
      </c>
      <c r="AK95" s="35">
        <f>COUNTIF(充填效能!$A:$A, $C95)</f>
        <v>2</v>
      </c>
      <c r="AL95" s="36" t="str">
        <f ca="1">IFERROR(__xludf.DUMMYFUNCTION("IFERROR(INDEX(FILTER('充填效能'!$Q$2:$Q$1088, '充填效能'!$A$2:$A$1088=$C95, '充填效能'!$D$2:$D$1088=""排瓶""), 1), 0)"),"1600")</f>
        <v>1600</v>
      </c>
      <c r="AM95" s="36">
        <f ca="1">IFERROR(__xludf.DUMMYFUNCTION("IFERROR(INDEX(FILTER('充填效能'!$R$2:$R$1088, '充填效能'!$A$2:$A$1088=$C95, '充填效能'!$D$2:$D$1088=""排瓶""), 1), 0)"),1)</f>
        <v>1</v>
      </c>
      <c r="AN95" s="35">
        <f t="shared" ca="1" si="5"/>
        <v>6.25</v>
      </c>
      <c r="AO95" s="36" t="str">
        <f ca="1">IFERROR(__xludf.DUMMYFUNCTION("IFERROR(INDEX(FILTER('充填效能'!$Q$2:$Q$1088, '充填效能'!$A$2:$A$1088=$C95, '充填效能'!$D$2:$D$1088=""充填""), 1), 0)"),"1100")</f>
        <v>1100</v>
      </c>
      <c r="AP95" s="36">
        <f ca="1">IFERROR(__xludf.DUMMYFUNCTION("IFERROR(INDEX(FILTER('充填效能'!$R$2:$R$1088, '充填效能'!$A$2:$A$1088=$C95, '充填效能'!$D$2:$D$1088=""充填""), 1), 0)"),4)</f>
        <v>4</v>
      </c>
      <c r="AQ95" s="35">
        <f t="shared" ca="1" si="6"/>
        <v>9.0909090909090917</v>
      </c>
      <c r="AR95" s="17">
        <f t="shared" ca="1" si="7"/>
        <v>36.363636363636367</v>
      </c>
    </row>
    <row r="96" spans="1:44" ht="15.75" customHeight="1">
      <c r="A96" s="9" t="s">
        <v>277</v>
      </c>
      <c r="B96" s="34">
        <f t="shared" si="0"/>
        <v>45072</v>
      </c>
      <c r="C96" s="9" t="s">
        <v>126</v>
      </c>
      <c r="D96" s="17" t="str">
        <f t="shared" si="1"/>
        <v>AA18Q1</v>
      </c>
      <c r="E96" s="9" t="s">
        <v>127</v>
      </c>
      <c r="F96" s="9">
        <v>3000</v>
      </c>
      <c r="G96" s="10">
        <v>45134</v>
      </c>
      <c r="H96" s="10">
        <v>45126</v>
      </c>
      <c r="I96" s="10">
        <v>45113</v>
      </c>
      <c r="J96" s="10">
        <v>45092</v>
      </c>
      <c r="L96" s="17" t="str">
        <f ca="1">IFERROR(__xludf.DUMMYFUNCTION("TEXTJOIN("", "", TRUE, UNIQUE(FILTER('製造效能'!$D$2:$D$1732, '製造效能'!$B$2:$B$1732 = D96)))"),"大")</f>
        <v>大</v>
      </c>
      <c r="M96" s="17" t="str">
        <f ca="1">IFERROR(__xludf.DUMMYFUNCTION("INDEX(UNIQUE(FILTER('製造效能'!$D$2:$D$1732, ('製造效能'!$B$2:$B$1732 = D96) * ('製造效能'!$J$2:$J$1732 = MAXIFS('製造效能'!$J$2:$J$1732, '製造效能'!$B$2:$B$1732, D96)))), 1) 
"),"大")</f>
        <v>大</v>
      </c>
      <c r="N96" s="17" t="str">
        <f ca="1">IFERROR(__xludf.DUMMYFUNCTION("TEXTJOIN("", "", TRUE, UNIQUE(FILTER('製造效能'!$K$2:$K$1732, '製造效能'!$B$2:$B$1732 = D96)))"),"水項")</f>
        <v>水項</v>
      </c>
      <c r="O96" s="35">
        <f ca="1">IFERROR(__xludf.DUMMYFUNCTION("IFERROR(INDEX(FILTER('充填效能'!I$2:I$1088, '充填效能'!$A$2:$A$1088=$C96, '充填效能'!$D$2:$D$1088=""充填""), 1), 0)"),416.6)</f>
        <v>416.6</v>
      </c>
      <c r="P96" s="35" t="str">
        <f ca="1">IFERROR(__xludf.DUMMYFUNCTION("IFERROR(INDEX(FILTER('充填效能'!J$2:J$1088, '充填效能'!$A$2:$A$1088=$C96, '充填效能'!$D$2:$D$1088=""充填""), 1), 0)"),"")</f>
        <v/>
      </c>
      <c r="Q96" s="35" t="str">
        <f ca="1">IFERROR(__xludf.DUMMYFUNCTION("IFERROR(INDEX(FILTER('充填效能'!K$2:K$1088, '充填效能'!$A$2:$A$1088=$C96, '充填效能'!$D$2:$D$1088=""充填""), 1), 0)"),"")</f>
        <v/>
      </c>
      <c r="R96" s="35" t="str">
        <f ca="1">IFERROR(__xludf.DUMMYFUNCTION("IFERROR(INDEX(FILTER('充填效能'!L$2:L$1088, '充填效能'!$A$2:$A$1088=$C96, '充填效能'!$D$2:$D$1088=""充填""), 1), 0)"),"")</f>
        <v/>
      </c>
      <c r="S96" s="35">
        <f ca="1">COUNTIFS(製造效能!B:B, $D96,製造效能!D:D,M96)</f>
        <v>3</v>
      </c>
      <c r="T96" s="36">
        <f ca="1">IFERROR(__xludf.DUMMYFUNCTION("VALUE(REGEXEXTRACT(TO_TEXT(O96), ""\d*\.?\d+""))"),416.6)</f>
        <v>416.6</v>
      </c>
      <c r="U96" s="17">
        <f t="shared" ca="1" si="2"/>
        <v>1268546.9999999998</v>
      </c>
      <c r="V96" s="17">
        <f ca="1">IFERROR(__xludf.DUMMYFUNCTION("IFERROR(INDEX(FILTER('製造效能'!J:J, '製造效能'!A:A=$C96, '製造效能'!D:D=M96, '製造效能'!E:E=""攪料""), 1), INDEX(FILTER('製造效能'!J:J, '製造效能'!B:B=$D96, '製造效能'!D:D=M96, '製造效能'!E:E=""攪料""), 1))"),382)</f>
        <v>382</v>
      </c>
      <c r="W96" s="36">
        <f ca="1">IFERROR(__xludf.DUMMYFUNCTION("IFERROR(INDEX(FILTER('製造效能'!G:G, '製造效能'!A:A=$C96, '製造效能'!D:D=M96, '製造效能'!E:E=""攪料""), 1), INDEX(FILTER('製造效能'!G:G, '製造效能'!B:B=$D96, '製造效能'!D:D=M96, '製造效能'!E:E=""攪料""), 1))"),180)</f>
        <v>180</v>
      </c>
      <c r="X96" s="35">
        <f t="shared" ca="1" si="3"/>
        <v>4</v>
      </c>
      <c r="Y96" s="35">
        <f t="shared" ca="1" si="4"/>
        <v>720</v>
      </c>
      <c r="Z96" s="35">
        <f ca="1">IFERROR(__xludf.DUMMYFUNCTION("IFERROR(IFERROR(INDEX(FILTER('製造效能'!G:G, '製造效能'!A:A=$C96, '製造效能'!D:D=M96, '製造效能'!E:E=""預攪""), 1), INDEX(FILTER('製造效能'!G:G, '製造效能'!B:B=$D96, '製造效能'!D:D=M96, '製造效能'!E:E=""預攪""), 1)), 0)"),25)</f>
        <v>25</v>
      </c>
      <c r="AA96" s="35">
        <f ca="1">IFERROR(__xludf.DUMMYFUNCTION("IFERROR(INDEX(FILTER('製造效能'!G:G, '製造效能'!A:A=$C96, '製造效能'!D:D=M96, '製造效能'!E:E=""清洗""), 1), INDEX(FILTER('製造效能'!G:G, '製造效能'!B:B=$D96, '製造效能'!D:D=M96, '製造效能'!E:E=""清洗""), 1))"),30)</f>
        <v>30</v>
      </c>
      <c r="AB96" s="35" t="str">
        <f ca="1">IFERROR(__xludf.DUMMYFUNCTION("IFERROR(INDEX(FILTER('製造效能'!N:N, '製造效能'!$A:$A=$C96, '製造效能'!$D:$D=$M96, '製造效能'!$E:$E=""攪料""), 1), INDEX(FILTER('製造效能'!N:N, '製造效能'!$B:$B=$D96, '製造效能'!$D:$D=$M96, '製造效能'!$E:$E=""攪料""), 1))"),"")</f>
        <v/>
      </c>
      <c r="AC96" s="35" t="str">
        <f ca="1">IFERROR(__xludf.DUMMYFUNCTION("IFERROR(INDEX(FILTER('製造效能'!O:O, '製造效能'!$A:$A=$C96, '製造效能'!$D:$D=$M96, '製造效能'!$E:$E=""攪料""), 1), INDEX(FILTER('製造效能'!O:O, '製造效能'!$B:$B=$D96, '製造效能'!$D:$D=$M96, '製造效能'!$E:$E=""攪料""), 1))"),"")</f>
        <v/>
      </c>
      <c r="AD96" s="35" t="str">
        <f ca="1">IFERROR(__xludf.DUMMYFUNCTION("IFERROR(INDEX(FILTER('製造效能'!P:P, '製造效能'!$A:$A=$C96, '製造效能'!$D:$D=$M96, '製造效能'!$E:$E=""攪料""), 1), INDEX(FILTER('製造效能'!P:P, '製造效能'!$B:$B=$D96, '製造效能'!$D:$D=$M96, '製造效能'!$E:$E=""攪料""), 1))"),"")</f>
        <v/>
      </c>
      <c r="AE96" s="35" t="str">
        <f ca="1">IFERROR(__xludf.DUMMYFUNCTION("IFERROR(INDEX(FILTER('製造效能'!Q:Q, '製造效能'!$A:$A=$C96, '製造效能'!$D:$D=$M96, '製造效能'!$E:$E=""攪料""), 1), INDEX(FILTER('製造效能'!Q:Q, '製造效能'!$B:$B=$D96, '製造效能'!$D:$D=$M96, '製造效能'!$E:$E=""攪料""), 1))"),"")</f>
        <v/>
      </c>
      <c r="AF96" s="35" t="str">
        <f ca="1">IFERROR(__xludf.DUMMYFUNCTION("IFERROR(INDEX(FILTER('製造效能'!R:R, '製造效能'!$A:$A=$C96, '製造效能'!$D:$D=$M96, '製造效能'!$E:$E=""攪料""), 1), INDEX(FILTER('製造效能'!R:R, '製造效能'!$B:$B=$D96, '製造效能'!$D:$D=$M96, '製造效能'!$E:$E=""攪料""), 1))"),"")</f>
        <v/>
      </c>
      <c r="AG96" s="35" t="str">
        <f ca="1">IFERROR(__xludf.DUMMYFUNCTION("IFERROR(INDEX(FILTER('製造效能'!S:S, '製造效能'!$A:$A=$C96, '製造效能'!$D:$D=$M96, '製造效能'!$E:$E=""攪料""), 1), INDEX(FILTER('製造效能'!S:S, '製造效能'!$B:$B=$D96, '製造效能'!$D:$D=$M96, '製造效能'!$E:$E=""攪料""), 1))"),"")</f>
        <v/>
      </c>
      <c r="AH96" s="35">
        <f ca="1">IFERROR(__xludf.DUMMYFUNCTION("IFERROR(INDEX(FILTER('製造效能'!T:T, '製造效能'!$A:$A=$C96, '製造效能'!$D:$D=$M96, '製造效能'!$E:$E=""攪料""), 1), INDEX(FILTER('製造效能'!T:T, '製造效能'!$B:$B=$D96, '製造效能'!$D:$D=$M96, '製造效能'!$E:$E=""攪料""), 1))"),1)</f>
        <v>1</v>
      </c>
      <c r="AI96" s="35" t="str">
        <f ca="1">IFERROR(__xludf.DUMMYFUNCTION("IFERROR(INDEX(FILTER('製造效能'!U:U, '製造效能'!$A:$A=$C96, '製造效能'!$D:$D=$M96, '製造效能'!$E:$E=""攪料""), 1), INDEX(FILTER('製造效能'!U:U, '製造效能'!$B:$B=$D96, '製造效能'!$D:$D=$M96, '製造效能'!$E:$E=""攪料""), 1))"),"")</f>
        <v/>
      </c>
      <c r="AJ96" s="35" t="str">
        <f ca="1">IFERROR(__xludf.DUMMYFUNCTION("IFERROR(INDEX(FILTER('製造效能'!V:V, '製造效能'!$A:$A=$C96, '製造效能'!$D:$D=$M96, '製造效能'!$E:$E=""攪料""), 1), INDEX(FILTER('製造效能'!V:V, '製造效能'!$B:$B=$D96, '製造效能'!$D:$D=$M96, '製造效能'!$E:$E=""攪料""), 1))"),"")</f>
        <v/>
      </c>
      <c r="AK96" s="35">
        <f>COUNTIF(充填效能!$A:$A, $C96)</f>
        <v>2</v>
      </c>
      <c r="AL96" s="36" t="str">
        <f ca="1">IFERROR(__xludf.DUMMYFUNCTION("IFERROR(INDEX(FILTER('充填效能'!$Q$2:$Q$1088, '充填效能'!$A$2:$A$1088=$C96, '充填效能'!$D$2:$D$1088=""排瓶""), 1), 0)"),"860")</f>
        <v>860</v>
      </c>
      <c r="AM96" s="36">
        <f ca="1">IFERROR(__xludf.DUMMYFUNCTION("IFERROR(INDEX(FILTER('充填效能'!$R$2:$R$1088, '充填效能'!$A$2:$A$1088=$C96, '充填效能'!$D$2:$D$1088=""排瓶""), 1), 0)"),1)</f>
        <v>1</v>
      </c>
      <c r="AN96" s="35">
        <f t="shared" ca="1" si="5"/>
        <v>3.4883720930232558</v>
      </c>
      <c r="AO96" s="36" t="str">
        <f ca="1">IFERROR(__xludf.DUMMYFUNCTION("IFERROR(INDEX(FILTER('充填效能'!$Q$2:$Q$1088, '充填效能'!$A$2:$A$1088=$C96, '充填效能'!$D$2:$D$1088=""充填""), 1), 0)"),"440")</f>
        <v>440</v>
      </c>
      <c r="AP96" s="36">
        <f ca="1">IFERROR(__xludf.DUMMYFUNCTION("IFERROR(INDEX(FILTER('充填效能'!$R$2:$R$1088, '充填效能'!$A$2:$A$1088=$C96, '充填效能'!$D$2:$D$1088=""充填""), 1), 0)"),3)</f>
        <v>3</v>
      </c>
      <c r="AQ96" s="35">
        <f t="shared" ca="1" si="6"/>
        <v>6.8181818181818183</v>
      </c>
      <c r="AR96" s="17">
        <f t="shared" ca="1" si="7"/>
        <v>20.454545454545453</v>
      </c>
    </row>
    <row r="97" spans="1:44" ht="15.75" customHeight="1">
      <c r="A97" s="9" t="s">
        <v>281</v>
      </c>
      <c r="B97" s="34">
        <f t="shared" si="0"/>
        <v>45072</v>
      </c>
      <c r="C97" s="9" t="s">
        <v>275</v>
      </c>
      <c r="D97" s="17" t="str">
        <f t="shared" si="1"/>
        <v>DA19F2</v>
      </c>
      <c r="E97" s="9" t="s">
        <v>276</v>
      </c>
      <c r="F97" s="9">
        <v>1000</v>
      </c>
      <c r="G97" s="10">
        <v>45139</v>
      </c>
      <c r="H97" s="10">
        <v>45127</v>
      </c>
      <c r="I97" s="10">
        <v>45111</v>
      </c>
      <c r="J97" s="10">
        <v>45120</v>
      </c>
      <c r="L97" s="17" t="str">
        <f ca="1">IFERROR(__xludf.DUMMYFUNCTION("TEXTJOIN("", "", TRUE, UNIQUE(FILTER('製造效能'!$D$2:$D$1732, '製造效能'!$B$2:$B$1732 = D97)))"),"精")</f>
        <v>精</v>
      </c>
      <c r="M97" s="17" t="str">
        <f ca="1">IFERROR(__xludf.DUMMYFUNCTION("INDEX(UNIQUE(FILTER('製造效能'!$D$2:$D$1732, ('製造效能'!$B$2:$B$1732 = D97) * ('製造效能'!$J$2:$J$1732 = MAXIFS('製造效能'!$J$2:$J$1732, '製造效能'!$B$2:$B$1732, D97)))), 1) 
"),"精")</f>
        <v>精</v>
      </c>
      <c r="N97" s="17" t="str">
        <f ca="1">IFERROR(__xludf.DUMMYFUNCTION("TEXTJOIN("", "", TRUE, UNIQUE(FILTER('製造效能'!$K$2:$K$1732, '製造效能'!$B$2:$B$1732 = D97)))"),"水項")</f>
        <v>水項</v>
      </c>
      <c r="O97" s="35">
        <f ca="1">IFERROR(__xludf.DUMMYFUNCTION("IFERROR(INDEX(FILTER('充填效能'!I$2:I$1088, '充填效能'!$A$2:$A$1088=$C97, '充填效能'!$D$2:$D$1088=""充填""), 1), 0)"),166.5)</f>
        <v>166.5</v>
      </c>
      <c r="P97" s="35" t="str">
        <f ca="1">IFERROR(__xludf.DUMMYFUNCTION("IFERROR(INDEX(FILTER('充填效能'!J$2:J$1088, '充填效能'!$A$2:$A$1088=$C97, '充填效能'!$D$2:$D$1088=""充填""), 1), 0)"),"")</f>
        <v/>
      </c>
      <c r="Q97" s="35" t="str">
        <f ca="1">IFERROR(__xludf.DUMMYFUNCTION("IFERROR(INDEX(FILTER('充填效能'!K$2:K$1088, '充填效能'!$A$2:$A$1088=$C97, '充填效能'!$D$2:$D$1088=""充填""), 1), 0)"),"")</f>
        <v/>
      </c>
      <c r="R97" s="35" t="str">
        <f ca="1">IFERROR(__xludf.DUMMYFUNCTION("IFERROR(INDEX(FILTER('充填效能'!L$2:L$1088, '充填效能'!$A$2:$A$1088=$C97, '充填效能'!$D$2:$D$1088=""充填""), 1), 0)"),"")</f>
        <v/>
      </c>
      <c r="S97" s="35">
        <f ca="1">COUNTIFS(製造效能!B:B, $D97,製造效能!D:D,M97)</f>
        <v>3</v>
      </c>
      <c r="T97" s="36">
        <f ca="1">IFERROR(__xludf.DUMMYFUNCTION("VALUE(REGEXEXTRACT(TO_TEXT(O97), ""\d*\.?\d+""))"),166.5)</f>
        <v>166.5</v>
      </c>
      <c r="U97" s="17">
        <f t="shared" ca="1" si="2"/>
        <v>168997.49999999997</v>
      </c>
      <c r="V97" s="17">
        <f ca="1">IFERROR(__xludf.DUMMYFUNCTION("IFERROR(INDEX(FILTER('製造效能'!J:J, '製造效能'!A:A=$C97, '製造效能'!D:D=M97, '製造效能'!E:E=""攪料""), 1), INDEX(FILTER('製造效能'!J:J, '製造效能'!B:B=$D97, '製造效能'!D:D=M97, '製造效能'!E:E=""攪料""), 1))"),78)</f>
        <v>78</v>
      </c>
      <c r="W97" s="36">
        <f ca="1">IFERROR(__xludf.DUMMYFUNCTION("IFERROR(INDEX(FILTER('製造效能'!G:G, '製造效能'!A:A=$C97, '製造效能'!D:D=M97, '製造效能'!E:E=""攪料""), 1), INDEX(FILTER('製造效能'!G:G, '製造效能'!B:B=$D97, '製造效能'!D:D=M97, '製造效能'!E:E=""攪料""), 1))"),45)</f>
        <v>45</v>
      </c>
      <c r="X97" s="35">
        <f t="shared" ca="1" si="3"/>
        <v>3</v>
      </c>
      <c r="Y97" s="35">
        <f t="shared" ca="1" si="4"/>
        <v>135</v>
      </c>
      <c r="Z97" s="35">
        <f ca="1">IFERROR(__xludf.DUMMYFUNCTION("IFERROR(IFERROR(INDEX(FILTER('製造效能'!G:G, '製造效能'!A:A=$C97, '製造效能'!D:D=M97, '製造效能'!E:E=""預攪""), 1), INDEX(FILTER('製造效能'!G:G, '製造效能'!B:B=$D97, '製造效能'!D:D=M97, '製造效能'!E:E=""預攪""), 1)), 0)"),80)</f>
        <v>80</v>
      </c>
      <c r="AA97" s="35">
        <f ca="1">IFERROR(__xludf.DUMMYFUNCTION("IFERROR(INDEX(FILTER('製造效能'!G:G, '製造效能'!A:A=$C97, '製造效能'!D:D=M97, '製造效能'!E:E=""清洗""), 1), INDEX(FILTER('製造效能'!G:G, '製造效能'!B:B=$D97, '製造效能'!D:D=M97, '製造效能'!E:E=""清洗""), 1))"),10)</f>
        <v>10</v>
      </c>
      <c r="AB97" s="35" t="str">
        <f ca="1">IFERROR(__xludf.DUMMYFUNCTION("IFERROR(INDEX(FILTER('製造效能'!N:N, '製造效能'!$A:$A=$C97, '製造效能'!$D:$D=$M97, '製造效能'!$E:$E=""攪料""), 1), INDEX(FILTER('製造效能'!N:N, '製造效能'!$B:$B=$D97, '製造效能'!$D:$D=$M97, '製造效能'!$E:$E=""攪料""), 1))"),"")</f>
        <v/>
      </c>
      <c r="AC97" s="35">
        <f ca="1">IFERROR(__xludf.DUMMYFUNCTION("IFERROR(INDEX(FILTER('製造效能'!O:O, '製造效能'!$A:$A=$C97, '製造效能'!$D:$D=$M97, '製造效能'!$E:$E=""攪料""), 1), INDEX(FILTER('製造效能'!O:O, '製造效能'!$B:$B=$D97, '製造效能'!$D:$D=$M97, '製造效能'!$E:$E=""攪料""), 1))"),1)</f>
        <v>1</v>
      </c>
      <c r="AD97" s="35" t="str">
        <f ca="1">IFERROR(__xludf.DUMMYFUNCTION("IFERROR(INDEX(FILTER('製造效能'!P:P, '製造效能'!$A:$A=$C97, '製造效能'!$D:$D=$M97, '製造效能'!$E:$E=""攪料""), 1), INDEX(FILTER('製造效能'!P:P, '製造效能'!$B:$B=$D97, '製造效能'!$D:$D=$M97, '製造效能'!$E:$E=""攪料""), 1))"),"")</f>
        <v/>
      </c>
      <c r="AE97" s="35" t="str">
        <f ca="1">IFERROR(__xludf.DUMMYFUNCTION("IFERROR(INDEX(FILTER('製造效能'!Q:Q, '製造效能'!$A:$A=$C97, '製造效能'!$D:$D=$M97, '製造效能'!$E:$E=""攪料""), 1), INDEX(FILTER('製造效能'!Q:Q, '製造效能'!$B:$B=$D97, '製造效能'!$D:$D=$M97, '製造效能'!$E:$E=""攪料""), 1))"),"")</f>
        <v/>
      </c>
      <c r="AF97" s="35" t="str">
        <f ca="1">IFERROR(__xludf.DUMMYFUNCTION("IFERROR(INDEX(FILTER('製造效能'!R:R, '製造效能'!$A:$A=$C97, '製造效能'!$D:$D=$M97, '製造效能'!$E:$E=""攪料""), 1), INDEX(FILTER('製造效能'!R:R, '製造效能'!$B:$B=$D97, '製造效能'!$D:$D=$M97, '製造效能'!$E:$E=""攪料""), 1))"),"")</f>
        <v/>
      </c>
      <c r="AG97" s="35" t="str">
        <f ca="1">IFERROR(__xludf.DUMMYFUNCTION("IFERROR(INDEX(FILTER('製造效能'!S:S, '製造效能'!$A:$A=$C97, '製造效能'!$D:$D=$M97, '製造效能'!$E:$E=""攪料""), 1), INDEX(FILTER('製造效能'!S:S, '製造效能'!$B:$B=$D97, '製造效能'!$D:$D=$M97, '製造效能'!$E:$E=""攪料""), 1))"),"")</f>
        <v/>
      </c>
      <c r="AH97" s="35" t="str">
        <f ca="1">IFERROR(__xludf.DUMMYFUNCTION("IFERROR(INDEX(FILTER('製造效能'!T:T, '製造效能'!$A:$A=$C97, '製造效能'!$D:$D=$M97, '製造效能'!$E:$E=""攪料""), 1), INDEX(FILTER('製造效能'!T:T, '製造效能'!$B:$B=$D97, '製造效能'!$D:$D=$M97, '製造效能'!$E:$E=""攪料""), 1))"),"")</f>
        <v/>
      </c>
      <c r="AI97" s="35" t="str">
        <f ca="1">IFERROR(__xludf.DUMMYFUNCTION("IFERROR(INDEX(FILTER('製造效能'!U:U, '製造效能'!$A:$A=$C97, '製造效能'!$D:$D=$M97, '製造效能'!$E:$E=""攪料""), 1), INDEX(FILTER('製造效能'!U:U, '製造效能'!$B:$B=$D97, '製造效能'!$D:$D=$M97, '製造效能'!$E:$E=""攪料""), 1))"),"")</f>
        <v/>
      </c>
      <c r="AJ97" s="35" t="str">
        <f ca="1">IFERROR(__xludf.DUMMYFUNCTION("IFERROR(INDEX(FILTER('製造效能'!V:V, '製造效能'!$A:$A=$C97, '製造效能'!$D:$D=$M97, '製造效能'!$E:$E=""攪料""), 1), INDEX(FILTER('製造效能'!V:V, '製造效能'!$B:$B=$D97, '製造效能'!$D:$D=$M97, '製造效能'!$E:$E=""攪料""), 1))"),"")</f>
        <v/>
      </c>
      <c r="AK97" s="35">
        <f>COUNTIF(充填效能!$A:$A, $C97)</f>
        <v>2</v>
      </c>
      <c r="AL97" s="36" t="str">
        <f ca="1">IFERROR(__xludf.DUMMYFUNCTION("IFERROR(INDEX(FILTER('充填效能'!$Q$2:$Q$1088, '充填效能'!$A$2:$A$1088=$C97, '充填效能'!$D$2:$D$1088=""排瓶""), 1), 0)"),"360")</f>
        <v>360</v>
      </c>
      <c r="AM97" s="36">
        <f ca="1">IFERROR(__xludf.DUMMYFUNCTION("IFERROR(INDEX(FILTER('充填效能'!$R$2:$R$1088, '充填效能'!$A$2:$A$1088=$C97, '充填效能'!$D$2:$D$1088=""排瓶""), 1), 0)"),1)</f>
        <v>1</v>
      </c>
      <c r="AN97" s="35">
        <f t="shared" ca="1" si="5"/>
        <v>2.7777777777777777</v>
      </c>
      <c r="AO97" s="36" t="str">
        <f ca="1">IFERROR(__xludf.DUMMYFUNCTION("IFERROR(INDEX(FILTER('充填效能'!$Q$2:$Q$1088, '充填效能'!$A$2:$A$1088=$C97, '充填效能'!$D$2:$D$1088=""充填""), 1), 0)"),"500")</f>
        <v>500</v>
      </c>
      <c r="AP97" s="36">
        <f ca="1">IFERROR(__xludf.DUMMYFUNCTION("IFERROR(INDEX(FILTER('充填效能'!$R$2:$R$1088, '充填效能'!$A$2:$A$1088=$C97, '充填效能'!$D$2:$D$1088=""充填""), 1), 0)"),4)</f>
        <v>4</v>
      </c>
      <c r="AQ97" s="35">
        <f t="shared" ca="1" si="6"/>
        <v>2</v>
      </c>
      <c r="AR97" s="17">
        <f t="shared" ca="1" si="7"/>
        <v>8</v>
      </c>
    </row>
    <row r="98" spans="1:44" ht="15.75" customHeight="1">
      <c r="A98" s="9" t="s">
        <v>282</v>
      </c>
      <c r="B98" s="34">
        <f t="shared" si="0"/>
        <v>44967</v>
      </c>
      <c r="C98" s="9" t="s">
        <v>287</v>
      </c>
      <c r="D98" s="17" t="str">
        <f t="shared" si="1"/>
        <v>HJ23D2</v>
      </c>
      <c r="E98" s="9" t="s">
        <v>288</v>
      </c>
      <c r="F98" s="9">
        <v>7000</v>
      </c>
      <c r="G98" s="10">
        <v>45135</v>
      </c>
      <c r="H98" s="10">
        <v>45128</v>
      </c>
      <c r="I98" s="10">
        <v>45064</v>
      </c>
      <c r="J98" s="10">
        <v>45124</v>
      </c>
      <c r="L98" s="17" t="str">
        <f ca="1">IFERROR(__xludf.DUMMYFUNCTION("TEXTJOIN("", "", TRUE, UNIQUE(FILTER('製造效能'!$D$2:$D$1732, '製造效能'!$B$2:$B$1732 = D98)))"),"精")</f>
        <v>精</v>
      </c>
      <c r="M98" s="17" t="str">
        <f ca="1">IFERROR(__xludf.DUMMYFUNCTION("INDEX(UNIQUE(FILTER('製造效能'!$D$2:$D$1732, ('製造效能'!$B$2:$B$1732 = D98) * ('製造效能'!$J$2:$J$1732 = MAXIFS('製造效能'!$J$2:$J$1732, '製造效能'!$B$2:$B$1732, D98)))), 1) 
"),"精")</f>
        <v>精</v>
      </c>
      <c r="N98" s="17" t="str">
        <f ca="1">IFERROR(__xludf.DUMMYFUNCTION("TEXTJOIN("", "", TRUE, UNIQUE(FILTER('製造效能'!$K$2:$K$1732, '製造效能'!$B$2:$B$1732 = D98)))"),"水項")</f>
        <v>水項</v>
      </c>
      <c r="O98" s="35">
        <f ca="1">IFERROR(__xludf.DUMMYFUNCTION("IFERROR(INDEX(FILTER('充填效能'!I$2:I$1088, '充填效能'!$A$2:$A$1088=$C98, '充填效能'!$D$2:$D$1088=""充填""), 1), 0)"),35.5)</f>
        <v>35.5</v>
      </c>
      <c r="P98" s="35" t="str">
        <f ca="1">IFERROR(__xludf.DUMMYFUNCTION("IFERROR(INDEX(FILTER('充填效能'!J$2:J$1088, '充填效能'!$A$2:$A$1088=$C98, '充填效能'!$D$2:$D$1088=""充填""), 1), 0)"),"")</f>
        <v/>
      </c>
      <c r="Q98" s="35" t="str">
        <f ca="1">IFERROR(__xludf.DUMMYFUNCTION("IFERROR(INDEX(FILTER('充填效能'!K$2:K$1088, '充填效能'!$A$2:$A$1088=$C98, '充填效能'!$D$2:$D$1088=""充填""), 1), 0)"),"")</f>
        <v/>
      </c>
      <c r="R98" s="35" t="str">
        <f ca="1">IFERROR(__xludf.DUMMYFUNCTION("IFERROR(INDEX(FILTER('充填效能'!L$2:L$1088, '充填效能'!$A$2:$A$1088=$C98, '充填效能'!$D$2:$D$1088=""充填""), 1), 0)"),"")</f>
        <v/>
      </c>
      <c r="S98" s="35">
        <f ca="1">COUNTIFS(製造效能!B:B, $D98,製造效能!D:D,M98)</f>
        <v>3</v>
      </c>
      <c r="T98" s="36">
        <f ca="1">IFERROR(__xludf.DUMMYFUNCTION("VALUE(REGEXEXTRACT(TO_TEXT(O98), ""\d*\.?\d+""))"),35.5)</f>
        <v>35.5</v>
      </c>
      <c r="U98" s="17">
        <f t="shared" ca="1" si="2"/>
        <v>252227.49999999997</v>
      </c>
      <c r="V98" s="17">
        <f ca="1">IFERROR(__xludf.DUMMYFUNCTION("IFERROR(INDEX(FILTER('製造效能'!J:J, '製造效能'!A:A=$C98, '製造效能'!D:D=M98, '製造效能'!E:E=""攪料""), 1), INDEX(FILTER('製造效能'!J:J, '製造效能'!B:B=$D98, '製造效能'!D:D=M98, '製造效能'!E:E=""攪料""), 1))"),75)</f>
        <v>75</v>
      </c>
      <c r="W98" s="36">
        <f ca="1">IFERROR(__xludf.DUMMYFUNCTION("IFERROR(INDEX(FILTER('製造效能'!G:G, '製造效能'!A:A=$C98, '製造效能'!D:D=M98, '製造效能'!E:E=""攪料""), 1), INDEX(FILTER('製造效能'!G:G, '製造效能'!B:B=$D98, '製造效能'!D:D=M98, '製造效能'!E:E=""攪料""), 1))"),160)</f>
        <v>160</v>
      </c>
      <c r="X98" s="35">
        <f t="shared" ca="1" si="3"/>
        <v>4</v>
      </c>
      <c r="Y98" s="35">
        <f t="shared" ca="1" si="4"/>
        <v>640</v>
      </c>
      <c r="Z98" s="35">
        <f ca="1">IFERROR(__xludf.DUMMYFUNCTION("IFERROR(IFERROR(INDEX(FILTER('製造效能'!G:G, '製造效能'!A:A=$C98, '製造效能'!D:D=M98, '製造效能'!E:E=""預攪""), 1), INDEX(FILTER('製造效能'!G:G, '製造效能'!B:B=$D98, '製造效能'!D:D=M98, '製造效能'!E:E=""預攪""), 1)), 0)"),100)</f>
        <v>100</v>
      </c>
      <c r="AA98" s="35">
        <f ca="1">IFERROR(__xludf.DUMMYFUNCTION("IFERROR(INDEX(FILTER('製造效能'!G:G, '製造效能'!A:A=$C98, '製造效能'!D:D=M98, '製造效能'!E:E=""清洗""), 1), INDEX(FILTER('製造效能'!G:G, '製造效能'!B:B=$D98, '製造效能'!D:D=M98, '製造效能'!E:E=""清洗""), 1))"),15)</f>
        <v>15</v>
      </c>
      <c r="AB98" s="35" t="str">
        <f ca="1">IFERROR(__xludf.DUMMYFUNCTION("IFERROR(INDEX(FILTER('製造效能'!N:N, '製造效能'!$A:$A=$C98, '製造效能'!$D:$D=$M98, '製造效能'!$E:$E=""攪料""), 1), INDEX(FILTER('製造效能'!N:N, '製造效能'!$B:$B=$D98, '製造效能'!$D:$D=$M98, '製造效能'!$E:$E=""攪料""), 1))"),"")</f>
        <v/>
      </c>
      <c r="AC98" s="35">
        <f ca="1">IFERROR(__xludf.DUMMYFUNCTION("IFERROR(INDEX(FILTER('製造效能'!O:O, '製造效能'!$A:$A=$C98, '製造效能'!$D:$D=$M98, '製造效能'!$E:$E=""攪料""), 1), INDEX(FILTER('製造效能'!O:O, '製造效能'!$B:$B=$D98, '製造效能'!$D:$D=$M98, '製造效能'!$E:$E=""攪料""), 1))"),1)</f>
        <v>1</v>
      </c>
      <c r="AD98" s="35" t="str">
        <f ca="1">IFERROR(__xludf.DUMMYFUNCTION("IFERROR(INDEX(FILTER('製造效能'!P:P, '製造效能'!$A:$A=$C98, '製造效能'!$D:$D=$M98, '製造效能'!$E:$E=""攪料""), 1), INDEX(FILTER('製造效能'!P:P, '製造效能'!$B:$B=$D98, '製造效能'!$D:$D=$M98, '製造效能'!$E:$E=""攪料""), 1))"),"")</f>
        <v/>
      </c>
      <c r="AE98" s="35" t="str">
        <f ca="1">IFERROR(__xludf.DUMMYFUNCTION("IFERROR(INDEX(FILTER('製造效能'!Q:Q, '製造效能'!$A:$A=$C98, '製造效能'!$D:$D=$M98, '製造效能'!$E:$E=""攪料""), 1), INDEX(FILTER('製造效能'!Q:Q, '製造效能'!$B:$B=$D98, '製造效能'!$D:$D=$M98, '製造效能'!$E:$E=""攪料""), 1))"),"")</f>
        <v/>
      </c>
      <c r="AF98" s="35" t="str">
        <f ca="1">IFERROR(__xludf.DUMMYFUNCTION("IFERROR(INDEX(FILTER('製造效能'!R:R, '製造效能'!$A:$A=$C98, '製造效能'!$D:$D=$M98, '製造效能'!$E:$E=""攪料""), 1), INDEX(FILTER('製造效能'!R:R, '製造效能'!$B:$B=$D98, '製造效能'!$D:$D=$M98, '製造效能'!$E:$E=""攪料""), 1))"),"")</f>
        <v/>
      </c>
      <c r="AG98" s="35" t="str">
        <f ca="1">IFERROR(__xludf.DUMMYFUNCTION("IFERROR(INDEX(FILTER('製造效能'!S:S, '製造效能'!$A:$A=$C98, '製造效能'!$D:$D=$M98, '製造效能'!$E:$E=""攪料""), 1), INDEX(FILTER('製造效能'!S:S, '製造效能'!$B:$B=$D98, '製造效能'!$D:$D=$M98, '製造效能'!$E:$E=""攪料""), 1))"),"")</f>
        <v/>
      </c>
      <c r="AH98" s="35" t="str">
        <f ca="1">IFERROR(__xludf.DUMMYFUNCTION("IFERROR(INDEX(FILTER('製造效能'!T:T, '製造效能'!$A:$A=$C98, '製造效能'!$D:$D=$M98, '製造效能'!$E:$E=""攪料""), 1), INDEX(FILTER('製造效能'!T:T, '製造效能'!$B:$B=$D98, '製造效能'!$D:$D=$M98, '製造效能'!$E:$E=""攪料""), 1))"),"")</f>
        <v/>
      </c>
      <c r="AI98" s="35" t="str">
        <f ca="1">IFERROR(__xludf.DUMMYFUNCTION("IFERROR(INDEX(FILTER('製造效能'!U:U, '製造效能'!$A:$A=$C98, '製造效能'!$D:$D=$M98, '製造效能'!$E:$E=""攪料""), 1), INDEX(FILTER('製造效能'!U:U, '製造效能'!$B:$B=$D98, '製造效能'!$D:$D=$M98, '製造效能'!$E:$E=""攪料""), 1))"),"")</f>
        <v/>
      </c>
      <c r="AJ98" s="35" t="str">
        <f ca="1">IFERROR(__xludf.DUMMYFUNCTION("IFERROR(INDEX(FILTER('製造效能'!V:V, '製造效能'!$A:$A=$C98, '製造效能'!$D:$D=$M98, '製造效能'!$E:$E=""攪料""), 1), INDEX(FILTER('製造效能'!V:V, '製造效能'!$B:$B=$D98, '製造效能'!$D:$D=$M98, '製造效能'!$E:$E=""攪料""), 1))"),"")</f>
        <v/>
      </c>
      <c r="AK98" s="35">
        <f>COUNTIF(充填效能!$A:$A, $C98)</f>
        <v>2</v>
      </c>
      <c r="AL98" s="36" t="str">
        <f ca="1">IFERROR(__xludf.DUMMYFUNCTION("IFERROR(INDEX(FILTER('充填效能'!$Q$2:$Q$1088, '充填效能'!$A$2:$A$1088=$C98, '充填效能'!$D$2:$D$1088=""排瓶""), 1), 0)"),"1200")</f>
        <v>1200</v>
      </c>
      <c r="AM98" s="36">
        <f ca="1">IFERROR(__xludf.DUMMYFUNCTION("IFERROR(INDEX(FILTER('充填效能'!$R$2:$R$1088, '充填效能'!$A$2:$A$1088=$C98, '充填效能'!$D$2:$D$1088=""排瓶""), 1), 0)"),1)</f>
        <v>1</v>
      </c>
      <c r="AN98" s="35">
        <f t="shared" ca="1" si="5"/>
        <v>5.833333333333333</v>
      </c>
      <c r="AO98" s="36" t="str">
        <f ca="1">IFERROR(__xludf.DUMMYFUNCTION("IFERROR(INDEX(FILTER('充填效能'!$Q$2:$Q$1088, '充填效能'!$A$2:$A$1088=$C98, '充填效能'!$D$2:$D$1088=""充填""), 1), 0)"),"700")</f>
        <v>700</v>
      </c>
      <c r="AP98" s="36">
        <f ca="1">IFERROR(__xludf.DUMMYFUNCTION("IFERROR(INDEX(FILTER('充填效能'!$R$2:$R$1088, '充填效能'!$A$2:$A$1088=$C98, '充填效能'!$D$2:$D$1088=""充填""), 1), 0)"),3)</f>
        <v>3</v>
      </c>
      <c r="AQ98" s="35">
        <f t="shared" ca="1" si="6"/>
        <v>10</v>
      </c>
      <c r="AR98" s="17">
        <f t="shared" ca="1" si="7"/>
        <v>30</v>
      </c>
    </row>
    <row r="99" spans="1:44" ht="15.75" customHeight="1">
      <c r="A99" s="9" t="s">
        <v>289</v>
      </c>
      <c r="B99" s="34">
        <f t="shared" si="0"/>
        <v>45051</v>
      </c>
      <c r="C99" s="9" t="s">
        <v>50</v>
      </c>
      <c r="D99" s="17" t="str">
        <f t="shared" si="1"/>
        <v>AA17Z1</v>
      </c>
      <c r="E99" s="9" t="s">
        <v>51</v>
      </c>
      <c r="F99" s="9">
        <v>2544</v>
      </c>
      <c r="G99" s="10">
        <v>45146</v>
      </c>
      <c r="H99" s="10">
        <v>45131</v>
      </c>
      <c r="I99" s="10">
        <v>45111</v>
      </c>
      <c r="J99" s="10">
        <v>45072</v>
      </c>
      <c r="L99" s="17" t="str">
        <f ca="1">IFERROR(__xludf.DUMMYFUNCTION("TEXTJOIN("", "", TRUE, UNIQUE(FILTER('製造效能'!$D$2:$D$1732, '製造效能'!$B$2:$B$1732 = D99)))"),"大, 精")</f>
        <v>大, 精</v>
      </c>
      <c r="M99" s="17" t="str">
        <f ca="1">IFERROR(__xludf.DUMMYFUNCTION("INDEX(UNIQUE(FILTER('製造效能'!$D$2:$D$1732, ('製造效能'!$B$2:$B$1732 = D99) * ('製造效能'!$J$2:$J$1732 = MAXIFS('製造效能'!$J$2:$J$1732, '製造效能'!$B$2:$B$1732, D99)))), 1) 
"),"大")</f>
        <v>大</v>
      </c>
      <c r="N99" s="17" t="str">
        <f ca="1">IFERROR(__xludf.DUMMYFUNCTION("TEXTJOIN("", "", TRUE, UNIQUE(FILTER('製造效能'!$K$2:$K$1732, '製造效能'!$B$2:$B$1732 = D99)))"),"水項")</f>
        <v>水項</v>
      </c>
      <c r="O99" s="35">
        <f ca="1">IFERROR(__xludf.DUMMYFUNCTION("IFERROR(INDEX(FILTER('充填效能'!I$2:I$1088, '充填效能'!$A$2:$A$1088=$C99, '充填效能'!$D$2:$D$1088=""充填""), 1), 0)"),90)</f>
        <v>90</v>
      </c>
      <c r="P99" s="35" t="str">
        <f ca="1">IFERROR(__xludf.DUMMYFUNCTION("IFERROR(INDEX(FILTER('充填效能'!J$2:J$1088, '充填效能'!$A$2:$A$1088=$C99, '充填效能'!$D$2:$D$1088=""充填""), 1), 0)"),"")</f>
        <v/>
      </c>
      <c r="Q99" s="35" t="str">
        <f ca="1">IFERROR(__xludf.DUMMYFUNCTION("IFERROR(INDEX(FILTER('充填效能'!K$2:K$1088, '充填效能'!$A$2:$A$1088=$C99, '充填效能'!$D$2:$D$1088=""充填""), 1), 0)"),"")</f>
        <v/>
      </c>
      <c r="R99" s="35" t="str">
        <f ca="1">IFERROR(__xludf.DUMMYFUNCTION("IFERROR(INDEX(FILTER('充填效能'!L$2:L$1088, '充填效能'!$A$2:$A$1088=$C99, '充填效能'!$D$2:$D$1088=""充填""), 1), 0)"),"")</f>
        <v/>
      </c>
      <c r="S99" s="35">
        <f ca="1">COUNTIFS(製造效能!B:B, $D99,製造效能!D:D,M99)</f>
        <v>3</v>
      </c>
      <c r="T99" s="36">
        <f ca="1">IFERROR(__xludf.DUMMYFUNCTION("VALUE(REGEXEXTRACT(TO_TEXT(O99), ""\d*\.?\d+""))"),90)</f>
        <v>90</v>
      </c>
      <c r="U99" s="17">
        <f t="shared" ca="1" si="2"/>
        <v>232394.39999999997</v>
      </c>
      <c r="V99" s="17">
        <f ca="1">IFERROR(__xludf.DUMMYFUNCTION("IFERROR(INDEX(FILTER('製造效能'!J:J, '製造效能'!A:A=$C99, '製造效能'!D:D=M99, '製造效能'!E:E=""攪料""), 1), INDEX(FILTER('製造效能'!J:J, '製造效能'!B:B=$D99, '製造效能'!D:D=M99, '製造效能'!E:E=""攪料""), 1))"),367)</f>
        <v>367</v>
      </c>
      <c r="W99" s="36">
        <f ca="1">IFERROR(__xludf.DUMMYFUNCTION("IFERROR(INDEX(FILTER('製造效能'!G:G, '製造效能'!A:A=$C99, '製造效能'!D:D=M99, '製造效能'!E:E=""攪料""), 1), INDEX(FILTER('製造效能'!G:G, '製造效能'!B:B=$D99, '製造效能'!D:D=M99, '製造效能'!E:E=""攪料""), 1))"),90)</f>
        <v>90</v>
      </c>
      <c r="X99" s="35">
        <f t="shared" ca="1" si="3"/>
        <v>1</v>
      </c>
      <c r="Y99" s="35">
        <f t="shared" ca="1" si="4"/>
        <v>90</v>
      </c>
      <c r="Z99" s="35">
        <f ca="1">IFERROR(__xludf.DUMMYFUNCTION("IFERROR(IFERROR(INDEX(FILTER('製造效能'!G:G, '製造效能'!A:A=$C99, '製造效能'!D:D=M99, '製造效能'!E:E=""預攪""), 1), INDEX(FILTER('製造效能'!G:G, '製造效能'!B:B=$D99, '製造效能'!D:D=M99, '製造效能'!E:E=""預攪""), 1)), 0)"),50)</f>
        <v>50</v>
      </c>
      <c r="AA99" s="35">
        <f ca="1">IFERROR(__xludf.DUMMYFUNCTION("IFERROR(INDEX(FILTER('製造效能'!G:G, '製造效能'!A:A=$C99, '製造效能'!D:D=M99, '製造效能'!E:E=""清洗""), 1), INDEX(FILTER('製造效能'!G:G, '製造效能'!B:B=$D99, '製造效能'!D:D=M99, '製造效能'!E:E=""清洗""), 1))"),30)</f>
        <v>30</v>
      </c>
      <c r="AB99" s="35" t="str">
        <f ca="1">IFERROR(__xludf.DUMMYFUNCTION("IFERROR(INDEX(FILTER('製造效能'!N:N, '製造效能'!$A:$A=$C99, '製造效能'!$D:$D=$M99, '製造效能'!$E:$E=""攪料""), 1), INDEX(FILTER('製造效能'!N:N, '製造效能'!$B:$B=$D99, '製造效能'!$D:$D=$M99, '製造效能'!$E:$E=""攪料""), 1))"),"")</f>
        <v/>
      </c>
      <c r="AC99" s="35" t="str">
        <f ca="1">IFERROR(__xludf.DUMMYFUNCTION("IFERROR(INDEX(FILTER('製造效能'!O:O, '製造效能'!$A:$A=$C99, '製造效能'!$D:$D=$M99, '製造效能'!$E:$E=""攪料""), 1), INDEX(FILTER('製造效能'!O:O, '製造效能'!$B:$B=$D99, '製造效能'!$D:$D=$M99, '製造效能'!$E:$E=""攪料""), 1))"),"")</f>
        <v/>
      </c>
      <c r="AD99" s="35" t="str">
        <f ca="1">IFERROR(__xludf.DUMMYFUNCTION("IFERROR(INDEX(FILTER('製造效能'!P:P, '製造效能'!$A:$A=$C99, '製造效能'!$D:$D=$M99, '製造效能'!$E:$E=""攪料""), 1), INDEX(FILTER('製造效能'!P:P, '製造效能'!$B:$B=$D99, '製造效能'!$D:$D=$M99, '製造效能'!$E:$E=""攪料""), 1))"),"")</f>
        <v/>
      </c>
      <c r="AE99" s="35" t="str">
        <f ca="1">IFERROR(__xludf.DUMMYFUNCTION("IFERROR(INDEX(FILTER('製造效能'!Q:Q, '製造效能'!$A:$A=$C99, '製造效能'!$D:$D=$M99, '製造效能'!$E:$E=""攪料""), 1), INDEX(FILTER('製造效能'!Q:Q, '製造效能'!$B:$B=$D99, '製造效能'!$D:$D=$M99, '製造效能'!$E:$E=""攪料""), 1))"),"")</f>
        <v/>
      </c>
      <c r="AF99" s="35" t="str">
        <f ca="1">IFERROR(__xludf.DUMMYFUNCTION("IFERROR(INDEX(FILTER('製造效能'!R:R, '製造效能'!$A:$A=$C99, '製造效能'!$D:$D=$M99, '製造效能'!$E:$E=""攪料""), 1), INDEX(FILTER('製造效能'!R:R, '製造效能'!$B:$B=$D99, '製造效能'!$D:$D=$M99, '製造效能'!$E:$E=""攪料""), 1))"),"")</f>
        <v/>
      </c>
      <c r="AG99" s="35">
        <f ca="1">IFERROR(__xludf.DUMMYFUNCTION("IFERROR(INDEX(FILTER('製造效能'!S:S, '製造效能'!$A:$A=$C99, '製造效能'!$D:$D=$M99, '製造效能'!$E:$E=""攪料""), 1), INDEX(FILTER('製造效能'!S:S, '製造效能'!$B:$B=$D99, '製造效能'!$D:$D=$M99, '製造效能'!$E:$E=""攪料""), 1))"),1)</f>
        <v>1</v>
      </c>
      <c r="AH99" s="35" t="str">
        <f ca="1">IFERROR(__xludf.DUMMYFUNCTION("IFERROR(INDEX(FILTER('製造效能'!T:T, '製造效能'!$A:$A=$C99, '製造效能'!$D:$D=$M99, '製造效能'!$E:$E=""攪料""), 1), INDEX(FILTER('製造效能'!T:T, '製造效能'!$B:$B=$D99, '製造效能'!$D:$D=$M99, '製造效能'!$E:$E=""攪料""), 1))"),"")</f>
        <v/>
      </c>
      <c r="AI99" s="35" t="str">
        <f ca="1">IFERROR(__xludf.DUMMYFUNCTION("IFERROR(INDEX(FILTER('製造效能'!U:U, '製造效能'!$A:$A=$C99, '製造效能'!$D:$D=$M99, '製造效能'!$E:$E=""攪料""), 1), INDEX(FILTER('製造效能'!U:U, '製造效能'!$B:$B=$D99, '製造效能'!$D:$D=$M99, '製造效能'!$E:$E=""攪料""), 1))"),"")</f>
        <v/>
      </c>
      <c r="AJ99" s="35" t="str">
        <f ca="1">IFERROR(__xludf.DUMMYFUNCTION("IFERROR(INDEX(FILTER('製造效能'!V:V, '製造效能'!$A:$A=$C99, '製造效能'!$D:$D=$M99, '製造效能'!$E:$E=""攪料""), 1), INDEX(FILTER('製造效能'!V:V, '製造效能'!$B:$B=$D99, '製造效能'!$D:$D=$M99, '製造效能'!$E:$E=""攪料""), 1))"),"")</f>
        <v/>
      </c>
      <c r="AK99" s="35">
        <f>COUNTIF(充填效能!$A:$A, $C99)</f>
        <v>2</v>
      </c>
      <c r="AL99" s="36" t="str">
        <f ca="1">IFERROR(__xludf.DUMMYFUNCTION("IFERROR(INDEX(FILTER('充填效能'!$Q$2:$Q$1088, '充填效能'!$A$2:$A$1088=$C99, '充填效能'!$D$2:$D$1088=""排瓶""), 1), 0)"),"1300")</f>
        <v>1300</v>
      </c>
      <c r="AM99" s="36">
        <f ca="1">IFERROR(__xludf.DUMMYFUNCTION("IFERROR(INDEX(FILTER('充填效能'!$R$2:$R$1088, '充填效能'!$A$2:$A$1088=$C99, '充填效能'!$D$2:$D$1088=""排瓶""), 1), 0)"),1)</f>
        <v>1</v>
      </c>
      <c r="AN99" s="35">
        <f t="shared" ca="1" si="5"/>
        <v>1.956923076923077</v>
      </c>
      <c r="AO99" s="36" t="str">
        <f ca="1">IFERROR(__xludf.DUMMYFUNCTION("IFERROR(INDEX(FILTER('充填效能'!$Q$2:$Q$1088, '充填效能'!$A$2:$A$1088=$C99, '充填效能'!$D$2:$D$1088=""充填""), 1), 0)"),"900")</f>
        <v>900</v>
      </c>
      <c r="AP99" s="36">
        <f ca="1">IFERROR(__xludf.DUMMYFUNCTION("IFERROR(INDEX(FILTER('充填效能'!$R$2:$R$1088, '充填效能'!$A$2:$A$1088=$C99, '充填效能'!$D$2:$D$1088=""充填""), 1), 0)"),4)</f>
        <v>4</v>
      </c>
      <c r="AQ99" s="35">
        <f t="shared" ca="1" si="6"/>
        <v>2.8266666666666667</v>
      </c>
      <c r="AR99" s="17">
        <f t="shared" ca="1" si="7"/>
        <v>11.306666666666667</v>
      </c>
    </row>
    <row r="100" spans="1:44" ht="15.75" customHeight="1">
      <c r="A100" s="9" t="s">
        <v>290</v>
      </c>
      <c r="B100" s="34">
        <f t="shared" si="0"/>
        <v>45103</v>
      </c>
      <c r="C100" s="9" t="s">
        <v>279</v>
      </c>
      <c r="D100" s="17" t="str">
        <f t="shared" si="1"/>
        <v>AA17Z2</v>
      </c>
      <c r="E100" s="9" t="s">
        <v>280</v>
      </c>
      <c r="F100" s="9">
        <v>1100</v>
      </c>
      <c r="G100" s="10">
        <v>45139</v>
      </c>
      <c r="H100" s="10">
        <v>45131</v>
      </c>
      <c r="I100" s="10">
        <v>45114</v>
      </c>
      <c r="J100" s="10">
        <v>45098</v>
      </c>
      <c r="L100" s="17" t="str">
        <f ca="1">IFERROR(__xludf.DUMMYFUNCTION("TEXTJOIN("", "", TRUE, UNIQUE(FILTER('製造效能'!$D$2:$D$1732, '製造效能'!$B$2:$B$1732 = D100)))"),"精")</f>
        <v>精</v>
      </c>
      <c r="M100" s="17" t="str">
        <f ca="1">IFERROR(__xludf.DUMMYFUNCTION("INDEX(UNIQUE(FILTER('製造效能'!$D$2:$D$1732, ('製造效能'!$B$2:$B$1732 = D100) * ('製造效能'!$J$2:$J$1732 = MAXIFS('製造效能'!$J$2:$J$1732, '製造效能'!$B$2:$B$1732, D100)))), 1) 
"),"精")</f>
        <v>精</v>
      </c>
      <c r="N100" s="17" t="str">
        <f ca="1">IFERROR(__xludf.DUMMYFUNCTION("TEXTJOIN("", "", TRUE, UNIQUE(FILTER('製造效能'!$K$2:$K$1732, '製造效能'!$B$2:$B$1732 = D100)))"),"水項")</f>
        <v>水項</v>
      </c>
      <c r="O100" s="35">
        <f ca="1">IFERROR(__xludf.DUMMYFUNCTION("IFERROR(INDEX(FILTER('充填效能'!I$2:I$1088, '充填效能'!$A$2:$A$1088=$C100, '充填效能'!$D$2:$D$1088=""充填""), 1), 0)"),50)</f>
        <v>50</v>
      </c>
      <c r="P100" s="35" t="str">
        <f ca="1">IFERROR(__xludf.DUMMYFUNCTION("IFERROR(INDEX(FILTER('充填效能'!J$2:J$1088, '充填效能'!$A$2:$A$1088=$C100, '充填效能'!$D$2:$D$1088=""充填""), 1), 0)"),"")</f>
        <v/>
      </c>
      <c r="Q100" s="35" t="str">
        <f ca="1">IFERROR(__xludf.DUMMYFUNCTION("IFERROR(INDEX(FILTER('充填效能'!K$2:K$1088, '充填效能'!$A$2:$A$1088=$C100, '充填效能'!$D$2:$D$1088=""充填""), 1), 0)"),"")</f>
        <v/>
      </c>
      <c r="R100" s="35" t="str">
        <f ca="1">IFERROR(__xludf.DUMMYFUNCTION("IFERROR(INDEX(FILTER('充填效能'!L$2:L$1088, '充填效能'!$A$2:$A$1088=$C100, '充填效能'!$D$2:$D$1088=""充填""), 1), 0)"),"")</f>
        <v/>
      </c>
      <c r="S100" s="35">
        <f ca="1">COUNTIFS(製造效能!B:B, $D100,製造效能!D:D,M100)</f>
        <v>3</v>
      </c>
      <c r="T100" s="36">
        <f ca="1">IFERROR(__xludf.DUMMYFUNCTION("VALUE(REGEXEXTRACT(TO_TEXT(O100), ""\d*\.?\d+""))"),50)</f>
        <v>50</v>
      </c>
      <c r="U100" s="17">
        <f t="shared" ca="1" si="2"/>
        <v>55824.999999999993</v>
      </c>
      <c r="V100" s="17">
        <f ca="1">IFERROR(__xludf.DUMMYFUNCTION("IFERROR(INDEX(FILTER('製造效能'!J:J, '製造效能'!A:A=$C100, '製造效能'!D:D=M100, '製造效能'!E:E=""攪料""), 1), INDEX(FILTER('製造效能'!J:J, '製造效能'!B:B=$D100, '製造效能'!D:D=M100, '製造效能'!E:E=""攪料""), 1))"),63.5)</f>
        <v>63.5</v>
      </c>
      <c r="W100" s="36">
        <f ca="1">IFERROR(__xludf.DUMMYFUNCTION("IFERROR(INDEX(FILTER('製造效能'!G:G, '製造效能'!A:A=$C100, '製造效能'!D:D=M100, '製造效能'!E:E=""攪料""), 1), INDEX(FILTER('製造效能'!G:G, '製造效能'!B:B=$D100, '製造效能'!D:D=M100, '製造效能'!E:E=""攪料""), 1))"),95)</f>
        <v>95</v>
      </c>
      <c r="X100" s="35">
        <f t="shared" ca="1" si="3"/>
        <v>1</v>
      </c>
      <c r="Y100" s="35">
        <f t="shared" ca="1" si="4"/>
        <v>95</v>
      </c>
      <c r="Z100" s="35">
        <f ca="1">IFERROR(__xludf.DUMMYFUNCTION("IFERROR(IFERROR(INDEX(FILTER('製造效能'!G:G, '製造效能'!A:A=$C100, '製造效能'!D:D=M100, '製造效能'!E:E=""預攪""), 1), INDEX(FILTER('製造效能'!G:G, '製造效能'!B:B=$D100, '製造效能'!D:D=M100, '製造效能'!E:E=""預攪""), 1)), 0)"),50)</f>
        <v>50</v>
      </c>
      <c r="AA100" s="35">
        <f ca="1">IFERROR(__xludf.DUMMYFUNCTION("IFERROR(INDEX(FILTER('製造效能'!G:G, '製造效能'!A:A=$C100, '製造效能'!D:D=M100, '製造效能'!E:E=""清洗""), 1), INDEX(FILTER('製造效能'!G:G, '製造效能'!B:B=$D100, '製造效能'!D:D=M100, '製造效能'!E:E=""清洗""), 1))"),20)</f>
        <v>20</v>
      </c>
      <c r="AB100" s="35" t="str">
        <f ca="1">IFERROR(__xludf.DUMMYFUNCTION("IFERROR(INDEX(FILTER('製造效能'!N:N, '製造效能'!$A:$A=$C100, '製造效能'!$D:$D=$M100, '製造效能'!$E:$E=""攪料""), 1), INDEX(FILTER('製造效能'!N:N, '製造效能'!$B:$B=$D100, '製造效能'!$D:$D=$M100, '製造效能'!$E:$E=""攪料""), 1))"),"")</f>
        <v/>
      </c>
      <c r="AC100" s="35">
        <f ca="1">IFERROR(__xludf.DUMMYFUNCTION("IFERROR(INDEX(FILTER('製造效能'!O:O, '製造效能'!$A:$A=$C100, '製造效能'!$D:$D=$M100, '製造效能'!$E:$E=""攪料""), 1), INDEX(FILTER('製造效能'!O:O, '製造效能'!$B:$B=$D100, '製造效能'!$D:$D=$M100, '製造效能'!$E:$E=""攪料""), 1))"),1)</f>
        <v>1</v>
      </c>
      <c r="AD100" s="35" t="str">
        <f ca="1">IFERROR(__xludf.DUMMYFUNCTION("IFERROR(INDEX(FILTER('製造效能'!P:P, '製造效能'!$A:$A=$C100, '製造效能'!$D:$D=$M100, '製造效能'!$E:$E=""攪料""), 1), INDEX(FILTER('製造效能'!P:P, '製造效能'!$B:$B=$D100, '製造效能'!$D:$D=$M100, '製造效能'!$E:$E=""攪料""), 1))"),"")</f>
        <v/>
      </c>
      <c r="AE100" s="35" t="str">
        <f ca="1">IFERROR(__xludf.DUMMYFUNCTION("IFERROR(INDEX(FILTER('製造效能'!Q:Q, '製造效能'!$A:$A=$C100, '製造效能'!$D:$D=$M100, '製造效能'!$E:$E=""攪料""), 1), INDEX(FILTER('製造效能'!Q:Q, '製造效能'!$B:$B=$D100, '製造效能'!$D:$D=$M100, '製造效能'!$E:$E=""攪料""), 1))"),"")</f>
        <v/>
      </c>
      <c r="AF100" s="35" t="str">
        <f ca="1">IFERROR(__xludf.DUMMYFUNCTION("IFERROR(INDEX(FILTER('製造效能'!R:R, '製造效能'!$A:$A=$C100, '製造效能'!$D:$D=$M100, '製造效能'!$E:$E=""攪料""), 1), INDEX(FILTER('製造效能'!R:R, '製造效能'!$B:$B=$D100, '製造效能'!$D:$D=$M100, '製造效能'!$E:$E=""攪料""), 1))"),"")</f>
        <v/>
      </c>
      <c r="AG100" s="35" t="str">
        <f ca="1">IFERROR(__xludf.DUMMYFUNCTION("IFERROR(INDEX(FILTER('製造效能'!S:S, '製造效能'!$A:$A=$C100, '製造效能'!$D:$D=$M100, '製造效能'!$E:$E=""攪料""), 1), INDEX(FILTER('製造效能'!S:S, '製造效能'!$B:$B=$D100, '製造效能'!$D:$D=$M100, '製造效能'!$E:$E=""攪料""), 1))"),"")</f>
        <v/>
      </c>
      <c r="AH100" s="35" t="str">
        <f ca="1">IFERROR(__xludf.DUMMYFUNCTION("IFERROR(INDEX(FILTER('製造效能'!T:T, '製造效能'!$A:$A=$C100, '製造效能'!$D:$D=$M100, '製造效能'!$E:$E=""攪料""), 1), INDEX(FILTER('製造效能'!T:T, '製造效能'!$B:$B=$D100, '製造效能'!$D:$D=$M100, '製造效能'!$E:$E=""攪料""), 1))"),"")</f>
        <v/>
      </c>
      <c r="AI100" s="35" t="str">
        <f ca="1">IFERROR(__xludf.DUMMYFUNCTION("IFERROR(INDEX(FILTER('製造效能'!U:U, '製造效能'!$A:$A=$C100, '製造效能'!$D:$D=$M100, '製造效能'!$E:$E=""攪料""), 1), INDEX(FILTER('製造效能'!U:U, '製造效能'!$B:$B=$D100, '製造效能'!$D:$D=$M100, '製造效能'!$E:$E=""攪料""), 1))"),"")</f>
        <v/>
      </c>
      <c r="AJ100" s="35" t="str">
        <f ca="1">IFERROR(__xludf.DUMMYFUNCTION("IFERROR(INDEX(FILTER('製造效能'!V:V, '製造效能'!$A:$A=$C100, '製造效能'!$D:$D=$M100, '製造效能'!$E:$E=""攪料""), 1), INDEX(FILTER('製造效能'!V:V, '製造效能'!$B:$B=$D100, '製造效能'!$D:$D=$M100, '製造效能'!$E:$E=""攪料""), 1))"),"")</f>
        <v/>
      </c>
      <c r="AK100" s="35">
        <f>COUNTIF(充填效能!$A:$A, $C100)</f>
        <v>2</v>
      </c>
      <c r="AL100" s="36" t="str">
        <f ca="1">IFERROR(__xludf.DUMMYFUNCTION("IFERROR(INDEX(FILTER('充填效能'!$Q$2:$Q$1088, '充填效能'!$A$2:$A$1088=$C100, '充填效能'!$D$2:$D$1088=""排瓶""), 1), 0)"),"1200")</f>
        <v>1200</v>
      </c>
      <c r="AM100" s="36">
        <f ca="1">IFERROR(__xludf.DUMMYFUNCTION("IFERROR(INDEX(FILTER('充填效能'!$R$2:$R$1088, '充填效能'!$A$2:$A$1088=$C100, '充填效能'!$D$2:$D$1088=""排瓶""), 1), 0)"),1)</f>
        <v>1</v>
      </c>
      <c r="AN100" s="35">
        <f t="shared" ca="1" si="5"/>
        <v>0.91666666666666663</v>
      </c>
      <c r="AO100" s="36" t="str">
        <f ca="1">IFERROR(__xludf.DUMMYFUNCTION("IFERROR(INDEX(FILTER('充填效能'!$Q$2:$Q$1088, '充填效能'!$A$2:$A$1088=$C100, '充填效能'!$D$2:$D$1088=""充填""), 1), 0)"),"1100")</f>
        <v>1100</v>
      </c>
      <c r="AP100" s="36">
        <f ca="1">IFERROR(__xludf.DUMMYFUNCTION("IFERROR(INDEX(FILTER('充填效能'!$R$2:$R$1088, '充填效能'!$A$2:$A$1088=$C100, '充填效能'!$D$2:$D$1088=""充填""), 1), 0)"),4)</f>
        <v>4</v>
      </c>
      <c r="AQ100" s="35">
        <f t="shared" ca="1" si="6"/>
        <v>1</v>
      </c>
      <c r="AR100" s="17">
        <f t="shared" ca="1" si="7"/>
        <v>4</v>
      </c>
    </row>
    <row r="101" spans="1:44" ht="15.75" customHeight="1">
      <c r="A101" s="9" t="s">
        <v>298</v>
      </c>
      <c r="B101" s="34">
        <f t="shared" si="0"/>
        <v>45118</v>
      </c>
      <c r="C101" s="9" t="s">
        <v>217</v>
      </c>
      <c r="D101" s="17" t="str">
        <f t="shared" si="1"/>
        <v>HC22H1</v>
      </c>
      <c r="E101" s="9" t="s">
        <v>218</v>
      </c>
      <c r="F101" s="9">
        <v>3000</v>
      </c>
      <c r="G101" s="10">
        <v>45148</v>
      </c>
      <c r="H101" s="10">
        <v>45131</v>
      </c>
      <c r="I101" s="10">
        <v>45114</v>
      </c>
      <c r="J101" s="10">
        <v>45103</v>
      </c>
      <c r="L101" s="17" t="str">
        <f ca="1">IFERROR(__xludf.DUMMYFUNCTION("TEXTJOIN("", "", TRUE, UNIQUE(FILTER('製造效能'!$D$2:$D$1732, '製造效能'!$B$2:$B$1732 = D101)))"),"精")</f>
        <v>精</v>
      </c>
      <c r="M101" s="17" t="str">
        <f ca="1">IFERROR(__xludf.DUMMYFUNCTION("INDEX(UNIQUE(FILTER('製造效能'!$D$2:$D$1732, ('製造效能'!$B$2:$B$1732 = D101) * ('製造效能'!$J$2:$J$1732 = MAXIFS('製造效能'!$J$2:$J$1732, '製造效能'!$B$2:$B$1732, D101)))), 1) 
"),"精")</f>
        <v>精</v>
      </c>
      <c r="N101" s="17" t="str">
        <f ca="1">IFERROR(__xludf.DUMMYFUNCTION("TEXTJOIN("", "", TRUE, UNIQUE(FILTER('製造效能'!$K$2:$K$1732, '製造效能'!$B$2:$B$1732 = D101)))"),"水項")</f>
        <v>水項</v>
      </c>
      <c r="O101" s="35">
        <f ca="1">IFERROR(__xludf.DUMMYFUNCTION("IFERROR(INDEX(FILTER('充填效能'!I$2:I$1088, '充填效能'!$A$2:$A$1088=$C101, '充填效能'!$D$2:$D$1088=""充填""), 1), 0)"),51.5)</f>
        <v>51.5</v>
      </c>
      <c r="P101" s="35" t="str">
        <f ca="1">IFERROR(__xludf.DUMMYFUNCTION("IFERROR(INDEX(FILTER('充填效能'!J$2:J$1088, '充填效能'!$A$2:$A$1088=$C101, '充填效能'!$D$2:$D$1088=""充填""), 1), 0)"),"")</f>
        <v/>
      </c>
      <c r="Q101" s="35" t="str">
        <f ca="1">IFERROR(__xludf.DUMMYFUNCTION("IFERROR(INDEX(FILTER('充填效能'!K$2:K$1088, '充填效能'!$A$2:$A$1088=$C101, '充填效能'!$D$2:$D$1088=""充填""), 1), 0)"),"")</f>
        <v/>
      </c>
      <c r="R101" s="35" t="str">
        <f ca="1">IFERROR(__xludf.DUMMYFUNCTION("IFERROR(INDEX(FILTER('充填效能'!L$2:L$1088, '充填效能'!$A$2:$A$1088=$C101, '充填效能'!$D$2:$D$1088=""充填""), 1), 0)"),"")</f>
        <v/>
      </c>
      <c r="S101" s="35">
        <f ca="1">COUNTIFS(製造效能!B:B, $D101,製造效能!D:D,M101)</f>
        <v>3</v>
      </c>
      <c r="T101" s="36">
        <f ca="1">IFERROR(__xludf.DUMMYFUNCTION("VALUE(REGEXEXTRACT(TO_TEXT(O101), ""\d*\.?\d+""))"),51.5)</f>
        <v>51.5</v>
      </c>
      <c r="U101" s="17">
        <f t="shared" ca="1" si="2"/>
        <v>156817.49999999997</v>
      </c>
      <c r="V101" s="17">
        <f ca="1">IFERROR(__xludf.DUMMYFUNCTION("IFERROR(INDEX(FILTER('製造效能'!J:J, '製造效能'!A:A=$C101, '製造效能'!D:D=M101, '製造效能'!E:E=""攪料""), 1), INDEX(FILTER('製造效能'!J:J, '製造效能'!B:B=$D101, '製造效能'!D:D=M101, '製造效能'!E:E=""攪料""), 1))"),79.5)</f>
        <v>79.5</v>
      </c>
      <c r="W101" s="36">
        <f ca="1">IFERROR(__xludf.DUMMYFUNCTION("IFERROR(INDEX(FILTER('製造效能'!G:G, '製造效能'!A:A=$C101, '製造效能'!D:D=M101, '製造效能'!E:E=""攪料""), 1), INDEX(FILTER('製造效能'!G:G, '製造效能'!B:B=$D101, '製造效能'!D:D=M101, '製造效能'!E:E=""攪料""), 1))"),105)</f>
        <v>105</v>
      </c>
      <c r="X101" s="35">
        <f t="shared" ca="1" si="3"/>
        <v>2</v>
      </c>
      <c r="Y101" s="35">
        <f t="shared" ca="1" si="4"/>
        <v>210</v>
      </c>
      <c r="Z101" s="35">
        <f ca="1">IFERROR(__xludf.DUMMYFUNCTION("IFERROR(IFERROR(INDEX(FILTER('製造效能'!G:G, '製造效能'!A:A=$C101, '製造效能'!D:D=M101, '製造效能'!E:E=""預攪""), 1), INDEX(FILTER('製造效能'!G:G, '製造效能'!B:B=$D101, '製造效能'!D:D=M101, '製造效能'!E:E=""預攪""), 1)), 0)"),45)</f>
        <v>45</v>
      </c>
      <c r="AA101" s="35">
        <f ca="1">IFERROR(__xludf.DUMMYFUNCTION("IFERROR(INDEX(FILTER('製造效能'!G:G, '製造效能'!A:A=$C101, '製造效能'!D:D=M101, '製造效能'!E:E=""清洗""), 1), INDEX(FILTER('製造效能'!G:G, '製造效能'!B:B=$D101, '製造效能'!D:D=M101, '製造效能'!E:E=""清洗""), 1))"),20)</f>
        <v>20</v>
      </c>
      <c r="AB101" s="35" t="str">
        <f ca="1">IFERROR(__xludf.DUMMYFUNCTION("IFERROR(INDEX(FILTER('製造效能'!N:N, '製造效能'!$A:$A=$C101, '製造效能'!$D:$D=$M101, '製造效能'!$E:$E=""攪料""), 1), INDEX(FILTER('製造效能'!N:N, '製造效能'!$B:$B=$D101, '製造效能'!$D:$D=$M101, '製造效能'!$E:$E=""攪料""), 1))"),"")</f>
        <v/>
      </c>
      <c r="AC101" s="35">
        <f ca="1">IFERROR(__xludf.DUMMYFUNCTION("IFERROR(INDEX(FILTER('製造效能'!O:O, '製造效能'!$A:$A=$C101, '製造效能'!$D:$D=$M101, '製造效能'!$E:$E=""攪料""), 1), INDEX(FILTER('製造效能'!O:O, '製造效能'!$B:$B=$D101, '製造效能'!$D:$D=$M101, '製造效能'!$E:$E=""攪料""), 1))"),1)</f>
        <v>1</v>
      </c>
      <c r="AD101" s="35" t="str">
        <f ca="1">IFERROR(__xludf.DUMMYFUNCTION("IFERROR(INDEX(FILTER('製造效能'!P:P, '製造效能'!$A:$A=$C101, '製造效能'!$D:$D=$M101, '製造效能'!$E:$E=""攪料""), 1), INDEX(FILTER('製造效能'!P:P, '製造效能'!$B:$B=$D101, '製造效能'!$D:$D=$M101, '製造效能'!$E:$E=""攪料""), 1))"),"")</f>
        <v/>
      </c>
      <c r="AE101" s="35" t="str">
        <f ca="1">IFERROR(__xludf.DUMMYFUNCTION("IFERROR(INDEX(FILTER('製造效能'!Q:Q, '製造效能'!$A:$A=$C101, '製造效能'!$D:$D=$M101, '製造效能'!$E:$E=""攪料""), 1), INDEX(FILTER('製造效能'!Q:Q, '製造效能'!$B:$B=$D101, '製造效能'!$D:$D=$M101, '製造效能'!$E:$E=""攪料""), 1))"),"")</f>
        <v/>
      </c>
      <c r="AF101" s="35" t="str">
        <f ca="1">IFERROR(__xludf.DUMMYFUNCTION("IFERROR(INDEX(FILTER('製造效能'!R:R, '製造效能'!$A:$A=$C101, '製造效能'!$D:$D=$M101, '製造效能'!$E:$E=""攪料""), 1), INDEX(FILTER('製造效能'!R:R, '製造效能'!$B:$B=$D101, '製造效能'!$D:$D=$M101, '製造效能'!$E:$E=""攪料""), 1))"),"")</f>
        <v/>
      </c>
      <c r="AG101" s="35" t="str">
        <f ca="1">IFERROR(__xludf.DUMMYFUNCTION("IFERROR(INDEX(FILTER('製造效能'!S:S, '製造效能'!$A:$A=$C101, '製造效能'!$D:$D=$M101, '製造效能'!$E:$E=""攪料""), 1), INDEX(FILTER('製造效能'!S:S, '製造效能'!$B:$B=$D101, '製造效能'!$D:$D=$M101, '製造效能'!$E:$E=""攪料""), 1))"),"")</f>
        <v/>
      </c>
      <c r="AH101" s="35" t="str">
        <f ca="1">IFERROR(__xludf.DUMMYFUNCTION("IFERROR(INDEX(FILTER('製造效能'!T:T, '製造效能'!$A:$A=$C101, '製造效能'!$D:$D=$M101, '製造效能'!$E:$E=""攪料""), 1), INDEX(FILTER('製造效能'!T:T, '製造效能'!$B:$B=$D101, '製造效能'!$D:$D=$M101, '製造效能'!$E:$E=""攪料""), 1))"),"")</f>
        <v/>
      </c>
      <c r="AI101" s="35" t="str">
        <f ca="1">IFERROR(__xludf.DUMMYFUNCTION("IFERROR(INDEX(FILTER('製造效能'!U:U, '製造效能'!$A:$A=$C101, '製造效能'!$D:$D=$M101, '製造效能'!$E:$E=""攪料""), 1), INDEX(FILTER('製造效能'!U:U, '製造效能'!$B:$B=$D101, '製造效能'!$D:$D=$M101, '製造效能'!$E:$E=""攪料""), 1))"),"")</f>
        <v/>
      </c>
      <c r="AJ101" s="35" t="str">
        <f ca="1">IFERROR(__xludf.DUMMYFUNCTION("IFERROR(INDEX(FILTER('製造效能'!V:V, '製造效能'!$A:$A=$C101, '製造效能'!$D:$D=$M101, '製造效能'!$E:$E=""攪料""), 1), INDEX(FILTER('製造效能'!V:V, '製造效能'!$B:$B=$D101, '製造效能'!$D:$D=$M101, '製造效能'!$E:$E=""攪料""), 1))"),"")</f>
        <v/>
      </c>
      <c r="AK101" s="35">
        <f>COUNTIF(充填效能!$A:$A, $C101)</f>
        <v>1</v>
      </c>
      <c r="AL101" s="36">
        <f ca="1">IFERROR(__xludf.DUMMYFUNCTION("IFERROR(INDEX(FILTER('充填效能'!$Q$2:$Q$1088, '充填效能'!$A$2:$A$1088=$C101, '充填效能'!$D$2:$D$1088=""排瓶""), 1), 0)"),0)</f>
        <v>0</v>
      </c>
      <c r="AM101" s="36">
        <f ca="1">IFERROR(__xludf.DUMMYFUNCTION("IFERROR(INDEX(FILTER('充填效能'!$R$2:$R$1088, '充填效能'!$A$2:$A$1088=$C101, '充填效能'!$D$2:$D$1088=""排瓶""), 1), 0)"),0)</f>
        <v>0</v>
      </c>
      <c r="AN101" s="35">
        <f t="shared" ca="1" si="5"/>
        <v>0</v>
      </c>
      <c r="AO101" s="36" t="str">
        <f ca="1">IFERROR(__xludf.DUMMYFUNCTION("IFERROR(INDEX(FILTER('充填效能'!$Q$2:$Q$1088, '充填效能'!$A$2:$A$1088=$C101, '充填效能'!$D$2:$D$1088=""充填""), 1), 0)"),"700")</f>
        <v>700</v>
      </c>
      <c r="AP101" s="36">
        <f ca="1">IFERROR(__xludf.DUMMYFUNCTION("IFERROR(INDEX(FILTER('充填效能'!$R$2:$R$1088, '充填效能'!$A$2:$A$1088=$C101, '充填效能'!$D$2:$D$1088=""充填""), 1), 0)"),3)</f>
        <v>3</v>
      </c>
      <c r="AQ101" s="35">
        <f t="shared" ca="1" si="6"/>
        <v>4.2857142857142856</v>
      </c>
      <c r="AR101" s="17">
        <f t="shared" ca="1" si="7"/>
        <v>12.857142857142858</v>
      </c>
    </row>
    <row r="102" spans="1:44" ht="15.75" customHeight="1">
      <c r="A102" s="9" t="s">
        <v>294</v>
      </c>
      <c r="B102" s="34">
        <f t="shared" si="0"/>
        <v>45112</v>
      </c>
      <c r="C102" s="9" t="s">
        <v>167</v>
      </c>
      <c r="D102" s="17" t="str">
        <f t="shared" si="1"/>
        <v>N1REE1</v>
      </c>
      <c r="E102" s="9" t="s">
        <v>168</v>
      </c>
      <c r="F102" s="9">
        <v>5000</v>
      </c>
      <c r="G102" s="10">
        <v>45144</v>
      </c>
      <c r="H102" s="10">
        <v>45133</v>
      </c>
      <c r="I102" s="10">
        <v>45128</v>
      </c>
      <c r="J102" s="37">
        <v>45127</v>
      </c>
      <c r="L102" s="17" t="str">
        <f ca="1">IFERROR(__xludf.DUMMYFUNCTION("TEXTJOIN("", "", TRUE, UNIQUE(FILTER('製造效能'!$D$2:$D$1732, '製造效能'!$B$2:$B$1732 = D102)))"),"小乳, 大乳")</f>
        <v>小乳, 大乳</v>
      </c>
      <c r="M102" s="17" t="str">
        <f ca="1">IFERROR(__xludf.DUMMYFUNCTION("INDEX(UNIQUE(FILTER('製造效能'!$D$2:$D$1732, ('製造效能'!$B$2:$B$1732 = D102) * ('製造效能'!$J$2:$J$1732 = MAXIFS('製造效能'!$J$2:$J$1732, '製造效能'!$B$2:$B$1732, D102)))), 1) 
"),"大乳")</f>
        <v>大乳</v>
      </c>
      <c r="N102" s="17" t="str">
        <f ca="1">IFERROR(__xludf.DUMMYFUNCTION("TEXTJOIN("", "", TRUE, UNIQUE(FILTER('製造效能'!$K$2:$K$1732, '製造效能'!$B$2:$B$1732 = D102)))"),"乳項")</f>
        <v>乳項</v>
      </c>
      <c r="P102" s="35" t="str">
        <f ca="1">IFERROR(__xludf.DUMMYFUNCTION("IFERROR(INDEX(FILTER('充填效能'!J$2:J$1088, '充填效能'!$A$2:$A$1088=$C102, '充填效能'!$D$2:$D$1088=""充填""), 1), 0)"),"")</f>
        <v/>
      </c>
      <c r="Q102" s="35" t="str">
        <f ca="1">IFERROR(__xludf.DUMMYFUNCTION("IFERROR(INDEX(FILTER('充填效能'!K$2:K$1088, '充填效能'!$A$2:$A$1088=$C102, '充填效能'!$D$2:$D$1088=""充填""), 1), 0)"),"")</f>
        <v/>
      </c>
      <c r="R102" s="35">
        <f ca="1">IFERROR(__xludf.DUMMYFUNCTION("IFERROR(INDEX(FILTER('充填效能'!I$2:I$1088, '充填效能'!$A$2:$A$1088=$C102, '充填效能'!$D$2:$D$1088=""充填""), 1), 0)"),30)</f>
        <v>30</v>
      </c>
      <c r="S102" s="35">
        <f ca="1">COUNTIFS(製造效能!B:B, $D102,製造效能!D:D,M102)</f>
        <v>3</v>
      </c>
      <c r="T102" s="36">
        <f ca="1">IFERROR(__xludf.DUMMYFUNCTION("VALUE(REGEXEXTRACT(TO_TEXT(R102), ""\d*\.?\d+""))"),30)</f>
        <v>30</v>
      </c>
      <c r="U102" s="17">
        <f t="shared" ca="1" si="2"/>
        <v>152249.99999999997</v>
      </c>
      <c r="V102" s="17">
        <f ca="1">IFERROR(__xludf.DUMMYFUNCTION("IFERROR(INDEX(FILTER('製造效能'!J:J, '製造效能'!A:A=$C102, '製造效能'!D:D=M102, '製造效能'!E:E=""攪料""), 1), INDEX(FILTER('製造效能'!J:J, '製造效能'!B:B=$D102, '製造效能'!D:D=M102, '製造效能'!E:E=""攪料""), 1))"),103)</f>
        <v>103</v>
      </c>
      <c r="W102" s="36">
        <f ca="1">IFERROR(__xludf.DUMMYFUNCTION("IFERROR(INDEX(FILTER('製造效能'!G:G, '製造效能'!A:A=$C102, '製造效能'!D:D=M102, '製造效能'!E:E=""攪料""), 1), INDEX(FILTER('製造效能'!G:G, '製造效能'!B:B=$D102, '製造效能'!D:D=M102, '製造效能'!E:E=""攪料""), 1))"),180)</f>
        <v>180</v>
      </c>
      <c r="X102" s="35">
        <f t="shared" ca="1" si="3"/>
        <v>2</v>
      </c>
      <c r="Y102" s="35">
        <f t="shared" ca="1" si="4"/>
        <v>360</v>
      </c>
      <c r="Z102" s="35">
        <f ca="1">IFERROR(__xludf.DUMMYFUNCTION("IFERROR(IFERROR(INDEX(FILTER('製造效能'!G:G, '製造效能'!A:A=$C102, '製造效能'!D:D=M102, '製造效能'!E:E=""預攪""), 1), INDEX(FILTER('製造效能'!G:G, '製造效能'!B:B=$D102, '製造效能'!D:D=M102, '製造效能'!E:E=""預攪""), 1)), 0)"),25)</f>
        <v>25</v>
      </c>
      <c r="AA102" s="35">
        <f ca="1">IFERROR(__xludf.DUMMYFUNCTION("IFERROR(INDEX(FILTER('製造效能'!G:G, '製造效能'!A:A=$C102, '製造效能'!D:D=M102, '製造效能'!E:E=""清洗""), 1), INDEX(FILTER('製造效能'!G:G, '製造效能'!B:B=$D102, '製造效能'!D:D=M102, '製造效能'!E:E=""清洗""), 1))"),40)</f>
        <v>40</v>
      </c>
      <c r="AB102" s="35" t="str">
        <f ca="1">IFERROR(__xludf.DUMMYFUNCTION("IFERROR(INDEX(FILTER('製造效能'!N:N, '製造效能'!$A:$A=$C102, '製造效能'!$D:$D=$M102, '製造效能'!$E:$E=""攪料""), 1), INDEX(FILTER('製造效能'!N:N, '製造效能'!$B:$B=$D102, '製造效能'!$D:$D=$M102, '製造效能'!$E:$E=""攪料""), 1))"),"")</f>
        <v/>
      </c>
      <c r="AC102" s="35" t="str">
        <f ca="1">IFERROR(__xludf.DUMMYFUNCTION("IFERROR(INDEX(FILTER('製造效能'!O:O, '製造效能'!$A:$A=$C102, '製造效能'!$D:$D=$M102, '製造效能'!$E:$E=""攪料""), 1), INDEX(FILTER('製造效能'!O:O, '製造效能'!$B:$B=$D102, '製造效能'!$D:$D=$M102, '製造效能'!$E:$E=""攪料""), 1))"),"")</f>
        <v/>
      </c>
      <c r="AD102" s="35" t="str">
        <f ca="1">IFERROR(__xludf.DUMMYFUNCTION("IFERROR(INDEX(FILTER('製造效能'!P:P, '製造效能'!$A:$A=$C102, '製造效能'!$D:$D=$M102, '製造效能'!$E:$E=""攪料""), 1), INDEX(FILTER('製造效能'!P:P, '製造效能'!$B:$B=$D102, '製造效能'!$D:$D=$M102, '製造效能'!$E:$E=""攪料""), 1))"),"")</f>
        <v/>
      </c>
      <c r="AE102" s="35">
        <f ca="1">IFERROR(__xludf.DUMMYFUNCTION("IFERROR(INDEX(FILTER('製造效能'!Q:Q, '製造效能'!$A:$A=$C102, '製造效能'!$D:$D=$M102, '製造效能'!$E:$E=""攪料""), 1), INDEX(FILTER('製造效能'!Q:Q, '製造效能'!$B:$B=$D102, '製造效能'!$D:$D=$M102, '製造效能'!$E:$E=""攪料""), 1))"),1)</f>
        <v>1</v>
      </c>
      <c r="AF102" s="35" t="str">
        <f ca="1">IFERROR(__xludf.DUMMYFUNCTION("IFERROR(INDEX(FILTER('製造效能'!R:R, '製造效能'!$A:$A=$C102, '製造效能'!$D:$D=$M102, '製造效能'!$E:$E=""攪料""), 1), INDEX(FILTER('製造效能'!R:R, '製造效能'!$B:$B=$D102, '製造效能'!$D:$D=$M102, '製造效能'!$E:$E=""攪料""), 1))"),"")</f>
        <v/>
      </c>
      <c r="AG102" s="35" t="str">
        <f ca="1">IFERROR(__xludf.DUMMYFUNCTION("IFERROR(INDEX(FILTER('製造效能'!S:S, '製造效能'!$A:$A=$C102, '製造效能'!$D:$D=$M102, '製造效能'!$E:$E=""攪料""), 1), INDEX(FILTER('製造效能'!S:S, '製造效能'!$B:$B=$D102, '製造效能'!$D:$D=$M102, '製造效能'!$E:$E=""攪料""), 1))"),"")</f>
        <v/>
      </c>
      <c r="AH102" s="35" t="str">
        <f ca="1">IFERROR(__xludf.DUMMYFUNCTION("IFERROR(INDEX(FILTER('製造效能'!T:T, '製造效能'!$A:$A=$C102, '製造效能'!$D:$D=$M102, '製造效能'!$E:$E=""攪料""), 1), INDEX(FILTER('製造效能'!T:T, '製造效能'!$B:$B=$D102, '製造效能'!$D:$D=$M102, '製造效能'!$E:$E=""攪料""), 1))"),"")</f>
        <v/>
      </c>
      <c r="AI102" s="35" t="str">
        <f ca="1">IFERROR(__xludf.DUMMYFUNCTION("IFERROR(INDEX(FILTER('製造效能'!U:U, '製造效能'!$A:$A=$C102, '製造效能'!$D:$D=$M102, '製造效能'!$E:$E=""攪料""), 1), INDEX(FILTER('製造效能'!U:U, '製造效能'!$B:$B=$D102, '製造效能'!$D:$D=$M102, '製造效能'!$E:$E=""攪料""), 1))"),"")</f>
        <v/>
      </c>
      <c r="AJ102" s="35" t="str">
        <f ca="1">IFERROR(__xludf.DUMMYFUNCTION("IFERROR(INDEX(FILTER('製造效能'!V:V, '製造效能'!$A:$A=$C102, '製造效能'!$D:$D=$M102, '製造效能'!$E:$E=""攪料""), 1), INDEX(FILTER('製造效能'!V:V, '製造效能'!$B:$B=$D102, '製造效能'!$D:$D=$M102, '製造效能'!$E:$E=""攪料""), 1))"),"")</f>
        <v/>
      </c>
      <c r="AK102" s="35">
        <f>COUNTIF(充填效能!$A:$A, $C102)</f>
        <v>2</v>
      </c>
      <c r="AL102" s="36" t="str">
        <f ca="1">IFERROR(__xludf.DUMMYFUNCTION("IFERROR(INDEX(FILTER('充填效能'!$Q$2:$Q$1088, '充填效能'!$A$2:$A$1088=$C102, '充填效能'!$D$2:$D$1088=""排瓶""), 1), 0)"),"1500")</f>
        <v>1500</v>
      </c>
      <c r="AM102" s="36">
        <f ca="1">IFERROR(__xludf.DUMMYFUNCTION("IFERROR(INDEX(FILTER('充填效能'!$R$2:$R$1088, '充填效能'!$A$2:$A$1088=$C102, '充填效能'!$D$2:$D$1088=""排瓶""), 1), 0)"),1)</f>
        <v>1</v>
      </c>
      <c r="AN102" s="35">
        <f t="shared" ca="1" si="5"/>
        <v>3.3333333333333335</v>
      </c>
      <c r="AO102" s="36" t="str">
        <f ca="1">IFERROR(__xludf.DUMMYFUNCTION("IFERROR(INDEX(FILTER('充填效能'!$Q$2:$Q$1088, '充填效能'!$A$2:$A$1088=$C102, '充填效能'!$D$2:$D$1088=""充填""), 1), 0)"),"1300")</f>
        <v>1300</v>
      </c>
      <c r="AP102" s="36">
        <f ca="1">IFERROR(__xludf.DUMMYFUNCTION("IFERROR(INDEX(FILTER('充填效能'!$R$2:$R$1088, '充填效能'!$A$2:$A$1088=$C102, '充填效能'!$D$2:$D$1088=""充填""), 1), 0)"),4)</f>
        <v>4</v>
      </c>
      <c r="AQ102" s="35">
        <f t="shared" ca="1" si="6"/>
        <v>3.8461538461538463</v>
      </c>
      <c r="AR102" s="17">
        <f t="shared" ca="1" si="7"/>
        <v>15.384615384615385</v>
      </c>
    </row>
    <row r="103" spans="1:44" ht="15.75" customHeight="1">
      <c r="A103" s="9" t="s">
        <v>297</v>
      </c>
      <c r="B103" s="34">
        <f t="shared" si="0"/>
        <v>45126</v>
      </c>
      <c r="C103" s="9" t="s">
        <v>234</v>
      </c>
      <c r="D103" s="17" t="str">
        <f t="shared" si="1"/>
        <v>EU22D2</v>
      </c>
      <c r="E103" s="9" t="s">
        <v>235</v>
      </c>
      <c r="F103" s="9">
        <v>10000</v>
      </c>
      <c r="G103" s="10">
        <v>45155</v>
      </c>
      <c r="H103" s="10">
        <v>45134</v>
      </c>
      <c r="I103" s="10">
        <v>45104</v>
      </c>
      <c r="J103" s="10">
        <v>45132</v>
      </c>
      <c r="L103" s="17" t="str">
        <f ca="1">IFERROR(__xludf.DUMMYFUNCTION("TEXTJOIN("", "", TRUE, UNIQUE(FILTER('製造效能'!$D$2:$D$1732, '製造效能'!$B$2:$B$1732 = D103)))"),"大, 精")</f>
        <v>大, 精</v>
      </c>
      <c r="M103" s="17" t="str">
        <f ca="1">IFERROR(__xludf.DUMMYFUNCTION("INDEX(UNIQUE(FILTER('製造效能'!$D$2:$D$1732, ('製造效能'!$B$2:$B$1732 = D103) * ('製造效能'!$J$2:$J$1732 = MAXIFS('製造效能'!$J$2:$J$1732, '製造效能'!$B$2:$B$1732, D103)))), 1) 
"),"大")</f>
        <v>大</v>
      </c>
      <c r="N103" s="17" t="str">
        <f ca="1">IFERROR(__xludf.DUMMYFUNCTION("TEXTJOIN("", "", TRUE, UNIQUE(FILTER('製造效能'!$K$2:$K$1732, '製造效能'!$B$2:$B$1732 = D103)))"),"水項")</f>
        <v>水項</v>
      </c>
      <c r="O103" s="35">
        <f ca="1">IFERROR(__xludf.DUMMYFUNCTION("IFERROR(INDEX(FILTER('充填效能'!I$2:I$1088, '充填效能'!$A$2:$A$1088=$C103, '充填效能'!$D$2:$D$1088=""充填""), 1), 0)"),31.4)</f>
        <v>31.4</v>
      </c>
      <c r="P103" s="35" t="str">
        <f ca="1">IFERROR(__xludf.DUMMYFUNCTION("IFERROR(INDEX(FILTER('充填效能'!J$2:J$1088, '充填效能'!$A$2:$A$1088=$C103, '充填效能'!$D$2:$D$1088=""充填""), 1), 0)"),"")</f>
        <v/>
      </c>
      <c r="Q103" s="35" t="str">
        <f ca="1">IFERROR(__xludf.DUMMYFUNCTION("IFERROR(INDEX(FILTER('充填效能'!K$2:K$1088, '充填效能'!$A$2:$A$1088=$C103, '充填效能'!$D$2:$D$1088=""充填""), 1), 0)"),"")</f>
        <v/>
      </c>
      <c r="R103" s="35" t="str">
        <f ca="1">IFERROR(__xludf.DUMMYFUNCTION("IFERROR(INDEX(FILTER('充填效能'!L$2:L$1088, '充填效能'!$A$2:$A$1088=$C103, '充填效能'!$D$2:$D$1088=""充填""), 1), 0)"),"")</f>
        <v/>
      </c>
      <c r="S103" s="35">
        <f ca="1">COUNTIFS(製造效能!B:B, $D103,製造效能!D:D,M103)</f>
        <v>3</v>
      </c>
      <c r="T103" s="36">
        <f ca="1">IFERROR(__xludf.DUMMYFUNCTION("VALUE(REGEXEXTRACT(TO_TEXT(O103), ""\d*\.?\d+""))"),31.4)</f>
        <v>31.4</v>
      </c>
      <c r="U103" s="17">
        <f t="shared" ca="1" si="2"/>
        <v>318709.99999999994</v>
      </c>
      <c r="V103" s="17">
        <f ca="1">IFERROR(__xludf.DUMMYFUNCTION("IFERROR(INDEX(FILTER('製造效能'!J:J, '製造效能'!A:A=$C103, '製造效能'!D:D=M103, '製造效能'!E:E=""攪料""), 1), INDEX(FILTER('製造效能'!J:J, '製造效能'!B:B=$D103, '製造效能'!D:D=M103, '製造效能'!E:E=""攪料""), 1))"),412)</f>
        <v>412</v>
      </c>
      <c r="W103" s="36">
        <f ca="1">IFERROR(__xludf.DUMMYFUNCTION("IFERROR(INDEX(FILTER('製造效能'!G:G, '製造效能'!A:A=$C103, '製造效能'!D:D=M103, '製造效能'!E:E=""攪料""), 1), INDEX(FILTER('製造效能'!G:G, '製造效能'!B:B=$D103, '製造效能'!D:D=M103, '製造效能'!E:E=""攪料""), 1))"),110)</f>
        <v>110</v>
      </c>
      <c r="X103" s="35">
        <f t="shared" ca="1" si="3"/>
        <v>1</v>
      </c>
      <c r="Y103" s="35">
        <f t="shared" ca="1" si="4"/>
        <v>110</v>
      </c>
      <c r="Z103" s="35">
        <f ca="1">IFERROR(__xludf.DUMMYFUNCTION("IFERROR(IFERROR(INDEX(FILTER('製造效能'!G:G, '製造效能'!A:A=$C103, '製造效能'!D:D=M103, '製造效能'!E:E=""預攪""), 1), INDEX(FILTER('製造效能'!G:G, '製造效能'!B:B=$D103, '製造效能'!D:D=M103, '製造效能'!E:E=""預攪""), 1)), 0)"),60)</f>
        <v>60</v>
      </c>
      <c r="AA103" s="35">
        <f ca="1">IFERROR(__xludf.DUMMYFUNCTION("IFERROR(INDEX(FILTER('製造效能'!G:G, '製造效能'!A:A=$C103, '製造效能'!D:D=M103, '製造效能'!E:E=""清洗""), 1), INDEX(FILTER('製造效能'!G:G, '製造效能'!B:B=$D103, '製造效能'!D:D=M103, '製造效能'!E:E=""清洗""), 1))"),30)</f>
        <v>30</v>
      </c>
      <c r="AB103" s="35" t="str">
        <f ca="1">IFERROR(__xludf.DUMMYFUNCTION("IFERROR(INDEX(FILTER('製造效能'!N:N, '製造效能'!$A:$A=$C103, '製造效能'!$D:$D=$M103, '製造效能'!$E:$E=""攪料""), 1), INDEX(FILTER('製造效能'!N:N, '製造效能'!$B:$B=$D103, '製造效能'!$D:$D=$M103, '製造效能'!$E:$E=""攪料""), 1))"),"")</f>
        <v/>
      </c>
      <c r="AC103" s="35" t="str">
        <f ca="1">IFERROR(__xludf.DUMMYFUNCTION("IFERROR(INDEX(FILTER('製造效能'!O:O, '製造效能'!$A:$A=$C103, '製造效能'!$D:$D=$M103, '製造效能'!$E:$E=""攪料""), 1), INDEX(FILTER('製造效能'!O:O, '製造效能'!$B:$B=$D103, '製造效能'!$D:$D=$M103, '製造效能'!$E:$E=""攪料""), 1))"),"")</f>
        <v/>
      </c>
      <c r="AD103" s="35" t="str">
        <f ca="1">IFERROR(__xludf.DUMMYFUNCTION("IFERROR(INDEX(FILTER('製造效能'!P:P, '製造效能'!$A:$A=$C103, '製造效能'!$D:$D=$M103, '製造效能'!$E:$E=""攪料""), 1), INDEX(FILTER('製造效能'!P:P, '製造效能'!$B:$B=$D103, '製造效能'!$D:$D=$M103, '製造效能'!$E:$E=""攪料""), 1))"),"")</f>
        <v/>
      </c>
      <c r="AE103" s="35" t="str">
        <f ca="1">IFERROR(__xludf.DUMMYFUNCTION("IFERROR(INDEX(FILTER('製造效能'!Q:Q, '製造效能'!$A:$A=$C103, '製造效能'!$D:$D=$M103, '製造效能'!$E:$E=""攪料""), 1), INDEX(FILTER('製造效能'!Q:Q, '製造效能'!$B:$B=$D103, '製造效能'!$D:$D=$M103, '製造效能'!$E:$E=""攪料""), 1))"),"")</f>
        <v/>
      </c>
      <c r="AF103" s="35" t="str">
        <f ca="1">IFERROR(__xludf.DUMMYFUNCTION("IFERROR(INDEX(FILTER('製造效能'!R:R, '製造效能'!$A:$A=$C103, '製造效能'!$D:$D=$M103, '製造效能'!$E:$E=""攪料""), 1), INDEX(FILTER('製造效能'!R:R, '製造效能'!$B:$B=$D103, '製造效能'!$D:$D=$M103, '製造效能'!$E:$E=""攪料""), 1))"),"")</f>
        <v/>
      </c>
      <c r="AG103" s="35">
        <f ca="1">IFERROR(__xludf.DUMMYFUNCTION("IFERROR(INDEX(FILTER('製造效能'!S:S, '製造效能'!$A:$A=$C103, '製造效能'!$D:$D=$M103, '製造效能'!$E:$E=""攪料""), 1), INDEX(FILTER('製造效能'!S:S, '製造效能'!$B:$B=$D103, '製造效能'!$D:$D=$M103, '製造效能'!$E:$E=""攪料""), 1))"),1)</f>
        <v>1</v>
      </c>
      <c r="AH103" s="35" t="str">
        <f ca="1">IFERROR(__xludf.DUMMYFUNCTION("IFERROR(INDEX(FILTER('製造效能'!T:T, '製造效能'!$A:$A=$C103, '製造效能'!$D:$D=$M103, '製造效能'!$E:$E=""攪料""), 1), INDEX(FILTER('製造效能'!T:T, '製造效能'!$B:$B=$D103, '製造效能'!$D:$D=$M103, '製造效能'!$E:$E=""攪料""), 1))"),"")</f>
        <v/>
      </c>
      <c r="AI103" s="35" t="str">
        <f ca="1">IFERROR(__xludf.DUMMYFUNCTION("IFERROR(INDEX(FILTER('製造效能'!U:U, '製造效能'!$A:$A=$C103, '製造效能'!$D:$D=$M103, '製造效能'!$E:$E=""攪料""), 1), INDEX(FILTER('製造效能'!U:U, '製造效能'!$B:$B=$D103, '製造效能'!$D:$D=$M103, '製造效能'!$E:$E=""攪料""), 1))"),"")</f>
        <v/>
      </c>
      <c r="AJ103" s="35" t="str">
        <f ca="1">IFERROR(__xludf.DUMMYFUNCTION("IFERROR(INDEX(FILTER('製造效能'!V:V, '製造效能'!$A:$A=$C103, '製造效能'!$D:$D=$M103, '製造效能'!$E:$E=""攪料""), 1), INDEX(FILTER('製造效能'!V:V, '製造效能'!$B:$B=$D103, '製造效能'!$D:$D=$M103, '製造效能'!$E:$E=""攪料""), 1))"),"")</f>
        <v/>
      </c>
      <c r="AK103" s="35">
        <f>COUNTIF(充填效能!$A:$A, $C103)</f>
        <v>2</v>
      </c>
      <c r="AL103" s="36" t="str">
        <f ca="1">IFERROR(__xludf.DUMMYFUNCTION("IFERROR(INDEX(FILTER('充填效能'!$Q$2:$Q$1088, '充填效能'!$A$2:$A$1088=$C103, '充填效能'!$D$2:$D$1088=""排瓶""), 1), 0)"),"1300")</f>
        <v>1300</v>
      </c>
      <c r="AM103" s="36">
        <f ca="1">IFERROR(__xludf.DUMMYFUNCTION("IFERROR(INDEX(FILTER('充填效能'!$R$2:$R$1088, '充填效能'!$A$2:$A$1088=$C103, '充填效能'!$D$2:$D$1088=""排瓶""), 1), 0)"),1)</f>
        <v>1</v>
      </c>
      <c r="AN103" s="35">
        <f t="shared" ca="1" si="5"/>
        <v>7.6923076923076925</v>
      </c>
      <c r="AO103" s="36" t="str">
        <f ca="1">IFERROR(__xludf.DUMMYFUNCTION("IFERROR(INDEX(FILTER('充填效能'!$Q$2:$Q$1088, '充填效能'!$A$2:$A$1088=$C103, '充填效能'!$D$2:$D$1088=""充填""), 1), 0)"),"1200")</f>
        <v>1200</v>
      </c>
      <c r="AP103" s="36">
        <f ca="1">IFERROR(__xludf.DUMMYFUNCTION("IFERROR(INDEX(FILTER('充填效能'!$R$2:$R$1088, '充填效能'!$A$2:$A$1088=$C103, '充填效能'!$D$2:$D$1088=""充填""), 1), 0)"),4)</f>
        <v>4</v>
      </c>
      <c r="AQ103" s="35">
        <f t="shared" ca="1" si="6"/>
        <v>8.3333333333333339</v>
      </c>
      <c r="AR103" s="17">
        <f t="shared" ca="1" si="7"/>
        <v>33.333333333333336</v>
      </c>
    </row>
    <row r="104" spans="1:44" ht="15.75" customHeight="1">
      <c r="A104" s="9" t="s">
        <v>299</v>
      </c>
      <c r="B104" s="34">
        <f t="shared" si="0"/>
        <v>45041</v>
      </c>
      <c r="C104" s="9" t="s">
        <v>87</v>
      </c>
      <c r="D104" s="17" t="str">
        <f t="shared" si="1"/>
        <v>EU21D5</v>
      </c>
      <c r="E104" s="9" t="s">
        <v>88</v>
      </c>
      <c r="F104" s="9">
        <v>5000</v>
      </c>
      <c r="G104" s="10">
        <v>45160</v>
      </c>
      <c r="H104" s="10">
        <v>45135</v>
      </c>
      <c r="I104" s="10">
        <v>45114</v>
      </c>
      <c r="J104" s="10">
        <v>45132</v>
      </c>
      <c r="L104" s="17" t="str">
        <f ca="1">IFERROR(__xludf.DUMMYFUNCTION("TEXTJOIN("", "", TRUE, UNIQUE(FILTER('製造效能'!$D$2:$D$1732, '製造效能'!$B$2:$B$1732 = D104)))"),"大, 精")</f>
        <v>大, 精</v>
      </c>
      <c r="M104" s="17" t="str">
        <f ca="1">IFERROR(__xludf.DUMMYFUNCTION("INDEX(UNIQUE(FILTER('製造效能'!$D$2:$D$1732, ('製造效能'!$B$2:$B$1732 = D104) * ('製造效能'!$J$2:$J$1732 = MAXIFS('製造效能'!$J$2:$J$1732, '製造效能'!$B$2:$B$1732, D104)))), 1) 
"),"大")</f>
        <v>大</v>
      </c>
      <c r="N104" s="17" t="str">
        <f ca="1">IFERROR(__xludf.DUMMYFUNCTION("TEXTJOIN("", "", TRUE, UNIQUE(FILTER('製造效能'!$K$2:$K$1732, '製造效能'!$B$2:$B$1732 = D104)))"),"水項")</f>
        <v>水項</v>
      </c>
      <c r="O104" s="35">
        <f ca="1">IFERROR(__xludf.DUMMYFUNCTION("IFERROR(INDEX(FILTER('充填效能'!I$2:I$1088, '充填效能'!$A$2:$A$1088=$C104, '充填效能'!$D$2:$D$1088=""充填""), 1), 0)"),30.6)</f>
        <v>30.6</v>
      </c>
      <c r="P104" s="35" t="str">
        <f ca="1">IFERROR(__xludf.DUMMYFUNCTION("IFERROR(INDEX(FILTER('充填效能'!J$2:J$1088, '充填效能'!$A$2:$A$1088=$C104, '充填效能'!$D$2:$D$1088=""充填""), 1), 0)"),"")</f>
        <v/>
      </c>
      <c r="Q104" s="35" t="str">
        <f ca="1">IFERROR(__xludf.DUMMYFUNCTION("IFERROR(INDEX(FILTER('充填效能'!K$2:K$1088, '充填效能'!$A$2:$A$1088=$C104, '充填效能'!$D$2:$D$1088=""充填""), 1), 0)"),"")</f>
        <v/>
      </c>
      <c r="R104" s="35" t="str">
        <f ca="1">IFERROR(__xludf.DUMMYFUNCTION("IFERROR(INDEX(FILTER('充填效能'!L$2:L$1088, '充填效能'!$A$2:$A$1088=$C104, '充填效能'!$D$2:$D$1088=""充填""), 1), 0)"),"")</f>
        <v/>
      </c>
      <c r="S104" s="35">
        <f ca="1">COUNTIFS(製造效能!B:B, $D104,製造效能!D:D,M104)</f>
        <v>3</v>
      </c>
      <c r="T104" s="36">
        <f ca="1">IFERROR(__xludf.DUMMYFUNCTION("VALUE(REGEXEXTRACT(TO_TEXT(O104), ""\d*\.?\d+""))"),30.6)</f>
        <v>30.6</v>
      </c>
      <c r="U104" s="17">
        <f t="shared" ca="1" si="2"/>
        <v>155294.99999999997</v>
      </c>
      <c r="V104" s="17">
        <f ca="1">IFERROR(__xludf.DUMMYFUNCTION("IFERROR(INDEX(FILTER('製造效能'!J:J, '製造效能'!A:A=$C104, '製造效能'!D:D=M104, '製造效能'!E:E=""攪料""), 1), INDEX(FILTER('製造效能'!J:J, '製造效能'!B:B=$D104, '製造效能'!D:D=M104, '製造效能'!E:E=""攪料""), 1))"),170)</f>
        <v>170</v>
      </c>
      <c r="W104" s="36">
        <f ca="1">IFERROR(__xludf.DUMMYFUNCTION("IFERROR(INDEX(FILTER('製造效能'!G:G, '製造效能'!A:A=$C104, '製造效能'!D:D=M104, '製造效能'!E:E=""攪料""), 1), INDEX(FILTER('製造效能'!G:G, '製造效能'!B:B=$D104, '製造效能'!D:D=M104, '製造效能'!E:E=""攪料""), 1))"),70)</f>
        <v>70</v>
      </c>
      <c r="X104" s="35">
        <f t="shared" ca="1" si="3"/>
        <v>1</v>
      </c>
      <c r="Y104" s="35">
        <f t="shared" ca="1" si="4"/>
        <v>70</v>
      </c>
      <c r="Z104" s="35">
        <f ca="1">IFERROR(__xludf.DUMMYFUNCTION("IFERROR(IFERROR(INDEX(FILTER('製造效能'!G:G, '製造效能'!A:A=$C104, '製造效能'!D:D=M104, '製造效能'!E:E=""預攪""), 1), INDEX(FILTER('製造效能'!G:G, '製造效能'!B:B=$D104, '製造效能'!D:D=M104, '製造效能'!E:E=""預攪""), 1)), 0)"),25)</f>
        <v>25</v>
      </c>
      <c r="AA104" s="35">
        <f ca="1">IFERROR(__xludf.DUMMYFUNCTION("IFERROR(INDEX(FILTER('製造效能'!G:G, '製造效能'!A:A=$C104, '製造效能'!D:D=M104, '製造效能'!E:E=""清洗""), 1), INDEX(FILTER('製造效能'!G:G, '製造效能'!B:B=$D104, '製造效能'!D:D=M104, '製造效能'!E:E=""清洗""), 1))"),30)</f>
        <v>30</v>
      </c>
      <c r="AB104" s="35" t="str">
        <f ca="1">IFERROR(__xludf.DUMMYFUNCTION("IFERROR(INDEX(FILTER('製造效能'!N:N, '製造效能'!$A:$A=$C104, '製造效能'!$D:$D=$M104, '製造效能'!$E:$E=""攪料""), 1), INDEX(FILTER('製造效能'!N:N, '製造效能'!$B:$B=$D104, '製造效能'!$D:$D=$M104, '製造效能'!$E:$E=""攪料""), 1))"),"")</f>
        <v/>
      </c>
      <c r="AC104" s="35">
        <f ca="1">IFERROR(__xludf.DUMMYFUNCTION("IFERROR(INDEX(FILTER('製造效能'!O:O, '製造效能'!$A:$A=$C104, '製造效能'!$D:$D=$M104, '製造效能'!$E:$E=""攪料""), 1), INDEX(FILTER('製造效能'!O:O, '製造效能'!$B:$B=$D104, '製造效能'!$D:$D=$M104, '製造效能'!$E:$E=""攪料""), 1))"),1)</f>
        <v>1</v>
      </c>
      <c r="AD104" s="35" t="str">
        <f ca="1">IFERROR(__xludf.DUMMYFUNCTION("IFERROR(INDEX(FILTER('製造效能'!P:P, '製造效能'!$A:$A=$C104, '製造效能'!$D:$D=$M104, '製造效能'!$E:$E=""攪料""), 1), INDEX(FILTER('製造效能'!P:P, '製造效能'!$B:$B=$D104, '製造效能'!$D:$D=$M104, '製造效能'!$E:$E=""攪料""), 1))"),"")</f>
        <v/>
      </c>
      <c r="AE104" s="35" t="str">
        <f ca="1">IFERROR(__xludf.DUMMYFUNCTION("IFERROR(INDEX(FILTER('製造效能'!Q:Q, '製造效能'!$A:$A=$C104, '製造效能'!$D:$D=$M104, '製造效能'!$E:$E=""攪料""), 1), INDEX(FILTER('製造效能'!Q:Q, '製造效能'!$B:$B=$D104, '製造效能'!$D:$D=$M104, '製造效能'!$E:$E=""攪料""), 1))"),"")</f>
        <v/>
      </c>
      <c r="AF104" s="35" t="str">
        <f ca="1">IFERROR(__xludf.DUMMYFUNCTION("IFERROR(INDEX(FILTER('製造效能'!R:R, '製造效能'!$A:$A=$C104, '製造效能'!$D:$D=$M104, '製造效能'!$E:$E=""攪料""), 1), INDEX(FILTER('製造效能'!R:R, '製造效能'!$B:$B=$D104, '製造效能'!$D:$D=$M104, '製造效能'!$E:$E=""攪料""), 1))"),"")</f>
        <v/>
      </c>
      <c r="AG104" s="35">
        <f ca="1">IFERROR(__xludf.DUMMYFUNCTION("IFERROR(INDEX(FILTER('製造效能'!S:S, '製造效能'!$A:$A=$C104, '製造效能'!$D:$D=$M104, '製造效能'!$E:$E=""攪料""), 1), INDEX(FILTER('製造效能'!S:S, '製造效能'!$B:$B=$D104, '製造效能'!$D:$D=$M104, '製造效能'!$E:$E=""攪料""), 1))"),1)</f>
        <v>1</v>
      </c>
      <c r="AH104" s="35" t="str">
        <f ca="1">IFERROR(__xludf.DUMMYFUNCTION("IFERROR(INDEX(FILTER('製造效能'!T:T, '製造效能'!$A:$A=$C104, '製造效能'!$D:$D=$M104, '製造效能'!$E:$E=""攪料""), 1), INDEX(FILTER('製造效能'!T:T, '製造效能'!$B:$B=$D104, '製造效能'!$D:$D=$M104, '製造效能'!$E:$E=""攪料""), 1))"),"")</f>
        <v/>
      </c>
      <c r="AI104" s="35" t="str">
        <f ca="1">IFERROR(__xludf.DUMMYFUNCTION("IFERROR(INDEX(FILTER('製造效能'!U:U, '製造效能'!$A:$A=$C104, '製造效能'!$D:$D=$M104, '製造效能'!$E:$E=""攪料""), 1), INDEX(FILTER('製造效能'!U:U, '製造效能'!$B:$B=$D104, '製造效能'!$D:$D=$M104, '製造效能'!$E:$E=""攪料""), 1))"),"")</f>
        <v/>
      </c>
      <c r="AJ104" s="35" t="str">
        <f ca="1">IFERROR(__xludf.DUMMYFUNCTION("IFERROR(INDEX(FILTER('製造效能'!V:V, '製造效能'!$A:$A=$C104, '製造效能'!$D:$D=$M104, '製造效能'!$E:$E=""攪料""), 1), INDEX(FILTER('製造效能'!V:V, '製造效能'!$B:$B=$D104, '製造效能'!$D:$D=$M104, '製造效能'!$E:$E=""攪料""), 1))"),"")</f>
        <v/>
      </c>
      <c r="AK104" s="35">
        <f>COUNTIF(充填效能!$A:$A, $C104)</f>
        <v>2</v>
      </c>
      <c r="AL104" s="36" t="str">
        <f ca="1">IFERROR(__xludf.DUMMYFUNCTION("IFERROR(INDEX(FILTER('充填效能'!$Q$2:$Q$1088, '充填效能'!$A$2:$A$1088=$C104, '充填效能'!$D$2:$D$1088=""排瓶""), 1), 0)"),"1600")</f>
        <v>1600</v>
      </c>
      <c r="AM104" s="36">
        <f ca="1">IFERROR(__xludf.DUMMYFUNCTION("IFERROR(INDEX(FILTER('充填效能'!$R$2:$R$1088, '充填效能'!$A$2:$A$1088=$C104, '充填效能'!$D$2:$D$1088=""排瓶""), 1), 0)"),1)</f>
        <v>1</v>
      </c>
      <c r="AN104" s="35">
        <f t="shared" ca="1" si="5"/>
        <v>3.125</v>
      </c>
      <c r="AO104" s="36" t="str">
        <f ca="1">IFERROR(__xludf.DUMMYFUNCTION("IFERROR(INDEX(FILTER('充填效能'!$Q$2:$Q$1088, '充填效能'!$A$2:$A$1088=$C104, '充填效能'!$D$2:$D$1088=""充填""), 1), 0)"),"1500")</f>
        <v>1500</v>
      </c>
      <c r="AP104" s="36">
        <f ca="1">IFERROR(__xludf.DUMMYFUNCTION("IFERROR(INDEX(FILTER('充填效能'!$R$2:$R$1088, '充填效能'!$A$2:$A$1088=$C104, '充填效能'!$D$2:$D$1088=""充填""), 1), 0)"),3)</f>
        <v>3</v>
      </c>
      <c r="AQ104" s="35">
        <f t="shared" ca="1" si="6"/>
        <v>3.3333333333333335</v>
      </c>
      <c r="AR104" s="17">
        <f t="shared" ca="1" si="7"/>
        <v>10</v>
      </c>
    </row>
    <row r="105" spans="1:44" ht="15.75" customHeight="1">
      <c r="A105" s="9" t="s">
        <v>303</v>
      </c>
      <c r="B105" s="34">
        <f t="shared" si="0"/>
        <v>45016</v>
      </c>
      <c r="C105" s="9" t="s">
        <v>272</v>
      </c>
      <c r="D105" s="17" t="str">
        <f t="shared" si="1"/>
        <v>DD20D2</v>
      </c>
      <c r="E105" s="9" t="s">
        <v>273</v>
      </c>
      <c r="F105" s="9">
        <v>70</v>
      </c>
      <c r="G105" s="10">
        <v>45138</v>
      </c>
      <c r="H105" s="10">
        <v>45135</v>
      </c>
      <c r="I105" s="10">
        <v>45117</v>
      </c>
      <c r="J105" s="10">
        <v>45117</v>
      </c>
      <c r="L105" s="17" t="str">
        <f ca="1">IFERROR(__xludf.DUMMYFUNCTION("TEXTJOIN("", "", TRUE, UNIQUE(FILTER('製造效能'!$D$2:$D$1732, '製造效能'!$B$2:$B$1732 = D105)))"),"精")</f>
        <v>精</v>
      </c>
      <c r="M105" s="17" t="str">
        <f ca="1">IFERROR(__xludf.DUMMYFUNCTION("INDEX(UNIQUE(FILTER('製造效能'!$D$2:$D$1732, ('製造效能'!$B$2:$B$1732 = D105) * ('製造效能'!$J$2:$J$1732 = MAXIFS('製造效能'!$J$2:$J$1732, '製造效能'!$B$2:$B$1732, D105)))), 1) 
"),"精")</f>
        <v>精</v>
      </c>
      <c r="N105" s="17" t="str">
        <f ca="1">IFERROR(__xludf.DUMMYFUNCTION("TEXTJOIN("", "", TRUE, UNIQUE(FILTER('製造效能'!$K$2:$K$1732, '製造效能'!$B$2:$B$1732 = D105)))"),"水項")</f>
        <v>水項</v>
      </c>
      <c r="O105" s="35">
        <f ca="1">IFERROR(__xludf.DUMMYFUNCTION("IFERROR(INDEX(FILTER('充填效能'!I$2:I$1088, '充填效能'!$A$2:$A$1088=$C105, '充填效能'!$D$2:$D$1088=""充填""), 1), 0)"),101.9)</f>
        <v>101.9</v>
      </c>
      <c r="P105" s="35" t="str">
        <f ca="1">IFERROR(__xludf.DUMMYFUNCTION("IFERROR(INDEX(FILTER('充填效能'!J$2:J$1088, '充填效能'!$A$2:$A$1088=$C105, '充填效能'!$D$2:$D$1088=""充填""), 1), 0)"),"")</f>
        <v/>
      </c>
      <c r="Q105" s="35" t="str">
        <f ca="1">IFERROR(__xludf.DUMMYFUNCTION("IFERROR(INDEX(FILTER('充填效能'!K$2:K$1088, '充填效能'!$A$2:$A$1088=$C105, '充填效能'!$D$2:$D$1088=""充填""), 1), 0)"),"")</f>
        <v/>
      </c>
      <c r="R105" s="35" t="str">
        <f ca="1">IFERROR(__xludf.DUMMYFUNCTION("IFERROR(INDEX(FILTER('充填效能'!L$2:L$1088, '充填效能'!$A$2:$A$1088=$C105, '充填效能'!$D$2:$D$1088=""充填""), 1), 0)"),"")</f>
        <v/>
      </c>
      <c r="S105" s="35">
        <f ca="1">COUNTIFS(製造效能!B:B, $D105,製造效能!D:D,M105)</f>
        <v>3</v>
      </c>
      <c r="T105" s="36">
        <f ca="1">IFERROR(__xludf.DUMMYFUNCTION("VALUE(REGEXEXTRACT(TO_TEXT(O105), ""\d*\.?\d+""))"),101.9)</f>
        <v>101.9</v>
      </c>
      <c r="U105" s="17">
        <f t="shared" ca="1" si="2"/>
        <v>7239.994999999999</v>
      </c>
      <c r="V105" s="17">
        <f ca="1">IFERROR(__xludf.DUMMYFUNCTION("IFERROR(INDEX(FILTER('製造效能'!J:J, '製造效能'!A:A=$C105, '製造效能'!D:D=M105, '製造效能'!E:E=""攪料""), 1), INDEX(FILTER('製造效能'!J:J, '製造效能'!B:B=$D105, '製造效能'!D:D=M105, '製造效能'!E:E=""攪料""), 1))"),18)</f>
        <v>18</v>
      </c>
      <c r="W105" s="36">
        <f ca="1">IFERROR(__xludf.DUMMYFUNCTION("IFERROR(INDEX(FILTER('製造效能'!G:G, '製造效能'!A:A=$C105, '製造效能'!D:D=M105, '製造效能'!E:E=""攪料""), 1), INDEX(FILTER('製造效能'!G:G, '製造效能'!B:B=$D105, '製造效能'!D:D=M105, '製造效能'!E:E=""攪料""), 1))"),60)</f>
        <v>60</v>
      </c>
      <c r="X105" s="35">
        <f t="shared" ca="1" si="3"/>
        <v>1</v>
      </c>
      <c r="Y105" s="35">
        <f t="shared" ca="1" si="4"/>
        <v>60</v>
      </c>
      <c r="Z105" s="35">
        <f ca="1">IFERROR(__xludf.DUMMYFUNCTION("IFERROR(IFERROR(INDEX(FILTER('製造效能'!G:G, '製造效能'!A:A=$C105, '製造效能'!D:D=M105, '製造效能'!E:E=""預攪""), 1), INDEX(FILTER('製造效能'!G:G, '製造效能'!B:B=$D105, '製造效能'!D:D=M105, '製造效能'!E:E=""預攪""), 1)), 0)"),60)</f>
        <v>60</v>
      </c>
      <c r="AA105" s="35">
        <f ca="1">IFERROR(__xludf.DUMMYFUNCTION("IFERROR(INDEX(FILTER('製造效能'!G:G, '製造效能'!A:A=$C105, '製造效能'!D:D=M105, '製造效能'!E:E=""清洗""), 1), INDEX(FILTER('製造效能'!G:G, '製造效能'!B:B=$D105, '製造效能'!D:D=M105, '製造效能'!E:E=""清洗""), 1))"),20)</f>
        <v>20</v>
      </c>
      <c r="AB105" s="35" t="str">
        <f ca="1">IFERROR(__xludf.DUMMYFUNCTION("IFERROR(INDEX(FILTER('製造效能'!N:N, '製造效能'!$A:$A=$C105, '製造效能'!$D:$D=$M105, '製造效能'!$E:$E=""攪料""), 1), INDEX(FILTER('製造效能'!N:N, '製造效能'!$B:$B=$D105, '製造效能'!$D:$D=$M105, '製造效能'!$E:$E=""攪料""), 1))"),"")</f>
        <v/>
      </c>
      <c r="AC105" s="35" t="str">
        <f ca="1">IFERROR(__xludf.DUMMYFUNCTION("IFERROR(INDEX(FILTER('製造效能'!O:O, '製造效能'!$A:$A=$C105, '製造效能'!$D:$D=$M105, '製造效能'!$E:$E=""攪料""), 1), INDEX(FILTER('製造效能'!O:O, '製造效能'!$B:$B=$D105, '製造效能'!$D:$D=$M105, '製造效能'!$E:$E=""攪料""), 1))"),"")</f>
        <v/>
      </c>
      <c r="AD105" s="35" t="str">
        <f ca="1">IFERROR(__xludf.DUMMYFUNCTION("IFERROR(INDEX(FILTER('製造效能'!P:P, '製造效能'!$A:$A=$C105, '製造效能'!$D:$D=$M105, '製造效能'!$E:$E=""攪料""), 1), INDEX(FILTER('製造效能'!P:P, '製造效能'!$B:$B=$D105, '製造效能'!$D:$D=$M105, '製造效能'!$E:$E=""攪料""), 1))"),"")</f>
        <v/>
      </c>
      <c r="AE105" s="35" t="str">
        <f ca="1">IFERROR(__xludf.DUMMYFUNCTION("IFERROR(INDEX(FILTER('製造效能'!Q:Q, '製造效能'!$A:$A=$C105, '製造效能'!$D:$D=$M105, '製造效能'!$E:$E=""攪料""), 1), INDEX(FILTER('製造效能'!Q:Q, '製造效能'!$B:$B=$D105, '製造效能'!$D:$D=$M105, '製造效能'!$E:$E=""攪料""), 1))"),"")</f>
        <v/>
      </c>
      <c r="AF105" s="35" t="str">
        <f ca="1">IFERROR(__xludf.DUMMYFUNCTION("IFERROR(INDEX(FILTER('製造效能'!R:R, '製造效能'!$A:$A=$C105, '製造效能'!$D:$D=$M105, '製造效能'!$E:$E=""攪料""), 1), INDEX(FILTER('製造效能'!R:R, '製造效能'!$B:$B=$D105, '製造效能'!$D:$D=$M105, '製造效能'!$E:$E=""攪料""), 1))"),"")</f>
        <v/>
      </c>
      <c r="AG105" s="35" t="str">
        <f ca="1">IFERROR(__xludf.DUMMYFUNCTION("IFERROR(INDEX(FILTER('製造效能'!S:S, '製造效能'!$A:$A=$C105, '製造效能'!$D:$D=$M105, '製造效能'!$E:$E=""攪料""), 1), INDEX(FILTER('製造效能'!S:S, '製造效能'!$B:$B=$D105, '製造效能'!$D:$D=$M105, '製造效能'!$E:$E=""攪料""), 1))"),"")</f>
        <v/>
      </c>
      <c r="AH105" s="35" t="str">
        <f ca="1">IFERROR(__xludf.DUMMYFUNCTION("IFERROR(INDEX(FILTER('製造效能'!T:T, '製造效能'!$A:$A=$C105, '製造效能'!$D:$D=$M105, '製造效能'!$E:$E=""攪料""), 1), INDEX(FILTER('製造效能'!T:T, '製造效能'!$B:$B=$D105, '製造效能'!$D:$D=$M105, '製造效能'!$E:$E=""攪料""), 1))"),"")</f>
        <v/>
      </c>
      <c r="AI105" s="35" t="str">
        <f ca="1">IFERROR(__xludf.DUMMYFUNCTION("IFERROR(INDEX(FILTER('製造效能'!U:U, '製造效能'!$A:$A=$C105, '製造效能'!$D:$D=$M105, '製造效能'!$E:$E=""攪料""), 1), INDEX(FILTER('製造效能'!U:U, '製造效能'!$B:$B=$D105, '製造效能'!$D:$D=$M105, '製造效能'!$E:$E=""攪料""), 1))"),"")</f>
        <v/>
      </c>
      <c r="AJ105" s="35" t="str">
        <f ca="1">IFERROR(__xludf.DUMMYFUNCTION("IFERROR(INDEX(FILTER('製造效能'!V:V, '製造效能'!$A:$A=$C105, '製造效能'!$D:$D=$M105, '製造效能'!$E:$E=""攪料""), 1), INDEX(FILTER('製造效能'!V:V, '製造效能'!$B:$B=$D105, '製造效能'!$D:$D=$M105, '製造效能'!$E:$E=""攪料""), 1))"),"")</f>
        <v/>
      </c>
      <c r="AK105" s="35">
        <f>COUNTIF(充填效能!$A:$A, $C105)</f>
        <v>2</v>
      </c>
      <c r="AL105" s="36" t="str">
        <f ca="1">IFERROR(__xludf.DUMMYFUNCTION("IFERROR(INDEX(FILTER('充填效能'!$Q$2:$Q$1088, '充填效能'!$A$2:$A$1088=$C105, '充填效能'!$D$2:$D$1088=""排瓶""), 1), 0)"),"1000")</f>
        <v>1000</v>
      </c>
      <c r="AM105" s="36">
        <f ca="1">IFERROR(__xludf.DUMMYFUNCTION("IFERROR(INDEX(FILTER('充填效能'!$R$2:$R$1088, '充填效能'!$A$2:$A$1088=$C105, '充填效能'!$D$2:$D$1088=""排瓶""), 1), 0)"),1)</f>
        <v>1</v>
      </c>
      <c r="AN105" s="35">
        <f t="shared" ca="1" si="5"/>
        <v>7.0000000000000007E-2</v>
      </c>
      <c r="AO105" s="36" t="str">
        <f ca="1">IFERROR(__xludf.DUMMYFUNCTION("IFERROR(INDEX(FILTER('充填效能'!$Q$2:$Q$1088, '充填效能'!$A$2:$A$1088=$C105, '充填效能'!$D$2:$D$1088=""充填""), 1), 0)"),"390")</f>
        <v>390</v>
      </c>
      <c r="AP105" s="36">
        <f ca="1">IFERROR(__xludf.DUMMYFUNCTION("IFERROR(INDEX(FILTER('充填效能'!$R$2:$R$1088, '充填效能'!$A$2:$A$1088=$C105, '充填效能'!$D$2:$D$1088=""充填""), 1), 0)"),4)</f>
        <v>4</v>
      </c>
      <c r="AQ105" s="35">
        <f t="shared" ca="1" si="6"/>
        <v>0.17948717948717949</v>
      </c>
      <c r="AR105" s="17">
        <f t="shared" ca="1" si="7"/>
        <v>0.71794871794871795</v>
      </c>
    </row>
    <row r="106" spans="1:44" ht="15.75" customHeight="1">
      <c r="A106" s="9" t="s">
        <v>307</v>
      </c>
      <c r="B106" s="34">
        <f t="shared" si="0"/>
        <v>44721</v>
      </c>
      <c r="C106" s="9" t="s">
        <v>187</v>
      </c>
      <c r="D106" s="17" t="str">
        <f t="shared" si="1"/>
        <v>N1HAD4</v>
      </c>
      <c r="E106" s="9" t="s">
        <v>188</v>
      </c>
      <c r="F106" s="9">
        <v>10000</v>
      </c>
      <c r="G106" s="10">
        <v>45152</v>
      </c>
      <c r="H106" s="10">
        <v>45138</v>
      </c>
      <c r="I106" s="10">
        <v>45128</v>
      </c>
      <c r="J106" s="37">
        <v>45127</v>
      </c>
      <c r="L106" s="17" t="str">
        <f ca="1">IFERROR(__xludf.DUMMYFUNCTION("TEXTJOIN("", "", TRUE, UNIQUE(FILTER('製造效能'!$D$2:$D$1732, '製造效能'!$B$2:$B$1732 = D106)))"),"精")</f>
        <v>精</v>
      </c>
      <c r="M106" s="17" t="str">
        <f ca="1">IFERROR(__xludf.DUMMYFUNCTION("INDEX(UNIQUE(FILTER('製造效能'!$D$2:$D$1732, ('製造效能'!$B$2:$B$1732 = D106) * ('製造效能'!$J$2:$J$1732 = MAXIFS('製造效能'!$J$2:$J$1732, '製造效能'!$B$2:$B$1732, D106)))), 1) 
"),"精")</f>
        <v>精</v>
      </c>
      <c r="N106" s="17" t="str">
        <f ca="1">IFERROR(__xludf.DUMMYFUNCTION("TEXTJOIN("", "", TRUE, UNIQUE(FILTER('製造效能'!$K$2:$K$1732, '製造效能'!$B$2:$B$1732 = D106)))"),"水項")</f>
        <v>水項</v>
      </c>
      <c r="O106" s="35">
        <f ca="1">IFERROR(__xludf.DUMMYFUNCTION("IFERROR(INDEX(FILTER('充填效能'!I$2:I$1088, '充填效能'!$A$2:$A$1088=$C106, '充填效能'!$D$2:$D$1088=""充填""), 1), 0)"),29.7)</f>
        <v>29.7</v>
      </c>
      <c r="P106" s="35" t="str">
        <f ca="1">IFERROR(__xludf.DUMMYFUNCTION("IFERROR(INDEX(FILTER('充填效能'!J$2:J$1088, '充填效能'!$A$2:$A$1088=$C106, '充填效能'!$D$2:$D$1088=""充填""), 1), 0)"),"")</f>
        <v/>
      </c>
      <c r="Q106" s="35" t="str">
        <f ca="1">IFERROR(__xludf.DUMMYFUNCTION("IFERROR(INDEX(FILTER('充填效能'!K$2:K$1088, '充填效能'!$A$2:$A$1088=$C106, '充填效能'!$D$2:$D$1088=""充填""), 1), 0)"),"")</f>
        <v/>
      </c>
      <c r="R106" s="35" t="str">
        <f ca="1">IFERROR(__xludf.DUMMYFUNCTION("IFERROR(INDEX(FILTER('充填效能'!L$2:L$1088, '充填效能'!$A$2:$A$1088=$C106, '充填效能'!$D$2:$D$1088=""充填""), 1), 0)"),"")</f>
        <v/>
      </c>
      <c r="S106" s="35">
        <f ca="1">COUNTIFS(製造效能!B:B, $D106,製造效能!D:D,M106)</f>
        <v>3</v>
      </c>
      <c r="T106" s="36">
        <f ca="1">IFERROR(__xludf.DUMMYFUNCTION("VALUE(REGEXEXTRACT(TO_TEXT(O106), ""\d*\.?\d+""))"),29.7)</f>
        <v>29.7</v>
      </c>
      <c r="U106" s="17">
        <f t="shared" ca="1" si="2"/>
        <v>301455</v>
      </c>
      <c r="V106" s="17">
        <f ca="1">IFERROR(__xludf.DUMMYFUNCTION("IFERROR(INDEX(FILTER('製造效能'!J:J, '製造效能'!A:A=$C106, '製造效能'!D:D=M106, '製造效能'!E:E=""攪料""), 1), INDEX(FILTER('製造效能'!J:J, '製造效能'!B:B=$D106, '製造效能'!D:D=M106, '製造效能'!E:E=""攪料""), 1))"),103)</f>
        <v>103</v>
      </c>
      <c r="W106" s="36">
        <f ca="1">IFERROR(__xludf.DUMMYFUNCTION("IFERROR(INDEX(FILTER('製造效能'!G:G, '製造效能'!A:A=$C106, '製造效能'!D:D=M106, '製造效能'!E:E=""攪料""), 1), INDEX(FILTER('製造效能'!G:G, '製造效能'!B:B=$D106, '製造效能'!D:D=M106, '製造效能'!E:E=""攪料""), 1))"),110)</f>
        <v>110</v>
      </c>
      <c r="X106" s="35">
        <f t="shared" ca="1" si="3"/>
        <v>3</v>
      </c>
      <c r="Y106" s="35">
        <f t="shared" ca="1" si="4"/>
        <v>330</v>
      </c>
      <c r="Z106" s="35">
        <f ca="1">IFERROR(__xludf.DUMMYFUNCTION("IFERROR(IFERROR(INDEX(FILTER('製造效能'!G:G, '製造效能'!A:A=$C106, '製造效能'!D:D=M106, '製造效能'!E:E=""預攪""), 1), INDEX(FILTER('製造效能'!G:G, '製造效能'!B:B=$D106, '製造效能'!D:D=M106, '製造效能'!E:E=""預攪""), 1)), 0)"),20)</f>
        <v>20</v>
      </c>
      <c r="AA106" s="35">
        <f ca="1">IFERROR(__xludf.DUMMYFUNCTION("IFERROR(INDEX(FILTER('製造效能'!G:G, '製造效能'!A:A=$C106, '製造效能'!D:D=M106, '製造效能'!E:E=""清洗""), 1), INDEX(FILTER('製造效能'!G:G, '製造效能'!B:B=$D106, '製造效能'!D:D=M106, '製造效能'!E:E=""清洗""), 1))"),20)</f>
        <v>20</v>
      </c>
      <c r="AB106" s="35" t="str">
        <f ca="1">IFERROR(__xludf.DUMMYFUNCTION("IFERROR(INDEX(FILTER('製造效能'!N:N, '製造效能'!$A:$A=$C106, '製造效能'!$D:$D=$M106, '製造效能'!$E:$E=""攪料""), 1), INDEX(FILTER('製造效能'!N:N, '製造效能'!$B:$B=$D106, '製造效能'!$D:$D=$M106, '製造效能'!$E:$E=""攪料""), 1))"),"")</f>
        <v/>
      </c>
      <c r="AC106" s="35">
        <f ca="1">IFERROR(__xludf.DUMMYFUNCTION("IFERROR(INDEX(FILTER('製造效能'!O:O, '製造效能'!$A:$A=$C106, '製造效能'!$D:$D=$M106, '製造效能'!$E:$E=""攪料""), 1), INDEX(FILTER('製造效能'!O:O, '製造效能'!$B:$B=$D106, '製造效能'!$D:$D=$M106, '製造效能'!$E:$E=""攪料""), 1))"),1)</f>
        <v>1</v>
      </c>
      <c r="AD106" s="35" t="str">
        <f ca="1">IFERROR(__xludf.DUMMYFUNCTION("IFERROR(INDEX(FILTER('製造效能'!P:P, '製造效能'!$A:$A=$C106, '製造效能'!$D:$D=$M106, '製造效能'!$E:$E=""攪料""), 1), INDEX(FILTER('製造效能'!P:P, '製造效能'!$B:$B=$D106, '製造效能'!$D:$D=$M106, '製造效能'!$E:$E=""攪料""), 1))"),"")</f>
        <v/>
      </c>
      <c r="AE106" s="35" t="str">
        <f ca="1">IFERROR(__xludf.DUMMYFUNCTION("IFERROR(INDEX(FILTER('製造效能'!Q:Q, '製造效能'!$A:$A=$C106, '製造效能'!$D:$D=$M106, '製造效能'!$E:$E=""攪料""), 1), INDEX(FILTER('製造效能'!Q:Q, '製造效能'!$B:$B=$D106, '製造效能'!$D:$D=$M106, '製造效能'!$E:$E=""攪料""), 1))"),"")</f>
        <v/>
      </c>
      <c r="AF106" s="35" t="str">
        <f ca="1">IFERROR(__xludf.DUMMYFUNCTION("IFERROR(INDEX(FILTER('製造效能'!R:R, '製造效能'!$A:$A=$C106, '製造效能'!$D:$D=$M106, '製造效能'!$E:$E=""攪料""), 1), INDEX(FILTER('製造效能'!R:R, '製造效能'!$B:$B=$D106, '製造效能'!$D:$D=$M106, '製造效能'!$E:$E=""攪料""), 1))"),"")</f>
        <v/>
      </c>
      <c r="AG106" s="35" t="str">
        <f ca="1">IFERROR(__xludf.DUMMYFUNCTION("IFERROR(INDEX(FILTER('製造效能'!S:S, '製造效能'!$A:$A=$C106, '製造效能'!$D:$D=$M106, '製造效能'!$E:$E=""攪料""), 1), INDEX(FILTER('製造效能'!S:S, '製造效能'!$B:$B=$D106, '製造效能'!$D:$D=$M106, '製造效能'!$E:$E=""攪料""), 1))"),"")</f>
        <v/>
      </c>
      <c r="AH106" s="35" t="str">
        <f ca="1">IFERROR(__xludf.DUMMYFUNCTION("IFERROR(INDEX(FILTER('製造效能'!T:T, '製造效能'!$A:$A=$C106, '製造效能'!$D:$D=$M106, '製造效能'!$E:$E=""攪料""), 1), INDEX(FILTER('製造效能'!T:T, '製造效能'!$B:$B=$D106, '製造效能'!$D:$D=$M106, '製造效能'!$E:$E=""攪料""), 1))"),"")</f>
        <v/>
      </c>
      <c r="AI106" s="35" t="str">
        <f ca="1">IFERROR(__xludf.DUMMYFUNCTION("IFERROR(INDEX(FILTER('製造效能'!U:U, '製造效能'!$A:$A=$C106, '製造效能'!$D:$D=$M106, '製造效能'!$E:$E=""攪料""), 1), INDEX(FILTER('製造效能'!U:U, '製造效能'!$B:$B=$D106, '製造效能'!$D:$D=$M106, '製造效能'!$E:$E=""攪料""), 1))"),"")</f>
        <v/>
      </c>
      <c r="AJ106" s="35" t="str">
        <f ca="1">IFERROR(__xludf.DUMMYFUNCTION("IFERROR(INDEX(FILTER('製造效能'!V:V, '製造效能'!$A:$A=$C106, '製造效能'!$D:$D=$M106, '製造效能'!$E:$E=""攪料""), 1), INDEX(FILTER('製造效能'!V:V, '製造效能'!$B:$B=$D106, '製造效能'!$D:$D=$M106, '製造效能'!$E:$E=""攪料""), 1))"),"")</f>
        <v/>
      </c>
      <c r="AK106" s="35">
        <f>COUNTIF(充填效能!$A:$A, $C106)</f>
        <v>2</v>
      </c>
      <c r="AL106" s="36" t="str">
        <f ca="1">IFERROR(__xludf.DUMMYFUNCTION("IFERROR(INDEX(FILTER('充填效能'!$Q$2:$Q$1088, '充填效能'!$A$2:$A$1088=$C106, '充填效能'!$D$2:$D$1088=""排瓶""), 1), 0)"),"600")</f>
        <v>600</v>
      </c>
      <c r="AM106" s="36">
        <f ca="1">IFERROR(__xludf.DUMMYFUNCTION("IFERROR(INDEX(FILTER('充填效能'!$R$2:$R$1088, '充填效能'!$A$2:$A$1088=$C106, '充填效能'!$D$2:$D$1088=""排瓶""), 1), 0)"),1)</f>
        <v>1</v>
      </c>
      <c r="AN106" s="35">
        <f t="shared" ca="1" si="5"/>
        <v>16.666666666666668</v>
      </c>
      <c r="AO106" s="36" t="str">
        <f ca="1">IFERROR(__xludf.DUMMYFUNCTION("IFERROR(INDEX(FILTER('充填效能'!$Q$2:$Q$1088, '充填效能'!$A$2:$A$1088=$C106, '充填效能'!$D$2:$D$1088=""充填""), 1), 0)"),"1200")</f>
        <v>1200</v>
      </c>
      <c r="AP106" s="36">
        <f ca="1">IFERROR(__xludf.DUMMYFUNCTION("IFERROR(INDEX(FILTER('充填效能'!$R$2:$R$1088, '充填效能'!$A$2:$A$1088=$C106, '充填效能'!$D$2:$D$1088=""充填""), 1), 0)"),4)</f>
        <v>4</v>
      </c>
      <c r="AQ106" s="35">
        <f t="shared" ca="1" si="6"/>
        <v>8.3333333333333339</v>
      </c>
      <c r="AR106" s="17">
        <f t="shared" ca="1" si="7"/>
        <v>33.333333333333336</v>
      </c>
    </row>
    <row r="107" spans="1:44" ht="15.75" customHeight="1">
      <c r="A107" s="9" t="s">
        <v>302</v>
      </c>
      <c r="B107" s="34">
        <f t="shared" si="0"/>
        <v>45121</v>
      </c>
      <c r="C107" s="9" t="s">
        <v>287</v>
      </c>
      <c r="D107" s="17" t="str">
        <f t="shared" si="1"/>
        <v>HJ23D2</v>
      </c>
      <c r="E107" s="9" t="s">
        <v>288</v>
      </c>
      <c r="F107" s="9">
        <v>1000</v>
      </c>
      <c r="G107" s="10">
        <v>45147</v>
      </c>
      <c r="H107" s="10">
        <v>45145</v>
      </c>
      <c r="I107" s="10">
        <v>45064</v>
      </c>
      <c r="J107" s="10">
        <v>45138</v>
      </c>
      <c r="L107" s="17" t="str">
        <f ca="1">IFERROR(__xludf.DUMMYFUNCTION("TEXTJOIN("", "", TRUE, UNIQUE(FILTER('製造效能'!$D$2:$D$1732, '製造效能'!$B$2:$B$1732 = D107)))"),"精")</f>
        <v>精</v>
      </c>
      <c r="M107" s="17" t="str">
        <f ca="1">IFERROR(__xludf.DUMMYFUNCTION("INDEX(UNIQUE(FILTER('製造效能'!$D$2:$D$1732, ('製造效能'!$B$2:$B$1732 = D107) * ('製造效能'!$J$2:$J$1732 = MAXIFS('製造效能'!$J$2:$J$1732, '製造效能'!$B$2:$B$1732, D107)))), 1) 
"),"精")</f>
        <v>精</v>
      </c>
      <c r="N107" s="17" t="str">
        <f ca="1">IFERROR(__xludf.DUMMYFUNCTION("TEXTJOIN("", "", TRUE, UNIQUE(FILTER('製造效能'!$K$2:$K$1732, '製造效能'!$B$2:$B$1732 = D107)))"),"水項")</f>
        <v>水項</v>
      </c>
      <c r="O107" s="35">
        <f ca="1">IFERROR(__xludf.DUMMYFUNCTION("IFERROR(INDEX(FILTER('充填效能'!I$2:I$1088, '充填效能'!$A$2:$A$1088=$C107, '充填效能'!$D$2:$D$1088=""充填""), 1), 0)"),35.5)</f>
        <v>35.5</v>
      </c>
      <c r="P107" s="35" t="str">
        <f ca="1">IFERROR(__xludf.DUMMYFUNCTION("IFERROR(INDEX(FILTER('充填效能'!J$2:J$1088, '充填效能'!$A$2:$A$1088=$C107, '充填效能'!$D$2:$D$1088=""充填""), 1), 0)"),"")</f>
        <v/>
      </c>
      <c r="Q107" s="35" t="str">
        <f ca="1">IFERROR(__xludf.DUMMYFUNCTION("IFERROR(INDEX(FILTER('充填效能'!K$2:K$1088, '充填效能'!$A$2:$A$1088=$C107, '充填效能'!$D$2:$D$1088=""充填""), 1), 0)"),"")</f>
        <v/>
      </c>
      <c r="R107" s="35" t="str">
        <f ca="1">IFERROR(__xludf.DUMMYFUNCTION("IFERROR(INDEX(FILTER('充填效能'!L$2:L$1088, '充填效能'!$A$2:$A$1088=$C107, '充填效能'!$D$2:$D$1088=""充填""), 1), 0)"),"")</f>
        <v/>
      </c>
      <c r="S107" s="35">
        <f ca="1">COUNTIFS(製造效能!B:B, $D107,製造效能!D:D,M107)</f>
        <v>3</v>
      </c>
      <c r="T107" s="36">
        <f ca="1">IFERROR(__xludf.DUMMYFUNCTION("VALUE(REGEXEXTRACT(TO_TEXT(O107), ""\d*\.?\d+""))"),35.5)</f>
        <v>35.5</v>
      </c>
      <c r="U107" s="17">
        <f t="shared" ca="1" si="2"/>
        <v>36032.5</v>
      </c>
      <c r="V107" s="17">
        <f ca="1">IFERROR(__xludf.DUMMYFUNCTION("IFERROR(INDEX(FILTER('製造效能'!J:J, '製造效能'!A:A=$C107, '製造效能'!D:D=M107, '製造效能'!E:E=""攪料""), 1), INDEX(FILTER('製造效能'!J:J, '製造效能'!B:B=$D107, '製造效能'!D:D=M107, '製造效能'!E:E=""攪料""), 1))"),75)</f>
        <v>75</v>
      </c>
      <c r="W107" s="36">
        <f ca="1">IFERROR(__xludf.DUMMYFUNCTION("IFERROR(INDEX(FILTER('製造效能'!G:G, '製造效能'!A:A=$C107, '製造效能'!D:D=M107, '製造效能'!E:E=""攪料""), 1), INDEX(FILTER('製造效能'!G:G, '製造效能'!B:B=$D107, '製造效能'!D:D=M107, '製造效能'!E:E=""攪料""), 1))"),160)</f>
        <v>160</v>
      </c>
      <c r="X107" s="35">
        <f t="shared" ca="1" si="3"/>
        <v>1</v>
      </c>
      <c r="Y107" s="35">
        <f t="shared" ca="1" si="4"/>
        <v>160</v>
      </c>
      <c r="Z107" s="35">
        <f ca="1">IFERROR(__xludf.DUMMYFUNCTION("IFERROR(IFERROR(INDEX(FILTER('製造效能'!G:G, '製造效能'!A:A=$C107, '製造效能'!D:D=M107, '製造效能'!E:E=""預攪""), 1), INDEX(FILTER('製造效能'!G:G, '製造效能'!B:B=$D107, '製造效能'!D:D=M107, '製造效能'!E:E=""預攪""), 1)), 0)"),100)</f>
        <v>100</v>
      </c>
      <c r="AA107" s="35">
        <f ca="1">IFERROR(__xludf.DUMMYFUNCTION("IFERROR(INDEX(FILTER('製造效能'!G:G, '製造效能'!A:A=$C107, '製造效能'!D:D=M107, '製造效能'!E:E=""清洗""), 1), INDEX(FILTER('製造效能'!G:G, '製造效能'!B:B=$D107, '製造效能'!D:D=M107, '製造效能'!E:E=""清洗""), 1))"),15)</f>
        <v>15</v>
      </c>
      <c r="AB107" s="35" t="str">
        <f ca="1">IFERROR(__xludf.DUMMYFUNCTION("IFERROR(INDEX(FILTER('製造效能'!N:N, '製造效能'!$A:$A=$C107, '製造效能'!$D:$D=$M107, '製造效能'!$E:$E=""攪料""), 1), INDEX(FILTER('製造效能'!N:N, '製造效能'!$B:$B=$D107, '製造效能'!$D:$D=$M107, '製造效能'!$E:$E=""攪料""), 1))"),"")</f>
        <v/>
      </c>
      <c r="AC107" s="35">
        <f ca="1">IFERROR(__xludf.DUMMYFUNCTION("IFERROR(INDEX(FILTER('製造效能'!O:O, '製造效能'!$A:$A=$C107, '製造效能'!$D:$D=$M107, '製造效能'!$E:$E=""攪料""), 1), INDEX(FILTER('製造效能'!O:O, '製造效能'!$B:$B=$D107, '製造效能'!$D:$D=$M107, '製造效能'!$E:$E=""攪料""), 1))"),1)</f>
        <v>1</v>
      </c>
      <c r="AD107" s="35" t="str">
        <f ca="1">IFERROR(__xludf.DUMMYFUNCTION("IFERROR(INDEX(FILTER('製造效能'!P:P, '製造效能'!$A:$A=$C107, '製造效能'!$D:$D=$M107, '製造效能'!$E:$E=""攪料""), 1), INDEX(FILTER('製造效能'!P:P, '製造效能'!$B:$B=$D107, '製造效能'!$D:$D=$M107, '製造效能'!$E:$E=""攪料""), 1))"),"")</f>
        <v/>
      </c>
      <c r="AE107" s="35" t="str">
        <f ca="1">IFERROR(__xludf.DUMMYFUNCTION("IFERROR(INDEX(FILTER('製造效能'!Q:Q, '製造效能'!$A:$A=$C107, '製造效能'!$D:$D=$M107, '製造效能'!$E:$E=""攪料""), 1), INDEX(FILTER('製造效能'!Q:Q, '製造效能'!$B:$B=$D107, '製造效能'!$D:$D=$M107, '製造效能'!$E:$E=""攪料""), 1))"),"")</f>
        <v/>
      </c>
      <c r="AF107" s="35" t="str">
        <f ca="1">IFERROR(__xludf.DUMMYFUNCTION("IFERROR(INDEX(FILTER('製造效能'!R:R, '製造效能'!$A:$A=$C107, '製造效能'!$D:$D=$M107, '製造效能'!$E:$E=""攪料""), 1), INDEX(FILTER('製造效能'!R:R, '製造效能'!$B:$B=$D107, '製造效能'!$D:$D=$M107, '製造效能'!$E:$E=""攪料""), 1))"),"")</f>
        <v/>
      </c>
      <c r="AG107" s="35" t="str">
        <f ca="1">IFERROR(__xludf.DUMMYFUNCTION("IFERROR(INDEX(FILTER('製造效能'!S:S, '製造效能'!$A:$A=$C107, '製造效能'!$D:$D=$M107, '製造效能'!$E:$E=""攪料""), 1), INDEX(FILTER('製造效能'!S:S, '製造效能'!$B:$B=$D107, '製造效能'!$D:$D=$M107, '製造效能'!$E:$E=""攪料""), 1))"),"")</f>
        <v/>
      </c>
      <c r="AH107" s="35" t="str">
        <f ca="1">IFERROR(__xludf.DUMMYFUNCTION("IFERROR(INDEX(FILTER('製造效能'!T:T, '製造效能'!$A:$A=$C107, '製造效能'!$D:$D=$M107, '製造效能'!$E:$E=""攪料""), 1), INDEX(FILTER('製造效能'!T:T, '製造效能'!$B:$B=$D107, '製造效能'!$D:$D=$M107, '製造效能'!$E:$E=""攪料""), 1))"),"")</f>
        <v/>
      </c>
      <c r="AI107" s="35" t="str">
        <f ca="1">IFERROR(__xludf.DUMMYFUNCTION("IFERROR(INDEX(FILTER('製造效能'!U:U, '製造效能'!$A:$A=$C107, '製造效能'!$D:$D=$M107, '製造效能'!$E:$E=""攪料""), 1), INDEX(FILTER('製造效能'!U:U, '製造效能'!$B:$B=$D107, '製造效能'!$D:$D=$M107, '製造效能'!$E:$E=""攪料""), 1))"),"")</f>
        <v/>
      </c>
      <c r="AJ107" s="35" t="str">
        <f ca="1">IFERROR(__xludf.DUMMYFUNCTION("IFERROR(INDEX(FILTER('製造效能'!V:V, '製造效能'!$A:$A=$C107, '製造效能'!$D:$D=$M107, '製造效能'!$E:$E=""攪料""), 1), INDEX(FILTER('製造效能'!V:V, '製造效能'!$B:$B=$D107, '製造效能'!$D:$D=$M107, '製造效能'!$E:$E=""攪料""), 1))"),"")</f>
        <v/>
      </c>
      <c r="AK107" s="35">
        <f>COUNTIF(充填效能!$A:$A, $C107)</f>
        <v>2</v>
      </c>
      <c r="AL107" s="36" t="str">
        <f ca="1">IFERROR(__xludf.DUMMYFUNCTION("IFERROR(INDEX(FILTER('充填效能'!$Q$2:$Q$1088, '充填效能'!$A$2:$A$1088=$C107, '充填效能'!$D$2:$D$1088=""排瓶""), 1), 0)"),"1200")</f>
        <v>1200</v>
      </c>
      <c r="AM107" s="36">
        <f ca="1">IFERROR(__xludf.DUMMYFUNCTION("IFERROR(INDEX(FILTER('充填效能'!$R$2:$R$1088, '充填效能'!$A$2:$A$1088=$C107, '充填效能'!$D$2:$D$1088=""排瓶""), 1), 0)"),1)</f>
        <v>1</v>
      </c>
      <c r="AN107" s="35">
        <f t="shared" ca="1" si="5"/>
        <v>0.83333333333333337</v>
      </c>
      <c r="AO107" s="36" t="str">
        <f ca="1">IFERROR(__xludf.DUMMYFUNCTION("IFERROR(INDEX(FILTER('充填效能'!$Q$2:$Q$1088, '充填效能'!$A$2:$A$1088=$C107, '充填效能'!$D$2:$D$1088=""充填""), 1), 0)"),"700")</f>
        <v>700</v>
      </c>
      <c r="AP107" s="36">
        <f ca="1">IFERROR(__xludf.DUMMYFUNCTION("IFERROR(INDEX(FILTER('充填效能'!$R$2:$R$1088, '充填效能'!$A$2:$A$1088=$C107, '充填效能'!$D$2:$D$1088=""充填""), 1), 0)"),3)</f>
        <v>3</v>
      </c>
      <c r="AQ107" s="35">
        <f t="shared" ca="1" si="6"/>
        <v>1.4285714285714286</v>
      </c>
      <c r="AR107" s="17">
        <f t="shared" ca="1" si="7"/>
        <v>4.2857142857142856</v>
      </c>
    </row>
    <row r="108" spans="1:44" ht="15.75" customHeight="1">
      <c r="A108" s="9" t="s">
        <v>308</v>
      </c>
      <c r="B108" s="34">
        <f t="shared" si="0"/>
        <v>45062</v>
      </c>
      <c r="C108" s="9" t="s">
        <v>295</v>
      </c>
      <c r="D108" s="17" t="str">
        <f t="shared" si="1"/>
        <v>ET21E2</v>
      </c>
      <c r="E108" s="9" t="s">
        <v>296</v>
      </c>
      <c r="F108" s="9">
        <v>640</v>
      </c>
      <c r="G108" s="10">
        <v>45149</v>
      </c>
      <c r="H108" s="10">
        <v>45145</v>
      </c>
      <c r="I108" s="10">
        <v>45120</v>
      </c>
      <c r="J108" s="10">
        <v>45131</v>
      </c>
      <c r="L108" s="17" t="str">
        <f ca="1">IFERROR(__xludf.DUMMYFUNCTION("TEXTJOIN("", "", TRUE, UNIQUE(FILTER('製造效能'!$D$2:$D$1732, '製造效能'!$B$2:$B$1732 = D108)))"),"小乳, 大乳")</f>
        <v>小乳, 大乳</v>
      </c>
      <c r="M108" s="17" t="str">
        <f ca="1">IFERROR(__xludf.DUMMYFUNCTION("INDEX(UNIQUE(FILTER('製造效能'!$D$2:$D$1732, ('製造效能'!$B$2:$B$1732 = D108) * ('製造效能'!$J$2:$J$1732 = MAXIFS('製造效能'!$J$2:$J$1732, '製造效能'!$B$2:$B$1732, D108)))), 1) 
"),"大乳")</f>
        <v>大乳</v>
      </c>
      <c r="N108" s="17" t="str">
        <f ca="1">IFERROR(__xludf.DUMMYFUNCTION("TEXTJOIN("", "", TRUE, UNIQUE(FILTER('製造效能'!$K$2:$K$1732, '製造效能'!$B$2:$B$1732 = D108)))"),"乳項")</f>
        <v>乳項</v>
      </c>
      <c r="P108" s="35" t="str">
        <f ca="1">IFERROR(__xludf.DUMMYFUNCTION("IFERROR(INDEX(FILTER('充填效能'!J$2:J$1088, '充填效能'!$A$2:$A$1088=$C108, '充填效能'!$D$2:$D$1088=""充填""), 1), 0)"),"")</f>
        <v/>
      </c>
      <c r="Q108" s="35" t="str">
        <f ca="1">IFERROR(__xludf.DUMMYFUNCTION("IFERROR(INDEX(FILTER('充填效能'!K$2:K$1088, '充填效能'!$A$2:$A$1088=$C108, '充填效能'!$D$2:$D$1088=""充填""), 1), 0)"),"")</f>
        <v/>
      </c>
      <c r="R108" s="35">
        <f ca="1">IFERROR(__xludf.DUMMYFUNCTION("IFERROR(INDEX(FILTER('充填效能'!I$2:I$1088, '充填效能'!$A$2:$A$1088=$C108, '充填效能'!$D$2:$D$1088=""充填""), 1), 0)"),60.4)</f>
        <v>60.4</v>
      </c>
      <c r="S108" s="35">
        <f ca="1">COUNTIFS(製造效能!B:B, $D108,製造效能!D:D,M108)</f>
        <v>3</v>
      </c>
      <c r="T108" s="36">
        <f ca="1">IFERROR(__xludf.DUMMYFUNCTION("VALUE(REGEXEXTRACT(TO_TEXT(R108), ""\d*\.?\d+""))"),60.4)</f>
        <v>60.4</v>
      </c>
      <c r="U108" s="17">
        <f t="shared" ca="1" si="2"/>
        <v>39235.839999999997</v>
      </c>
      <c r="V108" s="17">
        <f ca="1">IFERROR(__xludf.DUMMYFUNCTION("IFERROR(INDEX(FILTER('製造效能'!J:J, '製造效能'!A:A=$C108, '製造效能'!D:D=M108, '製造效能'!E:E=""攪料""), 1), INDEX(FILTER('製造效能'!J:J, '製造效能'!B:B=$D108, '製造效能'!D:D=M108, '製造效能'!E:E=""攪料""), 1))"),104)</f>
        <v>104</v>
      </c>
      <c r="W108" s="36">
        <f ca="1">IFERROR(__xludf.DUMMYFUNCTION("IFERROR(INDEX(FILTER('製造效能'!G:G, '製造效能'!A:A=$C108, '製造效能'!D:D=M108, '製造效能'!E:E=""攪料""), 1), INDEX(FILTER('製造效能'!G:G, '製造效能'!B:B=$D108, '製造效能'!D:D=M108, '製造效能'!E:E=""攪料""), 1))"),180)</f>
        <v>180</v>
      </c>
      <c r="X108" s="35">
        <f t="shared" ca="1" si="3"/>
        <v>1</v>
      </c>
      <c r="Y108" s="35">
        <f t="shared" ca="1" si="4"/>
        <v>180</v>
      </c>
      <c r="Z108" s="35">
        <f ca="1">IFERROR(__xludf.DUMMYFUNCTION("IFERROR(IFERROR(INDEX(FILTER('製造效能'!G:G, '製造效能'!A:A=$C108, '製造效能'!D:D=M108, '製造效能'!E:E=""預攪""), 1), INDEX(FILTER('製造效能'!G:G, '製造效能'!B:B=$D108, '製造效能'!D:D=M108, '製造效能'!E:E=""預攪""), 1)), 0)"),25)</f>
        <v>25</v>
      </c>
      <c r="AA108" s="35">
        <f ca="1">IFERROR(__xludf.DUMMYFUNCTION("IFERROR(INDEX(FILTER('製造效能'!G:G, '製造效能'!A:A=$C108, '製造效能'!D:D=M108, '製造效能'!E:E=""清洗""), 1), INDEX(FILTER('製造效能'!G:G, '製造效能'!B:B=$D108, '製造效能'!D:D=M108, '製造效能'!E:E=""清洗""), 1))"),40)</f>
        <v>40</v>
      </c>
      <c r="AB108" s="35" t="str">
        <f ca="1">IFERROR(__xludf.DUMMYFUNCTION("IFERROR(INDEX(FILTER('製造效能'!N:N, '製造效能'!$A:$A=$C108, '製造效能'!$D:$D=$M108, '製造效能'!$E:$E=""攪料""), 1), INDEX(FILTER('製造效能'!N:N, '製造效能'!$B:$B=$D108, '製造效能'!$D:$D=$M108, '製造效能'!$E:$E=""攪料""), 1))"),"")</f>
        <v/>
      </c>
      <c r="AC108" s="35" t="str">
        <f ca="1">IFERROR(__xludf.DUMMYFUNCTION("IFERROR(INDEX(FILTER('製造效能'!O:O, '製造效能'!$A:$A=$C108, '製造效能'!$D:$D=$M108, '製造效能'!$E:$E=""攪料""), 1), INDEX(FILTER('製造效能'!O:O, '製造效能'!$B:$B=$D108, '製造效能'!$D:$D=$M108, '製造效能'!$E:$E=""攪料""), 1))"),"")</f>
        <v/>
      </c>
      <c r="AD108" s="35" t="str">
        <f ca="1">IFERROR(__xludf.DUMMYFUNCTION("IFERROR(INDEX(FILTER('製造效能'!P:P, '製造效能'!$A:$A=$C108, '製造效能'!$D:$D=$M108, '製造效能'!$E:$E=""攪料""), 1), INDEX(FILTER('製造效能'!P:P, '製造效能'!$B:$B=$D108, '製造效能'!$D:$D=$M108, '製造效能'!$E:$E=""攪料""), 1))"),"")</f>
        <v/>
      </c>
      <c r="AE108" s="35">
        <f ca="1">IFERROR(__xludf.DUMMYFUNCTION("IFERROR(INDEX(FILTER('製造效能'!Q:Q, '製造效能'!$A:$A=$C108, '製造效能'!$D:$D=$M108, '製造效能'!$E:$E=""攪料""), 1), INDEX(FILTER('製造效能'!Q:Q, '製造效能'!$B:$B=$D108, '製造效能'!$D:$D=$M108, '製造效能'!$E:$E=""攪料""), 1))"),1)</f>
        <v>1</v>
      </c>
      <c r="AF108" s="35" t="str">
        <f ca="1">IFERROR(__xludf.DUMMYFUNCTION("IFERROR(INDEX(FILTER('製造效能'!R:R, '製造效能'!$A:$A=$C108, '製造效能'!$D:$D=$M108, '製造效能'!$E:$E=""攪料""), 1), INDEX(FILTER('製造效能'!R:R, '製造效能'!$B:$B=$D108, '製造效能'!$D:$D=$M108, '製造效能'!$E:$E=""攪料""), 1))"),"")</f>
        <v/>
      </c>
      <c r="AG108" s="35" t="str">
        <f ca="1">IFERROR(__xludf.DUMMYFUNCTION("IFERROR(INDEX(FILTER('製造效能'!S:S, '製造效能'!$A:$A=$C108, '製造效能'!$D:$D=$M108, '製造效能'!$E:$E=""攪料""), 1), INDEX(FILTER('製造效能'!S:S, '製造效能'!$B:$B=$D108, '製造效能'!$D:$D=$M108, '製造效能'!$E:$E=""攪料""), 1))"),"")</f>
        <v/>
      </c>
      <c r="AH108" s="35" t="str">
        <f ca="1">IFERROR(__xludf.DUMMYFUNCTION("IFERROR(INDEX(FILTER('製造效能'!T:T, '製造效能'!$A:$A=$C108, '製造效能'!$D:$D=$M108, '製造效能'!$E:$E=""攪料""), 1), INDEX(FILTER('製造效能'!T:T, '製造效能'!$B:$B=$D108, '製造效能'!$D:$D=$M108, '製造效能'!$E:$E=""攪料""), 1))"),"")</f>
        <v/>
      </c>
      <c r="AI108" s="35" t="str">
        <f ca="1">IFERROR(__xludf.DUMMYFUNCTION("IFERROR(INDEX(FILTER('製造效能'!U:U, '製造效能'!$A:$A=$C108, '製造效能'!$D:$D=$M108, '製造效能'!$E:$E=""攪料""), 1), INDEX(FILTER('製造效能'!U:U, '製造效能'!$B:$B=$D108, '製造效能'!$D:$D=$M108, '製造效能'!$E:$E=""攪料""), 1))"),"")</f>
        <v/>
      </c>
      <c r="AJ108" s="35" t="str">
        <f ca="1">IFERROR(__xludf.DUMMYFUNCTION("IFERROR(INDEX(FILTER('製造效能'!V:V, '製造效能'!$A:$A=$C108, '製造效能'!$D:$D=$M108, '製造效能'!$E:$E=""攪料""), 1), INDEX(FILTER('製造效能'!V:V, '製造效能'!$B:$B=$D108, '製造效能'!$D:$D=$M108, '製造效能'!$E:$E=""攪料""), 1))"),"")</f>
        <v/>
      </c>
      <c r="AK108" s="35">
        <f>COUNTIF(充填效能!$A:$A, $C108)</f>
        <v>2</v>
      </c>
      <c r="AL108" s="36" t="str">
        <f ca="1">IFERROR(__xludf.DUMMYFUNCTION("IFERROR(INDEX(FILTER('充填效能'!$Q$2:$Q$1088, '充填效能'!$A$2:$A$1088=$C108, '充填效能'!$D$2:$D$1088=""排瓶""), 1), 0)"),"760")</f>
        <v>760</v>
      </c>
      <c r="AM108" s="36">
        <f ca="1">IFERROR(__xludf.DUMMYFUNCTION("IFERROR(INDEX(FILTER('充填效能'!$R$2:$R$1088, '充填效能'!$A$2:$A$1088=$C108, '充填效能'!$D$2:$D$1088=""排瓶""), 1), 0)"),1)</f>
        <v>1</v>
      </c>
      <c r="AN108" s="35">
        <f t="shared" ca="1" si="5"/>
        <v>0.84210526315789469</v>
      </c>
      <c r="AO108" s="36" t="str">
        <f ca="1">IFERROR(__xludf.DUMMYFUNCTION("IFERROR(INDEX(FILTER('充填效能'!$Q$2:$Q$1088, '充填效能'!$A$2:$A$1088=$C108, '充填效能'!$D$2:$D$1088=""充填""), 1), 0)"),"770")</f>
        <v>770</v>
      </c>
      <c r="AP108" s="36">
        <f ca="1">IFERROR(__xludf.DUMMYFUNCTION("IFERROR(INDEX(FILTER('充填效能'!$R$2:$R$1088, '充填效能'!$A$2:$A$1088=$C108, '充填效能'!$D$2:$D$1088=""充填""), 1), 0)"),4)</f>
        <v>4</v>
      </c>
      <c r="AQ108" s="35">
        <f t="shared" ca="1" si="6"/>
        <v>0.83116883116883122</v>
      </c>
      <c r="AR108" s="17">
        <f t="shared" ca="1" si="7"/>
        <v>3.3246753246753249</v>
      </c>
    </row>
    <row r="109" spans="1:44" ht="15.75" customHeight="1">
      <c r="A109" s="9" t="s">
        <v>314</v>
      </c>
      <c r="B109" s="34">
        <f t="shared" si="0"/>
        <v>45097</v>
      </c>
      <c r="C109" s="9" t="s">
        <v>304</v>
      </c>
      <c r="D109" s="17" t="str">
        <f t="shared" si="1"/>
        <v>HJ23D1</v>
      </c>
      <c r="E109" s="9" t="s">
        <v>305</v>
      </c>
      <c r="F109" s="9">
        <v>10000</v>
      </c>
      <c r="G109" s="10">
        <v>45155</v>
      </c>
      <c r="H109" s="10">
        <v>45146</v>
      </c>
      <c r="I109" s="10">
        <v>45064</v>
      </c>
      <c r="J109" s="10">
        <v>45138</v>
      </c>
      <c r="L109" s="17" t="str">
        <f ca="1">IFERROR(__xludf.DUMMYFUNCTION("TEXTJOIN("", "", TRUE, UNIQUE(FILTER('製造效能'!$D$2:$D$1732, '製造效能'!$B$2:$B$1732 = D109)))"),"精")</f>
        <v>精</v>
      </c>
      <c r="M109" s="17" t="str">
        <f ca="1">IFERROR(__xludf.DUMMYFUNCTION("INDEX(UNIQUE(FILTER('製造效能'!$D$2:$D$1732, ('製造效能'!$B$2:$B$1732 = D109) * ('製造效能'!$J$2:$J$1732 = MAXIFS('製造效能'!$J$2:$J$1732, '製造效能'!$B$2:$B$1732, D109)))), 1) 
"),"精")</f>
        <v>精</v>
      </c>
      <c r="N109" s="17" t="str">
        <f ca="1">IFERROR(__xludf.DUMMYFUNCTION("TEXTJOIN("", "", TRUE, UNIQUE(FILTER('製造效能'!$K$2:$K$1732, '製造效能'!$B$2:$B$1732 = D109)))"),"水項")</f>
        <v>水項</v>
      </c>
      <c r="O109" s="35">
        <f ca="1">IFERROR(__xludf.DUMMYFUNCTION("IFERROR(INDEX(FILTER('充填效能'!I$2:I$1088, '充填效能'!$A$2:$A$1088=$C109, '充填效能'!$D$2:$D$1088=""充填""), 1), 0)"),35.5)</f>
        <v>35.5</v>
      </c>
      <c r="P109" s="35" t="str">
        <f ca="1">IFERROR(__xludf.DUMMYFUNCTION("IFERROR(INDEX(FILTER('充填效能'!J$2:J$1088, '充填效能'!$A$2:$A$1088=$C109, '充填效能'!$D$2:$D$1088=""充填""), 1), 0)"),"")</f>
        <v/>
      </c>
      <c r="Q109" s="35" t="str">
        <f ca="1">IFERROR(__xludf.DUMMYFUNCTION("IFERROR(INDEX(FILTER('充填效能'!K$2:K$1088, '充填效能'!$A$2:$A$1088=$C109, '充填效能'!$D$2:$D$1088=""充填""), 1), 0)"),"")</f>
        <v/>
      </c>
      <c r="R109" s="35" t="str">
        <f ca="1">IFERROR(__xludf.DUMMYFUNCTION("IFERROR(INDEX(FILTER('充填效能'!L$2:L$1088, '充填效能'!$A$2:$A$1088=$C109, '充填效能'!$D$2:$D$1088=""充填""), 1), 0)"),"")</f>
        <v/>
      </c>
      <c r="S109" s="35">
        <f ca="1">COUNTIFS(製造效能!B:B, $D109,製造效能!D:D,M109)</f>
        <v>3</v>
      </c>
      <c r="T109" s="36">
        <f ca="1">IFERROR(__xludf.DUMMYFUNCTION("VALUE(REGEXEXTRACT(TO_TEXT(O109), ""\d*\.?\d+""))"),35.5)</f>
        <v>35.5</v>
      </c>
      <c r="U109" s="17">
        <f t="shared" ca="1" si="2"/>
        <v>360324.99999999994</v>
      </c>
      <c r="V109" s="17">
        <f ca="1">IFERROR(__xludf.DUMMYFUNCTION("IFERROR(INDEX(FILTER('製造效能'!J:J, '製造效能'!A:A=$C109, '製造效能'!D:D=M109, '製造效能'!E:E=""攪料""), 1), INDEX(FILTER('製造效能'!J:J, '製造效能'!B:B=$D109, '製造效能'!D:D=M109, '製造效能'!E:E=""攪料""), 1))"),75)</f>
        <v>75</v>
      </c>
      <c r="W109" s="36">
        <f ca="1">IFERROR(__xludf.DUMMYFUNCTION("IFERROR(INDEX(FILTER('製造效能'!G:G, '製造效能'!A:A=$C109, '製造效能'!D:D=M109, '製造效能'!E:E=""攪料""), 1), INDEX(FILTER('製造效能'!G:G, '製造效能'!B:B=$D109, '製造效能'!D:D=M109, '製造效能'!E:E=""攪料""), 1))"),160)</f>
        <v>160</v>
      </c>
      <c r="X109" s="35">
        <f t="shared" ca="1" si="3"/>
        <v>5</v>
      </c>
      <c r="Y109" s="35">
        <f t="shared" ca="1" si="4"/>
        <v>800</v>
      </c>
      <c r="Z109" s="35">
        <f ca="1">IFERROR(__xludf.DUMMYFUNCTION("IFERROR(IFERROR(INDEX(FILTER('製造效能'!G:G, '製造效能'!A:A=$C109, '製造效能'!D:D=M109, '製造效能'!E:E=""預攪""), 1), INDEX(FILTER('製造效能'!G:G, '製造效能'!B:B=$D109, '製造效能'!D:D=M109, '製造效能'!E:E=""預攪""), 1)), 0)"),100)</f>
        <v>100</v>
      </c>
      <c r="AA109" s="35">
        <f ca="1">IFERROR(__xludf.DUMMYFUNCTION("IFERROR(INDEX(FILTER('製造效能'!G:G, '製造效能'!A:A=$C109, '製造效能'!D:D=M109, '製造效能'!E:E=""清洗""), 1), INDEX(FILTER('製造效能'!G:G, '製造效能'!B:B=$D109, '製造效能'!D:D=M109, '製造效能'!E:E=""清洗""), 1))"),15)</f>
        <v>15</v>
      </c>
      <c r="AB109" s="35" t="str">
        <f ca="1">IFERROR(__xludf.DUMMYFUNCTION("IFERROR(INDEX(FILTER('製造效能'!N:N, '製造效能'!$A:$A=$C109, '製造效能'!$D:$D=$M109, '製造效能'!$E:$E=""攪料""), 1), INDEX(FILTER('製造效能'!N:N, '製造效能'!$B:$B=$D109, '製造效能'!$D:$D=$M109, '製造效能'!$E:$E=""攪料""), 1))"),"")</f>
        <v/>
      </c>
      <c r="AC109" s="35">
        <f ca="1">IFERROR(__xludf.DUMMYFUNCTION("IFERROR(INDEX(FILTER('製造效能'!O:O, '製造效能'!$A:$A=$C109, '製造效能'!$D:$D=$M109, '製造效能'!$E:$E=""攪料""), 1), INDEX(FILTER('製造效能'!O:O, '製造效能'!$B:$B=$D109, '製造效能'!$D:$D=$M109, '製造效能'!$E:$E=""攪料""), 1))"),1)</f>
        <v>1</v>
      </c>
      <c r="AD109" s="35" t="str">
        <f ca="1">IFERROR(__xludf.DUMMYFUNCTION("IFERROR(INDEX(FILTER('製造效能'!P:P, '製造效能'!$A:$A=$C109, '製造效能'!$D:$D=$M109, '製造效能'!$E:$E=""攪料""), 1), INDEX(FILTER('製造效能'!P:P, '製造效能'!$B:$B=$D109, '製造效能'!$D:$D=$M109, '製造效能'!$E:$E=""攪料""), 1))"),"")</f>
        <v/>
      </c>
      <c r="AE109" s="35" t="str">
        <f ca="1">IFERROR(__xludf.DUMMYFUNCTION("IFERROR(INDEX(FILTER('製造效能'!Q:Q, '製造效能'!$A:$A=$C109, '製造效能'!$D:$D=$M109, '製造效能'!$E:$E=""攪料""), 1), INDEX(FILTER('製造效能'!Q:Q, '製造效能'!$B:$B=$D109, '製造效能'!$D:$D=$M109, '製造效能'!$E:$E=""攪料""), 1))"),"")</f>
        <v/>
      </c>
      <c r="AF109" s="35" t="str">
        <f ca="1">IFERROR(__xludf.DUMMYFUNCTION("IFERROR(INDEX(FILTER('製造效能'!R:R, '製造效能'!$A:$A=$C109, '製造效能'!$D:$D=$M109, '製造效能'!$E:$E=""攪料""), 1), INDEX(FILTER('製造效能'!R:R, '製造效能'!$B:$B=$D109, '製造效能'!$D:$D=$M109, '製造效能'!$E:$E=""攪料""), 1))"),"")</f>
        <v/>
      </c>
      <c r="AG109" s="35" t="str">
        <f ca="1">IFERROR(__xludf.DUMMYFUNCTION("IFERROR(INDEX(FILTER('製造效能'!S:S, '製造效能'!$A:$A=$C109, '製造效能'!$D:$D=$M109, '製造效能'!$E:$E=""攪料""), 1), INDEX(FILTER('製造效能'!S:S, '製造效能'!$B:$B=$D109, '製造效能'!$D:$D=$M109, '製造效能'!$E:$E=""攪料""), 1))"),"")</f>
        <v/>
      </c>
      <c r="AH109" s="35" t="str">
        <f ca="1">IFERROR(__xludf.DUMMYFUNCTION("IFERROR(INDEX(FILTER('製造效能'!T:T, '製造效能'!$A:$A=$C109, '製造效能'!$D:$D=$M109, '製造效能'!$E:$E=""攪料""), 1), INDEX(FILTER('製造效能'!T:T, '製造效能'!$B:$B=$D109, '製造效能'!$D:$D=$M109, '製造效能'!$E:$E=""攪料""), 1))"),"")</f>
        <v/>
      </c>
      <c r="AI109" s="35" t="str">
        <f ca="1">IFERROR(__xludf.DUMMYFUNCTION("IFERROR(INDEX(FILTER('製造效能'!U:U, '製造效能'!$A:$A=$C109, '製造效能'!$D:$D=$M109, '製造效能'!$E:$E=""攪料""), 1), INDEX(FILTER('製造效能'!U:U, '製造效能'!$B:$B=$D109, '製造效能'!$D:$D=$M109, '製造效能'!$E:$E=""攪料""), 1))"),"")</f>
        <v/>
      </c>
      <c r="AJ109" s="35" t="str">
        <f ca="1">IFERROR(__xludf.DUMMYFUNCTION("IFERROR(INDEX(FILTER('製造效能'!V:V, '製造效能'!$A:$A=$C109, '製造效能'!$D:$D=$M109, '製造效能'!$E:$E=""攪料""), 1), INDEX(FILTER('製造效能'!V:V, '製造效能'!$B:$B=$D109, '製造效能'!$D:$D=$M109, '製造效能'!$E:$E=""攪料""), 1))"),"")</f>
        <v/>
      </c>
      <c r="AK109" s="35">
        <f>COUNTIF(充填效能!$A:$A, $C109)</f>
        <v>2</v>
      </c>
      <c r="AL109" s="36" t="str">
        <f ca="1">IFERROR(__xludf.DUMMYFUNCTION("IFERROR(INDEX(FILTER('充填效能'!$Q$2:$Q$1088, '充填效能'!$A$2:$A$1088=$C109, '充填效能'!$D$2:$D$1088=""排瓶""), 1), 0)"),"900")</f>
        <v>900</v>
      </c>
      <c r="AM109" s="36">
        <f ca="1">IFERROR(__xludf.DUMMYFUNCTION("IFERROR(INDEX(FILTER('充填效能'!$R$2:$R$1088, '充填效能'!$A$2:$A$1088=$C109, '充填效能'!$D$2:$D$1088=""排瓶""), 1), 0)"),1)</f>
        <v>1</v>
      </c>
      <c r="AN109" s="35">
        <f t="shared" ca="1" si="5"/>
        <v>11.111111111111111</v>
      </c>
      <c r="AO109" s="36" t="str">
        <f ca="1">IFERROR(__xludf.DUMMYFUNCTION("IFERROR(INDEX(FILTER('充填效能'!$Q$2:$Q$1088, '充填效能'!$A$2:$A$1088=$C109, '充填效能'!$D$2:$D$1088=""充填""), 1), 0)"),"690")</f>
        <v>690</v>
      </c>
      <c r="AP109" s="36">
        <f ca="1">IFERROR(__xludf.DUMMYFUNCTION("IFERROR(INDEX(FILTER('充填效能'!$R$2:$R$1088, '充填效能'!$A$2:$A$1088=$C109, '充填效能'!$D$2:$D$1088=""充填""), 1), 0)"),3)</f>
        <v>3</v>
      </c>
      <c r="AQ109" s="35">
        <f t="shared" ca="1" si="6"/>
        <v>14.492753623188406</v>
      </c>
      <c r="AR109" s="17">
        <f t="shared" ca="1" si="7"/>
        <v>43.478260869565219</v>
      </c>
    </row>
    <row r="110" spans="1:44" ht="15.75" customHeight="1">
      <c r="A110" s="9" t="s">
        <v>64</v>
      </c>
      <c r="B110" s="34">
        <f t="shared" si="0"/>
        <v>44904</v>
      </c>
      <c r="C110" s="9" t="s">
        <v>99</v>
      </c>
      <c r="D110" s="17" t="str">
        <f t="shared" si="1"/>
        <v>BY23D1</v>
      </c>
      <c r="E110" s="9" t="s">
        <v>100</v>
      </c>
      <c r="F110" s="9">
        <v>2000</v>
      </c>
      <c r="G110" s="10">
        <v>45148</v>
      </c>
      <c r="H110" s="37">
        <v>45148</v>
      </c>
      <c r="I110" s="10">
        <v>45128</v>
      </c>
      <c r="J110" s="10">
        <v>45128</v>
      </c>
      <c r="L110" s="17" t="str">
        <f ca="1">IFERROR(__xludf.DUMMYFUNCTION("TEXTJOIN("", "", TRUE, UNIQUE(FILTER('製造效能'!$D$2:$D$1732, '製造效能'!$B$2:$B$1732 = D110)))"),"精")</f>
        <v>精</v>
      </c>
      <c r="M110" s="17" t="str">
        <f ca="1">IFERROR(__xludf.DUMMYFUNCTION("INDEX(UNIQUE(FILTER('製造效能'!$D$2:$D$1732, ('製造效能'!$B$2:$B$1732 = D110) * ('製造效能'!$J$2:$J$1732 = MAXIFS('製造效能'!$J$2:$J$1732, '製造效能'!$B$2:$B$1732, D110)))), 1) 
"),"精")</f>
        <v>精</v>
      </c>
      <c r="N110" s="17" t="str">
        <f ca="1">IFERROR(__xludf.DUMMYFUNCTION("TEXTJOIN("", "", TRUE, UNIQUE(FILTER('製造效能'!$K$2:$K$1732, '製造效能'!$B$2:$B$1732 = D110)))"),"水項")</f>
        <v>水項</v>
      </c>
      <c r="O110" s="35">
        <f ca="1">IFERROR(__xludf.DUMMYFUNCTION("IFERROR(INDEX(FILTER('充填效能'!I$2:I$1088, '充填效能'!$A$2:$A$1088=$C110, '充填效能'!$D$2:$D$1088=""充填""), 1), 0)"),31.7)</f>
        <v>31.7</v>
      </c>
      <c r="P110" s="35" t="str">
        <f ca="1">IFERROR(__xludf.DUMMYFUNCTION("IFERROR(INDEX(FILTER('充填效能'!J$2:J$1088, '充填效能'!$A$2:$A$1088=$C110, '充填效能'!$D$2:$D$1088=""充填""), 1), 0)"),"")</f>
        <v/>
      </c>
      <c r="Q110" s="35" t="str">
        <f ca="1">IFERROR(__xludf.DUMMYFUNCTION("IFERROR(INDEX(FILTER('充填效能'!K$2:K$1088, '充填效能'!$A$2:$A$1088=$C110, '充填效能'!$D$2:$D$1088=""充填""), 1), 0)"),"")</f>
        <v/>
      </c>
      <c r="R110" s="35" t="str">
        <f ca="1">IFERROR(__xludf.DUMMYFUNCTION("IFERROR(INDEX(FILTER('充填效能'!L$2:L$1088, '充填效能'!$A$2:$A$1088=$C110, '充填效能'!$D$2:$D$1088=""充填""), 1), 0)"),"")</f>
        <v/>
      </c>
      <c r="S110" s="35">
        <f ca="1">COUNTIFS(製造效能!B:B, $D110,製造效能!D:D,M110)</f>
        <v>2</v>
      </c>
      <c r="T110" s="36">
        <f ca="1">IFERROR(__xludf.DUMMYFUNCTION("VALUE(REGEXEXTRACT(TO_TEXT(O110), ""\d*\.?\d+""))"),31.7)</f>
        <v>31.7</v>
      </c>
      <c r="U110" s="17">
        <f t="shared" ca="1" si="2"/>
        <v>64350.999999999993</v>
      </c>
      <c r="V110" s="17">
        <f ca="1">IFERROR(__xludf.DUMMYFUNCTION("IFERROR(INDEX(FILTER('製造效能'!J:J, '製造效能'!A:A=$C110, '製造效能'!D:D=M110, '製造效能'!E:E=""攪料""), 1), INDEX(FILTER('製造效能'!J:J, '製造效能'!B:B=$D110, '製造效能'!D:D=M110, '製造效能'!E:E=""攪料""), 1))"),100)</f>
        <v>100</v>
      </c>
      <c r="W110" s="36">
        <f ca="1">IFERROR(__xludf.DUMMYFUNCTION("IFERROR(INDEX(FILTER('製造效能'!G:G, '製造效能'!A:A=$C110, '製造效能'!D:D=M110, '製造效能'!E:E=""攪料""), 1), INDEX(FILTER('製造效能'!G:G, '製造效能'!B:B=$D110, '製造效能'!D:D=M110, '製造效能'!E:E=""攪料""), 1))"),160)</f>
        <v>160</v>
      </c>
      <c r="X110" s="35">
        <f t="shared" ca="1" si="3"/>
        <v>1</v>
      </c>
      <c r="Y110" s="35">
        <f t="shared" ca="1" si="4"/>
        <v>160</v>
      </c>
      <c r="Z110" s="35">
        <f ca="1">IFERROR(__xludf.DUMMYFUNCTION("IFERROR(IFERROR(INDEX(FILTER('製造效能'!G:G, '製造效能'!A:A=$C110, '製造效能'!D:D=M110, '製造效能'!E:E=""預攪""), 1), INDEX(FILTER('製造效能'!G:G, '製造效能'!B:B=$D110, '製造效能'!D:D=M110, '製造效能'!E:E=""預攪""), 1)), 0)"),0)</f>
        <v>0</v>
      </c>
      <c r="AA110" s="35">
        <f ca="1">IFERROR(__xludf.DUMMYFUNCTION("IFERROR(INDEX(FILTER('製造效能'!G:G, '製造效能'!A:A=$C110, '製造效能'!D:D=M110, '製造效能'!E:E=""清洗""), 1), INDEX(FILTER('製造效能'!G:G, '製造效能'!B:B=$D110, '製造效能'!D:D=M110, '製造效能'!E:E=""清洗""), 1))"),30)</f>
        <v>30</v>
      </c>
      <c r="AB110" s="35" t="str">
        <f ca="1">IFERROR(__xludf.DUMMYFUNCTION("IFERROR(INDEX(FILTER('製造效能'!N:N, '製造效能'!$A:$A=$C110, '製造效能'!$D:$D=$M110, '製造效能'!$E:$E=""攪料""), 1), INDEX(FILTER('製造效能'!N:N, '製造效能'!$B:$B=$D110, '製造效能'!$D:$D=$M110, '製造效能'!$E:$E=""攪料""), 1))"),"")</f>
        <v/>
      </c>
      <c r="AC110" s="35" t="str">
        <f ca="1">IFERROR(__xludf.DUMMYFUNCTION("IFERROR(INDEX(FILTER('製造效能'!O:O, '製造效能'!$A:$A=$C110, '製造效能'!$D:$D=$M110, '製造效能'!$E:$E=""攪料""), 1), INDEX(FILTER('製造效能'!O:O, '製造效能'!$B:$B=$D110, '製造效能'!$D:$D=$M110, '製造效能'!$E:$E=""攪料""), 1))"),"")</f>
        <v/>
      </c>
      <c r="AD110" s="35" t="str">
        <f ca="1">IFERROR(__xludf.DUMMYFUNCTION("IFERROR(INDEX(FILTER('製造效能'!P:P, '製造效能'!$A:$A=$C110, '製造效能'!$D:$D=$M110, '製造效能'!$E:$E=""攪料""), 1), INDEX(FILTER('製造效能'!P:P, '製造效能'!$B:$B=$D110, '製造效能'!$D:$D=$M110, '製造效能'!$E:$E=""攪料""), 1))"),"")</f>
        <v/>
      </c>
      <c r="AE110" s="35" t="str">
        <f ca="1">IFERROR(__xludf.DUMMYFUNCTION("IFERROR(INDEX(FILTER('製造效能'!Q:Q, '製造效能'!$A:$A=$C110, '製造效能'!$D:$D=$M110, '製造效能'!$E:$E=""攪料""), 1), INDEX(FILTER('製造效能'!Q:Q, '製造效能'!$B:$B=$D110, '製造效能'!$D:$D=$M110, '製造效能'!$E:$E=""攪料""), 1))"),"")</f>
        <v/>
      </c>
      <c r="AF110" s="35">
        <f ca="1">IFERROR(__xludf.DUMMYFUNCTION("IFERROR(INDEX(FILTER('製造效能'!R:R, '製造效能'!$A:$A=$C110, '製造效能'!$D:$D=$M110, '製造效能'!$E:$E=""攪料""), 1), INDEX(FILTER('製造效能'!R:R, '製造效能'!$B:$B=$D110, '製造效能'!$D:$D=$M110, '製造效能'!$E:$E=""攪料""), 1))"),1)</f>
        <v>1</v>
      </c>
      <c r="AG110" s="35" t="str">
        <f ca="1">IFERROR(__xludf.DUMMYFUNCTION("IFERROR(INDEX(FILTER('製造效能'!S:S, '製造效能'!$A:$A=$C110, '製造效能'!$D:$D=$M110, '製造效能'!$E:$E=""攪料""), 1), INDEX(FILTER('製造效能'!S:S, '製造效能'!$B:$B=$D110, '製造效能'!$D:$D=$M110, '製造效能'!$E:$E=""攪料""), 1))"),"")</f>
        <v/>
      </c>
      <c r="AH110" s="35" t="str">
        <f ca="1">IFERROR(__xludf.DUMMYFUNCTION("IFERROR(INDEX(FILTER('製造效能'!T:T, '製造效能'!$A:$A=$C110, '製造效能'!$D:$D=$M110, '製造效能'!$E:$E=""攪料""), 1), INDEX(FILTER('製造效能'!T:T, '製造效能'!$B:$B=$D110, '製造效能'!$D:$D=$M110, '製造效能'!$E:$E=""攪料""), 1))"),"")</f>
        <v/>
      </c>
      <c r="AI110" s="35" t="str">
        <f ca="1">IFERROR(__xludf.DUMMYFUNCTION("IFERROR(INDEX(FILTER('製造效能'!U:U, '製造效能'!$A:$A=$C110, '製造效能'!$D:$D=$M110, '製造效能'!$E:$E=""攪料""), 1), INDEX(FILTER('製造效能'!U:U, '製造效能'!$B:$B=$D110, '製造效能'!$D:$D=$M110, '製造效能'!$E:$E=""攪料""), 1))"),"")</f>
        <v/>
      </c>
      <c r="AJ110" s="35" t="str">
        <f ca="1">IFERROR(__xludf.DUMMYFUNCTION("IFERROR(INDEX(FILTER('製造效能'!V:V, '製造效能'!$A:$A=$C110, '製造效能'!$D:$D=$M110, '製造效能'!$E:$E=""攪料""), 1), INDEX(FILTER('製造效能'!V:V, '製造效能'!$B:$B=$D110, '製造效能'!$D:$D=$M110, '製造效能'!$E:$E=""攪料""), 1))"),"")</f>
        <v/>
      </c>
      <c r="AK110" s="35">
        <f>COUNTIF(充填效能!$A:$A, $C110)</f>
        <v>2</v>
      </c>
      <c r="AL110" s="36" t="str">
        <f ca="1">IFERROR(__xludf.DUMMYFUNCTION("IFERROR(INDEX(FILTER('充填效能'!$Q$2:$Q$1088, '充填效能'!$A$2:$A$1088=$C110, '充填效能'!$D$2:$D$1088=""排瓶""), 1), 0)"),"660")</f>
        <v>660</v>
      </c>
      <c r="AM110" s="36">
        <f ca="1">IFERROR(__xludf.DUMMYFUNCTION("IFERROR(INDEX(FILTER('充填效能'!$R$2:$R$1088, '充填效能'!$A$2:$A$1088=$C110, '充填效能'!$D$2:$D$1088=""排瓶""), 1), 0)"),1)</f>
        <v>1</v>
      </c>
      <c r="AN110" s="35">
        <f t="shared" ca="1" si="5"/>
        <v>3.0303030303030303</v>
      </c>
      <c r="AO110" s="36" t="str">
        <f ca="1">IFERROR(__xludf.DUMMYFUNCTION("IFERROR(INDEX(FILTER('充填效能'!$Q$2:$Q$1088, '充填效能'!$A$2:$A$1088=$C110, '充填效能'!$D$2:$D$1088=""充填""), 1), 0)"),"800")</f>
        <v>800</v>
      </c>
      <c r="AP110" s="36">
        <f ca="1">IFERROR(__xludf.DUMMYFUNCTION("IFERROR(INDEX(FILTER('充填效能'!$R$2:$R$1088, '充填效能'!$A$2:$A$1088=$C110, '充填效能'!$D$2:$D$1088=""充填""), 1), 0)"),4)</f>
        <v>4</v>
      </c>
      <c r="AQ110" s="35">
        <f t="shared" ca="1" si="6"/>
        <v>2.5</v>
      </c>
      <c r="AR110" s="17">
        <f t="shared" ca="1" si="7"/>
        <v>10</v>
      </c>
    </row>
    <row r="111" spans="1:44" ht="15.75" customHeight="1">
      <c r="A111" s="9" t="s">
        <v>315</v>
      </c>
      <c r="B111" s="34">
        <f t="shared" si="0"/>
        <v>45071</v>
      </c>
      <c r="C111" s="9" t="s">
        <v>111</v>
      </c>
      <c r="D111" s="17" t="str">
        <f t="shared" si="1"/>
        <v>N1N2F1</v>
      </c>
      <c r="E111" s="9" t="s">
        <v>112</v>
      </c>
      <c r="F111" s="9">
        <v>5000</v>
      </c>
      <c r="G111" s="10">
        <v>45156</v>
      </c>
      <c r="H111" s="10">
        <v>45152</v>
      </c>
      <c r="I111" s="10">
        <v>45134</v>
      </c>
      <c r="J111" s="10">
        <v>45147</v>
      </c>
      <c r="L111" s="17" t="str">
        <f ca="1">IFERROR(__xludf.DUMMYFUNCTION("TEXTJOIN("", "", TRUE, UNIQUE(FILTER('製造效能'!$D$2:$D$1732, '製造效能'!$B$2:$B$1732 = D111)))"),"小乳, 精")</f>
        <v>小乳, 精</v>
      </c>
      <c r="M111" s="17" t="str">
        <f ca="1">IFERROR(__xludf.DUMMYFUNCTION("INDEX(UNIQUE(FILTER('製造效能'!$D$2:$D$1732, ('製造效能'!$B$2:$B$1732 = D111) * ('製造效能'!$J$2:$J$1732 = MAXIFS('製造效能'!$J$2:$J$1732, '製造效能'!$B$2:$B$1732, D111)))), 1) 
"),"精")</f>
        <v>精</v>
      </c>
      <c r="N111" s="17" t="str">
        <f ca="1">IFERROR(__xludf.DUMMYFUNCTION("TEXTJOIN("", "", TRUE, UNIQUE(FILTER('製造效能'!$K$2:$K$1732, '製造效能'!$B$2:$B$1732 = D111)))"),"乳項")</f>
        <v>乳項</v>
      </c>
      <c r="P111" s="35" t="str">
        <f ca="1">IFERROR(__xludf.DUMMYFUNCTION("IFERROR(INDEX(FILTER('充填效能'!J$2:J$1088, '充填效能'!$A$2:$A$1088=$C111, '充填效能'!$D$2:$D$1088=""充填""), 1), 0)"),"")</f>
        <v/>
      </c>
      <c r="Q111" s="35" t="str">
        <f ca="1">IFERROR(__xludf.DUMMYFUNCTION("IFERROR(INDEX(FILTER('充填效能'!K$2:K$1088, '充填效能'!$A$2:$A$1088=$C111, '充填效能'!$D$2:$D$1088=""充填""), 1), 0)"),"")</f>
        <v/>
      </c>
      <c r="R111" s="35">
        <f ca="1">IFERROR(__xludf.DUMMYFUNCTION("IFERROR(INDEX(FILTER('充填效能'!I$2:I$1088, '充填效能'!$A$2:$A$1088=$C111, '充填效能'!$D$2:$D$1088=""充填""), 1), 0)"),370)</f>
        <v>370</v>
      </c>
      <c r="S111" s="35">
        <f ca="1">COUNTIFS(製造效能!B:B, $D111,製造效能!D:D,M111)</f>
        <v>3</v>
      </c>
      <c r="T111" s="36">
        <f ca="1">IFERROR(__xludf.DUMMYFUNCTION("VALUE(REGEXEXTRACT(TO_TEXT(R111), ""\d*\.?\d+""))"),370)</f>
        <v>370</v>
      </c>
      <c r="U111" s="17">
        <f t="shared" ca="1" si="2"/>
        <v>1877749.9999999998</v>
      </c>
      <c r="V111" s="17">
        <f ca="1">IFERROR(__xludf.DUMMYFUNCTION("IFERROR(INDEX(FILTER('製造效能'!J:J, '製造效能'!A:A=$C111, '製造效能'!D:D=M111, '製造效能'!E:E=""攪料""), 1), INDEX(FILTER('製造效能'!J:J, '製造效能'!B:B=$D111, '製造效能'!D:D=M111, '製造效能'!E:E=""攪料""), 1))"),100)</f>
        <v>100</v>
      </c>
      <c r="W111" s="36">
        <f ca="1">IFERROR(__xludf.DUMMYFUNCTION("IFERROR(INDEX(FILTER('製造效能'!G:G, '製造效能'!A:A=$C111, '製造效能'!D:D=M111, '製造效能'!E:E=""攪料""), 1), INDEX(FILTER('製造效能'!G:G, '製造效能'!B:B=$D111, '製造效能'!D:D=M111, '製造效能'!E:E=""攪料""), 1))"),60)</f>
        <v>60</v>
      </c>
      <c r="X111" s="35">
        <f t="shared" ca="1" si="3"/>
        <v>19</v>
      </c>
      <c r="Y111" s="35">
        <f t="shared" ca="1" si="4"/>
        <v>1140</v>
      </c>
      <c r="Z111" s="35">
        <f ca="1">IFERROR(__xludf.DUMMYFUNCTION("IFERROR(IFERROR(INDEX(FILTER('製造效能'!G:G, '製造效能'!A:A=$C111, '製造效能'!D:D=M111, '製造效能'!E:E=""預攪""), 1), INDEX(FILTER('製造效能'!G:G, '製造效能'!B:B=$D111, '製造效能'!D:D=M111, '製造效能'!E:E=""預攪""), 1)), 0)"),75)</f>
        <v>75</v>
      </c>
      <c r="AA111" s="35">
        <f ca="1">IFERROR(__xludf.DUMMYFUNCTION("IFERROR(INDEX(FILTER('製造效能'!G:G, '製造效能'!A:A=$C111, '製造效能'!D:D=M111, '製造效能'!E:E=""清洗""), 1), INDEX(FILTER('製造效能'!G:G, '製造效能'!B:B=$D111, '製造效能'!D:D=M111, '製造效能'!E:E=""清洗""), 1))"),10)</f>
        <v>10</v>
      </c>
      <c r="AB111" s="35" t="str">
        <f ca="1">IFERROR(__xludf.DUMMYFUNCTION("IFERROR(INDEX(FILTER('製造效能'!N:N, '製造效能'!$A:$A=$C111, '製造效能'!$D:$D=$M111, '製造效能'!$E:$E=""攪料""), 1), INDEX(FILTER('製造效能'!N:N, '製造效能'!$B:$B=$D111, '製造效能'!$D:$D=$M111, '製造效能'!$E:$E=""攪料""), 1))"),"")</f>
        <v/>
      </c>
      <c r="AC111" s="35">
        <f ca="1">IFERROR(__xludf.DUMMYFUNCTION("IFERROR(INDEX(FILTER('製造效能'!O:O, '製造效能'!$A:$A=$C111, '製造效能'!$D:$D=$M111, '製造效能'!$E:$E=""攪料""), 1), INDEX(FILTER('製造效能'!O:O, '製造效能'!$B:$B=$D111, '製造效能'!$D:$D=$M111, '製造效能'!$E:$E=""攪料""), 1))"),1)</f>
        <v>1</v>
      </c>
      <c r="AD111" s="35" t="str">
        <f ca="1">IFERROR(__xludf.DUMMYFUNCTION("IFERROR(INDEX(FILTER('製造效能'!P:P, '製造效能'!$A:$A=$C111, '製造效能'!$D:$D=$M111, '製造效能'!$E:$E=""攪料""), 1), INDEX(FILTER('製造效能'!P:P, '製造效能'!$B:$B=$D111, '製造效能'!$D:$D=$M111, '製造效能'!$E:$E=""攪料""), 1))"),"")</f>
        <v/>
      </c>
      <c r="AE111" s="35" t="str">
        <f ca="1">IFERROR(__xludf.DUMMYFUNCTION("IFERROR(INDEX(FILTER('製造效能'!Q:Q, '製造效能'!$A:$A=$C111, '製造效能'!$D:$D=$M111, '製造效能'!$E:$E=""攪料""), 1), INDEX(FILTER('製造效能'!Q:Q, '製造效能'!$B:$B=$D111, '製造效能'!$D:$D=$M111, '製造效能'!$E:$E=""攪料""), 1))"),"")</f>
        <v/>
      </c>
      <c r="AF111" s="35" t="str">
        <f ca="1">IFERROR(__xludf.DUMMYFUNCTION("IFERROR(INDEX(FILTER('製造效能'!R:R, '製造效能'!$A:$A=$C111, '製造效能'!$D:$D=$M111, '製造效能'!$E:$E=""攪料""), 1), INDEX(FILTER('製造效能'!R:R, '製造效能'!$B:$B=$D111, '製造效能'!$D:$D=$M111, '製造效能'!$E:$E=""攪料""), 1))"),"")</f>
        <v/>
      </c>
      <c r="AG111" s="35" t="str">
        <f ca="1">IFERROR(__xludf.DUMMYFUNCTION("IFERROR(INDEX(FILTER('製造效能'!S:S, '製造效能'!$A:$A=$C111, '製造效能'!$D:$D=$M111, '製造效能'!$E:$E=""攪料""), 1), INDEX(FILTER('製造效能'!S:S, '製造效能'!$B:$B=$D111, '製造效能'!$D:$D=$M111, '製造效能'!$E:$E=""攪料""), 1))"),"")</f>
        <v/>
      </c>
      <c r="AH111" s="35" t="str">
        <f ca="1">IFERROR(__xludf.DUMMYFUNCTION("IFERROR(INDEX(FILTER('製造效能'!T:T, '製造效能'!$A:$A=$C111, '製造效能'!$D:$D=$M111, '製造效能'!$E:$E=""攪料""), 1), INDEX(FILTER('製造效能'!T:T, '製造效能'!$B:$B=$D111, '製造效能'!$D:$D=$M111, '製造效能'!$E:$E=""攪料""), 1))"),"")</f>
        <v/>
      </c>
      <c r="AI111" s="35" t="str">
        <f ca="1">IFERROR(__xludf.DUMMYFUNCTION("IFERROR(INDEX(FILTER('製造效能'!U:U, '製造效能'!$A:$A=$C111, '製造效能'!$D:$D=$M111, '製造效能'!$E:$E=""攪料""), 1), INDEX(FILTER('製造效能'!U:U, '製造效能'!$B:$B=$D111, '製造效能'!$D:$D=$M111, '製造效能'!$E:$E=""攪料""), 1))"),"")</f>
        <v/>
      </c>
      <c r="AJ111" s="35" t="str">
        <f ca="1">IFERROR(__xludf.DUMMYFUNCTION("IFERROR(INDEX(FILTER('製造效能'!V:V, '製造效能'!$A:$A=$C111, '製造效能'!$D:$D=$M111, '製造效能'!$E:$E=""攪料""), 1), INDEX(FILTER('製造效能'!V:V, '製造效能'!$B:$B=$D111, '製造效能'!$D:$D=$M111, '製造效能'!$E:$E=""攪料""), 1))"),"")</f>
        <v/>
      </c>
      <c r="AK111" s="35">
        <f>COUNTIF(充填效能!$A:$A, $C111)</f>
        <v>2</v>
      </c>
      <c r="AL111" s="36" t="str">
        <f ca="1">IFERROR(__xludf.DUMMYFUNCTION("IFERROR(INDEX(FILTER('充填效能'!$Q$2:$Q$1088, '充填效能'!$A$2:$A$1088=$C111, '充填效能'!$D$2:$D$1088=""排瓶""), 1), 0)"),"570")</f>
        <v>570</v>
      </c>
      <c r="AM111" s="36">
        <f ca="1">IFERROR(__xludf.DUMMYFUNCTION("IFERROR(INDEX(FILTER('充填效能'!$R$2:$R$1088, '充填效能'!$A$2:$A$1088=$C111, '充填效能'!$D$2:$D$1088=""排瓶""), 1), 0)"),1)</f>
        <v>1</v>
      </c>
      <c r="AN111" s="35">
        <f t="shared" ca="1" si="5"/>
        <v>8.7719298245614041</v>
      </c>
      <c r="AO111" s="36" t="str">
        <f ca="1">IFERROR(__xludf.DUMMYFUNCTION("IFERROR(INDEX(FILTER('充填效能'!$Q$2:$Q$1088, '充填效能'!$A$2:$A$1088=$C111, '充填效能'!$D$2:$D$1088=""充填""), 1), 0)"),"480")</f>
        <v>480</v>
      </c>
      <c r="AP111" s="36">
        <f ca="1">IFERROR(__xludf.DUMMYFUNCTION("IFERROR(INDEX(FILTER('充填效能'!$R$2:$R$1088, '充填效能'!$A$2:$A$1088=$C111, '充填效能'!$D$2:$D$1088=""充填""), 1), 0)"),4)</f>
        <v>4</v>
      </c>
      <c r="AQ111" s="35">
        <f t="shared" ca="1" si="6"/>
        <v>10.416666666666666</v>
      </c>
      <c r="AR111" s="17">
        <f t="shared" ca="1" si="7"/>
        <v>41.666666666666664</v>
      </c>
    </row>
    <row r="112" spans="1:44" ht="15.75" customHeight="1">
      <c r="A112" s="9" t="s">
        <v>318</v>
      </c>
      <c r="B112" s="34">
        <f t="shared" si="0"/>
        <v>45126</v>
      </c>
      <c r="C112" s="9" t="s">
        <v>316</v>
      </c>
      <c r="D112" s="17" t="str">
        <f t="shared" si="1"/>
        <v>BY23D2</v>
      </c>
      <c r="E112" s="9" t="s">
        <v>317</v>
      </c>
      <c r="F112" s="9">
        <v>3000</v>
      </c>
      <c r="G112" s="10">
        <v>45161</v>
      </c>
      <c r="H112" s="10">
        <v>45154</v>
      </c>
      <c r="I112" s="10">
        <v>45071</v>
      </c>
      <c r="J112" s="10">
        <v>45149</v>
      </c>
      <c r="L112" s="17" t="str">
        <f ca="1">IFERROR(__xludf.DUMMYFUNCTION("TEXTJOIN("", "", TRUE, UNIQUE(FILTER('製造效能'!$D$2:$D$1732, '製造效能'!$B$2:$B$1732 = D112)))"),"精")</f>
        <v>精</v>
      </c>
      <c r="M112" s="17" t="str">
        <f ca="1">IFERROR(__xludf.DUMMYFUNCTION("INDEX(UNIQUE(FILTER('製造效能'!$D$2:$D$1732, ('製造效能'!$B$2:$B$1732 = D112) * ('製造效能'!$J$2:$J$1732 = MAXIFS('製造效能'!$J$2:$J$1732, '製造效能'!$B$2:$B$1732, D112)))), 1) 
"),"精")</f>
        <v>精</v>
      </c>
      <c r="N112" s="17" t="str">
        <f ca="1">IFERROR(__xludf.DUMMYFUNCTION("TEXTJOIN("", "", TRUE, UNIQUE(FILTER('製造效能'!$K$2:$K$1732, '製造效能'!$B$2:$B$1732 = D112)))"),"水項")</f>
        <v>水項</v>
      </c>
      <c r="O112" s="35">
        <f ca="1">IFERROR(__xludf.DUMMYFUNCTION("IFERROR(INDEX(FILTER('充填效能'!I$2:I$1088, '充填效能'!$A$2:$A$1088=$C112, '充填效能'!$D$2:$D$1088=""充填""), 1), 0)"),16.5)</f>
        <v>16.5</v>
      </c>
      <c r="P112" s="35" t="str">
        <f ca="1">IFERROR(__xludf.DUMMYFUNCTION("IFERROR(INDEX(FILTER('充填效能'!J$2:J$1088, '充填效能'!$A$2:$A$1088=$C112, '充填效能'!$D$2:$D$1088=""充填""), 1), 0)"),"")</f>
        <v/>
      </c>
      <c r="Q112" s="35" t="str">
        <f ca="1">IFERROR(__xludf.DUMMYFUNCTION("IFERROR(INDEX(FILTER('充填效能'!K$2:K$1088, '充填效能'!$A$2:$A$1088=$C112, '充填效能'!$D$2:$D$1088=""充填""), 1), 0)"),"")</f>
        <v/>
      </c>
      <c r="R112" s="35" t="str">
        <f ca="1">IFERROR(__xludf.DUMMYFUNCTION("IFERROR(INDEX(FILTER('充填效能'!L$2:L$1088, '充填效能'!$A$2:$A$1088=$C112, '充填效能'!$D$2:$D$1088=""充填""), 1), 0)"),"")</f>
        <v/>
      </c>
      <c r="S112" s="35">
        <f ca="1">COUNTIFS(製造效能!B:B, $D112,製造效能!D:D,M112)</f>
        <v>3</v>
      </c>
      <c r="T112" s="36">
        <f ca="1">IFERROR(__xludf.DUMMYFUNCTION("VALUE(REGEXEXTRACT(TO_TEXT(O112), ""\d*\.?\d+""))"),16.5)</f>
        <v>16.5</v>
      </c>
      <c r="U112" s="17">
        <f t="shared" ca="1" si="2"/>
        <v>50242.499999999993</v>
      </c>
      <c r="V112" s="17">
        <f ca="1">IFERROR(__xludf.DUMMYFUNCTION("IFERROR(INDEX(FILTER('製造效能'!J:J, '製造效能'!A:A=$C112, '製造效能'!D:D=M112, '製造效能'!E:E=""攪料""), 1), INDEX(FILTER('製造效能'!J:J, '製造效能'!B:B=$D112, '製造效能'!D:D=M112, '製造效能'!E:E=""攪料""), 1))"),100)</f>
        <v>100</v>
      </c>
      <c r="W112" s="36">
        <f ca="1">IFERROR(__xludf.DUMMYFUNCTION("IFERROR(INDEX(FILTER('製造效能'!G:G, '製造效能'!A:A=$C112, '製造效能'!D:D=M112, '製造效能'!E:E=""攪料""), 1), INDEX(FILTER('製造效能'!G:G, '製造效能'!B:B=$D112, '製造效能'!D:D=M112, '製造效能'!E:E=""攪料""), 1))"),85)</f>
        <v>85</v>
      </c>
      <c r="X112" s="35">
        <f t="shared" ca="1" si="3"/>
        <v>1</v>
      </c>
      <c r="Y112" s="35">
        <f t="shared" ca="1" si="4"/>
        <v>85</v>
      </c>
      <c r="Z112" s="35">
        <f ca="1">IFERROR(__xludf.DUMMYFUNCTION("IFERROR(IFERROR(INDEX(FILTER('製造效能'!G:G, '製造效能'!A:A=$C112, '製造效能'!D:D=M112, '製造效能'!E:E=""預攪""), 1), INDEX(FILTER('製造效能'!G:G, '製造效能'!B:B=$D112, '製造效能'!D:D=M112, '製造效能'!E:E=""預攪""), 1)), 0)"),20)</f>
        <v>20</v>
      </c>
      <c r="AA112" s="35">
        <f ca="1">IFERROR(__xludf.DUMMYFUNCTION("IFERROR(INDEX(FILTER('製造效能'!G:G, '製造效能'!A:A=$C112, '製造效能'!D:D=M112, '製造效能'!E:E=""清洗""), 1), INDEX(FILTER('製造效能'!G:G, '製造效能'!B:B=$D112, '製造效能'!D:D=M112, '製造效能'!E:E=""清洗""), 1))"),15)</f>
        <v>15</v>
      </c>
      <c r="AB112" s="35" t="str">
        <f ca="1">IFERROR(__xludf.DUMMYFUNCTION("IFERROR(INDEX(FILTER('製造效能'!N:N, '製造效能'!$A:$A=$C112, '製造效能'!$D:$D=$M112, '製造效能'!$E:$E=""攪料""), 1), INDEX(FILTER('製造效能'!N:N, '製造效能'!$B:$B=$D112, '製造效能'!$D:$D=$M112, '製造效能'!$E:$E=""攪料""), 1))"),"")</f>
        <v/>
      </c>
      <c r="AC112" s="35">
        <f ca="1">IFERROR(__xludf.DUMMYFUNCTION("IFERROR(INDEX(FILTER('製造效能'!O:O, '製造效能'!$A:$A=$C112, '製造效能'!$D:$D=$M112, '製造效能'!$E:$E=""攪料""), 1), INDEX(FILTER('製造效能'!O:O, '製造效能'!$B:$B=$D112, '製造效能'!$D:$D=$M112, '製造效能'!$E:$E=""攪料""), 1))"),1)</f>
        <v>1</v>
      </c>
      <c r="AD112" s="35" t="str">
        <f ca="1">IFERROR(__xludf.DUMMYFUNCTION("IFERROR(INDEX(FILTER('製造效能'!P:P, '製造效能'!$A:$A=$C112, '製造效能'!$D:$D=$M112, '製造效能'!$E:$E=""攪料""), 1), INDEX(FILTER('製造效能'!P:P, '製造效能'!$B:$B=$D112, '製造效能'!$D:$D=$M112, '製造效能'!$E:$E=""攪料""), 1))"),"")</f>
        <v/>
      </c>
      <c r="AE112" s="35" t="str">
        <f ca="1">IFERROR(__xludf.DUMMYFUNCTION("IFERROR(INDEX(FILTER('製造效能'!Q:Q, '製造效能'!$A:$A=$C112, '製造效能'!$D:$D=$M112, '製造效能'!$E:$E=""攪料""), 1), INDEX(FILTER('製造效能'!Q:Q, '製造效能'!$B:$B=$D112, '製造效能'!$D:$D=$M112, '製造效能'!$E:$E=""攪料""), 1))"),"")</f>
        <v/>
      </c>
      <c r="AF112" s="35" t="str">
        <f ca="1">IFERROR(__xludf.DUMMYFUNCTION("IFERROR(INDEX(FILTER('製造效能'!R:R, '製造效能'!$A:$A=$C112, '製造效能'!$D:$D=$M112, '製造效能'!$E:$E=""攪料""), 1), INDEX(FILTER('製造效能'!R:R, '製造效能'!$B:$B=$D112, '製造效能'!$D:$D=$M112, '製造效能'!$E:$E=""攪料""), 1))"),"")</f>
        <v/>
      </c>
      <c r="AG112" s="35" t="str">
        <f ca="1">IFERROR(__xludf.DUMMYFUNCTION("IFERROR(INDEX(FILTER('製造效能'!S:S, '製造效能'!$A:$A=$C112, '製造效能'!$D:$D=$M112, '製造效能'!$E:$E=""攪料""), 1), INDEX(FILTER('製造效能'!S:S, '製造效能'!$B:$B=$D112, '製造效能'!$D:$D=$M112, '製造效能'!$E:$E=""攪料""), 1))"),"")</f>
        <v/>
      </c>
      <c r="AH112" s="35" t="str">
        <f ca="1">IFERROR(__xludf.DUMMYFUNCTION("IFERROR(INDEX(FILTER('製造效能'!T:T, '製造效能'!$A:$A=$C112, '製造效能'!$D:$D=$M112, '製造效能'!$E:$E=""攪料""), 1), INDEX(FILTER('製造效能'!T:T, '製造效能'!$B:$B=$D112, '製造效能'!$D:$D=$M112, '製造效能'!$E:$E=""攪料""), 1))"),"")</f>
        <v/>
      </c>
      <c r="AI112" s="35" t="str">
        <f ca="1">IFERROR(__xludf.DUMMYFUNCTION("IFERROR(INDEX(FILTER('製造效能'!U:U, '製造效能'!$A:$A=$C112, '製造效能'!$D:$D=$M112, '製造效能'!$E:$E=""攪料""), 1), INDEX(FILTER('製造效能'!U:U, '製造效能'!$B:$B=$D112, '製造效能'!$D:$D=$M112, '製造效能'!$E:$E=""攪料""), 1))"),"")</f>
        <v/>
      </c>
      <c r="AJ112" s="35" t="str">
        <f ca="1">IFERROR(__xludf.DUMMYFUNCTION("IFERROR(INDEX(FILTER('製造效能'!V:V, '製造效能'!$A:$A=$C112, '製造效能'!$D:$D=$M112, '製造效能'!$E:$E=""攪料""), 1), INDEX(FILTER('製造效能'!V:V, '製造效能'!$B:$B=$D112, '製造效能'!$D:$D=$M112, '製造效能'!$E:$E=""攪料""), 1))"),"")</f>
        <v/>
      </c>
      <c r="AK112" s="35">
        <f>COUNTIF(充填效能!$A:$A, $C112)</f>
        <v>2</v>
      </c>
      <c r="AL112" s="36" t="str">
        <f ca="1">IFERROR(__xludf.DUMMYFUNCTION("IFERROR(INDEX(FILTER('充填效能'!$Q$2:$Q$1088, '充填效能'!$A$2:$A$1088=$C112, '充填效能'!$D$2:$D$1088=""排瓶""), 1), 0)"),"800")</f>
        <v>800</v>
      </c>
      <c r="AM112" s="36">
        <f ca="1">IFERROR(__xludf.DUMMYFUNCTION("IFERROR(INDEX(FILTER('充填效能'!$R$2:$R$1088, '充填效能'!$A$2:$A$1088=$C112, '充填效能'!$D$2:$D$1088=""排瓶""), 1), 0)"),1)</f>
        <v>1</v>
      </c>
      <c r="AN112" s="35">
        <f t="shared" ca="1" si="5"/>
        <v>3.75</v>
      </c>
      <c r="AO112" s="36" t="str">
        <f ca="1">IFERROR(__xludf.DUMMYFUNCTION("IFERROR(INDEX(FILTER('充填效能'!$Q$2:$Q$1088, '充填效能'!$A$2:$A$1088=$C112, '充填效能'!$D$2:$D$1088=""充填""), 1), 0)"),"850")</f>
        <v>850</v>
      </c>
      <c r="AP112" s="36">
        <f ca="1">IFERROR(__xludf.DUMMYFUNCTION("IFERROR(INDEX(FILTER('充填效能'!$R$2:$R$1088, '充填效能'!$A$2:$A$1088=$C112, '充填效能'!$D$2:$D$1088=""充填""), 1), 0)"),3)</f>
        <v>3</v>
      </c>
      <c r="AQ112" s="35">
        <f t="shared" ca="1" si="6"/>
        <v>3.5294117647058822</v>
      </c>
      <c r="AR112" s="17">
        <f t="shared" ca="1" si="7"/>
        <v>10.588235294117647</v>
      </c>
    </row>
    <row r="113" spans="1:44" ht="15.75" customHeight="1">
      <c r="A113" s="9" t="s">
        <v>320</v>
      </c>
      <c r="B113" s="34">
        <f t="shared" si="0"/>
        <v>45126</v>
      </c>
      <c r="C113" s="9" t="s">
        <v>321</v>
      </c>
      <c r="D113" s="17" t="str">
        <f t="shared" si="1"/>
        <v>N1HAB3</v>
      </c>
      <c r="E113" s="9" t="s">
        <v>322</v>
      </c>
      <c r="F113" s="9">
        <v>4000</v>
      </c>
      <c r="G113" s="10">
        <v>45163</v>
      </c>
      <c r="H113" s="10">
        <v>45156</v>
      </c>
      <c r="I113" s="10">
        <v>45134</v>
      </c>
      <c r="J113" s="10">
        <v>45126</v>
      </c>
      <c r="L113" s="17" t="str">
        <f ca="1">IFERROR(__xludf.DUMMYFUNCTION("TEXTJOIN("", "", TRUE, UNIQUE(FILTER('製造效能'!$D$2:$D$1732, '製造效能'!$B$2:$B$1732 = D113)))"),"大")</f>
        <v>大</v>
      </c>
      <c r="M113" s="17" t="str">
        <f ca="1">IFERROR(__xludf.DUMMYFUNCTION("INDEX(UNIQUE(FILTER('製造效能'!$D$2:$D$1732, ('製造效能'!$B$2:$B$1732 = D113) * ('製造效能'!$J$2:$J$1732 = MAXIFS('製造效能'!$J$2:$J$1732, '製造效能'!$B$2:$B$1732, D113)))), 1) 
"),"大")</f>
        <v>大</v>
      </c>
      <c r="N113" s="17" t="str">
        <f ca="1">IFERROR(__xludf.DUMMYFUNCTION("TEXTJOIN("", "", TRUE, UNIQUE(FILTER('製造效能'!$K$2:$K$1732, '製造效能'!$B$2:$B$1732 = D113)))"),"水項")</f>
        <v>水項</v>
      </c>
      <c r="O113" s="35">
        <f ca="1">IFERROR(__xludf.DUMMYFUNCTION("IFERROR(INDEX(FILTER('充填效能'!I$2:I$1088, '充填效能'!$A$2:$A$1088=$C113, '充填效能'!$D$2:$D$1088=""充填""), 1), 0)"),303)</f>
        <v>303</v>
      </c>
      <c r="P113" s="35" t="str">
        <f ca="1">IFERROR(__xludf.DUMMYFUNCTION("IFERROR(INDEX(FILTER('充填效能'!J$2:J$1088, '充填效能'!$A$2:$A$1088=$C113, '充填效能'!$D$2:$D$1088=""充填""), 1), 0)"),"")</f>
        <v/>
      </c>
      <c r="Q113" s="35" t="str">
        <f ca="1">IFERROR(__xludf.DUMMYFUNCTION("IFERROR(INDEX(FILTER('充填效能'!K$2:K$1088, '充填效能'!$A$2:$A$1088=$C113, '充填效能'!$D$2:$D$1088=""充填""), 1), 0)"),"")</f>
        <v/>
      </c>
      <c r="R113" s="35" t="str">
        <f ca="1">IFERROR(__xludf.DUMMYFUNCTION("IFERROR(INDEX(FILTER('充填效能'!L$2:L$1088, '充填效能'!$A$2:$A$1088=$C113, '充填效能'!$D$2:$D$1088=""充填""), 1), 0)"),"")</f>
        <v/>
      </c>
      <c r="S113" s="35">
        <f ca="1">COUNTIFS(製造效能!B:B, $D113,製造效能!D:D,M113)</f>
        <v>3</v>
      </c>
      <c r="T113" s="36">
        <f ca="1">IFERROR(__xludf.DUMMYFUNCTION("VALUE(REGEXEXTRACT(TO_TEXT(O113), ""\d*\.?\d+""))"),303)</f>
        <v>303</v>
      </c>
      <c r="U113" s="17">
        <f t="shared" ca="1" si="2"/>
        <v>1230179.9999999998</v>
      </c>
      <c r="V113" s="17">
        <f ca="1">IFERROR(__xludf.DUMMYFUNCTION("IFERROR(INDEX(FILTER('製造效能'!J:J, '製造效能'!A:A=$C113, '製造效能'!D:D=M113, '製造效能'!E:E=""攪料""), 1), INDEX(FILTER('製造效能'!J:J, '製造效能'!B:B=$D113, '製造效能'!D:D=M113, '製造效能'!E:E=""攪料""), 1))"),400)</f>
        <v>400</v>
      </c>
      <c r="W113" s="36">
        <f ca="1">IFERROR(__xludf.DUMMYFUNCTION("IFERROR(INDEX(FILTER('製造效能'!G:G, '製造效能'!A:A=$C113, '製造效能'!D:D=M113, '製造效能'!E:E=""攪料""), 1), INDEX(FILTER('製造效能'!G:G, '製造效能'!B:B=$D113, '製造效能'!D:D=M113, '製造效能'!E:E=""攪料""), 1))"),180)</f>
        <v>180</v>
      </c>
      <c r="X113" s="35">
        <f t="shared" ca="1" si="3"/>
        <v>4</v>
      </c>
      <c r="Y113" s="35">
        <f t="shared" ca="1" si="4"/>
        <v>720</v>
      </c>
      <c r="Z113" s="35">
        <f ca="1">IFERROR(__xludf.DUMMYFUNCTION("IFERROR(IFERROR(INDEX(FILTER('製造效能'!G:G, '製造效能'!A:A=$C113, '製造效能'!D:D=M113, '製造效能'!E:E=""預攪""), 1), INDEX(FILTER('製造效能'!G:G, '製造效能'!B:B=$D113, '製造效能'!D:D=M113, '製造效能'!E:E=""預攪""), 1)), 0)"),25)</f>
        <v>25</v>
      </c>
      <c r="AA113" s="35">
        <f ca="1">IFERROR(__xludf.DUMMYFUNCTION("IFERROR(INDEX(FILTER('製造效能'!G:G, '製造效能'!A:A=$C113, '製造效能'!D:D=M113, '製造效能'!E:E=""清洗""), 1), INDEX(FILTER('製造效能'!G:G, '製造效能'!B:B=$D113, '製造效能'!D:D=M113, '製造效能'!E:E=""清洗""), 1))"),30)</f>
        <v>30</v>
      </c>
      <c r="AB113" s="35" t="str">
        <f ca="1">IFERROR(__xludf.DUMMYFUNCTION("IFERROR(INDEX(FILTER('製造效能'!N:N, '製造效能'!$A:$A=$C113, '製造效能'!$D:$D=$M113, '製造效能'!$E:$E=""攪料""), 1), INDEX(FILTER('製造效能'!N:N, '製造效能'!$B:$B=$D113, '製造效能'!$D:$D=$M113, '製造效能'!$E:$E=""攪料""), 1))"),"")</f>
        <v/>
      </c>
      <c r="AC113" s="35" t="str">
        <f ca="1">IFERROR(__xludf.DUMMYFUNCTION("IFERROR(INDEX(FILTER('製造效能'!O:O, '製造效能'!$A:$A=$C113, '製造效能'!$D:$D=$M113, '製造效能'!$E:$E=""攪料""), 1), INDEX(FILTER('製造效能'!O:O, '製造效能'!$B:$B=$D113, '製造效能'!$D:$D=$M113, '製造效能'!$E:$E=""攪料""), 1))"),"")</f>
        <v/>
      </c>
      <c r="AD113" s="35" t="str">
        <f ca="1">IFERROR(__xludf.DUMMYFUNCTION("IFERROR(INDEX(FILTER('製造效能'!P:P, '製造效能'!$A:$A=$C113, '製造效能'!$D:$D=$M113, '製造效能'!$E:$E=""攪料""), 1), INDEX(FILTER('製造效能'!P:P, '製造效能'!$B:$B=$D113, '製造效能'!$D:$D=$M113, '製造效能'!$E:$E=""攪料""), 1))"),"")</f>
        <v/>
      </c>
      <c r="AE113" s="35" t="str">
        <f ca="1">IFERROR(__xludf.DUMMYFUNCTION("IFERROR(INDEX(FILTER('製造效能'!Q:Q, '製造效能'!$A:$A=$C113, '製造效能'!$D:$D=$M113, '製造效能'!$E:$E=""攪料""), 1), INDEX(FILTER('製造效能'!Q:Q, '製造效能'!$B:$B=$D113, '製造效能'!$D:$D=$M113, '製造效能'!$E:$E=""攪料""), 1))"),"")</f>
        <v/>
      </c>
      <c r="AF113" s="35" t="str">
        <f ca="1">IFERROR(__xludf.DUMMYFUNCTION("IFERROR(INDEX(FILTER('製造效能'!R:R, '製造效能'!$A:$A=$C113, '製造效能'!$D:$D=$M113, '製造效能'!$E:$E=""攪料""), 1), INDEX(FILTER('製造效能'!R:R, '製造效能'!$B:$B=$D113, '製造效能'!$D:$D=$M113, '製造效能'!$E:$E=""攪料""), 1))"),"")</f>
        <v/>
      </c>
      <c r="AG113" s="35">
        <f ca="1">IFERROR(__xludf.DUMMYFUNCTION("IFERROR(INDEX(FILTER('製造效能'!S:S, '製造效能'!$A:$A=$C113, '製造效能'!$D:$D=$M113, '製造效能'!$E:$E=""攪料""), 1), INDEX(FILTER('製造效能'!S:S, '製造效能'!$B:$B=$D113, '製造效能'!$D:$D=$M113, '製造效能'!$E:$E=""攪料""), 1))"),1)</f>
        <v>1</v>
      </c>
      <c r="AH113" s="35" t="str">
        <f ca="1">IFERROR(__xludf.DUMMYFUNCTION("IFERROR(INDEX(FILTER('製造效能'!T:T, '製造效能'!$A:$A=$C113, '製造效能'!$D:$D=$M113, '製造效能'!$E:$E=""攪料""), 1), INDEX(FILTER('製造效能'!T:T, '製造效能'!$B:$B=$D113, '製造效能'!$D:$D=$M113, '製造效能'!$E:$E=""攪料""), 1))"),"")</f>
        <v/>
      </c>
      <c r="AI113" s="35" t="str">
        <f ca="1">IFERROR(__xludf.DUMMYFUNCTION("IFERROR(INDEX(FILTER('製造效能'!U:U, '製造效能'!$A:$A=$C113, '製造效能'!$D:$D=$M113, '製造效能'!$E:$E=""攪料""), 1), INDEX(FILTER('製造效能'!U:U, '製造效能'!$B:$B=$D113, '製造效能'!$D:$D=$M113, '製造效能'!$E:$E=""攪料""), 1))"),"")</f>
        <v/>
      </c>
      <c r="AJ113" s="35" t="str">
        <f ca="1">IFERROR(__xludf.DUMMYFUNCTION("IFERROR(INDEX(FILTER('製造效能'!V:V, '製造效能'!$A:$A=$C113, '製造效能'!$D:$D=$M113, '製造效能'!$E:$E=""攪料""), 1), INDEX(FILTER('製造效能'!V:V, '製造效能'!$B:$B=$D113, '製造效能'!$D:$D=$M113, '製造效能'!$E:$E=""攪料""), 1))"),"")</f>
        <v/>
      </c>
      <c r="AK113" s="35">
        <f>COUNTIF(充填效能!$A:$A, $C113)</f>
        <v>2</v>
      </c>
      <c r="AL113" s="36" t="str">
        <f ca="1">IFERROR(__xludf.DUMMYFUNCTION("IFERROR(INDEX(FILTER('充填效能'!$Q$2:$Q$1088, '充填效能'!$A$2:$A$1088=$C113, '充填效能'!$D$2:$D$1088=""排瓶""), 1), 0)"),"860")</f>
        <v>860</v>
      </c>
      <c r="AM113" s="36">
        <f ca="1">IFERROR(__xludf.DUMMYFUNCTION("IFERROR(INDEX(FILTER('充填效能'!$R$2:$R$1088, '充填效能'!$A$2:$A$1088=$C113, '充填效能'!$D$2:$D$1088=""排瓶""), 1), 0)"),1)</f>
        <v>1</v>
      </c>
      <c r="AN113" s="35">
        <f t="shared" ca="1" si="5"/>
        <v>4.6511627906976747</v>
      </c>
      <c r="AO113" s="36" t="str">
        <f ca="1">IFERROR(__xludf.DUMMYFUNCTION("IFERROR(INDEX(FILTER('充填效能'!$Q$2:$Q$1088, '充填效能'!$A$2:$A$1088=$C113, '充填效能'!$D$2:$D$1088=""充填""), 1), 0)"),"500")</f>
        <v>500</v>
      </c>
      <c r="AP113" s="36">
        <f ca="1">IFERROR(__xludf.DUMMYFUNCTION("IFERROR(INDEX(FILTER('充填效能'!$R$2:$R$1088, '充填效能'!$A$2:$A$1088=$C113, '充填效能'!$D$2:$D$1088=""充填""), 1), 0)"),3)</f>
        <v>3</v>
      </c>
      <c r="AQ113" s="35">
        <f t="shared" ca="1" si="6"/>
        <v>8</v>
      </c>
      <c r="AR113" s="17">
        <f t="shared" ca="1" si="7"/>
        <v>24</v>
      </c>
    </row>
    <row r="114" spans="1:44" ht="15.75" customHeight="1">
      <c r="A114" s="9" t="s">
        <v>319</v>
      </c>
      <c r="B114" s="34">
        <f t="shared" si="0"/>
        <v>44904</v>
      </c>
      <c r="C114" s="9" t="s">
        <v>327</v>
      </c>
      <c r="D114" s="17" t="str">
        <f t="shared" si="1"/>
        <v>HM23D2</v>
      </c>
      <c r="E114" s="9" t="s">
        <v>328</v>
      </c>
      <c r="F114" s="9">
        <v>2000</v>
      </c>
      <c r="G114" s="10">
        <v>45166</v>
      </c>
      <c r="H114" s="10">
        <v>45156</v>
      </c>
      <c r="I114" s="10">
        <v>45142</v>
      </c>
      <c r="J114" s="10">
        <v>45155</v>
      </c>
      <c r="L114" s="17" t="str">
        <f ca="1">IFERROR(__xludf.DUMMYFUNCTION("TEXTJOIN("", "", TRUE, UNIQUE(FILTER('製造效能'!$D$2:$D$1732, '製造效能'!$B$2:$B$1732 = D114)))"),"精")</f>
        <v>精</v>
      </c>
      <c r="M114" s="17" t="str">
        <f ca="1">IFERROR(__xludf.DUMMYFUNCTION("INDEX(UNIQUE(FILTER('製造效能'!$D$2:$D$1732, ('製造效能'!$B$2:$B$1732 = D114) * ('製造效能'!$J$2:$J$1732 = MAXIFS('製造效能'!$J$2:$J$1732, '製造效能'!$B$2:$B$1732, D114)))), 1) 
"),"精")</f>
        <v>精</v>
      </c>
      <c r="N114" s="17" t="str">
        <f ca="1">IFERROR(__xludf.DUMMYFUNCTION("TEXTJOIN("", "", TRUE, UNIQUE(FILTER('製造效能'!$K$2:$K$1732, '製造效能'!$B$2:$B$1732 = D114)))"),"水項")</f>
        <v>水項</v>
      </c>
      <c r="O114" s="35">
        <f ca="1">IFERROR(__xludf.DUMMYFUNCTION("IFERROR(INDEX(FILTER('充填效能'!I$2:I$1088, '充填效能'!$A$2:$A$1088=$C114, '充填效能'!$D$2:$D$1088=""充填""), 1), 0)"),30.2)</f>
        <v>30.2</v>
      </c>
      <c r="P114" s="35" t="str">
        <f ca="1">IFERROR(__xludf.DUMMYFUNCTION("IFERROR(INDEX(FILTER('充填效能'!J$2:J$1088, '充填效能'!$A$2:$A$1088=$C114, '充填效能'!$D$2:$D$1088=""充填""), 1), 0)"),"")</f>
        <v/>
      </c>
      <c r="Q114" s="35" t="str">
        <f ca="1">IFERROR(__xludf.DUMMYFUNCTION("IFERROR(INDEX(FILTER('充填效能'!K$2:K$1088, '充填效能'!$A$2:$A$1088=$C114, '充填效能'!$D$2:$D$1088=""充填""), 1), 0)"),"")</f>
        <v/>
      </c>
      <c r="R114" s="35" t="str">
        <f ca="1">IFERROR(__xludf.DUMMYFUNCTION("IFERROR(INDEX(FILTER('充填效能'!L$2:L$1088, '充填效能'!$A$2:$A$1088=$C114, '充填效能'!$D$2:$D$1088=""充填""), 1), 0)"),"")</f>
        <v/>
      </c>
      <c r="S114" s="35">
        <f ca="1">COUNTIFS(製造效能!B:B, $D114,製造效能!D:D,M114)</f>
        <v>3</v>
      </c>
      <c r="T114" s="36">
        <f ca="1">IFERROR(__xludf.DUMMYFUNCTION("VALUE(REGEXEXTRACT(TO_TEXT(O114), ""\d*\.?\d+""))"),30.2)</f>
        <v>30.2</v>
      </c>
      <c r="U114" s="17">
        <f t="shared" ca="1" si="2"/>
        <v>61305.999999999993</v>
      </c>
      <c r="V114" s="17">
        <f ca="1">IFERROR(__xludf.DUMMYFUNCTION("IFERROR(INDEX(FILTER('製造效能'!J:J, '製造效能'!A:A=$C114, '製造效能'!D:D=M114, '製造效能'!E:E=""攪料""), 1), INDEX(FILTER('製造效能'!J:J, '製造效能'!B:B=$D114, '製造效能'!D:D=M114, '製造效能'!E:E=""攪料""), 1))"),100)</f>
        <v>100</v>
      </c>
      <c r="W114" s="36">
        <f ca="1">IFERROR(__xludf.DUMMYFUNCTION("IFERROR(INDEX(FILTER('製造效能'!G:G, '製造效能'!A:A=$C114, '製造效能'!D:D=M114, '製造效能'!E:E=""攪料""), 1), INDEX(FILTER('製造效能'!G:G, '製造效能'!B:B=$D114, '製造效能'!D:D=M114, '製造效能'!E:E=""攪料""), 1))"),110)</f>
        <v>110</v>
      </c>
      <c r="X114" s="35">
        <f t="shared" ca="1" si="3"/>
        <v>1</v>
      </c>
      <c r="Y114" s="35">
        <f t="shared" ca="1" si="4"/>
        <v>110</v>
      </c>
      <c r="Z114" s="35">
        <f ca="1">IFERROR(__xludf.DUMMYFUNCTION("IFERROR(IFERROR(INDEX(FILTER('製造效能'!G:G, '製造效能'!A:A=$C114, '製造效能'!D:D=M114, '製造效能'!E:E=""預攪""), 1), INDEX(FILTER('製造效能'!G:G, '製造效能'!B:B=$D114, '製造效能'!D:D=M114, '製造效能'!E:E=""預攪""), 1)), 0)"),25)</f>
        <v>25</v>
      </c>
      <c r="AA114" s="35">
        <f ca="1">IFERROR(__xludf.DUMMYFUNCTION("IFERROR(INDEX(FILTER('製造效能'!G:G, '製造效能'!A:A=$C114, '製造效能'!D:D=M114, '製造效能'!E:E=""清洗""), 1), INDEX(FILTER('製造效能'!G:G, '製造效能'!B:B=$D114, '製造效能'!D:D=M114, '製造效能'!E:E=""清洗""), 1))"),15)</f>
        <v>15</v>
      </c>
      <c r="AB114" s="35" t="str">
        <f ca="1">IFERROR(__xludf.DUMMYFUNCTION("IFERROR(INDEX(FILTER('製造效能'!N:N, '製造效能'!$A:$A=$C114, '製造效能'!$D:$D=$M114, '製造效能'!$E:$E=""攪料""), 1), INDEX(FILTER('製造效能'!N:N, '製造效能'!$B:$B=$D114, '製造效能'!$D:$D=$M114, '製造效能'!$E:$E=""攪料""), 1))"),"")</f>
        <v/>
      </c>
      <c r="AC114" s="35">
        <f ca="1">IFERROR(__xludf.DUMMYFUNCTION("IFERROR(INDEX(FILTER('製造效能'!O:O, '製造效能'!$A:$A=$C114, '製造效能'!$D:$D=$M114, '製造效能'!$E:$E=""攪料""), 1), INDEX(FILTER('製造效能'!O:O, '製造效能'!$B:$B=$D114, '製造效能'!$D:$D=$M114, '製造效能'!$E:$E=""攪料""), 1))"),1)</f>
        <v>1</v>
      </c>
      <c r="AD114" s="35" t="str">
        <f ca="1">IFERROR(__xludf.DUMMYFUNCTION("IFERROR(INDEX(FILTER('製造效能'!P:P, '製造效能'!$A:$A=$C114, '製造效能'!$D:$D=$M114, '製造效能'!$E:$E=""攪料""), 1), INDEX(FILTER('製造效能'!P:P, '製造效能'!$B:$B=$D114, '製造效能'!$D:$D=$M114, '製造效能'!$E:$E=""攪料""), 1))"),"")</f>
        <v/>
      </c>
      <c r="AE114" s="35" t="str">
        <f ca="1">IFERROR(__xludf.DUMMYFUNCTION("IFERROR(INDEX(FILTER('製造效能'!Q:Q, '製造效能'!$A:$A=$C114, '製造效能'!$D:$D=$M114, '製造效能'!$E:$E=""攪料""), 1), INDEX(FILTER('製造效能'!Q:Q, '製造效能'!$B:$B=$D114, '製造效能'!$D:$D=$M114, '製造效能'!$E:$E=""攪料""), 1))"),"")</f>
        <v/>
      </c>
      <c r="AF114" s="35" t="str">
        <f ca="1">IFERROR(__xludf.DUMMYFUNCTION("IFERROR(INDEX(FILTER('製造效能'!R:R, '製造效能'!$A:$A=$C114, '製造效能'!$D:$D=$M114, '製造效能'!$E:$E=""攪料""), 1), INDEX(FILTER('製造效能'!R:R, '製造效能'!$B:$B=$D114, '製造效能'!$D:$D=$M114, '製造效能'!$E:$E=""攪料""), 1))"),"")</f>
        <v/>
      </c>
      <c r="AG114" s="35" t="str">
        <f ca="1">IFERROR(__xludf.DUMMYFUNCTION("IFERROR(INDEX(FILTER('製造效能'!S:S, '製造效能'!$A:$A=$C114, '製造效能'!$D:$D=$M114, '製造效能'!$E:$E=""攪料""), 1), INDEX(FILTER('製造效能'!S:S, '製造效能'!$B:$B=$D114, '製造效能'!$D:$D=$M114, '製造效能'!$E:$E=""攪料""), 1))"),"")</f>
        <v/>
      </c>
      <c r="AH114" s="35" t="str">
        <f ca="1">IFERROR(__xludf.DUMMYFUNCTION("IFERROR(INDEX(FILTER('製造效能'!T:T, '製造效能'!$A:$A=$C114, '製造效能'!$D:$D=$M114, '製造效能'!$E:$E=""攪料""), 1), INDEX(FILTER('製造效能'!T:T, '製造效能'!$B:$B=$D114, '製造效能'!$D:$D=$M114, '製造效能'!$E:$E=""攪料""), 1))"),"")</f>
        <v/>
      </c>
      <c r="AI114" s="35" t="str">
        <f ca="1">IFERROR(__xludf.DUMMYFUNCTION("IFERROR(INDEX(FILTER('製造效能'!U:U, '製造效能'!$A:$A=$C114, '製造效能'!$D:$D=$M114, '製造效能'!$E:$E=""攪料""), 1), INDEX(FILTER('製造效能'!U:U, '製造效能'!$B:$B=$D114, '製造效能'!$D:$D=$M114, '製造效能'!$E:$E=""攪料""), 1))"),"")</f>
        <v/>
      </c>
      <c r="AJ114" s="35" t="str">
        <f ca="1">IFERROR(__xludf.DUMMYFUNCTION("IFERROR(INDEX(FILTER('製造效能'!V:V, '製造效能'!$A:$A=$C114, '製造效能'!$D:$D=$M114, '製造效能'!$E:$E=""攪料""), 1), INDEX(FILTER('製造效能'!V:V, '製造效能'!$B:$B=$D114, '製造效能'!$D:$D=$M114, '製造效能'!$E:$E=""攪料""), 1))"),"")</f>
        <v/>
      </c>
      <c r="AK114" s="35">
        <f>COUNTIF(充填效能!$A:$A, $C114)</f>
        <v>2</v>
      </c>
      <c r="AL114" s="36" t="str">
        <f ca="1">IFERROR(__xludf.DUMMYFUNCTION("IFERROR(INDEX(FILTER('充填效能'!$Q$2:$Q$1088, '充填效能'!$A$2:$A$1088=$C114, '充填效能'!$D$2:$D$1088=""排瓶""), 1), 0)"),"1700")</f>
        <v>1700</v>
      </c>
      <c r="AM114" s="36">
        <f ca="1">IFERROR(__xludf.DUMMYFUNCTION("IFERROR(INDEX(FILTER('充填效能'!$R$2:$R$1088, '充填效能'!$A$2:$A$1088=$C114, '充填效能'!$D$2:$D$1088=""排瓶""), 1), 0)"),1)</f>
        <v>1</v>
      </c>
      <c r="AN114" s="35">
        <f t="shared" ca="1" si="5"/>
        <v>1.1764705882352942</v>
      </c>
      <c r="AO114" s="36" t="str">
        <f ca="1">IFERROR(__xludf.DUMMYFUNCTION("IFERROR(INDEX(FILTER('充填效能'!$Q$2:$Q$1088, '充填效能'!$A$2:$A$1088=$C114, '充填效能'!$D$2:$D$1088=""充填""), 1), 0)"),"950")</f>
        <v>950</v>
      </c>
      <c r="AP114" s="36">
        <f ca="1">IFERROR(__xludf.DUMMYFUNCTION("IFERROR(INDEX(FILTER('充填效能'!$R$2:$R$1088, '充填效能'!$A$2:$A$1088=$C114, '充填效能'!$D$2:$D$1088=""充填""), 1), 0)"),4)</f>
        <v>4</v>
      </c>
      <c r="AQ114" s="35">
        <f t="shared" ca="1" si="6"/>
        <v>2.1052631578947367</v>
      </c>
      <c r="AR114" s="17">
        <f t="shared" ca="1" si="7"/>
        <v>8.4210526315789469</v>
      </c>
    </row>
    <row r="115" spans="1:44" ht="15.75" customHeight="1">
      <c r="A115" s="9" t="s">
        <v>323</v>
      </c>
      <c r="B115" s="34">
        <f t="shared" si="0"/>
        <v>45016</v>
      </c>
      <c r="C115" s="9" t="s">
        <v>324</v>
      </c>
      <c r="D115" s="17" t="str">
        <f t="shared" si="1"/>
        <v>HJ23E1</v>
      </c>
      <c r="E115" s="9" t="s">
        <v>325</v>
      </c>
      <c r="F115" s="9">
        <v>10000</v>
      </c>
      <c r="G115" s="10">
        <v>45166</v>
      </c>
      <c r="H115" s="10">
        <v>45160</v>
      </c>
      <c r="I115" s="10">
        <v>45085</v>
      </c>
      <c r="J115" s="10">
        <v>45159</v>
      </c>
      <c r="L115" s="17" t="str">
        <f ca="1">IFERROR(__xludf.DUMMYFUNCTION("TEXTJOIN("", "", TRUE, UNIQUE(FILTER('製造效能'!$D$2:$D$1732, '製造效能'!$B$2:$B$1732 = D115)))"),"小乳")</f>
        <v>小乳</v>
      </c>
      <c r="M115" s="17" t="str">
        <f ca="1">IFERROR(__xludf.DUMMYFUNCTION("INDEX(UNIQUE(FILTER('製造效能'!$D$2:$D$1732, ('製造效能'!$B$2:$B$1732 = D115) * ('製造效能'!$J$2:$J$1732 = MAXIFS('製造效能'!$J$2:$J$1732, '製造效能'!$B$2:$B$1732, D115)))), 1) 
"),"小乳")</f>
        <v>小乳</v>
      </c>
      <c r="N115" s="17" t="str">
        <f ca="1">IFERROR(__xludf.DUMMYFUNCTION("TEXTJOIN("", "", TRUE, UNIQUE(FILTER('製造效能'!$K$2:$K$1732, '製造效能'!$B$2:$B$1732 = D115)))"),"乳項")</f>
        <v>乳項</v>
      </c>
      <c r="P115" s="35" t="str">
        <f ca="1">IFERROR(__xludf.DUMMYFUNCTION("IFERROR(INDEX(FILTER('充填效能'!J$2:J$1088, '充填效能'!$A$2:$A$1088=$C115, '充填效能'!$D$2:$D$1088=""充填""), 1), 0)"),"")</f>
        <v/>
      </c>
      <c r="Q115" s="35" t="str">
        <f ca="1">IFERROR(__xludf.DUMMYFUNCTION("IFERROR(INDEX(FILTER('充填效能'!K$2:K$1088, '充填效能'!$A$2:$A$1088=$C115, '充填效能'!$D$2:$D$1088=""充填""), 1), 0)"),"")</f>
        <v/>
      </c>
      <c r="R115" s="35">
        <f ca="1">IFERROR(__xludf.DUMMYFUNCTION("IFERROR(INDEX(FILTER('充填效能'!I$2:I$1088, '充填效能'!$A$2:$A$1088=$C115, '充填效能'!$D$2:$D$1088=""充填""), 1), 0)"),48.2)</f>
        <v>48.2</v>
      </c>
      <c r="S115" s="35">
        <f ca="1">COUNTIFS(製造效能!B:B, $D115,製造效能!D:D,M115)</f>
        <v>3</v>
      </c>
      <c r="T115" s="36">
        <f ca="1">IFERROR(__xludf.DUMMYFUNCTION("VALUE(REGEXEXTRACT(TO_TEXT(R115), ""\d*\.?\d+""))"),48.2)</f>
        <v>48.2</v>
      </c>
      <c r="U115" s="17">
        <f t="shared" ca="1" si="2"/>
        <v>489229.99999999994</v>
      </c>
      <c r="V115" s="17">
        <f ca="1">IFERROR(__xludf.DUMMYFUNCTION("IFERROR(INDEX(FILTER('製造效能'!J:J, '製造效能'!A:A=$C115, '製造效能'!D:D=M115, '製造效能'!E:E=""攪料""), 1), INDEX(FILTER('製造效能'!J:J, '製造效能'!B:B=$D115, '製造效能'!D:D=M115, '製造效能'!E:E=""攪料""), 1))"),52)</f>
        <v>52</v>
      </c>
      <c r="W115" s="36">
        <f ca="1">IFERROR(__xludf.DUMMYFUNCTION("IFERROR(INDEX(FILTER('製造效能'!G:G, '製造效能'!A:A=$C115, '製造效能'!D:D=M115, '製造效能'!E:E=""攪料""), 1), INDEX(FILTER('製造效能'!G:G, '製造效能'!B:B=$D115, '製造效能'!D:D=M115, '製造效能'!E:E=""攪料""), 1))"),125)</f>
        <v>125</v>
      </c>
      <c r="X115" s="35">
        <f t="shared" ca="1" si="3"/>
        <v>10</v>
      </c>
      <c r="Y115" s="35">
        <f t="shared" ca="1" si="4"/>
        <v>1250</v>
      </c>
      <c r="Z115" s="35">
        <f ca="1">IFERROR(__xludf.DUMMYFUNCTION("IFERROR(IFERROR(INDEX(FILTER('製造效能'!G:G, '製造效能'!A:A=$C115, '製造效能'!D:D=M115, '製造效能'!E:E=""預攪""), 1), INDEX(FILTER('製造效能'!G:G, '製造效能'!B:B=$D115, '製造效能'!D:D=M115, '製造效能'!E:E=""預攪""), 1)), 0)"),35)</f>
        <v>35</v>
      </c>
      <c r="AA115" s="35">
        <f ca="1">IFERROR(__xludf.DUMMYFUNCTION("IFERROR(INDEX(FILTER('製造效能'!G:G, '製造效能'!A:A=$C115, '製造效能'!D:D=M115, '製造效能'!E:E=""清洗""), 1), INDEX(FILTER('製造效能'!G:G, '製造效能'!B:B=$D115, '製造效能'!D:D=M115, '製造效能'!E:E=""清洗""), 1))"),30)</f>
        <v>30</v>
      </c>
      <c r="AB115" s="35" t="str">
        <f ca="1">IFERROR(__xludf.DUMMYFUNCTION("IFERROR(INDEX(FILTER('製造效能'!N:N, '製造效能'!$A:$A=$C115, '製造效能'!$D:$D=$M115, '製造效能'!$E:$E=""攪料""), 1), INDEX(FILTER('製造效能'!N:N, '製造效能'!$B:$B=$D115, '製造效能'!$D:$D=$M115, '製造效能'!$E:$E=""攪料""), 1))"),"")</f>
        <v/>
      </c>
      <c r="AC115" s="35" t="str">
        <f ca="1">IFERROR(__xludf.DUMMYFUNCTION("IFERROR(INDEX(FILTER('製造效能'!O:O, '製造效能'!$A:$A=$C115, '製造效能'!$D:$D=$M115, '製造效能'!$E:$E=""攪料""), 1), INDEX(FILTER('製造效能'!O:O, '製造效能'!$B:$B=$D115, '製造效能'!$D:$D=$M115, '製造效能'!$E:$E=""攪料""), 1))"),"")</f>
        <v/>
      </c>
      <c r="AD115" s="35">
        <f ca="1">IFERROR(__xludf.DUMMYFUNCTION("IFERROR(INDEX(FILTER('製造效能'!P:P, '製造效能'!$A:$A=$C115, '製造效能'!$D:$D=$M115, '製造效能'!$E:$E=""攪料""), 1), INDEX(FILTER('製造效能'!P:P, '製造效能'!$B:$B=$D115, '製造效能'!$D:$D=$M115, '製造效能'!$E:$E=""攪料""), 1))"),1)</f>
        <v>1</v>
      </c>
      <c r="AE115" s="35" t="str">
        <f ca="1">IFERROR(__xludf.DUMMYFUNCTION("IFERROR(INDEX(FILTER('製造效能'!Q:Q, '製造效能'!$A:$A=$C115, '製造效能'!$D:$D=$M115, '製造效能'!$E:$E=""攪料""), 1), INDEX(FILTER('製造效能'!Q:Q, '製造效能'!$B:$B=$D115, '製造效能'!$D:$D=$M115, '製造效能'!$E:$E=""攪料""), 1))"),"")</f>
        <v/>
      </c>
      <c r="AF115" s="35" t="str">
        <f ca="1">IFERROR(__xludf.DUMMYFUNCTION("IFERROR(INDEX(FILTER('製造效能'!R:R, '製造效能'!$A:$A=$C115, '製造效能'!$D:$D=$M115, '製造效能'!$E:$E=""攪料""), 1), INDEX(FILTER('製造效能'!R:R, '製造效能'!$B:$B=$D115, '製造效能'!$D:$D=$M115, '製造效能'!$E:$E=""攪料""), 1))"),"")</f>
        <v/>
      </c>
      <c r="AG115" s="35" t="str">
        <f ca="1">IFERROR(__xludf.DUMMYFUNCTION("IFERROR(INDEX(FILTER('製造效能'!S:S, '製造效能'!$A:$A=$C115, '製造效能'!$D:$D=$M115, '製造效能'!$E:$E=""攪料""), 1), INDEX(FILTER('製造效能'!S:S, '製造效能'!$B:$B=$D115, '製造效能'!$D:$D=$M115, '製造效能'!$E:$E=""攪料""), 1))"),"")</f>
        <v/>
      </c>
      <c r="AH115" s="35" t="str">
        <f ca="1">IFERROR(__xludf.DUMMYFUNCTION("IFERROR(INDEX(FILTER('製造效能'!T:T, '製造效能'!$A:$A=$C115, '製造效能'!$D:$D=$M115, '製造效能'!$E:$E=""攪料""), 1), INDEX(FILTER('製造效能'!T:T, '製造效能'!$B:$B=$D115, '製造效能'!$D:$D=$M115, '製造效能'!$E:$E=""攪料""), 1))"),"")</f>
        <v/>
      </c>
      <c r="AI115" s="35" t="str">
        <f ca="1">IFERROR(__xludf.DUMMYFUNCTION("IFERROR(INDEX(FILTER('製造效能'!U:U, '製造效能'!$A:$A=$C115, '製造效能'!$D:$D=$M115, '製造效能'!$E:$E=""攪料""), 1), INDEX(FILTER('製造效能'!U:U, '製造效能'!$B:$B=$D115, '製造效能'!$D:$D=$M115, '製造效能'!$E:$E=""攪料""), 1))"),"")</f>
        <v/>
      </c>
      <c r="AJ115" s="35" t="str">
        <f ca="1">IFERROR(__xludf.DUMMYFUNCTION("IFERROR(INDEX(FILTER('製造效能'!V:V, '製造效能'!$A:$A=$C115, '製造效能'!$D:$D=$M115, '製造效能'!$E:$E=""攪料""), 1), INDEX(FILTER('製造效能'!V:V, '製造效能'!$B:$B=$D115, '製造效能'!$D:$D=$M115, '製造效能'!$E:$E=""攪料""), 1))"),"")</f>
        <v/>
      </c>
      <c r="AK115" s="35">
        <f>COUNTIF(充填效能!$A:$A, $C115)</f>
        <v>2</v>
      </c>
      <c r="AL115" s="36" t="str">
        <f ca="1">IFERROR(__xludf.DUMMYFUNCTION("IFERROR(INDEX(FILTER('充填效能'!$Q$2:$Q$1088, '充填效能'!$A$2:$A$1088=$C115, '充填效能'!$D$2:$D$1088=""排瓶""), 1), 0)"),"780")</f>
        <v>780</v>
      </c>
      <c r="AM115" s="36">
        <f ca="1">IFERROR(__xludf.DUMMYFUNCTION("IFERROR(INDEX(FILTER('充填效能'!$R$2:$R$1088, '充填效能'!$A$2:$A$1088=$C115, '充填效能'!$D$2:$D$1088=""排瓶""), 1), 0)"),1)</f>
        <v>1</v>
      </c>
      <c r="AN115" s="35">
        <f t="shared" ca="1" si="5"/>
        <v>12.820512820512821</v>
      </c>
      <c r="AO115" s="36" t="str">
        <f ca="1">IFERROR(__xludf.DUMMYFUNCTION("IFERROR(INDEX(FILTER('充填效能'!$Q$2:$Q$1088, '充填效能'!$A$2:$A$1088=$C115, '充填效能'!$D$2:$D$1088=""充填""), 1), 0)"),"650")</f>
        <v>650</v>
      </c>
      <c r="AP115" s="36">
        <f ca="1">IFERROR(__xludf.DUMMYFUNCTION("IFERROR(INDEX(FILTER('充填效能'!$R$2:$R$1088, '充填效能'!$A$2:$A$1088=$C115, '充填效能'!$D$2:$D$1088=""充填""), 1), 0)"),4)</f>
        <v>4</v>
      </c>
      <c r="AQ115" s="35">
        <f t="shared" ca="1" si="6"/>
        <v>15.384615384615385</v>
      </c>
      <c r="AR115" s="17">
        <f t="shared" ca="1" si="7"/>
        <v>61.53846153846154</v>
      </c>
    </row>
    <row r="116" spans="1:44" ht="15.75" customHeight="1">
      <c r="A116" s="9" t="s">
        <v>326</v>
      </c>
      <c r="B116" s="34">
        <f t="shared" si="0"/>
        <v>45121</v>
      </c>
      <c r="C116" s="9" t="s">
        <v>167</v>
      </c>
      <c r="D116" s="17" t="str">
        <f t="shared" si="1"/>
        <v>N1REE1</v>
      </c>
      <c r="E116" s="9" t="s">
        <v>168</v>
      </c>
      <c r="F116" s="9">
        <v>5000</v>
      </c>
      <c r="G116" s="10">
        <v>45162</v>
      </c>
      <c r="H116" s="10">
        <v>45160</v>
      </c>
      <c r="I116" s="10">
        <v>45128</v>
      </c>
      <c r="J116" s="10">
        <v>45126</v>
      </c>
      <c r="L116" s="17" t="str">
        <f ca="1">IFERROR(__xludf.DUMMYFUNCTION("TEXTJOIN("", "", TRUE, UNIQUE(FILTER('製造效能'!$D$2:$D$1732, '製造效能'!$B$2:$B$1732 = D116)))"),"小乳, 大乳")</f>
        <v>小乳, 大乳</v>
      </c>
      <c r="M116" s="17" t="str">
        <f ca="1">IFERROR(__xludf.DUMMYFUNCTION("INDEX(UNIQUE(FILTER('製造效能'!$D$2:$D$1732, ('製造效能'!$B$2:$B$1732 = D116) * ('製造效能'!$J$2:$J$1732 = MAXIFS('製造效能'!$J$2:$J$1732, '製造效能'!$B$2:$B$1732, D116)))), 1) 
"),"大乳")</f>
        <v>大乳</v>
      </c>
      <c r="N116" s="17" t="str">
        <f ca="1">IFERROR(__xludf.DUMMYFUNCTION("TEXTJOIN("", "", TRUE, UNIQUE(FILTER('製造效能'!$K$2:$K$1732, '製造效能'!$B$2:$B$1732 = D116)))"),"乳項")</f>
        <v>乳項</v>
      </c>
      <c r="P116" s="35" t="str">
        <f ca="1">IFERROR(__xludf.DUMMYFUNCTION("IFERROR(INDEX(FILTER('充填效能'!J$2:J$1088, '充填效能'!$A$2:$A$1088=$C116, '充填效能'!$D$2:$D$1088=""充填""), 1), 0)"),"")</f>
        <v/>
      </c>
      <c r="Q116" s="35" t="str">
        <f ca="1">IFERROR(__xludf.DUMMYFUNCTION("IFERROR(INDEX(FILTER('充填效能'!K$2:K$1088, '充填效能'!$A$2:$A$1088=$C116, '充填效能'!$D$2:$D$1088=""充填""), 1), 0)"),"")</f>
        <v/>
      </c>
      <c r="R116" s="35">
        <f ca="1">IFERROR(__xludf.DUMMYFUNCTION("IFERROR(INDEX(FILTER('充填效能'!I$2:I$1088, '充填效能'!$A$2:$A$1088=$C116, '充填效能'!$D$2:$D$1088=""充填""), 1), 0)"),30)</f>
        <v>30</v>
      </c>
      <c r="S116" s="35">
        <f ca="1">COUNTIFS(製造效能!B:B, $D116,製造效能!D:D,M116)</f>
        <v>3</v>
      </c>
      <c r="T116" s="36">
        <f ca="1">IFERROR(__xludf.DUMMYFUNCTION("VALUE(REGEXEXTRACT(TO_TEXT(R116), ""\d*\.?\d+""))"),30)</f>
        <v>30</v>
      </c>
      <c r="U116" s="17">
        <f t="shared" ca="1" si="2"/>
        <v>152249.99999999997</v>
      </c>
      <c r="V116" s="17">
        <f ca="1">IFERROR(__xludf.DUMMYFUNCTION("IFERROR(INDEX(FILTER('製造效能'!J:J, '製造效能'!A:A=$C116, '製造效能'!D:D=M116, '製造效能'!E:E=""攪料""), 1), INDEX(FILTER('製造效能'!J:J, '製造效能'!B:B=$D116, '製造效能'!D:D=M116, '製造效能'!E:E=""攪料""), 1))"),103)</f>
        <v>103</v>
      </c>
      <c r="W116" s="36">
        <f ca="1">IFERROR(__xludf.DUMMYFUNCTION("IFERROR(INDEX(FILTER('製造效能'!G:G, '製造效能'!A:A=$C116, '製造效能'!D:D=M116, '製造效能'!E:E=""攪料""), 1), INDEX(FILTER('製造效能'!G:G, '製造效能'!B:B=$D116, '製造效能'!D:D=M116, '製造效能'!E:E=""攪料""), 1))"),180)</f>
        <v>180</v>
      </c>
      <c r="X116" s="35">
        <f t="shared" ca="1" si="3"/>
        <v>2</v>
      </c>
      <c r="Y116" s="35">
        <f t="shared" ca="1" si="4"/>
        <v>360</v>
      </c>
      <c r="Z116" s="35">
        <f ca="1">IFERROR(__xludf.DUMMYFUNCTION("IFERROR(IFERROR(INDEX(FILTER('製造效能'!G:G, '製造效能'!A:A=$C116, '製造效能'!D:D=M116, '製造效能'!E:E=""預攪""), 1), INDEX(FILTER('製造效能'!G:G, '製造效能'!B:B=$D116, '製造效能'!D:D=M116, '製造效能'!E:E=""預攪""), 1)), 0)"),25)</f>
        <v>25</v>
      </c>
      <c r="AA116" s="35">
        <f ca="1">IFERROR(__xludf.DUMMYFUNCTION("IFERROR(INDEX(FILTER('製造效能'!G:G, '製造效能'!A:A=$C116, '製造效能'!D:D=M116, '製造效能'!E:E=""清洗""), 1), INDEX(FILTER('製造效能'!G:G, '製造效能'!B:B=$D116, '製造效能'!D:D=M116, '製造效能'!E:E=""清洗""), 1))"),40)</f>
        <v>40</v>
      </c>
      <c r="AB116" s="35" t="str">
        <f ca="1">IFERROR(__xludf.DUMMYFUNCTION("IFERROR(INDEX(FILTER('製造效能'!N:N, '製造效能'!$A:$A=$C116, '製造效能'!$D:$D=$M116, '製造效能'!$E:$E=""攪料""), 1), INDEX(FILTER('製造效能'!N:N, '製造效能'!$B:$B=$D116, '製造效能'!$D:$D=$M116, '製造效能'!$E:$E=""攪料""), 1))"),"")</f>
        <v/>
      </c>
      <c r="AC116" s="35" t="str">
        <f ca="1">IFERROR(__xludf.DUMMYFUNCTION("IFERROR(INDEX(FILTER('製造效能'!O:O, '製造效能'!$A:$A=$C116, '製造效能'!$D:$D=$M116, '製造效能'!$E:$E=""攪料""), 1), INDEX(FILTER('製造效能'!O:O, '製造效能'!$B:$B=$D116, '製造效能'!$D:$D=$M116, '製造效能'!$E:$E=""攪料""), 1))"),"")</f>
        <v/>
      </c>
      <c r="AD116" s="35" t="str">
        <f ca="1">IFERROR(__xludf.DUMMYFUNCTION("IFERROR(INDEX(FILTER('製造效能'!P:P, '製造效能'!$A:$A=$C116, '製造效能'!$D:$D=$M116, '製造效能'!$E:$E=""攪料""), 1), INDEX(FILTER('製造效能'!P:P, '製造效能'!$B:$B=$D116, '製造效能'!$D:$D=$M116, '製造效能'!$E:$E=""攪料""), 1))"),"")</f>
        <v/>
      </c>
      <c r="AE116" s="35">
        <f ca="1">IFERROR(__xludf.DUMMYFUNCTION("IFERROR(INDEX(FILTER('製造效能'!Q:Q, '製造效能'!$A:$A=$C116, '製造效能'!$D:$D=$M116, '製造效能'!$E:$E=""攪料""), 1), INDEX(FILTER('製造效能'!Q:Q, '製造效能'!$B:$B=$D116, '製造效能'!$D:$D=$M116, '製造效能'!$E:$E=""攪料""), 1))"),1)</f>
        <v>1</v>
      </c>
      <c r="AF116" s="35" t="str">
        <f ca="1">IFERROR(__xludf.DUMMYFUNCTION("IFERROR(INDEX(FILTER('製造效能'!R:R, '製造效能'!$A:$A=$C116, '製造效能'!$D:$D=$M116, '製造效能'!$E:$E=""攪料""), 1), INDEX(FILTER('製造效能'!R:R, '製造效能'!$B:$B=$D116, '製造效能'!$D:$D=$M116, '製造效能'!$E:$E=""攪料""), 1))"),"")</f>
        <v/>
      </c>
      <c r="AG116" s="35" t="str">
        <f ca="1">IFERROR(__xludf.DUMMYFUNCTION("IFERROR(INDEX(FILTER('製造效能'!S:S, '製造效能'!$A:$A=$C116, '製造效能'!$D:$D=$M116, '製造效能'!$E:$E=""攪料""), 1), INDEX(FILTER('製造效能'!S:S, '製造效能'!$B:$B=$D116, '製造效能'!$D:$D=$M116, '製造效能'!$E:$E=""攪料""), 1))"),"")</f>
        <v/>
      </c>
      <c r="AH116" s="35" t="str">
        <f ca="1">IFERROR(__xludf.DUMMYFUNCTION("IFERROR(INDEX(FILTER('製造效能'!T:T, '製造效能'!$A:$A=$C116, '製造效能'!$D:$D=$M116, '製造效能'!$E:$E=""攪料""), 1), INDEX(FILTER('製造效能'!T:T, '製造效能'!$B:$B=$D116, '製造效能'!$D:$D=$M116, '製造效能'!$E:$E=""攪料""), 1))"),"")</f>
        <v/>
      </c>
      <c r="AI116" s="35" t="str">
        <f ca="1">IFERROR(__xludf.DUMMYFUNCTION("IFERROR(INDEX(FILTER('製造效能'!U:U, '製造效能'!$A:$A=$C116, '製造效能'!$D:$D=$M116, '製造效能'!$E:$E=""攪料""), 1), INDEX(FILTER('製造效能'!U:U, '製造效能'!$B:$B=$D116, '製造效能'!$D:$D=$M116, '製造效能'!$E:$E=""攪料""), 1))"),"")</f>
        <v/>
      </c>
      <c r="AJ116" s="35" t="str">
        <f ca="1">IFERROR(__xludf.DUMMYFUNCTION("IFERROR(INDEX(FILTER('製造效能'!V:V, '製造效能'!$A:$A=$C116, '製造效能'!$D:$D=$M116, '製造效能'!$E:$E=""攪料""), 1), INDEX(FILTER('製造效能'!V:V, '製造效能'!$B:$B=$D116, '製造效能'!$D:$D=$M116, '製造效能'!$E:$E=""攪料""), 1))"),"")</f>
        <v/>
      </c>
      <c r="AK116" s="35">
        <f>COUNTIF(充填效能!$A:$A, $C116)</f>
        <v>2</v>
      </c>
      <c r="AL116" s="36" t="str">
        <f ca="1">IFERROR(__xludf.DUMMYFUNCTION("IFERROR(INDEX(FILTER('充填效能'!$Q$2:$Q$1088, '充填效能'!$A$2:$A$1088=$C116, '充填效能'!$D$2:$D$1088=""排瓶""), 1), 0)"),"1500")</f>
        <v>1500</v>
      </c>
      <c r="AM116" s="36">
        <f ca="1">IFERROR(__xludf.DUMMYFUNCTION("IFERROR(INDEX(FILTER('充填效能'!$R$2:$R$1088, '充填效能'!$A$2:$A$1088=$C116, '充填效能'!$D$2:$D$1088=""排瓶""), 1), 0)"),1)</f>
        <v>1</v>
      </c>
      <c r="AN116" s="35">
        <f t="shared" ca="1" si="5"/>
        <v>3.3333333333333335</v>
      </c>
      <c r="AO116" s="36" t="str">
        <f ca="1">IFERROR(__xludf.DUMMYFUNCTION("IFERROR(INDEX(FILTER('充填效能'!$Q$2:$Q$1088, '充填效能'!$A$2:$A$1088=$C116, '充填效能'!$D$2:$D$1088=""充填""), 1), 0)"),"1300")</f>
        <v>1300</v>
      </c>
      <c r="AP116" s="36">
        <f ca="1">IFERROR(__xludf.DUMMYFUNCTION("IFERROR(INDEX(FILTER('充填效能'!$R$2:$R$1088, '充填效能'!$A$2:$A$1088=$C116, '充填效能'!$D$2:$D$1088=""充填""), 1), 0)"),4)</f>
        <v>4</v>
      </c>
      <c r="AQ116" s="35">
        <f t="shared" ca="1" si="6"/>
        <v>3.8461538461538463</v>
      </c>
      <c r="AR116" s="17">
        <f t="shared" ca="1" si="7"/>
        <v>15.384615384615385</v>
      </c>
    </row>
    <row r="117" spans="1:44" ht="15.75" customHeight="1">
      <c r="G117" s="10"/>
      <c r="H117" s="10"/>
      <c r="I117" s="10"/>
      <c r="J117" s="10"/>
    </row>
    <row r="118" spans="1:44" ht="15.75" customHeight="1">
      <c r="G118" s="10"/>
      <c r="H118" s="10"/>
      <c r="I118" s="10"/>
      <c r="J118" s="10"/>
    </row>
    <row r="119" spans="1:44" ht="15.75" customHeight="1">
      <c r="G119" s="10"/>
      <c r="H119" s="10"/>
      <c r="I119" s="10"/>
      <c r="J119" s="10"/>
    </row>
    <row r="120" spans="1:44" ht="15.75" customHeight="1">
      <c r="G120" s="10"/>
      <c r="H120" s="10"/>
      <c r="I120" s="10"/>
      <c r="J120" s="10"/>
    </row>
    <row r="121" spans="1:44" ht="15.75" customHeight="1">
      <c r="G121" s="10"/>
      <c r="H121" s="10"/>
      <c r="I121" s="10"/>
      <c r="J121" s="10"/>
    </row>
    <row r="122" spans="1:44" ht="15.75" customHeight="1">
      <c r="G122" s="10"/>
      <c r="H122" s="10"/>
      <c r="I122" s="10"/>
      <c r="J122" s="10"/>
    </row>
    <row r="123" spans="1:44" ht="15.75" customHeight="1">
      <c r="G123" s="10"/>
      <c r="H123" s="10"/>
      <c r="I123" s="10"/>
      <c r="J123" s="10"/>
    </row>
    <row r="124" spans="1:44" ht="15.75" customHeight="1">
      <c r="G124" s="10"/>
      <c r="H124" s="10"/>
      <c r="I124" s="10"/>
      <c r="J124" s="10"/>
    </row>
    <row r="125" spans="1:44" ht="15.75" customHeight="1">
      <c r="G125" s="10"/>
      <c r="H125" s="10"/>
      <c r="I125" s="10"/>
      <c r="J125" s="10"/>
    </row>
    <row r="126" spans="1:44" ht="15.75" customHeight="1">
      <c r="G126" s="10"/>
      <c r="H126" s="10"/>
      <c r="I126" s="10"/>
      <c r="J126" s="10"/>
    </row>
    <row r="127" spans="1:44" ht="15.75" customHeight="1">
      <c r="G127" s="10"/>
      <c r="H127" s="10"/>
      <c r="I127" s="10"/>
      <c r="J127" s="10"/>
    </row>
    <row r="128" spans="1:44" ht="15.75" customHeight="1">
      <c r="G128" s="10"/>
      <c r="H128" s="10"/>
      <c r="I128" s="10"/>
      <c r="J128" s="10"/>
    </row>
    <row r="129" spans="7:10" ht="15.75" customHeight="1">
      <c r="G129" s="10"/>
      <c r="H129" s="10"/>
      <c r="I129" s="10"/>
      <c r="J129" s="10"/>
    </row>
    <row r="130" spans="7:10" ht="15.75" customHeight="1">
      <c r="G130" s="10"/>
      <c r="H130" s="10"/>
      <c r="I130" s="10"/>
      <c r="J130" s="10"/>
    </row>
    <row r="131" spans="7:10" ht="15.75" customHeight="1">
      <c r="G131" s="10"/>
      <c r="H131" s="10"/>
      <c r="I131" s="10"/>
      <c r="J131" s="10"/>
    </row>
    <row r="132" spans="7:10" ht="15.75" customHeight="1">
      <c r="G132" s="10"/>
      <c r="H132" s="10"/>
      <c r="I132" s="10"/>
      <c r="J132" s="10"/>
    </row>
    <row r="133" spans="7:10" ht="15.75" customHeight="1">
      <c r="G133" s="10"/>
      <c r="H133" s="10"/>
      <c r="I133" s="10"/>
      <c r="J133" s="10"/>
    </row>
    <row r="134" spans="7:10" ht="15.75" customHeight="1">
      <c r="G134" s="10"/>
      <c r="H134" s="10"/>
      <c r="I134" s="10"/>
      <c r="J134" s="10"/>
    </row>
    <row r="135" spans="7:10" ht="15.75" customHeight="1">
      <c r="G135" s="10"/>
      <c r="H135" s="10"/>
      <c r="I135" s="10"/>
      <c r="J135" s="10"/>
    </row>
    <row r="136" spans="7:10" ht="15.75" customHeight="1">
      <c r="G136" s="10"/>
      <c r="H136" s="10"/>
      <c r="I136" s="10"/>
      <c r="J136" s="10"/>
    </row>
    <row r="137" spans="7:10" ht="15.75" customHeight="1">
      <c r="G137" s="10"/>
      <c r="H137" s="10"/>
      <c r="I137" s="10"/>
      <c r="J137" s="10"/>
    </row>
    <row r="138" spans="7:10" ht="15.75" customHeight="1">
      <c r="G138" s="10"/>
      <c r="H138" s="10"/>
      <c r="I138" s="10"/>
      <c r="J138" s="10"/>
    </row>
    <row r="139" spans="7:10" ht="15.75" customHeight="1">
      <c r="G139" s="10"/>
      <c r="H139" s="10"/>
      <c r="I139" s="10"/>
      <c r="J139" s="10"/>
    </row>
    <row r="140" spans="7:10" ht="15.75" customHeight="1">
      <c r="G140" s="10"/>
      <c r="H140" s="10"/>
      <c r="I140" s="10"/>
      <c r="J140" s="10"/>
    </row>
    <row r="141" spans="7:10" ht="15.75" customHeight="1">
      <c r="G141" s="10"/>
      <c r="H141" s="10"/>
      <c r="I141" s="10"/>
      <c r="J141" s="10"/>
    </row>
    <row r="142" spans="7:10" ht="15.75" customHeight="1">
      <c r="G142" s="10"/>
      <c r="H142" s="10"/>
      <c r="I142" s="10"/>
      <c r="J142" s="10"/>
    </row>
    <row r="143" spans="7:10" ht="15.75" customHeight="1">
      <c r="G143" s="10"/>
      <c r="H143" s="10"/>
      <c r="I143" s="10"/>
      <c r="J143" s="10"/>
    </row>
    <row r="144" spans="7:10" ht="15.75" customHeight="1">
      <c r="G144" s="10"/>
      <c r="H144" s="10"/>
      <c r="I144" s="10"/>
      <c r="J144" s="10"/>
    </row>
    <row r="145" spans="7:10" ht="15.75" customHeight="1">
      <c r="G145" s="10"/>
      <c r="H145" s="10"/>
      <c r="I145" s="10"/>
      <c r="J145" s="10"/>
    </row>
    <row r="146" spans="7:10" ht="15.75" customHeight="1">
      <c r="G146" s="10"/>
      <c r="H146" s="10"/>
      <c r="I146" s="10"/>
      <c r="J146" s="10"/>
    </row>
    <row r="147" spans="7:10" ht="15.75" customHeight="1">
      <c r="G147" s="10"/>
      <c r="H147" s="10"/>
      <c r="I147" s="10"/>
      <c r="J147" s="10"/>
    </row>
    <row r="148" spans="7:10" ht="15.75" customHeight="1">
      <c r="G148" s="10"/>
      <c r="H148" s="10"/>
      <c r="I148" s="10"/>
      <c r="J148" s="10"/>
    </row>
    <row r="149" spans="7:10" ht="15.75" customHeight="1">
      <c r="G149" s="10"/>
      <c r="H149" s="10"/>
      <c r="I149" s="10"/>
      <c r="J149" s="10"/>
    </row>
    <row r="150" spans="7:10" ht="15.75" customHeight="1">
      <c r="G150" s="10"/>
      <c r="H150" s="10"/>
      <c r="I150" s="10"/>
      <c r="J150" s="10"/>
    </row>
    <row r="151" spans="7:10" ht="15.75" customHeight="1">
      <c r="G151" s="10"/>
      <c r="H151" s="10"/>
      <c r="I151" s="10"/>
      <c r="J151" s="10"/>
    </row>
    <row r="152" spans="7:10" ht="15.75" customHeight="1">
      <c r="G152" s="10"/>
      <c r="H152" s="10"/>
      <c r="I152" s="10"/>
      <c r="J152" s="10"/>
    </row>
    <row r="153" spans="7:10" ht="15.75" customHeight="1">
      <c r="G153" s="10"/>
      <c r="H153" s="10"/>
      <c r="I153" s="10"/>
      <c r="J153" s="10"/>
    </row>
    <row r="154" spans="7:10" ht="15.75" customHeight="1">
      <c r="G154" s="10"/>
      <c r="H154" s="10"/>
      <c r="I154" s="10"/>
      <c r="J154" s="10"/>
    </row>
    <row r="155" spans="7:10" ht="15.75" customHeight="1">
      <c r="G155" s="10"/>
      <c r="H155" s="10"/>
      <c r="I155" s="10"/>
      <c r="J155" s="10"/>
    </row>
    <row r="156" spans="7:10" ht="15.75" customHeight="1">
      <c r="G156" s="10"/>
      <c r="H156" s="10"/>
      <c r="I156" s="10"/>
      <c r="J156" s="10"/>
    </row>
    <row r="157" spans="7:10" ht="15.75" customHeight="1">
      <c r="G157" s="10"/>
      <c r="H157" s="10"/>
      <c r="I157" s="10"/>
      <c r="J157" s="10"/>
    </row>
    <row r="158" spans="7:10" ht="15.75" customHeight="1">
      <c r="G158" s="10"/>
      <c r="H158" s="10"/>
      <c r="I158" s="10"/>
      <c r="J158" s="10"/>
    </row>
    <row r="159" spans="7:10" ht="15.75" customHeight="1">
      <c r="G159" s="10"/>
      <c r="H159" s="10"/>
      <c r="I159" s="10"/>
      <c r="J159" s="10"/>
    </row>
    <row r="160" spans="7:10" ht="15.75" customHeight="1">
      <c r="G160" s="10"/>
      <c r="H160" s="10"/>
      <c r="I160" s="10"/>
      <c r="J160" s="10"/>
    </row>
    <row r="161" spans="7:10" ht="15.75" customHeight="1">
      <c r="G161" s="10"/>
      <c r="H161" s="10"/>
      <c r="I161" s="10"/>
      <c r="J161" s="10"/>
    </row>
    <row r="162" spans="7:10" ht="15.75" customHeight="1">
      <c r="G162" s="10"/>
      <c r="H162" s="10"/>
      <c r="I162" s="10"/>
      <c r="J162" s="10"/>
    </row>
    <row r="163" spans="7:10" ht="15.75" customHeight="1">
      <c r="G163" s="10"/>
      <c r="H163" s="10"/>
      <c r="I163" s="10"/>
      <c r="J163" s="10"/>
    </row>
    <row r="164" spans="7:10" ht="15.75" customHeight="1">
      <c r="G164" s="10"/>
      <c r="H164" s="10"/>
      <c r="I164" s="10"/>
      <c r="J164" s="10"/>
    </row>
    <row r="165" spans="7:10" ht="15.75" customHeight="1">
      <c r="G165" s="10"/>
      <c r="H165" s="10"/>
      <c r="I165" s="10"/>
      <c r="J165" s="10"/>
    </row>
    <row r="166" spans="7:10" ht="15.75" customHeight="1">
      <c r="G166" s="10"/>
      <c r="H166" s="10"/>
      <c r="I166" s="10"/>
      <c r="J166" s="10"/>
    </row>
    <row r="167" spans="7:10" ht="15.75" customHeight="1">
      <c r="G167" s="10"/>
      <c r="H167" s="10"/>
      <c r="I167" s="10"/>
      <c r="J167" s="10"/>
    </row>
    <row r="168" spans="7:10" ht="15.75" customHeight="1">
      <c r="G168" s="10"/>
      <c r="H168" s="10"/>
      <c r="I168" s="10"/>
      <c r="J168" s="10"/>
    </row>
    <row r="169" spans="7:10" ht="15.75" customHeight="1">
      <c r="G169" s="10"/>
      <c r="H169" s="10"/>
      <c r="I169" s="10"/>
      <c r="J169" s="10"/>
    </row>
    <row r="170" spans="7:10" ht="15.75" customHeight="1">
      <c r="G170" s="10"/>
      <c r="H170" s="10"/>
      <c r="I170" s="10"/>
      <c r="J170" s="10"/>
    </row>
    <row r="171" spans="7:10" ht="15.75" customHeight="1">
      <c r="G171" s="10"/>
      <c r="H171" s="10"/>
      <c r="I171" s="10"/>
      <c r="J171" s="10"/>
    </row>
    <row r="172" spans="7:10" ht="15.75" customHeight="1">
      <c r="G172" s="10"/>
      <c r="H172" s="10"/>
      <c r="I172" s="10"/>
      <c r="J172" s="10"/>
    </row>
    <row r="173" spans="7:10" ht="15.75" customHeight="1">
      <c r="G173" s="10"/>
      <c r="H173" s="10"/>
      <c r="I173" s="10"/>
      <c r="J173" s="10"/>
    </row>
    <row r="174" spans="7:10" ht="15.75" customHeight="1">
      <c r="G174" s="10"/>
      <c r="H174" s="10"/>
      <c r="I174" s="10"/>
      <c r="J174" s="10"/>
    </row>
    <row r="175" spans="7:10" ht="15.75" customHeight="1">
      <c r="G175" s="10"/>
      <c r="H175" s="10"/>
      <c r="I175" s="10"/>
      <c r="J175" s="10"/>
    </row>
    <row r="176" spans="7:10" ht="15.75" customHeight="1">
      <c r="G176" s="10"/>
      <c r="H176" s="10"/>
      <c r="I176" s="10"/>
      <c r="J176" s="10"/>
    </row>
    <row r="177" spans="7:10" ht="15.75" customHeight="1">
      <c r="G177" s="10"/>
      <c r="H177" s="10"/>
      <c r="I177" s="10"/>
      <c r="J177" s="10"/>
    </row>
    <row r="178" spans="7:10" ht="15.75" customHeight="1">
      <c r="G178" s="10"/>
      <c r="H178" s="10"/>
      <c r="I178" s="10"/>
      <c r="J178" s="10"/>
    </row>
    <row r="179" spans="7:10" ht="15.75" customHeight="1">
      <c r="G179" s="10"/>
      <c r="H179" s="10"/>
      <c r="I179" s="10"/>
      <c r="J179" s="10"/>
    </row>
    <row r="180" spans="7:10" ht="15.75" customHeight="1">
      <c r="G180" s="10"/>
      <c r="H180" s="10"/>
      <c r="I180" s="10"/>
      <c r="J180" s="10"/>
    </row>
    <row r="181" spans="7:10" ht="15.75" customHeight="1">
      <c r="G181" s="10"/>
      <c r="H181" s="10"/>
      <c r="I181" s="10"/>
      <c r="J181" s="10"/>
    </row>
    <row r="182" spans="7:10" ht="15.75" customHeight="1">
      <c r="G182" s="10"/>
      <c r="H182" s="10"/>
      <c r="I182" s="10"/>
      <c r="J182" s="10"/>
    </row>
    <row r="183" spans="7:10" ht="15.75" customHeight="1">
      <c r="G183" s="10"/>
      <c r="H183" s="10"/>
      <c r="I183" s="10"/>
      <c r="J183" s="10"/>
    </row>
    <row r="184" spans="7:10" ht="15.75" customHeight="1">
      <c r="G184" s="10"/>
      <c r="H184" s="10"/>
      <c r="I184" s="10"/>
      <c r="J184" s="10"/>
    </row>
    <row r="185" spans="7:10" ht="15.75" customHeight="1">
      <c r="G185" s="10"/>
      <c r="H185" s="10"/>
      <c r="I185" s="10"/>
      <c r="J185" s="10"/>
    </row>
    <row r="186" spans="7:10" ht="15.75" customHeight="1">
      <c r="G186" s="10"/>
      <c r="H186" s="10"/>
      <c r="I186" s="10"/>
      <c r="J186" s="10"/>
    </row>
    <row r="187" spans="7:10" ht="15.75" customHeight="1">
      <c r="G187" s="10"/>
      <c r="H187" s="10"/>
      <c r="I187" s="10"/>
      <c r="J187" s="10"/>
    </row>
    <row r="188" spans="7:10" ht="15.75" customHeight="1">
      <c r="G188" s="10"/>
      <c r="H188" s="10"/>
      <c r="I188" s="10"/>
      <c r="J188" s="10"/>
    </row>
    <row r="189" spans="7:10" ht="15.75" customHeight="1">
      <c r="G189" s="10"/>
      <c r="H189" s="10"/>
      <c r="I189" s="10"/>
      <c r="J189" s="10"/>
    </row>
    <row r="190" spans="7:10" ht="15.75" customHeight="1">
      <c r="G190" s="10"/>
      <c r="H190" s="10"/>
      <c r="I190" s="10"/>
      <c r="J190" s="10"/>
    </row>
    <row r="191" spans="7:10" ht="15.75" customHeight="1">
      <c r="G191" s="10"/>
      <c r="H191" s="10"/>
      <c r="I191" s="10"/>
      <c r="J191" s="10"/>
    </row>
    <row r="192" spans="7:10" ht="15.75" customHeight="1">
      <c r="G192" s="10"/>
      <c r="H192" s="10"/>
      <c r="I192" s="10"/>
      <c r="J192" s="10"/>
    </row>
    <row r="193" spans="7:10" ht="15.75" customHeight="1">
      <c r="G193" s="10"/>
      <c r="H193" s="10"/>
      <c r="I193" s="10"/>
      <c r="J193" s="10"/>
    </row>
    <row r="194" spans="7:10" ht="15.75" customHeight="1">
      <c r="G194" s="10"/>
      <c r="H194" s="10"/>
      <c r="I194" s="10"/>
      <c r="J194" s="10"/>
    </row>
    <row r="195" spans="7:10" ht="15.75" customHeight="1">
      <c r="G195" s="10"/>
      <c r="H195" s="10"/>
      <c r="I195" s="10"/>
      <c r="J195" s="10"/>
    </row>
    <row r="196" spans="7:10" ht="15.75" customHeight="1">
      <c r="G196" s="10"/>
      <c r="H196" s="10"/>
      <c r="I196" s="10"/>
      <c r="J196" s="10"/>
    </row>
    <row r="197" spans="7:10" ht="15.75" customHeight="1">
      <c r="G197" s="10"/>
      <c r="H197" s="10"/>
      <c r="I197" s="10"/>
      <c r="J197" s="10"/>
    </row>
    <row r="198" spans="7:10" ht="15.75" customHeight="1">
      <c r="G198" s="10"/>
      <c r="H198" s="10"/>
      <c r="I198" s="10"/>
      <c r="J198" s="10"/>
    </row>
    <row r="199" spans="7:10" ht="15.75" customHeight="1">
      <c r="G199" s="10"/>
      <c r="H199" s="10"/>
      <c r="I199" s="10"/>
      <c r="J199" s="10"/>
    </row>
    <row r="200" spans="7:10" ht="15.75" customHeight="1">
      <c r="G200" s="10"/>
      <c r="H200" s="10"/>
      <c r="I200" s="10"/>
      <c r="J200" s="10"/>
    </row>
    <row r="201" spans="7:10" ht="15.75" customHeight="1">
      <c r="G201" s="10"/>
      <c r="H201" s="10"/>
      <c r="I201" s="10"/>
      <c r="J201" s="10"/>
    </row>
    <row r="202" spans="7:10" ht="15.75" customHeight="1">
      <c r="G202" s="10"/>
      <c r="H202" s="10"/>
      <c r="I202" s="10"/>
      <c r="J202" s="10"/>
    </row>
    <row r="203" spans="7:10" ht="15.75" customHeight="1">
      <c r="G203" s="10"/>
      <c r="H203" s="10"/>
      <c r="I203" s="10"/>
      <c r="J203" s="10"/>
    </row>
    <row r="204" spans="7:10" ht="15.75" customHeight="1">
      <c r="G204" s="10"/>
      <c r="H204" s="10"/>
      <c r="I204" s="10"/>
      <c r="J204" s="10"/>
    </row>
    <row r="205" spans="7:10" ht="15.75" customHeight="1">
      <c r="G205" s="10"/>
      <c r="H205" s="10"/>
      <c r="I205" s="10"/>
      <c r="J205" s="10"/>
    </row>
    <row r="206" spans="7:10" ht="15.75" customHeight="1">
      <c r="G206" s="10"/>
      <c r="H206" s="10"/>
      <c r="I206" s="10"/>
      <c r="J206" s="10"/>
    </row>
    <row r="207" spans="7:10" ht="15.75" customHeight="1"/>
    <row r="208" spans="7:10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1:AR116" xr:uid="{00000000-0009-0000-0000-000004000000}"/>
  <phoneticPr fontId="42" type="noConversion"/>
  <pageMargins left="0.7" right="0.7" top="0.75" bottom="0.75" header="0" footer="0"/>
  <pageSetup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589"/>
  <sheetViews>
    <sheetView workbookViewId="0">
      <pane ySplit="1" topLeftCell="A2" activePane="bottomLeft" state="frozen"/>
      <selection pane="bottomLeft" activeCell="B3" sqref="B3"/>
    </sheetView>
  </sheetViews>
  <sheetFormatPr defaultColWidth="12.61328125" defaultRowHeight="15" customHeight="1"/>
  <cols>
    <col min="1" max="1" width="12.61328125" customWidth="1"/>
    <col min="2" max="2" width="24.84375" customWidth="1"/>
    <col min="3" max="6" width="12.61328125" customWidth="1"/>
    <col min="11" max="11" width="17.4609375" customWidth="1"/>
    <col min="12" max="12" width="21.3828125" customWidth="1"/>
  </cols>
  <sheetData>
    <row r="1" spans="1:15" ht="15.75" customHeight="1">
      <c r="A1" s="38" t="s">
        <v>29</v>
      </c>
      <c r="B1" s="39" t="s">
        <v>411</v>
      </c>
      <c r="C1" s="39" t="s">
        <v>412</v>
      </c>
      <c r="D1" s="39" t="s">
        <v>413</v>
      </c>
      <c r="E1" s="39" t="s">
        <v>381</v>
      </c>
      <c r="F1" s="39" t="s">
        <v>414</v>
      </c>
      <c r="G1" s="39" t="s">
        <v>360</v>
      </c>
      <c r="H1" s="39" t="s">
        <v>415</v>
      </c>
      <c r="I1" s="39" t="s">
        <v>416</v>
      </c>
      <c r="J1" s="39" t="s">
        <v>417</v>
      </c>
      <c r="K1" s="39" t="s">
        <v>418</v>
      </c>
      <c r="L1" s="39" t="s">
        <v>419</v>
      </c>
      <c r="M1" s="39" t="s">
        <v>420</v>
      </c>
      <c r="N1" s="39" t="s">
        <v>421</v>
      </c>
      <c r="O1" s="9" t="s">
        <v>422</v>
      </c>
    </row>
    <row r="2" spans="1:15" ht="15.75" customHeight="1">
      <c r="A2" s="40" t="s">
        <v>423</v>
      </c>
      <c r="B2" s="41" t="s">
        <v>171</v>
      </c>
      <c r="C2" s="41" t="s">
        <v>424</v>
      </c>
      <c r="D2" s="41" t="s">
        <v>425</v>
      </c>
      <c r="E2" s="41" t="s">
        <v>48</v>
      </c>
      <c r="F2" s="42">
        <v>4</v>
      </c>
      <c r="G2" s="41" t="s">
        <v>11</v>
      </c>
      <c r="H2" s="43" t="s">
        <v>426</v>
      </c>
      <c r="I2" s="44">
        <v>25</v>
      </c>
      <c r="J2" s="44">
        <v>10</v>
      </c>
      <c r="K2" s="41"/>
      <c r="L2" s="45">
        <v>52000</v>
      </c>
      <c r="M2" s="44">
        <v>1</v>
      </c>
      <c r="N2" s="43" t="s">
        <v>383</v>
      </c>
    </row>
    <row r="3" spans="1:15" ht="15.75" customHeight="1">
      <c r="A3" s="40" t="s">
        <v>423</v>
      </c>
      <c r="B3" s="41" t="s">
        <v>171</v>
      </c>
      <c r="C3" s="41" t="s">
        <v>424</v>
      </c>
      <c r="D3" s="41" t="s">
        <v>425</v>
      </c>
      <c r="E3" s="41" t="s">
        <v>48</v>
      </c>
      <c r="F3" s="42">
        <v>5</v>
      </c>
      <c r="G3" s="41" t="s">
        <v>12</v>
      </c>
      <c r="H3" s="43" t="s">
        <v>427</v>
      </c>
      <c r="I3" s="44">
        <v>130</v>
      </c>
      <c r="J3" s="44">
        <v>10</v>
      </c>
      <c r="K3" s="41"/>
      <c r="L3" s="45">
        <v>52000</v>
      </c>
      <c r="M3" s="44">
        <v>1</v>
      </c>
      <c r="N3" s="43" t="s">
        <v>383</v>
      </c>
    </row>
    <row r="4" spans="1:15" ht="15.75" customHeight="1">
      <c r="A4" s="40" t="s">
        <v>423</v>
      </c>
      <c r="B4" s="41" t="s">
        <v>171</v>
      </c>
      <c r="C4" s="41" t="s">
        <v>424</v>
      </c>
      <c r="D4" s="41" t="s">
        <v>425</v>
      </c>
      <c r="E4" s="41" t="s">
        <v>48</v>
      </c>
      <c r="F4" s="42">
        <v>6</v>
      </c>
      <c r="G4" s="41" t="s">
        <v>13</v>
      </c>
      <c r="H4" s="43" t="s">
        <v>427</v>
      </c>
      <c r="I4" s="44">
        <v>40</v>
      </c>
      <c r="J4" s="44">
        <v>10</v>
      </c>
      <c r="K4" s="41"/>
      <c r="L4" s="45">
        <v>52000</v>
      </c>
      <c r="M4" s="44">
        <v>1</v>
      </c>
      <c r="N4" s="43" t="s">
        <v>383</v>
      </c>
    </row>
    <row r="5" spans="1:15" ht="15.75" customHeight="1">
      <c r="A5" s="41" t="s">
        <v>428</v>
      </c>
      <c r="B5" s="41" t="s">
        <v>171</v>
      </c>
      <c r="C5" s="41" t="s">
        <v>424</v>
      </c>
      <c r="D5" s="41" t="s">
        <v>429</v>
      </c>
      <c r="E5" s="41" t="s">
        <v>74</v>
      </c>
      <c r="F5" s="42">
        <v>7</v>
      </c>
      <c r="G5" s="41" t="s">
        <v>11</v>
      </c>
      <c r="H5" s="43" t="s">
        <v>426</v>
      </c>
      <c r="I5" s="44">
        <v>25</v>
      </c>
      <c r="J5" s="44">
        <v>10</v>
      </c>
      <c r="K5" s="41"/>
      <c r="L5" s="45">
        <v>103000</v>
      </c>
      <c r="M5" s="44">
        <v>1</v>
      </c>
      <c r="N5" s="43" t="s">
        <v>383</v>
      </c>
    </row>
    <row r="6" spans="1:15" ht="15.75" customHeight="1">
      <c r="A6" s="41" t="s">
        <v>428</v>
      </c>
      <c r="B6" s="41" t="s">
        <v>171</v>
      </c>
      <c r="C6" s="41" t="s">
        <v>424</v>
      </c>
      <c r="D6" s="41" t="s">
        <v>429</v>
      </c>
      <c r="E6" s="41" t="s">
        <v>74</v>
      </c>
      <c r="F6" s="42">
        <v>8</v>
      </c>
      <c r="G6" s="41" t="s">
        <v>12</v>
      </c>
      <c r="H6" s="43" t="s">
        <v>430</v>
      </c>
      <c r="I6" s="44">
        <v>180</v>
      </c>
      <c r="J6" s="44">
        <v>10</v>
      </c>
      <c r="K6" s="41"/>
      <c r="L6" s="45">
        <v>103000</v>
      </c>
      <c r="M6" s="44">
        <v>1</v>
      </c>
      <c r="N6" s="43" t="s">
        <v>383</v>
      </c>
    </row>
    <row r="7" spans="1:15" ht="15.75" customHeight="1">
      <c r="A7" s="41" t="s">
        <v>428</v>
      </c>
      <c r="B7" s="41" t="s">
        <v>171</v>
      </c>
      <c r="C7" s="41" t="s">
        <v>424</v>
      </c>
      <c r="D7" s="41" t="s">
        <v>429</v>
      </c>
      <c r="E7" s="41" t="s">
        <v>74</v>
      </c>
      <c r="F7" s="42">
        <v>9</v>
      </c>
      <c r="G7" s="41" t="s">
        <v>13</v>
      </c>
      <c r="H7" s="43" t="s">
        <v>430</v>
      </c>
      <c r="I7" s="44">
        <v>40</v>
      </c>
      <c r="J7" s="44">
        <v>10</v>
      </c>
      <c r="K7" s="41"/>
      <c r="L7" s="45">
        <v>103000</v>
      </c>
      <c r="M7" s="44">
        <v>1</v>
      </c>
      <c r="N7" s="43" t="s">
        <v>383</v>
      </c>
    </row>
    <row r="8" spans="1:15" ht="15.75" customHeight="1">
      <c r="A8" s="41" t="s">
        <v>428</v>
      </c>
      <c r="B8" s="41" t="s">
        <v>171</v>
      </c>
      <c r="C8" s="41" t="s">
        <v>431</v>
      </c>
      <c r="D8" s="41" t="s">
        <v>432</v>
      </c>
      <c r="E8" s="41" t="s">
        <v>433</v>
      </c>
      <c r="F8" s="42">
        <v>19</v>
      </c>
      <c r="G8" s="41" t="s">
        <v>368</v>
      </c>
      <c r="H8" s="43" t="s">
        <v>434</v>
      </c>
      <c r="I8" s="44">
        <v>60</v>
      </c>
      <c r="J8" s="41"/>
      <c r="K8" s="44">
        <v>1000</v>
      </c>
      <c r="L8" s="41" t="s">
        <v>435</v>
      </c>
      <c r="M8" s="44">
        <v>4</v>
      </c>
      <c r="N8" s="43" t="s">
        <v>436</v>
      </c>
    </row>
    <row r="9" spans="1:15" ht="15.75" customHeight="1">
      <c r="A9" s="41" t="s">
        <v>437</v>
      </c>
      <c r="B9" s="41" t="s">
        <v>168</v>
      </c>
      <c r="C9" s="41" t="s">
        <v>424</v>
      </c>
      <c r="D9" s="41" t="s">
        <v>425</v>
      </c>
      <c r="E9" s="41" t="s">
        <v>48</v>
      </c>
      <c r="F9" s="42">
        <v>4</v>
      </c>
      <c r="G9" s="41" t="s">
        <v>11</v>
      </c>
      <c r="H9" s="43" t="s">
        <v>426</v>
      </c>
      <c r="I9" s="44">
        <v>25</v>
      </c>
      <c r="J9" s="44">
        <v>30</v>
      </c>
      <c r="K9" s="41"/>
      <c r="L9" s="45">
        <v>52000</v>
      </c>
      <c r="M9" s="44">
        <v>1</v>
      </c>
      <c r="N9" s="43" t="s">
        <v>383</v>
      </c>
    </row>
    <row r="10" spans="1:15" ht="15.75" customHeight="1">
      <c r="A10" s="41" t="s">
        <v>437</v>
      </c>
      <c r="B10" s="41" t="s">
        <v>168</v>
      </c>
      <c r="C10" s="41" t="s">
        <v>424</v>
      </c>
      <c r="D10" s="41" t="s">
        <v>425</v>
      </c>
      <c r="E10" s="41" t="s">
        <v>48</v>
      </c>
      <c r="F10" s="42">
        <v>5</v>
      </c>
      <c r="G10" s="41" t="s">
        <v>12</v>
      </c>
      <c r="H10" s="43" t="s">
        <v>427</v>
      </c>
      <c r="I10" s="44">
        <v>130</v>
      </c>
      <c r="J10" s="44">
        <v>30</v>
      </c>
      <c r="K10" s="41"/>
      <c r="L10" s="45">
        <v>52000</v>
      </c>
      <c r="M10" s="44">
        <v>1</v>
      </c>
      <c r="N10" s="43" t="s">
        <v>383</v>
      </c>
    </row>
    <row r="11" spans="1:15" ht="15.75" customHeight="1">
      <c r="A11" s="41" t="s">
        <v>437</v>
      </c>
      <c r="B11" s="41" t="s">
        <v>168</v>
      </c>
      <c r="C11" s="41" t="s">
        <v>424</v>
      </c>
      <c r="D11" s="41" t="s">
        <v>425</v>
      </c>
      <c r="E11" s="41" t="s">
        <v>48</v>
      </c>
      <c r="F11" s="42">
        <v>6</v>
      </c>
      <c r="G11" s="41" t="s">
        <v>13</v>
      </c>
      <c r="H11" s="43" t="s">
        <v>427</v>
      </c>
      <c r="I11" s="44">
        <v>40</v>
      </c>
      <c r="J11" s="44">
        <v>30</v>
      </c>
      <c r="K11" s="41"/>
      <c r="L11" s="45">
        <v>52000</v>
      </c>
      <c r="M11" s="44">
        <v>1</v>
      </c>
      <c r="N11" s="43" t="s">
        <v>383</v>
      </c>
    </row>
    <row r="12" spans="1:15" ht="15.75" customHeight="1">
      <c r="A12" s="46" t="s">
        <v>438</v>
      </c>
      <c r="B12" s="46" t="s">
        <v>168</v>
      </c>
      <c r="C12" s="46" t="s">
        <v>424</v>
      </c>
      <c r="D12" s="46" t="s">
        <v>429</v>
      </c>
      <c r="E12" s="46" t="s">
        <v>74</v>
      </c>
      <c r="F12" s="47">
        <v>7</v>
      </c>
      <c r="G12" s="46" t="s">
        <v>11</v>
      </c>
      <c r="H12" s="48" t="s">
        <v>426</v>
      </c>
      <c r="I12" s="49">
        <v>25</v>
      </c>
      <c r="J12" s="49">
        <v>30</v>
      </c>
      <c r="K12" s="46"/>
      <c r="L12" s="50">
        <v>103000</v>
      </c>
      <c r="M12" s="49">
        <v>1</v>
      </c>
      <c r="N12" s="48" t="s">
        <v>383</v>
      </c>
      <c r="O12" s="51"/>
    </row>
    <row r="13" spans="1:15" ht="15.75" customHeight="1">
      <c r="A13" s="46" t="s">
        <v>438</v>
      </c>
      <c r="B13" s="46" t="s">
        <v>168</v>
      </c>
      <c r="C13" s="46" t="s">
        <v>424</v>
      </c>
      <c r="D13" s="46" t="s">
        <v>429</v>
      </c>
      <c r="E13" s="46" t="s">
        <v>74</v>
      </c>
      <c r="F13" s="47">
        <v>8</v>
      </c>
      <c r="G13" s="46" t="s">
        <v>12</v>
      </c>
      <c r="H13" s="48" t="s">
        <v>430</v>
      </c>
      <c r="I13" s="49">
        <v>180</v>
      </c>
      <c r="J13" s="49">
        <v>30</v>
      </c>
      <c r="K13" s="46"/>
      <c r="L13" s="50">
        <v>103000</v>
      </c>
      <c r="M13" s="49">
        <v>1</v>
      </c>
      <c r="N13" s="48" t="s">
        <v>383</v>
      </c>
      <c r="O13" s="51"/>
    </row>
    <row r="14" spans="1:15" ht="15.75" customHeight="1">
      <c r="A14" s="46" t="s">
        <v>438</v>
      </c>
      <c r="B14" s="46" t="s">
        <v>168</v>
      </c>
      <c r="C14" s="46" t="s">
        <v>424</v>
      </c>
      <c r="D14" s="46" t="s">
        <v>429</v>
      </c>
      <c r="E14" s="46" t="s">
        <v>74</v>
      </c>
      <c r="F14" s="47">
        <v>9</v>
      </c>
      <c r="G14" s="46" t="s">
        <v>13</v>
      </c>
      <c r="H14" s="48" t="s">
        <v>430</v>
      </c>
      <c r="I14" s="49">
        <v>40</v>
      </c>
      <c r="J14" s="49">
        <v>30</v>
      </c>
      <c r="K14" s="46"/>
      <c r="L14" s="50">
        <v>103000</v>
      </c>
      <c r="M14" s="49">
        <v>1</v>
      </c>
      <c r="N14" s="48" t="s">
        <v>383</v>
      </c>
      <c r="O14" s="51"/>
    </row>
    <row r="15" spans="1:15" ht="15.75" customHeight="1">
      <c r="A15" s="41" t="s">
        <v>437</v>
      </c>
      <c r="B15" s="41" t="s">
        <v>168</v>
      </c>
      <c r="C15" s="41" t="s">
        <v>431</v>
      </c>
      <c r="D15" s="41" t="s">
        <v>432</v>
      </c>
      <c r="E15" s="41" t="s">
        <v>433</v>
      </c>
      <c r="F15" s="42">
        <v>18</v>
      </c>
      <c r="G15" s="41" t="s">
        <v>439</v>
      </c>
      <c r="H15" s="43" t="s">
        <v>440</v>
      </c>
      <c r="I15" s="44">
        <v>60</v>
      </c>
      <c r="J15" s="41"/>
      <c r="K15" s="44">
        <v>1400</v>
      </c>
      <c r="L15" s="41" t="s">
        <v>435</v>
      </c>
      <c r="M15" s="44">
        <v>1</v>
      </c>
      <c r="N15" s="43" t="s">
        <v>436</v>
      </c>
    </row>
    <row r="16" spans="1:15" ht="15.75" customHeight="1">
      <c r="A16" s="41" t="s">
        <v>437</v>
      </c>
      <c r="B16" s="41" t="s">
        <v>168</v>
      </c>
      <c r="C16" s="41" t="s">
        <v>431</v>
      </c>
      <c r="D16" s="41" t="s">
        <v>432</v>
      </c>
      <c r="E16" s="41" t="s">
        <v>433</v>
      </c>
      <c r="F16" s="42">
        <v>19</v>
      </c>
      <c r="G16" s="41" t="s">
        <v>368</v>
      </c>
      <c r="H16" s="43" t="s">
        <v>434</v>
      </c>
      <c r="I16" s="44">
        <v>60</v>
      </c>
      <c r="J16" s="41"/>
      <c r="K16" s="44">
        <v>1100</v>
      </c>
      <c r="L16" s="41" t="s">
        <v>435</v>
      </c>
      <c r="M16" s="44">
        <v>4</v>
      </c>
      <c r="N16" s="43" t="s">
        <v>436</v>
      </c>
    </row>
    <row r="17" spans="1:14" ht="15.75" customHeight="1">
      <c r="A17" s="41" t="s">
        <v>441</v>
      </c>
      <c r="B17" s="41" t="s">
        <v>140</v>
      </c>
      <c r="C17" s="41" t="s">
        <v>442</v>
      </c>
      <c r="D17" s="41" t="s">
        <v>443</v>
      </c>
      <c r="E17" s="41" t="s">
        <v>33</v>
      </c>
      <c r="F17" s="42">
        <v>10</v>
      </c>
      <c r="G17" s="41" t="s">
        <v>11</v>
      </c>
      <c r="H17" s="43" t="s">
        <v>426</v>
      </c>
      <c r="I17" s="44">
        <v>25</v>
      </c>
      <c r="J17" s="44">
        <v>10.1</v>
      </c>
      <c r="K17" s="41"/>
      <c r="L17" s="45">
        <v>103000</v>
      </c>
      <c r="M17" s="44">
        <v>1</v>
      </c>
      <c r="N17" s="43" t="s">
        <v>383</v>
      </c>
    </row>
    <row r="18" spans="1:14" ht="15.75" customHeight="1">
      <c r="A18" s="41" t="s">
        <v>441</v>
      </c>
      <c r="B18" s="41" t="s">
        <v>140</v>
      </c>
      <c r="C18" s="41" t="s">
        <v>442</v>
      </c>
      <c r="D18" s="41" t="s">
        <v>443</v>
      </c>
      <c r="E18" s="41" t="s">
        <v>33</v>
      </c>
      <c r="F18" s="42">
        <v>11</v>
      </c>
      <c r="G18" s="41" t="s">
        <v>12</v>
      </c>
      <c r="H18" s="43" t="s">
        <v>444</v>
      </c>
      <c r="I18" s="44">
        <v>110</v>
      </c>
      <c r="J18" s="44">
        <v>10.1</v>
      </c>
      <c r="K18" s="41"/>
      <c r="L18" s="45">
        <v>103000</v>
      </c>
      <c r="M18" s="44">
        <v>1</v>
      </c>
      <c r="N18" s="43" t="s">
        <v>383</v>
      </c>
    </row>
    <row r="19" spans="1:14" ht="15.75" customHeight="1">
      <c r="A19" s="41" t="s">
        <v>441</v>
      </c>
      <c r="B19" s="41" t="s">
        <v>140</v>
      </c>
      <c r="C19" s="41" t="s">
        <v>442</v>
      </c>
      <c r="D19" s="41" t="s">
        <v>443</v>
      </c>
      <c r="E19" s="41" t="s">
        <v>33</v>
      </c>
      <c r="F19" s="42">
        <v>12</v>
      </c>
      <c r="G19" s="41" t="s">
        <v>13</v>
      </c>
      <c r="H19" s="43" t="s">
        <v>444</v>
      </c>
      <c r="I19" s="44">
        <v>20</v>
      </c>
      <c r="J19" s="44">
        <v>10.1</v>
      </c>
      <c r="K19" s="41"/>
      <c r="L19" s="45">
        <v>103000</v>
      </c>
      <c r="M19" s="44">
        <v>1</v>
      </c>
      <c r="N19" s="43" t="s">
        <v>383</v>
      </c>
    </row>
    <row r="20" spans="1:14" ht="15.75" customHeight="1">
      <c r="A20" s="41" t="s">
        <v>441</v>
      </c>
      <c r="B20" s="41" t="s">
        <v>140</v>
      </c>
      <c r="C20" s="41" t="s">
        <v>431</v>
      </c>
      <c r="D20" s="41" t="s">
        <v>432</v>
      </c>
      <c r="E20" s="41" t="s">
        <v>433</v>
      </c>
      <c r="F20" s="42">
        <v>19</v>
      </c>
      <c r="G20" s="41" t="s">
        <v>368</v>
      </c>
      <c r="H20" s="43" t="s">
        <v>434</v>
      </c>
      <c r="I20" s="44">
        <v>60</v>
      </c>
      <c r="J20" s="41"/>
      <c r="K20" s="44">
        <v>1000</v>
      </c>
      <c r="L20" s="41" t="s">
        <v>435</v>
      </c>
      <c r="M20" s="44">
        <v>4</v>
      </c>
      <c r="N20" s="43" t="s">
        <v>436</v>
      </c>
    </row>
    <row r="21" spans="1:14" ht="15.75" customHeight="1">
      <c r="A21" s="41" t="s">
        <v>445</v>
      </c>
      <c r="B21" s="41" t="s">
        <v>77</v>
      </c>
      <c r="C21" s="41" t="s">
        <v>442</v>
      </c>
      <c r="D21" s="41" t="s">
        <v>443</v>
      </c>
      <c r="E21" s="41" t="s">
        <v>33</v>
      </c>
      <c r="F21" s="42">
        <v>10</v>
      </c>
      <c r="G21" s="41" t="s">
        <v>11</v>
      </c>
      <c r="H21" s="43" t="s">
        <v>426</v>
      </c>
      <c r="I21" s="44">
        <v>25</v>
      </c>
      <c r="J21" s="44">
        <v>30.2</v>
      </c>
      <c r="K21" s="41"/>
      <c r="L21" s="45">
        <v>103000</v>
      </c>
      <c r="M21" s="44">
        <v>1</v>
      </c>
      <c r="N21" s="43" t="s">
        <v>383</v>
      </c>
    </row>
    <row r="22" spans="1:14" ht="15.75" customHeight="1">
      <c r="A22" s="41" t="s">
        <v>445</v>
      </c>
      <c r="B22" s="41" t="s">
        <v>77</v>
      </c>
      <c r="C22" s="41" t="s">
        <v>442</v>
      </c>
      <c r="D22" s="41" t="s">
        <v>443</v>
      </c>
      <c r="E22" s="41" t="s">
        <v>33</v>
      </c>
      <c r="F22" s="42">
        <v>11</v>
      </c>
      <c r="G22" s="41" t="s">
        <v>12</v>
      </c>
      <c r="H22" s="43" t="s">
        <v>444</v>
      </c>
      <c r="I22" s="44">
        <v>110</v>
      </c>
      <c r="J22" s="44">
        <v>30.2</v>
      </c>
      <c r="K22" s="41"/>
      <c r="L22" s="45">
        <v>103000</v>
      </c>
      <c r="M22" s="44">
        <v>1</v>
      </c>
      <c r="N22" s="43" t="s">
        <v>383</v>
      </c>
    </row>
    <row r="23" spans="1:14" ht="15.75" customHeight="1">
      <c r="A23" s="41" t="s">
        <v>445</v>
      </c>
      <c r="B23" s="41" t="s">
        <v>77</v>
      </c>
      <c r="C23" s="41" t="s">
        <v>442</v>
      </c>
      <c r="D23" s="41" t="s">
        <v>443</v>
      </c>
      <c r="E23" s="41" t="s">
        <v>33</v>
      </c>
      <c r="F23" s="42">
        <v>12</v>
      </c>
      <c r="G23" s="41" t="s">
        <v>13</v>
      </c>
      <c r="H23" s="43" t="s">
        <v>444</v>
      </c>
      <c r="I23" s="44">
        <v>20</v>
      </c>
      <c r="J23" s="44">
        <v>30.2</v>
      </c>
      <c r="K23" s="41"/>
      <c r="L23" s="45">
        <v>103000</v>
      </c>
      <c r="M23" s="44">
        <v>1</v>
      </c>
      <c r="N23" s="43" t="s">
        <v>383</v>
      </c>
    </row>
    <row r="24" spans="1:14" ht="15.75" customHeight="1">
      <c r="A24" s="41" t="s">
        <v>445</v>
      </c>
      <c r="B24" s="41" t="s">
        <v>77</v>
      </c>
      <c r="C24" s="41" t="s">
        <v>431</v>
      </c>
      <c r="D24" s="41" t="s">
        <v>432</v>
      </c>
      <c r="E24" s="41" t="s">
        <v>433</v>
      </c>
      <c r="F24" s="42">
        <v>18</v>
      </c>
      <c r="G24" s="41" t="s">
        <v>439</v>
      </c>
      <c r="H24" s="43" t="s">
        <v>440</v>
      </c>
      <c r="I24" s="44">
        <v>60</v>
      </c>
      <c r="J24" s="41"/>
      <c r="K24" s="44">
        <v>1600</v>
      </c>
      <c r="L24" s="41" t="s">
        <v>435</v>
      </c>
      <c r="M24" s="44">
        <v>1</v>
      </c>
      <c r="N24" s="43" t="s">
        <v>436</v>
      </c>
    </row>
    <row r="25" spans="1:14" ht="15.75" customHeight="1">
      <c r="A25" s="41" t="s">
        <v>445</v>
      </c>
      <c r="B25" s="41" t="s">
        <v>77</v>
      </c>
      <c r="C25" s="41" t="s">
        <v>431</v>
      </c>
      <c r="D25" s="41" t="s">
        <v>432</v>
      </c>
      <c r="E25" s="41" t="s">
        <v>433</v>
      </c>
      <c r="F25" s="42">
        <v>19</v>
      </c>
      <c r="G25" s="41" t="s">
        <v>368</v>
      </c>
      <c r="H25" s="43" t="s">
        <v>434</v>
      </c>
      <c r="I25" s="44">
        <v>60</v>
      </c>
      <c r="J25" s="41"/>
      <c r="K25" s="44">
        <v>1100</v>
      </c>
      <c r="L25" s="41" t="s">
        <v>435</v>
      </c>
      <c r="M25" s="44">
        <v>4</v>
      </c>
      <c r="N25" s="43" t="s">
        <v>436</v>
      </c>
    </row>
    <row r="26" spans="1:14" ht="15.75" customHeight="1">
      <c r="A26" s="41" t="s">
        <v>446</v>
      </c>
      <c r="B26" s="41" t="s">
        <v>447</v>
      </c>
      <c r="C26" s="41" t="s">
        <v>442</v>
      </c>
      <c r="D26" s="41" t="s">
        <v>448</v>
      </c>
      <c r="E26" s="41" t="s">
        <v>40</v>
      </c>
      <c r="F26" s="42">
        <v>1</v>
      </c>
      <c r="G26" s="41" t="s">
        <v>11</v>
      </c>
      <c r="H26" s="43" t="s">
        <v>426</v>
      </c>
      <c r="I26" s="44">
        <v>20</v>
      </c>
      <c r="J26" s="44">
        <v>101</v>
      </c>
      <c r="K26" s="41"/>
      <c r="L26" s="45">
        <v>400000</v>
      </c>
      <c r="M26" s="44">
        <v>1</v>
      </c>
      <c r="N26" s="43" t="s">
        <v>383</v>
      </c>
    </row>
    <row r="27" spans="1:14" ht="15.75" customHeight="1">
      <c r="A27" s="41" t="s">
        <v>446</v>
      </c>
      <c r="B27" s="41" t="s">
        <v>447</v>
      </c>
      <c r="C27" s="41" t="s">
        <v>442</v>
      </c>
      <c r="D27" s="41" t="s">
        <v>448</v>
      </c>
      <c r="E27" s="41" t="s">
        <v>40</v>
      </c>
      <c r="F27" s="42">
        <v>2</v>
      </c>
      <c r="G27" s="41" t="s">
        <v>12</v>
      </c>
      <c r="H27" s="43" t="s">
        <v>449</v>
      </c>
      <c r="I27" s="44">
        <v>90</v>
      </c>
      <c r="J27" s="44">
        <v>101</v>
      </c>
      <c r="K27" s="41"/>
      <c r="L27" s="45">
        <v>400000</v>
      </c>
      <c r="M27" s="44">
        <v>1</v>
      </c>
      <c r="N27" s="43" t="s">
        <v>383</v>
      </c>
    </row>
    <row r="28" spans="1:14" ht="15.75" customHeight="1">
      <c r="A28" s="41" t="s">
        <v>446</v>
      </c>
      <c r="B28" s="41" t="s">
        <v>447</v>
      </c>
      <c r="C28" s="41" t="s">
        <v>442</v>
      </c>
      <c r="D28" s="41" t="s">
        <v>448</v>
      </c>
      <c r="E28" s="41" t="s">
        <v>40</v>
      </c>
      <c r="F28" s="42">
        <v>3</v>
      </c>
      <c r="G28" s="41" t="s">
        <v>13</v>
      </c>
      <c r="H28" s="43" t="s">
        <v>449</v>
      </c>
      <c r="I28" s="44">
        <v>30</v>
      </c>
      <c r="J28" s="44">
        <v>101</v>
      </c>
      <c r="K28" s="41"/>
      <c r="L28" s="45">
        <v>400000</v>
      </c>
      <c r="M28" s="44">
        <v>1</v>
      </c>
      <c r="N28" s="43" t="s">
        <v>383</v>
      </c>
    </row>
    <row r="29" spans="1:14" ht="15.75" customHeight="1">
      <c r="A29" s="41" t="s">
        <v>446</v>
      </c>
      <c r="B29" s="41" t="s">
        <v>447</v>
      </c>
      <c r="C29" s="41" t="s">
        <v>431</v>
      </c>
      <c r="D29" s="41" t="s">
        <v>432</v>
      </c>
      <c r="E29" s="41" t="s">
        <v>433</v>
      </c>
      <c r="F29" s="42">
        <v>18</v>
      </c>
      <c r="G29" s="41" t="s">
        <v>439</v>
      </c>
      <c r="H29" s="43" t="s">
        <v>440</v>
      </c>
      <c r="I29" s="44">
        <v>60</v>
      </c>
      <c r="J29" s="41"/>
      <c r="K29" s="44">
        <v>1000</v>
      </c>
      <c r="L29" s="41" t="s">
        <v>435</v>
      </c>
      <c r="M29" s="44">
        <v>1</v>
      </c>
      <c r="N29" s="43" t="s">
        <v>436</v>
      </c>
    </row>
    <row r="30" spans="1:14" ht="15.75" customHeight="1">
      <c r="A30" s="41" t="s">
        <v>446</v>
      </c>
      <c r="B30" s="41" t="s">
        <v>447</v>
      </c>
      <c r="C30" s="41" t="s">
        <v>431</v>
      </c>
      <c r="D30" s="41" t="s">
        <v>432</v>
      </c>
      <c r="E30" s="41" t="s">
        <v>433</v>
      </c>
      <c r="F30" s="42">
        <v>19</v>
      </c>
      <c r="G30" s="41" t="s">
        <v>368</v>
      </c>
      <c r="H30" s="43" t="s">
        <v>434</v>
      </c>
      <c r="I30" s="44">
        <v>60</v>
      </c>
      <c r="J30" s="41"/>
      <c r="K30" s="44">
        <v>650</v>
      </c>
      <c r="L30" s="41" t="s">
        <v>435</v>
      </c>
      <c r="M30" s="44">
        <v>4</v>
      </c>
      <c r="N30" s="43" t="s">
        <v>436</v>
      </c>
    </row>
    <row r="31" spans="1:14" ht="15.75" customHeight="1">
      <c r="A31" s="41" t="s">
        <v>450</v>
      </c>
      <c r="B31" s="41" t="s">
        <v>451</v>
      </c>
      <c r="C31" s="41" t="s">
        <v>424</v>
      </c>
      <c r="D31" s="41" t="s">
        <v>429</v>
      </c>
      <c r="E31" s="41" t="s">
        <v>74</v>
      </c>
      <c r="F31" s="42">
        <v>7</v>
      </c>
      <c r="G31" s="41" t="s">
        <v>11</v>
      </c>
      <c r="H31" s="43" t="s">
        <v>426</v>
      </c>
      <c r="I31" s="44">
        <v>25</v>
      </c>
      <c r="J31" s="44">
        <v>29</v>
      </c>
      <c r="K31" s="41"/>
      <c r="L31" s="45">
        <v>103000</v>
      </c>
      <c r="M31" s="44">
        <v>1</v>
      </c>
      <c r="N31" s="43" t="s">
        <v>383</v>
      </c>
    </row>
    <row r="32" spans="1:14" ht="15.75" customHeight="1">
      <c r="A32" s="41" t="s">
        <v>450</v>
      </c>
      <c r="B32" s="41" t="s">
        <v>451</v>
      </c>
      <c r="C32" s="41" t="s">
        <v>424</v>
      </c>
      <c r="D32" s="41" t="s">
        <v>429</v>
      </c>
      <c r="E32" s="41" t="s">
        <v>74</v>
      </c>
      <c r="F32" s="42">
        <v>8</v>
      </c>
      <c r="G32" s="41" t="s">
        <v>12</v>
      </c>
      <c r="H32" s="43" t="s">
        <v>430</v>
      </c>
      <c r="I32" s="44">
        <v>190</v>
      </c>
      <c r="J32" s="44">
        <v>29</v>
      </c>
      <c r="K32" s="41"/>
      <c r="L32" s="45">
        <v>103000</v>
      </c>
      <c r="M32" s="44">
        <v>1</v>
      </c>
      <c r="N32" s="43" t="s">
        <v>383</v>
      </c>
    </row>
    <row r="33" spans="1:14" ht="15.75" customHeight="1">
      <c r="A33" s="41" t="s">
        <v>450</v>
      </c>
      <c r="B33" s="41" t="s">
        <v>451</v>
      </c>
      <c r="C33" s="41" t="s">
        <v>424</v>
      </c>
      <c r="D33" s="41" t="s">
        <v>429</v>
      </c>
      <c r="E33" s="41" t="s">
        <v>74</v>
      </c>
      <c r="F33" s="42">
        <v>9</v>
      </c>
      <c r="G33" s="41" t="s">
        <v>13</v>
      </c>
      <c r="H33" s="43" t="s">
        <v>430</v>
      </c>
      <c r="I33" s="44">
        <v>40</v>
      </c>
      <c r="J33" s="44">
        <v>29</v>
      </c>
      <c r="K33" s="41"/>
      <c r="L33" s="45">
        <v>103000</v>
      </c>
      <c r="M33" s="44">
        <v>1</v>
      </c>
      <c r="N33" s="43" t="s">
        <v>383</v>
      </c>
    </row>
    <row r="34" spans="1:14" ht="15.75" customHeight="1">
      <c r="A34" s="41" t="s">
        <v>450</v>
      </c>
      <c r="B34" s="41" t="s">
        <v>451</v>
      </c>
      <c r="C34" s="41" t="s">
        <v>431</v>
      </c>
      <c r="D34" s="41" t="s">
        <v>432</v>
      </c>
      <c r="E34" s="41" t="s">
        <v>433</v>
      </c>
      <c r="F34" s="42">
        <v>18</v>
      </c>
      <c r="G34" s="41" t="s">
        <v>439</v>
      </c>
      <c r="H34" s="43" t="s">
        <v>440</v>
      </c>
      <c r="I34" s="44">
        <v>60</v>
      </c>
      <c r="J34" s="41"/>
      <c r="K34" s="44">
        <v>680</v>
      </c>
      <c r="L34" s="41" t="s">
        <v>435</v>
      </c>
      <c r="M34" s="44">
        <v>1</v>
      </c>
      <c r="N34" s="43" t="s">
        <v>436</v>
      </c>
    </row>
    <row r="35" spans="1:14" ht="15.75" customHeight="1">
      <c r="A35" s="41" t="s">
        <v>450</v>
      </c>
      <c r="B35" s="41" t="s">
        <v>451</v>
      </c>
      <c r="C35" s="41" t="s">
        <v>431</v>
      </c>
      <c r="D35" s="41" t="s">
        <v>432</v>
      </c>
      <c r="E35" s="41" t="s">
        <v>433</v>
      </c>
      <c r="F35" s="42">
        <v>19</v>
      </c>
      <c r="G35" s="41" t="s">
        <v>368</v>
      </c>
      <c r="H35" s="43" t="s">
        <v>434</v>
      </c>
      <c r="I35" s="44">
        <v>60</v>
      </c>
      <c r="J35" s="41"/>
      <c r="K35" s="44">
        <v>850</v>
      </c>
      <c r="L35" s="41" t="s">
        <v>435</v>
      </c>
      <c r="M35" s="44">
        <v>3</v>
      </c>
      <c r="N35" s="43" t="s">
        <v>436</v>
      </c>
    </row>
    <row r="36" spans="1:14" ht="15.75" customHeight="1">
      <c r="A36" s="41" t="s">
        <v>452</v>
      </c>
      <c r="B36" s="41" t="s">
        <v>453</v>
      </c>
      <c r="C36" s="41" t="s">
        <v>424</v>
      </c>
      <c r="D36" s="41" t="s">
        <v>425</v>
      </c>
      <c r="E36" s="41" t="s">
        <v>48</v>
      </c>
      <c r="F36" s="42">
        <v>4</v>
      </c>
      <c r="G36" s="41" t="s">
        <v>11</v>
      </c>
      <c r="H36" s="43" t="s">
        <v>426</v>
      </c>
      <c r="I36" s="44">
        <v>30</v>
      </c>
      <c r="J36" s="44">
        <v>14.5</v>
      </c>
      <c r="K36" s="41"/>
      <c r="L36" s="45">
        <v>52000</v>
      </c>
      <c r="M36" s="44">
        <v>1</v>
      </c>
      <c r="N36" s="43" t="s">
        <v>383</v>
      </c>
    </row>
    <row r="37" spans="1:14" ht="15.75" customHeight="1">
      <c r="A37" s="41" t="s">
        <v>452</v>
      </c>
      <c r="B37" s="41" t="s">
        <v>453</v>
      </c>
      <c r="C37" s="41" t="s">
        <v>424</v>
      </c>
      <c r="D37" s="41" t="s">
        <v>425</v>
      </c>
      <c r="E37" s="41" t="s">
        <v>48</v>
      </c>
      <c r="F37" s="42">
        <v>5</v>
      </c>
      <c r="G37" s="41" t="s">
        <v>12</v>
      </c>
      <c r="H37" s="43" t="s">
        <v>427</v>
      </c>
      <c r="I37" s="44">
        <v>125</v>
      </c>
      <c r="J37" s="44">
        <v>14.5</v>
      </c>
      <c r="K37" s="41"/>
      <c r="L37" s="45">
        <v>52000</v>
      </c>
      <c r="M37" s="44">
        <v>1</v>
      </c>
      <c r="N37" s="43" t="s">
        <v>383</v>
      </c>
    </row>
    <row r="38" spans="1:14" ht="15.75" customHeight="1">
      <c r="A38" s="41" t="s">
        <v>452</v>
      </c>
      <c r="B38" s="41" t="s">
        <v>453</v>
      </c>
      <c r="C38" s="41" t="s">
        <v>424</v>
      </c>
      <c r="D38" s="41" t="s">
        <v>425</v>
      </c>
      <c r="E38" s="41" t="s">
        <v>48</v>
      </c>
      <c r="F38" s="42">
        <v>6</v>
      </c>
      <c r="G38" s="41" t="s">
        <v>13</v>
      </c>
      <c r="H38" s="43" t="s">
        <v>427</v>
      </c>
      <c r="I38" s="44">
        <v>30</v>
      </c>
      <c r="J38" s="44">
        <v>14.5</v>
      </c>
      <c r="K38" s="41"/>
      <c r="L38" s="45">
        <v>52000</v>
      </c>
      <c r="M38" s="44">
        <v>1</v>
      </c>
      <c r="N38" s="43" t="s">
        <v>383</v>
      </c>
    </row>
    <row r="39" spans="1:14" ht="15.75" customHeight="1">
      <c r="A39" s="41" t="s">
        <v>452</v>
      </c>
      <c r="B39" s="41" t="s">
        <v>453</v>
      </c>
      <c r="C39" s="41" t="s">
        <v>424</v>
      </c>
      <c r="D39" s="41" t="s">
        <v>429</v>
      </c>
      <c r="E39" s="41" t="s">
        <v>74</v>
      </c>
      <c r="F39" s="42">
        <v>7</v>
      </c>
      <c r="G39" s="41" t="s">
        <v>11</v>
      </c>
      <c r="H39" s="43" t="s">
        <v>426</v>
      </c>
      <c r="I39" s="44">
        <v>25</v>
      </c>
      <c r="J39" s="44">
        <v>14.5</v>
      </c>
      <c r="K39" s="41"/>
      <c r="L39" s="45">
        <v>103000</v>
      </c>
      <c r="M39" s="44">
        <v>1</v>
      </c>
      <c r="N39" s="43" t="s">
        <v>383</v>
      </c>
    </row>
    <row r="40" spans="1:14" ht="15.75" customHeight="1">
      <c r="A40" s="41" t="s">
        <v>452</v>
      </c>
      <c r="B40" s="41" t="s">
        <v>453</v>
      </c>
      <c r="C40" s="41" t="s">
        <v>424</v>
      </c>
      <c r="D40" s="41" t="s">
        <v>429</v>
      </c>
      <c r="E40" s="41" t="s">
        <v>74</v>
      </c>
      <c r="F40" s="42">
        <v>8</v>
      </c>
      <c r="G40" s="41" t="s">
        <v>12</v>
      </c>
      <c r="H40" s="43" t="s">
        <v>430</v>
      </c>
      <c r="I40" s="44">
        <v>180</v>
      </c>
      <c r="J40" s="44">
        <v>14.5</v>
      </c>
      <c r="K40" s="41"/>
      <c r="L40" s="45">
        <v>103000</v>
      </c>
      <c r="M40" s="44">
        <v>1</v>
      </c>
      <c r="N40" s="43" t="s">
        <v>383</v>
      </c>
    </row>
    <row r="41" spans="1:14" ht="15.75" customHeight="1">
      <c r="A41" s="41" t="s">
        <v>452</v>
      </c>
      <c r="B41" s="41" t="s">
        <v>453</v>
      </c>
      <c r="C41" s="41" t="s">
        <v>424</v>
      </c>
      <c r="D41" s="41" t="s">
        <v>429</v>
      </c>
      <c r="E41" s="41" t="s">
        <v>74</v>
      </c>
      <c r="F41" s="42">
        <v>9</v>
      </c>
      <c r="G41" s="41" t="s">
        <v>13</v>
      </c>
      <c r="H41" s="43" t="s">
        <v>430</v>
      </c>
      <c r="I41" s="44">
        <v>40</v>
      </c>
      <c r="J41" s="44">
        <v>14.5</v>
      </c>
      <c r="K41" s="41"/>
      <c r="L41" s="45">
        <v>103000</v>
      </c>
      <c r="M41" s="44">
        <v>1</v>
      </c>
      <c r="N41" s="43" t="s">
        <v>383</v>
      </c>
    </row>
    <row r="42" spans="1:14" ht="15.75" customHeight="1">
      <c r="A42" s="41" t="s">
        <v>452</v>
      </c>
      <c r="B42" s="41" t="s">
        <v>453</v>
      </c>
      <c r="C42" s="41" t="s">
        <v>431</v>
      </c>
      <c r="D42" s="41" t="s">
        <v>432</v>
      </c>
      <c r="E42" s="41" t="s">
        <v>433</v>
      </c>
      <c r="F42" s="42">
        <v>19</v>
      </c>
      <c r="G42" s="41" t="s">
        <v>368</v>
      </c>
      <c r="H42" s="43" t="s">
        <v>434</v>
      </c>
      <c r="I42" s="44">
        <v>60</v>
      </c>
      <c r="J42" s="41"/>
      <c r="K42" s="44">
        <v>750</v>
      </c>
      <c r="L42" s="41" t="s">
        <v>435</v>
      </c>
      <c r="M42" s="44">
        <v>4</v>
      </c>
      <c r="N42" s="43" t="s">
        <v>436</v>
      </c>
    </row>
    <row r="43" spans="1:14" ht="15.75" customHeight="1">
      <c r="A43" s="41" t="s">
        <v>454</v>
      </c>
      <c r="B43" s="41" t="s">
        <v>455</v>
      </c>
      <c r="C43" s="41" t="s">
        <v>442</v>
      </c>
      <c r="D43" s="41" t="s">
        <v>443</v>
      </c>
      <c r="E43" s="41" t="s">
        <v>33</v>
      </c>
      <c r="F43" s="42">
        <v>10</v>
      </c>
      <c r="G43" s="41" t="s">
        <v>11</v>
      </c>
      <c r="H43" s="43" t="s">
        <v>426</v>
      </c>
      <c r="I43" s="44">
        <v>20</v>
      </c>
      <c r="J43" s="44">
        <v>30.9</v>
      </c>
      <c r="K43" s="41"/>
      <c r="L43" s="45">
        <v>100000</v>
      </c>
      <c r="M43" s="44">
        <v>1</v>
      </c>
      <c r="N43" s="43" t="s">
        <v>383</v>
      </c>
    </row>
    <row r="44" spans="1:14" ht="15.75" customHeight="1">
      <c r="A44" s="41" t="s">
        <v>454</v>
      </c>
      <c r="B44" s="41" t="s">
        <v>455</v>
      </c>
      <c r="C44" s="41" t="s">
        <v>442</v>
      </c>
      <c r="D44" s="41" t="s">
        <v>443</v>
      </c>
      <c r="E44" s="41" t="s">
        <v>33</v>
      </c>
      <c r="F44" s="42">
        <v>11</v>
      </c>
      <c r="G44" s="41" t="s">
        <v>12</v>
      </c>
      <c r="H44" s="43" t="s">
        <v>444</v>
      </c>
      <c r="I44" s="44">
        <v>80</v>
      </c>
      <c r="J44" s="44">
        <v>30.9</v>
      </c>
      <c r="K44" s="41"/>
      <c r="L44" s="45">
        <v>100000</v>
      </c>
      <c r="M44" s="44">
        <v>1</v>
      </c>
      <c r="N44" s="43" t="s">
        <v>383</v>
      </c>
    </row>
    <row r="45" spans="1:14" ht="15.75" customHeight="1">
      <c r="A45" s="41" t="s">
        <v>454</v>
      </c>
      <c r="B45" s="41" t="s">
        <v>455</v>
      </c>
      <c r="C45" s="41" t="s">
        <v>442</v>
      </c>
      <c r="D45" s="41" t="s">
        <v>443</v>
      </c>
      <c r="E45" s="41" t="s">
        <v>33</v>
      </c>
      <c r="F45" s="42">
        <v>12</v>
      </c>
      <c r="G45" s="41" t="s">
        <v>13</v>
      </c>
      <c r="H45" s="43" t="s">
        <v>444</v>
      </c>
      <c r="I45" s="44">
        <v>15</v>
      </c>
      <c r="J45" s="44">
        <v>30.9</v>
      </c>
      <c r="K45" s="41"/>
      <c r="L45" s="45">
        <v>100000</v>
      </c>
      <c r="M45" s="44">
        <v>1</v>
      </c>
      <c r="N45" s="43" t="s">
        <v>383</v>
      </c>
    </row>
    <row r="46" spans="1:14" ht="15.75" customHeight="1">
      <c r="A46" s="41" t="s">
        <v>454</v>
      </c>
      <c r="B46" s="41" t="s">
        <v>455</v>
      </c>
      <c r="C46" s="41" t="s">
        <v>431</v>
      </c>
      <c r="D46" s="41" t="s">
        <v>432</v>
      </c>
      <c r="E46" s="41" t="s">
        <v>433</v>
      </c>
      <c r="F46" s="42">
        <v>18</v>
      </c>
      <c r="G46" s="41" t="s">
        <v>439</v>
      </c>
      <c r="H46" s="43" t="s">
        <v>440</v>
      </c>
      <c r="I46" s="44">
        <v>60</v>
      </c>
      <c r="J46" s="41"/>
      <c r="K46" s="44">
        <v>700</v>
      </c>
      <c r="L46" s="41" t="s">
        <v>435</v>
      </c>
      <c r="M46" s="44">
        <v>1</v>
      </c>
      <c r="N46" s="43" t="s">
        <v>436</v>
      </c>
    </row>
    <row r="47" spans="1:14" ht="15.75" customHeight="1">
      <c r="A47" s="41" t="s">
        <v>454</v>
      </c>
      <c r="B47" s="41" t="s">
        <v>455</v>
      </c>
      <c r="C47" s="41" t="s">
        <v>431</v>
      </c>
      <c r="D47" s="41" t="s">
        <v>432</v>
      </c>
      <c r="E47" s="41" t="s">
        <v>433</v>
      </c>
      <c r="F47" s="42">
        <v>19</v>
      </c>
      <c r="G47" s="41" t="s">
        <v>368</v>
      </c>
      <c r="H47" s="43" t="s">
        <v>434</v>
      </c>
      <c r="I47" s="44">
        <v>60</v>
      </c>
      <c r="J47" s="41"/>
      <c r="K47" s="44">
        <v>700</v>
      </c>
      <c r="L47" s="41" t="s">
        <v>435</v>
      </c>
      <c r="M47" s="44">
        <v>3</v>
      </c>
      <c r="N47" s="43" t="s">
        <v>436</v>
      </c>
    </row>
    <row r="48" spans="1:14" ht="15.75" customHeight="1">
      <c r="A48" s="41" t="s">
        <v>456</v>
      </c>
      <c r="B48" s="41" t="s">
        <v>36</v>
      </c>
      <c r="C48" s="41" t="s">
        <v>442</v>
      </c>
      <c r="D48" s="41" t="s">
        <v>443</v>
      </c>
      <c r="E48" s="41" t="s">
        <v>33</v>
      </c>
      <c r="F48" s="42">
        <v>10</v>
      </c>
      <c r="G48" s="41" t="s">
        <v>11</v>
      </c>
      <c r="H48" s="43" t="s">
        <v>426</v>
      </c>
      <c r="I48" s="44">
        <v>65</v>
      </c>
      <c r="J48" s="44">
        <v>99.1</v>
      </c>
      <c r="K48" s="41"/>
      <c r="L48" s="45">
        <v>18000</v>
      </c>
      <c r="M48" s="44">
        <v>1</v>
      </c>
      <c r="N48" s="43" t="s">
        <v>383</v>
      </c>
    </row>
    <row r="49" spans="1:14" ht="15.75" customHeight="1">
      <c r="A49" s="41" t="s">
        <v>456</v>
      </c>
      <c r="B49" s="41" t="s">
        <v>36</v>
      </c>
      <c r="C49" s="41" t="s">
        <v>442</v>
      </c>
      <c r="D49" s="41" t="s">
        <v>443</v>
      </c>
      <c r="E49" s="41" t="s">
        <v>33</v>
      </c>
      <c r="F49" s="42">
        <v>11</v>
      </c>
      <c r="G49" s="41" t="s">
        <v>12</v>
      </c>
      <c r="H49" s="43" t="s">
        <v>444</v>
      </c>
      <c r="I49" s="44">
        <v>65</v>
      </c>
      <c r="J49" s="44">
        <v>99.1</v>
      </c>
      <c r="K49" s="41"/>
      <c r="L49" s="45">
        <v>18000</v>
      </c>
      <c r="M49" s="44">
        <v>1</v>
      </c>
      <c r="N49" s="43" t="s">
        <v>383</v>
      </c>
    </row>
    <row r="50" spans="1:14" ht="15.75" customHeight="1">
      <c r="A50" s="41" t="s">
        <v>456</v>
      </c>
      <c r="B50" s="41" t="s">
        <v>36</v>
      </c>
      <c r="C50" s="41" t="s">
        <v>442</v>
      </c>
      <c r="D50" s="41" t="s">
        <v>443</v>
      </c>
      <c r="E50" s="41" t="s">
        <v>33</v>
      </c>
      <c r="F50" s="42">
        <v>12</v>
      </c>
      <c r="G50" s="41" t="s">
        <v>13</v>
      </c>
      <c r="H50" s="43" t="s">
        <v>444</v>
      </c>
      <c r="I50" s="44">
        <v>20</v>
      </c>
      <c r="J50" s="44">
        <v>99.1</v>
      </c>
      <c r="K50" s="41"/>
      <c r="L50" s="45">
        <v>18000</v>
      </c>
      <c r="M50" s="44">
        <v>1</v>
      </c>
      <c r="N50" s="43" t="s">
        <v>383</v>
      </c>
    </row>
    <row r="51" spans="1:14" ht="15.75" customHeight="1">
      <c r="A51" s="41" t="s">
        <v>456</v>
      </c>
      <c r="B51" s="41" t="s">
        <v>36</v>
      </c>
      <c r="C51" s="41" t="s">
        <v>431</v>
      </c>
      <c r="D51" s="41" t="s">
        <v>432</v>
      </c>
      <c r="E51" s="41" t="s">
        <v>433</v>
      </c>
      <c r="F51" s="42">
        <v>18</v>
      </c>
      <c r="G51" s="41" t="s">
        <v>439</v>
      </c>
      <c r="H51" s="43" t="s">
        <v>440</v>
      </c>
      <c r="I51" s="44">
        <v>60</v>
      </c>
      <c r="J51" s="41"/>
      <c r="K51" s="44">
        <v>1000</v>
      </c>
      <c r="L51" s="41" t="s">
        <v>435</v>
      </c>
      <c r="M51" s="44">
        <v>1</v>
      </c>
      <c r="N51" s="43" t="s">
        <v>436</v>
      </c>
    </row>
    <row r="52" spans="1:14" ht="15.75" customHeight="1">
      <c r="A52" s="41" t="s">
        <v>456</v>
      </c>
      <c r="B52" s="41" t="s">
        <v>36</v>
      </c>
      <c r="C52" s="41" t="s">
        <v>431</v>
      </c>
      <c r="D52" s="41" t="s">
        <v>432</v>
      </c>
      <c r="E52" s="41" t="s">
        <v>433</v>
      </c>
      <c r="F52" s="42">
        <v>19</v>
      </c>
      <c r="G52" s="41" t="s">
        <v>368</v>
      </c>
      <c r="H52" s="43" t="s">
        <v>434</v>
      </c>
      <c r="I52" s="44">
        <v>60</v>
      </c>
      <c r="J52" s="41"/>
      <c r="K52" s="44">
        <v>390</v>
      </c>
      <c r="L52" s="41" t="s">
        <v>435</v>
      </c>
      <c r="M52" s="44">
        <v>4</v>
      </c>
      <c r="N52" s="43" t="s">
        <v>436</v>
      </c>
    </row>
    <row r="53" spans="1:14" ht="15.75" customHeight="1">
      <c r="A53" s="41" t="s">
        <v>457</v>
      </c>
      <c r="B53" s="41" t="s">
        <v>458</v>
      </c>
      <c r="C53" s="41" t="s">
        <v>442</v>
      </c>
      <c r="D53" s="41" t="s">
        <v>443</v>
      </c>
      <c r="E53" s="41" t="s">
        <v>33</v>
      </c>
      <c r="F53" s="42">
        <v>10</v>
      </c>
      <c r="G53" s="41" t="s">
        <v>11</v>
      </c>
      <c r="H53" s="43" t="s">
        <v>426</v>
      </c>
      <c r="I53" s="44">
        <v>30</v>
      </c>
      <c r="J53" s="44">
        <v>31</v>
      </c>
      <c r="K53" s="41"/>
      <c r="L53" s="45">
        <v>113000</v>
      </c>
      <c r="M53" s="44">
        <v>1</v>
      </c>
      <c r="N53" s="43" t="s">
        <v>383</v>
      </c>
    </row>
    <row r="54" spans="1:14" ht="15.75" customHeight="1">
      <c r="A54" s="41" t="s">
        <v>457</v>
      </c>
      <c r="B54" s="41" t="s">
        <v>458</v>
      </c>
      <c r="C54" s="41" t="s">
        <v>442</v>
      </c>
      <c r="D54" s="41" t="s">
        <v>443</v>
      </c>
      <c r="E54" s="41" t="s">
        <v>33</v>
      </c>
      <c r="F54" s="42">
        <v>11</v>
      </c>
      <c r="G54" s="41" t="s">
        <v>12</v>
      </c>
      <c r="H54" s="43" t="s">
        <v>444</v>
      </c>
      <c r="I54" s="44">
        <v>75</v>
      </c>
      <c r="J54" s="44">
        <v>31</v>
      </c>
      <c r="K54" s="41"/>
      <c r="L54" s="45">
        <v>113000</v>
      </c>
      <c r="M54" s="44">
        <v>1</v>
      </c>
      <c r="N54" s="43" t="s">
        <v>383</v>
      </c>
    </row>
    <row r="55" spans="1:14" ht="15.75" customHeight="1">
      <c r="A55" s="41" t="s">
        <v>457</v>
      </c>
      <c r="B55" s="41" t="s">
        <v>458</v>
      </c>
      <c r="C55" s="41" t="s">
        <v>442</v>
      </c>
      <c r="D55" s="41" t="s">
        <v>443</v>
      </c>
      <c r="E55" s="41" t="s">
        <v>33</v>
      </c>
      <c r="F55" s="42">
        <v>12</v>
      </c>
      <c r="G55" s="41" t="s">
        <v>13</v>
      </c>
      <c r="H55" s="43" t="s">
        <v>444</v>
      </c>
      <c r="I55" s="44">
        <v>15</v>
      </c>
      <c r="J55" s="44">
        <v>31</v>
      </c>
      <c r="K55" s="41"/>
      <c r="L55" s="45">
        <v>113000</v>
      </c>
      <c r="M55" s="44">
        <v>1</v>
      </c>
      <c r="N55" s="43" t="s">
        <v>383</v>
      </c>
    </row>
    <row r="56" spans="1:14" ht="15.75" customHeight="1">
      <c r="A56" s="41" t="s">
        <v>457</v>
      </c>
      <c r="B56" s="41" t="s">
        <v>458</v>
      </c>
      <c r="C56" s="41" t="s">
        <v>431</v>
      </c>
      <c r="D56" s="41" t="s">
        <v>432</v>
      </c>
      <c r="E56" s="41" t="s">
        <v>433</v>
      </c>
      <c r="F56" s="42">
        <v>18</v>
      </c>
      <c r="G56" s="41" t="s">
        <v>439</v>
      </c>
      <c r="H56" s="43" t="s">
        <v>440</v>
      </c>
      <c r="I56" s="44">
        <v>60</v>
      </c>
      <c r="J56" s="41"/>
      <c r="K56" s="44">
        <v>800</v>
      </c>
      <c r="L56" s="41" t="s">
        <v>435</v>
      </c>
      <c r="M56" s="44">
        <v>1</v>
      </c>
      <c r="N56" s="43" t="s">
        <v>436</v>
      </c>
    </row>
    <row r="57" spans="1:14" ht="15.75" customHeight="1">
      <c r="A57" s="41" t="s">
        <v>457</v>
      </c>
      <c r="B57" s="41" t="s">
        <v>458</v>
      </c>
      <c r="C57" s="41" t="s">
        <v>431</v>
      </c>
      <c r="D57" s="41" t="s">
        <v>432</v>
      </c>
      <c r="E57" s="41" t="s">
        <v>433</v>
      </c>
      <c r="F57" s="42">
        <v>19</v>
      </c>
      <c r="G57" s="41" t="s">
        <v>368</v>
      </c>
      <c r="H57" s="43" t="s">
        <v>434</v>
      </c>
      <c r="I57" s="44">
        <v>60</v>
      </c>
      <c r="J57" s="41"/>
      <c r="K57" s="44">
        <v>1100</v>
      </c>
      <c r="L57" s="41" t="s">
        <v>435</v>
      </c>
      <c r="M57" s="44">
        <v>4</v>
      </c>
      <c r="N57" s="43" t="s">
        <v>436</v>
      </c>
    </row>
    <row r="58" spans="1:14" ht="15.75" customHeight="1">
      <c r="A58" s="41" t="s">
        <v>459</v>
      </c>
      <c r="B58" s="41" t="s">
        <v>460</v>
      </c>
      <c r="C58" s="41" t="s">
        <v>442</v>
      </c>
      <c r="D58" s="41" t="s">
        <v>443</v>
      </c>
      <c r="E58" s="41" t="s">
        <v>33</v>
      </c>
      <c r="F58" s="42">
        <v>10</v>
      </c>
      <c r="G58" s="41" t="s">
        <v>11</v>
      </c>
      <c r="H58" s="43" t="s">
        <v>426</v>
      </c>
      <c r="I58" s="44">
        <v>30</v>
      </c>
      <c r="J58" s="44">
        <v>31</v>
      </c>
      <c r="K58" s="41"/>
      <c r="L58" s="45">
        <v>103000</v>
      </c>
      <c r="M58" s="44">
        <v>1</v>
      </c>
      <c r="N58" s="43" t="s">
        <v>383</v>
      </c>
    </row>
    <row r="59" spans="1:14" ht="15.75" customHeight="1">
      <c r="A59" s="41" t="s">
        <v>459</v>
      </c>
      <c r="B59" s="41" t="s">
        <v>460</v>
      </c>
      <c r="C59" s="41" t="s">
        <v>442</v>
      </c>
      <c r="D59" s="41" t="s">
        <v>443</v>
      </c>
      <c r="E59" s="41" t="s">
        <v>33</v>
      </c>
      <c r="F59" s="42">
        <v>11</v>
      </c>
      <c r="G59" s="41" t="s">
        <v>12</v>
      </c>
      <c r="H59" s="43" t="s">
        <v>444</v>
      </c>
      <c r="I59" s="44">
        <v>75</v>
      </c>
      <c r="J59" s="44">
        <v>31</v>
      </c>
      <c r="K59" s="41"/>
      <c r="L59" s="45">
        <v>100000</v>
      </c>
      <c r="M59" s="44">
        <v>1</v>
      </c>
      <c r="N59" s="43" t="s">
        <v>383</v>
      </c>
    </row>
    <row r="60" spans="1:14" ht="15.75" customHeight="1">
      <c r="A60" s="41" t="s">
        <v>459</v>
      </c>
      <c r="B60" s="41" t="s">
        <v>460</v>
      </c>
      <c r="C60" s="41" t="s">
        <v>442</v>
      </c>
      <c r="D60" s="41" t="s">
        <v>443</v>
      </c>
      <c r="E60" s="41" t="s">
        <v>33</v>
      </c>
      <c r="F60" s="42">
        <v>12</v>
      </c>
      <c r="G60" s="41" t="s">
        <v>13</v>
      </c>
      <c r="H60" s="43" t="s">
        <v>444</v>
      </c>
      <c r="I60" s="44">
        <v>15</v>
      </c>
      <c r="J60" s="44">
        <v>31</v>
      </c>
      <c r="K60" s="41"/>
      <c r="L60" s="45">
        <v>100000</v>
      </c>
      <c r="M60" s="44">
        <v>1</v>
      </c>
      <c r="N60" s="43" t="s">
        <v>383</v>
      </c>
    </row>
    <row r="61" spans="1:14" ht="15.75" customHeight="1">
      <c r="A61" s="41" t="s">
        <v>459</v>
      </c>
      <c r="B61" s="41" t="s">
        <v>460</v>
      </c>
      <c r="C61" s="41" t="s">
        <v>431</v>
      </c>
      <c r="D61" s="41" t="s">
        <v>432</v>
      </c>
      <c r="E61" s="41" t="s">
        <v>433</v>
      </c>
      <c r="F61" s="42">
        <v>18</v>
      </c>
      <c r="G61" s="41" t="s">
        <v>439</v>
      </c>
      <c r="H61" s="43" t="s">
        <v>440</v>
      </c>
      <c r="I61" s="44">
        <v>60</v>
      </c>
      <c r="J61" s="41"/>
      <c r="K61" s="44">
        <v>800</v>
      </c>
      <c r="L61" s="41" t="s">
        <v>435</v>
      </c>
      <c r="M61" s="44">
        <v>1</v>
      </c>
      <c r="N61" s="43" t="s">
        <v>436</v>
      </c>
    </row>
    <row r="62" spans="1:14" ht="15.75" customHeight="1">
      <c r="A62" s="41" t="s">
        <v>459</v>
      </c>
      <c r="B62" s="41" t="s">
        <v>460</v>
      </c>
      <c r="C62" s="41" t="s">
        <v>431</v>
      </c>
      <c r="D62" s="41" t="s">
        <v>432</v>
      </c>
      <c r="E62" s="41" t="s">
        <v>433</v>
      </c>
      <c r="F62" s="42">
        <v>19</v>
      </c>
      <c r="G62" s="41" t="s">
        <v>368</v>
      </c>
      <c r="H62" s="43" t="s">
        <v>434</v>
      </c>
      <c r="I62" s="44">
        <v>60</v>
      </c>
      <c r="J62" s="41"/>
      <c r="K62" s="44">
        <v>800</v>
      </c>
      <c r="L62" s="41" t="s">
        <v>435</v>
      </c>
      <c r="M62" s="44">
        <v>4</v>
      </c>
      <c r="N62" s="43" t="s">
        <v>436</v>
      </c>
    </row>
    <row r="63" spans="1:14" ht="15.75" customHeight="1">
      <c r="A63" s="41" t="s">
        <v>461</v>
      </c>
      <c r="B63" s="41" t="s">
        <v>462</v>
      </c>
      <c r="C63" s="41" t="s">
        <v>442</v>
      </c>
      <c r="D63" s="41" t="s">
        <v>443</v>
      </c>
      <c r="E63" s="41" t="s">
        <v>33</v>
      </c>
      <c r="F63" s="42">
        <v>10</v>
      </c>
      <c r="G63" s="41" t="s">
        <v>11</v>
      </c>
      <c r="H63" s="43" t="s">
        <v>426</v>
      </c>
      <c r="I63" s="44">
        <v>50</v>
      </c>
      <c r="J63" s="44">
        <v>30.9</v>
      </c>
      <c r="K63" s="41"/>
      <c r="L63" s="45">
        <v>95000</v>
      </c>
      <c r="M63" s="44">
        <v>1</v>
      </c>
      <c r="N63" s="43" t="s">
        <v>383</v>
      </c>
    </row>
    <row r="64" spans="1:14" ht="15.75" customHeight="1">
      <c r="A64" s="41" t="s">
        <v>461</v>
      </c>
      <c r="B64" s="41" t="s">
        <v>462</v>
      </c>
      <c r="C64" s="41" t="s">
        <v>442</v>
      </c>
      <c r="D64" s="41" t="s">
        <v>443</v>
      </c>
      <c r="E64" s="41" t="s">
        <v>33</v>
      </c>
      <c r="F64" s="42">
        <v>11</v>
      </c>
      <c r="G64" s="41" t="s">
        <v>12</v>
      </c>
      <c r="H64" s="43" t="s">
        <v>444</v>
      </c>
      <c r="I64" s="44">
        <v>55</v>
      </c>
      <c r="J64" s="44">
        <v>30.9</v>
      </c>
      <c r="K64" s="41"/>
      <c r="L64" s="45">
        <v>95000</v>
      </c>
      <c r="M64" s="44">
        <v>1</v>
      </c>
      <c r="N64" s="43" t="s">
        <v>383</v>
      </c>
    </row>
    <row r="65" spans="1:26" ht="15.75" customHeight="1">
      <c r="A65" s="41" t="s">
        <v>461</v>
      </c>
      <c r="B65" s="41" t="s">
        <v>462</v>
      </c>
      <c r="C65" s="41" t="s">
        <v>442</v>
      </c>
      <c r="D65" s="41" t="s">
        <v>443</v>
      </c>
      <c r="E65" s="41" t="s">
        <v>33</v>
      </c>
      <c r="F65" s="42">
        <v>12</v>
      </c>
      <c r="G65" s="41" t="s">
        <v>13</v>
      </c>
      <c r="H65" s="43" t="s">
        <v>444</v>
      </c>
      <c r="I65" s="44">
        <v>10</v>
      </c>
      <c r="J65" s="44">
        <v>30.9</v>
      </c>
      <c r="K65" s="41"/>
      <c r="L65" s="45">
        <v>95000</v>
      </c>
      <c r="M65" s="44">
        <v>1</v>
      </c>
      <c r="N65" s="43" t="s">
        <v>383</v>
      </c>
    </row>
    <row r="66" spans="1:26" ht="15.75" customHeight="1">
      <c r="A66" s="41" t="s">
        <v>461</v>
      </c>
      <c r="B66" s="41" t="s">
        <v>462</v>
      </c>
      <c r="C66" s="41" t="s">
        <v>431</v>
      </c>
      <c r="D66" s="41" t="s">
        <v>432</v>
      </c>
      <c r="E66" s="41" t="s">
        <v>433</v>
      </c>
      <c r="F66" s="42">
        <v>18</v>
      </c>
      <c r="G66" s="41" t="s">
        <v>439</v>
      </c>
      <c r="H66" s="43" t="s">
        <v>440</v>
      </c>
      <c r="I66" s="44">
        <v>60</v>
      </c>
      <c r="J66" s="41"/>
      <c r="K66" s="44">
        <v>700</v>
      </c>
      <c r="L66" s="41" t="s">
        <v>435</v>
      </c>
      <c r="M66" s="44">
        <v>1</v>
      </c>
      <c r="N66" s="43" t="s">
        <v>436</v>
      </c>
    </row>
    <row r="67" spans="1:26" ht="15.75" customHeight="1">
      <c r="A67" s="41" t="s">
        <v>461</v>
      </c>
      <c r="B67" s="41" t="s">
        <v>462</v>
      </c>
      <c r="C67" s="41" t="s">
        <v>431</v>
      </c>
      <c r="D67" s="41" t="s">
        <v>432</v>
      </c>
      <c r="E67" s="41" t="s">
        <v>433</v>
      </c>
      <c r="F67" s="42">
        <v>19</v>
      </c>
      <c r="G67" s="41" t="s">
        <v>368</v>
      </c>
      <c r="H67" s="43" t="s">
        <v>434</v>
      </c>
      <c r="I67" s="44">
        <v>60</v>
      </c>
      <c r="J67" s="41"/>
      <c r="K67" s="44">
        <v>1000</v>
      </c>
      <c r="L67" s="41" t="s">
        <v>435</v>
      </c>
      <c r="M67" s="44">
        <v>3</v>
      </c>
      <c r="N67" s="43" t="s">
        <v>436</v>
      </c>
    </row>
    <row r="68" spans="1:26" ht="15.75" customHeight="1">
      <c r="A68" s="41" t="s">
        <v>463</v>
      </c>
      <c r="B68" s="41" t="s">
        <v>118</v>
      </c>
      <c r="C68" s="41" t="s">
        <v>424</v>
      </c>
      <c r="D68" s="41" t="s">
        <v>425</v>
      </c>
      <c r="E68" s="41" t="s">
        <v>48</v>
      </c>
      <c r="F68" s="42">
        <v>4</v>
      </c>
      <c r="G68" s="41" t="s">
        <v>11</v>
      </c>
      <c r="H68" s="43" t="s">
        <v>426</v>
      </c>
      <c r="I68" s="44">
        <v>25</v>
      </c>
      <c r="J68" s="44">
        <v>200.9</v>
      </c>
      <c r="K68" s="41"/>
      <c r="L68" s="45">
        <v>52000</v>
      </c>
      <c r="M68" s="44">
        <v>1</v>
      </c>
      <c r="N68" s="43" t="s">
        <v>383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>
      <c r="A69" s="41" t="s">
        <v>463</v>
      </c>
      <c r="B69" s="41" t="s">
        <v>118</v>
      </c>
      <c r="C69" s="41" t="s">
        <v>424</v>
      </c>
      <c r="D69" s="41" t="s">
        <v>425</v>
      </c>
      <c r="E69" s="41" t="s">
        <v>48</v>
      </c>
      <c r="F69" s="42">
        <v>5</v>
      </c>
      <c r="G69" s="41" t="s">
        <v>12</v>
      </c>
      <c r="H69" s="43" t="s">
        <v>427</v>
      </c>
      <c r="I69" s="44">
        <v>165</v>
      </c>
      <c r="J69" s="44">
        <v>200.9</v>
      </c>
      <c r="K69" s="41"/>
      <c r="L69" s="45">
        <v>52000</v>
      </c>
      <c r="M69" s="44">
        <v>1</v>
      </c>
      <c r="N69" s="43" t="s">
        <v>383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>
      <c r="A70" s="41" t="s">
        <v>463</v>
      </c>
      <c r="B70" s="41" t="s">
        <v>118</v>
      </c>
      <c r="C70" s="41" t="s">
        <v>424</v>
      </c>
      <c r="D70" s="41" t="s">
        <v>425</v>
      </c>
      <c r="E70" s="41" t="s">
        <v>48</v>
      </c>
      <c r="F70" s="42">
        <v>6</v>
      </c>
      <c r="G70" s="41" t="s">
        <v>13</v>
      </c>
      <c r="H70" s="43" t="s">
        <v>427</v>
      </c>
      <c r="I70" s="44">
        <v>30</v>
      </c>
      <c r="J70" s="44">
        <v>200.9</v>
      </c>
      <c r="K70" s="41"/>
      <c r="L70" s="45">
        <v>52000</v>
      </c>
      <c r="M70" s="44">
        <v>1</v>
      </c>
      <c r="N70" s="43" t="s">
        <v>383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>
      <c r="A71" s="46" t="s">
        <v>464</v>
      </c>
      <c r="B71" s="46" t="s">
        <v>118</v>
      </c>
      <c r="C71" s="46" t="s">
        <v>424</v>
      </c>
      <c r="D71" s="46" t="s">
        <v>429</v>
      </c>
      <c r="E71" s="46" t="s">
        <v>74</v>
      </c>
      <c r="F71" s="47">
        <v>7</v>
      </c>
      <c r="G71" s="46" t="s">
        <v>11</v>
      </c>
      <c r="H71" s="48" t="s">
        <v>426</v>
      </c>
      <c r="I71" s="49">
        <v>25</v>
      </c>
      <c r="J71" s="49">
        <v>200.9</v>
      </c>
      <c r="K71" s="46"/>
      <c r="L71" s="50">
        <v>103000</v>
      </c>
      <c r="M71" s="49">
        <v>1</v>
      </c>
      <c r="N71" s="48" t="s">
        <v>383</v>
      </c>
      <c r="O71" s="51"/>
    </row>
    <row r="72" spans="1:26" ht="15.75" customHeight="1">
      <c r="A72" s="46" t="s">
        <v>464</v>
      </c>
      <c r="B72" s="46" t="s">
        <v>118</v>
      </c>
      <c r="C72" s="46" t="s">
        <v>424</v>
      </c>
      <c r="D72" s="46" t="s">
        <v>429</v>
      </c>
      <c r="E72" s="46" t="s">
        <v>74</v>
      </c>
      <c r="F72" s="47">
        <v>8</v>
      </c>
      <c r="G72" s="46" t="s">
        <v>12</v>
      </c>
      <c r="H72" s="48" t="s">
        <v>430</v>
      </c>
      <c r="I72" s="49">
        <v>180</v>
      </c>
      <c r="J72" s="49">
        <v>200.9</v>
      </c>
      <c r="K72" s="46"/>
      <c r="L72" s="50">
        <v>103000</v>
      </c>
      <c r="M72" s="49">
        <v>1</v>
      </c>
      <c r="N72" s="48" t="s">
        <v>383</v>
      </c>
      <c r="O72" s="51"/>
    </row>
    <row r="73" spans="1:26" ht="15.75" customHeight="1">
      <c r="A73" s="46" t="s">
        <v>464</v>
      </c>
      <c r="B73" s="46" t="s">
        <v>118</v>
      </c>
      <c r="C73" s="46" t="s">
        <v>424</v>
      </c>
      <c r="D73" s="46" t="s">
        <v>429</v>
      </c>
      <c r="E73" s="46" t="s">
        <v>74</v>
      </c>
      <c r="F73" s="47">
        <v>9</v>
      </c>
      <c r="G73" s="46" t="s">
        <v>13</v>
      </c>
      <c r="H73" s="48" t="s">
        <v>430</v>
      </c>
      <c r="I73" s="49">
        <v>40</v>
      </c>
      <c r="J73" s="49">
        <v>200.9</v>
      </c>
      <c r="K73" s="46"/>
      <c r="L73" s="50">
        <v>103000</v>
      </c>
      <c r="M73" s="49">
        <v>1</v>
      </c>
      <c r="N73" s="48" t="s">
        <v>383</v>
      </c>
      <c r="O73" s="51"/>
    </row>
    <row r="74" spans="1:26" ht="15.75" customHeight="1">
      <c r="A74" s="41" t="s">
        <v>463</v>
      </c>
      <c r="B74" s="41" t="s">
        <v>118</v>
      </c>
      <c r="C74" s="41" t="s">
        <v>431</v>
      </c>
      <c r="D74" s="41" t="s">
        <v>432</v>
      </c>
      <c r="E74" s="41" t="s">
        <v>433</v>
      </c>
      <c r="F74" s="42">
        <v>19</v>
      </c>
      <c r="G74" s="41" t="s">
        <v>368</v>
      </c>
      <c r="H74" s="43" t="s">
        <v>434</v>
      </c>
      <c r="I74" s="44">
        <v>60</v>
      </c>
      <c r="J74" s="41"/>
      <c r="K74" s="44">
        <v>500</v>
      </c>
      <c r="L74" s="41" t="s">
        <v>435</v>
      </c>
      <c r="M74" s="44">
        <v>3</v>
      </c>
      <c r="N74" s="43" t="s">
        <v>436</v>
      </c>
    </row>
    <row r="75" spans="1:26" ht="15.75" customHeight="1">
      <c r="A75" s="41" t="s">
        <v>465</v>
      </c>
      <c r="B75" s="41" t="s">
        <v>466</v>
      </c>
      <c r="C75" s="41" t="s">
        <v>424</v>
      </c>
      <c r="D75" s="41" t="s">
        <v>425</v>
      </c>
      <c r="E75" s="41" t="s">
        <v>48</v>
      </c>
      <c r="F75" s="42">
        <v>4</v>
      </c>
      <c r="G75" s="41" t="s">
        <v>11</v>
      </c>
      <c r="H75" s="43" t="s">
        <v>426</v>
      </c>
      <c r="I75" s="44">
        <v>20</v>
      </c>
      <c r="J75" s="44">
        <v>48</v>
      </c>
      <c r="K75" s="41"/>
      <c r="L75" s="45">
        <v>52000</v>
      </c>
      <c r="M75" s="44">
        <v>1</v>
      </c>
      <c r="N75" s="43" t="s">
        <v>383</v>
      </c>
    </row>
    <row r="76" spans="1:26" ht="15.75" customHeight="1">
      <c r="A76" s="41" t="s">
        <v>465</v>
      </c>
      <c r="B76" s="41" t="s">
        <v>466</v>
      </c>
      <c r="C76" s="41" t="s">
        <v>424</v>
      </c>
      <c r="D76" s="41" t="s">
        <v>425</v>
      </c>
      <c r="E76" s="41" t="s">
        <v>48</v>
      </c>
      <c r="F76" s="42">
        <v>5</v>
      </c>
      <c r="G76" s="41" t="s">
        <v>12</v>
      </c>
      <c r="H76" s="43" t="s">
        <v>427</v>
      </c>
      <c r="I76" s="44">
        <v>120</v>
      </c>
      <c r="J76" s="44">
        <v>48</v>
      </c>
      <c r="K76" s="41"/>
      <c r="L76" s="45">
        <v>52000</v>
      </c>
      <c r="M76" s="44">
        <v>1</v>
      </c>
      <c r="N76" s="43" t="s">
        <v>383</v>
      </c>
    </row>
    <row r="77" spans="1:26" ht="15.75" customHeight="1">
      <c r="A77" s="41" t="s">
        <v>465</v>
      </c>
      <c r="B77" s="41" t="s">
        <v>466</v>
      </c>
      <c r="C77" s="41" t="s">
        <v>424</v>
      </c>
      <c r="D77" s="41" t="s">
        <v>425</v>
      </c>
      <c r="E77" s="41" t="s">
        <v>48</v>
      </c>
      <c r="F77" s="42">
        <v>6</v>
      </c>
      <c r="G77" s="41" t="s">
        <v>13</v>
      </c>
      <c r="H77" s="43" t="s">
        <v>427</v>
      </c>
      <c r="I77" s="44">
        <v>40</v>
      </c>
      <c r="J77" s="44">
        <v>48</v>
      </c>
      <c r="K77" s="41"/>
      <c r="L77" s="45">
        <v>52000</v>
      </c>
      <c r="M77" s="44">
        <v>1</v>
      </c>
      <c r="N77" s="43" t="s">
        <v>383</v>
      </c>
    </row>
    <row r="78" spans="1:26" ht="15.75" customHeight="1">
      <c r="A78" s="41" t="s">
        <v>465</v>
      </c>
      <c r="B78" s="41" t="s">
        <v>466</v>
      </c>
      <c r="C78" s="41" t="s">
        <v>431</v>
      </c>
      <c r="D78" s="41" t="s">
        <v>432</v>
      </c>
      <c r="E78" s="41" t="s">
        <v>433</v>
      </c>
      <c r="F78" s="42">
        <v>18</v>
      </c>
      <c r="G78" s="41" t="s">
        <v>439</v>
      </c>
      <c r="H78" s="43" t="s">
        <v>440</v>
      </c>
      <c r="I78" s="44">
        <v>60</v>
      </c>
      <c r="J78" s="41"/>
      <c r="K78" s="44">
        <v>670</v>
      </c>
      <c r="L78" s="41" t="s">
        <v>435</v>
      </c>
      <c r="M78" s="44">
        <v>1</v>
      </c>
      <c r="N78" s="43" t="s">
        <v>436</v>
      </c>
    </row>
    <row r="79" spans="1:26" ht="15.75" customHeight="1">
      <c r="A79" s="41" t="s">
        <v>465</v>
      </c>
      <c r="B79" s="41" t="s">
        <v>466</v>
      </c>
      <c r="C79" s="41" t="s">
        <v>431</v>
      </c>
      <c r="D79" s="41" t="s">
        <v>432</v>
      </c>
      <c r="E79" s="41" t="s">
        <v>433</v>
      </c>
      <c r="F79" s="42">
        <v>19</v>
      </c>
      <c r="G79" s="41" t="s">
        <v>368</v>
      </c>
      <c r="H79" s="43" t="s">
        <v>434</v>
      </c>
      <c r="I79" s="44">
        <v>60</v>
      </c>
      <c r="J79" s="41"/>
      <c r="K79" s="44">
        <v>780</v>
      </c>
      <c r="L79" s="41" t="s">
        <v>435</v>
      </c>
      <c r="M79" s="44">
        <v>4</v>
      </c>
      <c r="N79" s="43" t="s">
        <v>436</v>
      </c>
    </row>
    <row r="80" spans="1:26" ht="15.75" customHeight="1">
      <c r="A80" s="41" t="s">
        <v>467</v>
      </c>
      <c r="B80" s="41" t="s">
        <v>273</v>
      </c>
      <c r="C80" s="41" t="s">
        <v>442</v>
      </c>
      <c r="D80" s="41" t="s">
        <v>443</v>
      </c>
      <c r="E80" s="41" t="s">
        <v>33</v>
      </c>
      <c r="F80" s="42">
        <v>10</v>
      </c>
      <c r="G80" s="41" t="s">
        <v>11</v>
      </c>
      <c r="H80" s="43" t="s">
        <v>426</v>
      </c>
      <c r="I80" s="44">
        <v>60</v>
      </c>
      <c r="J80" s="44">
        <v>101.9</v>
      </c>
      <c r="K80" s="41"/>
      <c r="L80" s="45">
        <v>18000</v>
      </c>
      <c r="M80" s="44">
        <v>1</v>
      </c>
      <c r="N80" s="43" t="s">
        <v>383</v>
      </c>
    </row>
    <row r="81" spans="1:26" ht="15.75" customHeight="1">
      <c r="A81" s="41" t="s">
        <v>467</v>
      </c>
      <c r="B81" s="41" t="s">
        <v>273</v>
      </c>
      <c r="C81" s="41" t="s">
        <v>442</v>
      </c>
      <c r="D81" s="41" t="s">
        <v>443</v>
      </c>
      <c r="E81" s="41" t="s">
        <v>33</v>
      </c>
      <c r="F81" s="42">
        <v>11</v>
      </c>
      <c r="G81" s="41" t="s">
        <v>12</v>
      </c>
      <c r="H81" s="43" t="s">
        <v>444</v>
      </c>
      <c r="I81" s="44">
        <v>60</v>
      </c>
      <c r="J81" s="44">
        <v>101.9</v>
      </c>
      <c r="K81" s="41"/>
      <c r="L81" s="45">
        <v>18000</v>
      </c>
      <c r="M81" s="44">
        <v>1</v>
      </c>
      <c r="N81" s="43" t="s">
        <v>383</v>
      </c>
    </row>
    <row r="82" spans="1:26" ht="15.75" customHeight="1">
      <c r="A82" s="41" t="s">
        <v>467</v>
      </c>
      <c r="B82" s="41" t="s">
        <v>273</v>
      </c>
      <c r="C82" s="41" t="s">
        <v>442</v>
      </c>
      <c r="D82" s="41" t="s">
        <v>443</v>
      </c>
      <c r="E82" s="41" t="s">
        <v>33</v>
      </c>
      <c r="F82" s="42">
        <v>12</v>
      </c>
      <c r="G82" s="41" t="s">
        <v>13</v>
      </c>
      <c r="H82" s="43" t="s">
        <v>444</v>
      </c>
      <c r="I82" s="44">
        <v>20</v>
      </c>
      <c r="J82" s="44">
        <v>101.9</v>
      </c>
      <c r="K82" s="41"/>
      <c r="L82" s="45">
        <v>18000</v>
      </c>
      <c r="M82" s="44">
        <v>1</v>
      </c>
      <c r="N82" s="43" t="s">
        <v>383</v>
      </c>
    </row>
    <row r="83" spans="1:26" ht="15.75" customHeight="1">
      <c r="A83" s="41" t="s">
        <v>467</v>
      </c>
      <c r="B83" s="41" t="s">
        <v>273</v>
      </c>
      <c r="C83" s="41" t="s">
        <v>431</v>
      </c>
      <c r="D83" s="41" t="s">
        <v>432</v>
      </c>
      <c r="E83" s="41" t="s">
        <v>433</v>
      </c>
      <c r="F83" s="42">
        <v>18</v>
      </c>
      <c r="G83" s="41" t="s">
        <v>439</v>
      </c>
      <c r="H83" s="43" t="s">
        <v>440</v>
      </c>
      <c r="I83" s="44">
        <v>60</v>
      </c>
      <c r="J83" s="41"/>
      <c r="K83" s="44">
        <v>1000</v>
      </c>
      <c r="L83" s="41" t="s">
        <v>435</v>
      </c>
      <c r="M83" s="44">
        <v>1</v>
      </c>
      <c r="N83" s="43" t="s">
        <v>436</v>
      </c>
    </row>
    <row r="84" spans="1:26" ht="15.75" customHeight="1">
      <c r="A84" s="41" t="s">
        <v>467</v>
      </c>
      <c r="B84" s="41" t="s">
        <v>273</v>
      </c>
      <c r="C84" s="41" t="s">
        <v>431</v>
      </c>
      <c r="D84" s="41" t="s">
        <v>432</v>
      </c>
      <c r="E84" s="41" t="s">
        <v>433</v>
      </c>
      <c r="F84" s="42">
        <v>19</v>
      </c>
      <c r="G84" s="41" t="s">
        <v>368</v>
      </c>
      <c r="H84" s="43" t="s">
        <v>434</v>
      </c>
      <c r="I84" s="44">
        <v>60</v>
      </c>
      <c r="J84" s="41"/>
      <c r="K84" s="44">
        <v>390</v>
      </c>
      <c r="L84" s="41" t="s">
        <v>435</v>
      </c>
      <c r="M84" s="44">
        <v>4</v>
      </c>
      <c r="N84" s="43" t="s">
        <v>436</v>
      </c>
    </row>
    <row r="85" spans="1:26" ht="15.75" customHeight="1">
      <c r="A85" s="41" t="s">
        <v>468</v>
      </c>
      <c r="B85" s="41" t="s">
        <v>469</v>
      </c>
      <c r="C85" s="41" t="s">
        <v>424</v>
      </c>
      <c r="D85" s="41" t="s">
        <v>425</v>
      </c>
      <c r="E85" s="41" t="s">
        <v>48</v>
      </c>
      <c r="F85" s="42">
        <v>4</v>
      </c>
      <c r="G85" s="41" t="s">
        <v>11</v>
      </c>
      <c r="H85" s="43" t="s">
        <v>426</v>
      </c>
      <c r="I85" s="44">
        <v>75</v>
      </c>
      <c r="J85" s="44">
        <v>29</v>
      </c>
      <c r="K85" s="41"/>
      <c r="L85" s="45">
        <v>52000</v>
      </c>
      <c r="M85" s="44">
        <v>1</v>
      </c>
      <c r="N85" s="43" t="s">
        <v>383</v>
      </c>
    </row>
    <row r="86" spans="1:26" ht="15.75" customHeight="1">
      <c r="A86" s="41" t="s">
        <v>468</v>
      </c>
      <c r="B86" s="41" t="s">
        <v>469</v>
      </c>
      <c r="C86" s="41" t="s">
        <v>424</v>
      </c>
      <c r="D86" s="41" t="s">
        <v>425</v>
      </c>
      <c r="E86" s="41" t="s">
        <v>48</v>
      </c>
      <c r="F86" s="42">
        <v>5</v>
      </c>
      <c r="G86" s="41" t="s">
        <v>12</v>
      </c>
      <c r="H86" s="43" t="s">
        <v>427</v>
      </c>
      <c r="I86" s="44">
        <v>50</v>
      </c>
      <c r="J86" s="44">
        <v>29</v>
      </c>
      <c r="K86" s="41"/>
      <c r="L86" s="45">
        <v>52000</v>
      </c>
      <c r="M86" s="44">
        <v>1</v>
      </c>
      <c r="N86" s="43" t="s">
        <v>383</v>
      </c>
    </row>
    <row r="87" spans="1:26" ht="15.75" customHeight="1">
      <c r="A87" s="41" t="s">
        <v>468</v>
      </c>
      <c r="B87" s="41" t="s">
        <v>469</v>
      </c>
      <c r="C87" s="41" t="s">
        <v>424</v>
      </c>
      <c r="D87" s="41" t="s">
        <v>425</v>
      </c>
      <c r="E87" s="41" t="s">
        <v>48</v>
      </c>
      <c r="F87" s="42">
        <v>6</v>
      </c>
      <c r="G87" s="41" t="s">
        <v>13</v>
      </c>
      <c r="H87" s="43" t="s">
        <v>427</v>
      </c>
      <c r="I87" s="44">
        <v>30</v>
      </c>
      <c r="J87" s="44">
        <v>29</v>
      </c>
      <c r="K87" s="41"/>
      <c r="L87" s="45">
        <v>52000</v>
      </c>
      <c r="M87" s="44">
        <v>1</v>
      </c>
      <c r="N87" s="43" t="s">
        <v>383</v>
      </c>
    </row>
    <row r="88" spans="1:26" ht="15.75" customHeight="1">
      <c r="A88" s="41" t="s">
        <v>468</v>
      </c>
      <c r="B88" s="41" t="s">
        <v>469</v>
      </c>
      <c r="C88" s="41" t="s">
        <v>424</v>
      </c>
      <c r="D88" s="41" t="s">
        <v>429</v>
      </c>
      <c r="E88" s="41" t="s">
        <v>74</v>
      </c>
      <c r="F88" s="42">
        <v>7</v>
      </c>
      <c r="G88" s="41" t="s">
        <v>11</v>
      </c>
      <c r="H88" s="43" t="s">
        <v>426</v>
      </c>
      <c r="I88" s="44">
        <v>75</v>
      </c>
      <c r="J88" s="44">
        <v>29</v>
      </c>
      <c r="K88" s="41"/>
      <c r="L88" s="45">
        <v>95000</v>
      </c>
      <c r="M88" s="44">
        <v>1</v>
      </c>
      <c r="N88" s="43" t="s">
        <v>383</v>
      </c>
    </row>
    <row r="89" spans="1:26" ht="15.75" customHeight="1">
      <c r="A89" s="41" t="s">
        <v>468</v>
      </c>
      <c r="B89" s="41" t="s">
        <v>469</v>
      </c>
      <c r="C89" s="41" t="s">
        <v>424</v>
      </c>
      <c r="D89" s="41" t="s">
        <v>429</v>
      </c>
      <c r="E89" s="41" t="s">
        <v>74</v>
      </c>
      <c r="F89" s="42">
        <v>8</v>
      </c>
      <c r="G89" s="41" t="s">
        <v>12</v>
      </c>
      <c r="H89" s="43" t="s">
        <v>430</v>
      </c>
      <c r="I89" s="44">
        <v>60</v>
      </c>
      <c r="J89" s="44">
        <v>29</v>
      </c>
      <c r="K89" s="41"/>
      <c r="L89" s="45">
        <v>95000</v>
      </c>
      <c r="M89" s="44">
        <v>1</v>
      </c>
      <c r="N89" s="43" t="s">
        <v>383</v>
      </c>
    </row>
    <row r="90" spans="1:26" ht="15.75" customHeight="1">
      <c r="A90" s="41" t="s">
        <v>468</v>
      </c>
      <c r="B90" s="41" t="s">
        <v>469</v>
      </c>
      <c r="C90" s="41" t="s">
        <v>424</v>
      </c>
      <c r="D90" s="41" t="s">
        <v>429</v>
      </c>
      <c r="E90" s="41" t="s">
        <v>74</v>
      </c>
      <c r="F90" s="42">
        <v>9</v>
      </c>
      <c r="G90" s="41" t="s">
        <v>13</v>
      </c>
      <c r="H90" s="43" t="s">
        <v>430</v>
      </c>
      <c r="I90" s="44">
        <v>30</v>
      </c>
      <c r="J90" s="44">
        <v>29</v>
      </c>
      <c r="K90" s="41"/>
      <c r="L90" s="45">
        <v>95000</v>
      </c>
      <c r="M90" s="44">
        <v>1</v>
      </c>
      <c r="N90" s="43" t="s">
        <v>383</v>
      </c>
    </row>
    <row r="91" spans="1:26" ht="15.75" customHeight="1">
      <c r="A91" s="41" t="s">
        <v>468</v>
      </c>
      <c r="B91" s="41" t="s">
        <v>469</v>
      </c>
      <c r="C91" s="41" t="s">
        <v>431</v>
      </c>
      <c r="D91" s="41" t="s">
        <v>432</v>
      </c>
      <c r="E91" s="41" t="s">
        <v>433</v>
      </c>
      <c r="F91" s="42">
        <v>18</v>
      </c>
      <c r="G91" s="41" t="s">
        <v>439</v>
      </c>
      <c r="H91" s="43" t="s">
        <v>440</v>
      </c>
      <c r="I91" s="44">
        <v>60</v>
      </c>
      <c r="J91" s="41"/>
      <c r="K91" s="44">
        <v>700</v>
      </c>
      <c r="L91" s="41" t="s">
        <v>435</v>
      </c>
      <c r="M91" s="44">
        <v>1</v>
      </c>
      <c r="N91" s="43" t="s">
        <v>436</v>
      </c>
    </row>
    <row r="92" spans="1:26" ht="15.75" customHeight="1">
      <c r="A92" s="41" t="s">
        <v>468</v>
      </c>
      <c r="B92" s="41" t="s">
        <v>469</v>
      </c>
      <c r="C92" s="41" t="s">
        <v>431</v>
      </c>
      <c r="D92" s="41" t="s">
        <v>432</v>
      </c>
      <c r="E92" s="41" t="s">
        <v>433</v>
      </c>
      <c r="F92" s="42">
        <v>19</v>
      </c>
      <c r="G92" s="41" t="s">
        <v>368</v>
      </c>
      <c r="H92" s="43" t="s">
        <v>434</v>
      </c>
      <c r="I92" s="44">
        <v>60</v>
      </c>
      <c r="J92" s="41"/>
      <c r="K92" s="44">
        <v>1400</v>
      </c>
      <c r="L92" s="41" t="s">
        <v>435</v>
      </c>
      <c r="M92" s="44">
        <v>4</v>
      </c>
      <c r="N92" s="43" t="s">
        <v>436</v>
      </c>
    </row>
    <row r="93" spans="1:26" ht="15.75" customHeight="1">
      <c r="A93" s="41" t="s">
        <v>470</v>
      </c>
      <c r="B93" s="41" t="s">
        <v>88</v>
      </c>
      <c r="C93" s="41" t="s">
        <v>442</v>
      </c>
      <c r="D93" s="41" t="s">
        <v>448</v>
      </c>
      <c r="E93" s="41" t="s">
        <v>40</v>
      </c>
      <c r="F93" s="42">
        <v>1</v>
      </c>
      <c r="G93" s="41" t="s">
        <v>11</v>
      </c>
      <c r="H93" s="43" t="s">
        <v>426</v>
      </c>
      <c r="I93" s="44">
        <v>25</v>
      </c>
      <c r="J93" s="44">
        <v>30.6</v>
      </c>
      <c r="K93" s="41"/>
      <c r="L93" s="45">
        <v>170000</v>
      </c>
      <c r="M93" s="44">
        <v>1</v>
      </c>
      <c r="N93" s="43" t="s">
        <v>383</v>
      </c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>
      <c r="A94" s="41" t="s">
        <v>470</v>
      </c>
      <c r="B94" s="41" t="s">
        <v>88</v>
      </c>
      <c r="C94" s="41" t="s">
        <v>442</v>
      </c>
      <c r="D94" s="41" t="s">
        <v>448</v>
      </c>
      <c r="E94" s="41" t="s">
        <v>40</v>
      </c>
      <c r="F94" s="42">
        <v>2</v>
      </c>
      <c r="G94" s="41" t="s">
        <v>12</v>
      </c>
      <c r="H94" s="43" t="s">
        <v>449</v>
      </c>
      <c r="I94" s="44">
        <v>70</v>
      </c>
      <c r="J94" s="44">
        <v>30.6</v>
      </c>
      <c r="K94" s="41"/>
      <c r="L94" s="45">
        <v>170000</v>
      </c>
      <c r="M94" s="44">
        <v>1</v>
      </c>
      <c r="N94" s="43" t="s">
        <v>383</v>
      </c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>
      <c r="A95" s="41" t="s">
        <v>470</v>
      </c>
      <c r="B95" s="41" t="s">
        <v>88</v>
      </c>
      <c r="C95" s="41" t="s">
        <v>442</v>
      </c>
      <c r="D95" s="41" t="s">
        <v>448</v>
      </c>
      <c r="E95" s="41" t="s">
        <v>40</v>
      </c>
      <c r="F95" s="42">
        <v>3</v>
      </c>
      <c r="G95" s="41" t="s">
        <v>13</v>
      </c>
      <c r="H95" s="43" t="s">
        <v>449</v>
      </c>
      <c r="I95" s="44">
        <v>30</v>
      </c>
      <c r="J95" s="44">
        <v>30.6</v>
      </c>
      <c r="K95" s="41"/>
      <c r="L95" s="45">
        <v>170000</v>
      </c>
      <c r="M95" s="44">
        <v>1</v>
      </c>
      <c r="N95" s="43" t="s">
        <v>383</v>
      </c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>
      <c r="A96" s="41" t="s">
        <v>470</v>
      </c>
      <c r="B96" s="41" t="s">
        <v>88</v>
      </c>
      <c r="C96" s="41" t="s">
        <v>431</v>
      </c>
      <c r="D96" s="41" t="s">
        <v>432</v>
      </c>
      <c r="E96" s="41" t="s">
        <v>433</v>
      </c>
      <c r="F96" s="42">
        <v>18</v>
      </c>
      <c r="G96" s="41" t="s">
        <v>439</v>
      </c>
      <c r="H96" s="43" t="s">
        <v>440</v>
      </c>
      <c r="I96" s="44">
        <v>60</v>
      </c>
      <c r="J96" s="41"/>
      <c r="K96" s="44">
        <v>1600</v>
      </c>
      <c r="L96" s="41" t="s">
        <v>435</v>
      </c>
      <c r="M96" s="44">
        <v>1</v>
      </c>
      <c r="N96" s="43" t="s">
        <v>436</v>
      </c>
    </row>
    <row r="97" spans="1:14" ht="15.75" customHeight="1">
      <c r="A97" s="41" t="s">
        <v>470</v>
      </c>
      <c r="B97" s="41" t="s">
        <v>88</v>
      </c>
      <c r="C97" s="41" t="s">
        <v>431</v>
      </c>
      <c r="D97" s="41" t="s">
        <v>432</v>
      </c>
      <c r="E97" s="41" t="s">
        <v>433</v>
      </c>
      <c r="F97" s="42">
        <v>19</v>
      </c>
      <c r="G97" s="41" t="s">
        <v>368</v>
      </c>
      <c r="H97" s="43" t="s">
        <v>434</v>
      </c>
      <c r="I97" s="44">
        <v>60</v>
      </c>
      <c r="J97" s="41"/>
      <c r="K97" s="44">
        <v>1500</v>
      </c>
      <c r="L97" s="41" t="s">
        <v>435</v>
      </c>
      <c r="M97" s="44">
        <v>3</v>
      </c>
      <c r="N97" s="43" t="s">
        <v>436</v>
      </c>
    </row>
    <row r="98" spans="1:14" ht="15.75" customHeight="1">
      <c r="A98" s="41" t="s">
        <v>471</v>
      </c>
      <c r="B98" s="41" t="s">
        <v>32</v>
      </c>
      <c r="C98" s="41" t="s">
        <v>442</v>
      </c>
      <c r="D98" s="41" t="s">
        <v>443</v>
      </c>
      <c r="E98" s="41" t="s">
        <v>33</v>
      </c>
      <c r="F98" s="42">
        <v>10</v>
      </c>
      <c r="G98" s="41" t="s">
        <v>11</v>
      </c>
      <c r="H98" s="43" t="s">
        <v>426</v>
      </c>
      <c r="I98" s="44">
        <v>25</v>
      </c>
      <c r="J98" s="44">
        <v>4.9000000000000004</v>
      </c>
      <c r="K98" s="41"/>
      <c r="L98" s="45">
        <v>105000</v>
      </c>
      <c r="M98" s="44">
        <v>1</v>
      </c>
      <c r="N98" s="43" t="s">
        <v>383</v>
      </c>
    </row>
    <row r="99" spans="1:14" ht="15.75" customHeight="1">
      <c r="A99" s="41" t="s">
        <v>471</v>
      </c>
      <c r="B99" s="41" t="s">
        <v>32</v>
      </c>
      <c r="C99" s="41" t="s">
        <v>442</v>
      </c>
      <c r="D99" s="41" t="s">
        <v>443</v>
      </c>
      <c r="E99" s="41" t="s">
        <v>33</v>
      </c>
      <c r="F99" s="42">
        <v>11</v>
      </c>
      <c r="G99" s="41" t="s">
        <v>12</v>
      </c>
      <c r="H99" s="43" t="s">
        <v>444</v>
      </c>
      <c r="I99" s="44">
        <v>70</v>
      </c>
      <c r="J99" s="44">
        <v>4.9000000000000004</v>
      </c>
      <c r="K99" s="41"/>
      <c r="L99" s="45">
        <v>105000</v>
      </c>
      <c r="M99" s="44">
        <v>1</v>
      </c>
      <c r="N99" s="43" t="s">
        <v>383</v>
      </c>
    </row>
    <row r="100" spans="1:14" ht="15.75" customHeight="1">
      <c r="A100" s="41" t="s">
        <v>471</v>
      </c>
      <c r="B100" s="41" t="s">
        <v>32</v>
      </c>
      <c r="C100" s="41" t="s">
        <v>442</v>
      </c>
      <c r="D100" s="41" t="s">
        <v>443</v>
      </c>
      <c r="E100" s="41" t="s">
        <v>33</v>
      </c>
      <c r="F100" s="42">
        <v>12</v>
      </c>
      <c r="G100" s="41" t="s">
        <v>13</v>
      </c>
      <c r="H100" s="43" t="s">
        <v>444</v>
      </c>
      <c r="I100" s="44">
        <v>15</v>
      </c>
      <c r="J100" s="44">
        <v>4.9000000000000004</v>
      </c>
      <c r="K100" s="41"/>
      <c r="L100" s="45">
        <v>105000</v>
      </c>
      <c r="M100" s="44">
        <v>1</v>
      </c>
      <c r="N100" s="43" t="s">
        <v>383</v>
      </c>
    </row>
    <row r="101" spans="1:14" ht="15.75" customHeight="1">
      <c r="A101" s="41" t="s">
        <v>471</v>
      </c>
      <c r="B101" s="41" t="s">
        <v>32</v>
      </c>
      <c r="C101" s="41" t="s">
        <v>431</v>
      </c>
      <c r="D101" s="41" t="s">
        <v>432</v>
      </c>
      <c r="E101" s="41" t="s">
        <v>433</v>
      </c>
      <c r="F101" s="42">
        <v>18</v>
      </c>
      <c r="G101" s="41" t="s">
        <v>439</v>
      </c>
      <c r="H101" s="43" t="s">
        <v>440</v>
      </c>
      <c r="I101" s="44">
        <v>60</v>
      </c>
      <c r="J101" s="41"/>
      <c r="K101" s="44">
        <v>1600</v>
      </c>
      <c r="L101" s="41" t="s">
        <v>435</v>
      </c>
      <c r="M101" s="44">
        <v>1</v>
      </c>
      <c r="N101" s="43" t="s">
        <v>436</v>
      </c>
    </row>
    <row r="102" spans="1:14" ht="15.75" customHeight="1">
      <c r="A102" s="41" t="s">
        <v>471</v>
      </c>
      <c r="B102" s="41" t="s">
        <v>32</v>
      </c>
      <c r="C102" s="41" t="s">
        <v>431</v>
      </c>
      <c r="D102" s="41" t="s">
        <v>432</v>
      </c>
      <c r="E102" s="41" t="s">
        <v>433</v>
      </c>
      <c r="F102" s="42">
        <v>19</v>
      </c>
      <c r="G102" s="41" t="s">
        <v>368</v>
      </c>
      <c r="H102" s="43" t="s">
        <v>434</v>
      </c>
      <c r="I102" s="44">
        <v>60</v>
      </c>
      <c r="J102" s="41"/>
      <c r="K102" s="44">
        <v>1000</v>
      </c>
      <c r="L102" s="41" t="s">
        <v>435</v>
      </c>
      <c r="M102" s="44">
        <v>4</v>
      </c>
      <c r="N102" s="43" t="s">
        <v>436</v>
      </c>
    </row>
    <row r="103" spans="1:14" ht="15.75" customHeight="1">
      <c r="A103" s="41" t="s">
        <v>472</v>
      </c>
      <c r="B103" s="41" t="s">
        <v>473</v>
      </c>
      <c r="C103" s="41" t="s">
        <v>424</v>
      </c>
      <c r="D103" s="41" t="s">
        <v>425</v>
      </c>
      <c r="E103" s="41" t="s">
        <v>48</v>
      </c>
      <c r="F103" s="42">
        <v>4</v>
      </c>
      <c r="G103" s="41" t="s">
        <v>11</v>
      </c>
      <c r="H103" s="43" t="s">
        <v>426</v>
      </c>
      <c r="I103" s="44">
        <v>30</v>
      </c>
      <c r="J103" s="44">
        <v>198.4</v>
      </c>
      <c r="K103" s="41"/>
      <c r="L103" s="45">
        <v>52000</v>
      </c>
      <c r="M103" s="44">
        <v>1</v>
      </c>
      <c r="N103" s="43" t="s">
        <v>383</v>
      </c>
    </row>
    <row r="104" spans="1:14" ht="15.75" customHeight="1">
      <c r="A104" s="41" t="s">
        <v>472</v>
      </c>
      <c r="B104" s="41" t="s">
        <v>473</v>
      </c>
      <c r="C104" s="41" t="s">
        <v>424</v>
      </c>
      <c r="D104" s="41" t="s">
        <v>425</v>
      </c>
      <c r="E104" s="41" t="s">
        <v>48</v>
      </c>
      <c r="F104" s="42">
        <v>5</v>
      </c>
      <c r="G104" s="41" t="s">
        <v>12</v>
      </c>
      <c r="H104" s="43" t="s">
        <v>427</v>
      </c>
      <c r="I104" s="44">
        <v>140</v>
      </c>
      <c r="J104" s="44">
        <v>198.4</v>
      </c>
      <c r="K104" s="41"/>
      <c r="L104" s="45">
        <v>52000</v>
      </c>
      <c r="M104" s="44">
        <v>1</v>
      </c>
      <c r="N104" s="43" t="s">
        <v>383</v>
      </c>
    </row>
    <row r="105" spans="1:14" ht="15.75" customHeight="1">
      <c r="A105" s="41" t="s">
        <v>472</v>
      </c>
      <c r="B105" s="41" t="s">
        <v>473</v>
      </c>
      <c r="C105" s="41" t="s">
        <v>424</v>
      </c>
      <c r="D105" s="41" t="s">
        <v>425</v>
      </c>
      <c r="E105" s="41" t="s">
        <v>48</v>
      </c>
      <c r="F105" s="42">
        <v>6</v>
      </c>
      <c r="G105" s="41" t="s">
        <v>13</v>
      </c>
      <c r="H105" s="43" t="s">
        <v>427</v>
      </c>
      <c r="I105" s="44">
        <v>40</v>
      </c>
      <c r="J105" s="44">
        <v>198.4</v>
      </c>
      <c r="K105" s="41"/>
      <c r="L105" s="45">
        <v>52000</v>
      </c>
      <c r="M105" s="44">
        <v>1</v>
      </c>
      <c r="N105" s="43" t="s">
        <v>383</v>
      </c>
    </row>
    <row r="106" spans="1:14" ht="15.75" customHeight="1">
      <c r="A106" s="41" t="s">
        <v>472</v>
      </c>
      <c r="B106" s="41" t="s">
        <v>473</v>
      </c>
      <c r="C106" s="41" t="s">
        <v>424</v>
      </c>
      <c r="D106" s="41" t="s">
        <v>429</v>
      </c>
      <c r="E106" s="41" t="s">
        <v>74</v>
      </c>
      <c r="F106" s="42">
        <v>7</v>
      </c>
      <c r="G106" s="41" t="s">
        <v>11</v>
      </c>
      <c r="H106" s="43" t="s">
        <v>426</v>
      </c>
      <c r="I106" s="44">
        <v>30</v>
      </c>
      <c r="J106" s="44">
        <v>198.4</v>
      </c>
      <c r="K106" s="41"/>
      <c r="L106" s="45">
        <v>103000</v>
      </c>
      <c r="M106" s="44">
        <v>1</v>
      </c>
      <c r="N106" s="43" t="s">
        <v>383</v>
      </c>
    </row>
    <row r="107" spans="1:14" ht="15.75" customHeight="1">
      <c r="A107" s="41" t="s">
        <v>472</v>
      </c>
      <c r="B107" s="41" t="s">
        <v>473</v>
      </c>
      <c r="C107" s="41" t="s">
        <v>424</v>
      </c>
      <c r="D107" s="41" t="s">
        <v>429</v>
      </c>
      <c r="E107" s="41" t="s">
        <v>74</v>
      </c>
      <c r="F107" s="42">
        <v>8</v>
      </c>
      <c r="G107" s="41" t="s">
        <v>12</v>
      </c>
      <c r="H107" s="43" t="s">
        <v>430</v>
      </c>
      <c r="I107" s="44">
        <v>190</v>
      </c>
      <c r="J107" s="44">
        <v>198.4</v>
      </c>
      <c r="K107" s="41"/>
      <c r="L107" s="45">
        <v>103000</v>
      </c>
      <c r="M107" s="44">
        <v>1</v>
      </c>
      <c r="N107" s="43" t="s">
        <v>383</v>
      </c>
    </row>
    <row r="108" spans="1:14" ht="15.75" customHeight="1">
      <c r="A108" s="41" t="s">
        <v>472</v>
      </c>
      <c r="B108" s="41" t="s">
        <v>473</v>
      </c>
      <c r="C108" s="41" t="s">
        <v>424</v>
      </c>
      <c r="D108" s="41" t="s">
        <v>429</v>
      </c>
      <c r="E108" s="41" t="s">
        <v>74</v>
      </c>
      <c r="F108" s="42">
        <v>9</v>
      </c>
      <c r="G108" s="41" t="s">
        <v>13</v>
      </c>
      <c r="H108" s="43" t="s">
        <v>430</v>
      </c>
      <c r="I108" s="44">
        <v>40</v>
      </c>
      <c r="J108" s="44">
        <v>198.4</v>
      </c>
      <c r="K108" s="41"/>
      <c r="L108" s="45">
        <v>103000</v>
      </c>
      <c r="M108" s="44">
        <v>1</v>
      </c>
      <c r="N108" s="43" t="s">
        <v>383</v>
      </c>
    </row>
    <row r="109" spans="1:14" ht="15.75" customHeight="1">
      <c r="A109" s="41" t="s">
        <v>472</v>
      </c>
      <c r="B109" s="41" t="s">
        <v>473</v>
      </c>
      <c r="C109" s="41" t="s">
        <v>431</v>
      </c>
      <c r="D109" s="41" t="s">
        <v>432</v>
      </c>
      <c r="E109" s="41" t="s">
        <v>433</v>
      </c>
      <c r="F109" s="42">
        <v>19</v>
      </c>
      <c r="G109" s="41" t="s">
        <v>368</v>
      </c>
      <c r="H109" s="43" t="s">
        <v>434</v>
      </c>
      <c r="I109" s="44">
        <v>60</v>
      </c>
      <c r="J109" s="41"/>
      <c r="K109" s="44">
        <v>500</v>
      </c>
      <c r="L109" s="41" t="s">
        <v>435</v>
      </c>
      <c r="M109" s="44">
        <v>3</v>
      </c>
      <c r="N109" s="43" t="s">
        <v>436</v>
      </c>
    </row>
    <row r="110" spans="1:14" ht="15.75" customHeight="1">
      <c r="A110" s="41" t="s">
        <v>474</v>
      </c>
      <c r="B110" s="41" t="s">
        <v>475</v>
      </c>
      <c r="C110" s="41" t="s">
        <v>424</v>
      </c>
      <c r="D110" s="41" t="s">
        <v>425</v>
      </c>
      <c r="E110" s="41" t="s">
        <v>48</v>
      </c>
      <c r="F110" s="42">
        <v>4</v>
      </c>
      <c r="G110" s="41" t="s">
        <v>11</v>
      </c>
      <c r="H110" s="43" t="s">
        <v>426</v>
      </c>
      <c r="I110" s="44">
        <v>30</v>
      </c>
      <c r="J110" s="44">
        <v>29.7</v>
      </c>
      <c r="K110" s="41"/>
      <c r="L110" s="45">
        <v>52000</v>
      </c>
      <c r="M110" s="44">
        <v>1</v>
      </c>
      <c r="N110" s="43" t="s">
        <v>383</v>
      </c>
    </row>
    <row r="111" spans="1:14" ht="15.75" customHeight="1">
      <c r="A111" s="41" t="s">
        <v>474</v>
      </c>
      <c r="B111" s="41" t="s">
        <v>475</v>
      </c>
      <c r="C111" s="41" t="s">
        <v>424</v>
      </c>
      <c r="D111" s="41" t="s">
        <v>425</v>
      </c>
      <c r="E111" s="41" t="s">
        <v>48</v>
      </c>
      <c r="F111" s="42">
        <v>5</v>
      </c>
      <c r="G111" s="41" t="s">
        <v>12</v>
      </c>
      <c r="H111" s="43" t="s">
        <v>427</v>
      </c>
      <c r="I111" s="44">
        <v>180</v>
      </c>
      <c r="J111" s="44">
        <v>29.7</v>
      </c>
      <c r="K111" s="41"/>
      <c r="L111" s="45">
        <v>52000</v>
      </c>
      <c r="M111" s="44">
        <v>1</v>
      </c>
      <c r="N111" s="43" t="s">
        <v>383</v>
      </c>
    </row>
    <row r="112" spans="1:14" ht="15.75" customHeight="1">
      <c r="A112" s="41" t="s">
        <v>474</v>
      </c>
      <c r="B112" s="41" t="s">
        <v>475</v>
      </c>
      <c r="C112" s="41" t="s">
        <v>424</v>
      </c>
      <c r="D112" s="41" t="s">
        <v>425</v>
      </c>
      <c r="E112" s="41" t="s">
        <v>48</v>
      </c>
      <c r="F112" s="42">
        <v>6</v>
      </c>
      <c r="G112" s="41" t="s">
        <v>13</v>
      </c>
      <c r="H112" s="43" t="s">
        <v>427</v>
      </c>
      <c r="I112" s="44">
        <v>30</v>
      </c>
      <c r="J112" s="44">
        <v>29.7</v>
      </c>
      <c r="K112" s="41"/>
      <c r="L112" s="45">
        <v>52000</v>
      </c>
      <c r="M112" s="44">
        <v>1</v>
      </c>
      <c r="N112" s="43" t="s">
        <v>383</v>
      </c>
    </row>
    <row r="113" spans="1:14" ht="15.75" customHeight="1">
      <c r="A113" s="41" t="s">
        <v>474</v>
      </c>
      <c r="B113" s="41" t="s">
        <v>475</v>
      </c>
      <c r="C113" s="41" t="s">
        <v>431</v>
      </c>
      <c r="D113" s="41" t="s">
        <v>432</v>
      </c>
      <c r="E113" s="41" t="s">
        <v>433</v>
      </c>
      <c r="F113" s="42">
        <v>18</v>
      </c>
      <c r="G113" s="41" t="s">
        <v>439</v>
      </c>
      <c r="H113" s="43" t="s">
        <v>440</v>
      </c>
      <c r="I113" s="44">
        <v>60</v>
      </c>
      <c r="J113" s="41"/>
      <c r="K113" s="44">
        <v>800</v>
      </c>
      <c r="L113" s="41" t="s">
        <v>435</v>
      </c>
      <c r="M113" s="44">
        <v>1</v>
      </c>
      <c r="N113" s="43" t="s">
        <v>436</v>
      </c>
    </row>
    <row r="114" spans="1:14" ht="15.75" customHeight="1">
      <c r="A114" s="41" t="s">
        <v>474</v>
      </c>
      <c r="B114" s="41" t="s">
        <v>475</v>
      </c>
      <c r="C114" s="41" t="s">
        <v>431</v>
      </c>
      <c r="D114" s="41" t="s">
        <v>432</v>
      </c>
      <c r="E114" s="41" t="s">
        <v>433</v>
      </c>
      <c r="F114" s="42">
        <v>19</v>
      </c>
      <c r="G114" s="41" t="s">
        <v>368</v>
      </c>
      <c r="H114" s="43" t="s">
        <v>434</v>
      </c>
      <c r="I114" s="44">
        <v>60</v>
      </c>
      <c r="J114" s="41"/>
      <c r="K114" s="44">
        <v>700</v>
      </c>
      <c r="L114" s="41" t="s">
        <v>435</v>
      </c>
      <c r="M114" s="44">
        <v>4</v>
      </c>
      <c r="N114" s="43" t="s">
        <v>436</v>
      </c>
    </row>
    <row r="115" spans="1:14" ht="15.75" customHeight="1">
      <c r="A115" s="41" t="s">
        <v>476</v>
      </c>
      <c r="B115" s="41" t="s">
        <v>477</v>
      </c>
      <c r="C115" s="41" t="s">
        <v>442</v>
      </c>
      <c r="D115" s="41" t="s">
        <v>443</v>
      </c>
      <c r="E115" s="41" t="s">
        <v>33</v>
      </c>
      <c r="F115" s="42">
        <v>10</v>
      </c>
      <c r="G115" s="41" t="s">
        <v>11</v>
      </c>
      <c r="H115" s="43" t="s">
        <v>426</v>
      </c>
      <c r="I115" s="44">
        <v>20</v>
      </c>
      <c r="J115" s="44">
        <v>50.7</v>
      </c>
      <c r="K115" s="41"/>
      <c r="L115" s="45">
        <v>100000</v>
      </c>
      <c r="M115" s="44">
        <v>1</v>
      </c>
      <c r="N115" s="43" t="s">
        <v>383</v>
      </c>
    </row>
    <row r="116" spans="1:14" ht="15.75" customHeight="1">
      <c r="A116" s="41" t="s">
        <v>476</v>
      </c>
      <c r="B116" s="41" t="s">
        <v>477</v>
      </c>
      <c r="C116" s="41" t="s">
        <v>442</v>
      </c>
      <c r="D116" s="41" t="s">
        <v>443</v>
      </c>
      <c r="E116" s="41" t="s">
        <v>33</v>
      </c>
      <c r="F116" s="42">
        <v>11</v>
      </c>
      <c r="G116" s="41" t="s">
        <v>12</v>
      </c>
      <c r="H116" s="43" t="s">
        <v>444</v>
      </c>
      <c r="I116" s="44">
        <v>110</v>
      </c>
      <c r="J116" s="44">
        <v>50.7</v>
      </c>
      <c r="K116" s="41"/>
      <c r="L116" s="45">
        <v>100000</v>
      </c>
      <c r="M116" s="44">
        <v>1</v>
      </c>
      <c r="N116" s="43" t="s">
        <v>383</v>
      </c>
    </row>
    <row r="117" spans="1:14" ht="15.75" customHeight="1">
      <c r="A117" s="41" t="s">
        <v>476</v>
      </c>
      <c r="B117" s="41" t="s">
        <v>477</v>
      </c>
      <c r="C117" s="41" t="s">
        <v>442</v>
      </c>
      <c r="D117" s="41" t="s">
        <v>443</v>
      </c>
      <c r="E117" s="41" t="s">
        <v>33</v>
      </c>
      <c r="F117" s="42">
        <v>12</v>
      </c>
      <c r="G117" s="41" t="s">
        <v>13</v>
      </c>
      <c r="H117" s="43" t="s">
        <v>444</v>
      </c>
      <c r="I117" s="44">
        <v>15</v>
      </c>
      <c r="J117" s="44">
        <v>50.7</v>
      </c>
      <c r="K117" s="41"/>
      <c r="L117" s="45">
        <v>100000</v>
      </c>
      <c r="M117" s="44">
        <v>1</v>
      </c>
      <c r="N117" s="43" t="s">
        <v>383</v>
      </c>
    </row>
    <row r="118" spans="1:14" ht="15.75" customHeight="1">
      <c r="A118" s="41" t="s">
        <v>476</v>
      </c>
      <c r="B118" s="41" t="s">
        <v>477</v>
      </c>
      <c r="C118" s="41" t="s">
        <v>431</v>
      </c>
      <c r="D118" s="41" t="s">
        <v>432</v>
      </c>
      <c r="E118" s="41" t="s">
        <v>433</v>
      </c>
      <c r="F118" s="42">
        <v>18</v>
      </c>
      <c r="G118" s="41" t="s">
        <v>439</v>
      </c>
      <c r="H118" s="43" t="s">
        <v>440</v>
      </c>
      <c r="I118" s="44">
        <v>60</v>
      </c>
      <c r="J118" s="41"/>
      <c r="K118" s="44">
        <v>1400</v>
      </c>
      <c r="L118" s="41" t="s">
        <v>435</v>
      </c>
      <c r="M118" s="44">
        <v>1</v>
      </c>
      <c r="N118" s="43" t="s">
        <v>436</v>
      </c>
    </row>
    <row r="119" spans="1:14" ht="15.75" customHeight="1">
      <c r="A119" s="41" t="s">
        <v>476</v>
      </c>
      <c r="B119" s="41" t="s">
        <v>477</v>
      </c>
      <c r="C119" s="41" t="s">
        <v>431</v>
      </c>
      <c r="D119" s="41" t="s">
        <v>432</v>
      </c>
      <c r="E119" s="41" t="s">
        <v>433</v>
      </c>
      <c r="F119" s="42">
        <v>19</v>
      </c>
      <c r="G119" s="41" t="s">
        <v>368</v>
      </c>
      <c r="H119" s="43" t="s">
        <v>434</v>
      </c>
      <c r="I119" s="44">
        <v>60</v>
      </c>
      <c r="J119" s="41"/>
      <c r="K119" s="44">
        <v>1200</v>
      </c>
      <c r="L119" s="41" t="s">
        <v>435</v>
      </c>
      <c r="M119" s="44">
        <v>4</v>
      </c>
      <c r="N119" s="43" t="s">
        <v>436</v>
      </c>
    </row>
    <row r="120" spans="1:14" ht="15.75" customHeight="1">
      <c r="A120" s="41" t="s">
        <v>478</v>
      </c>
      <c r="B120" s="41" t="s">
        <v>479</v>
      </c>
      <c r="C120" s="41" t="s">
        <v>431</v>
      </c>
      <c r="D120" s="41" t="s">
        <v>432</v>
      </c>
      <c r="E120" s="41" t="s">
        <v>433</v>
      </c>
      <c r="F120" s="42">
        <v>18</v>
      </c>
      <c r="G120" s="41" t="s">
        <v>439</v>
      </c>
      <c r="H120" s="43" t="s">
        <v>440</v>
      </c>
      <c r="I120" s="44">
        <v>60</v>
      </c>
      <c r="J120" s="41"/>
      <c r="K120" s="44">
        <v>1200</v>
      </c>
      <c r="L120" s="41" t="s">
        <v>435</v>
      </c>
      <c r="M120" s="44">
        <v>1</v>
      </c>
      <c r="N120" s="43" t="s">
        <v>436</v>
      </c>
    </row>
    <row r="121" spans="1:14" ht="15.75" customHeight="1">
      <c r="A121" s="41" t="s">
        <v>478</v>
      </c>
      <c r="B121" s="41" t="s">
        <v>479</v>
      </c>
      <c r="C121" s="41" t="s">
        <v>431</v>
      </c>
      <c r="D121" s="41" t="s">
        <v>432</v>
      </c>
      <c r="E121" s="41" t="s">
        <v>433</v>
      </c>
      <c r="F121" s="42">
        <v>19</v>
      </c>
      <c r="G121" s="41" t="s">
        <v>368</v>
      </c>
      <c r="H121" s="43" t="s">
        <v>434</v>
      </c>
      <c r="I121" s="44">
        <v>60</v>
      </c>
      <c r="J121" s="41"/>
      <c r="K121" s="44">
        <v>1000</v>
      </c>
      <c r="L121" s="41" t="s">
        <v>435</v>
      </c>
      <c r="M121" s="44">
        <v>4</v>
      </c>
      <c r="N121" s="43" t="s">
        <v>436</v>
      </c>
    </row>
    <row r="122" spans="1:14" ht="15.75" customHeight="1">
      <c r="A122" s="41" t="s">
        <v>480</v>
      </c>
      <c r="B122" s="41" t="s">
        <v>481</v>
      </c>
      <c r="C122" s="41" t="s">
        <v>442</v>
      </c>
      <c r="D122" s="41" t="s">
        <v>443</v>
      </c>
      <c r="E122" s="41" t="s">
        <v>33</v>
      </c>
      <c r="F122" s="42">
        <v>10</v>
      </c>
      <c r="G122" s="41" t="s">
        <v>11</v>
      </c>
      <c r="H122" s="43" t="s">
        <v>426</v>
      </c>
      <c r="I122" s="44">
        <v>20</v>
      </c>
      <c r="J122" s="44">
        <v>31.8</v>
      </c>
      <c r="K122" s="41"/>
      <c r="L122" s="45">
        <v>110000</v>
      </c>
      <c r="M122" s="44">
        <v>1</v>
      </c>
      <c r="N122" s="43" t="s">
        <v>383</v>
      </c>
    </row>
    <row r="123" spans="1:14" ht="15.75" customHeight="1">
      <c r="A123" s="41" t="s">
        <v>480</v>
      </c>
      <c r="B123" s="41" t="s">
        <v>481</v>
      </c>
      <c r="C123" s="41" t="s">
        <v>442</v>
      </c>
      <c r="D123" s="41" t="s">
        <v>443</v>
      </c>
      <c r="E123" s="41" t="s">
        <v>33</v>
      </c>
      <c r="F123" s="42">
        <v>11</v>
      </c>
      <c r="G123" s="41" t="s">
        <v>12</v>
      </c>
      <c r="H123" s="43" t="s">
        <v>444</v>
      </c>
      <c r="I123" s="44">
        <v>130</v>
      </c>
      <c r="J123" s="44">
        <v>31.8</v>
      </c>
      <c r="K123" s="41"/>
      <c r="L123" s="45">
        <v>110000</v>
      </c>
      <c r="M123" s="44">
        <v>1</v>
      </c>
      <c r="N123" s="43" t="s">
        <v>383</v>
      </c>
    </row>
    <row r="124" spans="1:14" ht="15.75" customHeight="1">
      <c r="A124" s="41" t="s">
        <v>480</v>
      </c>
      <c r="B124" s="41" t="s">
        <v>481</v>
      </c>
      <c r="C124" s="41" t="s">
        <v>442</v>
      </c>
      <c r="D124" s="41" t="s">
        <v>443</v>
      </c>
      <c r="E124" s="41" t="s">
        <v>33</v>
      </c>
      <c r="F124" s="42">
        <v>12</v>
      </c>
      <c r="G124" s="41" t="s">
        <v>13</v>
      </c>
      <c r="H124" s="43" t="s">
        <v>444</v>
      </c>
      <c r="I124" s="44">
        <v>15</v>
      </c>
      <c r="J124" s="44">
        <v>31.8</v>
      </c>
      <c r="K124" s="41"/>
      <c r="L124" s="45">
        <v>110000</v>
      </c>
      <c r="M124" s="44">
        <v>1</v>
      </c>
      <c r="N124" s="43" t="s">
        <v>383</v>
      </c>
    </row>
    <row r="125" spans="1:14" ht="15.75" customHeight="1">
      <c r="A125" s="41" t="s">
        <v>480</v>
      </c>
      <c r="B125" s="41" t="s">
        <v>481</v>
      </c>
      <c r="C125" s="41" t="s">
        <v>442</v>
      </c>
      <c r="D125" s="41" t="s">
        <v>448</v>
      </c>
      <c r="E125" s="41" t="s">
        <v>40</v>
      </c>
      <c r="F125" s="42">
        <v>1</v>
      </c>
      <c r="G125" s="41" t="s">
        <v>11</v>
      </c>
      <c r="H125" s="43" t="s">
        <v>426</v>
      </c>
      <c r="I125" s="44">
        <v>20</v>
      </c>
      <c r="J125" s="44">
        <v>31.8</v>
      </c>
      <c r="K125" s="41"/>
      <c r="L125" s="45">
        <v>412000</v>
      </c>
      <c r="M125" s="44">
        <v>1</v>
      </c>
      <c r="N125" s="43" t="s">
        <v>383</v>
      </c>
    </row>
    <row r="126" spans="1:14" ht="15.75" customHeight="1">
      <c r="A126" s="41" t="s">
        <v>480</v>
      </c>
      <c r="B126" s="41" t="s">
        <v>481</v>
      </c>
      <c r="C126" s="41" t="s">
        <v>442</v>
      </c>
      <c r="D126" s="41" t="s">
        <v>448</v>
      </c>
      <c r="E126" s="41" t="s">
        <v>40</v>
      </c>
      <c r="F126" s="42">
        <v>2</v>
      </c>
      <c r="G126" s="41" t="s">
        <v>12</v>
      </c>
      <c r="H126" s="43" t="s">
        <v>449</v>
      </c>
      <c r="I126" s="44">
        <v>160</v>
      </c>
      <c r="J126" s="44">
        <v>31.8</v>
      </c>
      <c r="K126" s="41"/>
      <c r="L126" s="45">
        <v>412000</v>
      </c>
      <c r="M126" s="44">
        <v>1</v>
      </c>
      <c r="N126" s="43" t="s">
        <v>383</v>
      </c>
    </row>
    <row r="127" spans="1:14" ht="15.75" customHeight="1">
      <c r="A127" s="41" t="s">
        <v>480</v>
      </c>
      <c r="B127" s="41" t="s">
        <v>481</v>
      </c>
      <c r="C127" s="41" t="s">
        <v>442</v>
      </c>
      <c r="D127" s="41" t="s">
        <v>448</v>
      </c>
      <c r="E127" s="41" t="s">
        <v>40</v>
      </c>
      <c r="F127" s="42">
        <v>3</v>
      </c>
      <c r="G127" s="41" t="s">
        <v>13</v>
      </c>
      <c r="H127" s="43" t="s">
        <v>449</v>
      </c>
      <c r="I127" s="44">
        <v>30</v>
      </c>
      <c r="J127" s="44">
        <v>31.8</v>
      </c>
      <c r="K127" s="41"/>
      <c r="L127" s="45">
        <v>412000</v>
      </c>
      <c r="M127" s="44">
        <v>1</v>
      </c>
      <c r="N127" s="43" t="s">
        <v>383</v>
      </c>
    </row>
    <row r="128" spans="1:14" ht="15.75" customHeight="1">
      <c r="A128" s="41" t="s">
        <v>480</v>
      </c>
      <c r="B128" s="41" t="s">
        <v>481</v>
      </c>
      <c r="C128" s="41" t="s">
        <v>431</v>
      </c>
      <c r="D128" s="41" t="s">
        <v>432</v>
      </c>
      <c r="E128" s="41" t="s">
        <v>433</v>
      </c>
      <c r="F128" s="42">
        <v>18</v>
      </c>
      <c r="G128" s="41" t="s">
        <v>439</v>
      </c>
      <c r="H128" s="43" t="s">
        <v>440</v>
      </c>
      <c r="I128" s="44">
        <v>60</v>
      </c>
      <c r="J128" s="41"/>
      <c r="K128" s="44">
        <v>1300</v>
      </c>
      <c r="L128" s="41" t="s">
        <v>435</v>
      </c>
      <c r="M128" s="44">
        <v>1</v>
      </c>
      <c r="N128" s="43" t="s">
        <v>436</v>
      </c>
    </row>
    <row r="129" spans="1:15" ht="15.75" customHeight="1">
      <c r="A129" s="41" t="s">
        <v>480</v>
      </c>
      <c r="B129" s="41" t="s">
        <v>481</v>
      </c>
      <c r="C129" s="41" t="s">
        <v>431</v>
      </c>
      <c r="D129" s="41" t="s">
        <v>432</v>
      </c>
      <c r="E129" s="41" t="s">
        <v>433</v>
      </c>
      <c r="F129" s="42">
        <v>19</v>
      </c>
      <c r="G129" s="41" t="s">
        <v>368</v>
      </c>
      <c r="H129" s="43" t="s">
        <v>434</v>
      </c>
      <c r="I129" s="44">
        <v>60</v>
      </c>
      <c r="J129" s="41"/>
      <c r="K129" s="44">
        <v>1350</v>
      </c>
      <c r="L129" s="41" t="s">
        <v>435</v>
      </c>
      <c r="M129" s="44">
        <v>4</v>
      </c>
      <c r="N129" s="43" t="s">
        <v>436</v>
      </c>
    </row>
    <row r="130" spans="1:15" ht="15.75" customHeight="1">
      <c r="A130" s="41" t="s">
        <v>482</v>
      </c>
      <c r="B130" s="41" t="s">
        <v>483</v>
      </c>
      <c r="C130" s="41" t="s">
        <v>442</v>
      </c>
      <c r="D130" s="41" t="s">
        <v>448</v>
      </c>
      <c r="E130" s="41" t="s">
        <v>40</v>
      </c>
      <c r="F130" s="42">
        <v>1</v>
      </c>
      <c r="G130" s="41" t="s">
        <v>11</v>
      </c>
      <c r="H130" s="43" t="s">
        <v>426</v>
      </c>
      <c r="I130" s="44">
        <v>40</v>
      </c>
      <c r="J130" s="44">
        <v>52.5</v>
      </c>
      <c r="K130" s="41"/>
      <c r="L130" s="45">
        <v>400000</v>
      </c>
      <c r="M130" s="44">
        <v>1</v>
      </c>
      <c r="N130" s="43" t="s">
        <v>383</v>
      </c>
    </row>
    <row r="131" spans="1:15" ht="15.75" customHeight="1">
      <c r="A131" s="41" t="s">
        <v>482</v>
      </c>
      <c r="B131" s="41" t="s">
        <v>483</v>
      </c>
      <c r="C131" s="41" t="s">
        <v>442</v>
      </c>
      <c r="D131" s="41" t="s">
        <v>448</v>
      </c>
      <c r="E131" s="41" t="s">
        <v>40</v>
      </c>
      <c r="F131" s="42">
        <v>2</v>
      </c>
      <c r="G131" s="41" t="s">
        <v>12</v>
      </c>
      <c r="H131" s="43" t="s">
        <v>449</v>
      </c>
      <c r="I131" s="44">
        <v>100</v>
      </c>
      <c r="J131" s="44">
        <v>52.5</v>
      </c>
      <c r="K131" s="41"/>
      <c r="L131" s="45">
        <v>400000</v>
      </c>
      <c r="M131" s="44">
        <v>1</v>
      </c>
      <c r="N131" s="43" t="s">
        <v>383</v>
      </c>
    </row>
    <row r="132" spans="1:15" ht="15.75" customHeight="1">
      <c r="A132" s="41" t="s">
        <v>482</v>
      </c>
      <c r="B132" s="41" t="s">
        <v>483</v>
      </c>
      <c r="C132" s="41" t="s">
        <v>442</v>
      </c>
      <c r="D132" s="41" t="s">
        <v>448</v>
      </c>
      <c r="E132" s="41" t="s">
        <v>40</v>
      </c>
      <c r="F132" s="42">
        <v>3</v>
      </c>
      <c r="G132" s="41" t="s">
        <v>13</v>
      </c>
      <c r="H132" s="43" t="s">
        <v>449</v>
      </c>
      <c r="I132" s="44">
        <v>40</v>
      </c>
      <c r="J132" s="44">
        <v>52.5</v>
      </c>
      <c r="K132" s="41"/>
      <c r="L132" s="45">
        <v>400000</v>
      </c>
      <c r="M132" s="44">
        <v>1</v>
      </c>
      <c r="N132" s="43" t="s">
        <v>383</v>
      </c>
    </row>
    <row r="133" spans="1:15" ht="15.75" customHeight="1">
      <c r="A133" s="41" t="s">
        <v>482</v>
      </c>
      <c r="B133" s="41" t="s">
        <v>483</v>
      </c>
      <c r="C133" s="41" t="s">
        <v>431</v>
      </c>
      <c r="D133" s="41" t="s">
        <v>432</v>
      </c>
      <c r="E133" s="41" t="s">
        <v>433</v>
      </c>
      <c r="F133" s="42">
        <v>16</v>
      </c>
      <c r="G133" s="41" t="s">
        <v>484</v>
      </c>
      <c r="H133" s="43" t="s">
        <v>440</v>
      </c>
      <c r="I133" s="44">
        <v>60</v>
      </c>
      <c r="J133" s="41"/>
      <c r="K133" s="44">
        <v>450</v>
      </c>
      <c r="L133" s="41" t="s">
        <v>435</v>
      </c>
      <c r="M133" s="44">
        <v>1</v>
      </c>
      <c r="N133" s="43" t="s">
        <v>436</v>
      </c>
    </row>
    <row r="134" spans="1:15" ht="15.75" customHeight="1">
      <c r="A134" s="41" t="s">
        <v>482</v>
      </c>
      <c r="B134" s="41" t="s">
        <v>483</v>
      </c>
      <c r="C134" s="41" t="s">
        <v>431</v>
      </c>
      <c r="D134" s="41" t="s">
        <v>432</v>
      </c>
      <c r="E134" s="41" t="s">
        <v>433</v>
      </c>
      <c r="F134" s="42">
        <v>18</v>
      </c>
      <c r="G134" s="41" t="s">
        <v>439</v>
      </c>
      <c r="H134" s="43" t="s">
        <v>440</v>
      </c>
      <c r="I134" s="44">
        <v>60</v>
      </c>
      <c r="J134" s="41"/>
      <c r="K134" s="44">
        <v>670</v>
      </c>
      <c r="L134" s="41" t="s">
        <v>435</v>
      </c>
      <c r="M134" s="44">
        <v>1</v>
      </c>
      <c r="N134" s="43" t="s">
        <v>436</v>
      </c>
    </row>
    <row r="135" spans="1:15" ht="15.75" customHeight="1">
      <c r="A135" s="41" t="s">
        <v>482</v>
      </c>
      <c r="B135" s="41" t="s">
        <v>483</v>
      </c>
      <c r="C135" s="41" t="s">
        <v>431</v>
      </c>
      <c r="D135" s="41" t="s">
        <v>432</v>
      </c>
      <c r="E135" s="41" t="s">
        <v>433</v>
      </c>
      <c r="F135" s="42">
        <v>19</v>
      </c>
      <c r="G135" s="41" t="s">
        <v>368</v>
      </c>
      <c r="H135" s="43" t="s">
        <v>434</v>
      </c>
      <c r="I135" s="44">
        <v>60</v>
      </c>
      <c r="J135" s="41"/>
      <c r="K135" s="44">
        <v>870</v>
      </c>
      <c r="L135" s="41" t="s">
        <v>435</v>
      </c>
      <c r="M135" s="44">
        <v>4</v>
      </c>
      <c r="N135" s="43" t="s">
        <v>436</v>
      </c>
    </row>
    <row r="136" spans="1:15" ht="15.75" customHeight="1">
      <c r="A136" s="41" t="s">
        <v>485</v>
      </c>
      <c r="B136" s="41" t="s">
        <v>235</v>
      </c>
      <c r="C136" s="41" t="s">
        <v>442</v>
      </c>
      <c r="D136" s="41" t="s">
        <v>448</v>
      </c>
      <c r="E136" s="41" t="s">
        <v>40</v>
      </c>
      <c r="F136" s="42">
        <v>1</v>
      </c>
      <c r="G136" s="41" t="s">
        <v>11</v>
      </c>
      <c r="H136" s="43" t="s">
        <v>426</v>
      </c>
      <c r="I136" s="44">
        <v>60</v>
      </c>
      <c r="J136" s="44">
        <v>31.4</v>
      </c>
      <c r="K136" s="41"/>
      <c r="L136" s="45">
        <v>412000</v>
      </c>
      <c r="M136" s="44">
        <v>1</v>
      </c>
      <c r="N136" s="43" t="s">
        <v>383</v>
      </c>
    </row>
    <row r="137" spans="1:15" ht="15.75" customHeight="1">
      <c r="A137" s="41" t="s">
        <v>485</v>
      </c>
      <c r="B137" s="41" t="s">
        <v>235</v>
      </c>
      <c r="C137" s="41" t="s">
        <v>442</v>
      </c>
      <c r="D137" s="41" t="s">
        <v>448</v>
      </c>
      <c r="E137" s="41" t="s">
        <v>40</v>
      </c>
      <c r="F137" s="42">
        <v>2</v>
      </c>
      <c r="G137" s="41" t="s">
        <v>12</v>
      </c>
      <c r="H137" s="43" t="s">
        <v>449</v>
      </c>
      <c r="I137" s="44">
        <v>110</v>
      </c>
      <c r="J137" s="44">
        <v>31.4</v>
      </c>
      <c r="K137" s="41"/>
      <c r="L137" s="45">
        <v>412000</v>
      </c>
      <c r="M137" s="44">
        <v>1</v>
      </c>
      <c r="N137" s="43" t="s">
        <v>383</v>
      </c>
    </row>
    <row r="138" spans="1:15" ht="15.75" customHeight="1">
      <c r="A138" s="41" t="s">
        <v>485</v>
      </c>
      <c r="B138" s="41" t="s">
        <v>235</v>
      </c>
      <c r="C138" s="41" t="s">
        <v>442</v>
      </c>
      <c r="D138" s="41" t="s">
        <v>448</v>
      </c>
      <c r="E138" s="41" t="s">
        <v>40</v>
      </c>
      <c r="F138" s="42">
        <v>3</v>
      </c>
      <c r="G138" s="41" t="s">
        <v>13</v>
      </c>
      <c r="H138" s="43" t="s">
        <v>449</v>
      </c>
      <c r="I138" s="44">
        <v>30</v>
      </c>
      <c r="J138" s="44">
        <v>31.4</v>
      </c>
      <c r="K138" s="41"/>
      <c r="L138" s="45">
        <v>412000</v>
      </c>
      <c r="M138" s="44">
        <v>1</v>
      </c>
      <c r="N138" s="43" t="s">
        <v>383</v>
      </c>
    </row>
    <row r="139" spans="1:15" ht="15.75" customHeight="1">
      <c r="A139" s="46" t="s">
        <v>486</v>
      </c>
      <c r="B139" s="46" t="s">
        <v>235</v>
      </c>
      <c r="C139" s="46" t="s">
        <v>442</v>
      </c>
      <c r="D139" s="46" t="s">
        <v>443</v>
      </c>
      <c r="E139" s="46" t="s">
        <v>33</v>
      </c>
      <c r="F139" s="47">
        <v>10</v>
      </c>
      <c r="G139" s="46" t="s">
        <v>11</v>
      </c>
      <c r="H139" s="48" t="s">
        <v>426</v>
      </c>
      <c r="I139" s="49">
        <v>20</v>
      </c>
      <c r="J139" s="49">
        <v>31.4</v>
      </c>
      <c r="K139" s="46"/>
      <c r="L139" s="50">
        <v>107000</v>
      </c>
      <c r="M139" s="49">
        <v>1</v>
      </c>
      <c r="N139" s="48" t="s">
        <v>383</v>
      </c>
      <c r="O139" s="51"/>
    </row>
    <row r="140" spans="1:15" ht="15.75" customHeight="1">
      <c r="A140" s="46" t="s">
        <v>486</v>
      </c>
      <c r="B140" s="46" t="s">
        <v>235</v>
      </c>
      <c r="C140" s="46" t="s">
        <v>442</v>
      </c>
      <c r="D140" s="46" t="s">
        <v>443</v>
      </c>
      <c r="E140" s="46" t="s">
        <v>33</v>
      </c>
      <c r="F140" s="47">
        <v>11</v>
      </c>
      <c r="G140" s="46" t="s">
        <v>12</v>
      </c>
      <c r="H140" s="48" t="s">
        <v>444</v>
      </c>
      <c r="I140" s="49">
        <v>80</v>
      </c>
      <c r="J140" s="49">
        <v>31.4</v>
      </c>
      <c r="K140" s="46"/>
      <c r="L140" s="50">
        <v>107000</v>
      </c>
      <c r="M140" s="49">
        <v>1</v>
      </c>
      <c r="N140" s="48" t="s">
        <v>383</v>
      </c>
      <c r="O140" s="51"/>
    </row>
    <row r="141" spans="1:15" ht="15.75" customHeight="1">
      <c r="A141" s="46" t="s">
        <v>486</v>
      </c>
      <c r="B141" s="46" t="s">
        <v>235</v>
      </c>
      <c r="C141" s="46" t="s">
        <v>442</v>
      </c>
      <c r="D141" s="46" t="s">
        <v>443</v>
      </c>
      <c r="E141" s="46" t="s">
        <v>33</v>
      </c>
      <c r="F141" s="47">
        <v>12</v>
      </c>
      <c r="G141" s="46" t="s">
        <v>13</v>
      </c>
      <c r="H141" s="48" t="s">
        <v>444</v>
      </c>
      <c r="I141" s="49">
        <v>25</v>
      </c>
      <c r="J141" s="49">
        <v>31.4</v>
      </c>
      <c r="K141" s="46"/>
      <c r="L141" s="50">
        <v>107000</v>
      </c>
      <c r="M141" s="49">
        <v>1</v>
      </c>
      <c r="N141" s="48" t="s">
        <v>383</v>
      </c>
      <c r="O141" s="51"/>
    </row>
    <row r="142" spans="1:15" ht="15.75" customHeight="1">
      <c r="A142" s="41" t="s">
        <v>485</v>
      </c>
      <c r="B142" s="41" t="s">
        <v>235</v>
      </c>
      <c r="C142" s="41" t="s">
        <v>431</v>
      </c>
      <c r="D142" s="41" t="s">
        <v>432</v>
      </c>
      <c r="E142" s="41" t="s">
        <v>433</v>
      </c>
      <c r="F142" s="42">
        <v>18</v>
      </c>
      <c r="G142" s="41" t="s">
        <v>439</v>
      </c>
      <c r="H142" s="43" t="s">
        <v>440</v>
      </c>
      <c r="I142" s="44">
        <v>60</v>
      </c>
      <c r="J142" s="41"/>
      <c r="K142" s="44">
        <v>1300</v>
      </c>
      <c r="L142" s="41" t="s">
        <v>435</v>
      </c>
      <c r="M142" s="44">
        <v>1</v>
      </c>
      <c r="N142" s="43" t="s">
        <v>436</v>
      </c>
    </row>
    <row r="143" spans="1:15" ht="15.75" customHeight="1">
      <c r="A143" s="41" t="s">
        <v>485</v>
      </c>
      <c r="B143" s="41" t="s">
        <v>235</v>
      </c>
      <c r="C143" s="41" t="s">
        <v>431</v>
      </c>
      <c r="D143" s="41" t="s">
        <v>432</v>
      </c>
      <c r="E143" s="41" t="s">
        <v>433</v>
      </c>
      <c r="F143" s="42">
        <v>19</v>
      </c>
      <c r="G143" s="41" t="s">
        <v>368</v>
      </c>
      <c r="H143" s="43" t="s">
        <v>434</v>
      </c>
      <c r="I143" s="44">
        <v>60</v>
      </c>
      <c r="J143" s="41"/>
      <c r="K143" s="44">
        <v>1200</v>
      </c>
      <c r="L143" s="41" t="s">
        <v>435</v>
      </c>
      <c r="M143" s="44">
        <v>4</v>
      </c>
      <c r="N143" s="43" t="s">
        <v>436</v>
      </c>
    </row>
    <row r="144" spans="1:15" ht="15.75" customHeight="1">
      <c r="A144" s="46" t="s">
        <v>487</v>
      </c>
      <c r="B144" s="46" t="s">
        <v>57</v>
      </c>
      <c r="C144" s="46" t="s">
        <v>442</v>
      </c>
      <c r="D144" s="46" t="s">
        <v>448</v>
      </c>
      <c r="E144" s="46" t="s">
        <v>40</v>
      </c>
      <c r="F144" s="47">
        <v>1</v>
      </c>
      <c r="G144" s="46" t="s">
        <v>11</v>
      </c>
      <c r="H144" s="48" t="s">
        <v>426</v>
      </c>
      <c r="I144" s="49">
        <v>60</v>
      </c>
      <c r="J144" s="49">
        <v>5</v>
      </c>
      <c r="K144" s="46"/>
      <c r="L144" s="50">
        <v>412000</v>
      </c>
      <c r="M144" s="49">
        <v>1</v>
      </c>
      <c r="N144" s="48" t="s">
        <v>383</v>
      </c>
      <c r="O144" s="51"/>
    </row>
    <row r="145" spans="1:15" ht="15.75" customHeight="1">
      <c r="A145" s="46" t="s">
        <v>487</v>
      </c>
      <c r="B145" s="46" t="s">
        <v>57</v>
      </c>
      <c r="C145" s="46" t="s">
        <v>442</v>
      </c>
      <c r="D145" s="46" t="s">
        <v>448</v>
      </c>
      <c r="E145" s="46" t="s">
        <v>40</v>
      </c>
      <c r="F145" s="47">
        <v>2</v>
      </c>
      <c r="G145" s="46" t="s">
        <v>12</v>
      </c>
      <c r="H145" s="48" t="s">
        <v>449</v>
      </c>
      <c r="I145" s="49">
        <v>110</v>
      </c>
      <c r="J145" s="49">
        <v>5</v>
      </c>
      <c r="K145" s="46"/>
      <c r="L145" s="50">
        <v>412000</v>
      </c>
      <c r="M145" s="49">
        <v>1</v>
      </c>
      <c r="N145" s="48" t="s">
        <v>383</v>
      </c>
      <c r="O145" s="51"/>
    </row>
    <row r="146" spans="1:15" ht="15.75" customHeight="1">
      <c r="A146" s="46" t="s">
        <v>487</v>
      </c>
      <c r="B146" s="46" t="s">
        <v>57</v>
      </c>
      <c r="C146" s="46" t="s">
        <v>442</v>
      </c>
      <c r="D146" s="46" t="s">
        <v>448</v>
      </c>
      <c r="E146" s="46" t="s">
        <v>40</v>
      </c>
      <c r="F146" s="47">
        <v>3</v>
      </c>
      <c r="G146" s="46" t="s">
        <v>13</v>
      </c>
      <c r="H146" s="48" t="s">
        <v>449</v>
      </c>
      <c r="I146" s="49">
        <v>30</v>
      </c>
      <c r="J146" s="49">
        <v>5</v>
      </c>
      <c r="K146" s="46"/>
      <c r="L146" s="50">
        <v>412000</v>
      </c>
      <c r="M146" s="49">
        <v>1</v>
      </c>
      <c r="N146" s="48" t="s">
        <v>383</v>
      </c>
      <c r="O146" s="51"/>
    </row>
    <row r="147" spans="1:15" ht="15.75" customHeight="1">
      <c r="A147" s="41" t="s">
        <v>488</v>
      </c>
      <c r="B147" s="41" t="s">
        <v>57</v>
      </c>
      <c r="C147" s="41" t="s">
        <v>442</v>
      </c>
      <c r="D147" s="41" t="s">
        <v>443</v>
      </c>
      <c r="E147" s="41" t="s">
        <v>33</v>
      </c>
      <c r="F147" s="42">
        <v>10</v>
      </c>
      <c r="G147" s="41" t="s">
        <v>11</v>
      </c>
      <c r="H147" s="43" t="s">
        <v>426</v>
      </c>
      <c r="I147" s="44">
        <v>20</v>
      </c>
      <c r="J147" s="44">
        <v>5</v>
      </c>
      <c r="K147" s="41"/>
      <c r="L147" s="45">
        <v>107000</v>
      </c>
      <c r="M147" s="44">
        <v>1</v>
      </c>
      <c r="N147" s="43" t="s">
        <v>383</v>
      </c>
    </row>
    <row r="148" spans="1:15" ht="15.75" customHeight="1">
      <c r="A148" s="41" t="s">
        <v>488</v>
      </c>
      <c r="B148" s="41" t="s">
        <v>57</v>
      </c>
      <c r="C148" s="41" t="s">
        <v>442</v>
      </c>
      <c r="D148" s="41" t="s">
        <v>443</v>
      </c>
      <c r="E148" s="41" t="s">
        <v>33</v>
      </c>
      <c r="F148" s="42">
        <v>11</v>
      </c>
      <c r="G148" s="41" t="s">
        <v>12</v>
      </c>
      <c r="H148" s="43" t="s">
        <v>444</v>
      </c>
      <c r="I148" s="44">
        <v>80</v>
      </c>
      <c r="J148" s="44">
        <v>5</v>
      </c>
      <c r="K148" s="41"/>
      <c r="L148" s="45">
        <v>107000</v>
      </c>
      <c r="M148" s="44">
        <v>1</v>
      </c>
      <c r="N148" s="43" t="s">
        <v>383</v>
      </c>
    </row>
    <row r="149" spans="1:15" ht="15.75" customHeight="1">
      <c r="A149" s="41" t="s">
        <v>488</v>
      </c>
      <c r="B149" s="41" t="s">
        <v>57</v>
      </c>
      <c r="C149" s="41" t="s">
        <v>442</v>
      </c>
      <c r="D149" s="41" t="s">
        <v>443</v>
      </c>
      <c r="E149" s="41" t="s">
        <v>33</v>
      </c>
      <c r="F149" s="42">
        <v>12</v>
      </c>
      <c r="G149" s="41" t="s">
        <v>13</v>
      </c>
      <c r="H149" s="43" t="s">
        <v>444</v>
      </c>
      <c r="I149" s="44">
        <v>25</v>
      </c>
      <c r="J149" s="44">
        <v>5</v>
      </c>
      <c r="K149" s="41"/>
      <c r="L149" s="45">
        <v>107000</v>
      </c>
      <c r="M149" s="44">
        <v>1</v>
      </c>
      <c r="N149" s="43" t="s">
        <v>383</v>
      </c>
    </row>
    <row r="150" spans="1:15" ht="15.75" customHeight="1">
      <c r="A150" s="41" t="s">
        <v>488</v>
      </c>
      <c r="B150" s="41" t="s">
        <v>57</v>
      </c>
      <c r="C150" s="41" t="s">
        <v>431</v>
      </c>
      <c r="D150" s="41" t="s">
        <v>432</v>
      </c>
      <c r="E150" s="41" t="s">
        <v>433</v>
      </c>
      <c r="F150" s="42">
        <v>18</v>
      </c>
      <c r="G150" s="41" t="s">
        <v>439</v>
      </c>
      <c r="H150" s="43" t="s">
        <v>440</v>
      </c>
      <c r="I150" s="44">
        <v>60</v>
      </c>
      <c r="J150" s="41"/>
      <c r="K150" s="44">
        <v>1400</v>
      </c>
      <c r="L150" s="41" t="s">
        <v>435</v>
      </c>
      <c r="M150" s="44">
        <v>1</v>
      </c>
      <c r="N150" s="43" t="s">
        <v>436</v>
      </c>
    </row>
    <row r="151" spans="1:15" ht="15.75" customHeight="1">
      <c r="A151" s="41" t="s">
        <v>488</v>
      </c>
      <c r="B151" s="41" t="s">
        <v>57</v>
      </c>
      <c r="C151" s="41" t="s">
        <v>431</v>
      </c>
      <c r="D151" s="41" t="s">
        <v>432</v>
      </c>
      <c r="E151" s="41" t="s">
        <v>433</v>
      </c>
      <c r="F151" s="42">
        <v>19</v>
      </c>
      <c r="G151" s="41" t="s">
        <v>368</v>
      </c>
      <c r="H151" s="43" t="s">
        <v>434</v>
      </c>
      <c r="I151" s="44">
        <v>60</v>
      </c>
      <c r="J151" s="41"/>
      <c r="K151" s="44">
        <v>1500</v>
      </c>
      <c r="L151" s="41" t="s">
        <v>435</v>
      </c>
      <c r="M151" s="44">
        <v>4</v>
      </c>
      <c r="N151" s="43" t="s">
        <v>436</v>
      </c>
    </row>
    <row r="152" spans="1:15" ht="15.75" customHeight="1">
      <c r="A152" s="41" t="s">
        <v>489</v>
      </c>
      <c r="B152" s="41" t="s">
        <v>490</v>
      </c>
      <c r="C152" s="41" t="s">
        <v>442</v>
      </c>
      <c r="D152" s="41" t="s">
        <v>448</v>
      </c>
      <c r="E152" s="41" t="s">
        <v>40</v>
      </c>
      <c r="F152" s="42">
        <v>1</v>
      </c>
      <c r="G152" s="41" t="s">
        <v>11</v>
      </c>
      <c r="H152" s="43" t="s">
        <v>426</v>
      </c>
      <c r="I152" s="44">
        <v>35</v>
      </c>
      <c r="J152" s="44">
        <v>136.80000000000001</v>
      </c>
      <c r="K152" s="41"/>
      <c r="L152" s="45">
        <v>350000</v>
      </c>
      <c r="M152" s="44">
        <v>1</v>
      </c>
      <c r="N152" s="43" t="s">
        <v>383</v>
      </c>
    </row>
    <row r="153" spans="1:15" ht="15.75" customHeight="1">
      <c r="A153" s="41" t="s">
        <v>489</v>
      </c>
      <c r="B153" s="41" t="s">
        <v>490</v>
      </c>
      <c r="C153" s="41" t="s">
        <v>442</v>
      </c>
      <c r="D153" s="41" t="s">
        <v>448</v>
      </c>
      <c r="E153" s="41" t="s">
        <v>40</v>
      </c>
      <c r="F153" s="42">
        <v>2</v>
      </c>
      <c r="G153" s="41" t="s">
        <v>12</v>
      </c>
      <c r="H153" s="43" t="s">
        <v>449</v>
      </c>
      <c r="I153" s="44">
        <v>165</v>
      </c>
      <c r="J153" s="44">
        <v>136.80000000000001</v>
      </c>
      <c r="K153" s="41"/>
      <c r="L153" s="45">
        <v>350000</v>
      </c>
      <c r="M153" s="44">
        <v>1</v>
      </c>
      <c r="N153" s="43" t="s">
        <v>383</v>
      </c>
    </row>
    <row r="154" spans="1:15" ht="15.75" customHeight="1">
      <c r="A154" s="41" t="s">
        <v>489</v>
      </c>
      <c r="B154" s="41" t="s">
        <v>490</v>
      </c>
      <c r="C154" s="41" t="s">
        <v>442</v>
      </c>
      <c r="D154" s="41" t="s">
        <v>448</v>
      </c>
      <c r="E154" s="41" t="s">
        <v>40</v>
      </c>
      <c r="F154" s="42">
        <v>3</v>
      </c>
      <c r="G154" s="41" t="s">
        <v>13</v>
      </c>
      <c r="H154" s="43" t="s">
        <v>449</v>
      </c>
      <c r="I154" s="44">
        <v>30</v>
      </c>
      <c r="J154" s="44">
        <v>136.80000000000001</v>
      </c>
      <c r="K154" s="41"/>
      <c r="L154" s="45">
        <v>350000</v>
      </c>
      <c r="M154" s="44">
        <v>1</v>
      </c>
      <c r="N154" s="43" t="s">
        <v>383</v>
      </c>
    </row>
    <row r="155" spans="1:15" ht="15.75" customHeight="1">
      <c r="A155" s="41" t="s">
        <v>489</v>
      </c>
      <c r="B155" s="41" t="s">
        <v>490</v>
      </c>
      <c r="C155" s="41" t="s">
        <v>431</v>
      </c>
      <c r="D155" s="41" t="s">
        <v>432</v>
      </c>
      <c r="E155" s="41" t="s">
        <v>433</v>
      </c>
      <c r="F155" s="42">
        <v>18</v>
      </c>
      <c r="G155" s="41" t="s">
        <v>439</v>
      </c>
      <c r="H155" s="43" t="s">
        <v>440</v>
      </c>
      <c r="I155" s="44">
        <v>60</v>
      </c>
      <c r="J155" s="41"/>
      <c r="K155" s="44">
        <v>450</v>
      </c>
      <c r="L155" s="41" t="s">
        <v>435</v>
      </c>
      <c r="M155" s="44">
        <v>1</v>
      </c>
      <c r="N155" s="43" t="s">
        <v>436</v>
      </c>
    </row>
    <row r="156" spans="1:15" ht="15.75" customHeight="1">
      <c r="A156" s="41" t="s">
        <v>489</v>
      </c>
      <c r="B156" s="41" t="s">
        <v>490</v>
      </c>
      <c r="C156" s="41" t="s">
        <v>431</v>
      </c>
      <c r="D156" s="41" t="s">
        <v>432</v>
      </c>
      <c r="E156" s="41" t="s">
        <v>433</v>
      </c>
      <c r="F156" s="42">
        <v>19</v>
      </c>
      <c r="G156" s="41" t="s">
        <v>368</v>
      </c>
      <c r="H156" s="43" t="s">
        <v>434</v>
      </c>
      <c r="I156" s="44">
        <v>60</v>
      </c>
      <c r="J156" s="41"/>
      <c r="K156" s="44">
        <v>430</v>
      </c>
      <c r="L156" s="41" t="s">
        <v>435</v>
      </c>
      <c r="M156" s="44">
        <v>4</v>
      </c>
      <c r="N156" s="43" t="s">
        <v>436</v>
      </c>
    </row>
    <row r="157" spans="1:15" ht="15.75" customHeight="1">
      <c r="A157" s="41" t="s">
        <v>491</v>
      </c>
      <c r="B157" s="41" t="s">
        <v>492</v>
      </c>
      <c r="C157" s="41" t="s">
        <v>442</v>
      </c>
      <c r="D157" s="41" t="s">
        <v>443</v>
      </c>
      <c r="E157" s="41" t="s">
        <v>33</v>
      </c>
      <c r="F157" s="42">
        <v>10</v>
      </c>
      <c r="G157" s="41" t="s">
        <v>11</v>
      </c>
      <c r="H157" s="43" t="s">
        <v>426</v>
      </c>
      <c r="I157" s="44">
        <v>100</v>
      </c>
      <c r="J157" s="44">
        <v>28</v>
      </c>
      <c r="K157" s="41"/>
      <c r="L157" s="45">
        <v>71500</v>
      </c>
      <c r="M157" s="44">
        <v>1</v>
      </c>
      <c r="N157" s="43" t="s">
        <v>383</v>
      </c>
    </row>
    <row r="158" spans="1:15" ht="15.75" customHeight="1">
      <c r="A158" s="41" t="s">
        <v>491</v>
      </c>
      <c r="B158" s="41" t="s">
        <v>492</v>
      </c>
      <c r="C158" s="41" t="s">
        <v>442</v>
      </c>
      <c r="D158" s="41" t="s">
        <v>443</v>
      </c>
      <c r="E158" s="41" t="s">
        <v>33</v>
      </c>
      <c r="F158" s="42">
        <v>11</v>
      </c>
      <c r="G158" s="41" t="s">
        <v>12</v>
      </c>
      <c r="H158" s="43" t="s">
        <v>444</v>
      </c>
      <c r="I158" s="44">
        <v>160</v>
      </c>
      <c r="J158" s="44">
        <v>28</v>
      </c>
      <c r="K158" s="41"/>
      <c r="L158" s="45">
        <v>71500</v>
      </c>
      <c r="M158" s="44">
        <v>1</v>
      </c>
      <c r="N158" s="43" t="s">
        <v>383</v>
      </c>
    </row>
    <row r="159" spans="1:15" ht="15.75" customHeight="1">
      <c r="A159" s="41" t="s">
        <v>491</v>
      </c>
      <c r="B159" s="41" t="s">
        <v>492</v>
      </c>
      <c r="C159" s="41" t="s">
        <v>442</v>
      </c>
      <c r="D159" s="41" t="s">
        <v>443</v>
      </c>
      <c r="E159" s="41" t="s">
        <v>33</v>
      </c>
      <c r="F159" s="42">
        <v>12</v>
      </c>
      <c r="G159" s="41" t="s">
        <v>13</v>
      </c>
      <c r="H159" s="43" t="s">
        <v>444</v>
      </c>
      <c r="I159" s="44">
        <v>15</v>
      </c>
      <c r="J159" s="44">
        <v>28</v>
      </c>
      <c r="K159" s="41"/>
      <c r="L159" s="45">
        <v>71500</v>
      </c>
      <c r="M159" s="44">
        <v>1</v>
      </c>
      <c r="N159" s="43" t="s">
        <v>383</v>
      </c>
    </row>
    <row r="160" spans="1:15" ht="15.75" customHeight="1">
      <c r="A160" s="41" t="s">
        <v>491</v>
      </c>
      <c r="B160" s="41" t="s">
        <v>492</v>
      </c>
      <c r="C160" s="41" t="s">
        <v>431</v>
      </c>
      <c r="D160" s="41" t="s">
        <v>432</v>
      </c>
      <c r="E160" s="41" t="s">
        <v>433</v>
      </c>
      <c r="F160" s="42">
        <v>18</v>
      </c>
      <c r="G160" s="41" t="s">
        <v>439</v>
      </c>
      <c r="H160" s="43" t="s">
        <v>440</v>
      </c>
      <c r="I160" s="44">
        <v>60</v>
      </c>
      <c r="J160" s="41"/>
      <c r="K160" s="44">
        <v>1100</v>
      </c>
      <c r="L160" s="41" t="s">
        <v>435</v>
      </c>
      <c r="M160" s="44">
        <v>1</v>
      </c>
      <c r="N160" s="43" t="s">
        <v>436</v>
      </c>
    </row>
    <row r="161" spans="1:14" ht="15.75" customHeight="1">
      <c r="A161" s="41" t="s">
        <v>491</v>
      </c>
      <c r="B161" s="41" t="s">
        <v>492</v>
      </c>
      <c r="C161" s="41" t="s">
        <v>431</v>
      </c>
      <c r="D161" s="41" t="s">
        <v>432</v>
      </c>
      <c r="E161" s="41" t="s">
        <v>433</v>
      </c>
      <c r="F161" s="42">
        <v>19</v>
      </c>
      <c r="G161" s="41" t="s">
        <v>368</v>
      </c>
      <c r="H161" s="43" t="s">
        <v>434</v>
      </c>
      <c r="I161" s="44">
        <v>60</v>
      </c>
      <c r="J161" s="41"/>
      <c r="K161" s="44">
        <v>850</v>
      </c>
      <c r="L161" s="41" t="s">
        <v>435</v>
      </c>
      <c r="M161" s="44">
        <v>3</v>
      </c>
      <c r="N161" s="43" t="s">
        <v>436</v>
      </c>
    </row>
    <row r="162" spans="1:14" ht="15.75" customHeight="1">
      <c r="A162" s="41" t="s">
        <v>493</v>
      </c>
      <c r="B162" s="41" t="s">
        <v>494</v>
      </c>
      <c r="C162" s="41" t="s">
        <v>442</v>
      </c>
      <c r="D162" s="41" t="s">
        <v>443</v>
      </c>
      <c r="E162" s="41" t="s">
        <v>33</v>
      </c>
      <c r="F162" s="42">
        <v>10</v>
      </c>
      <c r="G162" s="41" t="s">
        <v>11</v>
      </c>
      <c r="H162" s="43" t="s">
        <v>426</v>
      </c>
      <c r="I162" s="44">
        <v>100</v>
      </c>
      <c r="J162" s="44">
        <v>28</v>
      </c>
      <c r="K162" s="41"/>
      <c r="L162" s="45">
        <v>71500</v>
      </c>
      <c r="M162" s="44">
        <v>1</v>
      </c>
      <c r="N162" s="43" t="s">
        <v>383</v>
      </c>
    </row>
    <row r="163" spans="1:14" ht="15.75" customHeight="1">
      <c r="A163" s="41" t="s">
        <v>493</v>
      </c>
      <c r="B163" s="41" t="s">
        <v>494</v>
      </c>
      <c r="C163" s="41" t="s">
        <v>442</v>
      </c>
      <c r="D163" s="41" t="s">
        <v>443</v>
      </c>
      <c r="E163" s="41" t="s">
        <v>33</v>
      </c>
      <c r="F163" s="42">
        <v>11</v>
      </c>
      <c r="G163" s="41" t="s">
        <v>12</v>
      </c>
      <c r="H163" s="43" t="s">
        <v>444</v>
      </c>
      <c r="I163" s="44">
        <v>160</v>
      </c>
      <c r="J163" s="44">
        <v>28</v>
      </c>
      <c r="K163" s="41"/>
      <c r="L163" s="45">
        <v>71500</v>
      </c>
      <c r="M163" s="44">
        <v>1</v>
      </c>
      <c r="N163" s="43" t="s">
        <v>383</v>
      </c>
    </row>
    <row r="164" spans="1:14" ht="15.75" customHeight="1">
      <c r="A164" s="41" t="s">
        <v>493</v>
      </c>
      <c r="B164" s="41" t="s">
        <v>494</v>
      </c>
      <c r="C164" s="41" t="s">
        <v>442</v>
      </c>
      <c r="D164" s="41" t="s">
        <v>443</v>
      </c>
      <c r="E164" s="41" t="s">
        <v>33</v>
      </c>
      <c r="F164" s="42">
        <v>12</v>
      </c>
      <c r="G164" s="41" t="s">
        <v>13</v>
      </c>
      <c r="H164" s="43" t="s">
        <v>444</v>
      </c>
      <c r="I164" s="44">
        <v>15</v>
      </c>
      <c r="J164" s="44">
        <v>28</v>
      </c>
      <c r="K164" s="41"/>
      <c r="L164" s="45">
        <v>71500</v>
      </c>
      <c r="M164" s="44">
        <v>1</v>
      </c>
      <c r="N164" s="43" t="s">
        <v>383</v>
      </c>
    </row>
    <row r="165" spans="1:14" ht="15.75" customHeight="1">
      <c r="A165" s="41" t="s">
        <v>493</v>
      </c>
      <c r="B165" s="41" t="s">
        <v>494</v>
      </c>
      <c r="C165" s="41" t="s">
        <v>431</v>
      </c>
      <c r="D165" s="41" t="s">
        <v>432</v>
      </c>
      <c r="E165" s="41" t="s">
        <v>433</v>
      </c>
      <c r="F165" s="42">
        <v>18</v>
      </c>
      <c r="G165" s="41" t="s">
        <v>439</v>
      </c>
      <c r="H165" s="43" t="s">
        <v>440</v>
      </c>
      <c r="I165" s="44">
        <v>60</v>
      </c>
      <c r="J165" s="41"/>
      <c r="K165" s="44">
        <v>1100</v>
      </c>
      <c r="L165" s="41" t="s">
        <v>435</v>
      </c>
      <c r="M165" s="44">
        <v>1</v>
      </c>
      <c r="N165" s="43" t="s">
        <v>436</v>
      </c>
    </row>
    <row r="166" spans="1:14" ht="15.75" customHeight="1">
      <c r="A166" s="41" t="s">
        <v>493</v>
      </c>
      <c r="B166" s="41" t="s">
        <v>494</v>
      </c>
      <c r="C166" s="41" t="s">
        <v>431</v>
      </c>
      <c r="D166" s="41" t="s">
        <v>432</v>
      </c>
      <c r="E166" s="41" t="s">
        <v>433</v>
      </c>
      <c r="F166" s="42">
        <v>19</v>
      </c>
      <c r="G166" s="41" t="s">
        <v>368</v>
      </c>
      <c r="H166" s="43" t="s">
        <v>434</v>
      </c>
      <c r="I166" s="44">
        <v>60</v>
      </c>
      <c r="J166" s="41"/>
      <c r="K166" s="44">
        <v>850</v>
      </c>
      <c r="L166" s="41" t="s">
        <v>435</v>
      </c>
      <c r="M166" s="44">
        <v>3</v>
      </c>
      <c r="N166" s="43" t="s">
        <v>436</v>
      </c>
    </row>
    <row r="167" spans="1:14" ht="15.75" customHeight="1">
      <c r="A167" s="41" t="s">
        <v>495</v>
      </c>
      <c r="B167" s="41" t="s">
        <v>496</v>
      </c>
      <c r="C167" s="41" t="s">
        <v>442</v>
      </c>
      <c r="D167" s="41" t="s">
        <v>443</v>
      </c>
      <c r="E167" s="41" t="s">
        <v>33</v>
      </c>
      <c r="F167" s="42">
        <v>10</v>
      </c>
      <c r="G167" s="41" t="s">
        <v>11</v>
      </c>
      <c r="H167" s="43" t="s">
        <v>426</v>
      </c>
      <c r="I167" s="44">
        <v>25</v>
      </c>
      <c r="J167" s="44">
        <v>156</v>
      </c>
      <c r="K167" s="41"/>
      <c r="L167" s="45">
        <v>100000</v>
      </c>
      <c r="M167" s="44">
        <v>1</v>
      </c>
      <c r="N167" s="43" t="s">
        <v>383</v>
      </c>
    </row>
    <row r="168" spans="1:14" ht="15.75" customHeight="1">
      <c r="A168" s="41" t="s">
        <v>495</v>
      </c>
      <c r="B168" s="41" t="s">
        <v>496</v>
      </c>
      <c r="C168" s="41" t="s">
        <v>442</v>
      </c>
      <c r="D168" s="41" t="s">
        <v>443</v>
      </c>
      <c r="E168" s="41" t="s">
        <v>33</v>
      </c>
      <c r="F168" s="42">
        <v>11</v>
      </c>
      <c r="G168" s="41" t="s">
        <v>12</v>
      </c>
      <c r="H168" s="43" t="s">
        <v>444</v>
      </c>
      <c r="I168" s="44">
        <v>60</v>
      </c>
      <c r="J168" s="44">
        <v>156</v>
      </c>
      <c r="K168" s="41"/>
      <c r="L168" s="45">
        <v>100000</v>
      </c>
      <c r="M168" s="44">
        <v>1</v>
      </c>
      <c r="N168" s="43" t="s">
        <v>383</v>
      </c>
    </row>
    <row r="169" spans="1:14" ht="15.75" customHeight="1">
      <c r="A169" s="41" t="s">
        <v>495</v>
      </c>
      <c r="B169" s="41" t="s">
        <v>496</v>
      </c>
      <c r="C169" s="41" t="s">
        <v>442</v>
      </c>
      <c r="D169" s="41" t="s">
        <v>443</v>
      </c>
      <c r="E169" s="41" t="s">
        <v>33</v>
      </c>
      <c r="F169" s="42">
        <v>12</v>
      </c>
      <c r="G169" s="41" t="s">
        <v>13</v>
      </c>
      <c r="H169" s="43" t="s">
        <v>444</v>
      </c>
      <c r="I169" s="44">
        <v>25</v>
      </c>
      <c r="J169" s="44">
        <v>156</v>
      </c>
      <c r="K169" s="41"/>
      <c r="L169" s="45">
        <v>100000</v>
      </c>
      <c r="M169" s="44">
        <v>1</v>
      </c>
      <c r="N169" s="43" t="s">
        <v>383</v>
      </c>
    </row>
    <row r="170" spans="1:14" ht="15.75" customHeight="1">
      <c r="A170" s="41" t="s">
        <v>495</v>
      </c>
      <c r="B170" s="41" t="s">
        <v>496</v>
      </c>
      <c r="C170" s="41" t="s">
        <v>442</v>
      </c>
      <c r="D170" s="41" t="s">
        <v>448</v>
      </c>
      <c r="E170" s="41" t="s">
        <v>40</v>
      </c>
      <c r="F170" s="42">
        <v>1</v>
      </c>
      <c r="G170" s="41" t="s">
        <v>11</v>
      </c>
      <c r="H170" s="43" t="s">
        <v>426</v>
      </c>
      <c r="I170" s="44">
        <v>25</v>
      </c>
      <c r="J170" s="44">
        <v>156</v>
      </c>
      <c r="K170" s="41"/>
      <c r="L170" s="45">
        <v>400000</v>
      </c>
      <c r="M170" s="44">
        <v>1</v>
      </c>
      <c r="N170" s="43" t="s">
        <v>383</v>
      </c>
    </row>
    <row r="171" spans="1:14" ht="15.75" customHeight="1">
      <c r="A171" s="41" t="s">
        <v>495</v>
      </c>
      <c r="B171" s="41" t="s">
        <v>496</v>
      </c>
      <c r="C171" s="41" t="s">
        <v>442</v>
      </c>
      <c r="D171" s="41" t="s">
        <v>448</v>
      </c>
      <c r="E171" s="41" t="s">
        <v>40</v>
      </c>
      <c r="F171" s="42">
        <v>2</v>
      </c>
      <c r="G171" s="41" t="s">
        <v>12</v>
      </c>
      <c r="H171" s="43" t="s">
        <v>449</v>
      </c>
      <c r="I171" s="44">
        <v>80</v>
      </c>
      <c r="J171" s="44">
        <v>156</v>
      </c>
      <c r="K171" s="41"/>
      <c r="L171" s="45">
        <v>400000</v>
      </c>
      <c r="M171" s="44">
        <v>1</v>
      </c>
      <c r="N171" s="43" t="s">
        <v>383</v>
      </c>
    </row>
    <row r="172" spans="1:14" ht="15.75" customHeight="1">
      <c r="A172" s="41" t="s">
        <v>495</v>
      </c>
      <c r="B172" s="41" t="s">
        <v>496</v>
      </c>
      <c r="C172" s="41" t="s">
        <v>442</v>
      </c>
      <c r="D172" s="41" t="s">
        <v>448</v>
      </c>
      <c r="E172" s="41" t="s">
        <v>40</v>
      </c>
      <c r="F172" s="42">
        <v>3</v>
      </c>
      <c r="G172" s="41" t="s">
        <v>13</v>
      </c>
      <c r="H172" s="43" t="s">
        <v>449</v>
      </c>
      <c r="I172" s="44">
        <v>45</v>
      </c>
      <c r="J172" s="44">
        <v>156</v>
      </c>
      <c r="K172" s="41"/>
      <c r="L172" s="45">
        <v>400000</v>
      </c>
      <c r="M172" s="44">
        <v>1</v>
      </c>
      <c r="N172" s="43" t="s">
        <v>383</v>
      </c>
    </row>
    <row r="173" spans="1:14" ht="15.75" customHeight="1">
      <c r="A173" s="41" t="s">
        <v>495</v>
      </c>
      <c r="B173" s="41" t="s">
        <v>496</v>
      </c>
      <c r="C173" s="41" t="s">
        <v>431</v>
      </c>
      <c r="D173" s="41" t="s">
        <v>432</v>
      </c>
      <c r="E173" s="41" t="s">
        <v>433</v>
      </c>
      <c r="F173" s="42">
        <v>18</v>
      </c>
      <c r="G173" s="41" t="s">
        <v>439</v>
      </c>
      <c r="H173" s="43" t="s">
        <v>440</v>
      </c>
      <c r="I173" s="44">
        <v>60</v>
      </c>
      <c r="J173" s="41"/>
      <c r="K173" s="44">
        <v>700</v>
      </c>
      <c r="L173" s="41" t="s">
        <v>435</v>
      </c>
      <c r="M173" s="44">
        <v>1</v>
      </c>
      <c r="N173" s="43" t="s">
        <v>436</v>
      </c>
    </row>
    <row r="174" spans="1:14" ht="15.75" customHeight="1">
      <c r="A174" s="41" t="s">
        <v>495</v>
      </c>
      <c r="B174" s="41" t="s">
        <v>496</v>
      </c>
      <c r="C174" s="41" t="s">
        <v>431</v>
      </c>
      <c r="D174" s="41" t="s">
        <v>432</v>
      </c>
      <c r="E174" s="41" t="s">
        <v>433</v>
      </c>
      <c r="F174" s="42">
        <v>19</v>
      </c>
      <c r="G174" s="41" t="s">
        <v>368</v>
      </c>
      <c r="H174" s="43" t="s">
        <v>434</v>
      </c>
      <c r="I174" s="44">
        <v>60</v>
      </c>
      <c r="J174" s="41"/>
      <c r="K174" s="44">
        <v>660</v>
      </c>
      <c r="L174" s="41" t="s">
        <v>435</v>
      </c>
      <c r="M174" s="44">
        <v>4</v>
      </c>
      <c r="N174" s="43" t="s">
        <v>436</v>
      </c>
    </row>
    <row r="175" spans="1:14" ht="15.75" customHeight="1">
      <c r="A175" s="41" t="s">
        <v>497</v>
      </c>
      <c r="B175" s="41" t="s">
        <v>498</v>
      </c>
      <c r="C175" s="41" t="s">
        <v>499</v>
      </c>
      <c r="D175" s="41" t="s">
        <v>425</v>
      </c>
      <c r="E175" s="41" t="s">
        <v>48</v>
      </c>
      <c r="F175" s="42">
        <v>5</v>
      </c>
      <c r="G175" s="41" t="s">
        <v>12</v>
      </c>
      <c r="H175" s="43" t="s">
        <v>427</v>
      </c>
      <c r="I175" s="44">
        <v>120</v>
      </c>
      <c r="J175" s="44">
        <v>12</v>
      </c>
      <c r="K175" s="41"/>
      <c r="L175" s="45">
        <v>45000</v>
      </c>
      <c r="M175" s="44">
        <v>1</v>
      </c>
      <c r="N175" s="43" t="s">
        <v>383</v>
      </c>
    </row>
    <row r="176" spans="1:14" ht="15.75" customHeight="1">
      <c r="A176" s="41" t="s">
        <v>497</v>
      </c>
      <c r="B176" s="41" t="s">
        <v>498</v>
      </c>
      <c r="C176" s="41" t="s">
        <v>499</v>
      </c>
      <c r="D176" s="41" t="s">
        <v>425</v>
      </c>
      <c r="E176" s="41" t="s">
        <v>48</v>
      </c>
      <c r="F176" s="42">
        <v>6</v>
      </c>
      <c r="G176" s="41" t="s">
        <v>13</v>
      </c>
      <c r="H176" s="43" t="s">
        <v>427</v>
      </c>
      <c r="I176" s="44">
        <v>90</v>
      </c>
      <c r="J176" s="44">
        <v>12</v>
      </c>
      <c r="K176" s="41"/>
      <c r="L176" s="45">
        <v>45000</v>
      </c>
      <c r="M176" s="44">
        <v>1</v>
      </c>
      <c r="N176" s="43" t="s">
        <v>383</v>
      </c>
    </row>
    <row r="177" spans="1:14" ht="15.75" customHeight="1">
      <c r="A177" s="41" t="s">
        <v>497</v>
      </c>
      <c r="B177" s="41" t="s">
        <v>498</v>
      </c>
      <c r="C177" s="41" t="s">
        <v>431</v>
      </c>
      <c r="D177" s="41" t="s">
        <v>432</v>
      </c>
      <c r="E177" s="41" t="s">
        <v>433</v>
      </c>
      <c r="F177" s="42">
        <v>19</v>
      </c>
      <c r="G177" s="41" t="s">
        <v>368</v>
      </c>
      <c r="H177" s="43" t="s">
        <v>434</v>
      </c>
      <c r="I177" s="44">
        <v>60</v>
      </c>
      <c r="J177" s="41"/>
      <c r="K177" s="44">
        <v>960</v>
      </c>
      <c r="L177" s="41" t="s">
        <v>435</v>
      </c>
      <c r="M177" s="44">
        <v>4</v>
      </c>
      <c r="N177" s="43" t="s">
        <v>436</v>
      </c>
    </row>
    <row r="178" spans="1:14" ht="15.75" customHeight="1">
      <c r="A178" s="41" t="s">
        <v>500</v>
      </c>
      <c r="B178" s="41" t="s">
        <v>501</v>
      </c>
      <c r="C178" s="41" t="s">
        <v>442</v>
      </c>
      <c r="D178" s="41" t="s">
        <v>443</v>
      </c>
      <c r="E178" s="41" t="s">
        <v>33</v>
      </c>
      <c r="F178" s="42">
        <v>10</v>
      </c>
      <c r="G178" s="41" t="s">
        <v>11</v>
      </c>
      <c r="H178" s="43" t="s">
        <v>426</v>
      </c>
      <c r="I178" s="44">
        <v>95</v>
      </c>
      <c r="J178" s="44">
        <v>49.5</v>
      </c>
      <c r="K178" s="41"/>
      <c r="L178" s="45">
        <v>62000</v>
      </c>
      <c r="M178" s="44">
        <v>1</v>
      </c>
      <c r="N178" s="43" t="s">
        <v>383</v>
      </c>
    </row>
    <row r="179" spans="1:14" ht="15.75" customHeight="1">
      <c r="A179" s="41" t="s">
        <v>500</v>
      </c>
      <c r="B179" s="41" t="s">
        <v>501</v>
      </c>
      <c r="C179" s="41" t="s">
        <v>442</v>
      </c>
      <c r="D179" s="41" t="s">
        <v>443</v>
      </c>
      <c r="E179" s="41" t="s">
        <v>33</v>
      </c>
      <c r="F179" s="42">
        <v>11</v>
      </c>
      <c r="G179" s="41" t="s">
        <v>12</v>
      </c>
      <c r="H179" s="43" t="s">
        <v>444</v>
      </c>
      <c r="I179" s="44">
        <v>80</v>
      </c>
      <c r="J179" s="44">
        <v>49.5</v>
      </c>
      <c r="K179" s="41"/>
      <c r="L179" s="45">
        <v>62000</v>
      </c>
      <c r="M179" s="44">
        <v>1</v>
      </c>
      <c r="N179" s="43" t="s">
        <v>383</v>
      </c>
    </row>
    <row r="180" spans="1:14" ht="15.75" customHeight="1">
      <c r="A180" s="41" t="s">
        <v>500</v>
      </c>
      <c r="B180" s="41" t="s">
        <v>501</v>
      </c>
      <c r="C180" s="41" t="s">
        <v>442</v>
      </c>
      <c r="D180" s="41" t="s">
        <v>443</v>
      </c>
      <c r="E180" s="41" t="s">
        <v>33</v>
      </c>
      <c r="F180" s="42">
        <v>12</v>
      </c>
      <c r="G180" s="41" t="s">
        <v>13</v>
      </c>
      <c r="H180" s="43" t="s">
        <v>444</v>
      </c>
      <c r="I180" s="44">
        <v>30</v>
      </c>
      <c r="J180" s="44">
        <v>49.5</v>
      </c>
      <c r="K180" s="41"/>
      <c r="L180" s="45">
        <v>62000</v>
      </c>
      <c r="M180" s="44">
        <v>1</v>
      </c>
      <c r="N180" s="43" t="s">
        <v>383</v>
      </c>
    </row>
    <row r="181" spans="1:14" ht="15.75" customHeight="1">
      <c r="A181" s="41" t="s">
        <v>500</v>
      </c>
      <c r="B181" s="41" t="s">
        <v>501</v>
      </c>
      <c r="C181" s="41" t="s">
        <v>431</v>
      </c>
      <c r="D181" s="41" t="s">
        <v>432</v>
      </c>
      <c r="E181" s="41" t="s">
        <v>433</v>
      </c>
      <c r="F181" s="42">
        <v>18</v>
      </c>
      <c r="G181" s="41" t="s">
        <v>439</v>
      </c>
      <c r="H181" s="43" t="s">
        <v>440</v>
      </c>
      <c r="I181" s="44">
        <v>60</v>
      </c>
      <c r="J181" s="41"/>
      <c r="K181" s="44">
        <v>850</v>
      </c>
      <c r="L181" s="41" t="s">
        <v>435</v>
      </c>
      <c r="M181" s="44">
        <v>1</v>
      </c>
      <c r="N181" s="43" t="s">
        <v>436</v>
      </c>
    </row>
    <row r="182" spans="1:14" ht="15.75" customHeight="1">
      <c r="A182" s="41" t="s">
        <v>500</v>
      </c>
      <c r="B182" s="41" t="s">
        <v>501</v>
      </c>
      <c r="C182" s="41" t="s">
        <v>431</v>
      </c>
      <c r="D182" s="41" t="s">
        <v>432</v>
      </c>
      <c r="E182" s="41" t="s">
        <v>433</v>
      </c>
      <c r="F182" s="42">
        <v>19</v>
      </c>
      <c r="G182" s="41" t="s">
        <v>368</v>
      </c>
      <c r="H182" s="43" t="s">
        <v>434</v>
      </c>
      <c r="I182" s="44">
        <v>60</v>
      </c>
      <c r="J182" s="41"/>
      <c r="K182" s="44">
        <v>800</v>
      </c>
      <c r="L182" s="41" t="s">
        <v>435</v>
      </c>
      <c r="M182" s="44">
        <v>4</v>
      </c>
      <c r="N182" s="43" t="s">
        <v>436</v>
      </c>
    </row>
    <row r="183" spans="1:14" ht="15.75" customHeight="1">
      <c r="A183" s="41" t="s">
        <v>502</v>
      </c>
      <c r="B183" s="41" t="s">
        <v>503</v>
      </c>
      <c r="C183" s="41" t="s">
        <v>442</v>
      </c>
      <c r="D183" s="41" t="s">
        <v>443</v>
      </c>
      <c r="E183" s="41" t="s">
        <v>33</v>
      </c>
      <c r="F183" s="42">
        <v>10</v>
      </c>
      <c r="G183" s="41" t="s">
        <v>11</v>
      </c>
      <c r="H183" s="43" t="s">
        <v>426</v>
      </c>
      <c r="I183" s="44">
        <v>55</v>
      </c>
      <c r="J183" s="44">
        <v>5</v>
      </c>
      <c r="K183" s="41"/>
      <c r="L183" s="45">
        <v>100000</v>
      </c>
      <c r="M183" s="44">
        <v>1</v>
      </c>
      <c r="N183" s="43" t="s">
        <v>383</v>
      </c>
    </row>
    <row r="184" spans="1:14" ht="15.75" customHeight="1">
      <c r="A184" s="41" t="s">
        <v>502</v>
      </c>
      <c r="B184" s="41" t="s">
        <v>503</v>
      </c>
      <c r="C184" s="41" t="s">
        <v>442</v>
      </c>
      <c r="D184" s="41" t="s">
        <v>443</v>
      </c>
      <c r="E184" s="41" t="s">
        <v>33</v>
      </c>
      <c r="F184" s="42">
        <v>11</v>
      </c>
      <c r="G184" s="41" t="s">
        <v>12</v>
      </c>
      <c r="H184" s="43" t="s">
        <v>444</v>
      </c>
      <c r="I184" s="44">
        <v>65</v>
      </c>
      <c r="J184" s="44">
        <v>5</v>
      </c>
      <c r="K184" s="41"/>
      <c r="L184" s="45">
        <v>100000</v>
      </c>
      <c r="M184" s="44">
        <v>1</v>
      </c>
      <c r="N184" s="43" t="s">
        <v>383</v>
      </c>
    </row>
    <row r="185" spans="1:14" ht="15.75" customHeight="1">
      <c r="A185" s="41" t="s">
        <v>502</v>
      </c>
      <c r="B185" s="41" t="s">
        <v>503</v>
      </c>
      <c r="C185" s="41" t="s">
        <v>442</v>
      </c>
      <c r="D185" s="41" t="s">
        <v>443</v>
      </c>
      <c r="E185" s="41" t="s">
        <v>33</v>
      </c>
      <c r="F185" s="42">
        <v>12</v>
      </c>
      <c r="G185" s="41" t="s">
        <v>13</v>
      </c>
      <c r="H185" s="43" t="s">
        <v>444</v>
      </c>
      <c r="I185" s="44">
        <v>30</v>
      </c>
      <c r="J185" s="44">
        <v>5</v>
      </c>
      <c r="K185" s="41"/>
      <c r="L185" s="45">
        <v>100000</v>
      </c>
      <c r="M185" s="44">
        <v>1</v>
      </c>
      <c r="N185" s="43" t="s">
        <v>383</v>
      </c>
    </row>
    <row r="186" spans="1:14" ht="15.75" customHeight="1">
      <c r="A186" s="41" t="s">
        <v>502</v>
      </c>
      <c r="B186" s="41" t="s">
        <v>503</v>
      </c>
      <c r="C186" s="41" t="s">
        <v>431</v>
      </c>
      <c r="D186" s="41" t="s">
        <v>432</v>
      </c>
      <c r="E186" s="41" t="s">
        <v>433</v>
      </c>
      <c r="F186" s="42">
        <v>18</v>
      </c>
      <c r="G186" s="41" t="s">
        <v>439</v>
      </c>
      <c r="H186" s="43" t="s">
        <v>440</v>
      </c>
      <c r="I186" s="44">
        <v>60</v>
      </c>
      <c r="J186" s="41"/>
      <c r="K186" s="44">
        <v>1100</v>
      </c>
      <c r="L186" s="41" t="s">
        <v>435</v>
      </c>
      <c r="M186" s="44">
        <v>1</v>
      </c>
      <c r="N186" s="43" t="s">
        <v>436</v>
      </c>
    </row>
    <row r="187" spans="1:14" ht="15.75" customHeight="1">
      <c r="A187" s="41" t="s">
        <v>502</v>
      </c>
      <c r="B187" s="41" t="s">
        <v>503</v>
      </c>
      <c r="C187" s="41" t="s">
        <v>431</v>
      </c>
      <c r="D187" s="41" t="s">
        <v>432</v>
      </c>
      <c r="E187" s="41" t="s">
        <v>433</v>
      </c>
      <c r="F187" s="42">
        <v>19</v>
      </c>
      <c r="G187" s="41" t="s">
        <v>368</v>
      </c>
      <c r="H187" s="43" t="s">
        <v>434</v>
      </c>
      <c r="I187" s="44">
        <v>60</v>
      </c>
      <c r="J187" s="41"/>
      <c r="K187" s="44">
        <v>1200</v>
      </c>
      <c r="L187" s="41" t="s">
        <v>435</v>
      </c>
      <c r="M187" s="44">
        <v>4</v>
      </c>
      <c r="N187" s="43" t="s">
        <v>436</v>
      </c>
    </row>
    <row r="188" spans="1:14" ht="15.75" customHeight="1">
      <c r="A188" s="41" t="s">
        <v>504</v>
      </c>
      <c r="B188" s="41" t="s">
        <v>280</v>
      </c>
      <c r="C188" s="41" t="s">
        <v>442</v>
      </c>
      <c r="D188" s="41" t="s">
        <v>443</v>
      </c>
      <c r="E188" s="41" t="s">
        <v>33</v>
      </c>
      <c r="F188" s="42">
        <v>10</v>
      </c>
      <c r="G188" s="41" t="s">
        <v>11</v>
      </c>
      <c r="H188" s="43" t="s">
        <v>426</v>
      </c>
      <c r="I188" s="44">
        <v>50</v>
      </c>
      <c r="J188" s="44">
        <v>50</v>
      </c>
      <c r="K188" s="41"/>
      <c r="L188" s="45">
        <v>63500</v>
      </c>
      <c r="M188" s="44">
        <v>1</v>
      </c>
      <c r="N188" s="43" t="s">
        <v>383</v>
      </c>
    </row>
    <row r="189" spans="1:14" ht="15.75" customHeight="1">
      <c r="A189" s="41" t="s">
        <v>504</v>
      </c>
      <c r="B189" s="41" t="s">
        <v>280</v>
      </c>
      <c r="C189" s="41" t="s">
        <v>442</v>
      </c>
      <c r="D189" s="41" t="s">
        <v>443</v>
      </c>
      <c r="E189" s="41" t="s">
        <v>33</v>
      </c>
      <c r="F189" s="42">
        <v>11</v>
      </c>
      <c r="G189" s="41" t="s">
        <v>12</v>
      </c>
      <c r="H189" s="43" t="s">
        <v>444</v>
      </c>
      <c r="I189" s="44">
        <v>95</v>
      </c>
      <c r="J189" s="44">
        <v>50</v>
      </c>
      <c r="K189" s="41"/>
      <c r="L189" s="45">
        <v>63500</v>
      </c>
      <c r="M189" s="44">
        <v>1</v>
      </c>
      <c r="N189" s="43" t="s">
        <v>383</v>
      </c>
    </row>
    <row r="190" spans="1:14" ht="15.75" customHeight="1">
      <c r="A190" s="41" t="s">
        <v>504</v>
      </c>
      <c r="B190" s="41" t="s">
        <v>280</v>
      </c>
      <c r="C190" s="41" t="s">
        <v>442</v>
      </c>
      <c r="D190" s="41" t="s">
        <v>443</v>
      </c>
      <c r="E190" s="41" t="s">
        <v>33</v>
      </c>
      <c r="F190" s="42">
        <v>12</v>
      </c>
      <c r="G190" s="41" t="s">
        <v>13</v>
      </c>
      <c r="H190" s="43" t="s">
        <v>444</v>
      </c>
      <c r="I190" s="44">
        <v>20</v>
      </c>
      <c r="J190" s="44">
        <v>50</v>
      </c>
      <c r="K190" s="41"/>
      <c r="L190" s="45">
        <v>63500</v>
      </c>
      <c r="M190" s="44">
        <v>1</v>
      </c>
      <c r="N190" s="43" t="s">
        <v>383</v>
      </c>
    </row>
    <row r="191" spans="1:14" ht="15.75" customHeight="1">
      <c r="A191" s="41" t="s">
        <v>505</v>
      </c>
      <c r="B191" s="41" t="s">
        <v>506</v>
      </c>
      <c r="C191" s="41" t="s">
        <v>442</v>
      </c>
      <c r="D191" s="41" t="s">
        <v>448</v>
      </c>
      <c r="E191" s="41" t="s">
        <v>40</v>
      </c>
      <c r="F191" s="42">
        <v>1</v>
      </c>
      <c r="G191" s="41" t="s">
        <v>11</v>
      </c>
      <c r="H191" s="43" t="s">
        <v>426</v>
      </c>
      <c r="I191" s="44">
        <v>50</v>
      </c>
      <c r="J191" s="44">
        <v>50</v>
      </c>
      <c r="K191" s="41"/>
      <c r="L191" s="45">
        <v>367000</v>
      </c>
      <c r="M191" s="44">
        <v>1</v>
      </c>
      <c r="N191" s="43" t="s">
        <v>383</v>
      </c>
    </row>
    <row r="192" spans="1:14" ht="15.75" customHeight="1">
      <c r="A192" s="41" t="s">
        <v>505</v>
      </c>
      <c r="B192" s="41" t="s">
        <v>506</v>
      </c>
      <c r="C192" s="41" t="s">
        <v>442</v>
      </c>
      <c r="D192" s="41" t="s">
        <v>448</v>
      </c>
      <c r="E192" s="41" t="s">
        <v>40</v>
      </c>
      <c r="F192" s="42">
        <v>2</v>
      </c>
      <c r="G192" s="41" t="s">
        <v>12</v>
      </c>
      <c r="H192" s="43" t="s">
        <v>449</v>
      </c>
      <c r="I192" s="44">
        <v>90</v>
      </c>
      <c r="J192" s="44">
        <v>50</v>
      </c>
      <c r="K192" s="41"/>
      <c r="L192" s="45">
        <v>367000</v>
      </c>
      <c r="M192" s="44">
        <v>1</v>
      </c>
      <c r="N192" s="43" t="s">
        <v>383</v>
      </c>
    </row>
    <row r="193" spans="1:26" ht="15.75" customHeight="1">
      <c r="A193" s="41" t="s">
        <v>505</v>
      </c>
      <c r="B193" s="41" t="s">
        <v>506</v>
      </c>
      <c r="C193" s="41" t="s">
        <v>442</v>
      </c>
      <c r="D193" s="41" t="s">
        <v>448</v>
      </c>
      <c r="E193" s="41" t="s">
        <v>40</v>
      </c>
      <c r="F193" s="42">
        <v>3</v>
      </c>
      <c r="G193" s="41" t="s">
        <v>13</v>
      </c>
      <c r="H193" s="43" t="s">
        <v>449</v>
      </c>
      <c r="I193" s="44">
        <v>30</v>
      </c>
      <c r="J193" s="44">
        <v>50</v>
      </c>
      <c r="K193" s="41"/>
      <c r="L193" s="45">
        <v>367000</v>
      </c>
      <c r="M193" s="44">
        <v>1</v>
      </c>
      <c r="N193" s="43" t="s">
        <v>383</v>
      </c>
    </row>
    <row r="194" spans="1:26" ht="15.75" customHeight="1">
      <c r="A194" s="41" t="s">
        <v>505</v>
      </c>
      <c r="B194" s="41" t="s">
        <v>506</v>
      </c>
      <c r="C194" s="41" t="s">
        <v>442</v>
      </c>
      <c r="D194" s="41" t="s">
        <v>443</v>
      </c>
      <c r="E194" s="41" t="s">
        <v>33</v>
      </c>
      <c r="F194" s="42">
        <v>10</v>
      </c>
      <c r="G194" s="41" t="s">
        <v>11</v>
      </c>
      <c r="H194" s="43" t="s">
        <v>426</v>
      </c>
      <c r="I194" s="44">
        <v>50</v>
      </c>
      <c r="J194" s="44">
        <v>50</v>
      </c>
      <c r="K194" s="41"/>
      <c r="L194" s="45">
        <v>63500</v>
      </c>
      <c r="M194" s="44">
        <v>1</v>
      </c>
      <c r="N194" s="43" t="s">
        <v>383</v>
      </c>
    </row>
    <row r="195" spans="1:26" ht="15.75" customHeight="1">
      <c r="A195" s="41" t="s">
        <v>505</v>
      </c>
      <c r="B195" s="41" t="s">
        <v>506</v>
      </c>
      <c r="C195" s="41" t="s">
        <v>442</v>
      </c>
      <c r="D195" s="41" t="s">
        <v>443</v>
      </c>
      <c r="E195" s="41" t="s">
        <v>33</v>
      </c>
      <c r="F195" s="42">
        <v>11</v>
      </c>
      <c r="G195" s="41" t="s">
        <v>12</v>
      </c>
      <c r="H195" s="43" t="s">
        <v>444</v>
      </c>
      <c r="I195" s="44">
        <v>95</v>
      </c>
      <c r="J195" s="44">
        <v>50</v>
      </c>
      <c r="K195" s="41"/>
      <c r="L195" s="45">
        <v>63500</v>
      </c>
      <c r="M195" s="44">
        <v>1</v>
      </c>
      <c r="N195" s="43" t="s">
        <v>383</v>
      </c>
    </row>
    <row r="196" spans="1:26" ht="15.75" customHeight="1">
      <c r="A196" s="41" t="s">
        <v>505</v>
      </c>
      <c r="B196" s="41" t="s">
        <v>506</v>
      </c>
      <c r="C196" s="41" t="s">
        <v>442</v>
      </c>
      <c r="D196" s="41" t="s">
        <v>443</v>
      </c>
      <c r="E196" s="41" t="s">
        <v>33</v>
      </c>
      <c r="F196" s="42">
        <v>12</v>
      </c>
      <c r="G196" s="41" t="s">
        <v>13</v>
      </c>
      <c r="H196" s="43" t="s">
        <v>444</v>
      </c>
      <c r="I196" s="44">
        <v>20</v>
      </c>
      <c r="J196" s="44">
        <v>50</v>
      </c>
      <c r="K196" s="41"/>
      <c r="L196" s="45">
        <v>63500</v>
      </c>
      <c r="M196" s="44">
        <v>1</v>
      </c>
      <c r="N196" s="43" t="s">
        <v>383</v>
      </c>
    </row>
    <row r="197" spans="1:26" ht="15.75" customHeight="1">
      <c r="A197" s="41" t="s">
        <v>504</v>
      </c>
      <c r="B197" s="41" t="s">
        <v>280</v>
      </c>
      <c r="C197" s="41" t="s">
        <v>431</v>
      </c>
      <c r="D197" s="41" t="s">
        <v>432</v>
      </c>
      <c r="E197" s="41" t="s">
        <v>433</v>
      </c>
      <c r="F197" s="42">
        <v>18</v>
      </c>
      <c r="G197" s="41" t="s">
        <v>439</v>
      </c>
      <c r="H197" s="43" t="s">
        <v>440</v>
      </c>
      <c r="I197" s="44">
        <v>60</v>
      </c>
      <c r="J197" s="41"/>
      <c r="K197" s="44">
        <v>1200</v>
      </c>
      <c r="L197" s="41" t="s">
        <v>435</v>
      </c>
      <c r="M197" s="44">
        <v>1</v>
      </c>
      <c r="N197" s="43" t="s">
        <v>436</v>
      </c>
    </row>
    <row r="198" spans="1:26" ht="15.75" customHeight="1">
      <c r="A198" s="41" t="s">
        <v>504</v>
      </c>
      <c r="B198" s="41" t="s">
        <v>280</v>
      </c>
      <c r="C198" s="41" t="s">
        <v>431</v>
      </c>
      <c r="D198" s="41" t="s">
        <v>432</v>
      </c>
      <c r="E198" s="41" t="s">
        <v>433</v>
      </c>
      <c r="F198" s="42">
        <v>19</v>
      </c>
      <c r="G198" s="41" t="s">
        <v>368</v>
      </c>
      <c r="H198" s="43" t="s">
        <v>434</v>
      </c>
      <c r="I198" s="44">
        <v>60</v>
      </c>
      <c r="J198" s="41"/>
      <c r="K198" s="44">
        <v>1100</v>
      </c>
      <c r="L198" s="41" t="s">
        <v>435</v>
      </c>
      <c r="M198" s="44">
        <v>4</v>
      </c>
      <c r="N198" s="43" t="s">
        <v>436</v>
      </c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>
      <c r="A199" s="41" t="s">
        <v>505</v>
      </c>
      <c r="B199" s="41" t="s">
        <v>506</v>
      </c>
      <c r="C199" s="41" t="s">
        <v>431</v>
      </c>
      <c r="D199" s="41" t="s">
        <v>432</v>
      </c>
      <c r="E199" s="41" t="s">
        <v>433</v>
      </c>
      <c r="F199" s="42">
        <v>18</v>
      </c>
      <c r="G199" s="41" t="s">
        <v>439</v>
      </c>
      <c r="H199" s="43" t="s">
        <v>440</v>
      </c>
      <c r="I199" s="44">
        <v>60</v>
      </c>
      <c r="J199" s="41"/>
      <c r="K199" s="44">
        <v>1200</v>
      </c>
      <c r="L199" s="41" t="s">
        <v>435</v>
      </c>
      <c r="M199" s="44">
        <v>1</v>
      </c>
      <c r="N199" s="43" t="s">
        <v>436</v>
      </c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>
      <c r="A200" s="41" t="s">
        <v>505</v>
      </c>
      <c r="B200" s="41" t="s">
        <v>506</v>
      </c>
      <c r="C200" s="41" t="s">
        <v>431</v>
      </c>
      <c r="D200" s="41" t="s">
        <v>432</v>
      </c>
      <c r="E200" s="41" t="s">
        <v>433</v>
      </c>
      <c r="F200" s="42">
        <v>19</v>
      </c>
      <c r="G200" s="41" t="s">
        <v>368</v>
      </c>
      <c r="H200" s="43" t="s">
        <v>434</v>
      </c>
      <c r="I200" s="44">
        <v>60</v>
      </c>
      <c r="J200" s="41"/>
      <c r="K200" s="44">
        <v>900</v>
      </c>
      <c r="L200" s="41" t="s">
        <v>435</v>
      </c>
      <c r="M200" s="44">
        <v>4</v>
      </c>
      <c r="N200" s="43" t="s">
        <v>436</v>
      </c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>
      <c r="A201" s="41" t="s">
        <v>507</v>
      </c>
      <c r="B201" s="41" t="s">
        <v>51</v>
      </c>
      <c r="C201" s="41" t="s">
        <v>442</v>
      </c>
      <c r="D201" s="41" t="s">
        <v>448</v>
      </c>
      <c r="E201" s="41" t="s">
        <v>40</v>
      </c>
      <c r="F201" s="42">
        <v>1</v>
      </c>
      <c r="G201" s="41" t="s">
        <v>11</v>
      </c>
      <c r="H201" s="43" t="s">
        <v>426</v>
      </c>
      <c r="I201" s="44">
        <v>50</v>
      </c>
      <c r="J201" s="44">
        <v>90</v>
      </c>
      <c r="K201" s="41"/>
      <c r="L201" s="45">
        <v>367000</v>
      </c>
      <c r="M201" s="44">
        <v>1</v>
      </c>
      <c r="N201" s="43" t="s">
        <v>383</v>
      </c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>
      <c r="A202" s="41" t="s">
        <v>507</v>
      </c>
      <c r="B202" s="41" t="s">
        <v>51</v>
      </c>
      <c r="C202" s="41" t="s">
        <v>442</v>
      </c>
      <c r="D202" s="41" t="s">
        <v>448</v>
      </c>
      <c r="E202" s="41" t="s">
        <v>40</v>
      </c>
      <c r="F202" s="42">
        <v>2</v>
      </c>
      <c r="G202" s="41" t="s">
        <v>12</v>
      </c>
      <c r="H202" s="43" t="s">
        <v>449</v>
      </c>
      <c r="I202" s="44">
        <v>90</v>
      </c>
      <c r="J202" s="44">
        <v>90</v>
      </c>
      <c r="K202" s="41"/>
      <c r="L202" s="45">
        <v>367000</v>
      </c>
      <c r="M202" s="44">
        <v>1</v>
      </c>
      <c r="N202" s="43" t="s">
        <v>383</v>
      </c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>
      <c r="A203" s="41" t="s">
        <v>507</v>
      </c>
      <c r="B203" s="41" t="s">
        <v>51</v>
      </c>
      <c r="C203" s="41" t="s">
        <v>442</v>
      </c>
      <c r="D203" s="41" t="s">
        <v>448</v>
      </c>
      <c r="E203" s="41" t="s">
        <v>40</v>
      </c>
      <c r="F203" s="42">
        <v>3</v>
      </c>
      <c r="G203" s="41" t="s">
        <v>13</v>
      </c>
      <c r="H203" s="43" t="s">
        <v>449</v>
      </c>
      <c r="I203" s="44">
        <v>30</v>
      </c>
      <c r="J203" s="44">
        <v>90</v>
      </c>
      <c r="K203" s="41"/>
      <c r="L203" s="45">
        <v>367000</v>
      </c>
      <c r="M203" s="44">
        <v>1</v>
      </c>
      <c r="N203" s="43" t="s">
        <v>383</v>
      </c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>
      <c r="A204" s="41" t="s">
        <v>507</v>
      </c>
      <c r="B204" s="41" t="s">
        <v>51</v>
      </c>
      <c r="C204" s="41" t="s">
        <v>431</v>
      </c>
      <c r="D204" s="41" t="s">
        <v>432</v>
      </c>
      <c r="E204" s="41" t="s">
        <v>433</v>
      </c>
      <c r="F204" s="42">
        <v>18</v>
      </c>
      <c r="G204" s="41" t="s">
        <v>439</v>
      </c>
      <c r="H204" s="43" t="s">
        <v>440</v>
      </c>
      <c r="I204" s="44">
        <v>60</v>
      </c>
      <c r="J204" s="41"/>
      <c r="K204" s="44">
        <v>1300</v>
      </c>
      <c r="L204" s="41" t="s">
        <v>435</v>
      </c>
      <c r="M204" s="44">
        <v>1</v>
      </c>
      <c r="N204" s="43" t="s">
        <v>436</v>
      </c>
    </row>
    <row r="205" spans="1:26" ht="15.75" customHeight="1">
      <c r="A205" s="41" t="s">
        <v>507</v>
      </c>
      <c r="B205" s="41" t="s">
        <v>51</v>
      </c>
      <c r="C205" s="41" t="s">
        <v>431</v>
      </c>
      <c r="D205" s="41" t="s">
        <v>432</v>
      </c>
      <c r="E205" s="41" t="s">
        <v>433</v>
      </c>
      <c r="F205" s="42">
        <v>19</v>
      </c>
      <c r="G205" s="41" t="s">
        <v>368</v>
      </c>
      <c r="H205" s="43" t="s">
        <v>434</v>
      </c>
      <c r="I205" s="44">
        <v>60</v>
      </c>
      <c r="J205" s="41"/>
      <c r="K205" s="44">
        <v>900</v>
      </c>
      <c r="L205" s="41" t="s">
        <v>435</v>
      </c>
      <c r="M205" s="44">
        <v>4</v>
      </c>
      <c r="N205" s="43" t="s">
        <v>436</v>
      </c>
    </row>
    <row r="206" spans="1:26" ht="15.75" customHeight="1">
      <c r="A206" s="41" t="s">
        <v>508</v>
      </c>
      <c r="B206" s="41" t="s">
        <v>44</v>
      </c>
      <c r="C206" s="41" t="s">
        <v>424</v>
      </c>
      <c r="D206" s="41" t="s">
        <v>443</v>
      </c>
      <c r="E206" s="41" t="s">
        <v>33</v>
      </c>
      <c r="F206" s="42">
        <v>10</v>
      </c>
      <c r="G206" s="41" t="s">
        <v>11</v>
      </c>
      <c r="H206" s="43" t="s">
        <v>426</v>
      </c>
      <c r="I206" s="44">
        <v>35</v>
      </c>
      <c r="J206" s="44">
        <v>50</v>
      </c>
      <c r="K206" s="41"/>
      <c r="L206" s="45">
        <v>70000</v>
      </c>
      <c r="M206" s="44">
        <v>1</v>
      </c>
      <c r="N206" s="43" t="s">
        <v>383</v>
      </c>
    </row>
    <row r="207" spans="1:26" ht="15.75" customHeight="1">
      <c r="A207" s="41" t="s">
        <v>508</v>
      </c>
      <c r="B207" s="41" t="s">
        <v>44</v>
      </c>
      <c r="C207" s="41" t="s">
        <v>424</v>
      </c>
      <c r="D207" s="41" t="s">
        <v>443</v>
      </c>
      <c r="E207" s="41" t="s">
        <v>33</v>
      </c>
      <c r="F207" s="42">
        <v>11</v>
      </c>
      <c r="G207" s="41" t="s">
        <v>12</v>
      </c>
      <c r="H207" s="43" t="s">
        <v>444</v>
      </c>
      <c r="I207" s="44">
        <v>125</v>
      </c>
      <c r="J207" s="44">
        <v>50</v>
      </c>
      <c r="K207" s="41"/>
      <c r="L207" s="45">
        <v>70000</v>
      </c>
      <c r="M207" s="44">
        <v>1</v>
      </c>
      <c r="N207" s="43" t="s">
        <v>383</v>
      </c>
    </row>
    <row r="208" spans="1:26" ht="15.75" customHeight="1">
      <c r="A208" s="41" t="s">
        <v>508</v>
      </c>
      <c r="B208" s="41" t="s">
        <v>44</v>
      </c>
      <c r="C208" s="41" t="s">
        <v>424</v>
      </c>
      <c r="D208" s="41" t="s">
        <v>443</v>
      </c>
      <c r="E208" s="41" t="s">
        <v>33</v>
      </c>
      <c r="F208" s="42">
        <v>12</v>
      </c>
      <c r="G208" s="41" t="s">
        <v>13</v>
      </c>
      <c r="H208" s="43" t="s">
        <v>444</v>
      </c>
      <c r="I208" s="44">
        <v>15</v>
      </c>
      <c r="J208" s="44">
        <v>50</v>
      </c>
      <c r="K208" s="41"/>
      <c r="L208" s="45">
        <v>70000</v>
      </c>
      <c r="M208" s="44">
        <v>1</v>
      </c>
      <c r="N208" s="43" t="s">
        <v>383</v>
      </c>
    </row>
    <row r="209" spans="1:14" ht="15.75" customHeight="1">
      <c r="A209" s="41" t="s">
        <v>509</v>
      </c>
      <c r="B209" s="41" t="s">
        <v>44</v>
      </c>
      <c r="C209" s="41" t="s">
        <v>424</v>
      </c>
      <c r="D209" s="41" t="s">
        <v>443</v>
      </c>
      <c r="E209" s="41" t="s">
        <v>33</v>
      </c>
      <c r="F209" s="42">
        <v>10</v>
      </c>
      <c r="G209" s="41" t="s">
        <v>11</v>
      </c>
      <c r="H209" s="43" t="s">
        <v>426</v>
      </c>
      <c r="I209" s="44">
        <v>35</v>
      </c>
      <c r="J209" s="44">
        <v>30</v>
      </c>
      <c r="K209" s="41"/>
      <c r="L209" s="45">
        <v>70000</v>
      </c>
      <c r="M209" s="44">
        <v>1</v>
      </c>
      <c r="N209" s="43" t="s">
        <v>383</v>
      </c>
    </row>
    <row r="210" spans="1:14" ht="15.75" customHeight="1">
      <c r="A210" s="41" t="s">
        <v>509</v>
      </c>
      <c r="B210" s="41" t="s">
        <v>44</v>
      </c>
      <c r="C210" s="41" t="s">
        <v>424</v>
      </c>
      <c r="D210" s="41" t="s">
        <v>443</v>
      </c>
      <c r="E210" s="41" t="s">
        <v>33</v>
      </c>
      <c r="F210" s="42">
        <v>11</v>
      </c>
      <c r="G210" s="41" t="s">
        <v>12</v>
      </c>
      <c r="H210" s="43" t="s">
        <v>444</v>
      </c>
      <c r="I210" s="44">
        <v>125</v>
      </c>
      <c r="J210" s="44">
        <v>30</v>
      </c>
      <c r="K210" s="41"/>
      <c r="L210" s="45">
        <v>70000</v>
      </c>
      <c r="M210" s="44">
        <v>1</v>
      </c>
      <c r="N210" s="43" t="s">
        <v>383</v>
      </c>
    </row>
    <row r="211" spans="1:14" ht="15.75" customHeight="1">
      <c r="A211" s="41" t="s">
        <v>509</v>
      </c>
      <c r="B211" s="41" t="s">
        <v>44</v>
      </c>
      <c r="C211" s="41" t="s">
        <v>424</v>
      </c>
      <c r="D211" s="41" t="s">
        <v>443</v>
      </c>
      <c r="E211" s="41" t="s">
        <v>33</v>
      </c>
      <c r="F211" s="42">
        <v>12</v>
      </c>
      <c r="G211" s="41" t="s">
        <v>13</v>
      </c>
      <c r="H211" s="43" t="s">
        <v>444</v>
      </c>
      <c r="I211" s="44">
        <v>15</v>
      </c>
      <c r="J211" s="44">
        <v>30</v>
      </c>
      <c r="K211" s="41"/>
      <c r="L211" s="45">
        <v>70000</v>
      </c>
      <c r="M211" s="44">
        <v>1</v>
      </c>
      <c r="N211" s="43" t="s">
        <v>383</v>
      </c>
    </row>
    <row r="212" spans="1:14" ht="15.75" customHeight="1">
      <c r="A212" s="41" t="s">
        <v>508</v>
      </c>
      <c r="B212" s="41" t="s">
        <v>44</v>
      </c>
      <c r="C212" s="41" t="s">
        <v>431</v>
      </c>
      <c r="D212" s="41" t="s">
        <v>432</v>
      </c>
      <c r="E212" s="41" t="s">
        <v>433</v>
      </c>
      <c r="F212" s="42">
        <v>19</v>
      </c>
      <c r="G212" s="41" t="s">
        <v>368</v>
      </c>
      <c r="H212" s="43" t="s">
        <v>434</v>
      </c>
      <c r="I212" s="44">
        <v>60</v>
      </c>
      <c r="J212" s="41"/>
      <c r="K212" s="44">
        <v>800</v>
      </c>
      <c r="L212" s="41" t="s">
        <v>435</v>
      </c>
      <c r="M212" s="44">
        <v>4</v>
      </c>
      <c r="N212" s="43" t="s">
        <v>436</v>
      </c>
    </row>
    <row r="213" spans="1:14" ht="15.75" customHeight="1">
      <c r="A213" s="41" t="s">
        <v>509</v>
      </c>
      <c r="B213" s="41" t="s">
        <v>44</v>
      </c>
      <c r="C213" s="41" t="s">
        <v>431</v>
      </c>
      <c r="D213" s="41" t="s">
        <v>432</v>
      </c>
      <c r="E213" s="41" t="s">
        <v>433</v>
      </c>
      <c r="F213" s="42">
        <v>19</v>
      </c>
      <c r="G213" s="41" t="s">
        <v>368</v>
      </c>
      <c r="H213" s="43" t="s">
        <v>434</v>
      </c>
      <c r="I213" s="44">
        <v>60</v>
      </c>
      <c r="J213" s="41"/>
      <c r="K213" s="44">
        <v>750</v>
      </c>
      <c r="L213" s="41" t="s">
        <v>435</v>
      </c>
      <c r="M213" s="44">
        <v>4</v>
      </c>
      <c r="N213" s="43" t="s">
        <v>436</v>
      </c>
    </row>
    <row r="214" spans="1:14" ht="15.75" customHeight="1">
      <c r="A214" s="41" t="s">
        <v>510</v>
      </c>
      <c r="B214" s="41" t="s">
        <v>511</v>
      </c>
      <c r="C214" s="41" t="s">
        <v>424</v>
      </c>
      <c r="D214" s="41" t="s">
        <v>443</v>
      </c>
      <c r="E214" s="41" t="s">
        <v>33</v>
      </c>
      <c r="F214" s="42">
        <v>10</v>
      </c>
      <c r="G214" s="41" t="s">
        <v>11</v>
      </c>
      <c r="H214" s="43" t="s">
        <v>426</v>
      </c>
      <c r="I214" s="44">
        <v>35</v>
      </c>
      <c r="J214" s="44">
        <v>50</v>
      </c>
      <c r="K214" s="41"/>
      <c r="L214" s="45">
        <v>70000</v>
      </c>
      <c r="M214" s="44">
        <v>1</v>
      </c>
      <c r="N214" s="43" t="s">
        <v>383</v>
      </c>
    </row>
    <row r="215" spans="1:14" ht="15.75" customHeight="1">
      <c r="A215" s="41" t="s">
        <v>510</v>
      </c>
      <c r="B215" s="41" t="s">
        <v>511</v>
      </c>
      <c r="C215" s="41" t="s">
        <v>424</v>
      </c>
      <c r="D215" s="41" t="s">
        <v>443</v>
      </c>
      <c r="E215" s="41" t="s">
        <v>33</v>
      </c>
      <c r="F215" s="42">
        <v>11</v>
      </c>
      <c r="G215" s="41" t="s">
        <v>12</v>
      </c>
      <c r="H215" s="43" t="s">
        <v>444</v>
      </c>
      <c r="I215" s="44">
        <v>125</v>
      </c>
      <c r="J215" s="44">
        <v>50</v>
      </c>
      <c r="K215" s="41"/>
      <c r="L215" s="45">
        <v>70000</v>
      </c>
      <c r="M215" s="44">
        <v>1</v>
      </c>
      <c r="N215" s="43" t="s">
        <v>383</v>
      </c>
    </row>
    <row r="216" spans="1:14" ht="15.75" customHeight="1">
      <c r="A216" s="41" t="s">
        <v>510</v>
      </c>
      <c r="B216" s="41" t="s">
        <v>511</v>
      </c>
      <c r="C216" s="41" t="s">
        <v>424</v>
      </c>
      <c r="D216" s="41" t="s">
        <v>443</v>
      </c>
      <c r="E216" s="41" t="s">
        <v>33</v>
      </c>
      <c r="F216" s="42">
        <v>12</v>
      </c>
      <c r="G216" s="41" t="s">
        <v>13</v>
      </c>
      <c r="H216" s="43" t="s">
        <v>444</v>
      </c>
      <c r="I216" s="44">
        <v>15</v>
      </c>
      <c r="J216" s="44">
        <v>50</v>
      </c>
      <c r="K216" s="41"/>
      <c r="L216" s="45">
        <v>70000</v>
      </c>
      <c r="M216" s="44">
        <v>1</v>
      </c>
      <c r="N216" s="43" t="s">
        <v>383</v>
      </c>
    </row>
    <row r="217" spans="1:14" ht="15.75" customHeight="1">
      <c r="A217" s="41" t="s">
        <v>510</v>
      </c>
      <c r="B217" s="41" t="s">
        <v>511</v>
      </c>
      <c r="C217" s="41" t="s">
        <v>431</v>
      </c>
      <c r="D217" s="41" t="s">
        <v>432</v>
      </c>
      <c r="E217" s="41" t="s">
        <v>433</v>
      </c>
      <c r="F217" s="42">
        <v>19</v>
      </c>
      <c r="G217" s="41" t="s">
        <v>368</v>
      </c>
      <c r="H217" s="43" t="s">
        <v>434</v>
      </c>
      <c r="I217" s="44">
        <v>60</v>
      </c>
      <c r="J217" s="41"/>
      <c r="K217" s="44">
        <v>800</v>
      </c>
      <c r="L217" s="41" t="s">
        <v>435</v>
      </c>
      <c r="M217" s="44">
        <v>4</v>
      </c>
      <c r="N217" s="43" t="s">
        <v>436</v>
      </c>
    </row>
    <row r="218" spans="1:14" ht="15.75" customHeight="1">
      <c r="A218" s="41" t="s">
        <v>512</v>
      </c>
      <c r="B218" s="41" t="s">
        <v>513</v>
      </c>
      <c r="C218" s="41" t="s">
        <v>424</v>
      </c>
      <c r="D218" s="41" t="s">
        <v>429</v>
      </c>
      <c r="E218" s="41" t="s">
        <v>74</v>
      </c>
      <c r="F218" s="42">
        <v>7</v>
      </c>
      <c r="G218" s="41" t="s">
        <v>11</v>
      </c>
      <c r="H218" s="43" t="s">
        <v>426</v>
      </c>
      <c r="I218" s="44">
        <v>25</v>
      </c>
      <c r="J218" s="44">
        <v>155</v>
      </c>
      <c r="K218" s="41"/>
      <c r="L218" s="45">
        <v>103000</v>
      </c>
      <c r="M218" s="44">
        <v>1</v>
      </c>
      <c r="N218" s="43" t="s">
        <v>383</v>
      </c>
    </row>
    <row r="219" spans="1:14" ht="15.75" customHeight="1">
      <c r="A219" s="41" t="s">
        <v>512</v>
      </c>
      <c r="B219" s="41" t="s">
        <v>513</v>
      </c>
      <c r="C219" s="41" t="s">
        <v>424</v>
      </c>
      <c r="D219" s="41" t="s">
        <v>429</v>
      </c>
      <c r="E219" s="41" t="s">
        <v>74</v>
      </c>
      <c r="F219" s="42">
        <v>8</v>
      </c>
      <c r="G219" s="41" t="s">
        <v>12</v>
      </c>
      <c r="H219" s="43" t="s">
        <v>430</v>
      </c>
      <c r="I219" s="44">
        <v>180</v>
      </c>
      <c r="J219" s="44">
        <v>155</v>
      </c>
      <c r="K219" s="41"/>
      <c r="L219" s="45">
        <v>103000</v>
      </c>
      <c r="M219" s="44">
        <v>1</v>
      </c>
      <c r="N219" s="43" t="s">
        <v>383</v>
      </c>
    </row>
    <row r="220" spans="1:14" ht="15.75" customHeight="1">
      <c r="A220" s="41" t="s">
        <v>512</v>
      </c>
      <c r="B220" s="41" t="s">
        <v>513</v>
      </c>
      <c r="C220" s="41" t="s">
        <v>424</v>
      </c>
      <c r="D220" s="41" t="s">
        <v>429</v>
      </c>
      <c r="E220" s="41" t="s">
        <v>74</v>
      </c>
      <c r="F220" s="42">
        <v>9</v>
      </c>
      <c r="G220" s="41" t="s">
        <v>13</v>
      </c>
      <c r="H220" s="43" t="s">
        <v>430</v>
      </c>
      <c r="I220" s="44">
        <v>40</v>
      </c>
      <c r="J220" s="44">
        <v>155</v>
      </c>
      <c r="K220" s="41"/>
      <c r="L220" s="45">
        <v>103000</v>
      </c>
      <c r="M220" s="44">
        <v>1</v>
      </c>
      <c r="N220" s="43" t="s">
        <v>383</v>
      </c>
    </row>
    <row r="221" spans="1:14" ht="15.75" customHeight="1">
      <c r="A221" s="41" t="s">
        <v>512</v>
      </c>
      <c r="B221" s="41" t="s">
        <v>513</v>
      </c>
      <c r="C221" s="41" t="s">
        <v>431</v>
      </c>
      <c r="D221" s="41" t="s">
        <v>432</v>
      </c>
      <c r="E221" s="41" t="s">
        <v>433</v>
      </c>
      <c r="F221" s="42">
        <v>18</v>
      </c>
      <c r="G221" s="41" t="s">
        <v>439</v>
      </c>
      <c r="H221" s="43" t="s">
        <v>440</v>
      </c>
      <c r="I221" s="44">
        <v>60</v>
      </c>
      <c r="J221" s="41"/>
      <c r="K221" s="44">
        <v>450</v>
      </c>
      <c r="L221" s="41" t="s">
        <v>435</v>
      </c>
      <c r="M221" s="44">
        <v>1</v>
      </c>
      <c r="N221" s="43" t="s">
        <v>436</v>
      </c>
    </row>
    <row r="222" spans="1:14" ht="15.75" customHeight="1">
      <c r="A222" s="41" t="s">
        <v>512</v>
      </c>
      <c r="B222" s="41" t="s">
        <v>513</v>
      </c>
      <c r="C222" s="41" t="s">
        <v>431</v>
      </c>
      <c r="D222" s="41" t="s">
        <v>432</v>
      </c>
      <c r="E222" s="41" t="s">
        <v>433</v>
      </c>
      <c r="F222" s="42">
        <v>19</v>
      </c>
      <c r="G222" s="41" t="s">
        <v>368</v>
      </c>
      <c r="H222" s="43" t="s">
        <v>434</v>
      </c>
      <c r="I222" s="44">
        <v>60</v>
      </c>
      <c r="J222" s="41"/>
      <c r="K222" s="44">
        <v>500</v>
      </c>
      <c r="L222" s="41" t="s">
        <v>435</v>
      </c>
      <c r="M222" s="44">
        <v>3</v>
      </c>
      <c r="N222" s="43" t="s">
        <v>436</v>
      </c>
    </row>
    <row r="223" spans="1:14" ht="15.75" customHeight="1">
      <c r="A223" s="41" t="s">
        <v>514</v>
      </c>
      <c r="B223" s="41" t="s">
        <v>276</v>
      </c>
      <c r="C223" s="41" t="s">
        <v>442</v>
      </c>
      <c r="D223" s="41" t="s">
        <v>443</v>
      </c>
      <c r="E223" s="41" t="s">
        <v>33</v>
      </c>
      <c r="F223" s="42">
        <v>10</v>
      </c>
      <c r="G223" s="41" t="s">
        <v>11</v>
      </c>
      <c r="H223" s="43" t="s">
        <v>426</v>
      </c>
      <c r="I223" s="44">
        <v>80</v>
      </c>
      <c r="J223" s="44">
        <v>166.5</v>
      </c>
      <c r="K223" s="41"/>
      <c r="L223" s="45">
        <v>78000</v>
      </c>
      <c r="M223" s="44">
        <v>1</v>
      </c>
      <c r="N223" s="43" t="s">
        <v>383</v>
      </c>
    </row>
    <row r="224" spans="1:14" ht="15.75" customHeight="1">
      <c r="A224" s="41" t="s">
        <v>514</v>
      </c>
      <c r="B224" s="41" t="s">
        <v>276</v>
      </c>
      <c r="C224" s="41" t="s">
        <v>442</v>
      </c>
      <c r="D224" s="41" t="s">
        <v>443</v>
      </c>
      <c r="E224" s="41" t="s">
        <v>33</v>
      </c>
      <c r="F224" s="42">
        <v>11</v>
      </c>
      <c r="G224" s="41" t="s">
        <v>12</v>
      </c>
      <c r="H224" s="43" t="s">
        <v>444</v>
      </c>
      <c r="I224" s="44">
        <v>45</v>
      </c>
      <c r="J224" s="44">
        <v>166.5</v>
      </c>
      <c r="K224" s="41"/>
      <c r="L224" s="45">
        <v>78000</v>
      </c>
      <c r="M224" s="44">
        <v>1</v>
      </c>
      <c r="N224" s="43" t="s">
        <v>383</v>
      </c>
    </row>
    <row r="225" spans="1:14" ht="15.75" customHeight="1">
      <c r="A225" s="41" t="s">
        <v>514</v>
      </c>
      <c r="B225" s="41" t="s">
        <v>276</v>
      </c>
      <c r="C225" s="41" t="s">
        <v>442</v>
      </c>
      <c r="D225" s="41" t="s">
        <v>443</v>
      </c>
      <c r="E225" s="41" t="s">
        <v>33</v>
      </c>
      <c r="F225" s="42">
        <v>12</v>
      </c>
      <c r="G225" s="41" t="s">
        <v>13</v>
      </c>
      <c r="H225" s="43" t="s">
        <v>444</v>
      </c>
      <c r="I225" s="44">
        <v>10</v>
      </c>
      <c r="J225" s="44">
        <v>166.5</v>
      </c>
      <c r="K225" s="41"/>
      <c r="L225" s="45">
        <v>78000</v>
      </c>
      <c r="M225" s="44">
        <v>1</v>
      </c>
      <c r="N225" s="43" t="s">
        <v>383</v>
      </c>
    </row>
    <row r="226" spans="1:14" ht="15.75" customHeight="1">
      <c r="A226" s="41" t="s">
        <v>514</v>
      </c>
      <c r="B226" s="41" t="s">
        <v>276</v>
      </c>
      <c r="C226" s="41" t="s">
        <v>431</v>
      </c>
      <c r="D226" s="41" t="s">
        <v>432</v>
      </c>
      <c r="E226" s="41" t="s">
        <v>433</v>
      </c>
      <c r="F226" s="42">
        <v>18</v>
      </c>
      <c r="G226" s="41" t="s">
        <v>439</v>
      </c>
      <c r="H226" s="43" t="s">
        <v>440</v>
      </c>
      <c r="I226" s="44">
        <v>60</v>
      </c>
      <c r="J226" s="41"/>
      <c r="K226" s="44">
        <v>360</v>
      </c>
      <c r="L226" s="41" t="s">
        <v>435</v>
      </c>
      <c r="M226" s="44">
        <v>1</v>
      </c>
      <c r="N226" s="43" t="s">
        <v>436</v>
      </c>
    </row>
    <row r="227" spans="1:14" ht="15.75" customHeight="1">
      <c r="A227" s="41" t="s">
        <v>514</v>
      </c>
      <c r="B227" s="41" t="s">
        <v>276</v>
      </c>
      <c r="C227" s="41" t="s">
        <v>431</v>
      </c>
      <c r="D227" s="41" t="s">
        <v>432</v>
      </c>
      <c r="E227" s="41" t="s">
        <v>433</v>
      </c>
      <c r="F227" s="42">
        <v>19</v>
      </c>
      <c r="G227" s="41" t="s">
        <v>368</v>
      </c>
      <c r="H227" s="43" t="s">
        <v>434</v>
      </c>
      <c r="I227" s="44">
        <v>60</v>
      </c>
      <c r="J227" s="41"/>
      <c r="K227" s="44">
        <v>500</v>
      </c>
      <c r="L227" s="41" t="s">
        <v>435</v>
      </c>
      <c r="M227" s="44">
        <v>4</v>
      </c>
      <c r="N227" s="43" t="s">
        <v>436</v>
      </c>
    </row>
    <row r="228" spans="1:14" ht="15.75" customHeight="1">
      <c r="A228" s="41" t="s">
        <v>515</v>
      </c>
      <c r="B228" s="41" t="s">
        <v>516</v>
      </c>
      <c r="C228" s="41" t="s">
        <v>442</v>
      </c>
      <c r="D228" s="41" t="s">
        <v>443</v>
      </c>
      <c r="E228" s="41" t="s">
        <v>33</v>
      </c>
      <c r="F228" s="42">
        <v>11</v>
      </c>
      <c r="G228" s="41" t="s">
        <v>12</v>
      </c>
      <c r="H228" s="43" t="s">
        <v>444</v>
      </c>
      <c r="I228" s="44">
        <v>60</v>
      </c>
      <c r="J228" s="44">
        <v>15</v>
      </c>
      <c r="K228" s="41"/>
      <c r="L228" s="45">
        <v>110000</v>
      </c>
      <c r="M228" s="44">
        <v>1</v>
      </c>
      <c r="N228" s="43" t="s">
        <v>383</v>
      </c>
    </row>
    <row r="229" spans="1:14" ht="15.75" customHeight="1">
      <c r="A229" s="41" t="s">
        <v>515</v>
      </c>
      <c r="B229" s="41" t="s">
        <v>516</v>
      </c>
      <c r="C229" s="41" t="s">
        <v>442</v>
      </c>
      <c r="D229" s="41" t="s">
        <v>443</v>
      </c>
      <c r="E229" s="41" t="s">
        <v>33</v>
      </c>
      <c r="F229" s="42">
        <v>12</v>
      </c>
      <c r="G229" s="41" t="s">
        <v>13</v>
      </c>
      <c r="H229" s="43" t="s">
        <v>444</v>
      </c>
      <c r="I229" s="44">
        <v>15</v>
      </c>
      <c r="J229" s="44">
        <v>15</v>
      </c>
      <c r="K229" s="41"/>
      <c r="L229" s="45">
        <v>110000</v>
      </c>
      <c r="M229" s="44">
        <v>1</v>
      </c>
      <c r="N229" s="43" t="s">
        <v>383</v>
      </c>
    </row>
    <row r="230" spans="1:14" ht="15.75" customHeight="1">
      <c r="A230" s="41" t="s">
        <v>515</v>
      </c>
      <c r="B230" s="41" t="s">
        <v>516</v>
      </c>
      <c r="C230" s="41" t="s">
        <v>431</v>
      </c>
      <c r="D230" s="41" t="s">
        <v>432</v>
      </c>
      <c r="E230" s="41" t="s">
        <v>433</v>
      </c>
      <c r="F230" s="42">
        <v>18</v>
      </c>
      <c r="G230" s="41" t="s">
        <v>439</v>
      </c>
      <c r="H230" s="43" t="s">
        <v>440</v>
      </c>
      <c r="I230" s="44">
        <v>60</v>
      </c>
      <c r="J230" s="41"/>
      <c r="K230" s="44">
        <v>1100</v>
      </c>
      <c r="L230" s="41" t="s">
        <v>435</v>
      </c>
      <c r="M230" s="44">
        <v>1</v>
      </c>
      <c r="N230" s="43" t="s">
        <v>436</v>
      </c>
    </row>
    <row r="231" spans="1:14" ht="15.75" customHeight="1">
      <c r="A231" s="41" t="s">
        <v>515</v>
      </c>
      <c r="B231" s="41" t="s">
        <v>516</v>
      </c>
      <c r="C231" s="41" t="s">
        <v>431</v>
      </c>
      <c r="D231" s="41" t="s">
        <v>432</v>
      </c>
      <c r="E231" s="41" t="s">
        <v>433</v>
      </c>
      <c r="F231" s="42">
        <v>19</v>
      </c>
      <c r="G231" s="41" t="s">
        <v>368</v>
      </c>
      <c r="H231" s="43" t="s">
        <v>434</v>
      </c>
      <c r="I231" s="44">
        <v>60</v>
      </c>
      <c r="J231" s="41"/>
      <c r="K231" s="44">
        <v>750</v>
      </c>
      <c r="L231" s="41" t="s">
        <v>435</v>
      </c>
      <c r="M231" s="44">
        <v>2</v>
      </c>
      <c r="N231" s="43" t="s">
        <v>436</v>
      </c>
    </row>
    <row r="232" spans="1:14" ht="15.75" customHeight="1">
      <c r="A232" s="41" t="s">
        <v>517</v>
      </c>
      <c r="B232" s="41" t="s">
        <v>518</v>
      </c>
      <c r="C232" s="41" t="s">
        <v>442</v>
      </c>
      <c r="D232" s="41" t="s">
        <v>448</v>
      </c>
      <c r="E232" s="41" t="s">
        <v>40</v>
      </c>
      <c r="F232" s="42">
        <v>1</v>
      </c>
      <c r="G232" s="41" t="s">
        <v>11</v>
      </c>
      <c r="H232" s="43" t="s">
        <v>426</v>
      </c>
      <c r="I232" s="44">
        <v>55</v>
      </c>
      <c r="J232" s="44">
        <v>30.3</v>
      </c>
      <c r="K232" s="41"/>
      <c r="L232" s="45">
        <v>412000</v>
      </c>
      <c r="M232" s="44">
        <v>1</v>
      </c>
      <c r="N232" s="43" t="s">
        <v>383</v>
      </c>
    </row>
    <row r="233" spans="1:14" ht="15.75" customHeight="1">
      <c r="A233" s="41" t="s">
        <v>517</v>
      </c>
      <c r="B233" s="41" t="s">
        <v>518</v>
      </c>
      <c r="C233" s="41" t="s">
        <v>442</v>
      </c>
      <c r="D233" s="41" t="s">
        <v>448</v>
      </c>
      <c r="E233" s="41" t="s">
        <v>40</v>
      </c>
      <c r="F233" s="42">
        <v>2</v>
      </c>
      <c r="G233" s="41" t="s">
        <v>12</v>
      </c>
      <c r="H233" s="43" t="s">
        <v>449</v>
      </c>
      <c r="I233" s="44">
        <v>105</v>
      </c>
      <c r="J233" s="44">
        <v>30.3</v>
      </c>
      <c r="K233" s="41"/>
      <c r="L233" s="45">
        <v>412000</v>
      </c>
      <c r="M233" s="44">
        <v>1</v>
      </c>
      <c r="N233" s="43" t="s">
        <v>383</v>
      </c>
    </row>
    <row r="234" spans="1:14" ht="15.75" customHeight="1">
      <c r="A234" s="41" t="s">
        <v>517</v>
      </c>
      <c r="B234" s="41" t="s">
        <v>518</v>
      </c>
      <c r="C234" s="41" t="s">
        <v>442</v>
      </c>
      <c r="D234" s="41" t="s">
        <v>448</v>
      </c>
      <c r="E234" s="41" t="s">
        <v>40</v>
      </c>
      <c r="F234" s="42">
        <v>3</v>
      </c>
      <c r="G234" s="41" t="s">
        <v>13</v>
      </c>
      <c r="H234" s="43" t="s">
        <v>449</v>
      </c>
      <c r="I234" s="44">
        <v>30</v>
      </c>
      <c r="J234" s="44">
        <v>30.3</v>
      </c>
      <c r="K234" s="41"/>
      <c r="L234" s="45">
        <v>412000</v>
      </c>
      <c r="M234" s="44">
        <v>1</v>
      </c>
      <c r="N234" s="43" t="s">
        <v>383</v>
      </c>
    </row>
    <row r="235" spans="1:14" ht="15.75" customHeight="1">
      <c r="A235" s="41" t="s">
        <v>519</v>
      </c>
      <c r="B235" s="41" t="s">
        <v>518</v>
      </c>
      <c r="C235" s="41" t="s">
        <v>442</v>
      </c>
      <c r="D235" s="41" t="s">
        <v>443</v>
      </c>
      <c r="E235" s="41" t="s">
        <v>33</v>
      </c>
      <c r="F235" s="42">
        <v>10</v>
      </c>
      <c r="G235" s="41" t="s">
        <v>11</v>
      </c>
      <c r="H235" s="43" t="s">
        <v>426</v>
      </c>
      <c r="I235" s="44">
        <v>55</v>
      </c>
      <c r="J235" s="44">
        <v>30.3</v>
      </c>
      <c r="K235" s="41"/>
      <c r="L235" s="45">
        <v>15000</v>
      </c>
      <c r="M235" s="44">
        <v>1</v>
      </c>
      <c r="N235" s="43" t="s">
        <v>383</v>
      </c>
    </row>
    <row r="236" spans="1:14" ht="15.75" customHeight="1">
      <c r="A236" s="41" t="s">
        <v>519</v>
      </c>
      <c r="B236" s="41" t="s">
        <v>518</v>
      </c>
      <c r="C236" s="41" t="s">
        <v>442</v>
      </c>
      <c r="D236" s="41" t="s">
        <v>443</v>
      </c>
      <c r="E236" s="41" t="s">
        <v>33</v>
      </c>
      <c r="F236" s="42">
        <v>11</v>
      </c>
      <c r="G236" s="41" t="s">
        <v>12</v>
      </c>
      <c r="H236" s="43" t="s">
        <v>444</v>
      </c>
      <c r="I236" s="44">
        <v>85</v>
      </c>
      <c r="J236" s="44">
        <v>30.3</v>
      </c>
      <c r="K236" s="41"/>
      <c r="L236" s="45">
        <v>15000</v>
      </c>
      <c r="M236" s="44">
        <v>1</v>
      </c>
      <c r="N236" s="43" t="s">
        <v>383</v>
      </c>
    </row>
    <row r="237" spans="1:14" ht="15.75" customHeight="1">
      <c r="A237" s="41" t="s">
        <v>519</v>
      </c>
      <c r="B237" s="41" t="s">
        <v>518</v>
      </c>
      <c r="C237" s="41" t="s">
        <v>442</v>
      </c>
      <c r="D237" s="41" t="s">
        <v>443</v>
      </c>
      <c r="E237" s="41" t="s">
        <v>33</v>
      </c>
      <c r="F237" s="42">
        <v>12</v>
      </c>
      <c r="G237" s="41" t="s">
        <v>13</v>
      </c>
      <c r="H237" s="43" t="s">
        <v>444</v>
      </c>
      <c r="I237" s="44">
        <v>10</v>
      </c>
      <c r="J237" s="44">
        <v>30.3</v>
      </c>
      <c r="K237" s="41"/>
      <c r="L237" s="45">
        <v>15000</v>
      </c>
      <c r="M237" s="44">
        <v>1</v>
      </c>
      <c r="N237" s="43" t="s">
        <v>383</v>
      </c>
    </row>
    <row r="238" spans="1:14" ht="15.75" customHeight="1">
      <c r="A238" s="41" t="s">
        <v>519</v>
      </c>
      <c r="B238" s="41" t="s">
        <v>518</v>
      </c>
      <c r="C238" s="41" t="s">
        <v>442</v>
      </c>
      <c r="D238" s="41" t="s">
        <v>448</v>
      </c>
      <c r="E238" s="41" t="s">
        <v>40</v>
      </c>
      <c r="F238" s="42">
        <v>1</v>
      </c>
      <c r="G238" s="41" t="s">
        <v>11</v>
      </c>
      <c r="H238" s="43" t="s">
        <v>426</v>
      </c>
      <c r="I238" s="44">
        <v>55</v>
      </c>
      <c r="J238" s="44">
        <v>30.3</v>
      </c>
      <c r="K238" s="41"/>
      <c r="L238" s="45">
        <v>412000</v>
      </c>
      <c r="M238" s="44">
        <v>1</v>
      </c>
      <c r="N238" s="43" t="s">
        <v>383</v>
      </c>
    </row>
    <row r="239" spans="1:14" ht="15.75" customHeight="1">
      <c r="A239" s="41" t="s">
        <v>519</v>
      </c>
      <c r="B239" s="41" t="s">
        <v>518</v>
      </c>
      <c r="C239" s="41" t="s">
        <v>442</v>
      </c>
      <c r="D239" s="41" t="s">
        <v>448</v>
      </c>
      <c r="E239" s="41" t="s">
        <v>40</v>
      </c>
      <c r="F239" s="42">
        <v>2</v>
      </c>
      <c r="G239" s="41" t="s">
        <v>12</v>
      </c>
      <c r="H239" s="43" t="s">
        <v>449</v>
      </c>
      <c r="I239" s="44">
        <v>105</v>
      </c>
      <c r="J239" s="44">
        <v>30.3</v>
      </c>
      <c r="K239" s="41"/>
      <c r="L239" s="45">
        <v>412000</v>
      </c>
      <c r="M239" s="44">
        <v>1</v>
      </c>
      <c r="N239" s="43" t="s">
        <v>383</v>
      </c>
    </row>
    <row r="240" spans="1:14" ht="15.75" customHeight="1">
      <c r="A240" s="41" t="s">
        <v>519</v>
      </c>
      <c r="B240" s="41" t="s">
        <v>518</v>
      </c>
      <c r="C240" s="41" t="s">
        <v>442</v>
      </c>
      <c r="D240" s="41" t="s">
        <v>448</v>
      </c>
      <c r="E240" s="41" t="s">
        <v>40</v>
      </c>
      <c r="F240" s="42">
        <v>3</v>
      </c>
      <c r="G240" s="41" t="s">
        <v>13</v>
      </c>
      <c r="H240" s="43" t="s">
        <v>449</v>
      </c>
      <c r="I240" s="44">
        <v>30</v>
      </c>
      <c r="J240" s="44">
        <v>30.3</v>
      </c>
      <c r="K240" s="41"/>
      <c r="L240" s="45">
        <v>412000</v>
      </c>
      <c r="M240" s="44">
        <v>1</v>
      </c>
      <c r="N240" s="43" t="s">
        <v>383</v>
      </c>
    </row>
    <row r="241" spans="1:26" ht="15.75" customHeight="1">
      <c r="A241" s="41" t="s">
        <v>517</v>
      </c>
      <c r="B241" s="41" t="s">
        <v>518</v>
      </c>
      <c r="C241" s="41" t="s">
        <v>431</v>
      </c>
      <c r="D241" s="41" t="s">
        <v>432</v>
      </c>
      <c r="E241" s="41" t="s">
        <v>433</v>
      </c>
      <c r="F241" s="42">
        <v>18</v>
      </c>
      <c r="G241" s="41" t="s">
        <v>439</v>
      </c>
      <c r="H241" s="43" t="s">
        <v>440</v>
      </c>
      <c r="I241" s="44">
        <v>60</v>
      </c>
      <c r="J241" s="41"/>
      <c r="K241" s="44">
        <v>2700</v>
      </c>
      <c r="L241" s="41" t="s">
        <v>435</v>
      </c>
      <c r="M241" s="44">
        <v>1</v>
      </c>
      <c r="N241" s="43" t="s">
        <v>436</v>
      </c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>
      <c r="A242" s="41" t="s">
        <v>517</v>
      </c>
      <c r="B242" s="41" t="s">
        <v>518</v>
      </c>
      <c r="C242" s="41" t="s">
        <v>431</v>
      </c>
      <c r="D242" s="41" t="s">
        <v>432</v>
      </c>
      <c r="E242" s="41" t="s">
        <v>433</v>
      </c>
      <c r="F242" s="42">
        <v>19</v>
      </c>
      <c r="G242" s="41" t="s">
        <v>368</v>
      </c>
      <c r="H242" s="43" t="s">
        <v>434</v>
      </c>
      <c r="I242" s="44">
        <v>60</v>
      </c>
      <c r="J242" s="41"/>
      <c r="K242" s="44">
        <v>1100</v>
      </c>
      <c r="L242" s="41" t="s">
        <v>435</v>
      </c>
      <c r="M242" s="44">
        <v>4</v>
      </c>
      <c r="N242" s="43" t="s">
        <v>436</v>
      </c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>
      <c r="A243" s="41" t="s">
        <v>519</v>
      </c>
      <c r="B243" s="41" t="s">
        <v>518</v>
      </c>
      <c r="C243" s="41" t="s">
        <v>431</v>
      </c>
      <c r="D243" s="41" t="s">
        <v>432</v>
      </c>
      <c r="E243" s="41" t="s">
        <v>433</v>
      </c>
      <c r="F243" s="42">
        <v>18</v>
      </c>
      <c r="G243" s="41" t="s">
        <v>439</v>
      </c>
      <c r="H243" s="43" t="s">
        <v>440</v>
      </c>
      <c r="I243" s="44">
        <v>60</v>
      </c>
      <c r="J243" s="41"/>
      <c r="K243" s="44">
        <v>2700</v>
      </c>
      <c r="L243" s="41" t="s">
        <v>435</v>
      </c>
      <c r="M243" s="44">
        <v>1</v>
      </c>
      <c r="N243" s="43" t="s">
        <v>436</v>
      </c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>
      <c r="A244" s="41" t="s">
        <v>519</v>
      </c>
      <c r="B244" s="41" t="s">
        <v>518</v>
      </c>
      <c r="C244" s="41" t="s">
        <v>431</v>
      </c>
      <c r="D244" s="41" t="s">
        <v>432</v>
      </c>
      <c r="E244" s="41" t="s">
        <v>433</v>
      </c>
      <c r="F244" s="42">
        <v>19</v>
      </c>
      <c r="G244" s="41" t="s">
        <v>368</v>
      </c>
      <c r="H244" s="43" t="s">
        <v>434</v>
      </c>
      <c r="I244" s="44">
        <v>60</v>
      </c>
      <c r="J244" s="41"/>
      <c r="K244" s="44">
        <v>1100</v>
      </c>
      <c r="L244" s="41" t="s">
        <v>435</v>
      </c>
      <c r="M244" s="44">
        <v>4</v>
      </c>
      <c r="N244" s="43" t="s">
        <v>436</v>
      </c>
    </row>
    <row r="245" spans="1:26" ht="15.75" customHeight="1">
      <c r="A245" s="41" t="s">
        <v>520</v>
      </c>
      <c r="B245" s="41" t="s">
        <v>521</v>
      </c>
      <c r="C245" s="41" t="s">
        <v>442</v>
      </c>
      <c r="D245" s="41" t="s">
        <v>448</v>
      </c>
      <c r="E245" s="41" t="s">
        <v>40</v>
      </c>
      <c r="F245" s="42">
        <v>1</v>
      </c>
      <c r="G245" s="41" t="s">
        <v>11</v>
      </c>
      <c r="H245" s="43" t="s">
        <v>426</v>
      </c>
      <c r="I245" s="44">
        <v>55</v>
      </c>
      <c r="J245" s="44">
        <v>30.3</v>
      </c>
      <c r="K245" s="41"/>
      <c r="L245" s="45">
        <v>412000</v>
      </c>
      <c r="M245" s="44">
        <v>1</v>
      </c>
      <c r="N245" s="43" t="s">
        <v>383</v>
      </c>
    </row>
    <row r="246" spans="1:26" ht="15.75" customHeight="1">
      <c r="A246" s="41" t="s">
        <v>520</v>
      </c>
      <c r="B246" s="41" t="s">
        <v>521</v>
      </c>
      <c r="C246" s="41" t="s">
        <v>442</v>
      </c>
      <c r="D246" s="41" t="s">
        <v>448</v>
      </c>
      <c r="E246" s="41" t="s">
        <v>40</v>
      </c>
      <c r="F246" s="42">
        <v>2</v>
      </c>
      <c r="G246" s="41" t="s">
        <v>12</v>
      </c>
      <c r="H246" s="43" t="s">
        <v>449</v>
      </c>
      <c r="I246" s="44">
        <v>105</v>
      </c>
      <c r="J246" s="44">
        <v>30.3</v>
      </c>
      <c r="K246" s="41"/>
      <c r="L246" s="45">
        <v>412000</v>
      </c>
      <c r="M246" s="44">
        <v>1</v>
      </c>
      <c r="N246" s="43" t="s">
        <v>383</v>
      </c>
    </row>
    <row r="247" spans="1:26" ht="15.75" customHeight="1">
      <c r="A247" s="41" t="s">
        <v>520</v>
      </c>
      <c r="B247" s="41" t="s">
        <v>521</v>
      </c>
      <c r="C247" s="41" t="s">
        <v>442</v>
      </c>
      <c r="D247" s="41" t="s">
        <v>448</v>
      </c>
      <c r="E247" s="41" t="s">
        <v>40</v>
      </c>
      <c r="F247" s="42">
        <v>3</v>
      </c>
      <c r="G247" s="41" t="s">
        <v>13</v>
      </c>
      <c r="H247" s="43" t="s">
        <v>449</v>
      </c>
      <c r="I247" s="44">
        <v>30</v>
      </c>
      <c r="J247" s="44">
        <v>30.3</v>
      </c>
      <c r="K247" s="41"/>
      <c r="L247" s="45">
        <v>412000</v>
      </c>
      <c r="M247" s="44">
        <v>1</v>
      </c>
      <c r="N247" s="43" t="s">
        <v>383</v>
      </c>
    </row>
    <row r="248" spans="1:26" ht="15.75" customHeight="1">
      <c r="A248" s="41" t="s">
        <v>520</v>
      </c>
      <c r="B248" s="41" t="s">
        <v>521</v>
      </c>
      <c r="C248" s="41" t="s">
        <v>431</v>
      </c>
      <c r="D248" s="41" t="s">
        <v>432</v>
      </c>
      <c r="E248" s="41" t="s">
        <v>433</v>
      </c>
      <c r="F248" s="42">
        <v>18</v>
      </c>
      <c r="G248" s="41" t="s">
        <v>439</v>
      </c>
      <c r="H248" s="43" t="s">
        <v>440</v>
      </c>
      <c r="I248" s="44">
        <v>60</v>
      </c>
      <c r="J248" s="41"/>
      <c r="K248" s="44">
        <v>2700</v>
      </c>
      <c r="L248" s="41" t="s">
        <v>435</v>
      </c>
      <c r="M248" s="44">
        <v>1</v>
      </c>
      <c r="N248" s="43" t="s">
        <v>436</v>
      </c>
    </row>
    <row r="249" spans="1:26" ht="15.75" customHeight="1">
      <c r="A249" s="41" t="s">
        <v>520</v>
      </c>
      <c r="B249" s="41" t="s">
        <v>521</v>
      </c>
      <c r="C249" s="41" t="s">
        <v>431</v>
      </c>
      <c r="D249" s="41" t="s">
        <v>432</v>
      </c>
      <c r="E249" s="41" t="s">
        <v>433</v>
      </c>
      <c r="F249" s="42">
        <v>19</v>
      </c>
      <c r="G249" s="41" t="s">
        <v>368</v>
      </c>
      <c r="H249" s="43" t="s">
        <v>434</v>
      </c>
      <c r="I249" s="44">
        <v>60</v>
      </c>
      <c r="J249" s="41"/>
      <c r="K249" s="44">
        <v>1500</v>
      </c>
      <c r="L249" s="41" t="s">
        <v>435</v>
      </c>
      <c r="M249" s="44">
        <v>2</v>
      </c>
      <c r="N249" s="43" t="s">
        <v>436</v>
      </c>
    </row>
    <row r="250" spans="1:26" ht="15.75" customHeight="1">
      <c r="A250" s="41" t="s">
        <v>522</v>
      </c>
      <c r="B250" s="41" t="s">
        <v>523</v>
      </c>
      <c r="C250" s="41" t="s">
        <v>499</v>
      </c>
      <c r="D250" s="41" t="s">
        <v>443</v>
      </c>
      <c r="E250" s="41" t="s">
        <v>33</v>
      </c>
      <c r="F250" s="42">
        <v>11</v>
      </c>
      <c r="G250" s="41" t="s">
        <v>12</v>
      </c>
      <c r="H250" s="43" t="s">
        <v>444</v>
      </c>
      <c r="I250" s="44">
        <v>40</v>
      </c>
      <c r="J250" s="44">
        <v>17.5</v>
      </c>
      <c r="K250" s="41"/>
      <c r="L250" s="45">
        <v>80000</v>
      </c>
      <c r="M250" s="44">
        <v>1</v>
      </c>
      <c r="N250" s="43" t="s">
        <v>383</v>
      </c>
    </row>
    <row r="251" spans="1:26" ht="15.75" customHeight="1">
      <c r="A251" s="41" t="s">
        <v>522</v>
      </c>
      <c r="B251" s="41" t="s">
        <v>523</v>
      </c>
      <c r="C251" s="41" t="s">
        <v>499</v>
      </c>
      <c r="D251" s="41" t="s">
        <v>443</v>
      </c>
      <c r="E251" s="41" t="s">
        <v>33</v>
      </c>
      <c r="F251" s="42">
        <v>12</v>
      </c>
      <c r="G251" s="41" t="s">
        <v>13</v>
      </c>
      <c r="H251" s="43" t="s">
        <v>444</v>
      </c>
      <c r="I251" s="44">
        <v>20</v>
      </c>
      <c r="J251" s="44">
        <v>17.5</v>
      </c>
      <c r="K251" s="41"/>
      <c r="L251" s="45">
        <v>80000</v>
      </c>
      <c r="M251" s="44">
        <v>1</v>
      </c>
      <c r="N251" s="43" t="s">
        <v>383</v>
      </c>
    </row>
    <row r="252" spans="1:26" ht="15.75" customHeight="1">
      <c r="A252" s="41" t="s">
        <v>522</v>
      </c>
      <c r="B252" s="41" t="s">
        <v>523</v>
      </c>
      <c r="C252" s="41" t="s">
        <v>431</v>
      </c>
      <c r="D252" s="41" t="s">
        <v>432</v>
      </c>
      <c r="E252" s="41" t="s">
        <v>433</v>
      </c>
      <c r="F252" s="42">
        <v>18</v>
      </c>
      <c r="G252" s="41" t="s">
        <v>439</v>
      </c>
      <c r="H252" s="43" t="s">
        <v>440</v>
      </c>
      <c r="I252" s="44">
        <v>60</v>
      </c>
      <c r="J252" s="41"/>
      <c r="K252" s="44">
        <v>800</v>
      </c>
      <c r="L252" s="41" t="s">
        <v>435</v>
      </c>
      <c r="M252" s="44">
        <v>1</v>
      </c>
      <c r="N252" s="43" t="s">
        <v>436</v>
      </c>
    </row>
    <row r="253" spans="1:26" ht="15.75" customHeight="1">
      <c r="A253" s="41" t="s">
        <v>522</v>
      </c>
      <c r="B253" s="41" t="s">
        <v>523</v>
      </c>
      <c r="C253" s="41" t="s">
        <v>431</v>
      </c>
      <c r="D253" s="41" t="s">
        <v>432</v>
      </c>
      <c r="E253" s="41" t="s">
        <v>433</v>
      </c>
      <c r="F253" s="42">
        <v>19</v>
      </c>
      <c r="G253" s="41" t="s">
        <v>368</v>
      </c>
      <c r="H253" s="43" t="s">
        <v>434</v>
      </c>
      <c r="I253" s="44">
        <v>60</v>
      </c>
      <c r="J253" s="41"/>
      <c r="K253" s="44">
        <v>950</v>
      </c>
      <c r="L253" s="41" t="s">
        <v>435</v>
      </c>
      <c r="M253" s="44">
        <v>4</v>
      </c>
      <c r="N253" s="43" t="s">
        <v>436</v>
      </c>
    </row>
    <row r="254" spans="1:26" ht="15.75" customHeight="1">
      <c r="A254" s="41" t="s">
        <v>524</v>
      </c>
      <c r="B254" s="41" t="s">
        <v>525</v>
      </c>
      <c r="C254" s="41" t="s">
        <v>424</v>
      </c>
      <c r="D254" s="41" t="s">
        <v>425</v>
      </c>
      <c r="E254" s="41" t="s">
        <v>48</v>
      </c>
      <c r="F254" s="42">
        <v>4</v>
      </c>
      <c r="G254" s="41" t="s">
        <v>11</v>
      </c>
      <c r="H254" s="43" t="s">
        <v>426</v>
      </c>
      <c r="I254" s="44">
        <v>25</v>
      </c>
      <c r="J254" s="44">
        <v>150</v>
      </c>
      <c r="K254" s="41"/>
      <c r="L254" s="45">
        <v>52000</v>
      </c>
      <c r="M254" s="44">
        <v>1</v>
      </c>
      <c r="N254" s="43" t="s">
        <v>383</v>
      </c>
    </row>
    <row r="255" spans="1:26" ht="15.75" customHeight="1">
      <c r="A255" s="41" t="s">
        <v>524</v>
      </c>
      <c r="B255" s="41" t="s">
        <v>525</v>
      </c>
      <c r="C255" s="41" t="s">
        <v>424</v>
      </c>
      <c r="D255" s="41" t="s">
        <v>425</v>
      </c>
      <c r="E255" s="41" t="s">
        <v>48</v>
      </c>
      <c r="F255" s="42">
        <v>5</v>
      </c>
      <c r="G255" s="41" t="s">
        <v>12</v>
      </c>
      <c r="H255" s="43" t="s">
        <v>427</v>
      </c>
      <c r="I255" s="44">
        <v>265</v>
      </c>
      <c r="J255" s="44">
        <v>150</v>
      </c>
      <c r="K255" s="41"/>
      <c r="L255" s="45">
        <v>52000</v>
      </c>
      <c r="M255" s="44">
        <v>1</v>
      </c>
      <c r="N255" s="43" t="s">
        <v>383</v>
      </c>
    </row>
    <row r="256" spans="1:26" ht="15.75" customHeight="1">
      <c r="A256" s="41" t="s">
        <v>524</v>
      </c>
      <c r="B256" s="41" t="s">
        <v>525</v>
      </c>
      <c r="C256" s="41" t="s">
        <v>424</v>
      </c>
      <c r="D256" s="41" t="s">
        <v>425</v>
      </c>
      <c r="E256" s="41" t="s">
        <v>48</v>
      </c>
      <c r="F256" s="42">
        <v>6</v>
      </c>
      <c r="G256" s="41" t="s">
        <v>13</v>
      </c>
      <c r="H256" s="43" t="s">
        <v>427</v>
      </c>
      <c r="I256" s="44">
        <v>60</v>
      </c>
      <c r="J256" s="44">
        <v>150</v>
      </c>
      <c r="K256" s="41"/>
      <c r="L256" s="45">
        <v>52000</v>
      </c>
      <c r="M256" s="44">
        <v>1</v>
      </c>
      <c r="N256" s="43" t="s">
        <v>383</v>
      </c>
    </row>
    <row r="257" spans="1:14" ht="15.75" customHeight="1">
      <c r="A257" s="41" t="s">
        <v>524</v>
      </c>
      <c r="B257" s="41" t="s">
        <v>525</v>
      </c>
      <c r="C257" s="41" t="s">
        <v>431</v>
      </c>
      <c r="D257" s="41" t="s">
        <v>432</v>
      </c>
      <c r="E257" s="41" t="s">
        <v>433</v>
      </c>
      <c r="F257" s="42">
        <v>16</v>
      </c>
      <c r="G257" s="41" t="s">
        <v>484</v>
      </c>
      <c r="H257" s="43" t="s">
        <v>440</v>
      </c>
      <c r="I257" s="44">
        <v>60</v>
      </c>
      <c r="J257" s="41"/>
      <c r="K257" s="44">
        <v>345</v>
      </c>
      <c r="L257" s="41" t="s">
        <v>435</v>
      </c>
      <c r="M257" s="44">
        <v>1</v>
      </c>
      <c r="N257" s="43" t="s">
        <v>436</v>
      </c>
    </row>
    <row r="258" spans="1:14" ht="15.75" customHeight="1">
      <c r="A258" s="41" t="s">
        <v>524</v>
      </c>
      <c r="B258" s="41" t="s">
        <v>525</v>
      </c>
      <c r="C258" s="41" t="s">
        <v>431</v>
      </c>
      <c r="D258" s="41" t="s">
        <v>432</v>
      </c>
      <c r="E258" s="41" t="s">
        <v>433</v>
      </c>
      <c r="F258" s="42">
        <v>19</v>
      </c>
      <c r="G258" s="41" t="s">
        <v>368</v>
      </c>
      <c r="H258" s="43" t="s">
        <v>434</v>
      </c>
      <c r="I258" s="44">
        <v>60</v>
      </c>
      <c r="J258" s="41"/>
      <c r="K258" s="44">
        <v>100</v>
      </c>
      <c r="L258" s="41" t="s">
        <v>435</v>
      </c>
      <c r="M258" s="44">
        <v>1</v>
      </c>
      <c r="N258" s="43" t="s">
        <v>436</v>
      </c>
    </row>
    <row r="259" spans="1:14" ht="15.75" customHeight="1">
      <c r="A259" s="41" t="s">
        <v>524</v>
      </c>
      <c r="B259" s="41" t="s">
        <v>525</v>
      </c>
      <c r="C259" s="41" t="s">
        <v>431</v>
      </c>
      <c r="D259" s="41" t="s">
        <v>432</v>
      </c>
      <c r="E259" s="41" t="s">
        <v>433</v>
      </c>
      <c r="F259" s="42">
        <v>20</v>
      </c>
      <c r="G259" s="41" t="s">
        <v>526</v>
      </c>
      <c r="H259" s="43" t="s">
        <v>434</v>
      </c>
      <c r="I259" s="44">
        <v>60</v>
      </c>
      <c r="J259" s="41"/>
      <c r="K259" s="44">
        <v>1000</v>
      </c>
      <c r="L259" s="41" t="s">
        <v>435</v>
      </c>
      <c r="M259" s="44">
        <v>3</v>
      </c>
      <c r="N259" s="43" t="s">
        <v>436</v>
      </c>
    </row>
    <row r="260" spans="1:14" ht="15.75" customHeight="1">
      <c r="A260" s="41" t="s">
        <v>527</v>
      </c>
      <c r="B260" s="41" t="s">
        <v>218</v>
      </c>
      <c r="C260" s="41" t="s">
        <v>442</v>
      </c>
      <c r="D260" s="41" t="s">
        <v>443</v>
      </c>
      <c r="E260" s="41" t="s">
        <v>33</v>
      </c>
      <c r="F260" s="42">
        <v>10</v>
      </c>
      <c r="G260" s="41" t="s">
        <v>11</v>
      </c>
      <c r="H260" s="43" t="s">
        <v>426</v>
      </c>
      <c r="I260" s="44">
        <v>45</v>
      </c>
      <c r="J260" s="44">
        <v>51.5</v>
      </c>
      <c r="K260" s="41"/>
      <c r="L260" s="45">
        <v>79500</v>
      </c>
      <c r="M260" s="44">
        <v>1</v>
      </c>
      <c r="N260" s="43" t="s">
        <v>383</v>
      </c>
    </row>
    <row r="261" spans="1:14" ht="15.75" customHeight="1">
      <c r="A261" s="41" t="s">
        <v>527</v>
      </c>
      <c r="B261" s="41" t="s">
        <v>218</v>
      </c>
      <c r="C261" s="41" t="s">
        <v>442</v>
      </c>
      <c r="D261" s="41" t="s">
        <v>443</v>
      </c>
      <c r="E261" s="41" t="s">
        <v>33</v>
      </c>
      <c r="F261" s="42">
        <v>11</v>
      </c>
      <c r="G261" s="41" t="s">
        <v>12</v>
      </c>
      <c r="H261" s="43" t="s">
        <v>444</v>
      </c>
      <c r="I261" s="44">
        <v>105</v>
      </c>
      <c r="J261" s="44">
        <v>51.5</v>
      </c>
      <c r="K261" s="41"/>
      <c r="L261" s="45">
        <v>79500</v>
      </c>
      <c r="M261" s="44">
        <v>1</v>
      </c>
      <c r="N261" s="43" t="s">
        <v>383</v>
      </c>
    </row>
    <row r="262" spans="1:14" ht="15.75" customHeight="1">
      <c r="A262" s="41" t="s">
        <v>527</v>
      </c>
      <c r="B262" s="41" t="s">
        <v>218</v>
      </c>
      <c r="C262" s="41" t="s">
        <v>442</v>
      </c>
      <c r="D262" s="41" t="s">
        <v>443</v>
      </c>
      <c r="E262" s="41" t="s">
        <v>33</v>
      </c>
      <c r="F262" s="42">
        <v>12</v>
      </c>
      <c r="G262" s="41" t="s">
        <v>13</v>
      </c>
      <c r="H262" s="43" t="s">
        <v>444</v>
      </c>
      <c r="I262" s="44">
        <v>20</v>
      </c>
      <c r="J262" s="44">
        <v>51.5</v>
      </c>
      <c r="K262" s="41"/>
      <c r="L262" s="45">
        <v>79500</v>
      </c>
      <c r="M262" s="44">
        <v>1</v>
      </c>
      <c r="N262" s="43" t="s">
        <v>383</v>
      </c>
    </row>
    <row r="263" spans="1:14" ht="15.75" customHeight="1">
      <c r="A263" s="41" t="s">
        <v>528</v>
      </c>
      <c r="B263" s="41" t="s">
        <v>218</v>
      </c>
      <c r="C263" s="41" t="s">
        <v>424</v>
      </c>
      <c r="D263" s="41" t="s">
        <v>443</v>
      </c>
      <c r="E263" s="41" t="s">
        <v>33</v>
      </c>
      <c r="F263" s="42">
        <v>10</v>
      </c>
      <c r="G263" s="41" t="s">
        <v>11</v>
      </c>
      <c r="H263" s="43" t="s">
        <v>426</v>
      </c>
      <c r="I263" s="44">
        <v>45</v>
      </c>
      <c r="J263" s="44">
        <v>51.5</v>
      </c>
      <c r="K263" s="41"/>
      <c r="L263" s="45">
        <v>79500</v>
      </c>
      <c r="M263" s="44">
        <v>1</v>
      </c>
      <c r="N263" s="43" t="s">
        <v>383</v>
      </c>
    </row>
    <row r="264" spans="1:14" ht="15.75" customHeight="1">
      <c r="A264" s="41" t="s">
        <v>528</v>
      </c>
      <c r="B264" s="41" t="s">
        <v>218</v>
      </c>
      <c r="C264" s="41" t="s">
        <v>424</v>
      </c>
      <c r="D264" s="41" t="s">
        <v>443</v>
      </c>
      <c r="E264" s="41" t="s">
        <v>33</v>
      </c>
      <c r="F264" s="42">
        <v>11</v>
      </c>
      <c r="G264" s="41" t="s">
        <v>12</v>
      </c>
      <c r="H264" s="43" t="s">
        <v>444</v>
      </c>
      <c r="I264" s="44">
        <v>105</v>
      </c>
      <c r="J264" s="44">
        <v>51.5</v>
      </c>
      <c r="K264" s="41"/>
      <c r="L264" s="45">
        <v>79500</v>
      </c>
      <c r="M264" s="44">
        <v>1</v>
      </c>
      <c r="N264" s="43" t="s">
        <v>383</v>
      </c>
    </row>
    <row r="265" spans="1:14" ht="15.75" customHeight="1">
      <c r="A265" s="41" t="s">
        <v>528</v>
      </c>
      <c r="B265" s="41" t="s">
        <v>218</v>
      </c>
      <c r="C265" s="41" t="s">
        <v>424</v>
      </c>
      <c r="D265" s="41" t="s">
        <v>443</v>
      </c>
      <c r="E265" s="41" t="s">
        <v>33</v>
      </c>
      <c r="F265" s="42">
        <v>12</v>
      </c>
      <c r="G265" s="41" t="s">
        <v>13</v>
      </c>
      <c r="H265" s="43" t="s">
        <v>444</v>
      </c>
      <c r="I265" s="44">
        <v>20</v>
      </c>
      <c r="J265" s="44">
        <v>51.5</v>
      </c>
      <c r="K265" s="41"/>
      <c r="L265" s="45">
        <v>79500</v>
      </c>
      <c r="M265" s="44">
        <v>1</v>
      </c>
      <c r="N265" s="43" t="s">
        <v>383</v>
      </c>
    </row>
    <row r="266" spans="1:14" ht="15.75" customHeight="1">
      <c r="A266" s="41" t="s">
        <v>527</v>
      </c>
      <c r="B266" s="41" t="s">
        <v>218</v>
      </c>
      <c r="C266" s="41" t="s">
        <v>431</v>
      </c>
      <c r="D266" s="41" t="s">
        <v>432</v>
      </c>
      <c r="E266" s="41" t="s">
        <v>433</v>
      </c>
      <c r="F266" s="42">
        <v>19</v>
      </c>
      <c r="G266" s="41" t="s">
        <v>368</v>
      </c>
      <c r="H266" s="43" t="s">
        <v>434</v>
      </c>
      <c r="I266" s="44">
        <v>60</v>
      </c>
      <c r="J266" s="41"/>
      <c r="K266" s="44">
        <v>700</v>
      </c>
      <c r="L266" s="41" t="s">
        <v>435</v>
      </c>
      <c r="M266" s="44">
        <v>3</v>
      </c>
      <c r="N266" s="43" t="s">
        <v>436</v>
      </c>
    </row>
    <row r="267" spans="1:14" ht="15.75" customHeight="1">
      <c r="A267" s="41" t="s">
        <v>528</v>
      </c>
      <c r="B267" s="41" t="s">
        <v>218</v>
      </c>
      <c r="C267" s="41" t="s">
        <v>431</v>
      </c>
      <c r="D267" s="41" t="s">
        <v>432</v>
      </c>
      <c r="E267" s="41" t="s">
        <v>433</v>
      </c>
      <c r="F267" s="42">
        <v>19</v>
      </c>
      <c r="G267" s="41" t="s">
        <v>368</v>
      </c>
      <c r="H267" s="43" t="s">
        <v>434</v>
      </c>
      <c r="I267" s="44">
        <v>60</v>
      </c>
      <c r="J267" s="41"/>
      <c r="K267" s="44">
        <v>700</v>
      </c>
      <c r="L267" s="41" t="s">
        <v>435</v>
      </c>
      <c r="M267" s="44">
        <v>3</v>
      </c>
      <c r="N267" s="43" t="s">
        <v>436</v>
      </c>
    </row>
    <row r="268" spans="1:14" ht="15.75" customHeight="1">
      <c r="A268" s="41" t="s">
        <v>529</v>
      </c>
      <c r="B268" s="41" t="s">
        <v>530</v>
      </c>
      <c r="C268" s="41" t="s">
        <v>442</v>
      </c>
      <c r="D268" s="41" t="s">
        <v>448</v>
      </c>
      <c r="E268" s="41" t="s">
        <v>40</v>
      </c>
      <c r="F268" s="42">
        <v>1</v>
      </c>
      <c r="G268" s="41" t="s">
        <v>11</v>
      </c>
      <c r="H268" s="43" t="s">
        <v>426</v>
      </c>
      <c r="I268" s="44">
        <v>20</v>
      </c>
      <c r="J268" s="44">
        <v>150</v>
      </c>
      <c r="K268" s="41"/>
      <c r="L268" s="45">
        <v>400000</v>
      </c>
      <c r="M268" s="44">
        <v>1</v>
      </c>
      <c r="N268" s="43" t="s">
        <v>383</v>
      </c>
    </row>
    <row r="269" spans="1:14" ht="15.75" customHeight="1">
      <c r="A269" s="41" t="s">
        <v>529</v>
      </c>
      <c r="B269" s="41" t="s">
        <v>530</v>
      </c>
      <c r="C269" s="41" t="s">
        <v>442</v>
      </c>
      <c r="D269" s="41" t="s">
        <v>448</v>
      </c>
      <c r="E269" s="41" t="s">
        <v>40</v>
      </c>
      <c r="F269" s="42">
        <v>2</v>
      </c>
      <c r="G269" s="41" t="s">
        <v>12</v>
      </c>
      <c r="H269" s="43" t="s">
        <v>449</v>
      </c>
      <c r="I269" s="44">
        <v>180</v>
      </c>
      <c r="J269" s="44">
        <v>150</v>
      </c>
      <c r="K269" s="41"/>
      <c r="L269" s="45">
        <v>400000</v>
      </c>
      <c r="M269" s="44">
        <v>1</v>
      </c>
      <c r="N269" s="43" t="s">
        <v>383</v>
      </c>
    </row>
    <row r="270" spans="1:14" ht="15.75" customHeight="1">
      <c r="A270" s="41" t="s">
        <v>529</v>
      </c>
      <c r="B270" s="41" t="s">
        <v>530</v>
      </c>
      <c r="C270" s="41" t="s">
        <v>442</v>
      </c>
      <c r="D270" s="41" t="s">
        <v>448</v>
      </c>
      <c r="E270" s="41" t="s">
        <v>40</v>
      </c>
      <c r="F270" s="42">
        <v>3</v>
      </c>
      <c r="G270" s="41" t="s">
        <v>13</v>
      </c>
      <c r="H270" s="43" t="s">
        <v>449</v>
      </c>
      <c r="I270" s="44">
        <v>30</v>
      </c>
      <c r="J270" s="44">
        <v>150</v>
      </c>
      <c r="K270" s="41"/>
      <c r="L270" s="45">
        <v>400000</v>
      </c>
      <c r="M270" s="44">
        <v>1</v>
      </c>
      <c r="N270" s="43" t="s">
        <v>383</v>
      </c>
    </row>
    <row r="271" spans="1:14" ht="15.75" customHeight="1">
      <c r="A271" s="41" t="s">
        <v>529</v>
      </c>
      <c r="B271" s="41" t="s">
        <v>530</v>
      </c>
      <c r="C271" s="41" t="s">
        <v>431</v>
      </c>
      <c r="D271" s="41" t="s">
        <v>432</v>
      </c>
      <c r="E271" s="41" t="s">
        <v>433</v>
      </c>
      <c r="F271" s="42">
        <v>18</v>
      </c>
      <c r="G271" s="41" t="s">
        <v>439</v>
      </c>
      <c r="H271" s="43" t="s">
        <v>440</v>
      </c>
      <c r="I271" s="44">
        <v>60</v>
      </c>
      <c r="J271" s="41"/>
      <c r="K271" s="44">
        <v>1000</v>
      </c>
      <c r="L271" s="41" t="s">
        <v>435</v>
      </c>
      <c r="M271" s="44">
        <v>1</v>
      </c>
      <c r="N271" s="43" t="s">
        <v>436</v>
      </c>
    </row>
    <row r="272" spans="1:14" ht="15.75" customHeight="1">
      <c r="A272" s="41" t="s">
        <v>529</v>
      </c>
      <c r="B272" s="41" t="s">
        <v>530</v>
      </c>
      <c r="C272" s="41" t="s">
        <v>431</v>
      </c>
      <c r="D272" s="41" t="s">
        <v>432</v>
      </c>
      <c r="E272" s="41" t="s">
        <v>433</v>
      </c>
      <c r="F272" s="42">
        <v>19</v>
      </c>
      <c r="G272" s="41" t="s">
        <v>368</v>
      </c>
      <c r="H272" s="43" t="s">
        <v>434</v>
      </c>
      <c r="I272" s="44">
        <v>60</v>
      </c>
      <c r="J272" s="41"/>
      <c r="K272" s="44">
        <v>550</v>
      </c>
      <c r="L272" s="41" t="s">
        <v>435</v>
      </c>
      <c r="M272" s="44">
        <v>3</v>
      </c>
      <c r="N272" s="43" t="s">
        <v>436</v>
      </c>
    </row>
    <row r="273" spans="1:26" ht="15.75" customHeight="1">
      <c r="A273" s="41" t="s">
        <v>531</v>
      </c>
      <c r="B273" s="41" t="s">
        <v>532</v>
      </c>
      <c r="C273" s="41" t="s">
        <v>442</v>
      </c>
      <c r="D273" s="41" t="s">
        <v>448</v>
      </c>
      <c r="E273" s="41" t="s">
        <v>40</v>
      </c>
      <c r="F273" s="42">
        <v>1</v>
      </c>
      <c r="G273" s="41" t="s">
        <v>11</v>
      </c>
      <c r="H273" s="43" t="s">
        <v>426</v>
      </c>
      <c r="I273" s="44">
        <v>80</v>
      </c>
      <c r="J273" s="44">
        <v>101</v>
      </c>
      <c r="K273" s="41"/>
      <c r="L273" s="45">
        <v>310000</v>
      </c>
      <c r="M273" s="44">
        <v>1</v>
      </c>
      <c r="N273" s="43" t="s">
        <v>383</v>
      </c>
    </row>
    <row r="274" spans="1:26" ht="15.75" customHeight="1">
      <c r="A274" s="41" t="s">
        <v>531</v>
      </c>
      <c r="B274" s="41" t="s">
        <v>532</v>
      </c>
      <c r="C274" s="41" t="s">
        <v>442</v>
      </c>
      <c r="D274" s="41" t="s">
        <v>448</v>
      </c>
      <c r="E274" s="41" t="s">
        <v>40</v>
      </c>
      <c r="F274" s="42">
        <v>2</v>
      </c>
      <c r="G274" s="41" t="s">
        <v>12</v>
      </c>
      <c r="H274" s="43" t="s">
        <v>449</v>
      </c>
      <c r="I274" s="44">
        <v>120</v>
      </c>
      <c r="J274" s="44">
        <v>101</v>
      </c>
      <c r="K274" s="41"/>
      <c r="L274" s="45">
        <v>310000</v>
      </c>
      <c r="M274" s="44">
        <v>1</v>
      </c>
      <c r="N274" s="43" t="s">
        <v>383</v>
      </c>
    </row>
    <row r="275" spans="1:26" ht="15.75" customHeight="1">
      <c r="A275" s="41" t="s">
        <v>531</v>
      </c>
      <c r="B275" s="41" t="s">
        <v>532</v>
      </c>
      <c r="C275" s="41" t="s">
        <v>442</v>
      </c>
      <c r="D275" s="41" t="s">
        <v>448</v>
      </c>
      <c r="E275" s="41" t="s">
        <v>40</v>
      </c>
      <c r="F275" s="42">
        <v>3</v>
      </c>
      <c r="G275" s="41" t="s">
        <v>13</v>
      </c>
      <c r="H275" s="43" t="s">
        <v>449</v>
      </c>
      <c r="I275" s="44">
        <v>30</v>
      </c>
      <c r="J275" s="44">
        <v>101</v>
      </c>
      <c r="K275" s="41"/>
      <c r="L275" s="45">
        <v>310000</v>
      </c>
      <c r="M275" s="44">
        <v>1</v>
      </c>
      <c r="N275" s="43" t="s">
        <v>383</v>
      </c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>
      <c r="A276" s="41" t="s">
        <v>531</v>
      </c>
      <c r="B276" s="41" t="s">
        <v>532</v>
      </c>
      <c r="C276" s="41" t="s">
        <v>431</v>
      </c>
      <c r="D276" s="41" t="s">
        <v>432</v>
      </c>
      <c r="E276" s="41" t="s">
        <v>433</v>
      </c>
      <c r="F276" s="42">
        <v>18</v>
      </c>
      <c r="G276" s="41" t="s">
        <v>439</v>
      </c>
      <c r="H276" s="43" t="s">
        <v>440</v>
      </c>
      <c r="I276" s="44">
        <v>60</v>
      </c>
      <c r="J276" s="41"/>
      <c r="K276" s="44">
        <v>1400</v>
      </c>
      <c r="L276" s="41" t="s">
        <v>435</v>
      </c>
      <c r="M276" s="44">
        <v>1</v>
      </c>
      <c r="N276" s="43" t="s">
        <v>436</v>
      </c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>
      <c r="A277" s="41" t="s">
        <v>531</v>
      </c>
      <c r="B277" s="41" t="s">
        <v>532</v>
      </c>
      <c r="C277" s="41" t="s">
        <v>431</v>
      </c>
      <c r="D277" s="41" t="s">
        <v>432</v>
      </c>
      <c r="E277" s="41" t="s">
        <v>433</v>
      </c>
      <c r="F277" s="42">
        <v>19</v>
      </c>
      <c r="G277" s="41" t="s">
        <v>368</v>
      </c>
      <c r="H277" s="43" t="s">
        <v>434</v>
      </c>
      <c r="I277" s="44">
        <v>60</v>
      </c>
      <c r="J277" s="41"/>
      <c r="K277" s="44">
        <v>650</v>
      </c>
      <c r="L277" s="41" t="s">
        <v>435</v>
      </c>
      <c r="M277" s="44">
        <v>4</v>
      </c>
      <c r="N277" s="43" t="s">
        <v>436</v>
      </c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>
      <c r="A278" s="46" t="s">
        <v>533</v>
      </c>
      <c r="B278" s="46" t="s">
        <v>143</v>
      </c>
      <c r="C278" s="46" t="s">
        <v>424</v>
      </c>
      <c r="D278" s="46" t="s">
        <v>429</v>
      </c>
      <c r="E278" s="46" t="s">
        <v>74</v>
      </c>
      <c r="F278" s="47">
        <v>7</v>
      </c>
      <c r="G278" s="46" t="s">
        <v>11</v>
      </c>
      <c r="H278" s="48" t="s">
        <v>426</v>
      </c>
      <c r="I278" s="49">
        <v>25</v>
      </c>
      <c r="J278" s="49">
        <v>175</v>
      </c>
      <c r="K278" s="46"/>
      <c r="L278" s="50">
        <v>52000</v>
      </c>
      <c r="M278" s="49">
        <v>1</v>
      </c>
      <c r="N278" s="48" t="s">
        <v>383</v>
      </c>
      <c r="O278" s="51"/>
    </row>
    <row r="279" spans="1:26" ht="15.75" customHeight="1">
      <c r="A279" s="46" t="s">
        <v>533</v>
      </c>
      <c r="B279" s="46" t="s">
        <v>143</v>
      </c>
      <c r="C279" s="46" t="s">
        <v>424</v>
      </c>
      <c r="D279" s="46" t="s">
        <v>429</v>
      </c>
      <c r="E279" s="46" t="s">
        <v>74</v>
      </c>
      <c r="F279" s="47">
        <v>8</v>
      </c>
      <c r="G279" s="46" t="s">
        <v>12</v>
      </c>
      <c r="H279" s="48" t="s">
        <v>430</v>
      </c>
      <c r="I279" s="49">
        <v>180</v>
      </c>
      <c r="J279" s="49">
        <v>175</v>
      </c>
      <c r="K279" s="46"/>
      <c r="L279" s="50">
        <v>52000</v>
      </c>
      <c r="M279" s="49">
        <v>1</v>
      </c>
      <c r="N279" s="48" t="s">
        <v>383</v>
      </c>
      <c r="O279" s="51"/>
    </row>
    <row r="280" spans="1:26" ht="15.75" customHeight="1">
      <c r="A280" s="46" t="s">
        <v>533</v>
      </c>
      <c r="B280" s="46" t="s">
        <v>143</v>
      </c>
      <c r="C280" s="46" t="s">
        <v>424</v>
      </c>
      <c r="D280" s="46" t="s">
        <v>429</v>
      </c>
      <c r="E280" s="46" t="s">
        <v>74</v>
      </c>
      <c r="F280" s="47">
        <v>9</v>
      </c>
      <c r="G280" s="46" t="s">
        <v>13</v>
      </c>
      <c r="H280" s="48" t="s">
        <v>430</v>
      </c>
      <c r="I280" s="49">
        <v>30</v>
      </c>
      <c r="J280" s="49">
        <v>175</v>
      </c>
      <c r="K280" s="46"/>
      <c r="L280" s="50">
        <v>52000</v>
      </c>
      <c r="M280" s="49">
        <v>1</v>
      </c>
      <c r="N280" s="48" t="s">
        <v>383</v>
      </c>
      <c r="O280" s="51"/>
    </row>
    <row r="281" spans="1:26" ht="15.75" customHeight="1">
      <c r="A281" s="41" t="s">
        <v>534</v>
      </c>
      <c r="B281" s="41" t="s">
        <v>143</v>
      </c>
      <c r="C281" s="41" t="s">
        <v>424</v>
      </c>
      <c r="D281" s="41" t="s">
        <v>425</v>
      </c>
      <c r="E281" s="41" t="s">
        <v>48</v>
      </c>
      <c r="F281" s="42">
        <v>4</v>
      </c>
      <c r="G281" s="41" t="s">
        <v>11</v>
      </c>
      <c r="H281" s="43" t="s">
        <v>426</v>
      </c>
      <c r="I281" s="44">
        <v>25</v>
      </c>
      <c r="J281" s="44">
        <v>175</v>
      </c>
      <c r="K281" s="41"/>
      <c r="L281" s="45">
        <v>52000</v>
      </c>
      <c r="M281" s="44">
        <v>1</v>
      </c>
      <c r="N281" s="43" t="s">
        <v>383</v>
      </c>
    </row>
    <row r="282" spans="1:26" ht="15.75" customHeight="1">
      <c r="A282" s="41" t="s">
        <v>534</v>
      </c>
      <c r="B282" s="41" t="s">
        <v>143</v>
      </c>
      <c r="C282" s="41" t="s">
        <v>424</v>
      </c>
      <c r="D282" s="41" t="s">
        <v>425</v>
      </c>
      <c r="E282" s="41" t="s">
        <v>48</v>
      </c>
      <c r="F282" s="42">
        <v>5</v>
      </c>
      <c r="G282" s="41" t="s">
        <v>12</v>
      </c>
      <c r="H282" s="43" t="s">
        <v>427</v>
      </c>
      <c r="I282" s="44">
        <v>130</v>
      </c>
      <c r="J282" s="44">
        <v>175</v>
      </c>
      <c r="K282" s="41"/>
      <c r="L282" s="45">
        <v>52000</v>
      </c>
      <c r="M282" s="44">
        <v>1</v>
      </c>
      <c r="N282" s="43" t="s">
        <v>383</v>
      </c>
    </row>
    <row r="283" spans="1:26" ht="15.75" customHeight="1">
      <c r="A283" s="41" t="s">
        <v>534</v>
      </c>
      <c r="B283" s="41" t="s">
        <v>143</v>
      </c>
      <c r="C283" s="41" t="s">
        <v>424</v>
      </c>
      <c r="D283" s="41" t="s">
        <v>425</v>
      </c>
      <c r="E283" s="41" t="s">
        <v>48</v>
      </c>
      <c r="F283" s="42">
        <v>6</v>
      </c>
      <c r="G283" s="41" t="s">
        <v>13</v>
      </c>
      <c r="H283" s="43" t="s">
        <v>427</v>
      </c>
      <c r="I283" s="44">
        <v>30</v>
      </c>
      <c r="J283" s="44">
        <v>175</v>
      </c>
      <c r="K283" s="41"/>
      <c r="L283" s="45">
        <v>52000</v>
      </c>
      <c r="M283" s="44">
        <v>1</v>
      </c>
      <c r="N283" s="43" t="s">
        <v>383</v>
      </c>
    </row>
    <row r="284" spans="1:26" ht="15.75" customHeight="1">
      <c r="A284" s="41" t="s">
        <v>534</v>
      </c>
      <c r="B284" s="41" t="s">
        <v>143</v>
      </c>
      <c r="C284" s="41" t="s">
        <v>431</v>
      </c>
      <c r="D284" s="41" t="s">
        <v>432</v>
      </c>
      <c r="E284" s="41" t="s">
        <v>433</v>
      </c>
      <c r="F284" s="42">
        <v>18</v>
      </c>
      <c r="G284" s="41" t="s">
        <v>439</v>
      </c>
      <c r="H284" s="43" t="s">
        <v>440</v>
      </c>
      <c r="I284" s="44">
        <v>60</v>
      </c>
      <c r="J284" s="41"/>
      <c r="K284" s="44">
        <v>800</v>
      </c>
      <c r="L284" s="41" t="s">
        <v>435</v>
      </c>
      <c r="M284" s="44">
        <v>1</v>
      </c>
      <c r="N284" s="43" t="s">
        <v>436</v>
      </c>
    </row>
    <row r="285" spans="1:26" ht="15.75" customHeight="1">
      <c r="A285" s="41" t="s">
        <v>534</v>
      </c>
      <c r="B285" s="41" t="s">
        <v>143</v>
      </c>
      <c r="C285" s="41" t="s">
        <v>431</v>
      </c>
      <c r="D285" s="41" t="s">
        <v>432</v>
      </c>
      <c r="E285" s="41" t="s">
        <v>433</v>
      </c>
      <c r="F285" s="42">
        <v>19</v>
      </c>
      <c r="G285" s="41" t="s">
        <v>368</v>
      </c>
      <c r="H285" s="43" t="s">
        <v>434</v>
      </c>
      <c r="I285" s="44">
        <v>60</v>
      </c>
      <c r="J285" s="41"/>
      <c r="K285" s="44">
        <v>500</v>
      </c>
      <c r="L285" s="41" t="s">
        <v>435</v>
      </c>
      <c r="M285" s="44">
        <v>3</v>
      </c>
      <c r="N285" s="43" t="s">
        <v>436</v>
      </c>
    </row>
    <row r="286" spans="1:26" ht="15.75" customHeight="1">
      <c r="A286" s="41" t="s">
        <v>535</v>
      </c>
      <c r="B286" s="41" t="s">
        <v>536</v>
      </c>
      <c r="C286" s="41" t="s">
        <v>442</v>
      </c>
      <c r="D286" s="41" t="s">
        <v>443</v>
      </c>
      <c r="E286" s="41" t="s">
        <v>33</v>
      </c>
      <c r="F286" s="42">
        <v>10</v>
      </c>
      <c r="G286" s="41" t="s">
        <v>11</v>
      </c>
      <c r="H286" s="43" t="s">
        <v>426</v>
      </c>
      <c r="I286" s="44">
        <v>25</v>
      </c>
      <c r="J286" s="44">
        <v>30</v>
      </c>
      <c r="K286" s="41"/>
      <c r="L286" s="45">
        <v>412000</v>
      </c>
      <c r="M286" s="44">
        <v>1</v>
      </c>
      <c r="N286" s="43" t="s">
        <v>383</v>
      </c>
    </row>
    <row r="287" spans="1:26" ht="15.75" customHeight="1">
      <c r="A287" s="41" t="s">
        <v>535</v>
      </c>
      <c r="B287" s="41" t="s">
        <v>536</v>
      </c>
      <c r="C287" s="41" t="s">
        <v>442</v>
      </c>
      <c r="D287" s="41" t="s">
        <v>443</v>
      </c>
      <c r="E287" s="41" t="s">
        <v>33</v>
      </c>
      <c r="F287" s="42">
        <v>11</v>
      </c>
      <c r="G287" s="41" t="s">
        <v>12</v>
      </c>
      <c r="H287" s="43" t="s">
        <v>444</v>
      </c>
      <c r="I287" s="44">
        <v>110</v>
      </c>
      <c r="J287" s="44">
        <v>30</v>
      </c>
      <c r="K287" s="41"/>
      <c r="L287" s="45">
        <v>412000</v>
      </c>
      <c r="M287" s="44">
        <v>1</v>
      </c>
      <c r="N287" s="43" t="s">
        <v>383</v>
      </c>
    </row>
    <row r="288" spans="1:26" ht="15.75" customHeight="1">
      <c r="A288" s="41" t="s">
        <v>535</v>
      </c>
      <c r="B288" s="41" t="s">
        <v>536</v>
      </c>
      <c r="C288" s="41" t="s">
        <v>442</v>
      </c>
      <c r="D288" s="41" t="s">
        <v>443</v>
      </c>
      <c r="E288" s="41" t="s">
        <v>33</v>
      </c>
      <c r="F288" s="42">
        <v>12</v>
      </c>
      <c r="G288" s="41" t="s">
        <v>13</v>
      </c>
      <c r="H288" s="43" t="s">
        <v>444</v>
      </c>
      <c r="I288" s="44">
        <v>20</v>
      </c>
      <c r="J288" s="44">
        <v>30</v>
      </c>
      <c r="K288" s="41"/>
      <c r="L288" s="45">
        <v>412000</v>
      </c>
      <c r="M288" s="44">
        <v>1</v>
      </c>
      <c r="N288" s="43" t="s">
        <v>383</v>
      </c>
    </row>
    <row r="289" spans="1:26" ht="15.75" customHeight="1">
      <c r="A289" s="41" t="s">
        <v>535</v>
      </c>
      <c r="B289" s="41" t="s">
        <v>536</v>
      </c>
      <c r="C289" s="41" t="s">
        <v>431</v>
      </c>
      <c r="D289" s="41" t="s">
        <v>432</v>
      </c>
      <c r="E289" s="41" t="s">
        <v>433</v>
      </c>
      <c r="F289" s="42">
        <v>18</v>
      </c>
      <c r="G289" s="41" t="s">
        <v>439</v>
      </c>
      <c r="H289" s="43" t="s">
        <v>440</v>
      </c>
      <c r="I289" s="44">
        <v>60</v>
      </c>
      <c r="J289" s="41"/>
      <c r="K289" s="44">
        <v>600</v>
      </c>
      <c r="L289" s="41" t="s">
        <v>435</v>
      </c>
      <c r="M289" s="44">
        <v>1</v>
      </c>
      <c r="N289" s="43" t="s">
        <v>436</v>
      </c>
    </row>
    <row r="290" spans="1:26" ht="15.75" customHeight="1">
      <c r="A290" s="41" t="s">
        <v>535</v>
      </c>
      <c r="B290" s="41" t="s">
        <v>536</v>
      </c>
      <c r="C290" s="41" t="s">
        <v>431</v>
      </c>
      <c r="D290" s="41" t="s">
        <v>432</v>
      </c>
      <c r="E290" s="41" t="s">
        <v>433</v>
      </c>
      <c r="F290" s="42">
        <v>19</v>
      </c>
      <c r="G290" s="41" t="s">
        <v>368</v>
      </c>
      <c r="H290" s="43" t="s">
        <v>434</v>
      </c>
      <c r="I290" s="44">
        <v>60</v>
      </c>
      <c r="J290" s="41"/>
      <c r="K290" s="44">
        <v>600</v>
      </c>
      <c r="L290" s="41" t="s">
        <v>435</v>
      </c>
      <c r="M290" s="44">
        <v>4</v>
      </c>
      <c r="N290" s="43" t="s">
        <v>436</v>
      </c>
    </row>
    <row r="291" spans="1:26" ht="15.75" customHeight="1">
      <c r="A291" s="41" t="s">
        <v>537</v>
      </c>
      <c r="B291" s="41" t="s">
        <v>103</v>
      </c>
      <c r="C291" s="41" t="s">
        <v>424</v>
      </c>
      <c r="D291" s="41" t="s">
        <v>425</v>
      </c>
      <c r="E291" s="41" t="s">
        <v>48</v>
      </c>
      <c r="F291" s="42">
        <v>4</v>
      </c>
      <c r="G291" s="41" t="s">
        <v>11</v>
      </c>
      <c r="H291" s="43" t="s">
        <v>426</v>
      </c>
      <c r="I291" s="44">
        <v>80</v>
      </c>
      <c r="J291" s="44">
        <v>49.7</v>
      </c>
      <c r="K291" s="41"/>
      <c r="L291" s="45">
        <v>52000</v>
      </c>
      <c r="M291" s="44">
        <v>1</v>
      </c>
      <c r="N291" s="43" t="s">
        <v>383</v>
      </c>
    </row>
    <row r="292" spans="1:26" ht="15.75" customHeight="1">
      <c r="A292" s="41" t="s">
        <v>537</v>
      </c>
      <c r="B292" s="41" t="s">
        <v>103</v>
      </c>
      <c r="C292" s="41" t="s">
        <v>424</v>
      </c>
      <c r="D292" s="41" t="s">
        <v>425</v>
      </c>
      <c r="E292" s="41" t="s">
        <v>48</v>
      </c>
      <c r="F292" s="42">
        <v>5</v>
      </c>
      <c r="G292" s="41" t="s">
        <v>12</v>
      </c>
      <c r="H292" s="43" t="s">
        <v>427</v>
      </c>
      <c r="I292" s="44">
        <v>140</v>
      </c>
      <c r="J292" s="44">
        <v>49.7</v>
      </c>
      <c r="K292" s="41"/>
      <c r="L292" s="45">
        <v>52000</v>
      </c>
      <c r="M292" s="44">
        <v>1</v>
      </c>
      <c r="N292" s="43" t="s">
        <v>383</v>
      </c>
    </row>
    <row r="293" spans="1:26" ht="15.75" customHeight="1">
      <c r="A293" s="41" t="s">
        <v>537</v>
      </c>
      <c r="B293" s="41" t="s">
        <v>103</v>
      </c>
      <c r="C293" s="41" t="s">
        <v>424</v>
      </c>
      <c r="D293" s="41" t="s">
        <v>425</v>
      </c>
      <c r="E293" s="41" t="s">
        <v>48</v>
      </c>
      <c r="F293" s="42">
        <v>6</v>
      </c>
      <c r="G293" s="41" t="s">
        <v>13</v>
      </c>
      <c r="H293" s="43" t="s">
        <v>427</v>
      </c>
      <c r="I293" s="44">
        <v>45</v>
      </c>
      <c r="J293" s="44">
        <v>49.7</v>
      </c>
      <c r="K293" s="41"/>
      <c r="L293" s="45">
        <v>52000</v>
      </c>
      <c r="M293" s="44">
        <v>1</v>
      </c>
      <c r="N293" s="43" t="s">
        <v>383</v>
      </c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>
      <c r="A294" s="41" t="s">
        <v>537</v>
      </c>
      <c r="B294" s="41" t="s">
        <v>103</v>
      </c>
      <c r="C294" s="41" t="s">
        <v>431</v>
      </c>
      <c r="D294" s="41" t="s">
        <v>432</v>
      </c>
      <c r="E294" s="41" t="s">
        <v>433</v>
      </c>
      <c r="F294" s="42">
        <v>18</v>
      </c>
      <c r="G294" s="41" t="s">
        <v>439</v>
      </c>
      <c r="H294" s="43" t="s">
        <v>440</v>
      </c>
      <c r="I294" s="44">
        <v>60</v>
      </c>
      <c r="J294" s="41"/>
      <c r="K294" s="44">
        <v>1500</v>
      </c>
      <c r="L294" s="41" t="s">
        <v>435</v>
      </c>
      <c r="M294" s="44">
        <v>1</v>
      </c>
      <c r="N294" s="43" t="s">
        <v>436</v>
      </c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>
      <c r="A295" s="41" t="s">
        <v>537</v>
      </c>
      <c r="B295" s="41" t="s">
        <v>103</v>
      </c>
      <c r="C295" s="41" t="s">
        <v>431</v>
      </c>
      <c r="D295" s="41" t="s">
        <v>432</v>
      </c>
      <c r="E295" s="41" t="s">
        <v>433</v>
      </c>
      <c r="F295" s="42">
        <v>19</v>
      </c>
      <c r="G295" s="41" t="s">
        <v>368</v>
      </c>
      <c r="H295" s="43" t="s">
        <v>434</v>
      </c>
      <c r="I295" s="44">
        <v>60</v>
      </c>
      <c r="J295" s="41"/>
      <c r="K295" s="44">
        <v>900</v>
      </c>
      <c r="L295" s="41" t="s">
        <v>435</v>
      </c>
      <c r="M295" s="44">
        <v>4</v>
      </c>
      <c r="N295" s="43" t="s">
        <v>436</v>
      </c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>
      <c r="A296" s="41" t="s">
        <v>538</v>
      </c>
      <c r="B296" s="41" t="s">
        <v>539</v>
      </c>
      <c r="C296" s="41" t="s">
        <v>442</v>
      </c>
      <c r="D296" s="41" t="s">
        <v>443</v>
      </c>
      <c r="E296" s="41" t="s">
        <v>33</v>
      </c>
      <c r="F296" s="42">
        <v>10</v>
      </c>
      <c r="G296" s="41" t="s">
        <v>11</v>
      </c>
      <c r="H296" s="43" t="s">
        <v>426</v>
      </c>
      <c r="I296" s="44">
        <v>100</v>
      </c>
      <c r="J296" s="44">
        <v>30.6</v>
      </c>
      <c r="K296" s="41"/>
      <c r="L296" s="45">
        <v>78500</v>
      </c>
      <c r="M296" s="44">
        <v>1</v>
      </c>
      <c r="N296" s="43" t="s">
        <v>383</v>
      </c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>
      <c r="A297" s="41" t="s">
        <v>538</v>
      </c>
      <c r="B297" s="41" t="s">
        <v>539</v>
      </c>
      <c r="C297" s="41" t="s">
        <v>442</v>
      </c>
      <c r="D297" s="41" t="s">
        <v>443</v>
      </c>
      <c r="E297" s="41" t="s">
        <v>33</v>
      </c>
      <c r="F297" s="42">
        <v>11</v>
      </c>
      <c r="G297" s="41" t="s">
        <v>12</v>
      </c>
      <c r="H297" s="43" t="s">
        <v>444</v>
      </c>
      <c r="I297" s="44">
        <v>110</v>
      </c>
      <c r="J297" s="44">
        <v>30.6</v>
      </c>
      <c r="K297" s="41"/>
      <c r="L297" s="45">
        <v>78500</v>
      </c>
      <c r="M297" s="44">
        <v>1</v>
      </c>
      <c r="N297" s="43" t="s">
        <v>383</v>
      </c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>
      <c r="A298" s="41" t="s">
        <v>538</v>
      </c>
      <c r="B298" s="41" t="s">
        <v>539</v>
      </c>
      <c r="C298" s="41" t="s">
        <v>442</v>
      </c>
      <c r="D298" s="41" t="s">
        <v>443</v>
      </c>
      <c r="E298" s="41" t="s">
        <v>33</v>
      </c>
      <c r="F298" s="42">
        <v>12</v>
      </c>
      <c r="G298" s="41" t="s">
        <v>13</v>
      </c>
      <c r="H298" s="43" t="s">
        <v>444</v>
      </c>
      <c r="I298" s="44">
        <v>30</v>
      </c>
      <c r="J298" s="44">
        <v>30.6</v>
      </c>
      <c r="K298" s="41"/>
      <c r="L298" s="45">
        <v>78500</v>
      </c>
      <c r="M298" s="44">
        <v>1</v>
      </c>
      <c r="N298" s="43" t="s">
        <v>383</v>
      </c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>
      <c r="A299" s="41" t="s">
        <v>538</v>
      </c>
      <c r="B299" s="41" t="s">
        <v>539</v>
      </c>
      <c r="C299" s="41" t="s">
        <v>431</v>
      </c>
      <c r="D299" s="41" t="s">
        <v>432</v>
      </c>
      <c r="E299" s="41" t="s">
        <v>433</v>
      </c>
      <c r="F299" s="42">
        <v>18</v>
      </c>
      <c r="G299" s="41" t="s">
        <v>439</v>
      </c>
      <c r="H299" s="43" t="s">
        <v>440</v>
      </c>
      <c r="I299" s="44">
        <v>60</v>
      </c>
      <c r="J299" s="41"/>
      <c r="K299" s="44">
        <v>900</v>
      </c>
      <c r="L299" s="41" t="s">
        <v>435</v>
      </c>
      <c r="M299" s="44">
        <v>1</v>
      </c>
      <c r="N299" s="43" t="s">
        <v>436</v>
      </c>
    </row>
    <row r="300" spans="1:26" ht="15.75" customHeight="1">
      <c r="A300" s="41" t="s">
        <v>538</v>
      </c>
      <c r="B300" s="41" t="s">
        <v>539</v>
      </c>
      <c r="C300" s="41" t="s">
        <v>431</v>
      </c>
      <c r="D300" s="41" t="s">
        <v>432</v>
      </c>
      <c r="E300" s="41" t="s">
        <v>433</v>
      </c>
      <c r="F300" s="42">
        <v>19</v>
      </c>
      <c r="G300" s="41" t="s">
        <v>368</v>
      </c>
      <c r="H300" s="43" t="s">
        <v>434</v>
      </c>
      <c r="I300" s="44">
        <v>60</v>
      </c>
      <c r="J300" s="41"/>
      <c r="K300" s="44">
        <v>1200</v>
      </c>
      <c r="L300" s="41" t="s">
        <v>435</v>
      </c>
      <c r="M300" s="44">
        <v>4</v>
      </c>
      <c r="N300" s="43" t="s">
        <v>436</v>
      </c>
    </row>
    <row r="301" spans="1:26" ht="15.75" customHeight="1">
      <c r="A301" s="41" t="s">
        <v>540</v>
      </c>
      <c r="B301" s="41" t="s">
        <v>541</v>
      </c>
      <c r="C301" s="41" t="s">
        <v>424</v>
      </c>
      <c r="D301" s="41" t="s">
        <v>443</v>
      </c>
      <c r="E301" s="41" t="s">
        <v>33</v>
      </c>
      <c r="F301" s="42">
        <v>10</v>
      </c>
      <c r="G301" s="41" t="s">
        <v>11</v>
      </c>
      <c r="H301" s="43" t="s">
        <v>426</v>
      </c>
      <c r="I301" s="44">
        <v>95</v>
      </c>
      <c r="J301" s="44">
        <v>50</v>
      </c>
      <c r="K301" s="41"/>
      <c r="L301" s="45">
        <v>76000</v>
      </c>
      <c r="M301" s="44">
        <v>1</v>
      </c>
      <c r="N301" s="43" t="s">
        <v>383</v>
      </c>
    </row>
    <row r="302" spans="1:26" ht="15.75" customHeight="1">
      <c r="A302" s="41" t="s">
        <v>540</v>
      </c>
      <c r="B302" s="41" t="s">
        <v>541</v>
      </c>
      <c r="C302" s="41" t="s">
        <v>424</v>
      </c>
      <c r="D302" s="41" t="s">
        <v>443</v>
      </c>
      <c r="E302" s="41" t="s">
        <v>33</v>
      </c>
      <c r="F302" s="42">
        <v>11</v>
      </c>
      <c r="G302" s="41" t="s">
        <v>12</v>
      </c>
      <c r="H302" s="43" t="s">
        <v>444</v>
      </c>
      <c r="I302" s="44">
        <v>80</v>
      </c>
      <c r="J302" s="44">
        <v>50</v>
      </c>
      <c r="K302" s="41"/>
      <c r="L302" s="45">
        <v>76000</v>
      </c>
      <c r="M302" s="44">
        <v>1</v>
      </c>
      <c r="N302" s="43" t="s">
        <v>383</v>
      </c>
    </row>
    <row r="303" spans="1:26" ht="15.75" customHeight="1">
      <c r="A303" s="41" t="s">
        <v>540</v>
      </c>
      <c r="B303" s="41" t="s">
        <v>541</v>
      </c>
      <c r="C303" s="41" t="s">
        <v>424</v>
      </c>
      <c r="D303" s="41" t="s">
        <v>443</v>
      </c>
      <c r="E303" s="41" t="s">
        <v>33</v>
      </c>
      <c r="F303" s="42">
        <v>12</v>
      </c>
      <c r="G303" s="41" t="s">
        <v>13</v>
      </c>
      <c r="H303" s="43" t="s">
        <v>444</v>
      </c>
      <c r="I303" s="44">
        <v>30</v>
      </c>
      <c r="J303" s="44">
        <v>50</v>
      </c>
      <c r="K303" s="41"/>
      <c r="L303" s="45">
        <v>76000</v>
      </c>
      <c r="M303" s="44">
        <v>1</v>
      </c>
      <c r="N303" s="43" t="s">
        <v>383</v>
      </c>
    </row>
    <row r="304" spans="1:26" ht="15.75" customHeight="1">
      <c r="A304" s="41" t="s">
        <v>540</v>
      </c>
      <c r="B304" s="41" t="s">
        <v>541</v>
      </c>
      <c r="C304" s="41" t="s">
        <v>431</v>
      </c>
      <c r="D304" s="41" t="s">
        <v>432</v>
      </c>
      <c r="E304" s="41" t="s">
        <v>433</v>
      </c>
      <c r="F304" s="42">
        <v>18</v>
      </c>
      <c r="G304" s="41" t="s">
        <v>439</v>
      </c>
      <c r="H304" s="43" t="s">
        <v>440</v>
      </c>
      <c r="I304" s="44">
        <v>60</v>
      </c>
      <c r="J304" s="41"/>
      <c r="K304" s="44">
        <v>1100</v>
      </c>
      <c r="L304" s="41" t="s">
        <v>435</v>
      </c>
      <c r="M304" s="44">
        <v>1</v>
      </c>
      <c r="N304" s="43" t="s">
        <v>436</v>
      </c>
    </row>
    <row r="305" spans="1:14" ht="15.75" customHeight="1">
      <c r="A305" s="41" t="s">
        <v>540</v>
      </c>
      <c r="B305" s="41" t="s">
        <v>541</v>
      </c>
      <c r="C305" s="41" t="s">
        <v>431</v>
      </c>
      <c r="D305" s="41" t="s">
        <v>432</v>
      </c>
      <c r="E305" s="41" t="s">
        <v>433</v>
      </c>
      <c r="F305" s="42">
        <v>19</v>
      </c>
      <c r="G305" s="41" t="s">
        <v>368</v>
      </c>
      <c r="H305" s="43" t="s">
        <v>434</v>
      </c>
      <c r="I305" s="44">
        <v>60</v>
      </c>
      <c r="J305" s="41"/>
      <c r="K305" s="44">
        <v>800</v>
      </c>
      <c r="L305" s="41" t="s">
        <v>435</v>
      </c>
      <c r="M305" s="44">
        <v>4</v>
      </c>
      <c r="N305" s="43" t="s">
        <v>436</v>
      </c>
    </row>
    <row r="306" spans="1:14" ht="15.75" customHeight="1">
      <c r="A306" s="41" t="s">
        <v>542</v>
      </c>
      <c r="B306" s="41" t="s">
        <v>543</v>
      </c>
      <c r="C306" s="41" t="s">
        <v>424</v>
      </c>
      <c r="D306" s="41" t="s">
        <v>425</v>
      </c>
      <c r="E306" s="41" t="s">
        <v>48</v>
      </c>
      <c r="F306" s="42">
        <v>4</v>
      </c>
      <c r="G306" s="41" t="s">
        <v>11</v>
      </c>
      <c r="H306" s="43" t="s">
        <v>426</v>
      </c>
      <c r="I306" s="44">
        <v>25</v>
      </c>
      <c r="J306" s="44">
        <v>30</v>
      </c>
      <c r="K306" s="41"/>
      <c r="L306" s="45">
        <v>52000</v>
      </c>
      <c r="M306" s="44">
        <v>1</v>
      </c>
      <c r="N306" s="43" t="s">
        <v>383</v>
      </c>
    </row>
    <row r="307" spans="1:14" ht="15.75" customHeight="1">
      <c r="A307" s="41" t="s">
        <v>542</v>
      </c>
      <c r="B307" s="41" t="s">
        <v>543</v>
      </c>
      <c r="C307" s="41" t="s">
        <v>424</v>
      </c>
      <c r="D307" s="41" t="s">
        <v>425</v>
      </c>
      <c r="E307" s="41" t="s">
        <v>48</v>
      </c>
      <c r="F307" s="42">
        <v>5</v>
      </c>
      <c r="G307" s="41" t="s">
        <v>12</v>
      </c>
      <c r="H307" s="43" t="s">
        <v>427</v>
      </c>
      <c r="I307" s="44">
        <v>140</v>
      </c>
      <c r="J307" s="44">
        <v>30</v>
      </c>
      <c r="K307" s="41"/>
      <c r="L307" s="45">
        <v>52000</v>
      </c>
      <c r="M307" s="44">
        <v>1</v>
      </c>
      <c r="N307" s="43" t="s">
        <v>383</v>
      </c>
    </row>
    <row r="308" spans="1:14" ht="15.75" customHeight="1">
      <c r="A308" s="41" t="s">
        <v>542</v>
      </c>
      <c r="B308" s="41" t="s">
        <v>543</v>
      </c>
      <c r="C308" s="41" t="s">
        <v>424</v>
      </c>
      <c r="D308" s="41" t="s">
        <v>425</v>
      </c>
      <c r="E308" s="41" t="s">
        <v>48</v>
      </c>
      <c r="F308" s="42">
        <v>6</v>
      </c>
      <c r="G308" s="41" t="s">
        <v>13</v>
      </c>
      <c r="H308" s="43" t="s">
        <v>427</v>
      </c>
      <c r="I308" s="44">
        <v>90</v>
      </c>
      <c r="J308" s="44">
        <v>30</v>
      </c>
      <c r="K308" s="41"/>
      <c r="L308" s="45">
        <v>52000</v>
      </c>
      <c r="M308" s="44">
        <v>1</v>
      </c>
      <c r="N308" s="43" t="s">
        <v>383</v>
      </c>
    </row>
    <row r="309" spans="1:14" ht="15.75" customHeight="1">
      <c r="A309" s="41" t="s">
        <v>542</v>
      </c>
      <c r="B309" s="41" t="s">
        <v>543</v>
      </c>
      <c r="C309" s="41" t="s">
        <v>431</v>
      </c>
      <c r="D309" s="41" t="s">
        <v>432</v>
      </c>
      <c r="E309" s="41" t="s">
        <v>433</v>
      </c>
      <c r="F309" s="42">
        <v>19</v>
      </c>
      <c r="G309" s="41" t="s">
        <v>368</v>
      </c>
      <c r="H309" s="43" t="s">
        <v>434</v>
      </c>
      <c r="I309" s="44">
        <v>60</v>
      </c>
      <c r="J309" s="41"/>
      <c r="K309" s="44">
        <v>850</v>
      </c>
      <c r="L309" s="41" t="s">
        <v>435</v>
      </c>
      <c r="M309" s="44">
        <v>4</v>
      </c>
      <c r="N309" s="43" t="s">
        <v>436</v>
      </c>
    </row>
    <row r="310" spans="1:14" ht="15.75" customHeight="1">
      <c r="A310" s="41" t="s">
        <v>544</v>
      </c>
      <c r="B310" s="41" t="s">
        <v>130</v>
      </c>
      <c r="C310" s="41" t="s">
        <v>424</v>
      </c>
      <c r="D310" s="41" t="s">
        <v>443</v>
      </c>
      <c r="E310" s="41" t="s">
        <v>33</v>
      </c>
      <c r="F310" s="42">
        <v>10</v>
      </c>
      <c r="G310" s="41" t="s">
        <v>11</v>
      </c>
      <c r="H310" s="43" t="s">
        <v>426</v>
      </c>
      <c r="I310" s="44">
        <v>95</v>
      </c>
      <c r="J310" s="44">
        <v>50</v>
      </c>
      <c r="K310" s="41"/>
      <c r="L310" s="45">
        <v>76000</v>
      </c>
      <c r="M310" s="44">
        <v>1</v>
      </c>
      <c r="N310" s="43" t="s">
        <v>383</v>
      </c>
    </row>
    <row r="311" spans="1:14" ht="15.75" customHeight="1">
      <c r="A311" s="41" t="s">
        <v>544</v>
      </c>
      <c r="B311" s="41" t="s">
        <v>130</v>
      </c>
      <c r="C311" s="41" t="s">
        <v>424</v>
      </c>
      <c r="D311" s="41" t="s">
        <v>443</v>
      </c>
      <c r="E311" s="41" t="s">
        <v>33</v>
      </c>
      <c r="F311" s="42">
        <v>11</v>
      </c>
      <c r="G311" s="41" t="s">
        <v>12</v>
      </c>
      <c r="H311" s="43" t="s">
        <v>444</v>
      </c>
      <c r="I311" s="44">
        <v>80</v>
      </c>
      <c r="J311" s="44">
        <v>50</v>
      </c>
      <c r="K311" s="41"/>
      <c r="L311" s="45">
        <v>76000</v>
      </c>
      <c r="M311" s="44">
        <v>1</v>
      </c>
      <c r="N311" s="43" t="s">
        <v>383</v>
      </c>
    </row>
    <row r="312" spans="1:14" ht="15.75" customHeight="1">
      <c r="A312" s="41" t="s">
        <v>544</v>
      </c>
      <c r="B312" s="41" t="s">
        <v>130</v>
      </c>
      <c r="C312" s="41" t="s">
        <v>424</v>
      </c>
      <c r="D312" s="41" t="s">
        <v>443</v>
      </c>
      <c r="E312" s="41" t="s">
        <v>33</v>
      </c>
      <c r="F312" s="42">
        <v>12</v>
      </c>
      <c r="G312" s="41" t="s">
        <v>13</v>
      </c>
      <c r="H312" s="43" t="s">
        <v>444</v>
      </c>
      <c r="I312" s="44">
        <v>30</v>
      </c>
      <c r="J312" s="44">
        <v>50</v>
      </c>
      <c r="K312" s="41"/>
      <c r="L312" s="45">
        <v>76000</v>
      </c>
      <c r="M312" s="44">
        <v>1</v>
      </c>
      <c r="N312" s="43" t="s">
        <v>383</v>
      </c>
    </row>
    <row r="313" spans="1:14" ht="15.75" customHeight="1">
      <c r="A313" s="41" t="s">
        <v>544</v>
      </c>
      <c r="B313" s="41" t="s">
        <v>130</v>
      </c>
      <c r="C313" s="41" t="s">
        <v>431</v>
      </c>
      <c r="D313" s="41" t="s">
        <v>432</v>
      </c>
      <c r="E313" s="41" t="s">
        <v>433</v>
      </c>
      <c r="F313" s="42">
        <v>18</v>
      </c>
      <c r="G313" s="41" t="s">
        <v>439</v>
      </c>
      <c r="H313" s="43" t="s">
        <v>440</v>
      </c>
      <c r="I313" s="44">
        <v>60</v>
      </c>
      <c r="J313" s="41"/>
      <c r="K313" s="44">
        <v>1100</v>
      </c>
      <c r="L313" s="41" t="s">
        <v>435</v>
      </c>
      <c r="M313" s="44">
        <v>1</v>
      </c>
      <c r="N313" s="43" t="s">
        <v>436</v>
      </c>
    </row>
    <row r="314" spans="1:14" ht="15.75" customHeight="1">
      <c r="A314" s="41" t="s">
        <v>544</v>
      </c>
      <c r="B314" s="41" t="s">
        <v>130</v>
      </c>
      <c r="C314" s="41" t="s">
        <v>431</v>
      </c>
      <c r="D314" s="41" t="s">
        <v>432</v>
      </c>
      <c r="E314" s="41" t="s">
        <v>433</v>
      </c>
      <c r="F314" s="42">
        <v>19</v>
      </c>
      <c r="G314" s="41" t="s">
        <v>368</v>
      </c>
      <c r="H314" s="43" t="s">
        <v>434</v>
      </c>
      <c r="I314" s="44">
        <v>60</v>
      </c>
      <c r="J314" s="41"/>
      <c r="K314" s="44">
        <v>900</v>
      </c>
      <c r="L314" s="41" t="s">
        <v>435</v>
      </c>
      <c r="M314" s="44">
        <v>4</v>
      </c>
      <c r="N314" s="43" t="s">
        <v>436</v>
      </c>
    </row>
    <row r="315" spans="1:14" ht="15.75" customHeight="1">
      <c r="A315" s="41" t="s">
        <v>545</v>
      </c>
      <c r="B315" s="41" t="s">
        <v>546</v>
      </c>
      <c r="C315" s="41" t="s">
        <v>424</v>
      </c>
      <c r="D315" s="41" t="s">
        <v>425</v>
      </c>
      <c r="E315" s="41" t="s">
        <v>48</v>
      </c>
      <c r="F315" s="42">
        <v>4</v>
      </c>
      <c r="G315" s="41" t="s">
        <v>11</v>
      </c>
      <c r="H315" s="43" t="s">
        <v>426</v>
      </c>
      <c r="I315" s="44">
        <v>30</v>
      </c>
      <c r="J315" s="44">
        <v>30</v>
      </c>
      <c r="K315" s="41"/>
      <c r="L315" s="45">
        <v>52000</v>
      </c>
      <c r="M315" s="44">
        <v>1</v>
      </c>
      <c r="N315" s="43" t="s">
        <v>383</v>
      </c>
    </row>
    <row r="316" spans="1:14" ht="15.75" customHeight="1">
      <c r="A316" s="41" t="s">
        <v>545</v>
      </c>
      <c r="B316" s="41" t="s">
        <v>546</v>
      </c>
      <c r="C316" s="41" t="s">
        <v>424</v>
      </c>
      <c r="D316" s="41" t="s">
        <v>425</v>
      </c>
      <c r="E316" s="41" t="s">
        <v>48</v>
      </c>
      <c r="F316" s="42">
        <v>5</v>
      </c>
      <c r="G316" s="41" t="s">
        <v>12</v>
      </c>
      <c r="H316" s="43" t="s">
        <v>427</v>
      </c>
      <c r="I316" s="44">
        <v>120</v>
      </c>
      <c r="J316" s="44">
        <v>30</v>
      </c>
      <c r="K316" s="41"/>
      <c r="L316" s="45">
        <v>52000</v>
      </c>
      <c r="M316" s="44">
        <v>1</v>
      </c>
      <c r="N316" s="43" t="s">
        <v>383</v>
      </c>
    </row>
    <row r="317" spans="1:14" ht="15.75" customHeight="1">
      <c r="A317" s="41" t="s">
        <v>545</v>
      </c>
      <c r="B317" s="41" t="s">
        <v>546</v>
      </c>
      <c r="C317" s="41" t="s">
        <v>424</v>
      </c>
      <c r="D317" s="41" t="s">
        <v>425</v>
      </c>
      <c r="E317" s="41" t="s">
        <v>48</v>
      </c>
      <c r="F317" s="42">
        <v>6</v>
      </c>
      <c r="G317" s="41" t="s">
        <v>13</v>
      </c>
      <c r="H317" s="43" t="s">
        <v>427</v>
      </c>
      <c r="I317" s="44">
        <v>60</v>
      </c>
      <c r="J317" s="44">
        <v>30</v>
      </c>
      <c r="K317" s="41"/>
      <c r="L317" s="45">
        <v>52000</v>
      </c>
      <c r="M317" s="44">
        <v>1</v>
      </c>
      <c r="N317" s="43" t="s">
        <v>383</v>
      </c>
    </row>
    <row r="318" spans="1:14" ht="15.75" customHeight="1">
      <c r="A318" s="41" t="s">
        <v>545</v>
      </c>
      <c r="B318" s="41" t="s">
        <v>546</v>
      </c>
      <c r="C318" s="41" t="s">
        <v>431</v>
      </c>
      <c r="D318" s="41" t="s">
        <v>432</v>
      </c>
      <c r="E318" s="41" t="s">
        <v>433</v>
      </c>
      <c r="F318" s="42">
        <v>18</v>
      </c>
      <c r="G318" s="41" t="s">
        <v>439</v>
      </c>
      <c r="H318" s="43" t="s">
        <v>440</v>
      </c>
      <c r="I318" s="44">
        <v>60</v>
      </c>
      <c r="J318" s="41"/>
      <c r="K318" s="44">
        <v>1200</v>
      </c>
      <c r="L318" s="41" t="s">
        <v>435</v>
      </c>
      <c r="M318" s="44">
        <v>1</v>
      </c>
      <c r="N318" s="43" t="s">
        <v>436</v>
      </c>
    </row>
    <row r="319" spans="1:14" ht="15.75" customHeight="1">
      <c r="A319" s="41" t="s">
        <v>545</v>
      </c>
      <c r="B319" s="41" t="s">
        <v>546</v>
      </c>
      <c r="C319" s="41" t="s">
        <v>431</v>
      </c>
      <c r="D319" s="41" t="s">
        <v>432</v>
      </c>
      <c r="E319" s="41" t="s">
        <v>433</v>
      </c>
      <c r="F319" s="42">
        <v>19</v>
      </c>
      <c r="G319" s="41" t="s">
        <v>368</v>
      </c>
      <c r="H319" s="43" t="s">
        <v>434</v>
      </c>
      <c r="I319" s="44">
        <v>60</v>
      </c>
      <c r="J319" s="41"/>
      <c r="K319" s="44">
        <v>680</v>
      </c>
      <c r="L319" s="41" t="s">
        <v>435</v>
      </c>
      <c r="M319" s="44">
        <v>4</v>
      </c>
      <c r="N319" s="43" t="s">
        <v>436</v>
      </c>
    </row>
    <row r="320" spans="1:14" ht="15.75" customHeight="1">
      <c r="A320" s="41" t="s">
        <v>547</v>
      </c>
      <c r="B320" s="41" t="s">
        <v>548</v>
      </c>
      <c r="C320" s="41" t="s">
        <v>424</v>
      </c>
      <c r="D320" s="41" t="s">
        <v>425</v>
      </c>
      <c r="E320" s="41" t="s">
        <v>48</v>
      </c>
      <c r="F320" s="42">
        <v>4</v>
      </c>
      <c r="G320" s="41" t="s">
        <v>11</v>
      </c>
      <c r="H320" s="43" t="s">
        <v>426</v>
      </c>
      <c r="I320" s="44">
        <v>50</v>
      </c>
      <c r="J320" s="44">
        <v>30</v>
      </c>
      <c r="K320" s="41"/>
      <c r="L320" s="45">
        <v>51000</v>
      </c>
      <c r="M320" s="44">
        <v>1</v>
      </c>
      <c r="N320" s="43" t="s">
        <v>383</v>
      </c>
    </row>
    <row r="321" spans="1:14" ht="15.75" customHeight="1">
      <c r="A321" s="41" t="s">
        <v>547</v>
      </c>
      <c r="B321" s="41" t="s">
        <v>548</v>
      </c>
      <c r="C321" s="41" t="s">
        <v>424</v>
      </c>
      <c r="D321" s="41" t="s">
        <v>425</v>
      </c>
      <c r="E321" s="41" t="s">
        <v>48</v>
      </c>
      <c r="F321" s="42">
        <v>5</v>
      </c>
      <c r="G321" s="41" t="s">
        <v>12</v>
      </c>
      <c r="H321" s="43" t="s">
        <v>427</v>
      </c>
      <c r="I321" s="44">
        <v>135</v>
      </c>
      <c r="J321" s="44">
        <v>30</v>
      </c>
      <c r="K321" s="41"/>
      <c r="L321" s="45">
        <v>51000</v>
      </c>
      <c r="M321" s="44">
        <v>1</v>
      </c>
      <c r="N321" s="43" t="s">
        <v>383</v>
      </c>
    </row>
    <row r="322" spans="1:14" ht="15.75" customHeight="1">
      <c r="A322" s="41" t="s">
        <v>547</v>
      </c>
      <c r="B322" s="41" t="s">
        <v>548</v>
      </c>
      <c r="C322" s="41" t="s">
        <v>424</v>
      </c>
      <c r="D322" s="41" t="s">
        <v>425</v>
      </c>
      <c r="E322" s="41" t="s">
        <v>48</v>
      </c>
      <c r="F322" s="42">
        <v>6</v>
      </c>
      <c r="G322" s="41" t="s">
        <v>13</v>
      </c>
      <c r="H322" s="43" t="s">
        <v>427</v>
      </c>
      <c r="I322" s="44">
        <v>30</v>
      </c>
      <c r="J322" s="44">
        <v>30</v>
      </c>
      <c r="K322" s="41"/>
      <c r="L322" s="45">
        <v>51000</v>
      </c>
      <c r="M322" s="44">
        <v>1</v>
      </c>
      <c r="N322" s="43" t="s">
        <v>383</v>
      </c>
    </row>
    <row r="323" spans="1:14" ht="15.75" customHeight="1">
      <c r="A323" s="41" t="s">
        <v>547</v>
      </c>
      <c r="B323" s="41" t="s">
        <v>548</v>
      </c>
      <c r="C323" s="41" t="s">
        <v>424</v>
      </c>
      <c r="D323" s="41" t="s">
        <v>429</v>
      </c>
      <c r="E323" s="41" t="s">
        <v>74</v>
      </c>
      <c r="F323" s="42">
        <v>8</v>
      </c>
      <c r="G323" s="41" t="s">
        <v>12</v>
      </c>
      <c r="H323" s="43" t="s">
        <v>430</v>
      </c>
      <c r="I323" s="44">
        <v>180</v>
      </c>
      <c r="J323" s="44">
        <v>30</v>
      </c>
      <c r="K323" s="41"/>
      <c r="L323" s="45">
        <v>103000</v>
      </c>
      <c r="M323" s="44">
        <v>1</v>
      </c>
      <c r="N323" s="43" t="s">
        <v>383</v>
      </c>
    </row>
    <row r="324" spans="1:14" ht="15.75" customHeight="1">
      <c r="A324" s="41" t="s">
        <v>547</v>
      </c>
      <c r="B324" s="41" t="s">
        <v>548</v>
      </c>
      <c r="C324" s="41" t="s">
        <v>424</v>
      </c>
      <c r="D324" s="41" t="s">
        <v>429</v>
      </c>
      <c r="E324" s="41" t="s">
        <v>74</v>
      </c>
      <c r="F324" s="42">
        <v>9</v>
      </c>
      <c r="G324" s="41" t="s">
        <v>13</v>
      </c>
      <c r="H324" s="43" t="s">
        <v>430</v>
      </c>
      <c r="I324" s="44">
        <v>30</v>
      </c>
      <c r="J324" s="44">
        <v>30</v>
      </c>
      <c r="K324" s="41"/>
      <c r="L324" s="45">
        <v>103000</v>
      </c>
      <c r="M324" s="44">
        <v>1</v>
      </c>
      <c r="N324" s="43" t="s">
        <v>383</v>
      </c>
    </row>
    <row r="325" spans="1:14" ht="15.75" customHeight="1">
      <c r="A325" s="41" t="s">
        <v>547</v>
      </c>
      <c r="B325" s="41" t="s">
        <v>548</v>
      </c>
      <c r="C325" s="41" t="s">
        <v>431</v>
      </c>
      <c r="D325" s="41" t="s">
        <v>432</v>
      </c>
      <c r="E325" s="41" t="s">
        <v>433</v>
      </c>
      <c r="F325" s="42">
        <v>18</v>
      </c>
      <c r="G325" s="41" t="s">
        <v>439</v>
      </c>
      <c r="H325" s="43" t="s">
        <v>440</v>
      </c>
      <c r="I325" s="44">
        <v>60</v>
      </c>
      <c r="J325" s="41"/>
      <c r="K325" s="44">
        <v>700</v>
      </c>
      <c r="L325" s="41" t="s">
        <v>435</v>
      </c>
      <c r="M325" s="44">
        <v>1</v>
      </c>
      <c r="N325" s="43" t="s">
        <v>436</v>
      </c>
    </row>
    <row r="326" spans="1:14" ht="15.75" customHeight="1">
      <c r="A326" s="41" t="s">
        <v>547</v>
      </c>
      <c r="B326" s="41" t="s">
        <v>548</v>
      </c>
      <c r="C326" s="41" t="s">
        <v>431</v>
      </c>
      <c r="D326" s="41" t="s">
        <v>432</v>
      </c>
      <c r="E326" s="41" t="s">
        <v>433</v>
      </c>
      <c r="F326" s="42">
        <v>19</v>
      </c>
      <c r="G326" s="41" t="s">
        <v>368</v>
      </c>
      <c r="H326" s="43" t="s">
        <v>434</v>
      </c>
      <c r="I326" s="44">
        <v>60</v>
      </c>
      <c r="J326" s="41"/>
      <c r="K326" s="44">
        <v>900</v>
      </c>
      <c r="L326" s="41" t="s">
        <v>435</v>
      </c>
      <c r="M326" s="44">
        <v>4</v>
      </c>
      <c r="N326" s="43" t="s">
        <v>436</v>
      </c>
    </row>
    <row r="327" spans="1:14" ht="15.75" customHeight="1">
      <c r="A327" s="41" t="s">
        <v>549</v>
      </c>
      <c r="B327" s="41" t="s">
        <v>550</v>
      </c>
      <c r="C327" s="41" t="s">
        <v>431</v>
      </c>
      <c r="D327" s="41" t="s">
        <v>432</v>
      </c>
      <c r="E327" s="41" t="s">
        <v>433</v>
      </c>
      <c r="F327" s="42">
        <v>19</v>
      </c>
      <c r="G327" s="41" t="s">
        <v>368</v>
      </c>
      <c r="H327" s="43" t="s">
        <v>434</v>
      </c>
      <c r="I327" s="44">
        <v>60</v>
      </c>
      <c r="J327" s="41"/>
      <c r="K327" s="44">
        <v>850</v>
      </c>
      <c r="L327" s="41" t="s">
        <v>435</v>
      </c>
      <c r="M327" s="44">
        <v>4</v>
      </c>
      <c r="N327" s="43" t="s">
        <v>436</v>
      </c>
    </row>
    <row r="328" spans="1:14" ht="15.75" customHeight="1">
      <c r="A328" s="41" t="s">
        <v>551</v>
      </c>
      <c r="B328" s="41" t="s">
        <v>552</v>
      </c>
      <c r="C328" s="41" t="s">
        <v>431</v>
      </c>
      <c r="D328" s="41" t="s">
        <v>432</v>
      </c>
      <c r="E328" s="41" t="s">
        <v>433</v>
      </c>
      <c r="F328" s="42">
        <v>18</v>
      </c>
      <c r="G328" s="41" t="s">
        <v>439</v>
      </c>
      <c r="H328" s="43" t="s">
        <v>440</v>
      </c>
      <c r="I328" s="44">
        <v>60</v>
      </c>
      <c r="J328" s="41"/>
      <c r="K328" s="44">
        <v>600</v>
      </c>
      <c r="L328" s="41" t="s">
        <v>435</v>
      </c>
      <c r="M328" s="44">
        <v>1</v>
      </c>
      <c r="N328" s="43" t="s">
        <v>436</v>
      </c>
    </row>
    <row r="329" spans="1:14" ht="15.75" customHeight="1">
      <c r="A329" s="41" t="s">
        <v>551</v>
      </c>
      <c r="B329" s="41" t="s">
        <v>552</v>
      </c>
      <c r="C329" s="41" t="s">
        <v>431</v>
      </c>
      <c r="D329" s="41" t="s">
        <v>432</v>
      </c>
      <c r="E329" s="41" t="s">
        <v>433</v>
      </c>
      <c r="F329" s="42">
        <v>19</v>
      </c>
      <c r="G329" s="41" t="s">
        <v>368</v>
      </c>
      <c r="H329" s="43" t="s">
        <v>434</v>
      </c>
      <c r="I329" s="44">
        <v>60</v>
      </c>
      <c r="J329" s="41"/>
      <c r="K329" s="44">
        <v>700</v>
      </c>
      <c r="L329" s="41" t="s">
        <v>435</v>
      </c>
      <c r="M329" s="44">
        <v>4</v>
      </c>
      <c r="N329" s="43" t="s">
        <v>436</v>
      </c>
    </row>
    <row r="330" spans="1:14" ht="15.75" customHeight="1">
      <c r="A330" s="41" t="s">
        <v>553</v>
      </c>
      <c r="B330" s="41" t="s">
        <v>554</v>
      </c>
      <c r="C330" s="41" t="s">
        <v>431</v>
      </c>
      <c r="D330" s="41" t="s">
        <v>432</v>
      </c>
      <c r="E330" s="41" t="s">
        <v>433</v>
      </c>
      <c r="F330" s="42">
        <v>18</v>
      </c>
      <c r="G330" s="41" t="s">
        <v>439</v>
      </c>
      <c r="H330" s="43" t="s">
        <v>440</v>
      </c>
      <c r="I330" s="44">
        <v>60</v>
      </c>
      <c r="J330" s="41"/>
      <c r="K330" s="44">
        <v>700</v>
      </c>
      <c r="L330" s="41" t="s">
        <v>435</v>
      </c>
      <c r="M330" s="44">
        <v>1</v>
      </c>
      <c r="N330" s="43" t="s">
        <v>436</v>
      </c>
    </row>
    <row r="331" spans="1:14" ht="15.75" customHeight="1">
      <c r="A331" s="41" t="s">
        <v>553</v>
      </c>
      <c r="B331" s="41" t="s">
        <v>554</v>
      </c>
      <c r="C331" s="41" t="s">
        <v>431</v>
      </c>
      <c r="D331" s="41" t="s">
        <v>432</v>
      </c>
      <c r="E331" s="41" t="s">
        <v>433</v>
      </c>
      <c r="F331" s="42">
        <v>19</v>
      </c>
      <c r="G331" s="41" t="s">
        <v>368</v>
      </c>
      <c r="H331" s="43" t="s">
        <v>434</v>
      </c>
      <c r="I331" s="44">
        <v>60</v>
      </c>
      <c r="J331" s="41"/>
      <c r="K331" s="44">
        <v>700</v>
      </c>
      <c r="L331" s="41" t="s">
        <v>435</v>
      </c>
      <c r="M331" s="44">
        <v>4</v>
      </c>
      <c r="N331" s="43" t="s">
        <v>436</v>
      </c>
    </row>
    <row r="332" spans="1:14" ht="15.75" customHeight="1">
      <c r="A332" s="41" t="s">
        <v>555</v>
      </c>
      <c r="B332" s="41" t="s">
        <v>556</v>
      </c>
      <c r="C332" s="41" t="s">
        <v>431</v>
      </c>
      <c r="D332" s="41" t="s">
        <v>432</v>
      </c>
      <c r="E332" s="41" t="s">
        <v>433</v>
      </c>
      <c r="F332" s="42">
        <v>18</v>
      </c>
      <c r="G332" s="41" t="s">
        <v>439</v>
      </c>
      <c r="H332" s="43" t="s">
        <v>440</v>
      </c>
      <c r="I332" s="44">
        <v>60</v>
      </c>
      <c r="J332" s="41"/>
      <c r="K332" s="44">
        <v>1200</v>
      </c>
      <c r="L332" s="41" t="s">
        <v>435</v>
      </c>
      <c r="M332" s="44">
        <v>1</v>
      </c>
      <c r="N332" s="43" t="s">
        <v>436</v>
      </c>
    </row>
    <row r="333" spans="1:14" ht="15.75" customHeight="1">
      <c r="A333" s="41" t="s">
        <v>555</v>
      </c>
      <c r="B333" s="41" t="s">
        <v>556</v>
      </c>
      <c r="C333" s="41" t="s">
        <v>431</v>
      </c>
      <c r="D333" s="41" t="s">
        <v>432</v>
      </c>
      <c r="E333" s="41" t="s">
        <v>433</v>
      </c>
      <c r="F333" s="42">
        <v>19</v>
      </c>
      <c r="G333" s="41" t="s">
        <v>368</v>
      </c>
      <c r="H333" s="43" t="s">
        <v>434</v>
      </c>
      <c r="I333" s="44">
        <v>60</v>
      </c>
      <c r="J333" s="41"/>
      <c r="K333" s="44">
        <v>1000</v>
      </c>
      <c r="L333" s="41" t="s">
        <v>435</v>
      </c>
      <c r="M333" s="44">
        <v>4</v>
      </c>
      <c r="N333" s="43" t="s">
        <v>436</v>
      </c>
    </row>
    <row r="334" spans="1:14" ht="15.75" customHeight="1">
      <c r="A334" s="41" t="s">
        <v>557</v>
      </c>
      <c r="B334" s="41" t="s">
        <v>558</v>
      </c>
      <c r="C334" s="41" t="s">
        <v>442</v>
      </c>
      <c r="D334" s="41" t="s">
        <v>448</v>
      </c>
      <c r="E334" s="41" t="s">
        <v>40</v>
      </c>
      <c r="F334" s="42">
        <v>1</v>
      </c>
      <c r="G334" s="41" t="s">
        <v>11</v>
      </c>
      <c r="H334" s="43" t="s">
        <v>426</v>
      </c>
      <c r="I334" s="44">
        <v>45</v>
      </c>
      <c r="J334" s="44">
        <v>151</v>
      </c>
      <c r="K334" s="41"/>
      <c r="L334" s="45">
        <v>400000</v>
      </c>
      <c r="M334" s="44">
        <v>1</v>
      </c>
      <c r="N334" s="43" t="s">
        <v>383</v>
      </c>
    </row>
    <row r="335" spans="1:14" ht="15.75" customHeight="1">
      <c r="A335" s="41" t="s">
        <v>557</v>
      </c>
      <c r="B335" s="41" t="s">
        <v>558</v>
      </c>
      <c r="C335" s="41" t="s">
        <v>442</v>
      </c>
      <c r="D335" s="41" t="s">
        <v>448</v>
      </c>
      <c r="E335" s="41" t="s">
        <v>40</v>
      </c>
      <c r="F335" s="42">
        <v>2</v>
      </c>
      <c r="G335" s="41" t="s">
        <v>12</v>
      </c>
      <c r="H335" s="43" t="s">
        <v>449</v>
      </c>
      <c r="I335" s="44">
        <v>180</v>
      </c>
      <c r="J335" s="44">
        <v>151</v>
      </c>
      <c r="K335" s="41"/>
      <c r="L335" s="45">
        <v>400000</v>
      </c>
      <c r="M335" s="44">
        <v>1</v>
      </c>
      <c r="N335" s="43" t="s">
        <v>383</v>
      </c>
    </row>
    <row r="336" spans="1:14" ht="15.75" customHeight="1">
      <c r="A336" s="41" t="s">
        <v>557</v>
      </c>
      <c r="B336" s="41" t="s">
        <v>558</v>
      </c>
      <c r="C336" s="41" t="s">
        <v>442</v>
      </c>
      <c r="D336" s="41" t="s">
        <v>448</v>
      </c>
      <c r="E336" s="41" t="s">
        <v>40</v>
      </c>
      <c r="F336" s="42">
        <v>3</v>
      </c>
      <c r="G336" s="41" t="s">
        <v>13</v>
      </c>
      <c r="H336" s="43" t="s">
        <v>449</v>
      </c>
      <c r="I336" s="44">
        <v>30</v>
      </c>
      <c r="J336" s="44">
        <v>151</v>
      </c>
      <c r="K336" s="41"/>
      <c r="L336" s="45">
        <v>400000</v>
      </c>
      <c r="M336" s="44">
        <v>1</v>
      </c>
      <c r="N336" s="43" t="s">
        <v>383</v>
      </c>
    </row>
    <row r="337" spans="1:26" ht="15.75" customHeight="1">
      <c r="A337" s="41" t="s">
        <v>557</v>
      </c>
      <c r="B337" s="41" t="s">
        <v>558</v>
      </c>
      <c r="C337" s="41" t="s">
        <v>442</v>
      </c>
      <c r="D337" s="41" t="s">
        <v>443</v>
      </c>
      <c r="E337" s="41" t="s">
        <v>33</v>
      </c>
      <c r="F337" s="42">
        <v>10</v>
      </c>
      <c r="G337" s="41" t="s">
        <v>11</v>
      </c>
      <c r="H337" s="43" t="s">
        <v>426</v>
      </c>
      <c r="I337" s="44">
        <v>45</v>
      </c>
      <c r="J337" s="44">
        <v>151</v>
      </c>
      <c r="K337" s="41"/>
      <c r="L337" s="45">
        <v>100000</v>
      </c>
      <c r="M337" s="44">
        <v>1</v>
      </c>
      <c r="N337" s="43" t="s">
        <v>383</v>
      </c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>
      <c r="A338" s="41" t="s">
        <v>557</v>
      </c>
      <c r="B338" s="41" t="s">
        <v>558</v>
      </c>
      <c r="C338" s="41" t="s">
        <v>442</v>
      </c>
      <c r="D338" s="41" t="s">
        <v>443</v>
      </c>
      <c r="E338" s="41" t="s">
        <v>33</v>
      </c>
      <c r="F338" s="42">
        <v>11</v>
      </c>
      <c r="G338" s="41" t="s">
        <v>12</v>
      </c>
      <c r="H338" s="43" t="s">
        <v>444</v>
      </c>
      <c r="I338" s="44">
        <v>180</v>
      </c>
      <c r="J338" s="44">
        <v>151</v>
      </c>
      <c r="K338" s="41"/>
      <c r="L338" s="45">
        <v>100000</v>
      </c>
      <c r="M338" s="44">
        <v>1</v>
      </c>
      <c r="N338" s="43" t="s">
        <v>383</v>
      </c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>
      <c r="A339" s="41" t="s">
        <v>557</v>
      </c>
      <c r="B339" s="41" t="s">
        <v>558</v>
      </c>
      <c r="C339" s="41" t="s">
        <v>442</v>
      </c>
      <c r="D339" s="41" t="s">
        <v>443</v>
      </c>
      <c r="E339" s="41" t="s">
        <v>33</v>
      </c>
      <c r="F339" s="42">
        <v>12</v>
      </c>
      <c r="G339" s="41" t="s">
        <v>13</v>
      </c>
      <c r="H339" s="43" t="s">
        <v>444</v>
      </c>
      <c r="I339" s="44">
        <v>15</v>
      </c>
      <c r="J339" s="44">
        <v>151</v>
      </c>
      <c r="K339" s="41"/>
      <c r="L339" s="45">
        <v>100000</v>
      </c>
      <c r="M339" s="44">
        <v>1</v>
      </c>
      <c r="N339" s="43" t="s">
        <v>383</v>
      </c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>
      <c r="A340" s="41" t="s">
        <v>557</v>
      </c>
      <c r="B340" s="41" t="s">
        <v>558</v>
      </c>
      <c r="C340" s="41" t="s">
        <v>431</v>
      </c>
      <c r="D340" s="41" t="s">
        <v>432</v>
      </c>
      <c r="E340" s="41" t="s">
        <v>433</v>
      </c>
      <c r="F340" s="42">
        <v>17</v>
      </c>
      <c r="G340" s="41" t="s">
        <v>559</v>
      </c>
      <c r="H340" s="43" t="s">
        <v>440</v>
      </c>
      <c r="I340" s="44">
        <v>60</v>
      </c>
      <c r="J340" s="41"/>
      <c r="K340" s="44">
        <v>178</v>
      </c>
      <c r="L340" s="41" t="s">
        <v>435</v>
      </c>
      <c r="M340" s="44">
        <v>1</v>
      </c>
      <c r="N340" s="43" t="s">
        <v>436</v>
      </c>
    </row>
    <row r="341" spans="1:26" ht="15.75" customHeight="1">
      <c r="A341" s="41" t="s">
        <v>557</v>
      </c>
      <c r="B341" s="41" t="s">
        <v>558</v>
      </c>
      <c r="C341" s="41" t="s">
        <v>431</v>
      </c>
      <c r="D341" s="41" t="s">
        <v>432</v>
      </c>
      <c r="E341" s="41" t="s">
        <v>433</v>
      </c>
      <c r="F341" s="42">
        <v>18</v>
      </c>
      <c r="G341" s="41" t="s">
        <v>439</v>
      </c>
      <c r="H341" s="43" t="s">
        <v>440</v>
      </c>
      <c r="I341" s="44">
        <v>60</v>
      </c>
      <c r="J341" s="41"/>
      <c r="K341" s="44">
        <v>600</v>
      </c>
      <c r="L341" s="41" t="s">
        <v>435</v>
      </c>
      <c r="M341" s="44">
        <v>1</v>
      </c>
      <c r="N341" s="43" t="s">
        <v>436</v>
      </c>
    </row>
    <row r="342" spans="1:26" ht="15.75" customHeight="1">
      <c r="A342" s="41" t="s">
        <v>557</v>
      </c>
      <c r="B342" s="41" t="s">
        <v>558</v>
      </c>
      <c r="C342" s="41" t="s">
        <v>431</v>
      </c>
      <c r="D342" s="41" t="s">
        <v>432</v>
      </c>
      <c r="E342" s="41" t="s">
        <v>433</v>
      </c>
      <c r="F342" s="42">
        <v>19</v>
      </c>
      <c r="G342" s="41" t="s">
        <v>368</v>
      </c>
      <c r="H342" s="43" t="s">
        <v>434</v>
      </c>
      <c r="I342" s="44">
        <v>60</v>
      </c>
      <c r="J342" s="41"/>
      <c r="K342" s="44">
        <v>700</v>
      </c>
      <c r="L342" s="41" t="s">
        <v>435</v>
      </c>
      <c r="M342" s="44">
        <v>4</v>
      </c>
      <c r="N342" s="43" t="s">
        <v>436</v>
      </c>
    </row>
    <row r="343" spans="1:26" ht="15.75" customHeight="1">
      <c r="A343" s="41" t="s">
        <v>560</v>
      </c>
      <c r="B343" s="41" t="s">
        <v>106</v>
      </c>
      <c r="C343" s="41" t="s">
        <v>442</v>
      </c>
      <c r="D343" s="41" t="s">
        <v>448</v>
      </c>
      <c r="E343" s="41" t="s">
        <v>40</v>
      </c>
      <c r="F343" s="42">
        <v>1</v>
      </c>
      <c r="G343" s="41" t="s">
        <v>11</v>
      </c>
      <c r="H343" s="43" t="s">
        <v>426</v>
      </c>
      <c r="I343" s="44">
        <v>30</v>
      </c>
      <c r="J343" s="44">
        <v>150</v>
      </c>
      <c r="K343" s="41"/>
      <c r="L343" s="45">
        <v>297000</v>
      </c>
      <c r="M343" s="44">
        <v>1</v>
      </c>
      <c r="N343" s="43" t="s">
        <v>383</v>
      </c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>
      <c r="A344" s="41" t="s">
        <v>560</v>
      </c>
      <c r="B344" s="41" t="s">
        <v>106</v>
      </c>
      <c r="C344" s="41" t="s">
        <v>442</v>
      </c>
      <c r="D344" s="41" t="s">
        <v>448</v>
      </c>
      <c r="E344" s="41" t="s">
        <v>40</v>
      </c>
      <c r="F344" s="42">
        <v>2</v>
      </c>
      <c r="G344" s="41" t="s">
        <v>12</v>
      </c>
      <c r="H344" s="43" t="s">
        <v>449</v>
      </c>
      <c r="I344" s="44">
        <v>95</v>
      </c>
      <c r="J344" s="44">
        <v>150</v>
      </c>
      <c r="K344" s="41"/>
      <c r="L344" s="45">
        <v>297000</v>
      </c>
      <c r="M344" s="44">
        <v>1</v>
      </c>
      <c r="N344" s="43" t="s">
        <v>383</v>
      </c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>
      <c r="A345" s="41" t="s">
        <v>560</v>
      </c>
      <c r="B345" s="41" t="s">
        <v>106</v>
      </c>
      <c r="C345" s="41" t="s">
        <v>442</v>
      </c>
      <c r="D345" s="41" t="s">
        <v>448</v>
      </c>
      <c r="E345" s="41" t="s">
        <v>40</v>
      </c>
      <c r="F345" s="42">
        <v>3</v>
      </c>
      <c r="G345" s="41" t="s">
        <v>13</v>
      </c>
      <c r="H345" s="43" t="s">
        <v>449</v>
      </c>
      <c r="I345" s="44">
        <v>30</v>
      </c>
      <c r="J345" s="44">
        <v>150</v>
      </c>
      <c r="K345" s="41"/>
      <c r="L345" s="45">
        <v>297000</v>
      </c>
      <c r="M345" s="44">
        <v>1</v>
      </c>
      <c r="N345" s="43" t="s">
        <v>383</v>
      </c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>
      <c r="A346" s="41" t="s">
        <v>560</v>
      </c>
      <c r="B346" s="41" t="s">
        <v>106</v>
      </c>
      <c r="C346" s="41" t="s">
        <v>431</v>
      </c>
      <c r="D346" s="41" t="s">
        <v>432</v>
      </c>
      <c r="E346" s="41" t="s">
        <v>433</v>
      </c>
      <c r="F346" s="42">
        <v>18</v>
      </c>
      <c r="G346" s="41" t="s">
        <v>439</v>
      </c>
      <c r="H346" s="43" t="s">
        <v>440</v>
      </c>
      <c r="I346" s="44">
        <v>60</v>
      </c>
      <c r="J346" s="41"/>
      <c r="K346" s="44">
        <v>800</v>
      </c>
      <c r="L346" s="41" t="s">
        <v>435</v>
      </c>
      <c r="M346" s="44">
        <v>1</v>
      </c>
      <c r="N346" s="43" t="s">
        <v>436</v>
      </c>
    </row>
    <row r="347" spans="1:26" ht="15.75" customHeight="1">
      <c r="A347" s="41" t="s">
        <v>560</v>
      </c>
      <c r="B347" s="41" t="s">
        <v>106</v>
      </c>
      <c r="C347" s="41" t="s">
        <v>431</v>
      </c>
      <c r="D347" s="41" t="s">
        <v>432</v>
      </c>
      <c r="E347" s="41" t="s">
        <v>433</v>
      </c>
      <c r="F347" s="42">
        <v>19</v>
      </c>
      <c r="G347" s="41" t="s">
        <v>368</v>
      </c>
      <c r="H347" s="43" t="s">
        <v>434</v>
      </c>
      <c r="I347" s="44">
        <v>60</v>
      </c>
      <c r="J347" s="41"/>
      <c r="K347" s="44">
        <v>550</v>
      </c>
      <c r="L347" s="41" t="s">
        <v>435</v>
      </c>
      <c r="M347" s="44">
        <v>4</v>
      </c>
      <c r="N347" s="43" t="s">
        <v>436</v>
      </c>
    </row>
    <row r="348" spans="1:26" ht="15.75" customHeight="1">
      <c r="A348" s="41" t="s">
        <v>561</v>
      </c>
      <c r="B348" s="41" t="s">
        <v>562</v>
      </c>
      <c r="C348" s="41" t="s">
        <v>442</v>
      </c>
      <c r="D348" s="41" t="s">
        <v>443</v>
      </c>
      <c r="E348" s="41" t="s">
        <v>33</v>
      </c>
      <c r="F348" s="42">
        <v>11</v>
      </c>
      <c r="G348" s="41" t="s">
        <v>12</v>
      </c>
      <c r="H348" s="43" t="s">
        <v>444</v>
      </c>
      <c r="I348" s="44">
        <v>110</v>
      </c>
      <c r="J348" s="44">
        <v>40</v>
      </c>
      <c r="K348" s="41"/>
      <c r="L348" s="45">
        <v>60000</v>
      </c>
      <c r="M348" s="44">
        <v>1</v>
      </c>
      <c r="N348" s="43" t="s">
        <v>383</v>
      </c>
    </row>
    <row r="349" spans="1:26" ht="15.75" customHeight="1">
      <c r="A349" s="41" t="s">
        <v>561</v>
      </c>
      <c r="B349" s="41" t="s">
        <v>562</v>
      </c>
      <c r="C349" s="41" t="s">
        <v>442</v>
      </c>
      <c r="D349" s="41" t="s">
        <v>443</v>
      </c>
      <c r="E349" s="41" t="s">
        <v>33</v>
      </c>
      <c r="F349" s="42">
        <v>12</v>
      </c>
      <c r="G349" s="41" t="s">
        <v>13</v>
      </c>
      <c r="H349" s="43" t="s">
        <v>444</v>
      </c>
      <c r="I349" s="44">
        <v>15</v>
      </c>
      <c r="J349" s="44">
        <v>40</v>
      </c>
      <c r="K349" s="41"/>
      <c r="L349" s="45">
        <v>60000</v>
      </c>
      <c r="M349" s="44">
        <v>1</v>
      </c>
      <c r="N349" s="43" t="s">
        <v>383</v>
      </c>
    </row>
    <row r="350" spans="1:26" ht="15.75" customHeight="1">
      <c r="A350" s="41" t="s">
        <v>563</v>
      </c>
      <c r="B350" s="41" t="s">
        <v>562</v>
      </c>
      <c r="C350" s="41" t="s">
        <v>499</v>
      </c>
      <c r="D350" s="41" t="s">
        <v>443</v>
      </c>
      <c r="E350" s="41" t="s">
        <v>33</v>
      </c>
      <c r="F350" s="42">
        <v>11</v>
      </c>
      <c r="G350" s="41" t="s">
        <v>12</v>
      </c>
      <c r="H350" s="43" t="s">
        <v>444</v>
      </c>
      <c r="I350" s="44">
        <v>110</v>
      </c>
      <c r="J350" s="44">
        <v>40</v>
      </c>
      <c r="K350" s="41"/>
      <c r="L350" s="45">
        <v>60000</v>
      </c>
      <c r="M350" s="44">
        <v>1</v>
      </c>
      <c r="N350" s="43" t="s">
        <v>383</v>
      </c>
    </row>
    <row r="351" spans="1:26" ht="15.75" customHeight="1">
      <c r="A351" s="41" t="s">
        <v>563</v>
      </c>
      <c r="B351" s="41" t="s">
        <v>562</v>
      </c>
      <c r="C351" s="41" t="s">
        <v>499</v>
      </c>
      <c r="D351" s="41" t="s">
        <v>443</v>
      </c>
      <c r="E351" s="41" t="s">
        <v>33</v>
      </c>
      <c r="F351" s="42">
        <v>12</v>
      </c>
      <c r="G351" s="41" t="s">
        <v>13</v>
      </c>
      <c r="H351" s="43" t="s">
        <v>444</v>
      </c>
      <c r="I351" s="44">
        <v>15</v>
      </c>
      <c r="J351" s="44">
        <v>40</v>
      </c>
      <c r="K351" s="41"/>
      <c r="L351" s="45">
        <v>60000</v>
      </c>
      <c r="M351" s="44">
        <v>1</v>
      </c>
      <c r="N351" s="43" t="s">
        <v>383</v>
      </c>
    </row>
    <row r="352" spans="1:26" ht="15.75" customHeight="1">
      <c r="A352" s="41" t="s">
        <v>563</v>
      </c>
      <c r="B352" s="41" t="s">
        <v>562</v>
      </c>
      <c r="C352" s="41" t="s">
        <v>431</v>
      </c>
      <c r="D352" s="41" t="s">
        <v>432</v>
      </c>
      <c r="E352" s="41" t="s">
        <v>433</v>
      </c>
      <c r="F352" s="42">
        <v>18</v>
      </c>
      <c r="G352" s="41" t="s">
        <v>439</v>
      </c>
      <c r="H352" s="43" t="s">
        <v>440</v>
      </c>
      <c r="I352" s="44">
        <v>60</v>
      </c>
      <c r="J352" s="41"/>
      <c r="K352" s="44">
        <v>700</v>
      </c>
      <c r="L352" s="41" t="s">
        <v>435</v>
      </c>
      <c r="M352" s="44">
        <v>1</v>
      </c>
      <c r="N352" s="43" t="s">
        <v>436</v>
      </c>
    </row>
    <row r="353" spans="1:14" ht="15.75" customHeight="1">
      <c r="A353" s="41" t="s">
        <v>563</v>
      </c>
      <c r="B353" s="41" t="s">
        <v>562</v>
      </c>
      <c r="C353" s="41" t="s">
        <v>431</v>
      </c>
      <c r="D353" s="41" t="s">
        <v>432</v>
      </c>
      <c r="E353" s="41" t="s">
        <v>433</v>
      </c>
      <c r="F353" s="42">
        <v>19</v>
      </c>
      <c r="G353" s="41" t="s">
        <v>368</v>
      </c>
      <c r="H353" s="43" t="s">
        <v>434</v>
      </c>
      <c r="I353" s="44">
        <v>60</v>
      </c>
      <c r="J353" s="41"/>
      <c r="K353" s="44">
        <v>700</v>
      </c>
      <c r="L353" s="41" t="s">
        <v>435</v>
      </c>
      <c r="M353" s="44">
        <v>3</v>
      </c>
      <c r="N353" s="43" t="s">
        <v>436</v>
      </c>
    </row>
    <row r="354" spans="1:14" ht="15.75" customHeight="1">
      <c r="A354" s="41" t="s">
        <v>561</v>
      </c>
      <c r="B354" s="41" t="s">
        <v>562</v>
      </c>
      <c r="C354" s="41" t="s">
        <v>431</v>
      </c>
      <c r="D354" s="41" t="s">
        <v>432</v>
      </c>
      <c r="E354" s="41" t="s">
        <v>433</v>
      </c>
      <c r="F354" s="42">
        <v>18</v>
      </c>
      <c r="G354" s="41" t="s">
        <v>439</v>
      </c>
      <c r="H354" s="43" t="s">
        <v>440</v>
      </c>
      <c r="I354" s="44">
        <v>60</v>
      </c>
      <c r="J354" s="41"/>
      <c r="K354" s="44">
        <v>700</v>
      </c>
      <c r="L354" s="41" t="s">
        <v>435</v>
      </c>
      <c r="M354" s="44">
        <v>1</v>
      </c>
      <c r="N354" s="43" t="s">
        <v>436</v>
      </c>
    </row>
    <row r="355" spans="1:14" ht="15.75" customHeight="1">
      <c r="A355" s="41" t="s">
        <v>561</v>
      </c>
      <c r="B355" s="41" t="s">
        <v>562</v>
      </c>
      <c r="C355" s="41" t="s">
        <v>431</v>
      </c>
      <c r="D355" s="41" t="s">
        <v>432</v>
      </c>
      <c r="E355" s="41" t="s">
        <v>433</v>
      </c>
      <c r="F355" s="42">
        <v>19</v>
      </c>
      <c r="G355" s="41" t="s">
        <v>368</v>
      </c>
      <c r="H355" s="43" t="s">
        <v>434</v>
      </c>
      <c r="I355" s="44">
        <v>60</v>
      </c>
      <c r="J355" s="41"/>
      <c r="K355" s="44">
        <v>700</v>
      </c>
      <c r="L355" s="41" t="s">
        <v>435</v>
      </c>
      <c r="M355" s="44">
        <v>3</v>
      </c>
      <c r="N355" s="43" t="s">
        <v>436</v>
      </c>
    </row>
    <row r="356" spans="1:14" ht="15.75" customHeight="1">
      <c r="A356" s="41" t="s">
        <v>564</v>
      </c>
      <c r="B356" s="41" t="s">
        <v>121</v>
      </c>
      <c r="C356" s="41" t="s">
        <v>424</v>
      </c>
      <c r="D356" s="41" t="s">
        <v>425</v>
      </c>
      <c r="E356" s="41" t="s">
        <v>48</v>
      </c>
      <c r="F356" s="42">
        <v>4</v>
      </c>
      <c r="G356" s="41" t="s">
        <v>11</v>
      </c>
      <c r="H356" s="43" t="s">
        <v>426</v>
      </c>
      <c r="I356" s="44">
        <v>25</v>
      </c>
      <c r="J356" s="44">
        <v>15</v>
      </c>
      <c r="K356" s="41"/>
      <c r="L356" s="45">
        <v>52000</v>
      </c>
      <c r="M356" s="44">
        <v>1</v>
      </c>
      <c r="N356" s="43" t="s">
        <v>383</v>
      </c>
    </row>
    <row r="357" spans="1:14" ht="15.75" customHeight="1">
      <c r="A357" s="41" t="s">
        <v>564</v>
      </c>
      <c r="B357" s="41" t="s">
        <v>121</v>
      </c>
      <c r="C357" s="41" t="s">
        <v>424</v>
      </c>
      <c r="D357" s="41" t="s">
        <v>425</v>
      </c>
      <c r="E357" s="41" t="s">
        <v>48</v>
      </c>
      <c r="F357" s="42">
        <v>5</v>
      </c>
      <c r="G357" s="41" t="s">
        <v>12</v>
      </c>
      <c r="H357" s="43" t="s">
        <v>427</v>
      </c>
      <c r="I357" s="44">
        <v>160</v>
      </c>
      <c r="J357" s="44">
        <v>15</v>
      </c>
      <c r="K357" s="41"/>
      <c r="L357" s="45">
        <v>52000</v>
      </c>
      <c r="M357" s="44">
        <v>1</v>
      </c>
      <c r="N357" s="43" t="s">
        <v>383</v>
      </c>
    </row>
    <row r="358" spans="1:14" ht="15.75" customHeight="1">
      <c r="A358" s="41" t="s">
        <v>564</v>
      </c>
      <c r="B358" s="41" t="s">
        <v>121</v>
      </c>
      <c r="C358" s="41" t="s">
        <v>424</v>
      </c>
      <c r="D358" s="41" t="s">
        <v>425</v>
      </c>
      <c r="E358" s="41" t="s">
        <v>48</v>
      </c>
      <c r="F358" s="42">
        <v>6</v>
      </c>
      <c r="G358" s="41" t="s">
        <v>13</v>
      </c>
      <c r="H358" s="43" t="s">
        <v>427</v>
      </c>
      <c r="I358" s="44">
        <v>40</v>
      </c>
      <c r="J358" s="44">
        <v>15</v>
      </c>
      <c r="K358" s="41"/>
      <c r="L358" s="45">
        <v>52000</v>
      </c>
      <c r="M358" s="44">
        <v>1</v>
      </c>
      <c r="N358" s="43" t="s">
        <v>383</v>
      </c>
    </row>
    <row r="359" spans="1:14" ht="15.75" customHeight="1">
      <c r="A359" s="41" t="s">
        <v>564</v>
      </c>
      <c r="B359" s="41" t="s">
        <v>121</v>
      </c>
      <c r="C359" s="41" t="s">
        <v>431</v>
      </c>
      <c r="D359" s="41" t="s">
        <v>432</v>
      </c>
      <c r="E359" s="41" t="s">
        <v>433</v>
      </c>
      <c r="F359" s="42">
        <v>18</v>
      </c>
      <c r="G359" s="41" t="s">
        <v>439</v>
      </c>
      <c r="H359" s="43" t="s">
        <v>440</v>
      </c>
      <c r="I359" s="44">
        <v>60</v>
      </c>
      <c r="J359" s="41"/>
      <c r="K359" s="44">
        <v>1100</v>
      </c>
      <c r="L359" s="41" t="s">
        <v>435</v>
      </c>
      <c r="M359" s="44">
        <v>1</v>
      </c>
      <c r="N359" s="43" t="s">
        <v>436</v>
      </c>
    </row>
    <row r="360" spans="1:14" ht="15.75" customHeight="1">
      <c r="A360" s="41" t="s">
        <v>564</v>
      </c>
      <c r="B360" s="41" t="s">
        <v>121</v>
      </c>
      <c r="C360" s="41" t="s">
        <v>431</v>
      </c>
      <c r="D360" s="41" t="s">
        <v>432</v>
      </c>
      <c r="E360" s="41" t="s">
        <v>433</v>
      </c>
      <c r="F360" s="42">
        <v>19</v>
      </c>
      <c r="G360" s="41" t="s">
        <v>368</v>
      </c>
      <c r="H360" s="43" t="s">
        <v>434</v>
      </c>
      <c r="I360" s="44">
        <v>60</v>
      </c>
      <c r="J360" s="41"/>
      <c r="K360" s="44">
        <v>900</v>
      </c>
      <c r="L360" s="41" t="s">
        <v>435</v>
      </c>
      <c r="M360" s="44">
        <v>4</v>
      </c>
      <c r="N360" s="43" t="s">
        <v>436</v>
      </c>
    </row>
    <row r="361" spans="1:14" ht="15.75" customHeight="1">
      <c r="A361" s="41" t="s">
        <v>565</v>
      </c>
      <c r="B361" s="41" t="s">
        <v>566</v>
      </c>
      <c r="C361" s="41" t="s">
        <v>442</v>
      </c>
      <c r="D361" s="41" t="s">
        <v>448</v>
      </c>
      <c r="E361" s="41" t="s">
        <v>40</v>
      </c>
      <c r="F361" s="42">
        <v>1</v>
      </c>
      <c r="G361" s="41" t="s">
        <v>11</v>
      </c>
      <c r="H361" s="43" t="s">
        <v>426</v>
      </c>
      <c r="I361" s="44">
        <v>20</v>
      </c>
      <c r="J361" s="44">
        <v>101</v>
      </c>
      <c r="K361" s="41"/>
      <c r="L361" s="45">
        <v>400000</v>
      </c>
      <c r="M361" s="44">
        <v>1</v>
      </c>
      <c r="N361" s="43" t="s">
        <v>383</v>
      </c>
    </row>
    <row r="362" spans="1:14" ht="15.75" customHeight="1">
      <c r="A362" s="41" t="s">
        <v>565</v>
      </c>
      <c r="B362" s="41" t="s">
        <v>566</v>
      </c>
      <c r="C362" s="41" t="s">
        <v>442</v>
      </c>
      <c r="D362" s="41" t="s">
        <v>448</v>
      </c>
      <c r="E362" s="41" t="s">
        <v>40</v>
      </c>
      <c r="F362" s="42">
        <v>2</v>
      </c>
      <c r="G362" s="41" t="s">
        <v>12</v>
      </c>
      <c r="H362" s="43" t="s">
        <v>449</v>
      </c>
      <c r="I362" s="44">
        <v>60</v>
      </c>
      <c r="J362" s="44">
        <v>101</v>
      </c>
      <c r="K362" s="41"/>
      <c r="L362" s="45">
        <v>400000</v>
      </c>
      <c r="M362" s="44">
        <v>1</v>
      </c>
      <c r="N362" s="43" t="s">
        <v>383</v>
      </c>
    </row>
    <row r="363" spans="1:14" ht="15.75" customHeight="1">
      <c r="A363" s="41" t="s">
        <v>565</v>
      </c>
      <c r="B363" s="41" t="s">
        <v>566</v>
      </c>
      <c r="C363" s="41" t="s">
        <v>442</v>
      </c>
      <c r="D363" s="41" t="s">
        <v>448</v>
      </c>
      <c r="E363" s="41" t="s">
        <v>40</v>
      </c>
      <c r="F363" s="42">
        <v>3</v>
      </c>
      <c r="G363" s="41" t="s">
        <v>13</v>
      </c>
      <c r="H363" s="43" t="s">
        <v>449</v>
      </c>
      <c r="I363" s="44">
        <v>30</v>
      </c>
      <c r="J363" s="44">
        <v>101</v>
      </c>
      <c r="K363" s="41"/>
      <c r="L363" s="45">
        <v>400000</v>
      </c>
      <c r="M363" s="44">
        <v>1</v>
      </c>
      <c r="N363" s="43" t="s">
        <v>383</v>
      </c>
    </row>
    <row r="364" spans="1:14" ht="15.75" customHeight="1">
      <c r="A364" s="41" t="s">
        <v>565</v>
      </c>
      <c r="B364" s="41" t="s">
        <v>566</v>
      </c>
      <c r="C364" s="41" t="s">
        <v>442</v>
      </c>
      <c r="D364" s="41" t="s">
        <v>443</v>
      </c>
      <c r="E364" s="41" t="s">
        <v>33</v>
      </c>
      <c r="F364" s="42">
        <v>10</v>
      </c>
      <c r="G364" s="41" t="s">
        <v>11</v>
      </c>
      <c r="H364" s="43" t="s">
        <v>426</v>
      </c>
      <c r="I364" s="44">
        <v>20</v>
      </c>
      <c r="J364" s="44">
        <v>101</v>
      </c>
      <c r="K364" s="41"/>
      <c r="L364" s="45">
        <v>110000</v>
      </c>
      <c r="M364" s="44">
        <v>1</v>
      </c>
      <c r="N364" s="43" t="s">
        <v>383</v>
      </c>
    </row>
    <row r="365" spans="1:14" ht="15.75" customHeight="1">
      <c r="A365" s="41" t="s">
        <v>565</v>
      </c>
      <c r="B365" s="41" t="s">
        <v>566</v>
      </c>
      <c r="C365" s="41" t="s">
        <v>442</v>
      </c>
      <c r="D365" s="41" t="s">
        <v>443</v>
      </c>
      <c r="E365" s="41" t="s">
        <v>33</v>
      </c>
      <c r="F365" s="42">
        <v>11</v>
      </c>
      <c r="G365" s="41" t="s">
        <v>12</v>
      </c>
      <c r="H365" s="43" t="s">
        <v>444</v>
      </c>
      <c r="I365" s="44">
        <v>45</v>
      </c>
      <c r="J365" s="44">
        <v>101</v>
      </c>
      <c r="K365" s="41"/>
      <c r="L365" s="45">
        <v>110000</v>
      </c>
      <c r="M365" s="44">
        <v>1</v>
      </c>
      <c r="N365" s="43" t="s">
        <v>383</v>
      </c>
    </row>
    <row r="366" spans="1:14" ht="15.75" customHeight="1">
      <c r="A366" s="41" t="s">
        <v>565</v>
      </c>
      <c r="B366" s="41" t="s">
        <v>566</v>
      </c>
      <c r="C366" s="41" t="s">
        <v>442</v>
      </c>
      <c r="D366" s="41" t="s">
        <v>443</v>
      </c>
      <c r="E366" s="41" t="s">
        <v>33</v>
      </c>
      <c r="F366" s="42">
        <v>12</v>
      </c>
      <c r="G366" s="41" t="s">
        <v>13</v>
      </c>
      <c r="H366" s="43" t="s">
        <v>444</v>
      </c>
      <c r="I366" s="44">
        <v>10</v>
      </c>
      <c r="J366" s="44">
        <v>101</v>
      </c>
      <c r="K366" s="41"/>
      <c r="L366" s="45">
        <v>110000</v>
      </c>
      <c r="M366" s="44">
        <v>1</v>
      </c>
      <c r="N366" s="43" t="s">
        <v>383</v>
      </c>
    </row>
    <row r="367" spans="1:14" ht="15.75" customHeight="1">
      <c r="A367" s="41" t="s">
        <v>565</v>
      </c>
      <c r="B367" s="41" t="s">
        <v>566</v>
      </c>
      <c r="C367" s="41" t="s">
        <v>431</v>
      </c>
      <c r="D367" s="41" t="s">
        <v>432</v>
      </c>
      <c r="E367" s="41" t="s">
        <v>433</v>
      </c>
      <c r="F367" s="42">
        <v>18</v>
      </c>
      <c r="G367" s="41" t="s">
        <v>439</v>
      </c>
      <c r="H367" s="43" t="s">
        <v>440</v>
      </c>
      <c r="I367" s="44">
        <v>60</v>
      </c>
      <c r="J367" s="41"/>
      <c r="K367" s="44">
        <v>1000</v>
      </c>
      <c r="L367" s="41" t="s">
        <v>435</v>
      </c>
      <c r="M367" s="44">
        <v>1</v>
      </c>
      <c r="N367" s="43" t="s">
        <v>436</v>
      </c>
    </row>
    <row r="368" spans="1:14" ht="15.75" customHeight="1">
      <c r="A368" s="41" t="s">
        <v>565</v>
      </c>
      <c r="B368" s="41" t="s">
        <v>566</v>
      </c>
      <c r="C368" s="41" t="s">
        <v>431</v>
      </c>
      <c r="D368" s="41" t="s">
        <v>432</v>
      </c>
      <c r="E368" s="41" t="s">
        <v>433</v>
      </c>
      <c r="F368" s="42">
        <v>19</v>
      </c>
      <c r="G368" s="41" t="s">
        <v>368</v>
      </c>
      <c r="H368" s="43" t="s">
        <v>434</v>
      </c>
      <c r="I368" s="44">
        <v>60</v>
      </c>
      <c r="J368" s="41"/>
      <c r="K368" s="44">
        <v>670</v>
      </c>
      <c r="L368" s="41" t="s">
        <v>435</v>
      </c>
      <c r="M368" s="44">
        <v>4</v>
      </c>
      <c r="N368" s="43" t="s">
        <v>436</v>
      </c>
    </row>
    <row r="369" spans="1:15" ht="15.75" customHeight="1">
      <c r="A369" s="46" t="s">
        <v>567</v>
      </c>
      <c r="B369" s="46" t="s">
        <v>112</v>
      </c>
      <c r="C369" s="46" t="s">
        <v>424</v>
      </c>
      <c r="D369" s="46" t="s">
        <v>425</v>
      </c>
      <c r="E369" s="46" t="s">
        <v>48</v>
      </c>
      <c r="F369" s="47">
        <v>4</v>
      </c>
      <c r="G369" s="46" t="s">
        <v>11</v>
      </c>
      <c r="H369" s="48" t="s">
        <v>426</v>
      </c>
      <c r="I369" s="49">
        <v>75</v>
      </c>
      <c r="J369" s="49">
        <v>370</v>
      </c>
      <c r="K369" s="46"/>
      <c r="L369" s="50">
        <v>51500</v>
      </c>
      <c r="M369" s="49">
        <v>1</v>
      </c>
      <c r="N369" s="48" t="s">
        <v>383</v>
      </c>
      <c r="O369" s="51"/>
    </row>
    <row r="370" spans="1:15" ht="15.75" customHeight="1">
      <c r="A370" s="46" t="s">
        <v>567</v>
      </c>
      <c r="B370" s="46" t="s">
        <v>112</v>
      </c>
      <c r="C370" s="46" t="s">
        <v>424</v>
      </c>
      <c r="D370" s="46" t="s">
        <v>425</v>
      </c>
      <c r="E370" s="46" t="s">
        <v>48</v>
      </c>
      <c r="F370" s="47">
        <v>5</v>
      </c>
      <c r="G370" s="46" t="s">
        <v>12</v>
      </c>
      <c r="H370" s="48" t="s">
        <v>427</v>
      </c>
      <c r="I370" s="49">
        <v>60</v>
      </c>
      <c r="J370" s="49">
        <v>370</v>
      </c>
      <c r="K370" s="46"/>
      <c r="L370" s="50">
        <v>51500</v>
      </c>
      <c r="M370" s="49">
        <v>1</v>
      </c>
      <c r="N370" s="48" t="s">
        <v>383</v>
      </c>
      <c r="O370" s="51"/>
    </row>
    <row r="371" spans="1:15" ht="15.75" customHeight="1">
      <c r="A371" s="46" t="s">
        <v>567</v>
      </c>
      <c r="B371" s="46" t="s">
        <v>112</v>
      </c>
      <c r="C371" s="46" t="s">
        <v>424</v>
      </c>
      <c r="D371" s="46" t="s">
        <v>425</v>
      </c>
      <c r="E371" s="46" t="s">
        <v>48</v>
      </c>
      <c r="F371" s="47">
        <v>6</v>
      </c>
      <c r="G371" s="46" t="s">
        <v>13</v>
      </c>
      <c r="H371" s="48" t="s">
        <v>427</v>
      </c>
      <c r="I371" s="49">
        <v>20</v>
      </c>
      <c r="J371" s="49">
        <v>370</v>
      </c>
      <c r="K371" s="46"/>
      <c r="L371" s="50">
        <v>51500</v>
      </c>
      <c r="M371" s="49">
        <v>1</v>
      </c>
      <c r="N371" s="48" t="s">
        <v>383</v>
      </c>
      <c r="O371" s="51"/>
    </row>
    <row r="372" spans="1:15" ht="15.75" customHeight="1">
      <c r="A372" s="41" t="s">
        <v>568</v>
      </c>
      <c r="B372" s="41" t="s">
        <v>112</v>
      </c>
      <c r="C372" s="41" t="s">
        <v>424</v>
      </c>
      <c r="D372" s="41" t="s">
        <v>443</v>
      </c>
      <c r="E372" s="41" t="s">
        <v>33</v>
      </c>
      <c r="F372" s="42">
        <v>10</v>
      </c>
      <c r="G372" s="41" t="s">
        <v>11</v>
      </c>
      <c r="H372" s="43" t="s">
        <v>426</v>
      </c>
      <c r="I372" s="44">
        <v>75</v>
      </c>
      <c r="J372" s="44">
        <v>370</v>
      </c>
      <c r="K372" s="41"/>
      <c r="L372" s="45">
        <v>100000</v>
      </c>
      <c r="M372" s="44">
        <v>1</v>
      </c>
      <c r="N372" s="43" t="s">
        <v>383</v>
      </c>
    </row>
    <row r="373" spans="1:15" ht="15.75" customHeight="1">
      <c r="A373" s="41" t="s">
        <v>568</v>
      </c>
      <c r="B373" s="41" t="s">
        <v>112</v>
      </c>
      <c r="C373" s="41" t="s">
        <v>424</v>
      </c>
      <c r="D373" s="41" t="s">
        <v>443</v>
      </c>
      <c r="E373" s="41" t="s">
        <v>33</v>
      </c>
      <c r="F373" s="42">
        <v>11</v>
      </c>
      <c r="G373" s="41" t="s">
        <v>12</v>
      </c>
      <c r="H373" s="43" t="s">
        <v>444</v>
      </c>
      <c r="I373" s="44">
        <v>60</v>
      </c>
      <c r="J373" s="44">
        <v>370</v>
      </c>
      <c r="K373" s="41"/>
      <c r="L373" s="45">
        <v>100000</v>
      </c>
      <c r="M373" s="44">
        <v>1</v>
      </c>
      <c r="N373" s="43" t="s">
        <v>383</v>
      </c>
    </row>
    <row r="374" spans="1:15" ht="15.75" customHeight="1">
      <c r="A374" s="41" t="s">
        <v>568</v>
      </c>
      <c r="B374" s="41" t="s">
        <v>112</v>
      </c>
      <c r="C374" s="41" t="s">
        <v>424</v>
      </c>
      <c r="D374" s="41" t="s">
        <v>443</v>
      </c>
      <c r="E374" s="41" t="s">
        <v>33</v>
      </c>
      <c r="F374" s="42">
        <v>12</v>
      </c>
      <c r="G374" s="41" t="s">
        <v>13</v>
      </c>
      <c r="H374" s="43" t="s">
        <v>444</v>
      </c>
      <c r="I374" s="44">
        <v>10</v>
      </c>
      <c r="J374" s="44">
        <v>370</v>
      </c>
      <c r="K374" s="41"/>
      <c r="L374" s="45">
        <v>100000</v>
      </c>
      <c r="M374" s="44">
        <v>1</v>
      </c>
      <c r="N374" s="43" t="s">
        <v>383</v>
      </c>
    </row>
    <row r="375" spans="1:15" ht="15.75" customHeight="1">
      <c r="A375" s="41" t="s">
        <v>568</v>
      </c>
      <c r="B375" s="41" t="s">
        <v>112</v>
      </c>
      <c r="C375" s="41" t="s">
        <v>431</v>
      </c>
      <c r="D375" s="41" t="s">
        <v>432</v>
      </c>
      <c r="E375" s="41" t="s">
        <v>433</v>
      </c>
      <c r="F375" s="42">
        <v>18</v>
      </c>
      <c r="G375" s="41" t="s">
        <v>439</v>
      </c>
      <c r="H375" s="43" t="s">
        <v>440</v>
      </c>
      <c r="I375" s="44">
        <v>60</v>
      </c>
      <c r="J375" s="41"/>
      <c r="K375" s="44">
        <v>570</v>
      </c>
      <c r="L375" s="41" t="s">
        <v>435</v>
      </c>
      <c r="M375" s="44">
        <v>1</v>
      </c>
      <c r="N375" s="43" t="s">
        <v>436</v>
      </c>
    </row>
    <row r="376" spans="1:15" ht="15.75" customHeight="1">
      <c r="A376" s="41" t="s">
        <v>568</v>
      </c>
      <c r="B376" s="41" t="s">
        <v>112</v>
      </c>
      <c r="C376" s="41" t="s">
        <v>431</v>
      </c>
      <c r="D376" s="41" t="s">
        <v>432</v>
      </c>
      <c r="E376" s="41" t="s">
        <v>433</v>
      </c>
      <c r="F376" s="42">
        <v>19</v>
      </c>
      <c r="G376" s="41" t="s">
        <v>368</v>
      </c>
      <c r="H376" s="43" t="s">
        <v>434</v>
      </c>
      <c r="I376" s="44">
        <v>60</v>
      </c>
      <c r="J376" s="41"/>
      <c r="K376" s="44">
        <v>480</v>
      </c>
      <c r="L376" s="41" t="s">
        <v>435</v>
      </c>
      <c r="M376" s="44">
        <v>4</v>
      </c>
      <c r="N376" s="43" t="s">
        <v>436</v>
      </c>
    </row>
    <row r="377" spans="1:15" ht="15.75" customHeight="1">
      <c r="A377" s="41" t="s">
        <v>569</v>
      </c>
      <c r="B377" s="41" t="s">
        <v>570</v>
      </c>
      <c r="C377" s="41" t="s">
        <v>442</v>
      </c>
      <c r="D377" s="41" t="s">
        <v>443</v>
      </c>
      <c r="E377" s="41" t="s">
        <v>33</v>
      </c>
      <c r="F377" s="42">
        <v>10</v>
      </c>
      <c r="G377" s="41" t="s">
        <v>11</v>
      </c>
      <c r="H377" s="43" t="s">
        <v>426</v>
      </c>
      <c r="I377" s="44">
        <v>40</v>
      </c>
      <c r="J377" s="44">
        <v>32</v>
      </c>
      <c r="K377" s="41"/>
      <c r="L377" s="45">
        <v>99000</v>
      </c>
      <c r="M377" s="44">
        <v>1</v>
      </c>
      <c r="N377" s="43" t="s">
        <v>383</v>
      </c>
    </row>
    <row r="378" spans="1:15" ht="15.75" customHeight="1">
      <c r="A378" s="41" t="s">
        <v>569</v>
      </c>
      <c r="B378" s="41" t="s">
        <v>570</v>
      </c>
      <c r="C378" s="41" t="s">
        <v>442</v>
      </c>
      <c r="D378" s="41" t="s">
        <v>443</v>
      </c>
      <c r="E378" s="41" t="s">
        <v>33</v>
      </c>
      <c r="F378" s="42">
        <v>11</v>
      </c>
      <c r="G378" s="41" t="s">
        <v>12</v>
      </c>
      <c r="H378" s="43" t="s">
        <v>444</v>
      </c>
      <c r="I378" s="44">
        <v>175</v>
      </c>
      <c r="J378" s="44">
        <v>32</v>
      </c>
      <c r="K378" s="41"/>
      <c r="L378" s="45">
        <v>99000</v>
      </c>
      <c r="M378" s="44">
        <v>1</v>
      </c>
      <c r="N378" s="43" t="s">
        <v>383</v>
      </c>
    </row>
    <row r="379" spans="1:15" ht="15.75" customHeight="1">
      <c r="A379" s="41" t="s">
        <v>569</v>
      </c>
      <c r="B379" s="41" t="s">
        <v>570</v>
      </c>
      <c r="C379" s="41" t="s">
        <v>442</v>
      </c>
      <c r="D379" s="41" t="s">
        <v>443</v>
      </c>
      <c r="E379" s="41" t="s">
        <v>33</v>
      </c>
      <c r="F379" s="42">
        <v>12</v>
      </c>
      <c r="G379" s="41" t="s">
        <v>13</v>
      </c>
      <c r="H379" s="43" t="s">
        <v>444</v>
      </c>
      <c r="I379" s="44">
        <v>20</v>
      </c>
      <c r="J379" s="44">
        <v>32</v>
      </c>
      <c r="K379" s="41"/>
      <c r="L379" s="45">
        <v>99000</v>
      </c>
      <c r="M379" s="44">
        <v>1</v>
      </c>
      <c r="N379" s="43" t="s">
        <v>383</v>
      </c>
    </row>
    <row r="380" spans="1:15" ht="15.75" customHeight="1">
      <c r="A380" s="41" t="s">
        <v>569</v>
      </c>
      <c r="B380" s="41" t="s">
        <v>570</v>
      </c>
      <c r="C380" s="41" t="s">
        <v>431</v>
      </c>
      <c r="D380" s="41" t="s">
        <v>432</v>
      </c>
      <c r="E380" s="41" t="s">
        <v>433</v>
      </c>
      <c r="F380" s="42">
        <v>18</v>
      </c>
      <c r="G380" s="41" t="s">
        <v>439</v>
      </c>
      <c r="H380" s="43" t="s">
        <v>440</v>
      </c>
      <c r="I380" s="44">
        <v>60</v>
      </c>
      <c r="J380" s="41"/>
      <c r="K380" s="44">
        <v>800</v>
      </c>
      <c r="L380" s="41" t="s">
        <v>435</v>
      </c>
      <c r="M380" s="44">
        <v>1</v>
      </c>
      <c r="N380" s="43" t="s">
        <v>436</v>
      </c>
    </row>
    <row r="381" spans="1:15" ht="15.75" customHeight="1">
      <c r="A381" s="41" t="s">
        <v>569</v>
      </c>
      <c r="B381" s="41" t="s">
        <v>570</v>
      </c>
      <c r="C381" s="41" t="s">
        <v>431</v>
      </c>
      <c r="D381" s="41" t="s">
        <v>432</v>
      </c>
      <c r="E381" s="41" t="s">
        <v>433</v>
      </c>
      <c r="F381" s="42">
        <v>19</v>
      </c>
      <c r="G381" s="41" t="s">
        <v>368</v>
      </c>
      <c r="H381" s="43" t="s">
        <v>434</v>
      </c>
      <c r="I381" s="44">
        <v>60</v>
      </c>
      <c r="J381" s="41"/>
      <c r="K381" s="44">
        <v>520</v>
      </c>
      <c r="L381" s="41" t="s">
        <v>435</v>
      </c>
      <c r="M381" s="44">
        <v>4</v>
      </c>
      <c r="N381" s="43" t="s">
        <v>436</v>
      </c>
    </row>
    <row r="382" spans="1:15" ht="15.75" customHeight="1">
      <c r="A382" s="41" t="s">
        <v>571</v>
      </c>
      <c r="B382" s="41" t="s">
        <v>262</v>
      </c>
      <c r="C382" s="41" t="s">
        <v>442</v>
      </c>
      <c r="D382" s="41" t="s">
        <v>448</v>
      </c>
      <c r="E382" s="41" t="s">
        <v>40</v>
      </c>
      <c r="F382" s="42">
        <v>1</v>
      </c>
      <c r="G382" s="41" t="s">
        <v>11</v>
      </c>
      <c r="H382" s="43" t="s">
        <v>426</v>
      </c>
      <c r="I382" s="44">
        <v>30</v>
      </c>
      <c r="J382" s="44">
        <v>118.8</v>
      </c>
      <c r="K382" s="41"/>
      <c r="L382" s="45">
        <v>102000</v>
      </c>
      <c r="M382" s="44">
        <v>1</v>
      </c>
      <c r="N382" s="43" t="s">
        <v>383</v>
      </c>
    </row>
    <row r="383" spans="1:15" ht="15.75" customHeight="1">
      <c r="A383" s="41" t="s">
        <v>571</v>
      </c>
      <c r="B383" s="41" t="s">
        <v>262</v>
      </c>
      <c r="C383" s="41" t="s">
        <v>442</v>
      </c>
      <c r="D383" s="41" t="s">
        <v>448</v>
      </c>
      <c r="E383" s="41" t="s">
        <v>40</v>
      </c>
      <c r="F383" s="42">
        <v>2</v>
      </c>
      <c r="G383" s="41" t="s">
        <v>12</v>
      </c>
      <c r="H383" s="43" t="s">
        <v>449</v>
      </c>
      <c r="I383" s="44">
        <v>130</v>
      </c>
      <c r="J383" s="44">
        <v>118.8</v>
      </c>
      <c r="K383" s="41"/>
      <c r="L383" s="45">
        <v>102000</v>
      </c>
      <c r="M383" s="44">
        <v>1</v>
      </c>
      <c r="N383" s="43" t="s">
        <v>383</v>
      </c>
    </row>
    <row r="384" spans="1:15" ht="15.75" customHeight="1">
      <c r="A384" s="41" t="s">
        <v>571</v>
      </c>
      <c r="B384" s="41" t="s">
        <v>262</v>
      </c>
      <c r="C384" s="41" t="s">
        <v>442</v>
      </c>
      <c r="D384" s="41" t="s">
        <v>448</v>
      </c>
      <c r="E384" s="41" t="s">
        <v>40</v>
      </c>
      <c r="F384" s="42">
        <v>3</v>
      </c>
      <c r="G384" s="41" t="s">
        <v>13</v>
      </c>
      <c r="H384" s="43" t="s">
        <v>449</v>
      </c>
      <c r="I384" s="44">
        <v>30</v>
      </c>
      <c r="J384" s="44">
        <v>118.8</v>
      </c>
      <c r="K384" s="41"/>
      <c r="L384" s="45">
        <v>102000</v>
      </c>
      <c r="M384" s="44">
        <v>1</v>
      </c>
      <c r="N384" s="43" t="s">
        <v>383</v>
      </c>
    </row>
    <row r="385" spans="1:26" ht="15.75" customHeight="1">
      <c r="A385" s="41" t="s">
        <v>571</v>
      </c>
      <c r="B385" s="41" t="s">
        <v>262</v>
      </c>
      <c r="C385" s="41" t="s">
        <v>431</v>
      </c>
      <c r="D385" s="41" t="s">
        <v>432</v>
      </c>
      <c r="E385" s="41" t="s">
        <v>433</v>
      </c>
      <c r="F385" s="42">
        <v>18</v>
      </c>
      <c r="G385" s="41" t="s">
        <v>439</v>
      </c>
      <c r="H385" s="43" t="s">
        <v>440</v>
      </c>
      <c r="I385" s="44">
        <v>60</v>
      </c>
      <c r="J385" s="41"/>
      <c r="K385" s="44">
        <v>550</v>
      </c>
      <c r="L385" s="41" t="s">
        <v>435</v>
      </c>
      <c r="M385" s="44">
        <v>1</v>
      </c>
      <c r="N385" s="43" t="s">
        <v>436</v>
      </c>
    </row>
    <row r="386" spans="1:26" ht="15.75" customHeight="1">
      <c r="A386" s="41" t="s">
        <v>571</v>
      </c>
      <c r="B386" s="41" t="s">
        <v>262</v>
      </c>
      <c r="C386" s="41" t="s">
        <v>431</v>
      </c>
      <c r="D386" s="41" t="s">
        <v>432</v>
      </c>
      <c r="E386" s="41" t="s">
        <v>433</v>
      </c>
      <c r="F386" s="42">
        <v>19</v>
      </c>
      <c r="G386" s="41" t="s">
        <v>368</v>
      </c>
      <c r="H386" s="43" t="s">
        <v>434</v>
      </c>
      <c r="I386" s="44">
        <v>60</v>
      </c>
      <c r="J386" s="41"/>
      <c r="K386" s="44">
        <v>720</v>
      </c>
      <c r="L386" s="41" t="s">
        <v>435</v>
      </c>
      <c r="M386" s="44">
        <v>3</v>
      </c>
      <c r="N386" s="43" t="s">
        <v>436</v>
      </c>
    </row>
    <row r="387" spans="1:26" ht="15.75" customHeight="1">
      <c r="A387" s="41" t="s">
        <v>572</v>
      </c>
      <c r="B387" s="41" t="s">
        <v>573</v>
      </c>
      <c r="C387" s="41" t="s">
        <v>424</v>
      </c>
      <c r="D387" s="41" t="s">
        <v>425</v>
      </c>
      <c r="E387" s="41" t="s">
        <v>48</v>
      </c>
      <c r="F387" s="42">
        <v>4</v>
      </c>
      <c r="G387" s="41" t="s">
        <v>11</v>
      </c>
      <c r="H387" s="43" t="s">
        <v>426</v>
      </c>
      <c r="I387" s="44">
        <v>25</v>
      </c>
      <c r="J387" s="44">
        <v>47.4</v>
      </c>
      <c r="K387" s="41"/>
      <c r="L387" s="45">
        <v>52000</v>
      </c>
      <c r="M387" s="44">
        <v>1</v>
      </c>
      <c r="N387" s="43" t="s">
        <v>383</v>
      </c>
    </row>
    <row r="388" spans="1:26" ht="15.75" customHeight="1">
      <c r="A388" s="41" t="s">
        <v>572</v>
      </c>
      <c r="B388" s="41" t="s">
        <v>573</v>
      </c>
      <c r="C388" s="41" t="s">
        <v>424</v>
      </c>
      <c r="D388" s="41" t="s">
        <v>425</v>
      </c>
      <c r="E388" s="41" t="s">
        <v>48</v>
      </c>
      <c r="F388" s="42">
        <v>5</v>
      </c>
      <c r="G388" s="41" t="s">
        <v>12</v>
      </c>
      <c r="H388" s="43" t="s">
        <v>427</v>
      </c>
      <c r="I388" s="44">
        <v>125</v>
      </c>
      <c r="J388" s="44">
        <v>47.4</v>
      </c>
      <c r="K388" s="41"/>
      <c r="L388" s="45">
        <v>52000</v>
      </c>
      <c r="M388" s="44">
        <v>1</v>
      </c>
      <c r="N388" s="43" t="s">
        <v>383</v>
      </c>
    </row>
    <row r="389" spans="1:26" ht="15.75" customHeight="1">
      <c r="A389" s="41" t="s">
        <v>572</v>
      </c>
      <c r="B389" s="41" t="s">
        <v>573</v>
      </c>
      <c r="C389" s="41" t="s">
        <v>424</v>
      </c>
      <c r="D389" s="41" t="s">
        <v>425</v>
      </c>
      <c r="E389" s="41" t="s">
        <v>48</v>
      </c>
      <c r="F389" s="42">
        <v>6</v>
      </c>
      <c r="G389" s="41" t="s">
        <v>13</v>
      </c>
      <c r="H389" s="43" t="s">
        <v>427</v>
      </c>
      <c r="I389" s="44">
        <v>30</v>
      </c>
      <c r="J389" s="44">
        <v>47.4</v>
      </c>
      <c r="K389" s="41"/>
      <c r="L389" s="45">
        <v>52000</v>
      </c>
      <c r="M389" s="44">
        <v>1</v>
      </c>
      <c r="N389" s="43" t="s">
        <v>383</v>
      </c>
    </row>
    <row r="390" spans="1:26" ht="15.75" customHeight="1">
      <c r="A390" s="41" t="s">
        <v>572</v>
      </c>
      <c r="B390" s="41" t="s">
        <v>573</v>
      </c>
      <c r="C390" s="41" t="s">
        <v>431</v>
      </c>
      <c r="D390" s="41" t="s">
        <v>432</v>
      </c>
      <c r="E390" s="41" t="s">
        <v>433</v>
      </c>
      <c r="F390" s="42">
        <v>18</v>
      </c>
      <c r="G390" s="41" t="s">
        <v>439</v>
      </c>
      <c r="H390" s="43" t="s">
        <v>440</v>
      </c>
      <c r="I390" s="44">
        <v>60</v>
      </c>
      <c r="J390" s="41"/>
      <c r="K390" s="44">
        <v>1000</v>
      </c>
      <c r="L390" s="41" t="s">
        <v>435</v>
      </c>
      <c r="M390" s="44">
        <v>1</v>
      </c>
      <c r="N390" s="43" t="s">
        <v>436</v>
      </c>
    </row>
    <row r="391" spans="1:26" ht="15.75" customHeight="1">
      <c r="A391" s="41" t="s">
        <v>572</v>
      </c>
      <c r="B391" s="41" t="s">
        <v>573</v>
      </c>
      <c r="C391" s="41" t="s">
        <v>431</v>
      </c>
      <c r="D391" s="41" t="s">
        <v>432</v>
      </c>
      <c r="E391" s="41" t="s">
        <v>433</v>
      </c>
      <c r="F391" s="42">
        <v>19</v>
      </c>
      <c r="G391" s="41" t="s">
        <v>368</v>
      </c>
      <c r="H391" s="43" t="s">
        <v>434</v>
      </c>
      <c r="I391" s="44">
        <v>60</v>
      </c>
      <c r="J391" s="41"/>
      <c r="K391" s="44">
        <v>850</v>
      </c>
      <c r="L391" s="41" t="s">
        <v>435</v>
      </c>
      <c r="M391" s="44">
        <v>3</v>
      </c>
      <c r="N391" s="43" t="s">
        <v>436</v>
      </c>
    </row>
    <row r="392" spans="1:26" ht="15.75" customHeight="1">
      <c r="A392" s="41" t="s">
        <v>574</v>
      </c>
      <c r="B392" s="41" t="s">
        <v>259</v>
      </c>
      <c r="C392" s="41" t="s">
        <v>442</v>
      </c>
      <c r="D392" s="41" t="s">
        <v>443</v>
      </c>
      <c r="E392" s="41" t="s">
        <v>33</v>
      </c>
      <c r="F392" s="42">
        <v>11</v>
      </c>
      <c r="G392" s="41" t="s">
        <v>12</v>
      </c>
      <c r="H392" s="43" t="s">
        <v>444</v>
      </c>
      <c r="I392" s="44">
        <v>55</v>
      </c>
      <c r="J392" s="44">
        <v>95.1</v>
      </c>
      <c r="K392" s="41"/>
      <c r="L392" s="45">
        <v>52000</v>
      </c>
      <c r="M392" s="44">
        <v>1</v>
      </c>
      <c r="N392" s="43" t="s">
        <v>383</v>
      </c>
    </row>
    <row r="393" spans="1:26" ht="15.75" customHeight="1">
      <c r="A393" s="41" t="s">
        <v>574</v>
      </c>
      <c r="B393" s="41" t="s">
        <v>259</v>
      </c>
      <c r="C393" s="41" t="s">
        <v>442</v>
      </c>
      <c r="D393" s="41" t="s">
        <v>443</v>
      </c>
      <c r="E393" s="41" t="s">
        <v>33</v>
      </c>
      <c r="F393" s="42">
        <v>12</v>
      </c>
      <c r="G393" s="41" t="s">
        <v>13</v>
      </c>
      <c r="H393" s="43" t="s">
        <v>444</v>
      </c>
      <c r="I393" s="44">
        <v>15</v>
      </c>
      <c r="J393" s="44">
        <v>95.1</v>
      </c>
      <c r="K393" s="41"/>
      <c r="L393" s="45">
        <v>52000</v>
      </c>
      <c r="M393" s="44">
        <v>1</v>
      </c>
      <c r="N393" s="43" t="s">
        <v>383</v>
      </c>
    </row>
    <row r="394" spans="1:26" ht="15.75" customHeight="1">
      <c r="A394" s="41" t="s">
        <v>574</v>
      </c>
      <c r="B394" s="41" t="s">
        <v>259</v>
      </c>
      <c r="C394" s="41" t="s">
        <v>431</v>
      </c>
      <c r="D394" s="41" t="s">
        <v>432</v>
      </c>
      <c r="E394" s="41" t="s">
        <v>433</v>
      </c>
      <c r="F394" s="42">
        <v>18</v>
      </c>
      <c r="G394" s="41" t="s">
        <v>439</v>
      </c>
      <c r="H394" s="43" t="s">
        <v>440</v>
      </c>
      <c r="I394" s="44">
        <v>60</v>
      </c>
      <c r="J394" s="41"/>
      <c r="K394" s="44">
        <v>1100</v>
      </c>
      <c r="L394" s="41" t="s">
        <v>435</v>
      </c>
      <c r="M394" s="44">
        <v>1</v>
      </c>
      <c r="N394" s="43" t="s">
        <v>436</v>
      </c>
    </row>
    <row r="395" spans="1:26" ht="15.75" customHeight="1">
      <c r="A395" s="41" t="s">
        <v>574</v>
      </c>
      <c r="B395" s="41" t="s">
        <v>259</v>
      </c>
      <c r="C395" s="41" t="s">
        <v>431</v>
      </c>
      <c r="D395" s="41" t="s">
        <v>432</v>
      </c>
      <c r="E395" s="41" t="s">
        <v>433</v>
      </c>
      <c r="F395" s="42">
        <v>19</v>
      </c>
      <c r="G395" s="41" t="s">
        <v>368</v>
      </c>
      <c r="H395" s="43" t="s">
        <v>434</v>
      </c>
      <c r="I395" s="44">
        <v>60</v>
      </c>
      <c r="J395" s="41"/>
      <c r="K395" s="44">
        <v>640</v>
      </c>
      <c r="L395" s="41" t="s">
        <v>435</v>
      </c>
      <c r="M395" s="44">
        <v>4</v>
      </c>
      <c r="N395" s="43" t="s">
        <v>436</v>
      </c>
    </row>
    <row r="396" spans="1:26" ht="15.75" customHeight="1">
      <c r="A396" s="41" t="s">
        <v>575</v>
      </c>
      <c r="B396" s="41" t="s">
        <v>576</v>
      </c>
      <c r="C396" s="41" t="s">
        <v>424</v>
      </c>
      <c r="D396" s="41" t="s">
        <v>425</v>
      </c>
      <c r="E396" s="41" t="s">
        <v>48</v>
      </c>
      <c r="F396" s="42">
        <v>4</v>
      </c>
      <c r="G396" s="41" t="s">
        <v>11</v>
      </c>
      <c r="H396" s="43" t="s">
        <v>426</v>
      </c>
      <c r="I396" s="44">
        <v>50</v>
      </c>
      <c r="J396" s="44">
        <v>15</v>
      </c>
      <c r="K396" s="41"/>
      <c r="L396" s="45">
        <v>103000</v>
      </c>
      <c r="M396" s="44">
        <v>1</v>
      </c>
      <c r="N396" s="43" t="s">
        <v>383</v>
      </c>
    </row>
    <row r="397" spans="1:26" ht="15.75" customHeight="1">
      <c r="A397" s="41" t="s">
        <v>575</v>
      </c>
      <c r="B397" s="41" t="s">
        <v>576</v>
      </c>
      <c r="C397" s="41" t="s">
        <v>424</v>
      </c>
      <c r="D397" s="41" t="s">
        <v>425</v>
      </c>
      <c r="E397" s="41" t="s">
        <v>48</v>
      </c>
      <c r="F397" s="42">
        <v>5</v>
      </c>
      <c r="G397" s="41" t="s">
        <v>12</v>
      </c>
      <c r="H397" s="43" t="s">
        <v>427</v>
      </c>
      <c r="I397" s="44">
        <v>150</v>
      </c>
      <c r="J397" s="44">
        <v>15</v>
      </c>
      <c r="K397" s="41"/>
      <c r="L397" s="45">
        <v>103000</v>
      </c>
      <c r="M397" s="44">
        <v>1</v>
      </c>
      <c r="N397" s="43" t="s">
        <v>383</v>
      </c>
    </row>
    <row r="398" spans="1:26" ht="15.75" customHeight="1">
      <c r="A398" s="41" t="s">
        <v>575</v>
      </c>
      <c r="B398" s="41" t="s">
        <v>576</v>
      </c>
      <c r="C398" s="41" t="s">
        <v>424</v>
      </c>
      <c r="D398" s="41" t="s">
        <v>425</v>
      </c>
      <c r="E398" s="41" t="s">
        <v>48</v>
      </c>
      <c r="F398" s="42">
        <v>6</v>
      </c>
      <c r="G398" s="41" t="s">
        <v>13</v>
      </c>
      <c r="H398" s="43" t="s">
        <v>427</v>
      </c>
      <c r="I398" s="44">
        <v>30</v>
      </c>
      <c r="J398" s="44">
        <v>15</v>
      </c>
      <c r="K398" s="41"/>
      <c r="L398" s="45">
        <v>103000</v>
      </c>
      <c r="M398" s="44">
        <v>1</v>
      </c>
      <c r="N398" s="43" t="s">
        <v>383</v>
      </c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>
      <c r="A399" s="41" t="s">
        <v>575</v>
      </c>
      <c r="B399" s="41" t="s">
        <v>576</v>
      </c>
      <c r="C399" s="41" t="s">
        <v>431</v>
      </c>
      <c r="D399" s="41" t="s">
        <v>432</v>
      </c>
      <c r="E399" s="41" t="s">
        <v>433</v>
      </c>
      <c r="F399" s="42">
        <v>18</v>
      </c>
      <c r="G399" s="41" t="s">
        <v>439</v>
      </c>
      <c r="H399" s="43" t="s">
        <v>440</v>
      </c>
      <c r="I399" s="44">
        <v>60</v>
      </c>
      <c r="J399" s="41"/>
      <c r="K399" s="44">
        <v>1500</v>
      </c>
      <c r="L399" s="41" t="s">
        <v>435</v>
      </c>
      <c r="M399" s="44">
        <v>1</v>
      </c>
      <c r="N399" s="43" t="s">
        <v>436</v>
      </c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>
      <c r="A400" s="41" t="s">
        <v>575</v>
      </c>
      <c r="B400" s="41" t="s">
        <v>576</v>
      </c>
      <c r="C400" s="41" t="s">
        <v>431</v>
      </c>
      <c r="D400" s="41" t="s">
        <v>432</v>
      </c>
      <c r="E400" s="41" t="s">
        <v>433</v>
      </c>
      <c r="F400" s="42">
        <v>19</v>
      </c>
      <c r="G400" s="41" t="s">
        <v>368</v>
      </c>
      <c r="H400" s="43" t="s">
        <v>434</v>
      </c>
      <c r="I400" s="44">
        <v>60</v>
      </c>
      <c r="J400" s="41"/>
      <c r="K400" s="44">
        <v>1000</v>
      </c>
      <c r="L400" s="41" t="s">
        <v>435</v>
      </c>
      <c r="M400" s="44">
        <v>4</v>
      </c>
      <c r="N400" s="43" t="s">
        <v>436</v>
      </c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14" ht="15.75" customHeight="1">
      <c r="A401" s="41" t="s">
        <v>577</v>
      </c>
      <c r="B401" s="41" t="s">
        <v>578</v>
      </c>
      <c r="C401" s="41" t="s">
        <v>442</v>
      </c>
      <c r="D401" s="41" t="s">
        <v>443</v>
      </c>
      <c r="E401" s="41" t="s">
        <v>33</v>
      </c>
      <c r="F401" s="42">
        <v>10</v>
      </c>
      <c r="G401" s="41" t="s">
        <v>11</v>
      </c>
      <c r="H401" s="43" t="s">
        <v>426</v>
      </c>
      <c r="I401" s="44">
        <v>25</v>
      </c>
      <c r="J401" s="44">
        <v>15.3</v>
      </c>
      <c r="K401" s="41"/>
      <c r="L401" s="45">
        <v>103000</v>
      </c>
      <c r="M401" s="44">
        <v>1</v>
      </c>
      <c r="N401" s="43" t="s">
        <v>383</v>
      </c>
    </row>
    <row r="402" spans="1:14" ht="15.75" customHeight="1">
      <c r="A402" s="41" t="s">
        <v>577</v>
      </c>
      <c r="B402" s="41" t="s">
        <v>578</v>
      </c>
      <c r="C402" s="41" t="s">
        <v>442</v>
      </c>
      <c r="D402" s="41" t="s">
        <v>443</v>
      </c>
      <c r="E402" s="41" t="s">
        <v>33</v>
      </c>
      <c r="F402" s="42">
        <v>11</v>
      </c>
      <c r="G402" s="41" t="s">
        <v>12</v>
      </c>
      <c r="H402" s="43" t="s">
        <v>444</v>
      </c>
      <c r="I402" s="44">
        <v>110</v>
      </c>
      <c r="J402" s="44">
        <v>15.3</v>
      </c>
      <c r="K402" s="41"/>
      <c r="L402" s="45">
        <v>103000</v>
      </c>
      <c r="M402" s="44">
        <v>1</v>
      </c>
      <c r="N402" s="43" t="s">
        <v>383</v>
      </c>
    </row>
    <row r="403" spans="1:14" ht="15.75" customHeight="1">
      <c r="A403" s="41" t="s">
        <v>577</v>
      </c>
      <c r="B403" s="41" t="s">
        <v>578</v>
      </c>
      <c r="C403" s="41" t="s">
        <v>442</v>
      </c>
      <c r="D403" s="41" t="s">
        <v>443</v>
      </c>
      <c r="E403" s="41" t="s">
        <v>33</v>
      </c>
      <c r="F403" s="42">
        <v>12</v>
      </c>
      <c r="G403" s="41" t="s">
        <v>13</v>
      </c>
      <c r="H403" s="43" t="s">
        <v>444</v>
      </c>
      <c r="I403" s="44">
        <v>20</v>
      </c>
      <c r="J403" s="44">
        <v>15.3</v>
      </c>
      <c r="K403" s="41"/>
      <c r="L403" s="45">
        <v>103000</v>
      </c>
      <c r="M403" s="44">
        <v>1</v>
      </c>
      <c r="N403" s="43" t="s">
        <v>383</v>
      </c>
    </row>
    <row r="404" spans="1:14" ht="15.75" customHeight="1">
      <c r="A404" s="41" t="s">
        <v>577</v>
      </c>
      <c r="B404" s="41" t="s">
        <v>578</v>
      </c>
      <c r="C404" s="41" t="s">
        <v>431</v>
      </c>
      <c r="D404" s="41" t="s">
        <v>432</v>
      </c>
      <c r="E404" s="41" t="s">
        <v>433</v>
      </c>
      <c r="F404" s="42">
        <v>18</v>
      </c>
      <c r="G404" s="41" t="s">
        <v>439</v>
      </c>
      <c r="H404" s="43" t="s">
        <v>440</v>
      </c>
      <c r="I404" s="44">
        <v>60</v>
      </c>
      <c r="J404" s="41"/>
      <c r="K404" s="44">
        <v>1000</v>
      </c>
      <c r="L404" s="41" t="s">
        <v>435</v>
      </c>
      <c r="M404" s="44">
        <v>1</v>
      </c>
      <c r="N404" s="43" t="s">
        <v>436</v>
      </c>
    </row>
    <row r="405" spans="1:14" ht="15.75" customHeight="1">
      <c r="A405" s="41" t="s">
        <v>577</v>
      </c>
      <c r="B405" s="41" t="s">
        <v>578</v>
      </c>
      <c r="C405" s="41" t="s">
        <v>431</v>
      </c>
      <c r="D405" s="41" t="s">
        <v>432</v>
      </c>
      <c r="E405" s="41" t="s">
        <v>433</v>
      </c>
      <c r="F405" s="42">
        <v>19</v>
      </c>
      <c r="G405" s="41" t="s">
        <v>368</v>
      </c>
      <c r="H405" s="43" t="s">
        <v>434</v>
      </c>
      <c r="I405" s="44">
        <v>60</v>
      </c>
      <c r="J405" s="41"/>
      <c r="K405" s="44">
        <v>800</v>
      </c>
      <c r="L405" s="41" t="s">
        <v>435</v>
      </c>
      <c r="M405" s="44">
        <v>3</v>
      </c>
      <c r="N405" s="43" t="s">
        <v>436</v>
      </c>
    </row>
    <row r="406" spans="1:14" ht="15.75" customHeight="1">
      <c r="A406" s="41" t="s">
        <v>579</v>
      </c>
      <c r="B406" s="41" t="s">
        <v>580</v>
      </c>
      <c r="C406" s="41" t="s">
        <v>442</v>
      </c>
      <c r="D406" s="41" t="s">
        <v>443</v>
      </c>
      <c r="E406" s="41" t="s">
        <v>33</v>
      </c>
      <c r="F406" s="42">
        <v>11</v>
      </c>
      <c r="G406" s="41" t="s">
        <v>12</v>
      </c>
      <c r="H406" s="43" t="s">
        <v>444</v>
      </c>
      <c r="I406" s="44">
        <v>160</v>
      </c>
      <c r="J406" s="44">
        <v>31.7</v>
      </c>
      <c r="K406" s="41"/>
      <c r="L406" s="45">
        <v>95000</v>
      </c>
      <c r="M406" s="44">
        <v>1</v>
      </c>
      <c r="N406" s="43" t="s">
        <v>383</v>
      </c>
    </row>
    <row r="407" spans="1:14" ht="15.75" customHeight="1">
      <c r="A407" s="41" t="s">
        <v>579</v>
      </c>
      <c r="B407" s="41" t="s">
        <v>580</v>
      </c>
      <c r="C407" s="41" t="s">
        <v>442</v>
      </c>
      <c r="D407" s="41" t="s">
        <v>443</v>
      </c>
      <c r="E407" s="41" t="s">
        <v>33</v>
      </c>
      <c r="F407" s="42">
        <v>12</v>
      </c>
      <c r="G407" s="41" t="s">
        <v>13</v>
      </c>
      <c r="H407" s="43" t="s">
        <v>444</v>
      </c>
      <c r="I407" s="44">
        <v>30</v>
      </c>
      <c r="J407" s="44">
        <v>31.7</v>
      </c>
      <c r="K407" s="41"/>
      <c r="L407" s="45">
        <v>95000</v>
      </c>
      <c r="M407" s="44">
        <v>1</v>
      </c>
      <c r="N407" s="43" t="s">
        <v>383</v>
      </c>
    </row>
    <row r="408" spans="1:14" ht="15.75" customHeight="1">
      <c r="A408" s="41" t="s">
        <v>579</v>
      </c>
      <c r="B408" s="41" t="s">
        <v>580</v>
      </c>
      <c r="C408" s="41" t="s">
        <v>431</v>
      </c>
      <c r="D408" s="41" t="s">
        <v>432</v>
      </c>
      <c r="E408" s="41" t="s">
        <v>433</v>
      </c>
      <c r="F408" s="42">
        <v>18</v>
      </c>
      <c r="G408" s="41" t="s">
        <v>439</v>
      </c>
      <c r="H408" s="43" t="s">
        <v>440</v>
      </c>
      <c r="I408" s="44">
        <v>60</v>
      </c>
      <c r="J408" s="41"/>
      <c r="K408" s="44">
        <v>1000</v>
      </c>
      <c r="L408" s="41" t="s">
        <v>435</v>
      </c>
      <c r="M408" s="44">
        <v>1</v>
      </c>
      <c r="N408" s="43" t="s">
        <v>436</v>
      </c>
    </row>
    <row r="409" spans="1:14" ht="15.75" customHeight="1">
      <c r="A409" s="41" t="s">
        <v>579</v>
      </c>
      <c r="B409" s="41" t="s">
        <v>580</v>
      </c>
      <c r="C409" s="41" t="s">
        <v>431</v>
      </c>
      <c r="D409" s="41" t="s">
        <v>432</v>
      </c>
      <c r="E409" s="41" t="s">
        <v>433</v>
      </c>
      <c r="F409" s="42">
        <v>19</v>
      </c>
      <c r="G409" s="41" t="s">
        <v>368</v>
      </c>
      <c r="H409" s="43" t="s">
        <v>434</v>
      </c>
      <c r="I409" s="44">
        <v>60</v>
      </c>
      <c r="J409" s="41"/>
      <c r="K409" s="44">
        <v>1200</v>
      </c>
      <c r="L409" s="41" t="s">
        <v>435</v>
      </c>
      <c r="M409" s="44">
        <v>4</v>
      </c>
      <c r="N409" s="43" t="s">
        <v>436</v>
      </c>
    </row>
    <row r="410" spans="1:14" ht="15.75" customHeight="1">
      <c r="A410" s="41" t="s">
        <v>581</v>
      </c>
      <c r="B410" s="41" t="s">
        <v>582</v>
      </c>
      <c r="C410" s="41" t="s">
        <v>442</v>
      </c>
      <c r="D410" s="41" t="s">
        <v>443</v>
      </c>
      <c r="E410" s="41" t="s">
        <v>33</v>
      </c>
      <c r="F410" s="42">
        <v>10</v>
      </c>
      <c r="G410" s="41" t="s">
        <v>11</v>
      </c>
      <c r="H410" s="43" t="s">
        <v>426</v>
      </c>
      <c r="I410" s="44">
        <v>20</v>
      </c>
      <c r="J410" s="44">
        <v>31.4</v>
      </c>
      <c r="K410" s="41"/>
      <c r="L410" s="45">
        <v>100000</v>
      </c>
      <c r="M410" s="44">
        <v>1</v>
      </c>
      <c r="N410" s="43" t="s">
        <v>383</v>
      </c>
    </row>
    <row r="411" spans="1:14" ht="15.75" customHeight="1">
      <c r="A411" s="41" t="s">
        <v>581</v>
      </c>
      <c r="B411" s="41" t="s">
        <v>582</v>
      </c>
      <c r="C411" s="41" t="s">
        <v>442</v>
      </c>
      <c r="D411" s="41" t="s">
        <v>443</v>
      </c>
      <c r="E411" s="41" t="s">
        <v>33</v>
      </c>
      <c r="F411" s="42">
        <v>11</v>
      </c>
      <c r="G411" s="41" t="s">
        <v>12</v>
      </c>
      <c r="H411" s="43" t="s">
        <v>444</v>
      </c>
      <c r="I411" s="44">
        <v>80</v>
      </c>
      <c r="J411" s="44">
        <v>31.4</v>
      </c>
      <c r="K411" s="41"/>
      <c r="L411" s="45">
        <v>100000</v>
      </c>
      <c r="M411" s="44">
        <v>1</v>
      </c>
      <c r="N411" s="43" t="s">
        <v>383</v>
      </c>
    </row>
    <row r="412" spans="1:14" ht="15.75" customHeight="1">
      <c r="A412" s="41" t="s">
        <v>581</v>
      </c>
      <c r="B412" s="41" t="s">
        <v>582</v>
      </c>
      <c r="C412" s="41" t="s">
        <v>442</v>
      </c>
      <c r="D412" s="41" t="s">
        <v>443</v>
      </c>
      <c r="E412" s="41" t="s">
        <v>33</v>
      </c>
      <c r="F412" s="42">
        <v>12</v>
      </c>
      <c r="G412" s="41" t="s">
        <v>13</v>
      </c>
      <c r="H412" s="43" t="s">
        <v>444</v>
      </c>
      <c r="I412" s="44">
        <v>15</v>
      </c>
      <c r="J412" s="44">
        <v>31.4</v>
      </c>
      <c r="K412" s="41"/>
      <c r="L412" s="45">
        <v>100000</v>
      </c>
      <c r="M412" s="44">
        <v>1</v>
      </c>
      <c r="N412" s="43" t="s">
        <v>383</v>
      </c>
    </row>
    <row r="413" spans="1:14" ht="15.75" customHeight="1">
      <c r="A413" s="41" t="s">
        <v>581</v>
      </c>
      <c r="B413" s="41" t="s">
        <v>582</v>
      </c>
      <c r="C413" s="41" t="s">
        <v>431</v>
      </c>
      <c r="D413" s="41" t="s">
        <v>432</v>
      </c>
      <c r="E413" s="41" t="s">
        <v>433</v>
      </c>
      <c r="F413" s="42">
        <v>18</v>
      </c>
      <c r="G413" s="41" t="s">
        <v>439</v>
      </c>
      <c r="H413" s="43" t="s">
        <v>440</v>
      </c>
      <c r="I413" s="44">
        <v>60</v>
      </c>
      <c r="J413" s="41"/>
      <c r="K413" s="44">
        <v>800</v>
      </c>
      <c r="L413" s="41" t="s">
        <v>435</v>
      </c>
      <c r="M413" s="44">
        <v>1</v>
      </c>
      <c r="N413" s="43" t="s">
        <v>436</v>
      </c>
    </row>
    <row r="414" spans="1:14" ht="15.75" customHeight="1">
      <c r="A414" s="41" t="s">
        <v>581</v>
      </c>
      <c r="B414" s="41" t="s">
        <v>582</v>
      </c>
      <c r="C414" s="41" t="s">
        <v>431</v>
      </c>
      <c r="D414" s="41" t="s">
        <v>432</v>
      </c>
      <c r="E414" s="41" t="s">
        <v>433</v>
      </c>
      <c r="F414" s="42">
        <v>19</v>
      </c>
      <c r="G414" s="41" t="s">
        <v>368</v>
      </c>
      <c r="H414" s="43" t="s">
        <v>434</v>
      </c>
      <c r="I414" s="44">
        <v>60</v>
      </c>
      <c r="J414" s="41"/>
      <c r="K414" s="44">
        <v>800</v>
      </c>
      <c r="L414" s="41" t="s">
        <v>435</v>
      </c>
      <c r="M414" s="44">
        <v>4</v>
      </c>
      <c r="N414" s="43" t="s">
        <v>436</v>
      </c>
    </row>
    <row r="415" spans="1:14" ht="15.75" customHeight="1">
      <c r="A415" s="41" t="s">
        <v>583</v>
      </c>
      <c r="B415" s="41" t="s">
        <v>584</v>
      </c>
      <c r="C415" s="41" t="s">
        <v>442</v>
      </c>
      <c r="D415" s="41" t="s">
        <v>443</v>
      </c>
      <c r="E415" s="41" t="s">
        <v>33</v>
      </c>
      <c r="F415" s="42">
        <v>10</v>
      </c>
      <c r="G415" s="41" t="s">
        <v>11</v>
      </c>
      <c r="H415" s="43" t="s">
        <v>426</v>
      </c>
      <c r="I415" s="44">
        <v>25</v>
      </c>
      <c r="J415" s="44">
        <v>33.200000000000003</v>
      </c>
      <c r="K415" s="41"/>
      <c r="L415" s="45">
        <v>103000</v>
      </c>
      <c r="M415" s="44">
        <v>1</v>
      </c>
      <c r="N415" s="43" t="s">
        <v>383</v>
      </c>
    </row>
    <row r="416" spans="1:14" ht="15.75" customHeight="1">
      <c r="A416" s="41" t="s">
        <v>583</v>
      </c>
      <c r="B416" s="41" t="s">
        <v>584</v>
      </c>
      <c r="C416" s="41" t="s">
        <v>442</v>
      </c>
      <c r="D416" s="41" t="s">
        <v>443</v>
      </c>
      <c r="E416" s="41" t="s">
        <v>33</v>
      </c>
      <c r="F416" s="42">
        <v>11</v>
      </c>
      <c r="G416" s="41" t="s">
        <v>12</v>
      </c>
      <c r="H416" s="43" t="s">
        <v>444</v>
      </c>
      <c r="I416" s="44">
        <v>90</v>
      </c>
      <c r="J416" s="44">
        <v>33.200000000000003</v>
      </c>
      <c r="K416" s="41"/>
      <c r="L416" s="45">
        <v>103000</v>
      </c>
      <c r="M416" s="44">
        <v>1</v>
      </c>
      <c r="N416" s="43" t="s">
        <v>383</v>
      </c>
    </row>
    <row r="417" spans="1:26" ht="15.75" customHeight="1">
      <c r="A417" s="41" t="s">
        <v>583</v>
      </c>
      <c r="B417" s="41" t="s">
        <v>584</v>
      </c>
      <c r="C417" s="41" t="s">
        <v>442</v>
      </c>
      <c r="D417" s="41" t="s">
        <v>443</v>
      </c>
      <c r="E417" s="41" t="s">
        <v>33</v>
      </c>
      <c r="F417" s="42">
        <v>12</v>
      </c>
      <c r="G417" s="41" t="s">
        <v>13</v>
      </c>
      <c r="H417" s="43" t="s">
        <v>444</v>
      </c>
      <c r="I417" s="44">
        <v>15</v>
      </c>
      <c r="J417" s="44">
        <v>33.200000000000003</v>
      </c>
      <c r="K417" s="41"/>
      <c r="L417" s="45">
        <v>103000</v>
      </c>
      <c r="M417" s="44">
        <v>1</v>
      </c>
      <c r="N417" s="43" t="s">
        <v>383</v>
      </c>
    </row>
    <row r="418" spans="1:26" ht="15.75" customHeight="1">
      <c r="A418" s="41" t="s">
        <v>583</v>
      </c>
      <c r="B418" s="41" t="s">
        <v>584</v>
      </c>
      <c r="C418" s="41" t="s">
        <v>431</v>
      </c>
      <c r="D418" s="41" t="s">
        <v>432</v>
      </c>
      <c r="E418" s="41" t="s">
        <v>433</v>
      </c>
      <c r="F418" s="42">
        <v>18</v>
      </c>
      <c r="G418" s="41" t="s">
        <v>439</v>
      </c>
      <c r="H418" s="43" t="s">
        <v>440</v>
      </c>
      <c r="I418" s="44">
        <v>60</v>
      </c>
      <c r="J418" s="41"/>
      <c r="K418" s="44">
        <v>660</v>
      </c>
      <c r="L418" s="41" t="s">
        <v>435</v>
      </c>
      <c r="M418" s="44">
        <v>1</v>
      </c>
      <c r="N418" s="43" t="s">
        <v>436</v>
      </c>
    </row>
    <row r="419" spans="1:26" ht="15.75" customHeight="1">
      <c r="A419" s="41" t="s">
        <v>583</v>
      </c>
      <c r="B419" s="41" t="s">
        <v>584</v>
      </c>
      <c r="C419" s="41" t="s">
        <v>431</v>
      </c>
      <c r="D419" s="41" t="s">
        <v>432</v>
      </c>
      <c r="E419" s="41" t="s">
        <v>433</v>
      </c>
      <c r="F419" s="42">
        <v>19</v>
      </c>
      <c r="G419" s="41" t="s">
        <v>368</v>
      </c>
      <c r="H419" s="43" t="s">
        <v>434</v>
      </c>
      <c r="I419" s="44">
        <v>60</v>
      </c>
      <c r="J419" s="41"/>
      <c r="K419" s="44">
        <v>1200</v>
      </c>
      <c r="L419" s="41" t="s">
        <v>435</v>
      </c>
      <c r="M419" s="44">
        <v>4</v>
      </c>
      <c r="N419" s="43" t="s">
        <v>436</v>
      </c>
    </row>
    <row r="420" spans="1:26" ht="15.75" customHeight="1">
      <c r="A420" s="41" t="s">
        <v>585</v>
      </c>
      <c r="B420" s="41" t="s">
        <v>586</v>
      </c>
      <c r="C420" s="41" t="s">
        <v>442</v>
      </c>
      <c r="D420" s="41" t="s">
        <v>443</v>
      </c>
      <c r="E420" s="41" t="s">
        <v>33</v>
      </c>
      <c r="F420" s="42">
        <v>10</v>
      </c>
      <c r="G420" s="41" t="s">
        <v>11</v>
      </c>
      <c r="H420" s="43" t="s">
        <v>426</v>
      </c>
      <c r="I420" s="44">
        <v>35</v>
      </c>
      <c r="J420" s="44">
        <v>35</v>
      </c>
      <c r="K420" s="41"/>
      <c r="L420" s="45">
        <v>78000</v>
      </c>
      <c r="M420" s="44">
        <v>1</v>
      </c>
      <c r="N420" s="43" t="s">
        <v>383</v>
      </c>
    </row>
    <row r="421" spans="1:26" ht="15.75" customHeight="1">
      <c r="A421" s="41" t="s">
        <v>585</v>
      </c>
      <c r="B421" s="41" t="s">
        <v>586</v>
      </c>
      <c r="C421" s="41" t="s">
        <v>442</v>
      </c>
      <c r="D421" s="41" t="s">
        <v>443</v>
      </c>
      <c r="E421" s="41" t="s">
        <v>33</v>
      </c>
      <c r="F421" s="42">
        <v>11</v>
      </c>
      <c r="G421" s="41" t="s">
        <v>12</v>
      </c>
      <c r="H421" s="43" t="s">
        <v>444</v>
      </c>
      <c r="I421" s="44">
        <v>125</v>
      </c>
      <c r="J421" s="44">
        <v>35</v>
      </c>
      <c r="K421" s="41"/>
      <c r="L421" s="45">
        <v>78000</v>
      </c>
      <c r="M421" s="44">
        <v>1</v>
      </c>
      <c r="N421" s="43" t="s">
        <v>383</v>
      </c>
    </row>
    <row r="422" spans="1:26" ht="15.75" customHeight="1">
      <c r="A422" s="41" t="s">
        <v>585</v>
      </c>
      <c r="B422" s="41" t="s">
        <v>586</v>
      </c>
      <c r="C422" s="41" t="s">
        <v>442</v>
      </c>
      <c r="D422" s="41" t="s">
        <v>443</v>
      </c>
      <c r="E422" s="41" t="s">
        <v>33</v>
      </c>
      <c r="F422" s="42">
        <v>12</v>
      </c>
      <c r="G422" s="41" t="s">
        <v>13</v>
      </c>
      <c r="H422" s="43" t="s">
        <v>444</v>
      </c>
      <c r="I422" s="44">
        <v>15</v>
      </c>
      <c r="J422" s="44">
        <v>35</v>
      </c>
      <c r="K422" s="41"/>
      <c r="L422" s="45">
        <v>78000</v>
      </c>
      <c r="M422" s="44">
        <v>1</v>
      </c>
      <c r="N422" s="43" t="s">
        <v>383</v>
      </c>
    </row>
    <row r="423" spans="1:26" ht="15.75" customHeight="1">
      <c r="A423" s="41" t="s">
        <v>585</v>
      </c>
      <c r="B423" s="41" t="s">
        <v>586</v>
      </c>
      <c r="C423" s="41" t="s">
        <v>431</v>
      </c>
      <c r="D423" s="41" t="s">
        <v>432</v>
      </c>
      <c r="E423" s="41" t="s">
        <v>433</v>
      </c>
      <c r="F423" s="42">
        <v>19</v>
      </c>
      <c r="G423" s="41" t="s">
        <v>368</v>
      </c>
      <c r="H423" s="43" t="s">
        <v>434</v>
      </c>
      <c r="I423" s="44">
        <v>60</v>
      </c>
      <c r="J423" s="41"/>
      <c r="K423" s="44">
        <v>850</v>
      </c>
      <c r="L423" s="41" t="s">
        <v>435</v>
      </c>
      <c r="M423" s="44">
        <v>3</v>
      </c>
      <c r="N423" s="43" t="s">
        <v>436</v>
      </c>
    </row>
    <row r="424" spans="1:26" ht="15.75" customHeight="1">
      <c r="A424" s="41" t="s">
        <v>587</v>
      </c>
      <c r="B424" s="41" t="s">
        <v>588</v>
      </c>
      <c r="C424" s="41" t="s">
        <v>424</v>
      </c>
      <c r="D424" s="41" t="s">
        <v>443</v>
      </c>
      <c r="E424" s="41" t="s">
        <v>33</v>
      </c>
      <c r="F424" s="42">
        <v>10</v>
      </c>
      <c r="G424" s="41" t="s">
        <v>11</v>
      </c>
      <c r="H424" s="43" t="s">
        <v>426</v>
      </c>
      <c r="I424" s="44">
        <v>20</v>
      </c>
      <c r="J424" s="44">
        <v>135</v>
      </c>
      <c r="K424" s="41"/>
      <c r="L424" s="45">
        <v>69000</v>
      </c>
      <c r="M424" s="44">
        <v>1</v>
      </c>
      <c r="N424" s="43" t="s">
        <v>383</v>
      </c>
    </row>
    <row r="425" spans="1:26" ht="15.75" customHeight="1">
      <c r="A425" s="41" t="s">
        <v>587</v>
      </c>
      <c r="B425" s="41" t="s">
        <v>588</v>
      </c>
      <c r="C425" s="41" t="s">
        <v>424</v>
      </c>
      <c r="D425" s="41" t="s">
        <v>443</v>
      </c>
      <c r="E425" s="41" t="s">
        <v>33</v>
      </c>
      <c r="F425" s="42">
        <v>11</v>
      </c>
      <c r="G425" s="41" t="s">
        <v>12</v>
      </c>
      <c r="H425" s="43" t="s">
        <v>444</v>
      </c>
      <c r="I425" s="44">
        <v>155</v>
      </c>
      <c r="J425" s="44">
        <v>135</v>
      </c>
      <c r="K425" s="41"/>
      <c r="L425" s="45">
        <v>69000</v>
      </c>
      <c r="M425" s="44">
        <v>1</v>
      </c>
      <c r="N425" s="43" t="s">
        <v>383</v>
      </c>
    </row>
    <row r="426" spans="1:26" ht="15.75" customHeight="1">
      <c r="A426" s="41" t="s">
        <v>587</v>
      </c>
      <c r="B426" s="41" t="s">
        <v>588</v>
      </c>
      <c r="C426" s="41" t="s">
        <v>424</v>
      </c>
      <c r="D426" s="41" t="s">
        <v>443</v>
      </c>
      <c r="E426" s="41" t="s">
        <v>33</v>
      </c>
      <c r="F426" s="42">
        <v>12</v>
      </c>
      <c r="G426" s="41" t="s">
        <v>13</v>
      </c>
      <c r="H426" s="43" t="s">
        <v>444</v>
      </c>
      <c r="I426" s="44">
        <v>15</v>
      </c>
      <c r="J426" s="44">
        <v>135</v>
      </c>
      <c r="K426" s="41"/>
      <c r="L426" s="45">
        <v>69000</v>
      </c>
      <c r="M426" s="44">
        <v>1</v>
      </c>
      <c r="N426" s="43" t="s">
        <v>383</v>
      </c>
    </row>
    <row r="427" spans="1:26" ht="15.75" customHeight="1">
      <c r="A427" s="41" t="s">
        <v>587</v>
      </c>
      <c r="B427" s="41" t="s">
        <v>588</v>
      </c>
      <c r="C427" s="41" t="s">
        <v>431</v>
      </c>
      <c r="D427" s="41" t="s">
        <v>432</v>
      </c>
      <c r="E427" s="41" t="s">
        <v>433</v>
      </c>
      <c r="F427" s="42">
        <v>19</v>
      </c>
      <c r="G427" s="41" t="s">
        <v>368</v>
      </c>
      <c r="H427" s="43" t="s">
        <v>434</v>
      </c>
      <c r="I427" s="44">
        <v>60</v>
      </c>
      <c r="J427" s="41"/>
      <c r="K427" s="44">
        <v>400</v>
      </c>
      <c r="L427" s="41" t="s">
        <v>435</v>
      </c>
      <c r="M427" s="44">
        <v>3</v>
      </c>
      <c r="N427" s="43" t="s">
        <v>436</v>
      </c>
    </row>
    <row r="428" spans="1:26" ht="15.75" customHeight="1">
      <c r="A428" s="41" t="s">
        <v>589</v>
      </c>
      <c r="B428" s="41" t="s">
        <v>94</v>
      </c>
      <c r="C428" s="41" t="s">
        <v>424</v>
      </c>
      <c r="D428" s="41" t="s">
        <v>425</v>
      </c>
      <c r="E428" s="41" t="s">
        <v>48</v>
      </c>
      <c r="F428" s="42">
        <v>4</v>
      </c>
      <c r="G428" s="41" t="s">
        <v>11</v>
      </c>
      <c r="H428" s="43" t="s">
        <v>426</v>
      </c>
      <c r="I428" s="44">
        <v>25</v>
      </c>
      <c r="J428" s="44">
        <v>20</v>
      </c>
      <c r="K428" s="41"/>
      <c r="L428" s="45">
        <v>52000</v>
      </c>
      <c r="M428" s="44">
        <v>1</v>
      </c>
      <c r="N428" s="43" t="s">
        <v>383</v>
      </c>
    </row>
    <row r="429" spans="1:26" ht="15.75" customHeight="1">
      <c r="A429" s="41" t="s">
        <v>589</v>
      </c>
      <c r="B429" s="41" t="s">
        <v>94</v>
      </c>
      <c r="C429" s="41" t="s">
        <v>424</v>
      </c>
      <c r="D429" s="41" t="s">
        <v>425</v>
      </c>
      <c r="E429" s="41" t="s">
        <v>48</v>
      </c>
      <c r="F429" s="42">
        <v>5</v>
      </c>
      <c r="G429" s="41" t="s">
        <v>12</v>
      </c>
      <c r="H429" s="43" t="s">
        <v>427</v>
      </c>
      <c r="I429" s="44">
        <v>130</v>
      </c>
      <c r="J429" s="44">
        <v>20</v>
      </c>
      <c r="K429" s="41"/>
      <c r="L429" s="45">
        <v>52000</v>
      </c>
      <c r="M429" s="44">
        <v>1</v>
      </c>
      <c r="N429" s="43" t="s">
        <v>383</v>
      </c>
    </row>
    <row r="430" spans="1:26" ht="15.75" customHeight="1">
      <c r="A430" s="41" t="s">
        <v>589</v>
      </c>
      <c r="B430" s="41" t="s">
        <v>94</v>
      </c>
      <c r="C430" s="41" t="s">
        <v>424</v>
      </c>
      <c r="D430" s="41" t="s">
        <v>425</v>
      </c>
      <c r="E430" s="41" t="s">
        <v>48</v>
      </c>
      <c r="F430" s="42">
        <v>6</v>
      </c>
      <c r="G430" s="41" t="s">
        <v>13</v>
      </c>
      <c r="H430" s="43" t="s">
        <v>427</v>
      </c>
      <c r="I430" s="44">
        <v>30</v>
      </c>
      <c r="J430" s="44">
        <v>20</v>
      </c>
      <c r="K430" s="41"/>
      <c r="L430" s="45">
        <v>52000</v>
      </c>
      <c r="M430" s="44">
        <v>1</v>
      </c>
      <c r="N430" s="43" t="s">
        <v>383</v>
      </c>
    </row>
    <row r="431" spans="1:26" ht="15.75" customHeight="1">
      <c r="A431" s="46" t="s">
        <v>590</v>
      </c>
      <c r="B431" s="46" t="s">
        <v>94</v>
      </c>
      <c r="C431" s="46" t="s">
        <v>424</v>
      </c>
      <c r="D431" s="46" t="s">
        <v>429</v>
      </c>
      <c r="E431" s="46" t="s">
        <v>74</v>
      </c>
      <c r="F431" s="47">
        <v>7</v>
      </c>
      <c r="G431" s="46" t="s">
        <v>11</v>
      </c>
      <c r="H431" s="48" t="s">
        <v>426</v>
      </c>
      <c r="I431" s="49">
        <v>25</v>
      </c>
      <c r="J431" s="49">
        <v>20</v>
      </c>
      <c r="K431" s="46"/>
      <c r="L431" s="50">
        <v>103000</v>
      </c>
      <c r="M431" s="49">
        <v>1</v>
      </c>
      <c r="N431" s="48" t="s">
        <v>383</v>
      </c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>
      <c r="A432" s="46" t="s">
        <v>590</v>
      </c>
      <c r="B432" s="46" t="s">
        <v>94</v>
      </c>
      <c r="C432" s="46" t="s">
        <v>424</v>
      </c>
      <c r="D432" s="46" t="s">
        <v>429</v>
      </c>
      <c r="E432" s="46" t="s">
        <v>74</v>
      </c>
      <c r="F432" s="47">
        <v>8</v>
      </c>
      <c r="G432" s="46" t="s">
        <v>12</v>
      </c>
      <c r="H432" s="48" t="s">
        <v>430</v>
      </c>
      <c r="I432" s="49">
        <v>190</v>
      </c>
      <c r="J432" s="49">
        <v>20</v>
      </c>
      <c r="K432" s="46"/>
      <c r="L432" s="50">
        <v>103000</v>
      </c>
      <c r="M432" s="49">
        <v>1</v>
      </c>
      <c r="N432" s="48" t="s">
        <v>383</v>
      </c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>
      <c r="A433" s="46" t="s">
        <v>590</v>
      </c>
      <c r="B433" s="46" t="s">
        <v>94</v>
      </c>
      <c r="C433" s="46" t="s">
        <v>424</v>
      </c>
      <c r="D433" s="46" t="s">
        <v>429</v>
      </c>
      <c r="E433" s="46" t="s">
        <v>74</v>
      </c>
      <c r="F433" s="47">
        <v>9</v>
      </c>
      <c r="G433" s="46" t="s">
        <v>13</v>
      </c>
      <c r="H433" s="48" t="s">
        <v>430</v>
      </c>
      <c r="I433" s="49">
        <v>40</v>
      </c>
      <c r="J433" s="49">
        <v>20</v>
      </c>
      <c r="K433" s="46"/>
      <c r="L433" s="50">
        <v>103000</v>
      </c>
      <c r="M433" s="49">
        <v>1</v>
      </c>
      <c r="N433" s="48" t="s">
        <v>383</v>
      </c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>
      <c r="A434" s="41" t="s">
        <v>589</v>
      </c>
      <c r="B434" s="41" t="s">
        <v>94</v>
      </c>
      <c r="C434" s="41" t="s">
        <v>431</v>
      </c>
      <c r="D434" s="41" t="s">
        <v>432</v>
      </c>
      <c r="E434" s="41" t="s">
        <v>433</v>
      </c>
      <c r="F434" s="42">
        <v>19</v>
      </c>
      <c r="G434" s="41" t="s">
        <v>368</v>
      </c>
      <c r="H434" s="43" t="s">
        <v>434</v>
      </c>
      <c r="I434" s="44">
        <v>60</v>
      </c>
      <c r="J434" s="41"/>
      <c r="K434" s="44">
        <v>800</v>
      </c>
      <c r="L434" s="41" t="s">
        <v>435</v>
      </c>
      <c r="M434" s="44">
        <v>4</v>
      </c>
      <c r="N434" s="43" t="s">
        <v>436</v>
      </c>
    </row>
    <row r="435" spans="1:26" ht="15.75" customHeight="1">
      <c r="A435" s="41" t="s">
        <v>591</v>
      </c>
      <c r="B435" s="41" t="s">
        <v>592</v>
      </c>
      <c r="C435" s="41" t="s">
        <v>424</v>
      </c>
      <c r="D435" s="41" t="s">
        <v>425</v>
      </c>
      <c r="E435" s="41" t="s">
        <v>48</v>
      </c>
      <c r="F435" s="42">
        <v>4</v>
      </c>
      <c r="G435" s="41" t="s">
        <v>11</v>
      </c>
      <c r="H435" s="43" t="s">
        <v>426</v>
      </c>
      <c r="I435" s="44">
        <v>140</v>
      </c>
      <c r="J435" s="44">
        <v>60</v>
      </c>
      <c r="K435" s="41"/>
      <c r="L435" s="45">
        <v>52000</v>
      </c>
      <c r="M435" s="44">
        <v>1</v>
      </c>
      <c r="N435" s="43" t="s">
        <v>383</v>
      </c>
    </row>
    <row r="436" spans="1:26" ht="15.75" customHeight="1">
      <c r="A436" s="41" t="s">
        <v>591</v>
      </c>
      <c r="B436" s="41" t="s">
        <v>592</v>
      </c>
      <c r="C436" s="41" t="s">
        <v>424</v>
      </c>
      <c r="D436" s="41" t="s">
        <v>425</v>
      </c>
      <c r="E436" s="41" t="s">
        <v>48</v>
      </c>
      <c r="F436" s="42">
        <v>5</v>
      </c>
      <c r="G436" s="41" t="s">
        <v>12</v>
      </c>
      <c r="H436" s="43" t="s">
        <v>427</v>
      </c>
      <c r="I436" s="44">
        <v>140</v>
      </c>
      <c r="J436" s="44">
        <v>60</v>
      </c>
      <c r="K436" s="41"/>
      <c r="L436" s="45">
        <v>52000</v>
      </c>
      <c r="M436" s="44">
        <v>1</v>
      </c>
      <c r="N436" s="43" t="s">
        <v>383</v>
      </c>
    </row>
    <row r="437" spans="1:26" ht="15.75" customHeight="1">
      <c r="A437" s="41" t="s">
        <v>591</v>
      </c>
      <c r="B437" s="41" t="s">
        <v>592</v>
      </c>
      <c r="C437" s="41" t="s">
        <v>424</v>
      </c>
      <c r="D437" s="41" t="s">
        <v>425</v>
      </c>
      <c r="E437" s="41" t="s">
        <v>48</v>
      </c>
      <c r="F437" s="42">
        <v>6</v>
      </c>
      <c r="G437" s="41" t="s">
        <v>13</v>
      </c>
      <c r="H437" s="43" t="s">
        <v>427</v>
      </c>
      <c r="I437" s="44">
        <v>40</v>
      </c>
      <c r="J437" s="44">
        <v>60</v>
      </c>
      <c r="K437" s="41"/>
      <c r="L437" s="45">
        <v>52000</v>
      </c>
      <c r="M437" s="44">
        <v>1</v>
      </c>
      <c r="N437" s="43" t="s">
        <v>383</v>
      </c>
    </row>
    <row r="438" spans="1:26" ht="15.75" customHeight="1">
      <c r="A438" s="41" t="s">
        <v>591</v>
      </c>
      <c r="B438" s="41" t="s">
        <v>592</v>
      </c>
      <c r="C438" s="41" t="s">
        <v>424</v>
      </c>
      <c r="D438" s="41" t="s">
        <v>429</v>
      </c>
      <c r="E438" s="41" t="s">
        <v>74</v>
      </c>
      <c r="F438" s="42">
        <v>7</v>
      </c>
      <c r="G438" s="41" t="s">
        <v>11</v>
      </c>
      <c r="H438" s="43" t="s">
        <v>426</v>
      </c>
      <c r="I438" s="44">
        <v>135</v>
      </c>
      <c r="J438" s="44">
        <v>60</v>
      </c>
      <c r="K438" s="41"/>
      <c r="L438" s="45">
        <v>103000</v>
      </c>
      <c r="M438" s="44">
        <v>1</v>
      </c>
      <c r="N438" s="43" t="s">
        <v>383</v>
      </c>
    </row>
    <row r="439" spans="1:26" ht="15.75" customHeight="1">
      <c r="A439" s="41" t="s">
        <v>591</v>
      </c>
      <c r="B439" s="41" t="s">
        <v>592</v>
      </c>
      <c r="C439" s="41" t="s">
        <v>424</v>
      </c>
      <c r="D439" s="41" t="s">
        <v>429</v>
      </c>
      <c r="E439" s="41" t="s">
        <v>74</v>
      </c>
      <c r="F439" s="42">
        <v>8</v>
      </c>
      <c r="G439" s="41" t="s">
        <v>12</v>
      </c>
      <c r="H439" s="43" t="s">
        <v>430</v>
      </c>
      <c r="I439" s="44">
        <v>170</v>
      </c>
      <c r="J439" s="44">
        <v>60</v>
      </c>
      <c r="K439" s="41"/>
      <c r="L439" s="45">
        <v>103000</v>
      </c>
      <c r="M439" s="44">
        <v>1</v>
      </c>
      <c r="N439" s="43" t="s">
        <v>383</v>
      </c>
    </row>
    <row r="440" spans="1:26" ht="15.75" customHeight="1">
      <c r="A440" s="41" t="s">
        <v>591</v>
      </c>
      <c r="B440" s="41" t="s">
        <v>592</v>
      </c>
      <c r="C440" s="41" t="s">
        <v>424</v>
      </c>
      <c r="D440" s="41" t="s">
        <v>429</v>
      </c>
      <c r="E440" s="41" t="s">
        <v>74</v>
      </c>
      <c r="F440" s="42">
        <v>9</v>
      </c>
      <c r="G440" s="41" t="s">
        <v>13</v>
      </c>
      <c r="H440" s="43" t="s">
        <v>430</v>
      </c>
      <c r="I440" s="44">
        <v>30</v>
      </c>
      <c r="J440" s="44">
        <v>60</v>
      </c>
      <c r="K440" s="41"/>
      <c r="L440" s="45">
        <v>103000</v>
      </c>
      <c r="M440" s="44">
        <v>1</v>
      </c>
      <c r="N440" s="43" t="s">
        <v>383</v>
      </c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>
      <c r="A441" s="41" t="s">
        <v>591</v>
      </c>
      <c r="B441" s="41" t="s">
        <v>592</v>
      </c>
      <c r="C441" s="41" t="s">
        <v>431</v>
      </c>
      <c r="D441" s="41" t="s">
        <v>432</v>
      </c>
      <c r="E441" s="41" t="s">
        <v>433</v>
      </c>
      <c r="F441" s="42">
        <v>18</v>
      </c>
      <c r="G441" s="41" t="s">
        <v>439</v>
      </c>
      <c r="H441" s="43" t="s">
        <v>440</v>
      </c>
      <c r="I441" s="44">
        <v>60</v>
      </c>
      <c r="J441" s="41"/>
      <c r="K441" s="44">
        <v>800</v>
      </c>
      <c r="L441" s="41" t="s">
        <v>435</v>
      </c>
      <c r="M441" s="44">
        <v>1</v>
      </c>
      <c r="N441" s="43" t="s">
        <v>436</v>
      </c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>
      <c r="A442" s="41" t="s">
        <v>591</v>
      </c>
      <c r="B442" s="41" t="s">
        <v>592</v>
      </c>
      <c r="C442" s="41" t="s">
        <v>431</v>
      </c>
      <c r="D442" s="41" t="s">
        <v>432</v>
      </c>
      <c r="E442" s="41" t="s">
        <v>433</v>
      </c>
      <c r="F442" s="42">
        <v>19</v>
      </c>
      <c r="G442" s="41" t="s">
        <v>368</v>
      </c>
      <c r="H442" s="43" t="s">
        <v>434</v>
      </c>
      <c r="I442" s="44">
        <v>60</v>
      </c>
      <c r="J442" s="41"/>
      <c r="K442" s="44">
        <v>1200</v>
      </c>
      <c r="L442" s="41" t="s">
        <v>435</v>
      </c>
      <c r="M442" s="44">
        <v>4</v>
      </c>
      <c r="N442" s="43" t="s">
        <v>436</v>
      </c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>
      <c r="A443" s="41" t="s">
        <v>593</v>
      </c>
      <c r="B443" s="41" t="s">
        <v>251</v>
      </c>
      <c r="C443" s="41" t="s">
        <v>442</v>
      </c>
      <c r="D443" s="41" t="s">
        <v>448</v>
      </c>
      <c r="E443" s="41" t="s">
        <v>40</v>
      </c>
      <c r="F443" s="42">
        <v>1</v>
      </c>
      <c r="G443" s="41" t="s">
        <v>11</v>
      </c>
      <c r="H443" s="43" t="s">
        <v>426</v>
      </c>
      <c r="I443" s="44">
        <v>70</v>
      </c>
      <c r="J443" s="44">
        <v>96.6</v>
      </c>
      <c r="K443" s="41"/>
      <c r="L443" s="45">
        <v>400000</v>
      </c>
      <c r="M443" s="44">
        <v>1</v>
      </c>
      <c r="N443" s="43" t="s">
        <v>383</v>
      </c>
    </row>
    <row r="444" spans="1:26" ht="15.75" customHeight="1">
      <c r="A444" s="41" t="s">
        <v>593</v>
      </c>
      <c r="B444" s="41" t="s">
        <v>251</v>
      </c>
      <c r="C444" s="41" t="s">
        <v>442</v>
      </c>
      <c r="D444" s="41" t="s">
        <v>448</v>
      </c>
      <c r="E444" s="41" t="s">
        <v>40</v>
      </c>
      <c r="F444" s="42">
        <v>2</v>
      </c>
      <c r="G444" s="41" t="s">
        <v>12</v>
      </c>
      <c r="H444" s="43" t="s">
        <v>449</v>
      </c>
      <c r="I444" s="44">
        <v>70</v>
      </c>
      <c r="J444" s="44">
        <v>96.6</v>
      </c>
      <c r="K444" s="41"/>
      <c r="L444" s="45">
        <v>400000</v>
      </c>
      <c r="M444" s="44">
        <v>1</v>
      </c>
      <c r="N444" s="43" t="s">
        <v>383</v>
      </c>
    </row>
    <row r="445" spans="1:26" ht="15.75" customHeight="1">
      <c r="A445" s="41" t="s">
        <v>593</v>
      </c>
      <c r="B445" s="41" t="s">
        <v>251</v>
      </c>
      <c r="C445" s="41" t="s">
        <v>442</v>
      </c>
      <c r="D445" s="41" t="s">
        <v>448</v>
      </c>
      <c r="E445" s="41" t="s">
        <v>40</v>
      </c>
      <c r="F445" s="42">
        <v>3</v>
      </c>
      <c r="G445" s="41" t="s">
        <v>13</v>
      </c>
      <c r="H445" s="43" t="s">
        <v>449</v>
      </c>
      <c r="I445" s="44">
        <v>30</v>
      </c>
      <c r="J445" s="44">
        <v>96.6</v>
      </c>
      <c r="K445" s="41"/>
      <c r="L445" s="45">
        <v>400000</v>
      </c>
      <c r="M445" s="44">
        <v>1</v>
      </c>
      <c r="N445" s="43" t="s">
        <v>383</v>
      </c>
    </row>
    <row r="446" spans="1:26" ht="15.75" customHeight="1">
      <c r="A446" s="41" t="s">
        <v>593</v>
      </c>
      <c r="B446" s="41" t="s">
        <v>251</v>
      </c>
      <c r="C446" s="41" t="s">
        <v>424</v>
      </c>
      <c r="D446" s="41" t="s">
        <v>425</v>
      </c>
      <c r="E446" s="41" t="s">
        <v>48</v>
      </c>
      <c r="F446" s="42">
        <v>5</v>
      </c>
      <c r="G446" s="41" t="s">
        <v>12</v>
      </c>
      <c r="H446" s="43" t="s">
        <v>427</v>
      </c>
      <c r="I446" s="44">
        <v>80</v>
      </c>
      <c r="J446" s="44">
        <v>23.4</v>
      </c>
      <c r="K446" s="41"/>
      <c r="L446" s="45">
        <v>42500</v>
      </c>
      <c r="M446" s="44">
        <v>1</v>
      </c>
      <c r="N446" s="43" t="s">
        <v>383</v>
      </c>
    </row>
    <row r="447" spans="1:26" ht="15.75" customHeight="1">
      <c r="A447" s="41" t="s">
        <v>593</v>
      </c>
      <c r="B447" s="41" t="s">
        <v>251</v>
      </c>
      <c r="C447" s="41" t="s">
        <v>424</v>
      </c>
      <c r="D447" s="41" t="s">
        <v>425</v>
      </c>
      <c r="E447" s="41" t="s">
        <v>48</v>
      </c>
      <c r="F447" s="42">
        <v>6</v>
      </c>
      <c r="G447" s="41" t="s">
        <v>13</v>
      </c>
      <c r="H447" s="43" t="s">
        <v>427</v>
      </c>
      <c r="I447" s="44">
        <v>30</v>
      </c>
      <c r="J447" s="44">
        <v>23.4</v>
      </c>
      <c r="K447" s="41"/>
      <c r="L447" s="45">
        <v>42500</v>
      </c>
      <c r="M447" s="44">
        <v>1</v>
      </c>
      <c r="N447" s="43" t="s">
        <v>383</v>
      </c>
    </row>
    <row r="448" spans="1:26" ht="15.75" customHeight="1">
      <c r="A448" s="41" t="s">
        <v>594</v>
      </c>
      <c r="B448" s="41" t="s">
        <v>595</v>
      </c>
      <c r="C448" s="41" t="s">
        <v>442</v>
      </c>
      <c r="D448" s="41" t="s">
        <v>448</v>
      </c>
      <c r="E448" s="41" t="s">
        <v>40</v>
      </c>
      <c r="F448" s="42">
        <v>1</v>
      </c>
      <c r="G448" s="41" t="s">
        <v>11</v>
      </c>
      <c r="H448" s="43" t="s">
        <v>426</v>
      </c>
      <c r="I448" s="44">
        <v>70</v>
      </c>
      <c r="J448" s="44">
        <v>96.6</v>
      </c>
      <c r="K448" s="41"/>
      <c r="L448" s="45">
        <v>400000</v>
      </c>
      <c r="M448" s="44">
        <v>1</v>
      </c>
      <c r="N448" s="43" t="s">
        <v>383</v>
      </c>
    </row>
    <row r="449" spans="1:14" ht="15.75" customHeight="1">
      <c r="A449" s="41" t="s">
        <v>594</v>
      </c>
      <c r="B449" s="41" t="s">
        <v>595</v>
      </c>
      <c r="C449" s="41" t="s">
        <v>442</v>
      </c>
      <c r="D449" s="41" t="s">
        <v>448</v>
      </c>
      <c r="E449" s="41" t="s">
        <v>40</v>
      </c>
      <c r="F449" s="42">
        <v>2</v>
      </c>
      <c r="G449" s="41" t="s">
        <v>12</v>
      </c>
      <c r="H449" s="43" t="s">
        <v>449</v>
      </c>
      <c r="I449" s="44">
        <v>70</v>
      </c>
      <c r="J449" s="44">
        <v>96.6</v>
      </c>
      <c r="K449" s="41"/>
      <c r="L449" s="45">
        <v>400000</v>
      </c>
      <c r="M449" s="44">
        <v>1</v>
      </c>
      <c r="N449" s="43" t="s">
        <v>383</v>
      </c>
    </row>
    <row r="450" spans="1:14" ht="15.75" customHeight="1">
      <c r="A450" s="41" t="s">
        <v>594</v>
      </c>
      <c r="B450" s="41" t="s">
        <v>595</v>
      </c>
      <c r="C450" s="41" t="s">
        <v>442</v>
      </c>
      <c r="D450" s="41" t="s">
        <v>448</v>
      </c>
      <c r="E450" s="41" t="s">
        <v>40</v>
      </c>
      <c r="F450" s="42">
        <v>3</v>
      </c>
      <c r="G450" s="41" t="s">
        <v>13</v>
      </c>
      <c r="H450" s="43" t="s">
        <v>449</v>
      </c>
      <c r="I450" s="44">
        <v>30</v>
      </c>
      <c r="J450" s="44">
        <v>96.6</v>
      </c>
      <c r="K450" s="41"/>
      <c r="L450" s="45">
        <v>400000</v>
      </c>
      <c r="M450" s="44">
        <v>1</v>
      </c>
      <c r="N450" s="43" t="s">
        <v>383</v>
      </c>
    </row>
    <row r="451" spans="1:14" ht="15.75" customHeight="1">
      <c r="A451" s="41" t="s">
        <v>594</v>
      </c>
      <c r="B451" s="41" t="s">
        <v>595</v>
      </c>
      <c r="C451" s="41" t="s">
        <v>424</v>
      </c>
      <c r="D451" s="41" t="s">
        <v>425</v>
      </c>
      <c r="E451" s="41" t="s">
        <v>48</v>
      </c>
      <c r="F451" s="42">
        <v>5</v>
      </c>
      <c r="G451" s="41" t="s">
        <v>12</v>
      </c>
      <c r="H451" s="43" t="s">
        <v>427</v>
      </c>
      <c r="I451" s="44">
        <v>80</v>
      </c>
      <c r="J451" s="44">
        <v>23.4</v>
      </c>
      <c r="K451" s="41"/>
      <c r="L451" s="45">
        <v>42500</v>
      </c>
      <c r="M451" s="44">
        <v>1</v>
      </c>
      <c r="N451" s="43" t="s">
        <v>383</v>
      </c>
    </row>
    <row r="452" spans="1:14" ht="15.75" customHeight="1">
      <c r="A452" s="41" t="s">
        <v>594</v>
      </c>
      <c r="B452" s="41" t="s">
        <v>595</v>
      </c>
      <c r="C452" s="41" t="s">
        <v>424</v>
      </c>
      <c r="D452" s="41" t="s">
        <v>425</v>
      </c>
      <c r="E452" s="41" t="s">
        <v>48</v>
      </c>
      <c r="F452" s="42">
        <v>6</v>
      </c>
      <c r="G452" s="41" t="s">
        <v>13</v>
      </c>
      <c r="H452" s="43" t="s">
        <v>427</v>
      </c>
      <c r="I452" s="44">
        <v>30</v>
      </c>
      <c r="J452" s="44">
        <v>23.4</v>
      </c>
      <c r="K452" s="41"/>
      <c r="L452" s="45">
        <v>42500</v>
      </c>
      <c r="M452" s="44">
        <v>1</v>
      </c>
      <c r="N452" s="43" t="s">
        <v>383</v>
      </c>
    </row>
    <row r="453" spans="1:14" ht="15.75" customHeight="1">
      <c r="A453" s="41" t="s">
        <v>593</v>
      </c>
      <c r="B453" s="41" t="s">
        <v>251</v>
      </c>
      <c r="C453" s="41" t="s">
        <v>431</v>
      </c>
      <c r="D453" s="41" t="s">
        <v>432</v>
      </c>
      <c r="E453" s="41" t="s">
        <v>433</v>
      </c>
      <c r="F453" s="42">
        <v>18</v>
      </c>
      <c r="G453" s="41" t="s">
        <v>439</v>
      </c>
      <c r="H453" s="43" t="s">
        <v>440</v>
      </c>
      <c r="I453" s="44">
        <v>60</v>
      </c>
      <c r="J453" s="41"/>
      <c r="K453" s="44">
        <v>650</v>
      </c>
      <c r="L453" s="41" t="s">
        <v>435</v>
      </c>
      <c r="M453" s="44">
        <v>1</v>
      </c>
      <c r="N453" s="43" t="s">
        <v>436</v>
      </c>
    </row>
    <row r="454" spans="1:14" ht="15.75" customHeight="1">
      <c r="A454" s="41" t="s">
        <v>593</v>
      </c>
      <c r="B454" s="41" t="s">
        <v>251</v>
      </c>
      <c r="C454" s="41" t="s">
        <v>431</v>
      </c>
      <c r="D454" s="41" t="s">
        <v>432</v>
      </c>
      <c r="E454" s="41" t="s">
        <v>433</v>
      </c>
      <c r="F454" s="42">
        <v>19</v>
      </c>
      <c r="G454" s="41" t="s">
        <v>368</v>
      </c>
      <c r="H454" s="43" t="s">
        <v>434</v>
      </c>
      <c r="I454" s="44">
        <v>60</v>
      </c>
      <c r="J454" s="41"/>
      <c r="K454" s="44">
        <v>500</v>
      </c>
      <c r="L454" s="41" t="s">
        <v>435</v>
      </c>
      <c r="M454" s="44">
        <v>4</v>
      </c>
      <c r="N454" s="43" t="s">
        <v>436</v>
      </c>
    </row>
    <row r="455" spans="1:14" ht="15.75" customHeight="1">
      <c r="A455" s="41" t="s">
        <v>594</v>
      </c>
      <c r="B455" s="41" t="s">
        <v>595</v>
      </c>
      <c r="C455" s="41" t="s">
        <v>431</v>
      </c>
      <c r="D455" s="41" t="s">
        <v>432</v>
      </c>
      <c r="E455" s="41" t="s">
        <v>433</v>
      </c>
      <c r="F455" s="42">
        <v>18</v>
      </c>
      <c r="G455" s="41" t="s">
        <v>439</v>
      </c>
      <c r="H455" s="43" t="s">
        <v>440</v>
      </c>
      <c r="I455" s="44">
        <v>60</v>
      </c>
      <c r="J455" s="41"/>
      <c r="K455" s="44">
        <v>650</v>
      </c>
      <c r="L455" s="41" t="s">
        <v>435</v>
      </c>
      <c r="M455" s="44">
        <v>1</v>
      </c>
      <c r="N455" s="43" t="s">
        <v>436</v>
      </c>
    </row>
    <row r="456" spans="1:14" ht="15.75" customHeight="1">
      <c r="A456" s="41" t="s">
        <v>594</v>
      </c>
      <c r="B456" s="41" t="s">
        <v>595</v>
      </c>
      <c r="C456" s="41" t="s">
        <v>431</v>
      </c>
      <c r="D456" s="41" t="s">
        <v>432</v>
      </c>
      <c r="E456" s="41" t="s">
        <v>433</v>
      </c>
      <c r="F456" s="42">
        <v>19</v>
      </c>
      <c r="G456" s="41" t="s">
        <v>368</v>
      </c>
      <c r="H456" s="43" t="s">
        <v>434</v>
      </c>
      <c r="I456" s="44">
        <v>60</v>
      </c>
      <c r="J456" s="41"/>
      <c r="K456" s="44">
        <v>500</v>
      </c>
      <c r="L456" s="41" t="s">
        <v>435</v>
      </c>
      <c r="M456" s="44">
        <v>4</v>
      </c>
      <c r="N456" s="43" t="s">
        <v>436</v>
      </c>
    </row>
    <row r="457" spans="1:14" ht="15.75" customHeight="1">
      <c r="A457" s="41" t="s">
        <v>596</v>
      </c>
      <c r="B457" s="41" t="s">
        <v>39</v>
      </c>
      <c r="C457" s="41" t="s">
        <v>442</v>
      </c>
      <c r="D457" s="41" t="s">
        <v>448</v>
      </c>
      <c r="E457" s="41" t="s">
        <v>40</v>
      </c>
      <c r="F457" s="42">
        <v>1</v>
      </c>
      <c r="G457" s="41" t="s">
        <v>11</v>
      </c>
      <c r="H457" s="43" t="s">
        <v>426</v>
      </c>
      <c r="I457" s="44">
        <v>70</v>
      </c>
      <c r="J457" s="44">
        <v>11.7</v>
      </c>
      <c r="K457" s="41"/>
      <c r="L457" s="45">
        <v>400000</v>
      </c>
      <c r="M457" s="44">
        <v>1</v>
      </c>
      <c r="N457" s="43" t="s">
        <v>383</v>
      </c>
    </row>
    <row r="458" spans="1:14" ht="15.75" customHeight="1">
      <c r="A458" s="41" t="s">
        <v>596</v>
      </c>
      <c r="B458" s="41" t="s">
        <v>39</v>
      </c>
      <c r="C458" s="41" t="s">
        <v>442</v>
      </c>
      <c r="D458" s="41" t="s">
        <v>448</v>
      </c>
      <c r="E458" s="41" t="s">
        <v>40</v>
      </c>
      <c r="F458" s="42">
        <v>2</v>
      </c>
      <c r="G458" s="41" t="s">
        <v>12</v>
      </c>
      <c r="H458" s="43" t="s">
        <v>449</v>
      </c>
      <c r="I458" s="44">
        <v>70</v>
      </c>
      <c r="J458" s="44">
        <v>11.7</v>
      </c>
      <c r="K458" s="41"/>
      <c r="L458" s="45">
        <v>400000</v>
      </c>
      <c r="M458" s="44">
        <v>1</v>
      </c>
      <c r="N458" s="43" t="s">
        <v>383</v>
      </c>
    </row>
    <row r="459" spans="1:14" ht="15.75" customHeight="1">
      <c r="A459" s="41" t="s">
        <v>596</v>
      </c>
      <c r="B459" s="41" t="s">
        <v>39</v>
      </c>
      <c r="C459" s="41" t="s">
        <v>442</v>
      </c>
      <c r="D459" s="41" t="s">
        <v>448</v>
      </c>
      <c r="E459" s="41" t="s">
        <v>40</v>
      </c>
      <c r="F459" s="42">
        <v>3</v>
      </c>
      <c r="G459" s="41" t="s">
        <v>13</v>
      </c>
      <c r="H459" s="43" t="s">
        <v>449</v>
      </c>
      <c r="I459" s="44">
        <v>30</v>
      </c>
      <c r="J459" s="44">
        <v>11.7</v>
      </c>
      <c r="K459" s="41"/>
      <c r="L459" s="45">
        <v>400000</v>
      </c>
      <c r="M459" s="44">
        <v>1</v>
      </c>
      <c r="N459" s="43" t="s">
        <v>383</v>
      </c>
    </row>
    <row r="460" spans="1:14" ht="15.75" customHeight="1">
      <c r="A460" s="41" t="s">
        <v>596</v>
      </c>
      <c r="B460" s="41" t="s">
        <v>39</v>
      </c>
      <c r="C460" s="41" t="s">
        <v>424</v>
      </c>
      <c r="D460" s="41" t="s">
        <v>425</v>
      </c>
      <c r="E460" s="41" t="s">
        <v>48</v>
      </c>
      <c r="F460" s="42">
        <v>5</v>
      </c>
      <c r="G460" s="41" t="s">
        <v>12</v>
      </c>
      <c r="H460" s="43" t="s">
        <v>427</v>
      </c>
      <c r="I460" s="44">
        <v>80</v>
      </c>
      <c r="J460" s="44">
        <v>2.8</v>
      </c>
      <c r="K460" s="41"/>
      <c r="L460" s="45">
        <v>42500</v>
      </c>
      <c r="M460" s="44">
        <v>1</v>
      </c>
      <c r="N460" s="43" t="s">
        <v>383</v>
      </c>
    </row>
    <row r="461" spans="1:14" ht="15.75" customHeight="1">
      <c r="A461" s="41" t="s">
        <v>596</v>
      </c>
      <c r="B461" s="41" t="s">
        <v>39</v>
      </c>
      <c r="C461" s="41" t="s">
        <v>424</v>
      </c>
      <c r="D461" s="41" t="s">
        <v>425</v>
      </c>
      <c r="E461" s="41" t="s">
        <v>48</v>
      </c>
      <c r="F461" s="42">
        <v>6</v>
      </c>
      <c r="G461" s="41" t="s">
        <v>13</v>
      </c>
      <c r="H461" s="43" t="s">
        <v>427</v>
      </c>
      <c r="I461" s="44">
        <v>30</v>
      </c>
      <c r="J461" s="44">
        <v>2.8</v>
      </c>
      <c r="K461" s="41"/>
      <c r="L461" s="45">
        <v>42500</v>
      </c>
      <c r="M461" s="44">
        <v>1</v>
      </c>
      <c r="N461" s="43" t="s">
        <v>383</v>
      </c>
    </row>
    <row r="462" spans="1:14" ht="15.75" customHeight="1">
      <c r="A462" s="41" t="s">
        <v>597</v>
      </c>
      <c r="B462" s="41" t="s">
        <v>39</v>
      </c>
      <c r="C462" s="41" t="s">
        <v>442</v>
      </c>
      <c r="D462" s="41" t="s">
        <v>448</v>
      </c>
      <c r="E462" s="41" t="s">
        <v>40</v>
      </c>
      <c r="F462" s="42">
        <v>1</v>
      </c>
      <c r="G462" s="41" t="s">
        <v>11</v>
      </c>
      <c r="H462" s="43" t="s">
        <v>426</v>
      </c>
      <c r="I462" s="44">
        <v>70</v>
      </c>
      <c r="J462" s="44">
        <v>11.7</v>
      </c>
      <c r="K462" s="41"/>
      <c r="L462" s="45">
        <v>400000</v>
      </c>
      <c r="M462" s="44">
        <v>1</v>
      </c>
      <c r="N462" s="43" t="s">
        <v>383</v>
      </c>
    </row>
    <row r="463" spans="1:14" ht="15.75" customHeight="1">
      <c r="A463" s="41" t="s">
        <v>597</v>
      </c>
      <c r="B463" s="41" t="s">
        <v>39</v>
      </c>
      <c r="C463" s="41" t="s">
        <v>442</v>
      </c>
      <c r="D463" s="41" t="s">
        <v>448</v>
      </c>
      <c r="E463" s="41" t="s">
        <v>40</v>
      </c>
      <c r="F463" s="42">
        <v>2</v>
      </c>
      <c r="G463" s="41" t="s">
        <v>12</v>
      </c>
      <c r="H463" s="43" t="s">
        <v>449</v>
      </c>
      <c r="I463" s="44">
        <v>70</v>
      </c>
      <c r="J463" s="44">
        <v>11.7</v>
      </c>
      <c r="K463" s="41"/>
      <c r="L463" s="45">
        <v>400000</v>
      </c>
      <c r="M463" s="44">
        <v>1</v>
      </c>
      <c r="N463" s="43" t="s">
        <v>383</v>
      </c>
    </row>
    <row r="464" spans="1:14" ht="15.75" customHeight="1">
      <c r="A464" s="41" t="s">
        <v>597</v>
      </c>
      <c r="B464" s="41" t="s">
        <v>39</v>
      </c>
      <c r="C464" s="41" t="s">
        <v>442</v>
      </c>
      <c r="D464" s="41" t="s">
        <v>448</v>
      </c>
      <c r="E464" s="41" t="s">
        <v>40</v>
      </c>
      <c r="F464" s="42">
        <v>3</v>
      </c>
      <c r="G464" s="41" t="s">
        <v>13</v>
      </c>
      <c r="H464" s="43" t="s">
        <v>449</v>
      </c>
      <c r="I464" s="44">
        <v>30</v>
      </c>
      <c r="J464" s="44">
        <v>11.7</v>
      </c>
      <c r="K464" s="41"/>
      <c r="L464" s="45">
        <v>400000</v>
      </c>
      <c r="M464" s="44">
        <v>1</v>
      </c>
      <c r="N464" s="43" t="s">
        <v>383</v>
      </c>
    </row>
    <row r="465" spans="1:14" ht="15.75" customHeight="1">
      <c r="A465" s="41" t="s">
        <v>597</v>
      </c>
      <c r="B465" s="41" t="s">
        <v>39</v>
      </c>
      <c r="C465" s="41" t="s">
        <v>424</v>
      </c>
      <c r="D465" s="41" t="s">
        <v>425</v>
      </c>
      <c r="E465" s="41" t="s">
        <v>48</v>
      </c>
      <c r="F465" s="42">
        <v>5</v>
      </c>
      <c r="G465" s="41" t="s">
        <v>12</v>
      </c>
      <c r="H465" s="43" t="s">
        <v>427</v>
      </c>
      <c r="I465" s="44">
        <v>80</v>
      </c>
      <c r="J465" s="44">
        <v>2.8</v>
      </c>
      <c r="K465" s="41"/>
      <c r="L465" s="45">
        <v>42500</v>
      </c>
      <c r="M465" s="44">
        <v>1</v>
      </c>
      <c r="N465" s="43" t="s">
        <v>383</v>
      </c>
    </row>
    <row r="466" spans="1:14" ht="15.75" customHeight="1">
      <c r="A466" s="41" t="s">
        <v>597</v>
      </c>
      <c r="B466" s="41" t="s">
        <v>39</v>
      </c>
      <c r="C466" s="41" t="s">
        <v>424</v>
      </c>
      <c r="D466" s="41" t="s">
        <v>425</v>
      </c>
      <c r="E466" s="41" t="s">
        <v>48</v>
      </c>
      <c r="F466" s="42">
        <v>6</v>
      </c>
      <c r="G466" s="41" t="s">
        <v>13</v>
      </c>
      <c r="H466" s="43" t="s">
        <v>427</v>
      </c>
      <c r="I466" s="44">
        <v>30</v>
      </c>
      <c r="J466" s="44">
        <v>2.8</v>
      </c>
      <c r="K466" s="41"/>
      <c r="L466" s="45">
        <v>42500</v>
      </c>
      <c r="M466" s="44">
        <v>1</v>
      </c>
      <c r="N466" s="43" t="s">
        <v>383</v>
      </c>
    </row>
    <row r="467" spans="1:14" ht="15.75" customHeight="1">
      <c r="A467" s="41" t="s">
        <v>596</v>
      </c>
      <c r="B467" s="41" t="s">
        <v>39</v>
      </c>
      <c r="C467" s="41" t="s">
        <v>431</v>
      </c>
      <c r="D467" s="41" t="s">
        <v>432</v>
      </c>
      <c r="E467" s="41" t="s">
        <v>433</v>
      </c>
      <c r="F467" s="42">
        <v>18</v>
      </c>
      <c r="G467" s="41" t="s">
        <v>439</v>
      </c>
      <c r="H467" s="43" t="s">
        <v>440</v>
      </c>
      <c r="I467" s="44">
        <v>60</v>
      </c>
      <c r="J467" s="41"/>
      <c r="K467" s="44">
        <v>1100</v>
      </c>
      <c r="L467" s="41" t="s">
        <v>435</v>
      </c>
      <c r="M467" s="44">
        <v>1</v>
      </c>
      <c r="N467" s="43" t="s">
        <v>436</v>
      </c>
    </row>
    <row r="468" spans="1:14" ht="15.75" customHeight="1">
      <c r="A468" s="41" t="s">
        <v>596</v>
      </c>
      <c r="B468" s="41" t="s">
        <v>39</v>
      </c>
      <c r="C468" s="41" t="s">
        <v>431</v>
      </c>
      <c r="D468" s="41" t="s">
        <v>432</v>
      </c>
      <c r="E468" s="41" t="s">
        <v>433</v>
      </c>
      <c r="F468" s="42">
        <v>19</v>
      </c>
      <c r="G468" s="41" t="s">
        <v>368</v>
      </c>
      <c r="H468" s="43" t="s">
        <v>434</v>
      </c>
      <c r="I468" s="44">
        <v>60</v>
      </c>
      <c r="J468" s="41"/>
      <c r="K468" s="44">
        <v>820</v>
      </c>
      <c r="L468" s="41" t="s">
        <v>435</v>
      </c>
      <c r="M468" s="44">
        <v>4</v>
      </c>
      <c r="N468" s="43" t="s">
        <v>436</v>
      </c>
    </row>
    <row r="469" spans="1:14" ht="15.75" customHeight="1">
      <c r="A469" s="41" t="s">
        <v>597</v>
      </c>
      <c r="B469" s="41" t="s">
        <v>39</v>
      </c>
      <c r="C469" s="41" t="s">
        <v>431</v>
      </c>
      <c r="D469" s="41" t="s">
        <v>432</v>
      </c>
      <c r="E469" s="41" t="s">
        <v>433</v>
      </c>
      <c r="F469" s="42">
        <v>18</v>
      </c>
      <c r="G469" s="41" t="s">
        <v>439</v>
      </c>
      <c r="H469" s="43" t="s">
        <v>440</v>
      </c>
      <c r="I469" s="44">
        <v>60</v>
      </c>
      <c r="J469" s="41"/>
      <c r="K469" s="44">
        <v>1200</v>
      </c>
      <c r="L469" s="41" t="s">
        <v>435</v>
      </c>
      <c r="M469" s="44">
        <v>1</v>
      </c>
      <c r="N469" s="43" t="s">
        <v>436</v>
      </c>
    </row>
    <row r="470" spans="1:14" ht="15.75" customHeight="1">
      <c r="A470" s="41" t="s">
        <v>597</v>
      </c>
      <c r="B470" s="41" t="s">
        <v>39</v>
      </c>
      <c r="C470" s="41" t="s">
        <v>431</v>
      </c>
      <c r="D470" s="41" t="s">
        <v>432</v>
      </c>
      <c r="E470" s="41" t="s">
        <v>433</v>
      </c>
      <c r="F470" s="42">
        <v>19</v>
      </c>
      <c r="G470" s="41" t="s">
        <v>368</v>
      </c>
      <c r="H470" s="43" t="s">
        <v>434</v>
      </c>
      <c r="I470" s="44">
        <v>60</v>
      </c>
      <c r="J470" s="41"/>
      <c r="K470" s="44">
        <v>1200</v>
      </c>
      <c r="L470" s="41" t="s">
        <v>435</v>
      </c>
      <c r="M470" s="44">
        <v>4</v>
      </c>
      <c r="N470" s="43" t="s">
        <v>436</v>
      </c>
    </row>
    <row r="471" spans="1:14" ht="15.75" customHeight="1">
      <c r="A471" s="41" t="s">
        <v>598</v>
      </c>
      <c r="B471" s="41" t="s">
        <v>599</v>
      </c>
      <c r="C471" s="41" t="s">
        <v>499</v>
      </c>
      <c r="D471" s="41" t="s">
        <v>443</v>
      </c>
      <c r="E471" s="41" t="s">
        <v>33</v>
      </c>
      <c r="F471" s="42">
        <v>11</v>
      </c>
      <c r="G471" s="41" t="s">
        <v>12</v>
      </c>
      <c r="H471" s="43" t="s">
        <v>444</v>
      </c>
      <c r="I471" s="44">
        <v>35</v>
      </c>
      <c r="J471" s="44">
        <v>25</v>
      </c>
      <c r="K471" s="41"/>
      <c r="L471" s="45">
        <v>100000</v>
      </c>
      <c r="M471" s="44">
        <v>1</v>
      </c>
      <c r="N471" s="43" t="s">
        <v>383</v>
      </c>
    </row>
    <row r="472" spans="1:14" ht="15.75" customHeight="1">
      <c r="A472" s="41" t="s">
        <v>598</v>
      </c>
      <c r="B472" s="41" t="s">
        <v>599</v>
      </c>
      <c r="C472" s="41" t="s">
        <v>499</v>
      </c>
      <c r="D472" s="41" t="s">
        <v>443</v>
      </c>
      <c r="E472" s="41" t="s">
        <v>33</v>
      </c>
      <c r="F472" s="42">
        <v>12</v>
      </c>
      <c r="G472" s="41" t="s">
        <v>13</v>
      </c>
      <c r="H472" s="43" t="s">
        <v>444</v>
      </c>
      <c r="I472" s="44">
        <v>20</v>
      </c>
      <c r="J472" s="44">
        <v>25</v>
      </c>
      <c r="K472" s="41"/>
      <c r="L472" s="45">
        <v>100000</v>
      </c>
      <c r="M472" s="44">
        <v>1</v>
      </c>
      <c r="N472" s="43" t="s">
        <v>383</v>
      </c>
    </row>
    <row r="473" spans="1:14" ht="15.75" customHeight="1">
      <c r="A473" s="41" t="s">
        <v>598</v>
      </c>
      <c r="B473" s="41" t="s">
        <v>599</v>
      </c>
      <c r="C473" s="41" t="s">
        <v>431</v>
      </c>
      <c r="D473" s="41" t="s">
        <v>432</v>
      </c>
      <c r="E473" s="41" t="s">
        <v>433</v>
      </c>
      <c r="F473" s="42">
        <v>18</v>
      </c>
      <c r="G473" s="41" t="s">
        <v>439</v>
      </c>
      <c r="H473" s="43" t="s">
        <v>440</v>
      </c>
      <c r="I473" s="44">
        <v>60</v>
      </c>
      <c r="J473" s="41"/>
      <c r="K473" s="44">
        <v>800</v>
      </c>
      <c r="L473" s="41" t="s">
        <v>435</v>
      </c>
      <c r="M473" s="44">
        <v>1</v>
      </c>
      <c r="N473" s="43" t="s">
        <v>436</v>
      </c>
    </row>
    <row r="474" spans="1:14" ht="15.75" customHeight="1">
      <c r="A474" s="41" t="s">
        <v>598</v>
      </c>
      <c r="B474" s="41" t="s">
        <v>599</v>
      </c>
      <c r="C474" s="41" t="s">
        <v>431</v>
      </c>
      <c r="D474" s="41" t="s">
        <v>432</v>
      </c>
      <c r="E474" s="41" t="s">
        <v>433</v>
      </c>
      <c r="F474" s="42">
        <v>19</v>
      </c>
      <c r="G474" s="41" t="s">
        <v>368</v>
      </c>
      <c r="H474" s="43" t="s">
        <v>434</v>
      </c>
      <c r="I474" s="44">
        <v>60</v>
      </c>
      <c r="J474" s="41"/>
      <c r="K474" s="44">
        <v>1500</v>
      </c>
      <c r="L474" s="41" t="s">
        <v>435</v>
      </c>
      <c r="M474" s="44">
        <v>4</v>
      </c>
      <c r="N474" s="43" t="s">
        <v>436</v>
      </c>
    </row>
    <row r="475" spans="1:14" ht="15.75" customHeight="1">
      <c r="A475" s="41" t="s">
        <v>600</v>
      </c>
      <c r="B475" s="41" t="s">
        <v>601</v>
      </c>
      <c r="C475" s="41" t="s">
        <v>442</v>
      </c>
      <c r="D475" s="41" t="s">
        <v>443</v>
      </c>
      <c r="E475" s="41" t="s">
        <v>33</v>
      </c>
      <c r="F475" s="42">
        <v>10</v>
      </c>
      <c r="G475" s="41" t="s">
        <v>11</v>
      </c>
      <c r="H475" s="43" t="s">
        <v>426</v>
      </c>
      <c r="I475" s="44">
        <v>90</v>
      </c>
      <c r="J475" s="44">
        <v>30.6</v>
      </c>
      <c r="K475" s="41"/>
      <c r="L475" s="45">
        <v>100000</v>
      </c>
      <c r="M475" s="44">
        <v>1</v>
      </c>
      <c r="N475" s="43" t="s">
        <v>383</v>
      </c>
    </row>
    <row r="476" spans="1:14" ht="15.75" customHeight="1">
      <c r="A476" s="41" t="s">
        <v>600</v>
      </c>
      <c r="B476" s="41" t="s">
        <v>601</v>
      </c>
      <c r="C476" s="41" t="s">
        <v>442</v>
      </c>
      <c r="D476" s="41" t="s">
        <v>443</v>
      </c>
      <c r="E476" s="41" t="s">
        <v>33</v>
      </c>
      <c r="F476" s="42">
        <v>11</v>
      </c>
      <c r="G476" s="41" t="s">
        <v>12</v>
      </c>
      <c r="H476" s="43" t="s">
        <v>444</v>
      </c>
      <c r="I476" s="44">
        <v>50</v>
      </c>
      <c r="J476" s="44">
        <v>30.6</v>
      </c>
      <c r="K476" s="41"/>
      <c r="L476" s="45">
        <v>100000</v>
      </c>
      <c r="M476" s="44">
        <v>1</v>
      </c>
      <c r="N476" s="43" t="s">
        <v>383</v>
      </c>
    </row>
    <row r="477" spans="1:14" ht="15.75" customHeight="1">
      <c r="A477" s="41" t="s">
        <v>600</v>
      </c>
      <c r="B477" s="41" t="s">
        <v>601</v>
      </c>
      <c r="C477" s="41" t="s">
        <v>442</v>
      </c>
      <c r="D477" s="41" t="s">
        <v>443</v>
      </c>
      <c r="E477" s="41" t="s">
        <v>33</v>
      </c>
      <c r="F477" s="42">
        <v>12</v>
      </c>
      <c r="G477" s="41" t="s">
        <v>13</v>
      </c>
      <c r="H477" s="43" t="s">
        <v>444</v>
      </c>
      <c r="I477" s="44">
        <v>10</v>
      </c>
      <c r="J477" s="44">
        <v>30.6</v>
      </c>
      <c r="K477" s="41"/>
      <c r="L477" s="45">
        <v>100000</v>
      </c>
      <c r="M477" s="44">
        <v>1</v>
      </c>
      <c r="N477" s="43" t="s">
        <v>383</v>
      </c>
    </row>
    <row r="478" spans="1:14" ht="15.75" customHeight="1">
      <c r="A478" s="41" t="s">
        <v>600</v>
      </c>
      <c r="B478" s="41" t="s">
        <v>601</v>
      </c>
      <c r="C478" s="41" t="s">
        <v>431</v>
      </c>
      <c r="D478" s="41" t="s">
        <v>432</v>
      </c>
      <c r="E478" s="41" t="s">
        <v>433</v>
      </c>
      <c r="F478" s="42">
        <v>18</v>
      </c>
      <c r="G478" s="41" t="s">
        <v>439</v>
      </c>
      <c r="H478" s="43" t="s">
        <v>440</v>
      </c>
      <c r="I478" s="44">
        <v>60</v>
      </c>
      <c r="J478" s="41"/>
      <c r="K478" s="44">
        <v>650</v>
      </c>
      <c r="L478" s="41" t="s">
        <v>435</v>
      </c>
      <c r="M478" s="44">
        <v>1</v>
      </c>
      <c r="N478" s="43" t="s">
        <v>436</v>
      </c>
    </row>
    <row r="479" spans="1:14" ht="15.75" customHeight="1">
      <c r="A479" s="41" t="s">
        <v>600</v>
      </c>
      <c r="B479" s="41" t="s">
        <v>601</v>
      </c>
      <c r="C479" s="41" t="s">
        <v>431</v>
      </c>
      <c r="D479" s="41" t="s">
        <v>432</v>
      </c>
      <c r="E479" s="41" t="s">
        <v>433</v>
      </c>
      <c r="F479" s="42">
        <v>19</v>
      </c>
      <c r="G479" s="41" t="s">
        <v>368</v>
      </c>
      <c r="H479" s="43" t="s">
        <v>434</v>
      </c>
      <c r="I479" s="44">
        <v>60</v>
      </c>
      <c r="J479" s="41"/>
      <c r="K479" s="44">
        <v>800</v>
      </c>
      <c r="L479" s="41" t="s">
        <v>435</v>
      </c>
      <c r="M479" s="44">
        <v>3</v>
      </c>
      <c r="N479" s="43" t="s">
        <v>436</v>
      </c>
    </row>
    <row r="480" spans="1:14" ht="15.75" customHeight="1">
      <c r="A480" s="41" t="s">
        <v>602</v>
      </c>
      <c r="B480" s="41" t="s">
        <v>603</v>
      </c>
      <c r="C480" s="41" t="s">
        <v>424</v>
      </c>
      <c r="D480" s="41" t="s">
        <v>425</v>
      </c>
      <c r="E480" s="41" t="s">
        <v>48</v>
      </c>
      <c r="F480" s="42">
        <v>4</v>
      </c>
      <c r="G480" s="41" t="s">
        <v>11</v>
      </c>
      <c r="H480" s="43" t="s">
        <v>426</v>
      </c>
      <c r="I480" s="44">
        <v>30</v>
      </c>
      <c r="J480" s="44">
        <v>47.6</v>
      </c>
      <c r="K480" s="41"/>
      <c r="L480" s="45">
        <v>52000</v>
      </c>
      <c r="M480" s="44">
        <v>1</v>
      </c>
      <c r="N480" s="43" t="s">
        <v>383</v>
      </c>
    </row>
    <row r="481" spans="1:14" ht="15.75" customHeight="1">
      <c r="A481" s="41" t="s">
        <v>602</v>
      </c>
      <c r="B481" s="41" t="s">
        <v>603</v>
      </c>
      <c r="C481" s="41" t="s">
        <v>424</v>
      </c>
      <c r="D481" s="41" t="s">
        <v>425</v>
      </c>
      <c r="E481" s="41" t="s">
        <v>48</v>
      </c>
      <c r="F481" s="42">
        <v>5</v>
      </c>
      <c r="G481" s="41" t="s">
        <v>12</v>
      </c>
      <c r="H481" s="43" t="s">
        <v>427</v>
      </c>
      <c r="I481" s="44">
        <v>155</v>
      </c>
      <c r="J481" s="44">
        <v>47.6</v>
      </c>
      <c r="K481" s="41"/>
      <c r="L481" s="45">
        <v>52000</v>
      </c>
      <c r="M481" s="44">
        <v>1</v>
      </c>
      <c r="N481" s="43" t="s">
        <v>383</v>
      </c>
    </row>
    <row r="482" spans="1:14" ht="15.75" customHeight="1">
      <c r="A482" s="41" t="s">
        <v>602</v>
      </c>
      <c r="B482" s="41" t="s">
        <v>603</v>
      </c>
      <c r="C482" s="41" t="s">
        <v>424</v>
      </c>
      <c r="D482" s="41" t="s">
        <v>425</v>
      </c>
      <c r="E482" s="41" t="s">
        <v>48</v>
      </c>
      <c r="F482" s="42">
        <v>6</v>
      </c>
      <c r="G482" s="41" t="s">
        <v>13</v>
      </c>
      <c r="H482" s="43" t="s">
        <v>427</v>
      </c>
      <c r="I482" s="44">
        <v>30</v>
      </c>
      <c r="J482" s="44">
        <v>47.6</v>
      </c>
      <c r="K482" s="41"/>
      <c r="L482" s="45">
        <v>52000</v>
      </c>
      <c r="M482" s="44">
        <v>1</v>
      </c>
      <c r="N482" s="43" t="s">
        <v>383</v>
      </c>
    </row>
    <row r="483" spans="1:14" ht="15.75" customHeight="1">
      <c r="A483" s="41" t="s">
        <v>602</v>
      </c>
      <c r="B483" s="41" t="s">
        <v>603</v>
      </c>
      <c r="C483" s="41" t="s">
        <v>431</v>
      </c>
      <c r="D483" s="41" t="s">
        <v>432</v>
      </c>
      <c r="E483" s="41" t="s">
        <v>433</v>
      </c>
      <c r="F483" s="42">
        <v>18</v>
      </c>
      <c r="G483" s="41" t="s">
        <v>439</v>
      </c>
      <c r="H483" s="43" t="s">
        <v>440</v>
      </c>
      <c r="I483" s="44">
        <v>60</v>
      </c>
      <c r="J483" s="41"/>
      <c r="K483" s="44">
        <v>600</v>
      </c>
      <c r="L483" s="41" t="s">
        <v>435</v>
      </c>
      <c r="M483" s="44">
        <v>1</v>
      </c>
      <c r="N483" s="43" t="s">
        <v>436</v>
      </c>
    </row>
    <row r="484" spans="1:14" ht="15.75" customHeight="1">
      <c r="A484" s="41" t="s">
        <v>602</v>
      </c>
      <c r="B484" s="41" t="s">
        <v>603</v>
      </c>
      <c r="C484" s="41" t="s">
        <v>431</v>
      </c>
      <c r="D484" s="41" t="s">
        <v>432</v>
      </c>
      <c r="E484" s="41" t="s">
        <v>433</v>
      </c>
      <c r="F484" s="42">
        <v>19</v>
      </c>
      <c r="G484" s="41" t="s">
        <v>368</v>
      </c>
      <c r="H484" s="43" t="s">
        <v>434</v>
      </c>
      <c r="I484" s="44">
        <v>60</v>
      </c>
      <c r="J484" s="41"/>
      <c r="K484" s="44">
        <v>550</v>
      </c>
      <c r="L484" s="41" t="s">
        <v>435</v>
      </c>
      <c r="M484" s="44">
        <v>4</v>
      </c>
      <c r="N484" s="43" t="s">
        <v>436</v>
      </c>
    </row>
    <row r="485" spans="1:14" ht="15.75" customHeight="1">
      <c r="A485" s="41" t="s">
        <v>604</v>
      </c>
      <c r="B485" s="41" t="s">
        <v>91</v>
      </c>
      <c r="C485" s="41" t="s">
        <v>442</v>
      </c>
      <c r="D485" s="41" t="s">
        <v>448</v>
      </c>
      <c r="E485" s="41" t="s">
        <v>40</v>
      </c>
      <c r="F485" s="42">
        <v>1</v>
      </c>
      <c r="G485" s="41" t="s">
        <v>11</v>
      </c>
      <c r="H485" s="43" t="s">
        <v>426</v>
      </c>
      <c r="I485" s="44">
        <v>25</v>
      </c>
      <c r="J485" s="44">
        <v>28.3</v>
      </c>
      <c r="K485" s="41"/>
      <c r="L485" s="45">
        <v>412000</v>
      </c>
      <c r="M485" s="44">
        <v>1</v>
      </c>
      <c r="N485" s="43" t="s">
        <v>383</v>
      </c>
    </row>
    <row r="486" spans="1:14" ht="15.75" customHeight="1">
      <c r="A486" s="41" t="s">
        <v>604</v>
      </c>
      <c r="B486" s="41" t="s">
        <v>91</v>
      </c>
      <c r="C486" s="41" t="s">
        <v>442</v>
      </c>
      <c r="D486" s="41" t="s">
        <v>448</v>
      </c>
      <c r="E486" s="41" t="s">
        <v>40</v>
      </c>
      <c r="F486" s="42">
        <v>2</v>
      </c>
      <c r="G486" s="41" t="s">
        <v>12</v>
      </c>
      <c r="H486" s="43" t="s">
        <v>449</v>
      </c>
      <c r="I486" s="44">
        <v>120</v>
      </c>
      <c r="J486" s="44">
        <v>28.3</v>
      </c>
      <c r="K486" s="41"/>
      <c r="L486" s="45">
        <v>412000</v>
      </c>
      <c r="M486" s="44">
        <v>1</v>
      </c>
      <c r="N486" s="43" t="s">
        <v>383</v>
      </c>
    </row>
    <row r="487" spans="1:14" ht="15.75" customHeight="1">
      <c r="A487" s="41" t="s">
        <v>604</v>
      </c>
      <c r="B487" s="41" t="s">
        <v>91</v>
      </c>
      <c r="C487" s="41" t="s">
        <v>442</v>
      </c>
      <c r="D487" s="41" t="s">
        <v>448</v>
      </c>
      <c r="E487" s="41" t="s">
        <v>40</v>
      </c>
      <c r="F487" s="42">
        <v>3</v>
      </c>
      <c r="G487" s="41" t="s">
        <v>13</v>
      </c>
      <c r="H487" s="43" t="s">
        <v>449</v>
      </c>
      <c r="I487" s="44">
        <v>30</v>
      </c>
      <c r="J487" s="44">
        <v>28.3</v>
      </c>
      <c r="K487" s="41"/>
      <c r="L487" s="45">
        <v>412000</v>
      </c>
      <c r="M487" s="44">
        <v>1</v>
      </c>
      <c r="N487" s="43" t="s">
        <v>383</v>
      </c>
    </row>
    <row r="488" spans="1:14" ht="15.75" customHeight="1">
      <c r="A488" s="41" t="s">
        <v>604</v>
      </c>
      <c r="B488" s="41" t="s">
        <v>91</v>
      </c>
      <c r="C488" s="41" t="s">
        <v>431</v>
      </c>
      <c r="D488" s="41" t="s">
        <v>432</v>
      </c>
      <c r="E488" s="41" t="s">
        <v>433</v>
      </c>
      <c r="F488" s="42">
        <v>19</v>
      </c>
      <c r="G488" s="41" t="s">
        <v>368</v>
      </c>
      <c r="H488" s="43" t="s">
        <v>434</v>
      </c>
      <c r="I488" s="44">
        <v>60</v>
      </c>
      <c r="J488" s="41"/>
      <c r="K488" s="44">
        <v>1000</v>
      </c>
      <c r="L488" s="41" t="s">
        <v>435</v>
      </c>
      <c r="M488" s="44">
        <v>3</v>
      </c>
      <c r="N488" s="43" t="s">
        <v>436</v>
      </c>
    </row>
    <row r="489" spans="1:14" ht="15.75" customHeight="1">
      <c r="A489" s="41" t="s">
        <v>605</v>
      </c>
      <c r="B489" s="41" t="s">
        <v>606</v>
      </c>
      <c r="C489" s="41" t="s">
        <v>424</v>
      </c>
      <c r="D489" s="41" t="s">
        <v>425</v>
      </c>
      <c r="E489" s="41" t="s">
        <v>48</v>
      </c>
      <c r="F489" s="42">
        <v>4</v>
      </c>
      <c r="G489" s="41" t="s">
        <v>11</v>
      </c>
      <c r="H489" s="43" t="s">
        <v>426</v>
      </c>
      <c r="I489" s="44">
        <v>70</v>
      </c>
      <c r="J489" s="44">
        <v>30</v>
      </c>
      <c r="K489" s="41"/>
      <c r="L489" s="45">
        <v>51500</v>
      </c>
      <c r="M489" s="44">
        <v>1</v>
      </c>
      <c r="N489" s="43" t="s">
        <v>383</v>
      </c>
    </row>
    <row r="490" spans="1:14" ht="15.75" customHeight="1">
      <c r="A490" s="41" t="s">
        <v>605</v>
      </c>
      <c r="B490" s="41" t="s">
        <v>606</v>
      </c>
      <c r="C490" s="41" t="s">
        <v>424</v>
      </c>
      <c r="D490" s="41" t="s">
        <v>425</v>
      </c>
      <c r="E490" s="41" t="s">
        <v>48</v>
      </c>
      <c r="F490" s="42">
        <v>5</v>
      </c>
      <c r="G490" s="41" t="s">
        <v>12</v>
      </c>
      <c r="H490" s="43" t="s">
        <v>427</v>
      </c>
      <c r="I490" s="44">
        <v>150</v>
      </c>
      <c r="J490" s="44">
        <v>30</v>
      </c>
      <c r="K490" s="41"/>
      <c r="L490" s="45">
        <v>51500</v>
      </c>
      <c r="M490" s="44">
        <v>1</v>
      </c>
      <c r="N490" s="43" t="s">
        <v>383</v>
      </c>
    </row>
    <row r="491" spans="1:14" ht="15.75" customHeight="1">
      <c r="A491" s="41" t="s">
        <v>605</v>
      </c>
      <c r="B491" s="41" t="s">
        <v>606</v>
      </c>
      <c r="C491" s="41" t="s">
        <v>424</v>
      </c>
      <c r="D491" s="41" t="s">
        <v>425</v>
      </c>
      <c r="E491" s="41" t="s">
        <v>48</v>
      </c>
      <c r="F491" s="42">
        <v>6</v>
      </c>
      <c r="G491" s="41" t="s">
        <v>13</v>
      </c>
      <c r="H491" s="43" t="s">
        <v>427</v>
      </c>
      <c r="I491" s="44">
        <v>90</v>
      </c>
      <c r="J491" s="44">
        <v>30</v>
      </c>
      <c r="K491" s="41"/>
      <c r="L491" s="45">
        <v>51500</v>
      </c>
      <c r="M491" s="44">
        <v>1</v>
      </c>
      <c r="N491" s="43" t="s">
        <v>383</v>
      </c>
    </row>
    <row r="492" spans="1:14" ht="15.75" customHeight="1">
      <c r="A492" s="41" t="s">
        <v>605</v>
      </c>
      <c r="B492" s="41" t="s">
        <v>606</v>
      </c>
      <c r="C492" s="41" t="s">
        <v>431</v>
      </c>
      <c r="D492" s="41" t="s">
        <v>432</v>
      </c>
      <c r="E492" s="41" t="s">
        <v>433</v>
      </c>
      <c r="F492" s="42">
        <v>19</v>
      </c>
      <c r="G492" s="41" t="s">
        <v>368</v>
      </c>
      <c r="H492" s="43" t="s">
        <v>434</v>
      </c>
      <c r="I492" s="44">
        <v>60</v>
      </c>
      <c r="J492" s="41"/>
      <c r="K492" s="44">
        <v>650</v>
      </c>
      <c r="L492" s="41" t="s">
        <v>435</v>
      </c>
      <c r="M492" s="44">
        <v>4</v>
      </c>
      <c r="N492" s="43" t="s">
        <v>436</v>
      </c>
    </row>
    <row r="493" spans="1:14" ht="15.75" customHeight="1">
      <c r="A493" s="41" t="s">
        <v>607</v>
      </c>
      <c r="B493" s="41" t="s">
        <v>608</v>
      </c>
      <c r="C493" s="41" t="s">
        <v>442</v>
      </c>
      <c r="D493" s="41" t="s">
        <v>448</v>
      </c>
      <c r="E493" s="41" t="s">
        <v>40</v>
      </c>
      <c r="F493" s="42">
        <v>1</v>
      </c>
      <c r="G493" s="41" t="s">
        <v>11</v>
      </c>
      <c r="H493" s="43" t="s">
        <v>426</v>
      </c>
      <c r="I493" s="44">
        <v>20</v>
      </c>
      <c r="J493" s="44">
        <v>151</v>
      </c>
      <c r="K493" s="41"/>
      <c r="L493" s="45">
        <v>412000</v>
      </c>
      <c r="M493" s="44">
        <v>1</v>
      </c>
      <c r="N493" s="43" t="s">
        <v>383</v>
      </c>
    </row>
    <row r="494" spans="1:14" ht="15.75" customHeight="1">
      <c r="A494" s="41" t="s">
        <v>607</v>
      </c>
      <c r="B494" s="41" t="s">
        <v>608</v>
      </c>
      <c r="C494" s="41" t="s">
        <v>442</v>
      </c>
      <c r="D494" s="41" t="s">
        <v>448</v>
      </c>
      <c r="E494" s="41" t="s">
        <v>40</v>
      </c>
      <c r="F494" s="42">
        <v>2</v>
      </c>
      <c r="G494" s="41" t="s">
        <v>12</v>
      </c>
      <c r="H494" s="43" t="s">
        <v>449</v>
      </c>
      <c r="I494" s="44">
        <v>80</v>
      </c>
      <c r="J494" s="44">
        <v>151</v>
      </c>
      <c r="K494" s="41"/>
      <c r="L494" s="45">
        <v>412000</v>
      </c>
      <c r="M494" s="44">
        <v>1</v>
      </c>
      <c r="N494" s="43" t="s">
        <v>383</v>
      </c>
    </row>
    <row r="495" spans="1:14" ht="15.75" customHeight="1">
      <c r="A495" s="41" t="s">
        <v>607</v>
      </c>
      <c r="B495" s="41" t="s">
        <v>608</v>
      </c>
      <c r="C495" s="41" t="s">
        <v>442</v>
      </c>
      <c r="D495" s="41" t="s">
        <v>448</v>
      </c>
      <c r="E495" s="41" t="s">
        <v>40</v>
      </c>
      <c r="F495" s="42">
        <v>3</v>
      </c>
      <c r="G495" s="41" t="s">
        <v>13</v>
      </c>
      <c r="H495" s="43" t="s">
        <v>449</v>
      </c>
      <c r="I495" s="44">
        <v>30</v>
      </c>
      <c r="J495" s="44">
        <v>151</v>
      </c>
      <c r="K495" s="41"/>
      <c r="L495" s="45">
        <v>412000</v>
      </c>
      <c r="M495" s="44">
        <v>1</v>
      </c>
      <c r="N495" s="43" t="s">
        <v>383</v>
      </c>
    </row>
    <row r="496" spans="1:14" ht="15.75" customHeight="1">
      <c r="A496" s="41" t="s">
        <v>607</v>
      </c>
      <c r="B496" s="41" t="s">
        <v>608</v>
      </c>
      <c r="C496" s="41" t="s">
        <v>431</v>
      </c>
      <c r="D496" s="41" t="s">
        <v>432</v>
      </c>
      <c r="E496" s="41" t="s">
        <v>433</v>
      </c>
      <c r="F496" s="42">
        <v>18</v>
      </c>
      <c r="G496" s="41" t="s">
        <v>439</v>
      </c>
      <c r="H496" s="43" t="s">
        <v>440</v>
      </c>
      <c r="I496" s="44">
        <v>60</v>
      </c>
      <c r="J496" s="41"/>
      <c r="K496" s="44">
        <v>500</v>
      </c>
      <c r="L496" s="41" t="s">
        <v>435</v>
      </c>
      <c r="M496" s="44">
        <v>1</v>
      </c>
      <c r="N496" s="43" t="s">
        <v>436</v>
      </c>
    </row>
    <row r="497" spans="1:14" ht="15.75" customHeight="1">
      <c r="A497" s="41" t="s">
        <v>607</v>
      </c>
      <c r="B497" s="41" t="s">
        <v>608</v>
      </c>
      <c r="C497" s="41" t="s">
        <v>431</v>
      </c>
      <c r="D497" s="41" t="s">
        <v>432</v>
      </c>
      <c r="E497" s="41" t="s">
        <v>433</v>
      </c>
      <c r="F497" s="42">
        <v>19</v>
      </c>
      <c r="G497" s="41" t="s">
        <v>368</v>
      </c>
      <c r="H497" s="43" t="s">
        <v>434</v>
      </c>
      <c r="I497" s="44">
        <v>60</v>
      </c>
      <c r="J497" s="41"/>
      <c r="K497" s="44">
        <v>640</v>
      </c>
      <c r="L497" s="41" t="s">
        <v>435</v>
      </c>
      <c r="M497" s="44">
        <v>4</v>
      </c>
      <c r="N497" s="43" t="s">
        <v>436</v>
      </c>
    </row>
    <row r="498" spans="1:14" ht="15.75" customHeight="1">
      <c r="A498" s="41" t="s">
        <v>609</v>
      </c>
      <c r="B498" s="41" t="s">
        <v>115</v>
      </c>
      <c r="C498" s="41" t="s">
        <v>442</v>
      </c>
      <c r="D498" s="41" t="s">
        <v>443</v>
      </c>
      <c r="E498" s="41" t="s">
        <v>33</v>
      </c>
      <c r="F498" s="42">
        <v>10</v>
      </c>
      <c r="G498" s="41" t="s">
        <v>11</v>
      </c>
      <c r="H498" s="43" t="s">
        <v>426</v>
      </c>
      <c r="I498" s="44">
        <v>25</v>
      </c>
      <c r="J498" s="44">
        <v>32.4</v>
      </c>
      <c r="K498" s="41"/>
      <c r="L498" s="45">
        <v>100000</v>
      </c>
      <c r="M498" s="44">
        <v>1</v>
      </c>
      <c r="N498" s="43" t="s">
        <v>383</v>
      </c>
    </row>
    <row r="499" spans="1:14" ht="15.75" customHeight="1">
      <c r="A499" s="41" t="s">
        <v>609</v>
      </c>
      <c r="B499" s="41" t="s">
        <v>115</v>
      </c>
      <c r="C499" s="41" t="s">
        <v>442</v>
      </c>
      <c r="D499" s="41" t="s">
        <v>443</v>
      </c>
      <c r="E499" s="41" t="s">
        <v>33</v>
      </c>
      <c r="F499" s="42">
        <v>11</v>
      </c>
      <c r="G499" s="41" t="s">
        <v>12</v>
      </c>
      <c r="H499" s="43" t="s">
        <v>444</v>
      </c>
      <c r="I499" s="44">
        <v>80</v>
      </c>
      <c r="J499" s="44">
        <v>32.4</v>
      </c>
      <c r="K499" s="41"/>
      <c r="L499" s="45">
        <v>100000</v>
      </c>
      <c r="M499" s="44">
        <v>1</v>
      </c>
      <c r="N499" s="43" t="s">
        <v>383</v>
      </c>
    </row>
    <row r="500" spans="1:14" ht="15.75" customHeight="1">
      <c r="A500" s="41" t="s">
        <v>609</v>
      </c>
      <c r="B500" s="41" t="s">
        <v>115</v>
      </c>
      <c r="C500" s="41" t="s">
        <v>442</v>
      </c>
      <c r="D500" s="41" t="s">
        <v>443</v>
      </c>
      <c r="E500" s="41" t="s">
        <v>33</v>
      </c>
      <c r="F500" s="42">
        <v>12</v>
      </c>
      <c r="G500" s="41" t="s">
        <v>13</v>
      </c>
      <c r="H500" s="43" t="s">
        <v>444</v>
      </c>
      <c r="I500" s="44">
        <v>15</v>
      </c>
      <c r="J500" s="44">
        <v>32.4</v>
      </c>
      <c r="K500" s="41"/>
      <c r="L500" s="45">
        <v>100000</v>
      </c>
      <c r="M500" s="44">
        <v>1</v>
      </c>
      <c r="N500" s="43" t="s">
        <v>383</v>
      </c>
    </row>
    <row r="501" spans="1:14" ht="15.75" customHeight="1">
      <c r="A501" s="41" t="s">
        <v>609</v>
      </c>
      <c r="B501" s="41" t="s">
        <v>115</v>
      </c>
      <c r="C501" s="41" t="s">
        <v>431</v>
      </c>
      <c r="D501" s="41" t="s">
        <v>432</v>
      </c>
      <c r="E501" s="41" t="s">
        <v>433</v>
      </c>
      <c r="F501" s="42">
        <v>18</v>
      </c>
      <c r="G501" s="41" t="s">
        <v>439</v>
      </c>
      <c r="H501" s="43" t="s">
        <v>440</v>
      </c>
      <c r="I501" s="44">
        <v>60</v>
      </c>
      <c r="J501" s="41"/>
      <c r="K501" s="44">
        <v>570</v>
      </c>
      <c r="L501" s="41" t="s">
        <v>435</v>
      </c>
      <c r="M501" s="44">
        <v>1</v>
      </c>
      <c r="N501" s="43" t="s">
        <v>436</v>
      </c>
    </row>
    <row r="502" spans="1:14" ht="15.75" customHeight="1">
      <c r="A502" s="41" t="s">
        <v>609</v>
      </c>
      <c r="B502" s="41" t="s">
        <v>115</v>
      </c>
      <c r="C502" s="41" t="s">
        <v>431</v>
      </c>
      <c r="D502" s="41" t="s">
        <v>432</v>
      </c>
      <c r="E502" s="41" t="s">
        <v>433</v>
      </c>
      <c r="F502" s="42">
        <v>19</v>
      </c>
      <c r="G502" s="41" t="s">
        <v>368</v>
      </c>
      <c r="H502" s="43" t="s">
        <v>434</v>
      </c>
      <c r="I502" s="44">
        <v>60</v>
      </c>
      <c r="J502" s="41"/>
      <c r="K502" s="44">
        <v>1000</v>
      </c>
      <c r="L502" s="41" t="s">
        <v>435</v>
      </c>
      <c r="M502" s="44">
        <v>4</v>
      </c>
      <c r="N502" s="43" t="s">
        <v>436</v>
      </c>
    </row>
    <row r="503" spans="1:14" ht="15.75" customHeight="1">
      <c r="A503" s="41" t="s">
        <v>610</v>
      </c>
      <c r="B503" s="41" t="s">
        <v>611</v>
      </c>
      <c r="C503" s="41" t="s">
        <v>442</v>
      </c>
      <c r="D503" s="41" t="s">
        <v>443</v>
      </c>
      <c r="E503" s="41" t="s">
        <v>33</v>
      </c>
      <c r="F503" s="42">
        <v>10</v>
      </c>
      <c r="G503" s="41" t="s">
        <v>11</v>
      </c>
      <c r="H503" s="43" t="s">
        <v>426</v>
      </c>
      <c r="I503" s="44">
        <v>30</v>
      </c>
      <c r="J503" s="44">
        <v>33.5</v>
      </c>
      <c r="K503" s="41"/>
      <c r="L503" s="45">
        <v>100000</v>
      </c>
      <c r="M503" s="44">
        <v>1</v>
      </c>
      <c r="N503" s="43" t="s">
        <v>383</v>
      </c>
    </row>
    <row r="504" spans="1:14" ht="15.75" customHeight="1">
      <c r="A504" s="41" t="s">
        <v>610</v>
      </c>
      <c r="B504" s="41" t="s">
        <v>611</v>
      </c>
      <c r="C504" s="41" t="s">
        <v>442</v>
      </c>
      <c r="D504" s="41" t="s">
        <v>443</v>
      </c>
      <c r="E504" s="41" t="s">
        <v>33</v>
      </c>
      <c r="F504" s="42">
        <v>11</v>
      </c>
      <c r="G504" s="41" t="s">
        <v>12</v>
      </c>
      <c r="H504" s="43" t="s">
        <v>444</v>
      </c>
      <c r="I504" s="44">
        <v>75</v>
      </c>
      <c r="J504" s="44">
        <v>33.5</v>
      </c>
      <c r="K504" s="41"/>
      <c r="L504" s="45">
        <v>100000</v>
      </c>
      <c r="M504" s="44">
        <v>1</v>
      </c>
      <c r="N504" s="43" t="s">
        <v>383</v>
      </c>
    </row>
    <row r="505" spans="1:14" ht="15.75" customHeight="1">
      <c r="A505" s="41" t="s">
        <v>610</v>
      </c>
      <c r="B505" s="41" t="s">
        <v>611</v>
      </c>
      <c r="C505" s="41" t="s">
        <v>442</v>
      </c>
      <c r="D505" s="41" t="s">
        <v>443</v>
      </c>
      <c r="E505" s="41" t="s">
        <v>33</v>
      </c>
      <c r="F505" s="42">
        <v>12</v>
      </c>
      <c r="G505" s="41" t="s">
        <v>13</v>
      </c>
      <c r="H505" s="43" t="s">
        <v>444</v>
      </c>
      <c r="I505" s="44">
        <v>15</v>
      </c>
      <c r="J505" s="44">
        <v>33.5</v>
      </c>
      <c r="K505" s="41"/>
      <c r="L505" s="45">
        <v>100000</v>
      </c>
      <c r="M505" s="44">
        <v>1</v>
      </c>
      <c r="N505" s="43" t="s">
        <v>383</v>
      </c>
    </row>
    <row r="506" spans="1:14" ht="15.75" customHeight="1">
      <c r="A506" s="41" t="s">
        <v>610</v>
      </c>
      <c r="B506" s="41" t="s">
        <v>611</v>
      </c>
      <c r="C506" s="41" t="s">
        <v>431</v>
      </c>
      <c r="D506" s="41" t="s">
        <v>432</v>
      </c>
      <c r="E506" s="41" t="s">
        <v>433</v>
      </c>
      <c r="F506" s="42">
        <v>18</v>
      </c>
      <c r="G506" s="41" t="s">
        <v>439</v>
      </c>
      <c r="H506" s="43" t="s">
        <v>440</v>
      </c>
      <c r="I506" s="44">
        <v>60</v>
      </c>
      <c r="J506" s="41"/>
      <c r="K506" s="44">
        <v>960</v>
      </c>
      <c r="L506" s="41" t="s">
        <v>435</v>
      </c>
      <c r="M506" s="44">
        <v>1</v>
      </c>
      <c r="N506" s="43" t="s">
        <v>436</v>
      </c>
    </row>
    <row r="507" spans="1:14" ht="15.75" customHeight="1">
      <c r="A507" s="41" t="s">
        <v>610</v>
      </c>
      <c r="B507" s="41" t="s">
        <v>611</v>
      </c>
      <c r="C507" s="41" t="s">
        <v>431</v>
      </c>
      <c r="D507" s="41" t="s">
        <v>432</v>
      </c>
      <c r="E507" s="41" t="s">
        <v>433</v>
      </c>
      <c r="F507" s="42">
        <v>19</v>
      </c>
      <c r="G507" s="41" t="s">
        <v>368</v>
      </c>
      <c r="H507" s="43" t="s">
        <v>434</v>
      </c>
      <c r="I507" s="44">
        <v>60</v>
      </c>
      <c r="J507" s="41"/>
      <c r="K507" s="44">
        <v>890</v>
      </c>
      <c r="L507" s="41" t="s">
        <v>435</v>
      </c>
      <c r="M507" s="44">
        <v>4</v>
      </c>
      <c r="N507" s="43" t="s">
        <v>436</v>
      </c>
    </row>
    <row r="508" spans="1:14" ht="15.75" customHeight="1">
      <c r="A508" s="41" t="s">
        <v>612</v>
      </c>
      <c r="B508" s="41" t="s">
        <v>613</v>
      </c>
      <c r="C508" s="41" t="s">
        <v>424</v>
      </c>
      <c r="D508" s="41" t="s">
        <v>425</v>
      </c>
      <c r="E508" s="41" t="s">
        <v>48</v>
      </c>
      <c r="F508" s="42">
        <v>4</v>
      </c>
      <c r="G508" s="41" t="s">
        <v>11</v>
      </c>
      <c r="H508" s="43" t="s">
        <v>426</v>
      </c>
      <c r="I508" s="44">
        <v>30</v>
      </c>
      <c r="J508" s="44">
        <v>50</v>
      </c>
      <c r="K508" s="41"/>
      <c r="L508" s="45">
        <v>52000</v>
      </c>
      <c r="M508" s="44">
        <v>1</v>
      </c>
      <c r="N508" s="43" t="s">
        <v>383</v>
      </c>
    </row>
    <row r="509" spans="1:14" ht="15.75" customHeight="1">
      <c r="A509" s="41" t="s">
        <v>612</v>
      </c>
      <c r="B509" s="41" t="s">
        <v>613</v>
      </c>
      <c r="C509" s="41" t="s">
        <v>424</v>
      </c>
      <c r="D509" s="41" t="s">
        <v>425</v>
      </c>
      <c r="E509" s="41" t="s">
        <v>48</v>
      </c>
      <c r="F509" s="42">
        <v>5</v>
      </c>
      <c r="G509" s="41" t="s">
        <v>12</v>
      </c>
      <c r="H509" s="43" t="s">
        <v>427</v>
      </c>
      <c r="I509" s="44">
        <v>140</v>
      </c>
      <c r="J509" s="44">
        <v>50</v>
      </c>
      <c r="K509" s="41"/>
      <c r="L509" s="45">
        <v>52000</v>
      </c>
      <c r="M509" s="44">
        <v>1</v>
      </c>
      <c r="N509" s="43" t="s">
        <v>383</v>
      </c>
    </row>
    <row r="510" spans="1:14" ht="15.75" customHeight="1">
      <c r="A510" s="41" t="s">
        <v>612</v>
      </c>
      <c r="B510" s="41" t="s">
        <v>613</v>
      </c>
      <c r="C510" s="41" t="s">
        <v>424</v>
      </c>
      <c r="D510" s="41" t="s">
        <v>425</v>
      </c>
      <c r="E510" s="41" t="s">
        <v>48</v>
      </c>
      <c r="F510" s="42">
        <v>6</v>
      </c>
      <c r="G510" s="41" t="s">
        <v>13</v>
      </c>
      <c r="H510" s="43" t="s">
        <v>427</v>
      </c>
      <c r="I510" s="44">
        <v>30</v>
      </c>
      <c r="J510" s="44">
        <v>50</v>
      </c>
      <c r="K510" s="41"/>
      <c r="L510" s="45">
        <v>52000</v>
      </c>
      <c r="M510" s="44">
        <v>1</v>
      </c>
      <c r="N510" s="43" t="s">
        <v>383</v>
      </c>
    </row>
    <row r="511" spans="1:14" ht="15.75" customHeight="1">
      <c r="A511" s="41" t="s">
        <v>612</v>
      </c>
      <c r="B511" s="41" t="s">
        <v>613</v>
      </c>
      <c r="C511" s="41" t="s">
        <v>431</v>
      </c>
      <c r="D511" s="41" t="s">
        <v>432</v>
      </c>
      <c r="E511" s="41" t="s">
        <v>433</v>
      </c>
      <c r="F511" s="42">
        <v>18</v>
      </c>
      <c r="G511" s="41" t="s">
        <v>439</v>
      </c>
      <c r="H511" s="43" t="s">
        <v>440</v>
      </c>
      <c r="I511" s="44">
        <v>60</v>
      </c>
      <c r="J511" s="41"/>
      <c r="K511" s="44">
        <v>1300</v>
      </c>
      <c r="L511" s="41" t="s">
        <v>435</v>
      </c>
      <c r="M511" s="44">
        <v>1</v>
      </c>
      <c r="N511" s="43" t="s">
        <v>436</v>
      </c>
    </row>
    <row r="512" spans="1:14" ht="15.75" customHeight="1">
      <c r="A512" s="41" t="s">
        <v>612</v>
      </c>
      <c r="B512" s="41" t="s">
        <v>613</v>
      </c>
      <c r="C512" s="41" t="s">
        <v>431</v>
      </c>
      <c r="D512" s="41" t="s">
        <v>432</v>
      </c>
      <c r="E512" s="41" t="s">
        <v>433</v>
      </c>
      <c r="F512" s="42">
        <v>19</v>
      </c>
      <c r="G512" s="41" t="s">
        <v>368</v>
      </c>
      <c r="H512" s="43" t="s">
        <v>434</v>
      </c>
      <c r="I512" s="44">
        <v>60</v>
      </c>
      <c r="J512" s="41"/>
      <c r="K512" s="44">
        <v>700</v>
      </c>
      <c r="L512" s="41" t="s">
        <v>435</v>
      </c>
      <c r="M512" s="44">
        <v>4</v>
      </c>
      <c r="N512" s="43" t="s">
        <v>436</v>
      </c>
    </row>
    <row r="513" spans="1:14" ht="15.75" customHeight="1">
      <c r="A513" s="41" t="s">
        <v>614</v>
      </c>
      <c r="B513" s="41" t="s">
        <v>328</v>
      </c>
      <c r="C513" s="41" t="s">
        <v>442</v>
      </c>
      <c r="D513" s="41" t="s">
        <v>443</v>
      </c>
      <c r="E513" s="41" t="s">
        <v>33</v>
      </c>
      <c r="F513" s="42">
        <v>10</v>
      </c>
      <c r="G513" s="41" t="s">
        <v>11</v>
      </c>
      <c r="H513" s="43" t="s">
        <v>426</v>
      </c>
      <c r="I513" s="44">
        <v>25</v>
      </c>
      <c r="J513" s="44">
        <v>30.2</v>
      </c>
      <c r="K513" s="41"/>
      <c r="L513" s="45">
        <v>100000</v>
      </c>
      <c r="M513" s="44">
        <v>1</v>
      </c>
      <c r="N513" s="43" t="s">
        <v>383</v>
      </c>
    </row>
    <row r="514" spans="1:14" ht="15.75" customHeight="1">
      <c r="A514" s="41" t="s">
        <v>614</v>
      </c>
      <c r="B514" s="41" t="s">
        <v>328</v>
      </c>
      <c r="C514" s="41" t="s">
        <v>442</v>
      </c>
      <c r="D514" s="41" t="s">
        <v>443</v>
      </c>
      <c r="E514" s="41" t="s">
        <v>33</v>
      </c>
      <c r="F514" s="42">
        <v>11</v>
      </c>
      <c r="G514" s="41" t="s">
        <v>12</v>
      </c>
      <c r="H514" s="43" t="s">
        <v>444</v>
      </c>
      <c r="I514" s="44">
        <v>110</v>
      </c>
      <c r="J514" s="44">
        <v>30.2</v>
      </c>
      <c r="K514" s="41"/>
      <c r="L514" s="45">
        <v>100000</v>
      </c>
      <c r="M514" s="44">
        <v>1</v>
      </c>
      <c r="N514" s="43" t="s">
        <v>383</v>
      </c>
    </row>
    <row r="515" spans="1:14" ht="15.75" customHeight="1">
      <c r="A515" s="41" t="s">
        <v>614</v>
      </c>
      <c r="B515" s="41" t="s">
        <v>328</v>
      </c>
      <c r="C515" s="41" t="s">
        <v>442</v>
      </c>
      <c r="D515" s="41" t="s">
        <v>443</v>
      </c>
      <c r="E515" s="41" t="s">
        <v>33</v>
      </c>
      <c r="F515" s="42">
        <v>12</v>
      </c>
      <c r="G515" s="41" t="s">
        <v>13</v>
      </c>
      <c r="H515" s="43" t="s">
        <v>444</v>
      </c>
      <c r="I515" s="44">
        <v>15</v>
      </c>
      <c r="J515" s="44">
        <v>30.2</v>
      </c>
      <c r="K515" s="41"/>
      <c r="L515" s="45">
        <v>100000</v>
      </c>
      <c r="M515" s="44">
        <v>1</v>
      </c>
      <c r="N515" s="43" t="s">
        <v>383</v>
      </c>
    </row>
    <row r="516" spans="1:14" ht="15.75" customHeight="1">
      <c r="A516" s="41" t="s">
        <v>614</v>
      </c>
      <c r="B516" s="41" t="s">
        <v>328</v>
      </c>
      <c r="C516" s="41" t="s">
        <v>431</v>
      </c>
      <c r="D516" s="41" t="s">
        <v>432</v>
      </c>
      <c r="E516" s="41" t="s">
        <v>433</v>
      </c>
      <c r="F516" s="42">
        <v>18</v>
      </c>
      <c r="G516" s="41" t="s">
        <v>439</v>
      </c>
      <c r="H516" s="43" t="s">
        <v>440</v>
      </c>
      <c r="I516" s="44">
        <v>60</v>
      </c>
      <c r="J516" s="41"/>
      <c r="K516" s="44">
        <v>1700</v>
      </c>
      <c r="L516" s="41" t="s">
        <v>435</v>
      </c>
      <c r="M516" s="44">
        <v>1</v>
      </c>
      <c r="N516" s="43" t="s">
        <v>436</v>
      </c>
    </row>
    <row r="517" spans="1:14" ht="15.75" customHeight="1">
      <c r="A517" s="41" t="s">
        <v>614</v>
      </c>
      <c r="B517" s="41" t="s">
        <v>328</v>
      </c>
      <c r="C517" s="41" t="s">
        <v>431</v>
      </c>
      <c r="D517" s="41" t="s">
        <v>432</v>
      </c>
      <c r="E517" s="41" t="s">
        <v>433</v>
      </c>
      <c r="F517" s="42">
        <v>19</v>
      </c>
      <c r="G517" s="41" t="s">
        <v>368</v>
      </c>
      <c r="H517" s="43" t="s">
        <v>434</v>
      </c>
      <c r="I517" s="44">
        <v>60</v>
      </c>
      <c r="J517" s="41"/>
      <c r="K517" s="44">
        <v>950</v>
      </c>
      <c r="L517" s="41" t="s">
        <v>435</v>
      </c>
      <c r="M517" s="44">
        <v>4</v>
      </c>
      <c r="N517" s="43" t="s">
        <v>436</v>
      </c>
    </row>
    <row r="518" spans="1:14" ht="15.75" customHeight="1">
      <c r="A518" s="41" t="s">
        <v>615</v>
      </c>
      <c r="B518" s="41" t="s">
        <v>616</v>
      </c>
      <c r="C518" s="41" t="s">
        <v>442</v>
      </c>
      <c r="D518" s="41" t="s">
        <v>443</v>
      </c>
      <c r="E518" s="41" t="s">
        <v>33</v>
      </c>
      <c r="F518" s="42">
        <v>10</v>
      </c>
      <c r="G518" s="41" t="s">
        <v>11</v>
      </c>
      <c r="H518" s="43" t="s">
        <v>426</v>
      </c>
      <c r="I518" s="44">
        <v>100</v>
      </c>
      <c r="J518" s="44">
        <v>30.9</v>
      </c>
      <c r="K518" s="41"/>
      <c r="L518" s="45">
        <v>98000</v>
      </c>
      <c r="M518" s="44">
        <v>1</v>
      </c>
      <c r="N518" s="43" t="s">
        <v>383</v>
      </c>
    </row>
    <row r="519" spans="1:14" ht="15.75" customHeight="1">
      <c r="A519" s="41" t="s">
        <v>615</v>
      </c>
      <c r="B519" s="41" t="s">
        <v>616</v>
      </c>
      <c r="C519" s="41" t="s">
        <v>442</v>
      </c>
      <c r="D519" s="41" t="s">
        <v>443</v>
      </c>
      <c r="E519" s="41" t="s">
        <v>33</v>
      </c>
      <c r="F519" s="42">
        <v>11</v>
      </c>
      <c r="G519" s="41" t="s">
        <v>12</v>
      </c>
      <c r="H519" s="43" t="s">
        <v>444</v>
      </c>
      <c r="I519" s="44">
        <v>130</v>
      </c>
      <c r="J519" s="44">
        <v>30.9</v>
      </c>
      <c r="K519" s="41"/>
      <c r="L519" s="45">
        <v>98000</v>
      </c>
      <c r="M519" s="44">
        <v>1</v>
      </c>
      <c r="N519" s="43" t="s">
        <v>383</v>
      </c>
    </row>
    <row r="520" spans="1:14" ht="15.75" customHeight="1">
      <c r="A520" s="41" t="s">
        <v>615</v>
      </c>
      <c r="B520" s="41" t="s">
        <v>616</v>
      </c>
      <c r="C520" s="41" t="s">
        <v>442</v>
      </c>
      <c r="D520" s="41" t="s">
        <v>443</v>
      </c>
      <c r="E520" s="41" t="s">
        <v>33</v>
      </c>
      <c r="F520" s="42">
        <v>12</v>
      </c>
      <c r="G520" s="41" t="s">
        <v>13</v>
      </c>
      <c r="H520" s="43" t="s">
        <v>444</v>
      </c>
      <c r="I520" s="44">
        <v>30</v>
      </c>
      <c r="J520" s="44">
        <v>30.9</v>
      </c>
      <c r="K520" s="41"/>
      <c r="L520" s="45">
        <v>98000</v>
      </c>
      <c r="M520" s="44">
        <v>1</v>
      </c>
      <c r="N520" s="43" t="s">
        <v>383</v>
      </c>
    </row>
    <row r="521" spans="1:14" ht="15.75" customHeight="1">
      <c r="A521" s="41" t="s">
        <v>615</v>
      </c>
      <c r="B521" s="41" t="s">
        <v>616</v>
      </c>
      <c r="C521" s="41" t="s">
        <v>431</v>
      </c>
      <c r="D521" s="41" t="s">
        <v>432</v>
      </c>
      <c r="E521" s="41" t="s">
        <v>433</v>
      </c>
      <c r="F521" s="42">
        <v>18</v>
      </c>
      <c r="G521" s="41" t="s">
        <v>439</v>
      </c>
      <c r="H521" s="43" t="s">
        <v>440</v>
      </c>
      <c r="I521" s="44">
        <v>60</v>
      </c>
      <c r="J521" s="41"/>
      <c r="K521" s="44">
        <v>1000</v>
      </c>
      <c r="L521" s="41" t="s">
        <v>435</v>
      </c>
      <c r="M521" s="44">
        <v>1</v>
      </c>
      <c r="N521" s="43" t="s">
        <v>436</v>
      </c>
    </row>
    <row r="522" spans="1:14" ht="15.75" customHeight="1">
      <c r="A522" s="41" t="s">
        <v>615</v>
      </c>
      <c r="B522" s="41" t="s">
        <v>616</v>
      </c>
      <c r="C522" s="41" t="s">
        <v>431</v>
      </c>
      <c r="D522" s="41" t="s">
        <v>432</v>
      </c>
      <c r="E522" s="41" t="s">
        <v>433</v>
      </c>
      <c r="F522" s="42">
        <v>19</v>
      </c>
      <c r="G522" s="41" t="s">
        <v>368</v>
      </c>
      <c r="H522" s="43" t="s">
        <v>434</v>
      </c>
      <c r="I522" s="44">
        <v>60</v>
      </c>
      <c r="J522" s="41"/>
      <c r="K522" s="44">
        <v>1100</v>
      </c>
      <c r="L522" s="41" t="s">
        <v>435</v>
      </c>
      <c r="M522" s="44">
        <v>4</v>
      </c>
      <c r="N522" s="43" t="s">
        <v>436</v>
      </c>
    </row>
    <row r="523" spans="1:14" ht="15.75" customHeight="1">
      <c r="A523" s="41" t="s">
        <v>617</v>
      </c>
      <c r="B523" s="41" t="s">
        <v>618</v>
      </c>
      <c r="C523" s="41" t="s">
        <v>442</v>
      </c>
      <c r="D523" s="41" t="s">
        <v>443</v>
      </c>
      <c r="E523" s="41" t="s">
        <v>33</v>
      </c>
      <c r="F523" s="42">
        <v>10</v>
      </c>
      <c r="G523" s="41" t="s">
        <v>11</v>
      </c>
      <c r="H523" s="43" t="s">
        <v>426</v>
      </c>
      <c r="I523" s="44">
        <v>20</v>
      </c>
      <c r="J523" s="44">
        <v>4</v>
      </c>
      <c r="K523" s="41"/>
      <c r="L523" s="45">
        <v>35000</v>
      </c>
      <c r="M523" s="44">
        <v>1</v>
      </c>
      <c r="N523" s="43" t="s">
        <v>383</v>
      </c>
    </row>
    <row r="524" spans="1:14" ht="15.75" customHeight="1">
      <c r="A524" s="41" t="s">
        <v>617</v>
      </c>
      <c r="B524" s="41" t="s">
        <v>618</v>
      </c>
      <c r="C524" s="41" t="s">
        <v>442</v>
      </c>
      <c r="D524" s="41" t="s">
        <v>443</v>
      </c>
      <c r="E524" s="41" t="s">
        <v>33</v>
      </c>
      <c r="F524" s="42">
        <v>11</v>
      </c>
      <c r="G524" s="41" t="s">
        <v>12</v>
      </c>
      <c r="H524" s="43" t="s">
        <v>444</v>
      </c>
      <c r="I524" s="44">
        <v>35</v>
      </c>
      <c r="J524" s="44">
        <v>4</v>
      </c>
      <c r="K524" s="41"/>
      <c r="L524" s="45">
        <v>35000</v>
      </c>
      <c r="M524" s="44">
        <v>1</v>
      </c>
      <c r="N524" s="43" t="s">
        <v>383</v>
      </c>
    </row>
    <row r="525" spans="1:14" ht="15.75" customHeight="1">
      <c r="A525" s="41" t="s">
        <v>617</v>
      </c>
      <c r="B525" s="41" t="s">
        <v>618</v>
      </c>
      <c r="C525" s="41" t="s">
        <v>442</v>
      </c>
      <c r="D525" s="41" t="s">
        <v>443</v>
      </c>
      <c r="E525" s="41" t="s">
        <v>33</v>
      </c>
      <c r="F525" s="42">
        <v>12</v>
      </c>
      <c r="G525" s="41" t="s">
        <v>13</v>
      </c>
      <c r="H525" s="43" t="s">
        <v>444</v>
      </c>
      <c r="I525" s="44">
        <v>10</v>
      </c>
      <c r="J525" s="44">
        <v>4</v>
      </c>
      <c r="K525" s="41"/>
      <c r="L525" s="45">
        <v>35000</v>
      </c>
      <c r="M525" s="44">
        <v>1</v>
      </c>
      <c r="N525" s="43" t="s">
        <v>383</v>
      </c>
    </row>
    <row r="526" spans="1:14" ht="15.75" customHeight="1">
      <c r="A526" s="41" t="s">
        <v>617</v>
      </c>
      <c r="B526" s="41" t="s">
        <v>618</v>
      </c>
      <c r="C526" s="41" t="s">
        <v>431</v>
      </c>
      <c r="D526" s="41" t="s">
        <v>432</v>
      </c>
      <c r="E526" s="41" t="s">
        <v>433</v>
      </c>
      <c r="F526" s="42">
        <v>18</v>
      </c>
      <c r="G526" s="41" t="s">
        <v>439</v>
      </c>
      <c r="H526" s="43" t="s">
        <v>440</v>
      </c>
      <c r="I526" s="44">
        <v>60</v>
      </c>
      <c r="J526" s="41"/>
      <c r="K526" s="44">
        <v>1500</v>
      </c>
      <c r="L526" s="41" t="s">
        <v>435</v>
      </c>
      <c r="M526" s="44">
        <v>1</v>
      </c>
      <c r="N526" s="43" t="s">
        <v>436</v>
      </c>
    </row>
    <row r="527" spans="1:14" ht="15.75" customHeight="1">
      <c r="A527" s="41" t="s">
        <v>617</v>
      </c>
      <c r="B527" s="41" t="s">
        <v>618</v>
      </c>
      <c r="C527" s="41" t="s">
        <v>431</v>
      </c>
      <c r="D527" s="41" t="s">
        <v>432</v>
      </c>
      <c r="E527" s="41" t="s">
        <v>433</v>
      </c>
      <c r="F527" s="42">
        <v>19</v>
      </c>
      <c r="G527" s="41" t="s">
        <v>368</v>
      </c>
      <c r="H527" s="43" t="s">
        <v>434</v>
      </c>
      <c r="I527" s="44">
        <v>60</v>
      </c>
      <c r="J527" s="41"/>
      <c r="K527" s="44">
        <v>1100</v>
      </c>
      <c r="L527" s="41" t="s">
        <v>435</v>
      </c>
      <c r="M527" s="44">
        <v>3</v>
      </c>
      <c r="N527" s="43" t="s">
        <v>436</v>
      </c>
    </row>
    <row r="528" spans="1:14" ht="15.75" customHeight="1">
      <c r="A528" s="41" t="s">
        <v>619</v>
      </c>
      <c r="B528" s="41" t="s">
        <v>288</v>
      </c>
      <c r="C528" s="41" t="s">
        <v>442</v>
      </c>
      <c r="D528" s="41" t="s">
        <v>443</v>
      </c>
      <c r="E528" s="41" t="s">
        <v>33</v>
      </c>
      <c r="F528" s="42">
        <v>10</v>
      </c>
      <c r="G528" s="41" t="s">
        <v>11</v>
      </c>
      <c r="H528" s="43" t="s">
        <v>426</v>
      </c>
      <c r="I528" s="44">
        <v>100</v>
      </c>
      <c r="J528" s="44">
        <v>35.5</v>
      </c>
      <c r="K528" s="41"/>
      <c r="L528" s="45">
        <v>75000</v>
      </c>
      <c r="M528" s="44">
        <v>1</v>
      </c>
      <c r="N528" s="43" t="s">
        <v>383</v>
      </c>
    </row>
    <row r="529" spans="1:14" ht="15.75" customHeight="1">
      <c r="A529" s="41" t="s">
        <v>619</v>
      </c>
      <c r="B529" s="41" t="s">
        <v>288</v>
      </c>
      <c r="C529" s="41" t="s">
        <v>442</v>
      </c>
      <c r="D529" s="41" t="s">
        <v>443</v>
      </c>
      <c r="E529" s="41" t="s">
        <v>33</v>
      </c>
      <c r="F529" s="42">
        <v>11</v>
      </c>
      <c r="G529" s="41" t="s">
        <v>12</v>
      </c>
      <c r="H529" s="43" t="s">
        <v>444</v>
      </c>
      <c r="I529" s="44">
        <v>160</v>
      </c>
      <c r="J529" s="44">
        <v>35.5</v>
      </c>
      <c r="K529" s="41"/>
      <c r="L529" s="45">
        <v>75000</v>
      </c>
      <c r="M529" s="44">
        <v>1</v>
      </c>
      <c r="N529" s="43" t="s">
        <v>383</v>
      </c>
    </row>
    <row r="530" spans="1:14" ht="15.75" customHeight="1">
      <c r="A530" s="41" t="s">
        <v>619</v>
      </c>
      <c r="B530" s="41" t="s">
        <v>288</v>
      </c>
      <c r="C530" s="41" t="s">
        <v>442</v>
      </c>
      <c r="D530" s="41" t="s">
        <v>443</v>
      </c>
      <c r="E530" s="41" t="s">
        <v>33</v>
      </c>
      <c r="F530" s="42">
        <v>12</v>
      </c>
      <c r="G530" s="41" t="s">
        <v>13</v>
      </c>
      <c r="H530" s="43" t="s">
        <v>444</v>
      </c>
      <c r="I530" s="44">
        <v>15</v>
      </c>
      <c r="J530" s="44">
        <v>35.5</v>
      </c>
      <c r="K530" s="41"/>
      <c r="L530" s="45">
        <v>75000</v>
      </c>
      <c r="M530" s="44">
        <v>1</v>
      </c>
      <c r="N530" s="43" t="s">
        <v>383</v>
      </c>
    </row>
    <row r="531" spans="1:14" ht="15.75" customHeight="1">
      <c r="A531" s="41" t="s">
        <v>619</v>
      </c>
      <c r="B531" s="41" t="s">
        <v>288</v>
      </c>
      <c r="C531" s="41" t="s">
        <v>431</v>
      </c>
      <c r="D531" s="41" t="s">
        <v>432</v>
      </c>
      <c r="E531" s="41" t="s">
        <v>433</v>
      </c>
      <c r="F531" s="42">
        <v>18</v>
      </c>
      <c r="G531" s="41" t="s">
        <v>439</v>
      </c>
      <c r="H531" s="43" t="s">
        <v>440</v>
      </c>
      <c r="I531" s="44">
        <v>60</v>
      </c>
      <c r="J531" s="41"/>
      <c r="K531" s="44">
        <v>1200</v>
      </c>
      <c r="L531" s="41" t="s">
        <v>435</v>
      </c>
      <c r="M531" s="44">
        <v>1</v>
      </c>
      <c r="N531" s="43" t="s">
        <v>436</v>
      </c>
    </row>
    <row r="532" spans="1:14" ht="15.75" customHeight="1">
      <c r="A532" s="41" t="s">
        <v>619</v>
      </c>
      <c r="B532" s="41" t="s">
        <v>288</v>
      </c>
      <c r="C532" s="41" t="s">
        <v>431</v>
      </c>
      <c r="D532" s="41" t="s">
        <v>432</v>
      </c>
      <c r="E532" s="41" t="s">
        <v>433</v>
      </c>
      <c r="F532" s="42">
        <v>19</v>
      </c>
      <c r="G532" s="41" t="s">
        <v>368</v>
      </c>
      <c r="H532" s="43" t="s">
        <v>434</v>
      </c>
      <c r="I532" s="44">
        <v>60</v>
      </c>
      <c r="J532" s="41"/>
      <c r="K532" s="44">
        <v>700</v>
      </c>
      <c r="L532" s="41" t="s">
        <v>435</v>
      </c>
      <c r="M532" s="44">
        <v>3</v>
      </c>
      <c r="N532" s="43" t="s">
        <v>436</v>
      </c>
    </row>
    <row r="533" spans="1:14" ht="15.75" customHeight="1">
      <c r="A533" s="41" t="s">
        <v>620</v>
      </c>
      <c r="B533" s="41" t="s">
        <v>621</v>
      </c>
      <c r="C533" s="41" t="s">
        <v>442</v>
      </c>
      <c r="D533" s="41" t="s">
        <v>443</v>
      </c>
      <c r="E533" s="41" t="s">
        <v>33</v>
      </c>
      <c r="F533" s="42">
        <v>10</v>
      </c>
      <c r="G533" s="41" t="s">
        <v>11</v>
      </c>
      <c r="H533" s="43" t="s">
        <v>426</v>
      </c>
      <c r="I533" s="44">
        <v>30</v>
      </c>
      <c r="J533" s="44">
        <v>51.9</v>
      </c>
      <c r="K533" s="41"/>
      <c r="L533" s="45">
        <v>110000</v>
      </c>
      <c r="M533" s="44">
        <v>1</v>
      </c>
      <c r="N533" s="43" t="s">
        <v>383</v>
      </c>
    </row>
    <row r="534" spans="1:14" ht="15.75" customHeight="1">
      <c r="A534" s="41" t="s">
        <v>620</v>
      </c>
      <c r="B534" s="41" t="s">
        <v>621</v>
      </c>
      <c r="C534" s="41" t="s">
        <v>442</v>
      </c>
      <c r="D534" s="41" t="s">
        <v>443</v>
      </c>
      <c r="E534" s="41" t="s">
        <v>33</v>
      </c>
      <c r="F534" s="42">
        <v>11</v>
      </c>
      <c r="G534" s="41" t="s">
        <v>12</v>
      </c>
      <c r="H534" s="43" t="s">
        <v>444</v>
      </c>
      <c r="I534" s="44">
        <v>60</v>
      </c>
      <c r="J534" s="44">
        <v>51.9</v>
      </c>
      <c r="K534" s="41"/>
      <c r="L534" s="45">
        <v>110000</v>
      </c>
      <c r="M534" s="44">
        <v>1</v>
      </c>
      <c r="N534" s="43" t="s">
        <v>383</v>
      </c>
    </row>
    <row r="535" spans="1:14" ht="15.75" customHeight="1">
      <c r="A535" s="41" t="s">
        <v>620</v>
      </c>
      <c r="B535" s="41" t="s">
        <v>621</v>
      </c>
      <c r="C535" s="41" t="s">
        <v>442</v>
      </c>
      <c r="D535" s="41" t="s">
        <v>443</v>
      </c>
      <c r="E535" s="41" t="s">
        <v>33</v>
      </c>
      <c r="F535" s="42">
        <v>12</v>
      </c>
      <c r="G535" s="41" t="s">
        <v>13</v>
      </c>
      <c r="H535" s="43" t="s">
        <v>444</v>
      </c>
      <c r="I535" s="44">
        <v>15</v>
      </c>
      <c r="J535" s="44">
        <v>51.9</v>
      </c>
      <c r="K535" s="41"/>
      <c r="L535" s="45">
        <v>110000</v>
      </c>
      <c r="M535" s="44">
        <v>1</v>
      </c>
      <c r="N535" s="43" t="s">
        <v>383</v>
      </c>
    </row>
    <row r="536" spans="1:14" ht="15.75" customHeight="1">
      <c r="A536" s="41" t="s">
        <v>620</v>
      </c>
      <c r="B536" s="41" t="s">
        <v>621</v>
      </c>
      <c r="C536" s="41" t="s">
        <v>431</v>
      </c>
      <c r="D536" s="41" t="s">
        <v>432</v>
      </c>
      <c r="E536" s="41" t="s">
        <v>433</v>
      </c>
      <c r="F536" s="42">
        <v>18</v>
      </c>
      <c r="G536" s="41" t="s">
        <v>439</v>
      </c>
      <c r="H536" s="43" t="s">
        <v>440</v>
      </c>
      <c r="I536" s="44">
        <v>60</v>
      </c>
      <c r="J536" s="41"/>
      <c r="K536" s="44">
        <v>1000</v>
      </c>
      <c r="L536" s="41" t="s">
        <v>435</v>
      </c>
      <c r="M536" s="44">
        <v>1</v>
      </c>
      <c r="N536" s="43" t="s">
        <v>436</v>
      </c>
    </row>
    <row r="537" spans="1:14" ht="15.75" customHeight="1">
      <c r="A537" s="41" t="s">
        <v>620</v>
      </c>
      <c r="B537" s="41" t="s">
        <v>621</v>
      </c>
      <c r="C537" s="41" t="s">
        <v>431</v>
      </c>
      <c r="D537" s="41" t="s">
        <v>432</v>
      </c>
      <c r="E537" s="41" t="s">
        <v>433</v>
      </c>
      <c r="F537" s="42">
        <v>19</v>
      </c>
      <c r="G537" s="41" t="s">
        <v>368</v>
      </c>
      <c r="H537" s="43" t="s">
        <v>434</v>
      </c>
      <c r="I537" s="44">
        <v>60</v>
      </c>
      <c r="J537" s="41"/>
      <c r="K537" s="44">
        <v>800</v>
      </c>
      <c r="L537" s="41" t="s">
        <v>435</v>
      </c>
      <c r="M537" s="44">
        <v>4</v>
      </c>
      <c r="N537" s="43" t="s">
        <v>436</v>
      </c>
    </row>
    <row r="538" spans="1:14" ht="15.75" customHeight="1">
      <c r="A538" s="41" t="s">
        <v>622</v>
      </c>
      <c r="B538" s="41" t="s">
        <v>623</v>
      </c>
      <c r="C538" s="41" t="s">
        <v>442</v>
      </c>
      <c r="D538" s="41" t="s">
        <v>448</v>
      </c>
      <c r="E538" s="41" t="s">
        <v>40</v>
      </c>
      <c r="F538" s="42">
        <v>1</v>
      </c>
      <c r="G538" s="41" t="s">
        <v>11</v>
      </c>
      <c r="H538" s="43" t="s">
        <v>426</v>
      </c>
      <c r="I538" s="44">
        <v>20</v>
      </c>
      <c r="J538" s="44">
        <v>29.4</v>
      </c>
      <c r="K538" s="41"/>
      <c r="L538" s="45">
        <v>400000</v>
      </c>
      <c r="M538" s="44">
        <v>1</v>
      </c>
      <c r="N538" s="43" t="s">
        <v>383</v>
      </c>
    </row>
    <row r="539" spans="1:14" ht="15.75" customHeight="1">
      <c r="A539" s="41" t="s">
        <v>622</v>
      </c>
      <c r="B539" s="41" t="s">
        <v>623</v>
      </c>
      <c r="C539" s="41" t="s">
        <v>442</v>
      </c>
      <c r="D539" s="41" t="s">
        <v>448</v>
      </c>
      <c r="E539" s="41" t="s">
        <v>40</v>
      </c>
      <c r="F539" s="42">
        <v>2</v>
      </c>
      <c r="G539" s="41" t="s">
        <v>12</v>
      </c>
      <c r="H539" s="43" t="s">
        <v>449</v>
      </c>
      <c r="I539" s="44">
        <v>110</v>
      </c>
      <c r="J539" s="44">
        <v>29.4</v>
      </c>
      <c r="K539" s="41"/>
      <c r="L539" s="45">
        <v>400000</v>
      </c>
      <c r="M539" s="44">
        <v>1</v>
      </c>
      <c r="N539" s="43" t="s">
        <v>383</v>
      </c>
    </row>
    <row r="540" spans="1:14" ht="15.75" customHeight="1">
      <c r="A540" s="41" t="s">
        <v>622</v>
      </c>
      <c r="B540" s="41" t="s">
        <v>623</v>
      </c>
      <c r="C540" s="41" t="s">
        <v>442</v>
      </c>
      <c r="D540" s="41" t="s">
        <v>448</v>
      </c>
      <c r="E540" s="41" t="s">
        <v>40</v>
      </c>
      <c r="F540" s="42">
        <v>3</v>
      </c>
      <c r="G540" s="41" t="s">
        <v>13</v>
      </c>
      <c r="H540" s="43" t="s">
        <v>449</v>
      </c>
      <c r="I540" s="44">
        <v>30</v>
      </c>
      <c r="J540" s="44">
        <v>29.4</v>
      </c>
      <c r="K540" s="41"/>
      <c r="L540" s="45">
        <v>400000</v>
      </c>
      <c r="M540" s="44">
        <v>1</v>
      </c>
      <c r="N540" s="43" t="s">
        <v>383</v>
      </c>
    </row>
    <row r="541" spans="1:14" ht="15.75" customHeight="1">
      <c r="A541" s="41" t="s">
        <v>622</v>
      </c>
      <c r="B541" s="41" t="s">
        <v>623</v>
      </c>
      <c r="C541" s="41" t="s">
        <v>431</v>
      </c>
      <c r="D541" s="41" t="s">
        <v>432</v>
      </c>
      <c r="E541" s="41" t="s">
        <v>433</v>
      </c>
      <c r="F541" s="42">
        <v>18</v>
      </c>
      <c r="G541" s="41" t="s">
        <v>439</v>
      </c>
      <c r="H541" s="43" t="s">
        <v>440</v>
      </c>
      <c r="I541" s="44">
        <v>60</v>
      </c>
      <c r="J541" s="41"/>
      <c r="K541" s="44">
        <v>2300</v>
      </c>
      <c r="L541" s="41" t="s">
        <v>435</v>
      </c>
      <c r="M541" s="44">
        <v>1</v>
      </c>
      <c r="N541" s="43" t="s">
        <v>436</v>
      </c>
    </row>
    <row r="542" spans="1:14" ht="15.75" customHeight="1">
      <c r="A542" s="41" t="s">
        <v>622</v>
      </c>
      <c r="B542" s="41" t="s">
        <v>623</v>
      </c>
      <c r="C542" s="41" t="s">
        <v>431</v>
      </c>
      <c r="D542" s="41" t="s">
        <v>432</v>
      </c>
      <c r="E542" s="41" t="s">
        <v>433</v>
      </c>
      <c r="F542" s="42">
        <v>19</v>
      </c>
      <c r="G542" s="41" t="s">
        <v>368</v>
      </c>
      <c r="H542" s="43" t="s">
        <v>434</v>
      </c>
      <c r="I542" s="44">
        <v>60</v>
      </c>
      <c r="J542" s="41"/>
      <c r="K542" s="44">
        <v>1100</v>
      </c>
      <c r="L542" s="41" t="s">
        <v>435</v>
      </c>
      <c r="M542" s="44">
        <v>4</v>
      </c>
      <c r="N542" s="43" t="s">
        <v>436</v>
      </c>
    </row>
    <row r="543" spans="1:14" ht="15.75" customHeight="1">
      <c r="A543" s="41" t="s">
        <v>624</v>
      </c>
      <c r="B543" s="41" t="s">
        <v>625</v>
      </c>
      <c r="C543" s="41" t="s">
        <v>442</v>
      </c>
      <c r="D543" s="41" t="s">
        <v>443</v>
      </c>
      <c r="E543" s="41" t="s">
        <v>33</v>
      </c>
      <c r="F543" s="42">
        <v>11</v>
      </c>
      <c r="G543" s="41" t="s">
        <v>12</v>
      </c>
      <c r="H543" s="43" t="s">
        <v>444</v>
      </c>
      <c r="I543" s="44">
        <v>60</v>
      </c>
      <c r="J543" s="44">
        <v>3</v>
      </c>
      <c r="K543" s="41"/>
      <c r="L543" s="45">
        <v>110000</v>
      </c>
      <c r="M543" s="44">
        <v>1</v>
      </c>
      <c r="N543" s="43" t="s">
        <v>383</v>
      </c>
    </row>
    <row r="544" spans="1:14" ht="15.75" customHeight="1">
      <c r="A544" s="41" t="s">
        <v>624</v>
      </c>
      <c r="B544" s="41" t="s">
        <v>625</v>
      </c>
      <c r="C544" s="41" t="s">
        <v>442</v>
      </c>
      <c r="D544" s="41" t="s">
        <v>443</v>
      </c>
      <c r="E544" s="41" t="s">
        <v>33</v>
      </c>
      <c r="F544" s="42">
        <v>12</v>
      </c>
      <c r="G544" s="41" t="s">
        <v>13</v>
      </c>
      <c r="H544" s="43" t="s">
        <v>444</v>
      </c>
      <c r="I544" s="44">
        <v>15</v>
      </c>
      <c r="J544" s="44">
        <v>3</v>
      </c>
      <c r="K544" s="41"/>
      <c r="L544" s="45">
        <v>110000</v>
      </c>
      <c r="M544" s="44">
        <v>1</v>
      </c>
      <c r="N544" s="43" t="s">
        <v>383</v>
      </c>
    </row>
    <row r="545" spans="1:14" ht="15.75" customHeight="1">
      <c r="A545" s="41" t="s">
        <v>624</v>
      </c>
      <c r="B545" s="41" t="s">
        <v>625</v>
      </c>
      <c r="C545" s="41" t="s">
        <v>431</v>
      </c>
      <c r="D545" s="41" t="s">
        <v>432</v>
      </c>
      <c r="E545" s="41" t="s">
        <v>433</v>
      </c>
      <c r="F545" s="42">
        <v>18</v>
      </c>
      <c r="G545" s="41" t="s">
        <v>439</v>
      </c>
      <c r="H545" s="43" t="s">
        <v>440</v>
      </c>
      <c r="I545" s="44">
        <v>60</v>
      </c>
      <c r="J545" s="41"/>
      <c r="K545" s="44">
        <v>1850</v>
      </c>
      <c r="L545" s="41" t="s">
        <v>435</v>
      </c>
      <c r="M545" s="44">
        <v>1</v>
      </c>
      <c r="N545" s="43" t="s">
        <v>436</v>
      </c>
    </row>
    <row r="546" spans="1:14" ht="15.75" customHeight="1">
      <c r="A546" s="41" t="s">
        <v>624</v>
      </c>
      <c r="B546" s="41" t="s">
        <v>625</v>
      </c>
      <c r="C546" s="41" t="s">
        <v>431</v>
      </c>
      <c r="D546" s="41" t="s">
        <v>432</v>
      </c>
      <c r="E546" s="41" t="s">
        <v>433</v>
      </c>
      <c r="F546" s="42">
        <v>19</v>
      </c>
      <c r="G546" s="41" t="s">
        <v>368</v>
      </c>
      <c r="H546" s="43" t="s">
        <v>434</v>
      </c>
      <c r="I546" s="44">
        <v>60</v>
      </c>
      <c r="J546" s="41"/>
      <c r="K546" s="44">
        <v>1500</v>
      </c>
      <c r="L546" s="41" t="s">
        <v>435</v>
      </c>
      <c r="M546" s="44">
        <v>4</v>
      </c>
      <c r="N546" s="43" t="s">
        <v>436</v>
      </c>
    </row>
    <row r="547" spans="1:14" ht="15.75" customHeight="1">
      <c r="A547" s="41" t="s">
        <v>626</v>
      </c>
      <c r="B547" s="41" t="s">
        <v>627</v>
      </c>
      <c r="C547" s="41" t="s">
        <v>431</v>
      </c>
      <c r="D547" s="41" t="s">
        <v>432</v>
      </c>
      <c r="E547" s="41" t="s">
        <v>433</v>
      </c>
      <c r="F547" s="42">
        <v>18</v>
      </c>
      <c r="G547" s="41" t="s">
        <v>439</v>
      </c>
      <c r="H547" s="43" t="s">
        <v>440</v>
      </c>
      <c r="I547" s="44">
        <v>60</v>
      </c>
      <c r="J547" s="41"/>
      <c r="K547" s="44">
        <v>1000</v>
      </c>
      <c r="L547" s="41" t="s">
        <v>435</v>
      </c>
      <c r="M547" s="44">
        <v>1</v>
      </c>
      <c r="N547" s="43" t="s">
        <v>436</v>
      </c>
    </row>
    <row r="548" spans="1:14" ht="15.75" customHeight="1">
      <c r="A548" s="41" t="s">
        <v>626</v>
      </c>
      <c r="B548" s="41" t="s">
        <v>627</v>
      </c>
      <c r="C548" s="41" t="s">
        <v>431</v>
      </c>
      <c r="D548" s="41" t="s">
        <v>432</v>
      </c>
      <c r="E548" s="41" t="s">
        <v>433</v>
      </c>
      <c r="F548" s="42">
        <v>19</v>
      </c>
      <c r="G548" s="41" t="s">
        <v>368</v>
      </c>
      <c r="H548" s="43" t="s">
        <v>434</v>
      </c>
      <c r="I548" s="44">
        <v>60</v>
      </c>
      <c r="J548" s="41"/>
      <c r="K548" s="44">
        <v>800</v>
      </c>
      <c r="L548" s="41" t="s">
        <v>435</v>
      </c>
      <c r="M548" s="44">
        <v>4</v>
      </c>
      <c r="N548" s="43" t="s">
        <v>436</v>
      </c>
    </row>
    <row r="549" spans="1:14" ht="15.75" customHeight="1">
      <c r="A549" s="41" t="s">
        <v>628</v>
      </c>
      <c r="B549" s="41" t="s">
        <v>629</v>
      </c>
      <c r="C549" s="41" t="s">
        <v>431</v>
      </c>
      <c r="D549" s="41" t="s">
        <v>432</v>
      </c>
      <c r="E549" s="41" t="s">
        <v>433</v>
      </c>
      <c r="F549" s="42">
        <v>18</v>
      </c>
      <c r="G549" s="41" t="s">
        <v>439</v>
      </c>
      <c r="H549" s="43" t="s">
        <v>440</v>
      </c>
      <c r="I549" s="44">
        <v>60</v>
      </c>
      <c r="J549" s="41"/>
      <c r="K549" s="44">
        <v>1000</v>
      </c>
      <c r="L549" s="41" t="s">
        <v>435</v>
      </c>
      <c r="M549" s="44">
        <v>1</v>
      </c>
      <c r="N549" s="43" t="s">
        <v>436</v>
      </c>
    </row>
    <row r="550" spans="1:14" ht="15.75" customHeight="1">
      <c r="A550" s="41" t="s">
        <v>628</v>
      </c>
      <c r="B550" s="41" t="s">
        <v>629</v>
      </c>
      <c r="C550" s="41" t="s">
        <v>431</v>
      </c>
      <c r="D550" s="41" t="s">
        <v>432</v>
      </c>
      <c r="E550" s="41" t="s">
        <v>433</v>
      </c>
      <c r="F550" s="42">
        <v>19</v>
      </c>
      <c r="G550" s="41" t="s">
        <v>368</v>
      </c>
      <c r="H550" s="43" t="s">
        <v>434</v>
      </c>
      <c r="I550" s="44">
        <v>60</v>
      </c>
      <c r="J550" s="41"/>
      <c r="K550" s="44">
        <v>800</v>
      </c>
      <c r="L550" s="41" t="s">
        <v>435</v>
      </c>
      <c r="M550" s="44">
        <v>4</v>
      </c>
      <c r="N550" s="43" t="s">
        <v>436</v>
      </c>
    </row>
    <row r="551" spans="1:14" ht="15.75" customHeight="1">
      <c r="A551" s="41" t="s">
        <v>630</v>
      </c>
      <c r="B551" s="41" t="s">
        <v>631</v>
      </c>
      <c r="C551" s="41" t="s">
        <v>424</v>
      </c>
      <c r="D551" s="41" t="s">
        <v>425</v>
      </c>
      <c r="E551" s="41" t="s">
        <v>48</v>
      </c>
      <c r="F551" s="42">
        <v>4</v>
      </c>
      <c r="G551" s="41" t="s">
        <v>11</v>
      </c>
      <c r="H551" s="43" t="s">
        <v>426</v>
      </c>
      <c r="I551" s="44">
        <v>25</v>
      </c>
      <c r="J551" s="44">
        <v>49.3</v>
      </c>
      <c r="K551" s="41"/>
      <c r="L551" s="45">
        <v>52000</v>
      </c>
      <c r="M551" s="44">
        <v>1</v>
      </c>
      <c r="N551" s="43" t="s">
        <v>383</v>
      </c>
    </row>
    <row r="552" spans="1:14" ht="15.75" customHeight="1">
      <c r="A552" s="41" t="s">
        <v>630</v>
      </c>
      <c r="B552" s="41" t="s">
        <v>631</v>
      </c>
      <c r="C552" s="41" t="s">
        <v>424</v>
      </c>
      <c r="D552" s="41" t="s">
        <v>425</v>
      </c>
      <c r="E552" s="41" t="s">
        <v>48</v>
      </c>
      <c r="F552" s="42">
        <v>5</v>
      </c>
      <c r="G552" s="41" t="s">
        <v>12</v>
      </c>
      <c r="H552" s="43" t="s">
        <v>427</v>
      </c>
      <c r="I552" s="44">
        <v>180</v>
      </c>
      <c r="J552" s="44">
        <v>49.3</v>
      </c>
      <c r="K552" s="41"/>
      <c r="L552" s="45">
        <v>52000</v>
      </c>
      <c r="M552" s="44">
        <v>1</v>
      </c>
      <c r="N552" s="43" t="s">
        <v>383</v>
      </c>
    </row>
    <row r="553" spans="1:14" ht="15.75" customHeight="1">
      <c r="A553" s="41" t="s">
        <v>630</v>
      </c>
      <c r="B553" s="41" t="s">
        <v>631</v>
      </c>
      <c r="C553" s="41" t="s">
        <v>424</v>
      </c>
      <c r="D553" s="41" t="s">
        <v>425</v>
      </c>
      <c r="E553" s="41" t="s">
        <v>48</v>
      </c>
      <c r="F553" s="42">
        <v>6</v>
      </c>
      <c r="G553" s="41" t="s">
        <v>13</v>
      </c>
      <c r="H553" s="43" t="s">
        <v>427</v>
      </c>
      <c r="I553" s="44">
        <v>40</v>
      </c>
      <c r="J553" s="44">
        <v>49.3</v>
      </c>
      <c r="K553" s="41"/>
      <c r="L553" s="45">
        <v>52000</v>
      </c>
      <c r="M553" s="44">
        <v>1</v>
      </c>
      <c r="N553" s="43" t="s">
        <v>383</v>
      </c>
    </row>
    <row r="554" spans="1:14" ht="15.75" customHeight="1">
      <c r="A554" s="41" t="s">
        <v>630</v>
      </c>
      <c r="B554" s="41" t="s">
        <v>631</v>
      </c>
      <c r="C554" s="41" t="s">
        <v>431</v>
      </c>
      <c r="D554" s="41" t="s">
        <v>432</v>
      </c>
      <c r="E554" s="41" t="s">
        <v>433</v>
      </c>
      <c r="F554" s="42">
        <v>18</v>
      </c>
      <c r="G554" s="41" t="s">
        <v>439</v>
      </c>
      <c r="H554" s="43" t="s">
        <v>440</v>
      </c>
      <c r="I554" s="44">
        <v>60</v>
      </c>
      <c r="J554" s="41"/>
      <c r="K554" s="44">
        <v>1300</v>
      </c>
      <c r="L554" s="41" t="s">
        <v>435</v>
      </c>
      <c r="M554" s="44">
        <v>1</v>
      </c>
      <c r="N554" s="43" t="s">
        <v>436</v>
      </c>
    </row>
    <row r="555" spans="1:14" ht="15.75" customHeight="1">
      <c r="A555" s="41" t="s">
        <v>630</v>
      </c>
      <c r="B555" s="41" t="s">
        <v>631</v>
      </c>
      <c r="C555" s="41" t="s">
        <v>431</v>
      </c>
      <c r="D555" s="41" t="s">
        <v>432</v>
      </c>
      <c r="E555" s="41" t="s">
        <v>433</v>
      </c>
      <c r="F555" s="42">
        <v>19</v>
      </c>
      <c r="G555" s="41" t="s">
        <v>368</v>
      </c>
      <c r="H555" s="43" t="s">
        <v>434</v>
      </c>
      <c r="I555" s="44">
        <v>60</v>
      </c>
      <c r="J555" s="41"/>
      <c r="K555" s="44">
        <v>1100</v>
      </c>
      <c r="L555" s="41" t="s">
        <v>435</v>
      </c>
      <c r="M555" s="44">
        <v>4</v>
      </c>
      <c r="N555" s="43" t="s">
        <v>436</v>
      </c>
    </row>
    <row r="556" spans="1:14" ht="15.75" customHeight="1">
      <c r="A556" s="41" t="s">
        <v>632</v>
      </c>
      <c r="B556" s="41" t="s">
        <v>633</v>
      </c>
      <c r="C556" s="41" t="s">
        <v>424</v>
      </c>
      <c r="D556" s="41" t="s">
        <v>429</v>
      </c>
      <c r="E556" s="41" t="s">
        <v>74</v>
      </c>
      <c r="F556" s="42">
        <v>7</v>
      </c>
      <c r="G556" s="41" t="s">
        <v>11</v>
      </c>
      <c r="H556" s="43" t="s">
        <v>426</v>
      </c>
      <c r="I556" s="44">
        <v>25</v>
      </c>
      <c r="J556" s="44">
        <v>49.1</v>
      </c>
      <c r="K556" s="41"/>
      <c r="L556" s="45">
        <v>52000</v>
      </c>
      <c r="M556" s="44">
        <v>1</v>
      </c>
      <c r="N556" s="43" t="s">
        <v>383</v>
      </c>
    </row>
    <row r="557" spans="1:14" ht="15.75" customHeight="1">
      <c r="A557" s="41" t="s">
        <v>632</v>
      </c>
      <c r="B557" s="41" t="s">
        <v>633</v>
      </c>
      <c r="C557" s="41" t="s">
        <v>424</v>
      </c>
      <c r="D557" s="41" t="s">
        <v>429</v>
      </c>
      <c r="E557" s="41" t="s">
        <v>74</v>
      </c>
      <c r="F557" s="42">
        <v>8</v>
      </c>
      <c r="G557" s="41" t="s">
        <v>12</v>
      </c>
      <c r="H557" s="43" t="s">
        <v>430</v>
      </c>
      <c r="I557" s="44">
        <v>180</v>
      </c>
      <c r="J557" s="44">
        <v>49.1</v>
      </c>
      <c r="K557" s="41"/>
      <c r="L557" s="45">
        <v>52000</v>
      </c>
      <c r="M557" s="44">
        <v>1</v>
      </c>
      <c r="N557" s="43" t="s">
        <v>383</v>
      </c>
    </row>
    <row r="558" spans="1:14" ht="15.75" customHeight="1">
      <c r="A558" s="41" t="s">
        <v>632</v>
      </c>
      <c r="B558" s="41" t="s">
        <v>633</v>
      </c>
      <c r="C558" s="41" t="s">
        <v>424</v>
      </c>
      <c r="D558" s="41" t="s">
        <v>429</v>
      </c>
      <c r="E558" s="41" t="s">
        <v>74</v>
      </c>
      <c r="F558" s="42">
        <v>9</v>
      </c>
      <c r="G558" s="41" t="s">
        <v>13</v>
      </c>
      <c r="H558" s="43" t="s">
        <v>430</v>
      </c>
      <c r="I558" s="44">
        <v>40</v>
      </c>
      <c r="J558" s="44">
        <v>49.1</v>
      </c>
      <c r="K558" s="41"/>
      <c r="L558" s="45">
        <v>52000</v>
      </c>
      <c r="M558" s="44">
        <v>1</v>
      </c>
      <c r="N558" s="43" t="s">
        <v>383</v>
      </c>
    </row>
    <row r="559" spans="1:14" ht="15.75" customHeight="1">
      <c r="A559" s="41" t="s">
        <v>632</v>
      </c>
      <c r="B559" s="41" t="s">
        <v>633</v>
      </c>
      <c r="C559" s="41" t="s">
        <v>424</v>
      </c>
      <c r="D559" s="41" t="s">
        <v>425</v>
      </c>
      <c r="E559" s="41" t="s">
        <v>48</v>
      </c>
      <c r="F559" s="42">
        <v>4</v>
      </c>
      <c r="G559" s="41" t="s">
        <v>11</v>
      </c>
      <c r="H559" s="43" t="s">
        <v>426</v>
      </c>
      <c r="I559" s="44">
        <v>30</v>
      </c>
      <c r="J559" s="44">
        <v>49.1</v>
      </c>
      <c r="K559" s="41"/>
      <c r="L559" s="45">
        <v>52000</v>
      </c>
      <c r="M559" s="44">
        <v>1</v>
      </c>
      <c r="N559" s="43" t="s">
        <v>383</v>
      </c>
    </row>
    <row r="560" spans="1:14" ht="15.75" customHeight="1">
      <c r="A560" s="41" t="s">
        <v>632</v>
      </c>
      <c r="B560" s="41" t="s">
        <v>633</v>
      </c>
      <c r="C560" s="41" t="s">
        <v>424</v>
      </c>
      <c r="D560" s="41" t="s">
        <v>425</v>
      </c>
      <c r="E560" s="41" t="s">
        <v>48</v>
      </c>
      <c r="F560" s="42">
        <v>5</v>
      </c>
      <c r="G560" s="41" t="s">
        <v>12</v>
      </c>
      <c r="H560" s="43" t="s">
        <v>427</v>
      </c>
      <c r="I560" s="44">
        <v>140</v>
      </c>
      <c r="J560" s="44">
        <v>49.1</v>
      </c>
      <c r="K560" s="41"/>
      <c r="L560" s="45">
        <v>52000</v>
      </c>
      <c r="M560" s="44">
        <v>1</v>
      </c>
      <c r="N560" s="43" t="s">
        <v>383</v>
      </c>
    </row>
    <row r="561" spans="1:14" ht="15.75" customHeight="1">
      <c r="A561" s="41" t="s">
        <v>632</v>
      </c>
      <c r="B561" s="41" t="s">
        <v>633</v>
      </c>
      <c r="C561" s="41" t="s">
        <v>424</v>
      </c>
      <c r="D561" s="41" t="s">
        <v>425</v>
      </c>
      <c r="E561" s="41" t="s">
        <v>48</v>
      </c>
      <c r="F561" s="42">
        <v>6</v>
      </c>
      <c r="G561" s="41" t="s">
        <v>13</v>
      </c>
      <c r="H561" s="43" t="s">
        <v>427</v>
      </c>
      <c r="I561" s="44">
        <v>40</v>
      </c>
      <c r="J561" s="44">
        <v>49.1</v>
      </c>
      <c r="K561" s="41"/>
      <c r="L561" s="45">
        <v>52000</v>
      </c>
      <c r="M561" s="44">
        <v>1</v>
      </c>
      <c r="N561" s="43" t="s">
        <v>383</v>
      </c>
    </row>
    <row r="562" spans="1:14" ht="15.75" customHeight="1">
      <c r="A562" s="41" t="s">
        <v>632</v>
      </c>
      <c r="B562" s="41" t="s">
        <v>633</v>
      </c>
      <c r="C562" s="41" t="s">
        <v>431</v>
      </c>
      <c r="D562" s="41" t="s">
        <v>432</v>
      </c>
      <c r="E562" s="41" t="s">
        <v>433</v>
      </c>
      <c r="F562" s="42">
        <v>18</v>
      </c>
      <c r="G562" s="41" t="s">
        <v>439</v>
      </c>
      <c r="H562" s="43" t="s">
        <v>440</v>
      </c>
      <c r="I562" s="44">
        <v>60</v>
      </c>
      <c r="J562" s="41"/>
      <c r="K562" s="44">
        <v>1000</v>
      </c>
      <c r="L562" s="41" t="s">
        <v>435</v>
      </c>
      <c r="M562" s="44">
        <v>1</v>
      </c>
      <c r="N562" s="43" t="s">
        <v>436</v>
      </c>
    </row>
    <row r="563" spans="1:14" ht="15.75" customHeight="1">
      <c r="A563" s="41" t="s">
        <v>632</v>
      </c>
      <c r="B563" s="41" t="s">
        <v>633</v>
      </c>
      <c r="C563" s="41" t="s">
        <v>431</v>
      </c>
      <c r="D563" s="41" t="s">
        <v>432</v>
      </c>
      <c r="E563" s="41" t="s">
        <v>433</v>
      </c>
      <c r="F563" s="42">
        <v>19</v>
      </c>
      <c r="G563" s="41" t="s">
        <v>368</v>
      </c>
      <c r="H563" s="43" t="s">
        <v>434</v>
      </c>
      <c r="I563" s="44">
        <v>60</v>
      </c>
      <c r="J563" s="41"/>
      <c r="K563" s="44">
        <v>780</v>
      </c>
      <c r="L563" s="41" t="s">
        <v>435</v>
      </c>
      <c r="M563" s="44">
        <v>3</v>
      </c>
      <c r="N563" s="43" t="s">
        <v>436</v>
      </c>
    </row>
    <row r="564" spans="1:14" ht="15.75" customHeight="1">
      <c r="A564" s="41" t="s">
        <v>634</v>
      </c>
      <c r="B564" s="41" t="s">
        <v>635</v>
      </c>
      <c r="C564" s="41" t="s">
        <v>442</v>
      </c>
      <c r="D564" s="41" t="s">
        <v>443</v>
      </c>
      <c r="E564" s="41" t="s">
        <v>33</v>
      </c>
      <c r="F564" s="42">
        <v>10</v>
      </c>
      <c r="G564" s="41" t="s">
        <v>11</v>
      </c>
      <c r="H564" s="43" t="s">
        <v>426</v>
      </c>
      <c r="I564" s="44">
        <v>30</v>
      </c>
      <c r="J564" s="44">
        <v>32.1</v>
      </c>
      <c r="K564" s="41"/>
      <c r="L564" s="45">
        <v>103000</v>
      </c>
      <c r="M564" s="44">
        <v>1</v>
      </c>
      <c r="N564" s="43" t="s">
        <v>383</v>
      </c>
    </row>
    <row r="565" spans="1:14" ht="15.75" customHeight="1">
      <c r="A565" s="41" t="s">
        <v>634</v>
      </c>
      <c r="B565" s="41" t="s">
        <v>635</v>
      </c>
      <c r="C565" s="41" t="s">
        <v>442</v>
      </c>
      <c r="D565" s="41" t="s">
        <v>443</v>
      </c>
      <c r="E565" s="41" t="s">
        <v>33</v>
      </c>
      <c r="F565" s="42">
        <v>11</v>
      </c>
      <c r="G565" s="41" t="s">
        <v>12</v>
      </c>
      <c r="H565" s="43" t="s">
        <v>444</v>
      </c>
      <c r="I565" s="44">
        <v>120</v>
      </c>
      <c r="J565" s="44">
        <v>32.1</v>
      </c>
      <c r="K565" s="41"/>
      <c r="L565" s="45">
        <v>103000</v>
      </c>
      <c r="M565" s="44">
        <v>1</v>
      </c>
      <c r="N565" s="43" t="s">
        <v>383</v>
      </c>
    </row>
    <row r="566" spans="1:14" ht="15.75" customHeight="1">
      <c r="A566" s="41" t="s">
        <v>634</v>
      </c>
      <c r="B566" s="41" t="s">
        <v>635</v>
      </c>
      <c r="C566" s="41" t="s">
        <v>442</v>
      </c>
      <c r="D566" s="41" t="s">
        <v>443</v>
      </c>
      <c r="E566" s="41" t="s">
        <v>33</v>
      </c>
      <c r="F566" s="42">
        <v>12</v>
      </c>
      <c r="G566" s="41" t="s">
        <v>13</v>
      </c>
      <c r="H566" s="43" t="s">
        <v>444</v>
      </c>
      <c r="I566" s="44">
        <v>20</v>
      </c>
      <c r="J566" s="44">
        <v>32.1</v>
      </c>
      <c r="K566" s="41"/>
      <c r="L566" s="45">
        <v>103000</v>
      </c>
      <c r="M566" s="44">
        <v>1</v>
      </c>
      <c r="N566" s="43" t="s">
        <v>383</v>
      </c>
    </row>
    <row r="567" spans="1:14" ht="15.75" customHeight="1">
      <c r="A567" s="41" t="s">
        <v>634</v>
      </c>
      <c r="B567" s="41" t="s">
        <v>635</v>
      </c>
      <c r="C567" s="41" t="s">
        <v>431</v>
      </c>
      <c r="D567" s="41" t="s">
        <v>432</v>
      </c>
      <c r="E567" s="41" t="s">
        <v>433</v>
      </c>
      <c r="F567" s="42">
        <v>18</v>
      </c>
      <c r="G567" s="41" t="s">
        <v>439</v>
      </c>
      <c r="H567" s="43" t="s">
        <v>440</v>
      </c>
      <c r="I567" s="44">
        <v>60</v>
      </c>
      <c r="J567" s="41"/>
      <c r="K567" s="44">
        <v>700</v>
      </c>
      <c r="L567" s="41" t="s">
        <v>435</v>
      </c>
      <c r="M567" s="44">
        <v>1</v>
      </c>
      <c r="N567" s="43" t="s">
        <v>436</v>
      </c>
    </row>
    <row r="568" spans="1:14" ht="15.75" customHeight="1">
      <c r="A568" s="41" t="s">
        <v>634</v>
      </c>
      <c r="B568" s="41" t="s">
        <v>635</v>
      </c>
      <c r="C568" s="41" t="s">
        <v>431</v>
      </c>
      <c r="D568" s="41" t="s">
        <v>432</v>
      </c>
      <c r="E568" s="41" t="s">
        <v>433</v>
      </c>
      <c r="F568" s="42">
        <v>19</v>
      </c>
      <c r="G568" s="41" t="s">
        <v>368</v>
      </c>
      <c r="H568" s="43" t="s">
        <v>434</v>
      </c>
      <c r="I568" s="44">
        <v>60</v>
      </c>
      <c r="J568" s="41"/>
      <c r="K568" s="44">
        <v>860</v>
      </c>
      <c r="L568" s="41" t="s">
        <v>435</v>
      </c>
      <c r="M568" s="44">
        <v>4</v>
      </c>
      <c r="N568" s="43" t="s">
        <v>436</v>
      </c>
    </row>
    <row r="569" spans="1:14" ht="15.75" customHeight="1">
      <c r="A569" s="41" t="s">
        <v>636</v>
      </c>
      <c r="B569" s="41" t="s">
        <v>322</v>
      </c>
      <c r="C569" s="41" t="s">
        <v>442</v>
      </c>
      <c r="D569" s="41" t="s">
        <v>448</v>
      </c>
      <c r="E569" s="41" t="s">
        <v>40</v>
      </c>
      <c r="F569" s="42">
        <v>1</v>
      </c>
      <c r="G569" s="41" t="s">
        <v>11</v>
      </c>
      <c r="H569" s="43" t="s">
        <v>426</v>
      </c>
      <c r="I569" s="44">
        <v>25</v>
      </c>
      <c r="J569" s="44">
        <v>303</v>
      </c>
      <c r="K569" s="41"/>
      <c r="L569" s="45">
        <v>400000</v>
      </c>
      <c r="M569" s="44">
        <v>1</v>
      </c>
      <c r="N569" s="43" t="s">
        <v>383</v>
      </c>
    </row>
    <row r="570" spans="1:14" ht="15.75" customHeight="1">
      <c r="A570" s="41" t="s">
        <v>636</v>
      </c>
      <c r="B570" s="41" t="s">
        <v>322</v>
      </c>
      <c r="C570" s="41" t="s">
        <v>442</v>
      </c>
      <c r="D570" s="41" t="s">
        <v>448</v>
      </c>
      <c r="E570" s="41" t="s">
        <v>40</v>
      </c>
      <c r="F570" s="42">
        <v>2</v>
      </c>
      <c r="G570" s="41" t="s">
        <v>12</v>
      </c>
      <c r="H570" s="43" t="s">
        <v>449</v>
      </c>
      <c r="I570" s="44">
        <v>180</v>
      </c>
      <c r="J570" s="44">
        <v>303</v>
      </c>
      <c r="K570" s="41"/>
      <c r="L570" s="45">
        <v>400000</v>
      </c>
      <c r="M570" s="44">
        <v>1</v>
      </c>
      <c r="N570" s="43" t="s">
        <v>383</v>
      </c>
    </row>
    <row r="571" spans="1:14" ht="15.75" customHeight="1">
      <c r="A571" s="41" t="s">
        <v>636</v>
      </c>
      <c r="B571" s="41" t="s">
        <v>322</v>
      </c>
      <c r="C571" s="41" t="s">
        <v>442</v>
      </c>
      <c r="D571" s="41" t="s">
        <v>448</v>
      </c>
      <c r="E571" s="41" t="s">
        <v>40</v>
      </c>
      <c r="F571" s="42">
        <v>3</v>
      </c>
      <c r="G571" s="41" t="s">
        <v>13</v>
      </c>
      <c r="H571" s="43" t="s">
        <v>449</v>
      </c>
      <c r="I571" s="44">
        <v>30</v>
      </c>
      <c r="J571" s="44">
        <v>303</v>
      </c>
      <c r="K571" s="41"/>
      <c r="L571" s="45">
        <v>400000</v>
      </c>
      <c r="M571" s="44">
        <v>1</v>
      </c>
      <c r="N571" s="43" t="s">
        <v>383</v>
      </c>
    </row>
    <row r="572" spans="1:14" ht="15.75" customHeight="1">
      <c r="A572" s="41" t="s">
        <v>636</v>
      </c>
      <c r="B572" s="41" t="s">
        <v>322</v>
      </c>
      <c r="C572" s="41" t="s">
        <v>431</v>
      </c>
      <c r="D572" s="41" t="s">
        <v>432</v>
      </c>
      <c r="E572" s="41" t="s">
        <v>433</v>
      </c>
      <c r="F572" s="42">
        <v>18</v>
      </c>
      <c r="G572" s="41" t="s">
        <v>439</v>
      </c>
      <c r="H572" s="43" t="s">
        <v>440</v>
      </c>
      <c r="I572" s="44">
        <v>60</v>
      </c>
      <c r="J572" s="41"/>
      <c r="K572" s="44">
        <v>860</v>
      </c>
      <c r="L572" s="41" t="s">
        <v>435</v>
      </c>
      <c r="M572" s="44">
        <v>1</v>
      </c>
      <c r="N572" s="43" t="s">
        <v>436</v>
      </c>
    </row>
    <row r="573" spans="1:14" ht="15.75" customHeight="1">
      <c r="A573" s="41" t="s">
        <v>636</v>
      </c>
      <c r="B573" s="41" t="s">
        <v>322</v>
      </c>
      <c r="C573" s="41" t="s">
        <v>431</v>
      </c>
      <c r="D573" s="41" t="s">
        <v>432</v>
      </c>
      <c r="E573" s="41" t="s">
        <v>433</v>
      </c>
      <c r="F573" s="42">
        <v>19</v>
      </c>
      <c r="G573" s="41" t="s">
        <v>368</v>
      </c>
      <c r="H573" s="43" t="s">
        <v>434</v>
      </c>
      <c r="I573" s="44">
        <v>60</v>
      </c>
      <c r="J573" s="41"/>
      <c r="K573" s="44">
        <v>500</v>
      </c>
      <c r="L573" s="41" t="s">
        <v>435</v>
      </c>
      <c r="M573" s="44">
        <v>3</v>
      </c>
      <c r="N573" s="43" t="s">
        <v>436</v>
      </c>
    </row>
    <row r="574" spans="1:14" ht="15.75" customHeight="1">
      <c r="A574" s="41" t="s">
        <v>637</v>
      </c>
      <c r="B574" s="41" t="s">
        <v>109</v>
      </c>
      <c r="C574" s="41" t="s">
        <v>442</v>
      </c>
      <c r="D574" s="41" t="s">
        <v>443</v>
      </c>
      <c r="E574" s="41" t="s">
        <v>33</v>
      </c>
      <c r="F574" s="42">
        <v>10</v>
      </c>
      <c r="G574" s="41" t="s">
        <v>11</v>
      </c>
      <c r="H574" s="43" t="s">
        <v>426</v>
      </c>
      <c r="I574" s="44">
        <v>90</v>
      </c>
      <c r="J574" s="44">
        <v>128</v>
      </c>
      <c r="K574" s="41"/>
      <c r="L574" s="45">
        <v>105000</v>
      </c>
      <c r="M574" s="44">
        <v>1</v>
      </c>
      <c r="N574" s="43" t="s">
        <v>383</v>
      </c>
    </row>
    <row r="575" spans="1:14" ht="15.75" customHeight="1">
      <c r="A575" s="41" t="s">
        <v>637</v>
      </c>
      <c r="B575" s="41" t="s">
        <v>109</v>
      </c>
      <c r="C575" s="41" t="s">
        <v>442</v>
      </c>
      <c r="D575" s="41" t="s">
        <v>443</v>
      </c>
      <c r="E575" s="41" t="s">
        <v>33</v>
      </c>
      <c r="F575" s="42">
        <v>11</v>
      </c>
      <c r="G575" s="41" t="s">
        <v>12</v>
      </c>
      <c r="H575" s="43" t="s">
        <v>444</v>
      </c>
      <c r="I575" s="44">
        <v>35</v>
      </c>
      <c r="J575" s="44">
        <v>128</v>
      </c>
      <c r="K575" s="41"/>
      <c r="L575" s="45">
        <v>105000</v>
      </c>
      <c r="M575" s="44">
        <v>1</v>
      </c>
      <c r="N575" s="43" t="s">
        <v>383</v>
      </c>
    </row>
    <row r="576" spans="1:14" ht="15.75" customHeight="1">
      <c r="A576" s="41" t="s">
        <v>637</v>
      </c>
      <c r="B576" s="41" t="s">
        <v>109</v>
      </c>
      <c r="C576" s="41" t="s">
        <v>442</v>
      </c>
      <c r="D576" s="41" t="s">
        <v>443</v>
      </c>
      <c r="E576" s="41" t="s">
        <v>33</v>
      </c>
      <c r="F576" s="42">
        <v>12</v>
      </c>
      <c r="G576" s="41" t="s">
        <v>13</v>
      </c>
      <c r="H576" s="43" t="s">
        <v>444</v>
      </c>
      <c r="I576" s="44">
        <v>10</v>
      </c>
      <c r="J576" s="44">
        <v>128</v>
      </c>
      <c r="K576" s="41"/>
      <c r="L576" s="45">
        <v>105000</v>
      </c>
      <c r="M576" s="44">
        <v>1</v>
      </c>
      <c r="N576" s="43" t="s">
        <v>383</v>
      </c>
    </row>
    <row r="577" spans="1:15" ht="15.75" customHeight="1">
      <c r="A577" s="41" t="s">
        <v>637</v>
      </c>
      <c r="B577" s="41" t="s">
        <v>109</v>
      </c>
      <c r="C577" s="41" t="s">
        <v>431</v>
      </c>
      <c r="D577" s="41" t="s">
        <v>432</v>
      </c>
      <c r="E577" s="41" t="s">
        <v>433</v>
      </c>
      <c r="F577" s="42">
        <v>18</v>
      </c>
      <c r="G577" s="41" t="s">
        <v>439</v>
      </c>
      <c r="H577" s="43" t="s">
        <v>440</v>
      </c>
      <c r="I577" s="44">
        <v>60</v>
      </c>
      <c r="J577" s="41"/>
      <c r="K577" s="44">
        <v>600</v>
      </c>
      <c r="L577" s="41" t="s">
        <v>435</v>
      </c>
      <c r="M577" s="44">
        <v>1</v>
      </c>
      <c r="N577" s="43" t="s">
        <v>436</v>
      </c>
    </row>
    <row r="578" spans="1:15" ht="15.75" customHeight="1">
      <c r="A578" s="41" t="s">
        <v>637</v>
      </c>
      <c r="B578" s="41" t="s">
        <v>109</v>
      </c>
      <c r="C578" s="41" t="s">
        <v>431</v>
      </c>
      <c r="D578" s="41" t="s">
        <v>432</v>
      </c>
      <c r="E578" s="41" t="s">
        <v>433</v>
      </c>
      <c r="F578" s="42">
        <v>19</v>
      </c>
      <c r="G578" s="41" t="s">
        <v>368</v>
      </c>
      <c r="H578" s="43" t="s">
        <v>434</v>
      </c>
      <c r="I578" s="44">
        <v>60</v>
      </c>
      <c r="J578" s="41"/>
      <c r="K578" s="44">
        <v>700</v>
      </c>
      <c r="L578" s="41" t="s">
        <v>435</v>
      </c>
      <c r="M578" s="44">
        <v>4</v>
      </c>
      <c r="N578" s="43" t="s">
        <v>436</v>
      </c>
    </row>
    <row r="579" spans="1:15" ht="15.75" customHeight="1">
      <c r="A579" s="41" t="s">
        <v>638</v>
      </c>
      <c r="B579" s="41" t="s">
        <v>639</v>
      </c>
      <c r="C579" s="41" t="s">
        <v>442</v>
      </c>
      <c r="D579" s="41" t="s">
        <v>443</v>
      </c>
      <c r="E579" s="41" t="s">
        <v>33</v>
      </c>
      <c r="F579" s="42">
        <v>10</v>
      </c>
      <c r="G579" s="41" t="s">
        <v>11</v>
      </c>
      <c r="H579" s="43" t="s">
        <v>426</v>
      </c>
      <c r="I579" s="44">
        <v>90</v>
      </c>
      <c r="J579" s="44">
        <v>29.7</v>
      </c>
      <c r="K579" s="41"/>
      <c r="L579" s="45">
        <v>105000</v>
      </c>
      <c r="M579" s="44">
        <v>1</v>
      </c>
      <c r="N579" s="43" t="s">
        <v>383</v>
      </c>
    </row>
    <row r="580" spans="1:15" ht="15.75" customHeight="1">
      <c r="A580" s="41" t="s">
        <v>638</v>
      </c>
      <c r="B580" s="41" t="s">
        <v>639</v>
      </c>
      <c r="C580" s="41" t="s">
        <v>442</v>
      </c>
      <c r="D580" s="41" t="s">
        <v>443</v>
      </c>
      <c r="E580" s="41" t="s">
        <v>33</v>
      </c>
      <c r="F580" s="42">
        <v>11</v>
      </c>
      <c r="G580" s="41" t="s">
        <v>12</v>
      </c>
      <c r="H580" s="43" t="s">
        <v>444</v>
      </c>
      <c r="I580" s="44">
        <v>35</v>
      </c>
      <c r="J580" s="44">
        <v>29.7</v>
      </c>
      <c r="K580" s="41"/>
      <c r="L580" s="45">
        <v>105000</v>
      </c>
      <c r="M580" s="44">
        <v>1</v>
      </c>
      <c r="N580" s="43" t="s">
        <v>383</v>
      </c>
    </row>
    <row r="581" spans="1:15" ht="15.75" customHeight="1">
      <c r="A581" s="41" t="s">
        <v>638</v>
      </c>
      <c r="B581" s="41" t="s">
        <v>639</v>
      </c>
      <c r="C581" s="41" t="s">
        <v>442</v>
      </c>
      <c r="D581" s="41" t="s">
        <v>443</v>
      </c>
      <c r="E581" s="41" t="s">
        <v>33</v>
      </c>
      <c r="F581" s="42">
        <v>12</v>
      </c>
      <c r="G581" s="41" t="s">
        <v>13</v>
      </c>
      <c r="H581" s="43" t="s">
        <v>444</v>
      </c>
      <c r="I581" s="44">
        <v>10</v>
      </c>
      <c r="J581" s="44">
        <v>29.7</v>
      </c>
      <c r="K581" s="41"/>
      <c r="L581" s="45">
        <v>105000</v>
      </c>
      <c r="M581" s="44">
        <v>1</v>
      </c>
      <c r="N581" s="43" t="s">
        <v>383</v>
      </c>
    </row>
    <row r="582" spans="1:15" ht="15.75" customHeight="1">
      <c r="A582" s="41" t="s">
        <v>638</v>
      </c>
      <c r="B582" s="41" t="s">
        <v>639</v>
      </c>
      <c r="C582" s="41" t="s">
        <v>431</v>
      </c>
      <c r="D582" s="41" t="s">
        <v>432</v>
      </c>
      <c r="E582" s="41" t="s">
        <v>433</v>
      </c>
      <c r="F582" s="42">
        <v>18</v>
      </c>
      <c r="G582" s="41" t="s">
        <v>439</v>
      </c>
      <c r="H582" s="43" t="s">
        <v>440</v>
      </c>
      <c r="I582" s="44">
        <v>60</v>
      </c>
      <c r="J582" s="41"/>
      <c r="K582" s="44">
        <v>1100</v>
      </c>
      <c r="L582" s="41" t="s">
        <v>435</v>
      </c>
      <c r="M582" s="44">
        <v>1</v>
      </c>
      <c r="N582" s="43" t="s">
        <v>436</v>
      </c>
    </row>
    <row r="583" spans="1:15" ht="15.75" customHeight="1">
      <c r="A583" s="41" t="s">
        <v>638</v>
      </c>
      <c r="B583" s="41" t="s">
        <v>639</v>
      </c>
      <c r="C583" s="41" t="s">
        <v>431</v>
      </c>
      <c r="D583" s="41" t="s">
        <v>432</v>
      </c>
      <c r="E583" s="41" t="s">
        <v>433</v>
      </c>
      <c r="F583" s="42">
        <v>19</v>
      </c>
      <c r="G583" s="41" t="s">
        <v>368</v>
      </c>
      <c r="H583" s="43" t="s">
        <v>434</v>
      </c>
      <c r="I583" s="44">
        <v>60</v>
      </c>
      <c r="J583" s="41"/>
      <c r="K583" s="44">
        <v>900</v>
      </c>
      <c r="L583" s="41" t="s">
        <v>435</v>
      </c>
      <c r="M583" s="44">
        <v>4</v>
      </c>
      <c r="N583" s="43" t="s">
        <v>436</v>
      </c>
    </row>
    <row r="584" spans="1:15" ht="15.75" customHeight="1">
      <c r="A584" s="41" t="s">
        <v>640</v>
      </c>
      <c r="B584" s="41" t="s">
        <v>641</v>
      </c>
      <c r="C584" s="41" t="s">
        <v>442</v>
      </c>
      <c r="D584" s="41" t="s">
        <v>448</v>
      </c>
      <c r="E584" s="41" t="s">
        <v>40</v>
      </c>
      <c r="F584" s="42">
        <v>1</v>
      </c>
      <c r="G584" s="41" t="s">
        <v>11</v>
      </c>
      <c r="H584" s="43" t="s">
        <v>426</v>
      </c>
      <c r="I584" s="44">
        <v>20</v>
      </c>
      <c r="J584" s="44">
        <v>180</v>
      </c>
      <c r="K584" s="41"/>
      <c r="L584" s="45">
        <v>410000</v>
      </c>
      <c r="M584" s="44">
        <v>1</v>
      </c>
      <c r="N584" s="43" t="s">
        <v>383</v>
      </c>
    </row>
    <row r="585" spans="1:15" ht="15.75" customHeight="1">
      <c r="A585" s="41" t="s">
        <v>640</v>
      </c>
      <c r="B585" s="41" t="s">
        <v>641</v>
      </c>
      <c r="C585" s="41" t="s">
        <v>442</v>
      </c>
      <c r="D585" s="41" t="s">
        <v>448</v>
      </c>
      <c r="E585" s="41" t="s">
        <v>40</v>
      </c>
      <c r="F585" s="42">
        <v>2</v>
      </c>
      <c r="G585" s="41" t="s">
        <v>12</v>
      </c>
      <c r="H585" s="43" t="s">
        <v>449</v>
      </c>
      <c r="I585" s="44">
        <v>100</v>
      </c>
      <c r="J585" s="44">
        <v>180</v>
      </c>
      <c r="K585" s="41"/>
      <c r="L585" s="45">
        <v>410000</v>
      </c>
      <c r="M585" s="44">
        <v>1</v>
      </c>
      <c r="N585" s="43" t="s">
        <v>383</v>
      </c>
    </row>
    <row r="586" spans="1:15" ht="15.75" customHeight="1">
      <c r="A586" s="41" t="s">
        <v>640</v>
      </c>
      <c r="B586" s="41" t="s">
        <v>641</v>
      </c>
      <c r="C586" s="41" t="s">
        <v>442</v>
      </c>
      <c r="D586" s="41" t="s">
        <v>448</v>
      </c>
      <c r="E586" s="41" t="s">
        <v>40</v>
      </c>
      <c r="F586" s="42">
        <v>3</v>
      </c>
      <c r="G586" s="41" t="s">
        <v>13</v>
      </c>
      <c r="H586" s="43" t="s">
        <v>449</v>
      </c>
      <c r="I586" s="44">
        <v>45</v>
      </c>
      <c r="J586" s="44">
        <v>180</v>
      </c>
      <c r="K586" s="41"/>
      <c r="L586" s="45">
        <v>410000</v>
      </c>
      <c r="M586" s="44">
        <v>1</v>
      </c>
      <c r="N586" s="43" t="s">
        <v>383</v>
      </c>
    </row>
    <row r="587" spans="1:15" ht="15.75" customHeight="1">
      <c r="A587" s="41" t="s">
        <v>640</v>
      </c>
      <c r="B587" s="41" t="s">
        <v>641</v>
      </c>
      <c r="C587" s="41" t="s">
        <v>431</v>
      </c>
      <c r="D587" s="41" t="s">
        <v>432</v>
      </c>
      <c r="E587" s="41" t="s">
        <v>433</v>
      </c>
      <c r="F587" s="42">
        <v>18</v>
      </c>
      <c r="G587" s="41" t="s">
        <v>439</v>
      </c>
      <c r="H587" s="43" t="s">
        <v>440</v>
      </c>
      <c r="I587" s="44">
        <v>60</v>
      </c>
      <c r="J587" s="41"/>
      <c r="K587" s="44">
        <v>800</v>
      </c>
      <c r="L587" s="41" t="s">
        <v>435</v>
      </c>
      <c r="M587" s="44">
        <v>1</v>
      </c>
      <c r="N587" s="43" t="s">
        <v>436</v>
      </c>
    </row>
    <row r="588" spans="1:15" ht="15.75" customHeight="1">
      <c r="A588" s="41" t="s">
        <v>640</v>
      </c>
      <c r="B588" s="41" t="s">
        <v>641</v>
      </c>
      <c r="C588" s="41" t="s">
        <v>431</v>
      </c>
      <c r="D588" s="41" t="s">
        <v>432</v>
      </c>
      <c r="E588" s="41" t="s">
        <v>433</v>
      </c>
      <c r="F588" s="42">
        <v>19</v>
      </c>
      <c r="G588" s="41" t="s">
        <v>368</v>
      </c>
      <c r="H588" s="43" t="s">
        <v>434</v>
      </c>
      <c r="I588" s="44">
        <v>60</v>
      </c>
      <c r="J588" s="41"/>
      <c r="K588" s="44">
        <v>450</v>
      </c>
      <c r="L588" s="41" t="s">
        <v>435</v>
      </c>
      <c r="M588" s="44">
        <v>4</v>
      </c>
      <c r="N588" s="43" t="s">
        <v>436</v>
      </c>
    </row>
    <row r="589" spans="1:15" ht="15.75" customHeight="1">
      <c r="A589" s="41" t="s">
        <v>642</v>
      </c>
      <c r="B589" s="41" t="s">
        <v>73</v>
      </c>
      <c r="C589" s="41" t="s">
        <v>424</v>
      </c>
      <c r="D589" s="41" t="s">
        <v>429</v>
      </c>
      <c r="E589" s="41" t="s">
        <v>74</v>
      </c>
      <c r="F589" s="42">
        <v>7</v>
      </c>
      <c r="G589" s="41" t="s">
        <v>11</v>
      </c>
      <c r="H589" s="43" t="s">
        <v>426</v>
      </c>
      <c r="I589" s="44">
        <v>25</v>
      </c>
      <c r="J589" s="44">
        <v>150</v>
      </c>
      <c r="K589" s="41"/>
      <c r="L589" s="45">
        <v>103000</v>
      </c>
      <c r="M589" s="44">
        <v>1</v>
      </c>
      <c r="N589" s="43" t="s">
        <v>383</v>
      </c>
    </row>
    <row r="590" spans="1:15" ht="15.75" customHeight="1">
      <c r="A590" s="41" t="s">
        <v>642</v>
      </c>
      <c r="B590" s="41" t="s">
        <v>73</v>
      </c>
      <c r="C590" s="41" t="s">
        <v>424</v>
      </c>
      <c r="D590" s="41" t="s">
        <v>429</v>
      </c>
      <c r="E590" s="41" t="s">
        <v>74</v>
      </c>
      <c r="F590" s="42">
        <v>8</v>
      </c>
      <c r="G590" s="41" t="s">
        <v>12</v>
      </c>
      <c r="H590" s="43" t="s">
        <v>430</v>
      </c>
      <c r="I590" s="44">
        <v>180</v>
      </c>
      <c r="J590" s="44">
        <v>150</v>
      </c>
      <c r="K590" s="41"/>
      <c r="L590" s="45">
        <v>103000</v>
      </c>
      <c r="M590" s="44">
        <v>1</v>
      </c>
      <c r="N590" s="43" t="s">
        <v>383</v>
      </c>
    </row>
    <row r="591" spans="1:15" ht="15.75" customHeight="1">
      <c r="A591" s="41" t="s">
        <v>642</v>
      </c>
      <c r="B591" s="41" t="s">
        <v>73</v>
      </c>
      <c r="C591" s="41" t="s">
        <v>424</v>
      </c>
      <c r="D591" s="41" t="s">
        <v>429</v>
      </c>
      <c r="E591" s="41" t="s">
        <v>74</v>
      </c>
      <c r="F591" s="42">
        <v>9</v>
      </c>
      <c r="G591" s="41" t="s">
        <v>13</v>
      </c>
      <c r="H591" s="43" t="s">
        <v>430</v>
      </c>
      <c r="I591" s="44">
        <v>40</v>
      </c>
      <c r="J591" s="44">
        <v>150</v>
      </c>
      <c r="K591" s="41"/>
      <c r="L591" s="45">
        <v>103000</v>
      </c>
      <c r="M591" s="44">
        <v>1</v>
      </c>
      <c r="N591" s="43" t="s">
        <v>383</v>
      </c>
    </row>
    <row r="592" spans="1:15" ht="15.75" customHeight="1">
      <c r="A592" s="46" t="s">
        <v>643</v>
      </c>
      <c r="B592" s="46" t="s">
        <v>73</v>
      </c>
      <c r="C592" s="46" t="s">
        <v>424</v>
      </c>
      <c r="D592" s="46" t="s">
        <v>425</v>
      </c>
      <c r="E592" s="46" t="s">
        <v>48</v>
      </c>
      <c r="F592" s="47">
        <v>4</v>
      </c>
      <c r="G592" s="46" t="s">
        <v>11</v>
      </c>
      <c r="H592" s="48" t="s">
        <v>426</v>
      </c>
      <c r="I592" s="49">
        <v>30</v>
      </c>
      <c r="J592" s="49">
        <v>150</v>
      </c>
      <c r="K592" s="46"/>
      <c r="L592" s="50">
        <v>52000</v>
      </c>
      <c r="M592" s="49">
        <v>1</v>
      </c>
      <c r="N592" s="48" t="s">
        <v>383</v>
      </c>
      <c r="O592" s="51"/>
    </row>
    <row r="593" spans="1:15" ht="15.75" customHeight="1">
      <c r="A593" s="46" t="s">
        <v>643</v>
      </c>
      <c r="B593" s="46" t="s">
        <v>73</v>
      </c>
      <c r="C593" s="46" t="s">
        <v>424</v>
      </c>
      <c r="D593" s="46" t="s">
        <v>425</v>
      </c>
      <c r="E593" s="46" t="s">
        <v>48</v>
      </c>
      <c r="F593" s="47">
        <v>5</v>
      </c>
      <c r="G593" s="46" t="s">
        <v>12</v>
      </c>
      <c r="H593" s="48" t="s">
        <v>427</v>
      </c>
      <c r="I593" s="49">
        <v>140</v>
      </c>
      <c r="J593" s="49">
        <v>150</v>
      </c>
      <c r="K593" s="46"/>
      <c r="L593" s="50">
        <v>52000</v>
      </c>
      <c r="M593" s="49">
        <v>1</v>
      </c>
      <c r="N593" s="48" t="s">
        <v>383</v>
      </c>
      <c r="O593" s="51"/>
    </row>
    <row r="594" spans="1:15" ht="15.75" customHeight="1">
      <c r="A594" s="46" t="s">
        <v>643</v>
      </c>
      <c r="B594" s="46" t="s">
        <v>73</v>
      </c>
      <c r="C594" s="46" t="s">
        <v>424</v>
      </c>
      <c r="D594" s="46" t="s">
        <v>425</v>
      </c>
      <c r="E594" s="46" t="s">
        <v>48</v>
      </c>
      <c r="F594" s="47">
        <v>6</v>
      </c>
      <c r="G594" s="46" t="s">
        <v>13</v>
      </c>
      <c r="H594" s="48" t="s">
        <v>427</v>
      </c>
      <c r="I594" s="49">
        <v>30</v>
      </c>
      <c r="J594" s="49">
        <v>150</v>
      </c>
      <c r="K594" s="46"/>
      <c r="L594" s="50">
        <v>52000</v>
      </c>
      <c r="M594" s="49">
        <v>1</v>
      </c>
      <c r="N594" s="48" t="s">
        <v>383</v>
      </c>
      <c r="O594" s="51"/>
    </row>
    <row r="595" spans="1:15" ht="15.75" customHeight="1">
      <c r="A595" s="41" t="s">
        <v>642</v>
      </c>
      <c r="B595" s="41" t="s">
        <v>73</v>
      </c>
      <c r="C595" s="41" t="s">
        <v>431</v>
      </c>
      <c r="D595" s="41" t="s">
        <v>432</v>
      </c>
      <c r="E595" s="41" t="s">
        <v>433</v>
      </c>
      <c r="F595" s="42">
        <v>18</v>
      </c>
      <c r="G595" s="41" t="s">
        <v>439</v>
      </c>
      <c r="H595" s="43" t="s">
        <v>440</v>
      </c>
      <c r="I595" s="44">
        <v>60</v>
      </c>
      <c r="J595" s="41"/>
      <c r="K595" s="44">
        <v>700</v>
      </c>
      <c r="L595" s="41" t="s">
        <v>435</v>
      </c>
      <c r="M595" s="44">
        <v>1</v>
      </c>
      <c r="N595" s="43" t="s">
        <v>436</v>
      </c>
    </row>
    <row r="596" spans="1:15" ht="15.75" customHeight="1">
      <c r="A596" s="41" t="s">
        <v>642</v>
      </c>
      <c r="B596" s="41" t="s">
        <v>73</v>
      </c>
      <c r="C596" s="41" t="s">
        <v>431</v>
      </c>
      <c r="D596" s="41" t="s">
        <v>432</v>
      </c>
      <c r="E596" s="41" t="s">
        <v>433</v>
      </c>
      <c r="F596" s="42">
        <v>19</v>
      </c>
      <c r="G596" s="41" t="s">
        <v>368</v>
      </c>
      <c r="H596" s="43" t="s">
        <v>434</v>
      </c>
      <c r="I596" s="44">
        <v>60</v>
      </c>
      <c r="J596" s="41"/>
      <c r="K596" s="44">
        <v>500</v>
      </c>
      <c r="L596" s="41" t="s">
        <v>435</v>
      </c>
      <c r="M596" s="44">
        <v>4</v>
      </c>
      <c r="N596" s="43" t="s">
        <v>436</v>
      </c>
    </row>
    <row r="597" spans="1:15" ht="15.75" customHeight="1">
      <c r="A597" s="46" t="s">
        <v>644</v>
      </c>
      <c r="B597" s="46" t="s">
        <v>182</v>
      </c>
      <c r="C597" s="46" t="s">
        <v>424</v>
      </c>
      <c r="D597" s="46" t="s">
        <v>429</v>
      </c>
      <c r="E597" s="46" t="s">
        <v>74</v>
      </c>
      <c r="F597" s="47">
        <v>7</v>
      </c>
      <c r="G597" s="46" t="s">
        <v>11</v>
      </c>
      <c r="H597" s="48" t="s">
        <v>426</v>
      </c>
      <c r="I597" s="49">
        <v>25</v>
      </c>
      <c r="J597" s="49">
        <v>50</v>
      </c>
      <c r="K597" s="46"/>
      <c r="L597" s="50">
        <v>103000</v>
      </c>
      <c r="M597" s="49">
        <v>1</v>
      </c>
      <c r="N597" s="48" t="s">
        <v>383</v>
      </c>
      <c r="O597" s="51"/>
    </row>
    <row r="598" spans="1:15" ht="15.75" customHeight="1">
      <c r="A598" s="46" t="s">
        <v>644</v>
      </c>
      <c r="B598" s="46" t="s">
        <v>182</v>
      </c>
      <c r="C598" s="46" t="s">
        <v>424</v>
      </c>
      <c r="D598" s="46" t="s">
        <v>429</v>
      </c>
      <c r="E598" s="46" t="s">
        <v>74</v>
      </c>
      <c r="F598" s="47">
        <v>8</v>
      </c>
      <c r="G598" s="46" t="s">
        <v>12</v>
      </c>
      <c r="H598" s="48" t="s">
        <v>430</v>
      </c>
      <c r="I598" s="49">
        <v>180</v>
      </c>
      <c r="J598" s="49">
        <v>50</v>
      </c>
      <c r="K598" s="46"/>
      <c r="L598" s="50">
        <v>103000</v>
      </c>
      <c r="M598" s="49">
        <v>1</v>
      </c>
      <c r="N598" s="48" t="s">
        <v>383</v>
      </c>
      <c r="O598" s="51"/>
    </row>
    <row r="599" spans="1:15" ht="15.75" customHeight="1">
      <c r="A599" s="46" t="s">
        <v>644</v>
      </c>
      <c r="B599" s="46" t="s">
        <v>182</v>
      </c>
      <c r="C599" s="46" t="s">
        <v>424</v>
      </c>
      <c r="D599" s="46" t="s">
        <v>429</v>
      </c>
      <c r="E599" s="46" t="s">
        <v>74</v>
      </c>
      <c r="F599" s="47">
        <v>9</v>
      </c>
      <c r="G599" s="46" t="s">
        <v>13</v>
      </c>
      <c r="H599" s="48" t="s">
        <v>430</v>
      </c>
      <c r="I599" s="49">
        <v>40</v>
      </c>
      <c r="J599" s="49">
        <v>50</v>
      </c>
      <c r="K599" s="46"/>
      <c r="L599" s="50">
        <v>103000</v>
      </c>
      <c r="M599" s="49">
        <v>1</v>
      </c>
      <c r="N599" s="48" t="s">
        <v>383</v>
      </c>
      <c r="O599" s="51"/>
    </row>
    <row r="600" spans="1:15" ht="15.75" customHeight="1">
      <c r="A600" s="41" t="s">
        <v>645</v>
      </c>
      <c r="B600" s="41" t="s">
        <v>182</v>
      </c>
      <c r="C600" s="41" t="s">
        <v>424</v>
      </c>
      <c r="D600" s="41" t="s">
        <v>425</v>
      </c>
      <c r="E600" s="41" t="s">
        <v>48</v>
      </c>
      <c r="F600" s="42">
        <v>4</v>
      </c>
      <c r="G600" s="41" t="s">
        <v>11</v>
      </c>
      <c r="H600" s="43" t="s">
        <v>426</v>
      </c>
      <c r="I600" s="44">
        <v>30</v>
      </c>
      <c r="J600" s="44">
        <v>50</v>
      </c>
      <c r="K600" s="41"/>
      <c r="L600" s="45">
        <v>52000</v>
      </c>
      <c r="M600" s="44">
        <v>1</v>
      </c>
      <c r="N600" s="43" t="s">
        <v>383</v>
      </c>
    </row>
    <row r="601" spans="1:15" ht="15.75" customHeight="1">
      <c r="A601" s="41" t="s">
        <v>645</v>
      </c>
      <c r="B601" s="41" t="s">
        <v>182</v>
      </c>
      <c r="C601" s="41" t="s">
        <v>424</v>
      </c>
      <c r="D601" s="41" t="s">
        <v>425</v>
      </c>
      <c r="E601" s="41" t="s">
        <v>48</v>
      </c>
      <c r="F601" s="42">
        <v>5</v>
      </c>
      <c r="G601" s="41" t="s">
        <v>12</v>
      </c>
      <c r="H601" s="43" t="s">
        <v>427</v>
      </c>
      <c r="I601" s="44">
        <v>140</v>
      </c>
      <c r="J601" s="44">
        <v>50</v>
      </c>
      <c r="K601" s="41"/>
      <c r="L601" s="45">
        <v>52000</v>
      </c>
      <c r="M601" s="44">
        <v>1</v>
      </c>
      <c r="N601" s="43" t="s">
        <v>383</v>
      </c>
    </row>
    <row r="602" spans="1:15" ht="15.75" customHeight="1">
      <c r="A602" s="41" t="s">
        <v>645</v>
      </c>
      <c r="B602" s="41" t="s">
        <v>182</v>
      </c>
      <c r="C602" s="41" t="s">
        <v>424</v>
      </c>
      <c r="D602" s="41" t="s">
        <v>425</v>
      </c>
      <c r="E602" s="41" t="s">
        <v>48</v>
      </c>
      <c r="F602" s="42">
        <v>6</v>
      </c>
      <c r="G602" s="41" t="s">
        <v>13</v>
      </c>
      <c r="H602" s="43" t="s">
        <v>427</v>
      </c>
      <c r="I602" s="44">
        <v>30</v>
      </c>
      <c r="J602" s="44">
        <v>50</v>
      </c>
      <c r="K602" s="41"/>
      <c r="L602" s="45">
        <v>52000</v>
      </c>
      <c r="M602" s="44">
        <v>1</v>
      </c>
      <c r="N602" s="43" t="s">
        <v>383</v>
      </c>
    </row>
    <row r="603" spans="1:15" ht="15.75" customHeight="1">
      <c r="A603" s="41" t="s">
        <v>645</v>
      </c>
      <c r="B603" s="41" t="s">
        <v>182</v>
      </c>
      <c r="C603" s="41" t="s">
        <v>431</v>
      </c>
      <c r="D603" s="41" t="s">
        <v>432</v>
      </c>
      <c r="E603" s="41" t="s">
        <v>433</v>
      </c>
      <c r="F603" s="42">
        <v>16</v>
      </c>
      <c r="G603" s="41" t="s">
        <v>484</v>
      </c>
      <c r="H603" s="43" t="s">
        <v>440</v>
      </c>
      <c r="I603" s="44">
        <v>60</v>
      </c>
      <c r="J603" s="41"/>
      <c r="K603" s="44">
        <v>1600</v>
      </c>
      <c r="L603" s="41" t="s">
        <v>435</v>
      </c>
      <c r="M603" s="44">
        <v>1</v>
      </c>
      <c r="N603" s="43" t="s">
        <v>436</v>
      </c>
    </row>
    <row r="604" spans="1:15" ht="15.75" customHeight="1">
      <c r="A604" s="41" t="s">
        <v>645</v>
      </c>
      <c r="B604" s="41" t="s">
        <v>182</v>
      </c>
      <c r="C604" s="41" t="s">
        <v>431</v>
      </c>
      <c r="D604" s="41" t="s">
        <v>432</v>
      </c>
      <c r="E604" s="41" t="s">
        <v>433</v>
      </c>
      <c r="F604" s="42">
        <v>18</v>
      </c>
      <c r="G604" s="41" t="s">
        <v>439</v>
      </c>
      <c r="H604" s="43" t="s">
        <v>440</v>
      </c>
      <c r="I604" s="44">
        <v>60</v>
      </c>
      <c r="J604" s="41"/>
      <c r="K604" s="44">
        <v>1600</v>
      </c>
      <c r="L604" s="41" t="s">
        <v>435</v>
      </c>
      <c r="M604" s="44">
        <v>1</v>
      </c>
      <c r="N604" s="43" t="s">
        <v>436</v>
      </c>
    </row>
    <row r="605" spans="1:15" ht="15.75" customHeight="1">
      <c r="A605" s="41" t="s">
        <v>645</v>
      </c>
      <c r="B605" s="41" t="s">
        <v>182</v>
      </c>
      <c r="C605" s="41" t="s">
        <v>431</v>
      </c>
      <c r="D605" s="41" t="s">
        <v>432</v>
      </c>
      <c r="E605" s="41" t="s">
        <v>433</v>
      </c>
      <c r="F605" s="42">
        <v>19</v>
      </c>
      <c r="G605" s="41" t="s">
        <v>368</v>
      </c>
      <c r="H605" s="43" t="s">
        <v>434</v>
      </c>
      <c r="I605" s="44">
        <v>60</v>
      </c>
      <c r="J605" s="41"/>
      <c r="K605" s="44">
        <v>1000</v>
      </c>
      <c r="L605" s="41" t="s">
        <v>435</v>
      </c>
      <c r="M605" s="44">
        <v>4</v>
      </c>
      <c r="N605" s="43" t="s">
        <v>436</v>
      </c>
    </row>
    <row r="606" spans="1:15" ht="15.75" customHeight="1">
      <c r="A606" s="41" t="s">
        <v>646</v>
      </c>
      <c r="B606" s="41" t="s">
        <v>647</v>
      </c>
      <c r="C606" s="41" t="s">
        <v>442</v>
      </c>
      <c r="D606" s="41" t="s">
        <v>443</v>
      </c>
      <c r="E606" s="41" t="s">
        <v>33</v>
      </c>
      <c r="F606" s="42">
        <v>10</v>
      </c>
      <c r="G606" s="41" t="s">
        <v>11</v>
      </c>
      <c r="H606" s="43" t="s">
        <v>426</v>
      </c>
      <c r="I606" s="44">
        <v>100</v>
      </c>
      <c r="J606" s="44">
        <v>10</v>
      </c>
      <c r="K606" s="41"/>
      <c r="L606" s="45">
        <v>100000</v>
      </c>
      <c r="M606" s="44">
        <v>1</v>
      </c>
      <c r="N606" s="43" t="s">
        <v>383</v>
      </c>
    </row>
    <row r="607" spans="1:15" ht="15.75" customHeight="1">
      <c r="A607" s="41" t="s">
        <v>646</v>
      </c>
      <c r="B607" s="41" t="s">
        <v>647</v>
      </c>
      <c r="C607" s="41" t="s">
        <v>442</v>
      </c>
      <c r="D607" s="41" t="s">
        <v>443</v>
      </c>
      <c r="E607" s="41" t="s">
        <v>33</v>
      </c>
      <c r="F607" s="42">
        <v>11</v>
      </c>
      <c r="G607" s="41" t="s">
        <v>12</v>
      </c>
      <c r="H607" s="43" t="s">
        <v>444</v>
      </c>
      <c r="I607" s="44">
        <v>30</v>
      </c>
      <c r="J607" s="44">
        <v>10</v>
      </c>
      <c r="K607" s="41"/>
      <c r="L607" s="45">
        <v>100000</v>
      </c>
      <c r="M607" s="44">
        <v>1</v>
      </c>
      <c r="N607" s="43" t="s">
        <v>383</v>
      </c>
    </row>
    <row r="608" spans="1:15" ht="15.75" customHeight="1">
      <c r="A608" s="41" t="s">
        <v>646</v>
      </c>
      <c r="B608" s="41" t="s">
        <v>647</v>
      </c>
      <c r="C608" s="41" t="s">
        <v>442</v>
      </c>
      <c r="D608" s="41" t="s">
        <v>443</v>
      </c>
      <c r="E608" s="41" t="s">
        <v>33</v>
      </c>
      <c r="F608" s="42">
        <v>12</v>
      </c>
      <c r="G608" s="41" t="s">
        <v>13</v>
      </c>
      <c r="H608" s="43" t="s">
        <v>444</v>
      </c>
      <c r="I608" s="44">
        <v>15</v>
      </c>
      <c r="J608" s="44">
        <v>10</v>
      </c>
      <c r="K608" s="41"/>
      <c r="L608" s="45">
        <v>100000</v>
      </c>
      <c r="M608" s="44">
        <v>1</v>
      </c>
      <c r="N608" s="43" t="s">
        <v>383</v>
      </c>
    </row>
    <row r="609" spans="1:14" ht="15.75" customHeight="1">
      <c r="A609" s="41" t="s">
        <v>646</v>
      </c>
      <c r="B609" s="41" t="s">
        <v>647</v>
      </c>
      <c r="C609" s="41" t="s">
        <v>431</v>
      </c>
      <c r="D609" s="41" t="s">
        <v>432</v>
      </c>
      <c r="E609" s="41" t="s">
        <v>433</v>
      </c>
      <c r="F609" s="42">
        <v>18</v>
      </c>
      <c r="G609" s="41" t="s">
        <v>439</v>
      </c>
      <c r="H609" s="43" t="s">
        <v>440</v>
      </c>
      <c r="I609" s="44">
        <v>60</v>
      </c>
      <c r="J609" s="41"/>
      <c r="K609" s="44">
        <v>1200</v>
      </c>
      <c r="L609" s="41" t="s">
        <v>435</v>
      </c>
      <c r="M609" s="44">
        <v>1</v>
      </c>
      <c r="N609" s="43" t="s">
        <v>436</v>
      </c>
    </row>
    <row r="610" spans="1:14" ht="15.75" customHeight="1">
      <c r="A610" s="41" t="s">
        <v>646</v>
      </c>
      <c r="B610" s="41" t="s">
        <v>647</v>
      </c>
      <c r="C610" s="41" t="s">
        <v>431</v>
      </c>
      <c r="D610" s="41" t="s">
        <v>432</v>
      </c>
      <c r="E610" s="41" t="s">
        <v>433</v>
      </c>
      <c r="F610" s="42">
        <v>19</v>
      </c>
      <c r="G610" s="41" t="s">
        <v>368</v>
      </c>
      <c r="H610" s="43" t="s">
        <v>434</v>
      </c>
      <c r="I610" s="44">
        <v>60</v>
      </c>
      <c r="J610" s="41"/>
      <c r="K610" s="44">
        <v>1000</v>
      </c>
      <c r="L610" s="41" t="s">
        <v>435</v>
      </c>
      <c r="M610" s="44">
        <v>3</v>
      </c>
      <c r="N610" s="43" t="s">
        <v>436</v>
      </c>
    </row>
    <row r="611" spans="1:14" ht="15.75" customHeight="1">
      <c r="A611" s="41" t="s">
        <v>646</v>
      </c>
      <c r="B611" s="41" t="s">
        <v>647</v>
      </c>
      <c r="C611" s="41" t="s">
        <v>431</v>
      </c>
      <c r="D611" s="41" t="s">
        <v>432</v>
      </c>
      <c r="E611" s="41" t="s">
        <v>433</v>
      </c>
      <c r="F611" s="42">
        <v>20</v>
      </c>
      <c r="G611" s="41" t="s">
        <v>526</v>
      </c>
      <c r="H611" s="43" t="s">
        <v>434</v>
      </c>
      <c r="I611" s="44">
        <v>60</v>
      </c>
      <c r="J611" s="41"/>
      <c r="K611" s="44">
        <v>1000</v>
      </c>
      <c r="L611" s="41" t="s">
        <v>435</v>
      </c>
      <c r="M611" s="44">
        <v>1</v>
      </c>
      <c r="N611" s="43" t="s">
        <v>436</v>
      </c>
    </row>
    <row r="612" spans="1:14" ht="15.75" customHeight="1">
      <c r="A612" s="41" t="s">
        <v>648</v>
      </c>
      <c r="B612" s="41" t="s">
        <v>649</v>
      </c>
      <c r="C612" s="41" t="s">
        <v>424</v>
      </c>
      <c r="D612" s="41" t="s">
        <v>425</v>
      </c>
      <c r="E612" s="41" t="s">
        <v>48</v>
      </c>
      <c r="F612" s="42">
        <v>4</v>
      </c>
      <c r="G612" s="41" t="s">
        <v>11</v>
      </c>
      <c r="H612" s="43" t="s">
        <v>426</v>
      </c>
      <c r="I612" s="44">
        <v>30</v>
      </c>
      <c r="J612" s="44">
        <v>50</v>
      </c>
      <c r="K612" s="41"/>
      <c r="L612" s="45">
        <v>52000</v>
      </c>
      <c r="M612" s="44">
        <v>1</v>
      </c>
      <c r="N612" s="43" t="s">
        <v>383</v>
      </c>
    </row>
    <row r="613" spans="1:14" ht="15.75" customHeight="1">
      <c r="A613" s="41" t="s">
        <v>648</v>
      </c>
      <c r="B613" s="41" t="s">
        <v>649</v>
      </c>
      <c r="C613" s="41" t="s">
        <v>424</v>
      </c>
      <c r="D613" s="41" t="s">
        <v>425</v>
      </c>
      <c r="E613" s="41" t="s">
        <v>48</v>
      </c>
      <c r="F613" s="42">
        <v>5</v>
      </c>
      <c r="G613" s="41" t="s">
        <v>12</v>
      </c>
      <c r="H613" s="43" t="s">
        <v>427</v>
      </c>
      <c r="I613" s="44">
        <v>160</v>
      </c>
      <c r="J613" s="44">
        <v>50</v>
      </c>
      <c r="K613" s="41"/>
      <c r="L613" s="45">
        <v>52000</v>
      </c>
      <c r="M613" s="44">
        <v>1</v>
      </c>
      <c r="N613" s="43" t="s">
        <v>383</v>
      </c>
    </row>
    <row r="614" spans="1:14" ht="15.75" customHeight="1">
      <c r="A614" s="41" t="s">
        <v>648</v>
      </c>
      <c r="B614" s="41" t="s">
        <v>649</v>
      </c>
      <c r="C614" s="41" t="s">
        <v>424</v>
      </c>
      <c r="D614" s="41" t="s">
        <v>425</v>
      </c>
      <c r="E614" s="41" t="s">
        <v>48</v>
      </c>
      <c r="F614" s="42">
        <v>6</v>
      </c>
      <c r="G614" s="41" t="s">
        <v>13</v>
      </c>
      <c r="H614" s="43" t="s">
        <v>427</v>
      </c>
      <c r="I614" s="44">
        <v>40</v>
      </c>
      <c r="J614" s="44">
        <v>50</v>
      </c>
      <c r="K614" s="41"/>
      <c r="L614" s="45">
        <v>52000</v>
      </c>
      <c r="M614" s="44">
        <v>1</v>
      </c>
      <c r="N614" s="43" t="s">
        <v>383</v>
      </c>
    </row>
    <row r="615" spans="1:14" ht="15.75" customHeight="1">
      <c r="A615" s="41" t="s">
        <v>648</v>
      </c>
      <c r="B615" s="41" t="s">
        <v>649</v>
      </c>
      <c r="C615" s="41" t="s">
        <v>424</v>
      </c>
      <c r="D615" s="41" t="s">
        <v>429</v>
      </c>
      <c r="E615" s="41" t="s">
        <v>74</v>
      </c>
      <c r="F615" s="42">
        <v>7</v>
      </c>
      <c r="G615" s="41" t="s">
        <v>11</v>
      </c>
      <c r="H615" s="43" t="s">
        <v>426</v>
      </c>
      <c r="I615" s="44">
        <v>25</v>
      </c>
      <c r="J615" s="44">
        <v>50</v>
      </c>
      <c r="K615" s="41"/>
      <c r="L615" s="45">
        <v>103000</v>
      </c>
      <c r="M615" s="44">
        <v>1</v>
      </c>
      <c r="N615" s="43" t="s">
        <v>383</v>
      </c>
    </row>
    <row r="616" spans="1:14" ht="15.75" customHeight="1">
      <c r="A616" s="41" t="s">
        <v>648</v>
      </c>
      <c r="B616" s="41" t="s">
        <v>649</v>
      </c>
      <c r="C616" s="41" t="s">
        <v>424</v>
      </c>
      <c r="D616" s="41" t="s">
        <v>429</v>
      </c>
      <c r="E616" s="41" t="s">
        <v>74</v>
      </c>
      <c r="F616" s="42">
        <v>8</v>
      </c>
      <c r="G616" s="41" t="s">
        <v>12</v>
      </c>
      <c r="H616" s="43" t="s">
        <v>430</v>
      </c>
      <c r="I616" s="44">
        <v>180</v>
      </c>
      <c r="J616" s="44">
        <v>50</v>
      </c>
      <c r="K616" s="41"/>
      <c r="L616" s="45">
        <v>103000</v>
      </c>
      <c r="M616" s="44">
        <v>1</v>
      </c>
      <c r="N616" s="43" t="s">
        <v>383</v>
      </c>
    </row>
    <row r="617" spans="1:14" ht="15.75" customHeight="1">
      <c r="A617" s="41" t="s">
        <v>648</v>
      </c>
      <c r="B617" s="41" t="s">
        <v>649</v>
      </c>
      <c r="C617" s="41" t="s">
        <v>424</v>
      </c>
      <c r="D617" s="41" t="s">
        <v>429</v>
      </c>
      <c r="E617" s="41" t="s">
        <v>74</v>
      </c>
      <c r="F617" s="42">
        <v>9</v>
      </c>
      <c r="G617" s="41" t="s">
        <v>13</v>
      </c>
      <c r="H617" s="43" t="s">
        <v>430</v>
      </c>
      <c r="I617" s="44">
        <v>40</v>
      </c>
      <c r="J617" s="44">
        <v>50</v>
      </c>
      <c r="K617" s="41"/>
      <c r="L617" s="45">
        <v>103000</v>
      </c>
      <c r="M617" s="44">
        <v>1</v>
      </c>
      <c r="N617" s="43" t="s">
        <v>383</v>
      </c>
    </row>
    <row r="618" spans="1:14" ht="15.75" customHeight="1">
      <c r="A618" s="41" t="s">
        <v>648</v>
      </c>
      <c r="B618" s="41" t="s">
        <v>649</v>
      </c>
      <c r="C618" s="41" t="s">
        <v>431</v>
      </c>
      <c r="D618" s="41" t="s">
        <v>432</v>
      </c>
      <c r="E618" s="41" t="s">
        <v>433</v>
      </c>
      <c r="F618" s="42">
        <v>16</v>
      </c>
      <c r="G618" s="41" t="s">
        <v>484</v>
      </c>
      <c r="H618" s="43" t="s">
        <v>440</v>
      </c>
      <c r="I618" s="44">
        <v>60</v>
      </c>
      <c r="J618" s="41"/>
      <c r="K618" s="44">
        <v>2000</v>
      </c>
      <c r="L618" s="41" t="s">
        <v>435</v>
      </c>
      <c r="M618" s="44">
        <v>1</v>
      </c>
      <c r="N618" s="43" t="s">
        <v>436</v>
      </c>
    </row>
    <row r="619" spans="1:14" ht="15.75" customHeight="1">
      <c r="A619" s="41" t="s">
        <v>648</v>
      </c>
      <c r="B619" s="41" t="s">
        <v>649</v>
      </c>
      <c r="C619" s="41" t="s">
        <v>431</v>
      </c>
      <c r="D619" s="41" t="s">
        <v>432</v>
      </c>
      <c r="E619" s="41" t="s">
        <v>433</v>
      </c>
      <c r="F619" s="42">
        <v>18</v>
      </c>
      <c r="G619" s="41" t="s">
        <v>439</v>
      </c>
      <c r="H619" s="43" t="s">
        <v>440</v>
      </c>
      <c r="I619" s="44">
        <v>60</v>
      </c>
      <c r="J619" s="41"/>
      <c r="K619" s="44">
        <v>1000</v>
      </c>
      <c r="L619" s="41" t="s">
        <v>435</v>
      </c>
      <c r="M619" s="44">
        <v>1</v>
      </c>
      <c r="N619" s="43" t="s">
        <v>436</v>
      </c>
    </row>
    <row r="620" spans="1:14" ht="15.75" customHeight="1">
      <c r="A620" s="41" t="s">
        <v>648</v>
      </c>
      <c r="B620" s="41" t="s">
        <v>649</v>
      </c>
      <c r="C620" s="41" t="s">
        <v>431</v>
      </c>
      <c r="D620" s="41" t="s">
        <v>432</v>
      </c>
      <c r="E620" s="41" t="s">
        <v>433</v>
      </c>
      <c r="F620" s="42">
        <v>19</v>
      </c>
      <c r="G620" s="41" t="s">
        <v>368</v>
      </c>
      <c r="H620" s="43" t="s">
        <v>434</v>
      </c>
      <c r="I620" s="44">
        <v>60</v>
      </c>
      <c r="J620" s="41"/>
      <c r="K620" s="44">
        <v>900</v>
      </c>
      <c r="L620" s="41" t="s">
        <v>435</v>
      </c>
      <c r="M620" s="44">
        <v>4</v>
      </c>
      <c r="N620" s="43" t="s">
        <v>436</v>
      </c>
    </row>
    <row r="621" spans="1:14" ht="15.75" customHeight="1">
      <c r="A621" s="41" t="s">
        <v>650</v>
      </c>
      <c r="B621" s="41" t="s">
        <v>651</v>
      </c>
      <c r="C621" s="41" t="s">
        <v>442</v>
      </c>
      <c r="D621" s="41" t="s">
        <v>448</v>
      </c>
      <c r="E621" s="41" t="s">
        <v>40</v>
      </c>
      <c r="F621" s="42">
        <v>1</v>
      </c>
      <c r="G621" s="41" t="s">
        <v>11</v>
      </c>
      <c r="H621" s="43" t="s">
        <v>426</v>
      </c>
      <c r="I621" s="44">
        <v>50</v>
      </c>
      <c r="J621" s="44">
        <v>200</v>
      </c>
      <c r="K621" s="41"/>
      <c r="L621" s="45">
        <v>390000</v>
      </c>
      <c r="M621" s="44">
        <v>1</v>
      </c>
      <c r="N621" s="43" t="s">
        <v>383</v>
      </c>
    </row>
    <row r="622" spans="1:14" ht="15.75" customHeight="1">
      <c r="A622" s="41" t="s">
        <v>650</v>
      </c>
      <c r="B622" s="41" t="s">
        <v>651</v>
      </c>
      <c r="C622" s="41" t="s">
        <v>442</v>
      </c>
      <c r="D622" s="41" t="s">
        <v>448</v>
      </c>
      <c r="E622" s="41" t="s">
        <v>40</v>
      </c>
      <c r="F622" s="42">
        <v>2</v>
      </c>
      <c r="G622" s="41" t="s">
        <v>12</v>
      </c>
      <c r="H622" s="43" t="s">
        <v>449</v>
      </c>
      <c r="I622" s="44">
        <v>120</v>
      </c>
      <c r="J622" s="44">
        <v>200</v>
      </c>
      <c r="K622" s="41"/>
      <c r="L622" s="45">
        <v>390000</v>
      </c>
      <c r="M622" s="44">
        <v>1</v>
      </c>
      <c r="N622" s="43" t="s">
        <v>383</v>
      </c>
    </row>
    <row r="623" spans="1:14" ht="15.75" customHeight="1">
      <c r="A623" s="41" t="s">
        <v>650</v>
      </c>
      <c r="B623" s="41" t="s">
        <v>651</v>
      </c>
      <c r="C623" s="41" t="s">
        <v>442</v>
      </c>
      <c r="D623" s="41" t="s">
        <v>448</v>
      </c>
      <c r="E623" s="41" t="s">
        <v>40</v>
      </c>
      <c r="F623" s="42">
        <v>3</v>
      </c>
      <c r="G623" s="41" t="s">
        <v>13</v>
      </c>
      <c r="H623" s="43" t="s">
        <v>449</v>
      </c>
      <c r="I623" s="44">
        <v>30</v>
      </c>
      <c r="J623" s="44">
        <v>200</v>
      </c>
      <c r="K623" s="41"/>
      <c r="L623" s="45">
        <v>390000</v>
      </c>
      <c r="M623" s="44">
        <v>1</v>
      </c>
      <c r="N623" s="43" t="s">
        <v>383</v>
      </c>
    </row>
    <row r="624" spans="1:14" ht="15.75" customHeight="1">
      <c r="A624" s="41" t="s">
        <v>650</v>
      </c>
      <c r="B624" s="41" t="s">
        <v>651</v>
      </c>
      <c r="C624" s="41" t="s">
        <v>431</v>
      </c>
      <c r="D624" s="41" t="s">
        <v>432</v>
      </c>
      <c r="E624" s="41" t="s">
        <v>433</v>
      </c>
      <c r="F624" s="42">
        <v>18</v>
      </c>
      <c r="G624" s="41" t="s">
        <v>439</v>
      </c>
      <c r="H624" s="43" t="s">
        <v>440</v>
      </c>
      <c r="I624" s="44">
        <v>60</v>
      </c>
      <c r="J624" s="41"/>
      <c r="K624" s="44">
        <v>750</v>
      </c>
      <c r="L624" s="41" t="s">
        <v>435</v>
      </c>
      <c r="M624" s="44">
        <v>1</v>
      </c>
      <c r="N624" s="43" t="s">
        <v>436</v>
      </c>
    </row>
    <row r="625" spans="1:14" ht="15.75" customHeight="1">
      <c r="A625" s="41" t="s">
        <v>650</v>
      </c>
      <c r="B625" s="41" t="s">
        <v>651</v>
      </c>
      <c r="C625" s="41" t="s">
        <v>431</v>
      </c>
      <c r="D625" s="41" t="s">
        <v>432</v>
      </c>
      <c r="E625" s="41" t="s">
        <v>433</v>
      </c>
      <c r="F625" s="42">
        <v>19</v>
      </c>
      <c r="G625" s="41" t="s">
        <v>368</v>
      </c>
      <c r="H625" s="43" t="s">
        <v>434</v>
      </c>
      <c r="I625" s="44">
        <v>60</v>
      </c>
      <c r="J625" s="41"/>
      <c r="K625" s="44">
        <v>700</v>
      </c>
      <c r="L625" s="41" t="s">
        <v>435</v>
      </c>
      <c r="M625" s="44">
        <v>4</v>
      </c>
      <c r="N625" s="43" t="s">
        <v>436</v>
      </c>
    </row>
    <row r="626" spans="1:14" ht="15.75" customHeight="1">
      <c r="A626" s="41" t="s">
        <v>652</v>
      </c>
      <c r="B626" s="41" t="s">
        <v>653</v>
      </c>
      <c r="C626" s="41" t="s">
        <v>442</v>
      </c>
      <c r="D626" s="41" t="s">
        <v>448</v>
      </c>
      <c r="E626" s="41" t="s">
        <v>40</v>
      </c>
      <c r="F626" s="42">
        <v>1</v>
      </c>
      <c r="G626" s="41" t="s">
        <v>11</v>
      </c>
      <c r="H626" s="43" t="s">
        <v>426</v>
      </c>
      <c r="I626" s="44">
        <v>70</v>
      </c>
      <c r="J626" s="44">
        <v>230</v>
      </c>
      <c r="K626" s="41"/>
      <c r="L626" s="45">
        <v>400000</v>
      </c>
      <c r="M626" s="44">
        <v>1</v>
      </c>
      <c r="N626" s="43" t="s">
        <v>383</v>
      </c>
    </row>
    <row r="627" spans="1:14" ht="15.75" customHeight="1">
      <c r="A627" s="41" t="s">
        <v>652</v>
      </c>
      <c r="B627" s="41" t="s">
        <v>653</v>
      </c>
      <c r="C627" s="41" t="s">
        <v>442</v>
      </c>
      <c r="D627" s="41" t="s">
        <v>448</v>
      </c>
      <c r="E627" s="41" t="s">
        <v>40</v>
      </c>
      <c r="F627" s="42">
        <v>2</v>
      </c>
      <c r="G627" s="41" t="s">
        <v>12</v>
      </c>
      <c r="H627" s="43" t="s">
        <v>449</v>
      </c>
      <c r="I627" s="44">
        <v>130</v>
      </c>
      <c r="J627" s="44">
        <v>230</v>
      </c>
      <c r="K627" s="41"/>
      <c r="L627" s="45">
        <v>400000</v>
      </c>
      <c r="M627" s="44">
        <v>1</v>
      </c>
      <c r="N627" s="43" t="s">
        <v>383</v>
      </c>
    </row>
    <row r="628" spans="1:14" ht="15.75" customHeight="1">
      <c r="A628" s="41" t="s">
        <v>652</v>
      </c>
      <c r="B628" s="41" t="s">
        <v>653</v>
      </c>
      <c r="C628" s="41" t="s">
        <v>442</v>
      </c>
      <c r="D628" s="41" t="s">
        <v>448</v>
      </c>
      <c r="E628" s="41" t="s">
        <v>40</v>
      </c>
      <c r="F628" s="42">
        <v>3</v>
      </c>
      <c r="G628" s="41" t="s">
        <v>13</v>
      </c>
      <c r="H628" s="43" t="s">
        <v>449</v>
      </c>
      <c r="I628" s="44">
        <v>30</v>
      </c>
      <c r="J628" s="44">
        <v>230</v>
      </c>
      <c r="K628" s="41"/>
      <c r="L628" s="45">
        <v>400000</v>
      </c>
      <c r="M628" s="44">
        <v>1</v>
      </c>
      <c r="N628" s="43" t="s">
        <v>383</v>
      </c>
    </row>
    <row r="629" spans="1:14" ht="15.75" customHeight="1">
      <c r="A629" s="41" t="s">
        <v>652</v>
      </c>
      <c r="B629" s="41" t="s">
        <v>653</v>
      </c>
      <c r="C629" s="41" t="s">
        <v>431</v>
      </c>
      <c r="D629" s="41" t="s">
        <v>432</v>
      </c>
      <c r="E629" s="41" t="s">
        <v>433</v>
      </c>
      <c r="F629" s="42">
        <v>18</v>
      </c>
      <c r="G629" s="41" t="s">
        <v>439</v>
      </c>
      <c r="H629" s="43" t="s">
        <v>440</v>
      </c>
      <c r="I629" s="44">
        <v>60</v>
      </c>
      <c r="J629" s="41"/>
      <c r="K629" s="44">
        <v>650</v>
      </c>
      <c r="L629" s="41" t="s">
        <v>435</v>
      </c>
      <c r="M629" s="44">
        <v>1</v>
      </c>
      <c r="N629" s="43" t="s">
        <v>436</v>
      </c>
    </row>
    <row r="630" spans="1:14" ht="15.75" customHeight="1">
      <c r="A630" s="41" t="s">
        <v>652</v>
      </c>
      <c r="B630" s="41" t="s">
        <v>653</v>
      </c>
      <c r="C630" s="41" t="s">
        <v>431</v>
      </c>
      <c r="D630" s="41" t="s">
        <v>432</v>
      </c>
      <c r="E630" s="41" t="s">
        <v>433</v>
      </c>
      <c r="F630" s="42">
        <v>19</v>
      </c>
      <c r="G630" s="41" t="s">
        <v>368</v>
      </c>
      <c r="H630" s="43" t="s">
        <v>434</v>
      </c>
      <c r="I630" s="44">
        <v>60</v>
      </c>
      <c r="J630" s="41"/>
      <c r="K630" s="44">
        <v>670</v>
      </c>
      <c r="L630" s="41" t="s">
        <v>435</v>
      </c>
      <c r="M630" s="44">
        <v>4</v>
      </c>
      <c r="N630" s="43" t="s">
        <v>436</v>
      </c>
    </row>
    <row r="631" spans="1:14" ht="15.75" customHeight="1">
      <c r="A631" s="41" t="s">
        <v>654</v>
      </c>
      <c r="B631" s="41" t="s">
        <v>655</v>
      </c>
      <c r="C631" s="41" t="s">
        <v>424</v>
      </c>
      <c r="D631" s="41" t="s">
        <v>429</v>
      </c>
      <c r="E631" s="41" t="s">
        <v>74</v>
      </c>
      <c r="F631" s="42">
        <v>7</v>
      </c>
      <c r="G631" s="41" t="s">
        <v>11</v>
      </c>
      <c r="H631" s="43" t="s">
        <v>426</v>
      </c>
      <c r="I631" s="44">
        <v>60</v>
      </c>
      <c r="J631" s="44">
        <v>49.3</v>
      </c>
      <c r="K631" s="41"/>
      <c r="L631" s="45">
        <v>103000</v>
      </c>
      <c r="M631" s="44">
        <v>1</v>
      </c>
      <c r="N631" s="43" t="s">
        <v>383</v>
      </c>
    </row>
    <row r="632" spans="1:14" ht="15.75" customHeight="1">
      <c r="A632" s="41" t="s">
        <v>654</v>
      </c>
      <c r="B632" s="41" t="s">
        <v>655</v>
      </c>
      <c r="C632" s="41" t="s">
        <v>424</v>
      </c>
      <c r="D632" s="41" t="s">
        <v>429</v>
      </c>
      <c r="E632" s="41" t="s">
        <v>74</v>
      </c>
      <c r="F632" s="42">
        <v>8</v>
      </c>
      <c r="G632" s="41" t="s">
        <v>12</v>
      </c>
      <c r="H632" s="43" t="s">
        <v>430</v>
      </c>
      <c r="I632" s="44">
        <v>165</v>
      </c>
      <c r="J632" s="44">
        <v>49.3</v>
      </c>
      <c r="K632" s="41"/>
      <c r="L632" s="45">
        <v>103000</v>
      </c>
      <c r="M632" s="44">
        <v>1</v>
      </c>
      <c r="N632" s="43" t="s">
        <v>383</v>
      </c>
    </row>
    <row r="633" spans="1:14" ht="15.75" customHeight="1">
      <c r="A633" s="41" t="s">
        <v>654</v>
      </c>
      <c r="B633" s="41" t="s">
        <v>655</v>
      </c>
      <c r="C633" s="41" t="s">
        <v>424</v>
      </c>
      <c r="D633" s="41" t="s">
        <v>429</v>
      </c>
      <c r="E633" s="41" t="s">
        <v>74</v>
      </c>
      <c r="F633" s="42">
        <v>9</v>
      </c>
      <c r="G633" s="41" t="s">
        <v>13</v>
      </c>
      <c r="H633" s="43" t="s">
        <v>430</v>
      </c>
      <c r="I633" s="44">
        <v>40</v>
      </c>
      <c r="J633" s="44">
        <v>49.3</v>
      </c>
      <c r="K633" s="41"/>
      <c r="L633" s="45">
        <v>103000</v>
      </c>
      <c r="M633" s="44">
        <v>1</v>
      </c>
      <c r="N633" s="43" t="s">
        <v>383</v>
      </c>
    </row>
    <row r="634" spans="1:14" ht="15.75" customHeight="1">
      <c r="A634" s="41" t="s">
        <v>654</v>
      </c>
      <c r="B634" s="41" t="s">
        <v>655</v>
      </c>
      <c r="C634" s="41" t="s">
        <v>424</v>
      </c>
      <c r="D634" s="41" t="s">
        <v>425</v>
      </c>
      <c r="E634" s="41" t="s">
        <v>48</v>
      </c>
      <c r="F634" s="42">
        <v>4</v>
      </c>
      <c r="G634" s="41" t="s">
        <v>11</v>
      </c>
      <c r="H634" s="43" t="s">
        <v>426</v>
      </c>
      <c r="I634" s="44">
        <v>30</v>
      </c>
      <c r="J634" s="44">
        <v>49.3</v>
      </c>
      <c r="K634" s="41"/>
      <c r="L634" s="45">
        <v>52000</v>
      </c>
      <c r="M634" s="44">
        <v>1</v>
      </c>
      <c r="N634" s="43" t="s">
        <v>383</v>
      </c>
    </row>
    <row r="635" spans="1:14" ht="15.75" customHeight="1">
      <c r="A635" s="41" t="s">
        <v>654</v>
      </c>
      <c r="B635" s="41" t="s">
        <v>655</v>
      </c>
      <c r="C635" s="41" t="s">
        <v>424</v>
      </c>
      <c r="D635" s="41" t="s">
        <v>425</v>
      </c>
      <c r="E635" s="41" t="s">
        <v>48</v>
      </c>
      <c r="F635" s="42">
        <v>5</v>
      </c>
      <c r="G635" s="41" t="s">
        <v>12</v>
      </c>
      <c r="H635" s="43" t="s">
        <v>427</v>
      </c>
      <c r="I635" s="44">
        <v>140</v>
      </c>
      <c r="J635" s="44">
        <v>49.3</v>
      </c>
      <c r="K635" s="41"/>
      <c r="L635" s="45">
        <v>52000</v>
      </c>
      <c r="M635" s="44">
        <v>1</v>
      </c>
      <c r="N635" s="43" t="s">
        <v>383</v>
      </c>
    </row>
    <row r="636" spans="1:14" ht="15.75" customHeight="1">
      <c r="A636" s="41" t="s">
        <v>654</v>
      </c>
      <c r="B636" s="41" t="s">
        <v>655</v>
      </c>
      <c r="C636" s="41" t="s">
        <v>424</v>
      </c>
      <c r="D636" s="41" t="s">
        <v>425</v>
      </c>
      <c r="E636" s="41" t="s">
        <v>48</v>
      </c>
      <c r="F636" s="42">
        <v>6</v>
      </c>
      <c r="G636" s="41" t="s">
        <v>13</v>
      </c>
      <c r="H636" s="43" t="s">
        <v>427</v>
      </c>
      <c r="I636" s="44">
        <v>40</v>
      </c>
      <c r="J636" s="44">
        <v>49.3</v>
      </c>
      <c r="K636" s="41"/>
      <c r="L636" s="45">
        <v>52000</v>
      </c>
      <c r="M636" s="44">
        <v>1</v>
      </c>
      <c r="N636" s="43" t="s">
        <v>383</v>
      </c>
    </row>
    <row r="637" spans="1:14" ht="15.75" customHeight="1">
      <c r="A637" s="41" t="s">
        <v>654</v>
      </c>
      <c r="B637" s="41" t="s">
        <v>655</v>
      </c>
      <c r="C637" s="41" t="s">
        <v>431</v>
      </c>
      <c r="D637" s="41" t="s">
        <v>432</v>
      </c>
      <c r="E637" s="41" t="s">
        <v>433</v>
      </c>
      <c r="F637" s="42">
        <v>18</v>
      </c>
      <c r="G637" s="41" t="s">
        <v>439</v>
      </c>
      <c r="H637" s="43" t="s">
        <v>440</v>
      </c>
      <c r="I637" s="44">
        <v>60</v>
      </c>
      <c r="J637" s="41"/>
      <c r="K637" s="44">
        <v>800</v>
      </c>
      <c r="L637" s="41" t="s">
        <v>435</v>
      </c>
      <c r="M637" s="44">
        <v>1</v>
      </c>
      <c r="N637" s="43" t="s">
        <v>436</v>
      </c>
    </row>
    <row r="638" spans="1:14" ht="15.75" customHeight="1">
      <c r="A638" s="41" t="s">
        <v>654</v>
      </c>
      <c r="B638" s="41" t="s">
        <v>655</v>
      </c>
      <c r="C638" s="41" t="s">
        <v>431</v>
      </c>
      <c r="D638" s="41" t="s">
        <v>432</v>
      </c>
      <c r="E638" s="41" t="s">
        <v>433</v>
      </c>
      <c r="F638" s="42">
        <v>19</v>
      </c>
      <c r="G638" s="41" t="s">
        <v>368</v>
      </c>
      <c r="H638" s="43" t="s">
        <v>434</v>
      </c>
      <c r="I638" s="44">
        <v>60</v>
      </c>
      <c r="J638" s="41"/>
      <c r="K638" s="44">
        <v>1000</v>
      </c>
      <c r="L638" s="41" t="s">
        <v>435</v>
      </c>
      <c r="M638" s="44">
        <v>4</v>
      </c>
      <c r="N638" s="43" t="s">
        <v>436</v>
      </c>
    </row>
    <row r="639" spans="1:14" ht="15.75" customHeight="1">
      <c r="A639" s="41" t="s">
        <v>656</v>
      </c>
      <c r="B639" s="41" t="s">
        <v>657</v>
      </c>
      <c r="C639" s="41" t="s">
        <v>424</v>
      </c>
      <c r="D639" s="41" t="s">
        <v>425</v>
      </c>
      <c r="E639" s="41" t="s">
        <v>48</v>
      </c>
      <c r="F639" s="42">
        <v>4</v>
      </c>
      <c r="G639" s="41" t="s">
        <v>11</v>
      </c>
      <c r="H639" s="43" t="s">
        <v>426</v>
      </c>
      <c r="I639" s="44">
        <v>50</v>
      </c>
      <c r="J639" s="44">
        <v>47.7</v>
      </c>
      <c r="K639" s="41"/>
      <c r="L639" s="45">
        <v>52000</v>
      </c>
      <c r="M639" s="44">
        <v>1</v>
      </c>
      <c r="N639" s="43" t="s">
        <v>383</v>
      </c>
    </row>
    <row r="640" spans="1:14" ht="15.75" customHeight="1">
      <c r="A640" s="41" t="s">
        <v>656</v>
      </c>
      <c r="B640" s="41" t="s">
        <v>657</v>
      </c>
      <c r="C640" s="41" t="s">
        <v>424</v>
      </c>
      <c r="D640" s="41" t="s">
        <v>425</v>
      </c>
      <c r="E640" s="41" t="s">
        <v>48</v>
      </c>
      <c r="F640" s="42">
        <v>5</v>
      </c>
      <c r="G640" s="41" t="s">
        <v>12</v>
      </c>
      <c r="H640" s="43" t="s">
        <v>427</v>
      </c>
      <c r="I640" s="44">
        <v>130</v>
      </c>
      <c r="J640" s="44">
        <v>47.7</v>
      </c>
      <c r="K640" s="41"/>
      <c r="L640" s="45">
        <v>52000</v>
      </c>
      <c r="M640" s="44">
        <v>1</v>
      </c>
      <c r="N640" s="43" t="s">
        <v>383</v>
      </c>
    </row>
    <row r="641" spans="1:14" ht="15.75" customHeight="1">
      <c r="A641" s="41" t="s">
        <v>656</v>
      </c>
      <c r="B641" s="41" t="s">
        <v>657</v>
      </c>
      <c r="C641" s="41" t="s">
        <v>424</v>
      </c>
      <c r="D641" s="41" t="s">
        <v>425</v>
      </c>
      <c r="E641" s="41" t="s">
        <v>48</v>
      </c>
      <c r="F641" s="42">
        <v>6</v>
      </c>
      <c r="G641" s="41" t="s">
        <v>13</v>
      </c>
      <c r="H641" s="43" t="s">
        <v>427</v>
      </c>
      <c r="I641" s="44">
        <v>40</v>
      </c>
      <c r="J641" s="44">
        <v>47.7</v>
      </c>
      <c r="K641" s="41"/>
      <c r="L641" s="45">
        <v>52000</v>
      </c>
      <c r="M641" s="44">
        <v>1</v>
      </c>
      <c r="N641" s="43" t="s">
        <v>383</v>
      </c>
    </row>
    <row r="642" spans="1:14" ht="15.75" customHeight="1">
      <c r="A642" s="41" t="s">
        <v>656</v>
      </c>
      <c r="B642" s="41" t="s">
        <v>657</v>
      </c>
      <c r="C642" s="41" t="s">
        <v>431</v>
      </c>
      <c r="D642" s="41" t="s">
        <v>432</v>
      </c>
      <c r="E642" s="41" t="s">
        <v>433</v>
      </c>
      <c r="F642" s="42">
        <v>18</v>
      </c>
      <c r="G642" s="41" t="s">
        <v>439</v>
      </c>
      <c r="H642" s="43" t="s">
        <v>440</v>
      </c>
      <c r="I642" s="44">
        <v>60</v>
      </c>
      <c r="J642" s="41"/>
      <c r="K642" s="44">
        <v>680</v>
      </c>
      <c r="L642" s="41" t="s">
        <v>435</v>
      </c>
      <c r="M642" s="44">
        <v>1</v>
      </c>
      <c r="N642" s="43" t="s">
        <v>436</v>
      </c>
    </row>
    <row r="643" spans="1:14" ht="15.75" customHeight="1">
      <c r="A643" s="41" t="s">
        <v>656</v>
      </c>
      <c r="B643" s="41" t="s">
        <v>657</v>
      </c>
      <c r="C643" s="41" t="s">
        <v>431</v>
      </c>
      <c r="D643" s="41" t="s">
        <v>432</v>
      </c>
      <c r="E643" s="41" t="s">
        <v>433</v>
      </c>
      <c r="F643" s="42">
        <v>19</v>
      </c>
      <c r="G643" s="41" t="s">
        <v>368</v>
      </c>
      <c r="H643" s="43" t="s">
        <v>434</v>
      </c>
      <c r="I643" s="44">
        <v>60</v>
      </c>
      <c r="J643" s="41"/>
      <c r="K643" s="44">
        <v>880</v>
      </c>
      <c r="L643" s="41" t="s">
        <v>435</v>
      </c>
      <c r="M643" s="44">
        <v>4</v>
      </c>
      <c r="N643" s="43" t="s">
        <v>436</v>
      </c>
    </row>
    <row r="644" spans="1:14" ht="15.75" customHeight="1">
      <c r="A644" s="41" t="s">
        <v>658</v>
      </c>
      <c r="B644" s="41" t="s">
        <v>193</v>
      </c>
      <c r="C644" s="41" t="s">
        <v>442</v>
      </c>
      <c r="D644" s="41" t="s">
        <v>443</v>
      </c>
      <c r="E644" s="41" t="s">
        <v>33</v>
      </c>
      <c r="F644" s="42">
        <v>10</v>
      </c>
      <c r="G644" s="41" t="s">
        <v>11</v>
      </c>
      <c r="H644" s="43" t="s">
        <v>426</v>
      </c>
      <c r="I644" s="44">
        <v>20</v>
      </c>
      <c r="J644" s="44">
        <v>10.1</v>
      </c>
      <c r="K644" s="41"/>
      <c r="L644" s="45">
        <v>103000</v>
      </c>
      <c r="M644" s="44">
        <v>1</v>
      </c>
      <c r="N644" s="43" t="s">
        <v>383</v>
      </c>
    </row>
    <row r="645" spans="1:14" ht="15.75" customHeight="1">
      <c r="A645" s="41" t="s">
        <v>658</v>
      </c>
      <c r="B645" s="41" t="s">
        <v>193</v>
      </c>
      <c r="C645" s="41" t="s">
        <v>442</v>
      </c>
      <c r="D645" s="41" t="s">
        <v>443</v>
      </c>
      <c r="E645" s="41" t="s">
        <v>33</v>
      </c>
      <c r="F645" s="42">
        <v>11</v>
      </c>
      <c r="G645" s="41" t="s">
        <v>12</v>
      </c>
      <c r="H645" s="43" t="s">
        <v>444</v>
      </c>
      <c r="I645" s="44">
        <v>110</v>
      </c>
      <c r="J645" s="44">
        <v>10.1</v>
      </c>
      <c r="K645" s="41"/>
      <c r="L645" s="45">
        <v>103000</v>
      </c>
      <c r="M645" s="44">
        <v>1</v>
      </c>
      <c r="N645" s="43" t="s">
        <v>383</v>
      </c>
    </row>
    <row r="646" spans="1:14" ht="15.75" customHeight="1">
      <c r="A646" s="41" t="s">
        <v>658</v>
      </c>
      <c r="B646" s="41" t="s">
        <v>193</v>
      </c>
      <c r="C646" s="41" t="s">
        <v>442</v>
      </c>
      <c r="D646" s="41" t="s">
        <v>443</v>
      </c>
      <c r="E646" s="41" t="s">
        <v>33</v>
      </c>
      <c r="F646" s="42">
        <v>12</v>
      </c>
      <c r="G646" s="41" t="s">
        <v>13</v>
      </c>
      <c r="H646" s="43" t="s">
        <v>444</v>
      </c>
      <c r="I646" s="44">
        <v>20</v>
      </c>
      <c r="J646" s="44">
        <v>10.1</v>
      </c>
      <c r="K646" s="41"/>
      <c r="L646" s="45">
        <v>103000</v>
      </c>
      <c r="M646" s="44">
        <v>1</v>
      </c>
      <c r="N646" s="43" t="s">
        <v>383</v>
      </c>
    </row>
    <row r="647" spans="1:14" ht="15.75" customHeight="1">
      <c r="A647" s="41" t="s">
        <v>658</v>
      </c>
      <c r="B647" s="41" t="s">
        <v>193</v>
      </c>
      <c r="C647" s="41" t="s">
        <v>431</v>
      </c>
      <c r="D647" s="41" t="s">
        <v>432</v>
      </c>
      <c r="E647" s="41" t="s">
        <v>433</v>
      </c>
      <c r="F647" s="42">
        <v>19</v>
      </c>
      <c r="G647" s="41" t="s">
        <v>368</v>
      </c>
      <c r="H647" s="43" t="s">
        <v>434</v>
      </c>
      <c r="I647" s="44">
        <v>60</v>
      </c>
      <c r="J647" s="41"/>
      <c r="K647" s="44">
        <v>1050</v>
      </c>
      <c r="L647" s="41" t="s">
        <v>435</v>
      </c>
      <c r="M647" s="44">
        <v>4</v>
      </c>
      <c r="N647" s="43" t="s">
        <v>436</v>
      </c>
    </row>
    <row r="648" spans="1:14" ht="15.75" customHeight="1">
      <c r="A648" s="41" t="s">
        <v>659</v>
      </c>
      <c r="B648" s="41" t="s">
        <v>188</v>
      </c>
      <c r="C648" s="41" t="s">
        <v>442</v>
      </c>
      <c r="D648" s="41" t="s">
        <v>443</v>
      </c>
      <c r="E648" s="41" t="s">
        <v>33</v>
      </c>
      <c r="F648" s="42">
        <v>10</v>
      </c>
      <c r="G648" s="41" t="s">
        <v>11</v>
      </c>
      <c r="H648" s="43" t="s">
        <v>426</v>
      </c>
      <c r="I648" s="44">
        <v>20</v>
      </c>
      <c r="J648" s="44">
        <v>29.7</v>
      </c>
      <c r="K648" s="41"/>
      <c r="L648" s="45">
        <v>103000</v>
      </c>
      <c r="M648" s="44">
        <v>1</v>
      </c>
      <c r="N648" s="43" t="s">
        <v>383</v>
      </c>
    </row>
    <row r="649" spans="1:14" ht="15.75" customHeight="1">
      <c r="A649" s="41" t="s">
        <v>659</v>
      </c>
      <c r="B649" s="41" t="s">
        <v>188</v>
      </c>
      <c r="C649" s="41" t="s">
        <v>442</v>
      </c>
      <c r="D649" s="41" t="s">
        <v>443</v>
      </c>
      <c r="E649" s="41" t="s">
        <v>33</v>
      </c>
      <c r="F649" s="42">
        <v>11</v>
      </c>
      <c r="G649" s="41" t="s">
        <v>12</v>
      </c>
      <c r="H649" s="43" t="s">
        <v>444</v>
      </c>
      <c r="I649" s="44">
        <v>110</v>
      </c>
      <c r="J649" s="44">
        <v>29.7</v>
      </c>
      <c r="K649" s="41"/>
      <c r="L649" s="45">
        <v>103000</v>
      </c>
      <c r="M649" s="44">
        <v>1</v>
      </c>
      <c r="N649" s="43" t="s">
        <v>383</v>
      </c>
    </row>
    <row r="650" spans="1:14" ht="15.75" customHeight="1">
      <c r="A650" s="41" t="s">
        <v>659</v>
      </c>
      <c r="B650" s="41" t="s">
        <v>188</v>
      </c>
      <c r="C650" s="41" t="s">
        <v>442</v>
      </c>
      <c r="D650" s="41" t="s">
        <v>443</v>
      </c>
      <c r="E650" s="41" t="s">
        <v>33</v>
      </c>
      <c r="F650" s="42">
        <v>12</v>
      </c>
      <c r="G650" s="41" t="s">
        <v>13</v>
      </c>
      <c r="H650" s="43" t="s">
        <v>444</v>
      </c>
      <c r="I650" s="44">
        <v>20</v>
      </c>
      <c r="J650" s="44">
        <v>29.7</v>
      </c>
      <c r="K650" s="41"/>
      <c r="L650" s="45">
        <v>103000</v>
      </c>
      <c r="M650" s="44">
        <v>1</v>
      </c>
      <c r="N650" s="43" t="s">
        <v>383</v>
      </c>
    </row>
    <row r="651" spans="1:14" ht="15.75" customHeight="1">
      <c r="A651" s="41" t="s">
        <v>659</v>
      </c>
      <c r="B651" s="41" t="s">
        <v>188</v>
      </c>
      <c r="C651" s="41" t="s">
        <v>431</v>
      </c>
      <c r="D651" s="41" t="s">
        <v>432</v>
      </c>
      <c r="E651" s="41" t="s">
        <v>433</v>
      </c>
      <c r="F651" s="42">
        <v>18</v>
      </c>
      <c r="G651" s="41" t="s">
        <v>439</v>
      </c>
      <c r="H651" s="43" t="s">
        <v>440</v>
      </c>
      <c r="I651" s="44">
        <v>60</v>
      </c>
      <c r="J651" s="41"/>
      <c r="K651" s="44">
        <v>600</v>
      </c>
      <c r="L651" s="41" t="s">
        <v>435</v>
      </c>
      <c r="M651" s="44">
        <v>1</v>
      </c>
      <c r="N651" s="43" t="s">
        <v>436</v>
      </c>
    </row>
    <row r="652" spans="1:14" ht="15.75" customHeight="1">
      <c r="A652" s="41" t="s">
        <v>659</v>
      </c>
      <c r="B652" s="41" t="s">
        <v>188</v>
      </c>
      <c r="C652" s="41" t="s">
        <v>431</v>
      </c>
      <c r="D652" s="41" t="s">
        <v>432</v>
      </c>
      <c r="E652" s="41" t="s">
        <v>433</v>
      </c>
      <c r="F652" s="42">
        <v>19</v>
      </c>
      <c r="G652" s="41" t="s">
        <v>368</v>
      </c>
      <c r="H652" s="43" t="s">
        <v>434</v>
      </c>
      <c r="I652" s="44">
        <v>60</v>
      </c>
      <c r="J652" s="41"/>
      <c r="K652" s="44">
        <v>1200</v>
      </c>
      <c r="L652" s="41" t="s">
        <v>435</v>
      </c>
      <c r="M652" s="44">
        <v>4</v>
      </c>
      <c r="N652" s="43" t="s">
        <v>436</v>
      </c>
    </row>
    <row r="653" spans="1:14" ht="15.75" customHeight="1">
      <c r="A653" s="41" t="s">
        <v>660</v>
      </c>
      <c r="B653" s="41" t="s">
        <v>661</v>
      </c>
      <c r="C653" s="41" t="s">
        <v>442</v>
      </c>
      <c r="D653" s="41" t="s">
        <v>448</v>
      </c>
      <c r="E653" s="41" t="s">
        <v>40</v>
      </c>
      <c r="F653" s="42">
        <v>2</v>
      </c>
      <c r="G653" s="41" t="s">
        <v>12</v>
      </c>
      <c r="H653" s="43" t="s">
        <v>449</v>
      </c>
      <c r="I653" s="44">
        <v>390</v>
      </c>
      <c r="J653" s="44">
        <v>102.3</v>
      </c>
      <c r="K653" s="41"/>
      <c r="L653" s="45">
        <v>412000</v>
      </c>
      <c r="M653" s="44">
        <v>1</v>
      </c>
      <c r="N653" s="43" t="s">
        <v>383</v>
      </c>
    </row>
    <row r="654" spans="1:14" ht="15.75" customHeight="1">
      <c r="A654" s="41" t="s">
        <v>660</v>
      </c>
      <c r="B654" s="41" t="s">
        <v>661</v>
      </c>
      <c r="C654" s="41" t="s">
        <v>442</v>
      </c>
      <c r="D654" s="41" t="s">
        <v>448</v>
      </c>
      <c r="E654" s="41" t="s">
        <v>40</v>
      </c>
      <c r="F654" s="42">
        <v>3</v>
      </c>
      <c r="G654" s="41" t="s">
        <v>13</v>
      </c>
      <c r="H654" s="43" t="s">
        <v>449</v>
      </c>
      <c r="I654" s="44">
        <v>60</v>
      </c>
      <c r="J654" s="44">
        <v>102.3</v>
      </c>
      <c r="K654" s="41"/>
      <c r="L654" s="45">
        <v>412000</v>
      </c>
      <c r="M654" s="44">
        <v>1</v>
      </c>
      <c r="N654" s="43" t="s">
        <v>383</v>
      </c>
    </row>
    <row r="655" spans="1:14" ht="15.75" customHeight="1">
      <c r="A655" s="41" t="s">
        <v>660</v>
      </c>
      <c r="B655" s="41" t="s">
        <v>661</v>
      </c>
      <c r="C655" s="41" t="s">
        <v>431</v>
      </c>
      <c r="D655" s="41" t="s">
        <v>432</v>
      </c>
      <c r="E655" s="41" t="s">
        <v>433</v>
      </c>
      <c r="F655" s="42">
        <v>19</v>
      </c>
      <c r="G655" s="41" t="s">
        <v>368</v>
      </c>
      <c r="H655" s="43" t="s">
        <v>434</v>
      </c>
      <c r="I655" s="44">
        <v>60</v>
      </c>
      <c r="J655" s="41"/>
      <c r="K655" s="44">
        <v>520</v>
      </c>
      <c r="L655" s="41" t="s">
        <v>435</v>
      </c>
      <c r="M655" s="44">
        <v>4</v>
      </c>
      <c r="N655" s="43" t="s">
        <v>436</v>
      </c>
    </row>
    <row r="656" spans="1:14" ht="15.75" customHeight="1">
      <c r="A656" s="41" t="s">
        <v>662</v>
      </c>
      <c r="B656" s="41" t="s">
        <v>663</v>
      </c>
      <c r="C656" s="41" t="s">
        <v>442</v>
      </c>
      <c r="D656" s="41" t="s">
        <v>448</v>
      </c>
      <c r="E656" s="41" t="s">
        <v>40</v>
      </c>
      <c r="F656" s="42">
        <v>1</v>
      </c>
      <c r="G656" s="41" t="s">
        <v>11</v>
      </c>
      <c r="H656" s="43" t="s">
        <v>426</v>
      </c>
      <c r="I656" s="44">
        <v>25</v>
      </c>
      <c r="J656" s="44">
        <v>303</v>
      </c>
      <c r="K656" s="41"/>
      <c r="L656" s="45">
        <v>400000</v>
      </c>
      <c r="M656" s="44">
        <v>1</v>
      </c>
      <c r="N656" s="43" t="s">
        <v>383</v>
      </c>
    </row>
    <row r="657" spans="1:14" ht="15.75" customHeight="1">
      <c r="A657" s="41" t="s">
        <v>662</v>
      </c>
      <c r="B657" s="41" t="s">
        <v>663</v>
      </c>
      <c r="C657" s="41" t="s">
        <v>442</v>
      </c>
      <c r="D657" s="41" t="s">
        <v>448</v>
      </c>
      <c r="E657" s="41" t="s">
        <v>40</v>
      </c>
      <c r="F657" s="42">
        <v>2</v>
      </c>
      <c r="G657" s="41" t="s">
        <v>12</v>
      </c>
      <c r="H657" s="43" t="s">
        <v>449</v>
      </c>
      <c r="I657" s="44">
        <v>180</v>
      </c>
      <c r="J657" s="44">
        <v>303</v>
      </c>
      <c r="K657" s="41"/>
      <c r="L657" s="45">
        <v>400000</v>
      </c>
      <c r="M657" s="44">
        <v>1</v>
      </c>
      <c r="N657" s="43" t="s">
        <v>383</v>
      </c>
    </row>
    <row r="658" spans="1:14" ht="15.75" customHeight="1">
      <c r="A658" s="41" t="s">
        <v>662</v>
      </c>
      <c r="B658" s="41" t="s">
        <v>663</v>
      </c>
      <c r="C658" s="41" t="s">
        <v>442</v>
      </c>
      <c r="D658" s="41" t="s">
        <v>448</v>
      </c>
      <c r="E658" s="41" t="s">
        <v>40</v>
      </c>
      <c r="F658" s="42">
        <v>3</v>
      </c>
      <c r="G658" s="41" t="s">
        <v>13</v>
      </c>
      <c r="H658" s="43" t="s">
        <v>449</v>
      </c>
      <c r="I658" s="44">
        <v>30</v>
      </c>
      <c r="J658" s="44">
        <v>303</v>
      </c>
      <c r="K658" s="41"/>
      <c r="L658" s="45">
        <v>400000</v>
      </c>
      <c r="M658" s="44">
        <v>1</v>
      </c>
      <c r="N658" s="43" t="s">
        <v>383</v>
      </c>
    </row>
    <row r="659" spans="1:14" ht="15.75" customHeight="1">
      <c r="A659" s="41" t="s">
        <v>662</v>
      </c>
      <c r="B659" s="41" t="s">
        <v>663</v>
      </c>
      <c r="C659" s="41" t="s">
        <v>431</v>
      </c>
      <c r="D659" s="41" t="s">
        <v>432</v>
      </c>
      <c r="E659" s="41" t="s">
        <v>433</v>
      </c>
      <c r="F659" s="42">
        <v>18</v>
      </c>
      <c r="G659" s="41" t="s">
        <v>439</v>
      </c>
      <c r="H659" s="43" t="s">
        <v>440</v>
      </c>
      <c r="I659" s="44">
        <v>60</v>
      </c>
      <c r="J659" s="41"/>
      <c r="K659" s="44">
        <v>860</v>
      </c>
      <c r="L659" s="41" t="s">
        <v>435</v>
      </c>
      <c r="M659" s="44">
        <v>1</v>
      </c>
      <c r="N659" s="43" t="s">
        <v>436</v>
      </c>
    </row>
    <row r="660" spans="1:14" ht="15.75" customHeight="1">
      <c r="A660" s="41" t="s">
        <v>662</v>
      </c>
      <c r="B660" s="41" t="s">
        <v>663</v>
      </c>
      <c r="C660" s="41" t="s">
        <v>431</v>
      </c>
      <c r="D660" s="41" t="s">
        <v>432</v>
      </c>
      <c r="E660" s="41" t="s">
        <v>433</v>
      </c>
      <c r="F660" s="42">
        <v>19</v>
      </c>
      <c r="G660" s="41" t="s">
        <v>368</v>
      </c>
      <c r="H660" s="43" t="s">
        <v>434</v>
      </c>
      <c r="I660" s="44">
        <v>60</v>
      </c>
      <c r="J660" s="41"/>
      <c r="K660" s="44">
        <v>500</v>
      </c>
      <c r="L660" s="41" t="s">
        <v>435</v>
      </c>
      <c r="M660" s="44">
        <v>3</v>
      </c>
      <c r="N660" s="43" t="s">
        <v>436</v>
      </c>
    </row>
    <row r="661" spans="1:14" ht="15.75" customHeight="1">
      <c r="A661" s="41" t="s">
        <v>664</v>
      </c>
      <c r="B661" s="41" t="s">
        <v>665</v>
      </c>
      <c r="C661" s="41" t="s">
        <v>442</v>
      </c>
      <c r="D661" s="41" t="s">
        <v>448</v>
      </c>
      <c r="E661" s="41" t="s">
        <v>40</v>
      </c>
      <c r="F661" s="42">
        <v>1</v>
      </c>
      <c r="G661" s="41" t="s">
        <v>11</v>
      </c>
      <c r="H661" s="43" t="s">
        <v>426</v>
      </c>
      <c r="I661" s="44">
        <v>20</v>
      </c>
      <c r="J661" s="44">
        <v>166</v>
      </c>
      <c r="K661" s="41"/>
      <c r="L661" s="45">
        <v>410000</v>
      </c>
      <c r="M661" s="44">
        <v>1</v>
      </c>
      <c r="N661" s="43" t="s">
        <v>383</v>
      </c>
    </row>
    <row r="662" spans="1:14" ht="15.75" customHeight="1">
      <c r="A662" s="41" t="s">
        <v>664</v>
      </c>
      <c r="B662" s="41" t="s">
        <v>665</v>
      </c>
      <c r="C662" s="41" t="s">
        <v>442</v>
      </c>
      <c r="D662" s="41" t="s">
        <v>448</v>
      </c>
      <c r="E662" s="41" t="s">
        <v>40</v>
      </c>
      <c r="F662" s="42">
        <v>2</v>
      </c>
      <c r="G662" s="41" t="s">
        <v>12</v>
      </c>
      <c r="H662" s="43" t="s">
        <v>449</v>
      </c>
      <c r="I662" s="44">
        <v>100</v>
      </c>
      <c r="J662" s="44">
        <v>166</v>
      </c>
      <c r="K662" s="41"/>
      <c r="L662" s="45">
        <v>410000</v>
      </c>
      <c r="M662" s="44">
        <v>1</v>
      </c>
      <c r="N662" s="43" t="s">
        <v>383</v>
      </c>
    </row>
    <row r="663" spans="1:14" ht="15.75" customHeight="1">
      <c r="A663" s="41" t="s">
        <v>664</v>
      </c>
      <c r="B663" s="41" t="s">
        <v>665</v>
      </c>
      <c r="C663" s="41" t="s">
        <v>442</v>
      </c>
      <c r="D663" s="41" t="s">
        <v>448</v>
      </c>
      <c r="E663" s="41" t="s">
        <v>40</v>
      </c>
      <c r="F663" s="42">
        <v>3</v>
      </c>
      <c r="G663" s="41" t="s">
        <v>13</v>
      </c>
      <c r="H663" s="43" t="s">
        <v>449</v>
      </c>
      <c r="I663" s="44">
        <v>45</v>
      </c>
      <c r="J663" s="44">
        <v>166</v>
      </c>
      <c r="K663" s="41"/>
      <c r="L663" s="45">
        <v>410000</v>
      </c>
      <c r="M663" s="44">
        <v>1</v>
      </c>
      <c r="N663" s="43" t="s">
        <v>383</v>
      </c>
    </row>
    <row r="664" spans="1:14" ht="15.75" customHeight="1">
      <c r="A664" s="41" t="s">
        <v>664</v>
      </c>
      <c r="B664" s="41" t="s">
        <v>665</v>
      </c>
      <c r="C664" s="41" t="s">
        <v>431</v>
      </c>
      <c r="D664" s="41" t="s">
        <v>432</v>
      </c>
      <c r="E664" s="41" t="s">
        <v>433</v>
      </c>
      <c r="F664" s="42">
        <v>18</v>
      </c>
      <c r="G664" s="41" t="s">
        <v>439</v>
      </c>
      <c r="H664" s="43" t="s">
        <v>440</v>
      </c>
      <c r="I664" s="44">
        <v>60</v>
      </c>
      <c r="J664" s="41"/>
      <c r="K664" s="44">
        <v>800</v>
      </c>
      <c r="L664" s="41" t="s">
        <v>435</v>
      </c>
      <c r="M664" s="44">
        <v>1</v>
      </c>
      <c r="N664" s="43" t="s">
        <v>436</v>
      </c>
    </row>
    <row r="665" spans="1:14" ht="15.75" customHeight="1">
      <c r="A665" s="41" t="s">
        <v>664</v>
      </c>
      <c r="B665" s="41" t="s">
        <v>665</v>
      </c>
      <c r="C665" s="41" t="s">
        <v>431</v>
      </c>
      <c r="D665" s="41" t="s">
        <v>432</v>
      </c>
      <c r="E665" s="41" t="s">
        <v>433</v>
      </c>
      <c r="F665" s="42">
        <v>19</v>
      </c>
      <c r="G665" s="41" t="s">
        <v>368</v>
      </c>
      <c r="H665" s="43" t="s">
        <v>434</v>
      </c>
      <c r="I665" s="44">
        <v>60</v>
      </c>
      <c r="J665" s="41"/>
      <c r="K665" s="44">
        <v>700</v>
      </c>
      <c r="L665" s="41" t="s">
        <v>435</v>
      </c>
      <c r="M665" s="44">
        <v>4</v>
      </c>
      <c r="N665" s="43" t="s">
        <v>436</v>
      </c>
    </row>
    <row r="666" spans="1:14" ht="15.75" customHeight="1">
      <c r="A666" s="41" t="s">
        <v>666</v>
      </c>
      <c r="B666" s="41" t="s">
        <v>667</v>
      </c>
      <c r="C666" s="41" t="s">
        <v>431</v>
      </c>
      <c r="D666" s="41" t="s">
        <v>432</v>
      </c>
      <c r="E666" s="41" t="s">
        <v>433</v>
      </c>
      <c r="F666" s="42">
        <v>18</v>
      </c>
      <c r="G666" s="41" t="s">
        <v>439</v>
      </c>
      <c r="H666" s="43" t="s">
        <v>440</v>
      </c>
      <c r="I666" s="44">
        <v>60</v>
      </c>
      <c r="J666" s="41"/>
      <c r="K666" s="44">
        <v>1000</v>
      </c>
      <c r="L666" s="41" t="s">
        <v>435</v>
      </c>
      <c r="M666" s="44">
        <v>1</v>
      </c>
      <c r="N666" s="43" t="s">
        <v>436</v>
      </c>
    </row>
    <row r="667" spans="1:14" ht="15.75" customHeight="1">
      <c r="A667" s="41" t="s">
        <v>666</v>
      </c>
      <c r="B667" s="41" t="s">
        <v>667</v>
      </c>
      <c r="C667" s="41" t="s">
        <v>431</v>
      </c>
      <c r="D667" s="41" t="s">
        <v>432</v>
      </c>
      <c r="E667" s="41" t="s">
        <v>433</v>
      </c>
      <c r="F667" s="42">
        <v>19</v>
      </c>
      <c r="G667" s="41" t="s">
        <v>368</v>
      </c>
      <c r="H667" s="43" t="s">
        <v>434</v>
      </c>
      <c r="I667" s="44">
        <v>60</v>
      </c>
      <c r="J667" s="41"/>
      <c r="K667" s="44">
        <v>800</v>
      </c>
      <c r="L667" s="41" t="s">
        <v>435</v>
      </c>
      <c r="M667" s="44">
        <v>4</v>
      </c>
      <c r="N667" s="43" t="s">
        <v>436</v>
      </c>
    </row>
    <row r="668" spans="1:14" ht="15.75" customHeight="1">
      <c r="A668" s="41" t="s">
        <v>668</v>
      </c>
      <c r="B668" s="41" t="s">
        <v>669</v>
      </c>
      <c r="C668" s="41" t="s">
        <v>442</v>
      </c>
      <c r="D668" s="41" t="s">
        <v>443</v>
      </c>
      <c r="E668" s="41" t="s">
        <v>33</v>
      </c>
      <c r="F668" s="42">
        <v>10</v>
      </c>
      <c r="G668" s="41" t="s">
        <v>11</v>
      </c>
      <c r="H668" s="43" t="s">
        <v>426</v>
      </c>
      <c r="I668" s="44">
        <v>75</v>
      </c>
      <c r="J668" s="44">
        <v>30</v>
      </c>
      <c r="K668" s="41"/>
      <c r="L668" s="45">
        <v>52000</v>
      </c>
      <c r="M668" s="44">
        <v>1</v>
      </c>
      <c r="N668" s="43" t="s">
        <v>383</v>
      </c>
    </row>
    <row r="669" spans="1:14" ht="15.75" customHeight="1">
      <c r="A669" s="41" t="s">
        <v>668</v>
      </c>
      <c r="B669" s="41" t="s">
        <v>669</v>
      </c>
      <c r="C669" s="41" t="s">
        <v>442</v>
      </c>
      <c r="D669" s="41" t="s">
        <v>443</v>
      </c>
      <c r="E669" s="41" t="s">
        <v>33</v>
      </c>
      <c r="F669" s="42">
        <v>11</v>
      </c>
      <c r="G669" s="41" t="s">
        <v>12</v>
      </c>
      <c r="H669" s="43" t="s">
        <v>444</v>
      </c>
      <c r="I669" s="44">
        <v>120</v>
      </c>
      <c r="J669" s="44">
        <v>30</v>
      </c>
      <c r="K669" s="41"/>
      <c r="L669" s="45">
        <v>52000</v>
      </c>
      <c r="M669" s="44">
        <v>1</v>
      </c>
      <c r="N669" s="43" t="s">
        <v>383</v>
      </c>
    </row>
    <row r="670" spans="1:14" ht="15.75" customHeight="1">
      <c r="A670" s="41" t="s">
        <v>668</v>
      </c>
      <c r="B670" s="41" t="s">
        <v>669</v>
      </c>
      <c r="C670" s="41" t="s">
        <v>442</v>
      </c>
      <c r="D670" s="41" t="s">
        <v>443</v>
      </c>
      <c r="E670" s="41" t="s">
        <v>33</v>
      </c>
      <c r="F670" s="42">
        <v>12</v>
      </c>
      <c r="G670" s="41" t="s">
        <v>13</v>
      </c>
      <c r="H670" s="43" t="s">
        <v>444</v>
      </c>
      <c r="I670" s="44">
        <v>20</v>
      </c>
      <c r="J670" s="44">
        <v>30</v>
      </c>
      <c r="K670" s="41"/>
      <c r="L670" s="45">
        <v>52000</v>
      </c>
      <c r="M670" s="44">
        <v>1</v>
      </c>
      <c r="N670" s="43" t="s">
        <v>383</v>
      </c>
    </row>
    <row r="671" spans="1:14" ht="15.75" customHeight="1">
      <c r="A671" s="41" t="s">
        <v>668</v>
      </c>
      <c r="B671" s="41" t="s">
        <v>669</v>
      </c>
      <c r="C671" s="41" t="s">
        <v>431</v>
      </c>
      <c r="D671" s="41" t="s">
        <v>432</v>
      </c>
      <c r="E671" s="41" t="s">
        <v>433</v>
      </c>
      <c r="F671" s="42">
        <v>18</v>
      </c>
      <c r="G671" s="41" t="s">
        <v>439</v>
      </c>
      <c r="H671" s="43" t="s">
        <v>440</v>
      </c>
      <c r="I671" s="44">
        <v>60</v>
      </c>
      <c r="J671" s="41"/>
      <c r="K671" s="44">
        <v>1100</v>
      </c>
      <c r="L671" s="41" t="s">
        <v>435</v>
      </c>
      <c r="M671" s="44">
        <v>1</v>
      </c>
      <c r="N671" s="43" t="s">
        <v>436</v>
      </c>
    </row>
    <row r="672" spans="1:14" ht="15.75" customHeight="1">
      <c r="A672" s="41" t="s">
        <v>668</v>
      </c>
      <c r="B672" s="41" t="s">
        <v>669</v>
      </c>
      <c r="C672" s="41" t="s">
        <v>431</v>
      </c>
      <c r="D672" s="41" t="s">
        <v>432</v>
      </c>
      <c r="E672" s="41" t="s">
        <v>433</v>
      </c>
      <c r="F672" s="42">
        <v>19</v>
      </c>
      <c r="G672" s="41" t="s">
        <v>368</v>
      </c>
      <c r="H672" s="43" t="s">
        <v>434</v>
      </c>
      <c r="I672" s="44">
        <v>60</v>
      </c>
      <c r="J672" s="41"/>
      <c r="K672" s="44">
        <v>600</v>
      </c>
      <c r="L672" s="41" t="s">
        <v>435</v>
      </c>
      <c r="M672" s="44">
        <v>4</v>
      </c>
      <c r="N672" s="43" t="s">
        <v>436</v>
      </c>
    </row>
    <row r="673" spans="1:15" ht="15.75" customHeight="1">
      <c r="A673" s="46" t="s">
        <v>670</v>
      </c>
      <c r="B673" s="46" t="s">
        <v>310</v>
      </c>
      <c r="C673" s="46" t="s">
        <v>442</v>
      </c>
      <c r="D673" s="46" t="s">
        <v>443</v>
      </c>
      <c r="E673" s="46" t="s">
        <v>33</v>
      </c>
      <c r="F673" s="47">
        <v>10</v>
      </c>
      <c r="G673" s="46" t="s">
        <v>11</v>
      </c>
      <c r="H673" s="48" t="s">
        <v>426</v>
      </c>
      <c r="I673" s="49">
        <v>55</v>
      </c>
      <c r="J673" s="49">
        <v>30.6</v>
      </c>
      <c r="K673" s="46"/>
      <c r="L673" s="50">
        <v>100000</v>
      </c>
      <c r="M673" s="49">
        <v>1</v>
      </c>
      <c r="N673" s="48" t="s">
        <v>383</v>
      </c>
      <c r="O673" s="51"/>
    </row>
    <row r="674" spans="1:15" ht="15.75" customHeight="1">
      <c r="A674" s="46" t="s">
        <v>670</v>
      </c>
      <c r="B674" s="46" t="s">
        <v>310</v>
      </c>
      <c r="C674" s="46" t="s">
        <v>442</v>
      </c>
      <c r="D674" s="46" t="s">
        <v>443</v>
      </c>
      <c r="E674" s="46" t="s">
        <v>33</v>
      </c>
      <c r="F674" s="47">
        <v>11</v>
      </c>
      <c r="G674" s="46" t="s">
        <v>12</v>
      </c>
      <c r="H674" s="48" t="s">
        <v>444</v>
      </c>
      <c r="I674" s="49">
        <v>60</v>
      </c>
      <c r="J674" s="49">
        <v>30.6</v>
      </c>
      <c r="K674" s="46"/>
      <c r="L674" s="50">
        <v>100000</v>
      </c>
      <c r="M674" s="49">
        <v>1</v>
      </c>
      <c r="N674" s="48" t="s">
        <v>383</v>
      </c>
      <c r="O674" s="51"/>
    </row>
    <row r="675" spans="1:15" ht="15.75" customHeight="1">
      <c r="A675" s="46" t="s">
        <v>670</v>
      </c>
      <c r="B675" s="46" t="s">
        <v>310</v>
      </c>
      <c r="C675" s="46" t="s">
        <v>442</v>
      </c>
      <c r="D675" s="46" t="s">
        <v>443</v>
      </c>
      <c r="E675" s="46" t="s">
        <v>33</v>
      </c>
      <c r="F675" s="47">
        <v>12</v>
      </c>
      <c r="G675" s="46" t="s">
        <v>13</v>
      </c>
      <c r="H675" s="48" t="s">
        <v>444</v>
      </c>
      <c r="I675" s="49">
        <v>15</v>
      </c>
      <c r="J675" s="49">
        <v>30.6</v>
      </c>
      <c r="K675" s="46"/>
      <c r="L675" s="50">
        <v>100000</v>
      </c>
      <c r="M675" s="49">
        <v>1</v>
      </c>
      <c r="N675" s="48" t="s">
        <v>383</v>
      </c>
      <c r="O675" s="51"/>
    </row>
    <row r="676" spans="1:15" ht="15.75" customHeight="1">
      <c r="A676" s="41" t="s">
        <v>671</v>
      </c>
      <c r="B676" s="41" t="s">
        <v>310</v>
      </c>
      <c r="C676" s="41" t="s">
        <v>442</v>
      </c>
      <c r="D676" s="41" t="s">
        <v>448</v>
      </c>
      <c r="E676" s="41" t="s">
        <v>40</v>
      </c>
      <c r="F676" s="42">
        <v>1</v>
      </c>
      <c r="G676" s="41" t="s">
        <v>11</v>
      </c>
      <c r="H676" s="43" t="s">
        <v>426</v>
      </c>
      <c r="I676" s="44">
        <v>55</v>
      </c>
      <c r="J676" s="44">
        <v>30.6</v>
      </c>
      <c r="K676" s="41"/>
      <c r="L676" s="45">
        <v>378000</v>
      </c>
      <c r="M676" s="44">
        <v>1</v>
      </c>
      <c r="N676" s="43" t="s">
        <v>383</v>
      </c>
    </row>
    <row r="677" spans="1:15" ht="15.75" customHeight="1">
      <c r="A677" s="41" t="s">
        <v>671</v>
      </c>
      <c r="B677" s="41" t="s">
        <v>310</v>
      </c>
      <c r="C677" s="41" t="s">
        <v>442</v>
      </c>
      <c r="D677" s="41" t="s">
        <v>448</v>
      </c>
      <c r="E677" s="41" t="s">
        <v>40</v>
      </c>
      <c r="F677" s="42">
        <v>2</v>
      </c>
      <c r="G677" s="41" t="s">
        <v>12</v>
      </c>
      <c r="H677" s="43" t="s">
        <v>449</v>
      </c>
      <c r="I677" s="44">
        <v>100</v>
      </c>
      <c r="J677" s="44">
        <v>30.6</v>
      </c>
      <c r="K677" s="41"/>
      <c r="L677" s="45">
        <v>378000</v>
      </c>
      <c r="M677" s="44">
        <v>1</v>
      </c>
      <c r="N677" s="43" t="s">
        <v>383</v>
      </c>
    </row>
    <row r="678" spans="1:15" ht="15.75" customHeight="1">
      <c r="A678" s="41" t="s">
        <v>671</v>
      </c>
      <c r="B678" s="41" t="s">
        <v>310</v>
      </c>
      <c r="C678" s="41" t="s">
        <v>442</v>
      </c>
      <c r="D678" s="41" t="s">
        <v>448</v>
      </c>
      <c r="E678" s="41" t="s">
        <v>40</v>
      </c>
      <c r="F678" s="42">
        <v>3</v>
      </c>
      <c r="G678" s="41" t="s">
        <v>13</v>
      </c>
      <c r="H678" s="43" t="s">
        <v>449</v>
      </c>
      <c r="I678" s="44">
        <v>30</v>
      </c>
      <c r="J678" s="44">
        <v>30.6</v>
      </c>
      <c r="K678" s="41"/>
      <c r="L678" s="45">
        <v>378000</v>
      </c>
      <c r="M678" s="44">
        <v>1</v>
      </c>
      <c r="N678" s="43" t="s">
        <v>383</v>
      </c>
    </row>
    <row r="679" spans="1:15" ht="15.75" customHeight="1">
      <c r="A679" s="41" t="s">
        <v>671</v>
      </c>
      <c r="B679" s="41" t="s">
        <v>310</v>
      </c>
      <c r="C679" s="41" t="s">
        <v>431</v>
      </c>
      <c r="D679" s="41" t="s">
        <v>432</v>
      </c>
      <c r="E679" s="41" t="s">
        <v>433</v>
      </c>
      <c r="F679" s="42">
        <v>18</v>
      </c>
      <c r="G679" s="41" t="s">
        <v>439</v>
      </c>
      <c r="H679" s="43" t="s">
        <v>440</v>
      </c>
      <c r="I679" s="44">
        <v>60</v>
      </c>
      <c r="J679" s="41"/>
      <c r="K679" s="44">
        <v>1500</v>
      </c>
      <c r="L679" s="41" t="s">
        <v>435</v>
      </c>
      <c r="M679" s="44">
        <v>1</v>
      </c>
      <c r="N679" s="43" t="s">
        <v>436</v>
      </c>
    </row>
    <row r="680" spans="1:15" ht="15.75" customHeight="1">
      <c r="A680" s="41" t="s">
        <v>671</v>
      </c>
      <c r="B680" s="41" t="s">
        <v>310</v>
      </c>
      <c r="C680" s="41" t="s">
        <v>431</v>
      </c>
      <c r="D680" s="41" t="s">
        <v>432</v>
      </c>
      <c r="E680" s="41" t="s">
        <v>433</v>
      </c>
      <c r="F680" s="42">
        <v>19</v>
      </c>
      <c r="G680" s="41" t="s">
        <v>368</v>
      </c>
      <c r="H680" s="43" t="s">
        <v>434</v>
      </c>
      <c r="I680" s="44">
        <v>60</v>
      </c>
      <c r="J680" s="41"/>
      <c r="K680" s="44">
        <v>1300</v>
      </c>
      <c r="L680" s="41" t="s">
        <v>435</v>
      </c>
      <c r="M680" s="44">
        <v>4</v>
      </c>
      <c r="N680" s="43" t="s">
        <v>436</v>
      </c>
    </row>
    <row r="681" spans="1:15" ht="15.75" customHeight="1">
      <c r="A681" s="41" t="s">
        <v>672</v>
      </c>
      <c r="B681" s="41" t="s">
        <v>146</v>
      </c>
      <c r="C681" s="41" t="s">
        <v>424</v>
      </c>
      <c r="D681" s="41" t="s">
        <v>425</v>
      </c>
      <c r="E681" s="41" t="s">
        <v>48</v>
      </c>
      <c r="F681" s="42">
        <v>4</v>
      </c>
      <c r="G681" s="41" t="s">
        <v>11</v>
      </c>
      <c r="H681" s="43" t="s">
        <v>426</v>
      </c>
      <c r="I681" s="44">
        <v>30</v>
      </c>
      <c r="J681" s="44">
        <v>40</v>
      </c>
      <c r="K681" s="41"/>
      <c r="L681" s="45">
        <v>52000</v>
      </c>
      <c r="M681" s="44">
        <v>1</v>
      </c>
      <c r="N681" s="43" t="s">
        <v>383</v>
      </c>
    </row>
    <row r="682" spans="1:15" ht="15.75" customHeight="1">
      <c r="A682" s="41" t="s">
        <v>672</v>
      </c>
      <c r="B682" s="41" t="s">
        <v>146</v>
      </c>
      <c r="C682" s="41" t="s">
        <v>424</v>
      </c>
      <c r="D682" s="41" t="s">
        <v>425</v>
      </c>
      <c r="E682" s="41" t="s">
        <v>48</v>
      </c>
      <c r="F682" s="42">
        <v>5</v>
      </c>
      <c r="G682" s="41" t="s">
        <v>12</v>
      </c>
      <c r="H682" s="43" t="s">
        <v>427</v>
      </c>
      <c r="I682" s="44">
        <v>125</v>
      </c>
      <c r="J682" s="44">
        <v>40</v>
      </c>
      <c r="K682" s="41"/>
      <c r="L682" s="45">
        <v>52000</v>
      </c>
      <c r="M682" s="44">
        <v>1</v>
      </c>
      <c r="N682" s="43" t="s">
        <v>383</v>
      </c>
    </row>
    <row r="683" spans="1:15" ht="15.75" customHeight="1">
      <c r="A683" s="41" t="s">
        <v>672</v>
      </c>
      <c r="B683" s="41" t="s">
        <v>146</v>
      </c>
      <c r="C683" s="41" t="s">
        <v>424</v>
      </c>
      <c r="D683" s="41" t="s">
        <v>425</v>
      </c>
      <c r="E683" s="41" t="s">
        <v>48</v>
      </c>
      <c r="F683" s="42">
        <v>6</v>
      </c>
      <c r="G683" s="41" t="s">
        <v>13</v>
      </c>
      <c r="H683" s="43" t="s">
        <v>427</v>
      </c>
      <c r="I683" s="44">
        <v>30</v>
      </c>
      <c r="J683" s="44">
        <v>40</v>
      </c>
      <c r="K683" s="41"/>
      <c r="L683" s="45">
        <v>52000</v>
      </c>
      <c r="M683" s="44">
        <v>1</v>
      </c>
      <c r="N683" s="43" t="s">
        <v>383</v>
      </c>
    </row>
    <row r="684" spans="1:15" ht="15.75" customHeight="1">
      <c r="A684" s="46" t="s">
        <v>673</v>
      </c>
      <c r="B684" s="46" t="s">
        <v>146</v>
      </c>
      <c r="C684" s="46" t="s">
        <v>424</v>
      </c>
      <c r="D684" s="46" t="s">
        <v>429</v>
      </c>
      <c r="E684" s="46" t="s">
        <v>74</v>
      </c>
      <c r="F684" s="47">
        <v>7</v>
      </c>
      <c r="G684" s="46" t="s">
        <v>11</v>
      </c>
      <c r="H684" s="48" t="s">
        <v>426</v>
      </c>
      <c r="I684" s="49">
        <v>30</v>
      </c>
      <c r="J684" s="49">
        <v>40</v>
      </c>
      <c r="K684" s="46"/>
      <c r="L684" s="50">
        <v>52000</v>
      </c>
      <c r="M684" s="49">
        <v>1</v>
      </c>
      <c r="N684" s="48" t="s">
        <v>383</v>
      </c>
      <c r="O684" s="51"/>
    </row>
    <row r="685" spans="1:15" ht="15.75" customHeight="1">
      <c r="A685" s="46" t="s">
        <v>673</v>
      </c>
      <c r="B685" s="46" t="s">
        <v>146</v>
      </c>
      <c r="C685" s="46" t="s">
        <v>424</v>
      </c>
      <c r="D685" s="46" t="s">
        <v>429</v>
      </c>
      <c r="E685" s="46" t="s">
        <v>74</v>
      </c>
      <c r="F685" s="47">
        <v>8</v>
      </c>
      <c r="G685" s="46" t="s">
        <v>12</v>
      </c>
      <c r="H685" s="48" t="s">
        <v>430</v>
      </c>
      <c r="I685" s="49">
        <v>180</v>
      </c>
      <c r="J685" s="49">
        <v>40</v>
      </c>
      <c r="K685" s="46"/>
      <c r="L685" s="50">
        <v>52000</v>
      </c>
      <c r="M685" s="49">
        <v>1</v>
      </c>
      <c r="N685" s="48" t="s">
        <v>383</v>
      </c>
      <c r="O685" s="51"/>
    </row>
    <row r="686" spans="1:15" ht="15.75" customHeight="1">
      <c r="A686" s="46" t="s">
        <v>673</v>
      </c>
      <c r="B686" s="46" t="s">
        <v>146</v>
      </c>
      <c r="C686" s="46" t="s">
        <v>424</v>
      </c>
      <c r="D686" s="46" t="s">
        <v>429</v>
      </c>
      <c r="E686" s="46" t="s">
        <v>74</v>
      </c>
      <c r="F686" s="47">
        <v>9</v>
      </c>
      <c r="G686" s="46" t="s">
        <v>13</v>
      </c>
      <c r="H686" s="48" t="s">
        <v>430</v>
      </c>
      <c r="I686" s="49">
        <v>40</v>
      </c>
      <c r="J686" s="49">
        <v>40</v>
      </c>
      <c r="K686" s="46"/>
      <c r="L686" s="50">
        <v>52000</v>
      </c>
      <c r="M686" s="49">
        <v>1</v>
      </c>
      <c r="N686" s="48" t="s">
        <v>383</v>
      </c>
      <c r="O686" s="51"/>
    </row>
    <row r="687" spans="1:15" ht="15.75" customHeight="1">
      <c r="A687" s="41" t="s">
        <v>672</v>
      </c>
      <c r="B687" s="41" t="s">
        <v>146</v>
      </c>
      <c r="C687" s="41" t="s">
        <v>431</v>
      </c>
      <c r="D687" s="41" t="s">
        <v>432</v>
      </c>
      <c r="E687" s="41" t="s">
        <v>433</v>
      </c>
      <c r="F687" s="42">
        <v>19</v>
      </c>
      <c r="G687" s="41" t="s">
        <v>368</v>
      </c>
      <c r="H687" s="43" t="s">
        <v>434</v>
      </c>
      <c r="I687" s="44">
        <v>60</v>
      </c>
      <c r="J687" s="41"/>
      <c r="K687" s="44">
        <v>850</v>
      </c>
      <c r="L687" s="41" t="s">
        <v>435</v>
      </c>
      <c r="M687" s="44">
        <v>4</v>
      </c>
      <c r="N687" s="43" t="s">
        <v>436</v>
      </c>
    </row>
    <row r="688" spans="1:15" ht="15.75" customHeight="1">
      <c r="A688" s="41" t="s">
        <v>674</v>
      </c>
      <c r="B688" s="41" t="s">
        <v>675</v>
      </c>
      <c r="C688" s="41" t="s">
        <v>442</v>
      </c>
      <c r="D688" s="41" t="s">
        <v>443</v>
      </c>
      <c r="E688" s="41" t="s">
        <v>33</v>
      </c>
      <c r="F688" s="42">
        <v>10</v>
      </c>
      <c r="G688" s="41" t="s">
        <v>11</v>
      </c>
      <c r="H688" s="43" t="s">
        <v>426</v>
      </c>
      <c r="I688" s="44">
        <v>70</v>
      </c>
      <c r="J688" s="44">
        <v>51.5</v>
      </c>
      <c r="K688" s="41"/>
      <c r="L688" s="45">
        <v>100000</v>
      </c>
      <c r="M688" s="44">
        <v>1</v>
      </c>
      <c r="N688" s="43" t="s">
        <v>383</v>
      </c>
    </row>
    <row r="689" spans="1:14" ht="15.75" customHeight="1">
      <c r="A689" s="41" t="s">
        <v>674</v>
      </c>
      <c r="B689" s="41" t="s">
        <v>675</v>
      </c>
      <c r="C689" s="41" t="s">
        <v>442</v>
      </c>
      <c r="D689" s="41" t="s">
        <v>443</v>
      </c>
      <c r="E689" s="41" t="s">
        <v>33</v>
      </c>
      <c r="F689" s="42">
        <v>11</v>
      </c>
      <c r="G689" s="41" t="s">
        <v>12</v>
      </c>
      <c r="H689" s="43" t="s">
        <v>444</v>
      </c>
      <c r="I689" s="44">
        <v>135</v>
      </c>
      <c r="J689" s="44">
        <v>51.5</v>
      </c>
      <c r="K689" s="41"/>
      <c r="L689" s="45">
        <v>100000</v>
      </c>
      <c r="M689" s="44">
        <v>1</v>
      </c>
      <c r="N689" s="43" t="s">
        <v>383</v>
      </c>
    </row>
    <row r="690" spans="1:14" ht="15.75" customHeight="1">
      <c r="A690" s="41" t="s">
        <v>674</v>
      </c>
      <c r="B690" s="41" t="s">
        <v>675</v>
      </c>
      <c r="C690" s="41" t="s">
        <v>442</v>
      </c>
      <c r="D690" s="41" t="s">
        <v>443</v>
      </c>
      <c r="E690" s="41" t="s">
        <v>33</v>
      </c>
      <c r="F690" s="42">
        <v>12</v>
      </c>
      <c r="G690" s="41" t="s">
        <v>13</v>
      </c>
      <c r="H690" s="43" t="s">
        <v>444</v>
      </c>
      <c r="I690" s="44">
        <v>15</v>
      </c>
      <c r="J690" s="44">
        <v>51.5</v>
      </c>
      <c r="K690" s="41"/>
      <c r="L690" s="45">
        <v>100000</v>
      </c>
      <c r="M690" s="44">
        <v>1</v>
      </c>
      <c r="N690" s="43" t="s">
        <v>383</v>
      </c>
    </row>
    <row r="691" spans="1:14" ht="15.75" customHeight="1">
      <c r="A691" s="41" t="s">
        <v>674</v>
      </c>
      <c r="B691" s="41" t="s">
        <v>675</v>
      </c>
      <c r="C691" s="41" t="s">
        <v>431</v>
      </c>
      <c r="D691" s="41" t="s">
        <v>432</v>
      </c>
      <c r="E691" s="41" t="s">
        <v>433</v>
      </c>
      <c r="F691" s="42">
        <v>18</v>
      </c>
      <c r="G691" s="41" t="s">
        <v>439</v>
      </c>
      <c r="H691" s="43" t="s">
        <v>440</v>
      </c>
      <c r="I691" s="44">
        <v>60</v>
      </c>
      <c r="J691" s="41"/>
      <c r="K691" s="44">
        <v>800</v>
      </c>
      <c r="L691" s="41" t="s">
        <v>435</v>
      </c>
      <c r="M691" s="44">
        <v>1</v>
      </c>
      <c r="N691" s="43" t="s">
        <v>436</v>
      </c>
    </row>
    <row r="692" spans="1:14" ht="15.75" customHeight="1">
      <c r="A692" s="41" t="s">
        <v>674</v>
      </c>
      <c r="B692" s="41" t="s">
        <v>675</v>
      </c>
      <c r="C692" s="41" t="s">
        <v>431</v>
      </c>
      <c r="D692" s="41" t="s">
        <v>432</v>
      </c>
      <c r="E692" s="41" t="s">
        <v>433</v>
      </c>
      <c r="F692" s="42">
        <v>19</v>
      </c>
      <c r="G692" s="41" t="s">
        <v>368</v>
      </c>
      <c r="H692" s="43" t="s">
        <v>434</v>
      </c>
      <c r="I692" s="44">
        <v>60</v>
      </c>
      <c r="J692" s="41"/>
      <c r="K692" s="44">
        <v>700</v>
      </c>
      <c r="L692" s="41" t="s">
        <v>435</v>
      </c>
      <c r="M692" s="44">
        <v>4</v>
      </c>
      <c r="N692" s="43" t="s">
        <v>436</v>
      </c>
    </row>
    <row r="693" spans="1:14" ht="15.75" customHeight="1">
      <c r="A693" s="41" t="s">
        <v>676</v>
      </c>
      <c r="B693" s="41" t="s">
        <v>225</v>
      </c>
      <c r="C693" s="41" t="s">
        <v>442</v>
      </c>
      <c r="D693" s="41" t="s">
        <v>443</v>
      </c>
      <c r="E693" s="41" t="s">
        <v>33</v>
      </c>
      <c r="F693" s="42">
        <v>10</v>
      </c>
      <c r="G693" s="41" t="s">
        <v>11</v>
      </c>
      <c r="H693" s="43" t="s">
        <v>426</v>
      </c>
      <c r="I693" s="44">
        <v>50</v>
      </c>
      <c r="J693" s="44">
        <v>1.72</v>
      </c>
      <c r="K693" s="41"/>
      <c r="L693" s="45">
        <v>100000</v>
      </c>
      <c r="M693" s="44">
        <v>1</v>
      </c>
      <c r="N693" s="43" t="s">
        <v>383</v>
      </c>
    </row>
    <row r="694" spans="1:14" ht="15.75" customHeight="1">
      <c r="A694" s="41" t="s">
        <v>676</v>
      </c>
      <c r="B694" s="41" t="s">
        <v>225</v>
      </c>
      <c r="C694" s="41" t="s">
        <v>442</v>
      </c>
      <c r="D694" s="41" t="s">
        <v>443</v>
      </c>
      <c r="E694" s="41" t="s">
        <v>33</v>
      </c>
      <c r="F694" s="42">
        <v>11</v>
      </c>
      <c r="G694" s="41" t="s">
        <v>12</v>
      </c>
      <c r="H694" s="43" t="s">
        <v>444</v>
      </c>
      <c r="I694" s="44">
        <v>60</v>
      </c>
      <c r="J694" s="44">
        <v>1.72</v>
      </c>
      <c r="K694" s="41"/>
      <c r="L694" s="45">
        <v>100000</v>
      </c>
      <c r="M694" s="44">
        <v>1</v>
      </c>
      <c r="N694" s="43" t="s">
        <v>383</v>
      </c>
    </row>
    <row r="695" spans="1:14" ht="15.75" customHeight="1">
      <c r="A695" s="41" t="s">
        <v>676</v>
      </c>
      <c r="B695" s="41" t="s">
        <v>225</v>
      </c>
      <c r="C695" s="41" t="s">
        <v>442</v>
      </c>
      <c r="D695" s="41" t="s">
        <v>443</v>
      </c>
      <c r="E695" s="41" t="s">
        <v>33</v>
      </c>
      <c r="F695" s="42">
        <v>12</v>
      </c>
      <c r="G695" s="41" t="s">
        <v>13</v>
      </c>
      <c r="H695" s="43" t="s">
        <v>444</v>
      </c>
      <c r="I695" s="44">
        <v>10</v>
      </c>
      <c r="J695" s="44">
        <v>1.72</v>
      </c>
      <c r="K695" s="41"/>
      <c r="L695" s="45">
        <v>100000</v>
      </c>
      <c r="M695" s="44">
        <v>1</v>
      </c>
      <c r="N695" s="43" t="s">
        <v>383</v>
      </c>
    </row>
    <row r="696" spans="1:14" ht="15.75" customHeight="1">
      <c r="A696" s="41" t="s">
        <v>676</v>
      </c>
      <c r="B696" s="41" t="s">
        <v>225</v>
      </c>
      <c r="C696" s="41" t="s">
        <v>431</v>
      </c>
      <c r="D696" s="41" t="s">
        <v>432</v>
      </c>
      <c r="E696" s="41" t="s">
        <v>433</v>
      </c>
      <c r="F696" s="42">
        <v>18</v>
      </c>
      <c r="G696" s="41" t="s">
        <v>439</v>
      </c>
      <c r="H696" s="43" t="s">
        <v>440</v>
      </c>
      <c r="I696" s="44">
        <v>60</v>
      </c>
      <c r="J696" s="41"/>
      <c r="K696" s="44">
        <v>1500</v>
      </c>
      <c r="L696" s="41" t="s">
        <v>435</v>
      </c>
      <c r="M696" s="44">
        <v>1</v>
      </c>
      <c r="N696" s="43" t="s">
        <v>436</v>
      </c>
    </row>
    <row r="697" spans="1:14" ht="15.75" customHeight="1">
      <c r="A697" s="41" t="s">
        <v>676</v>
      </c>
      <c r="B697" s="41" t="s">
        <v>225</v>
      </c>
      <c r="C697" s="41" t="s">
        <v>431</v>
      </c>
      <c r="D697" s="41" t="s">
        <v>432</v>
      </c>
      <c r="E697" s="41" t="s">
        <v>433</v>
      </c>
      <c r="F697" s="42">
        <v>19</v>
      </c>
      <c r="G697" s="41" t="s">
        <v>368</v>
      </c>
      <c r="H697" s="43" t="s">
        <v>434</v>
      </c>
      <c r="I697" s="44">
        <v>60</v>
      </c>
      <c r="J697" s="41"/>
      <c r="K697" s="44">
        <v>900</v>
      </c>
      <c r="L697" s="41" t="s">
        <v>435</v>
      </c>
      <c r="M697" s="44">
        <v>4</v>
      </c>
      <c r="N697" s="43" t="s">
        <v>436</v>
      </c>
    </row>
    <row r="698" spans="1:14" ht="15.75" customHeight="1">
      <c r="A698" s="41" t="s">
        <v>677</v>
      </c>
      <c r="B698" s="41" t="s">
        <v>221</v>
      </c>
      <c r="C698" s="41" t="s">
        <v>442</v>
      </c>
      <c r="D698" s="41" t="s">
        <v>443</v>
      </c>
      <c r="E698" s="41" t="s">
        <v>33</v>
      </c>
      <c r="F698" s="42">
        <v>10</v>
      </c>
      <c r="G698" s="41" t="s">
        <v>11</v>
      </c>
      <c r="H698" s="43" t="s">
        <v>426</v>
      </c>
      <c r="I698" s="44">
        <v>50</v>
      </c>
      <c r="J698" s="44">
        <v>10</v>
      </c>
      <c r="K698" s="41"/>
      <c r="L698" s="45">
        <v>100000</v>
      </c>
      <c r="M698" s="44">
        <v>1</v>
      </c>
      <c r="N698" s="43" t="s">
        <v>383</v>
      </c>
    </row>
    <row r="699" spans="1:14" ht="15.75" customHeight="1">
      <c r="A699" s="41" t="s">
        <v>677</v>
      </c>
      <c r="B699" s="41" t="s">
        <v>221</v>
      </c>
      <c r="C699" s="41" t="s">
        <v>442</v>
      </c>
      <c r="D699" s="41" t="s">
        <v>443</v>
      </c>
      <c r="E699" s="41" t="s">
        <v>33</v>
      </c>
      <c r="F699" s="42">
        <v>11</v>
      </c>
      <c r="G699" s="41" t="s">
        <v>12</v>
      </c>
      <c r="H699" s="43" t="s">
        <v>444</v>
      </c>
      <c r="I699" s="44">
        <v>60</v>
      </c>
      <c r="J699" s="44">
        <v>10</v>
      </c>
      <c r="K699" s="41"/>
      <c r="L699" s="45">
        <v>100000</v>
      </c>
      <c r="M699" s="44">
        <v>1</v>
      </c>
      <c r="N699" s="43" t="s">
        <v>383</v>
      </c>
    </row>
    <row r="700" spans="1:14" ht="15.75" customHeight="1">
      <c r="A700" s="41" t="s">
        <v>677</v>
      </c>
      <c r="B700" s="41" t="s">
        <v>221</v>
      </c>
      <c r="C700" s="41" t="s">
        <v>442</v>
      </c>
      <c r="D700" s="41" t="s">
        <v>443</v>
      </c>
      <c r="E700" s="41" t="s">
        <v>33</v>
      </c>
      <c r="F700" s="42">
        <v>12</v>
      </c>
      <c r="G700" s="41" t="s">
        <v>13</v>
      </c>
      <c r="H700" s="43" t="s">
        <v>444</v>
      </c>
      <c r="I700" s="44">
        <v>10</v>
      </c>
      <c r="J700" s="44">
        <v>10</v>
      </c>
      <c r="K700" s="41"/>
      <c r="L700" s="45">
        <v>100000</v>
      </c>
      <c r="M700" s="44">
        <v>1</v>
      </c>
      <c r="N700" s="43" t="s">
        <v>383</v>
      </c>
    </row>
    <row r="701" spans="1:14" ht="15.75" customHeight="1">
      <c r="A701" s="41" t="s">
        <v>677</v>
      </c>
      <c r="B701" s="41" t="s">
        <v>221</v>
      </c>
      <c r="C701" s="41" t="s">
        <v>431</v>
      </c>
      <c r="D701" s="41" t="s">
        <v>432</v>
      </c>
      <c r="E701" s="41" t="s">
        <v>433</v>
      </c>
      <c r="F701" s="42">
        <v>18</v>
      </c>
      <c r="G701" s="41" t="s">
        <v>439</v>
      </c>
      <c r="H701" s="43" t="s">
        <v>440</v>
      </c>
      <c r="I701" s="44">
        <v>60</v>
      </c>
      <c r="J701" s="41"/>
      <c r="K701" s="44">
        <v>1500</v>
      </c>
      <c r="L701" s="41" t="s">
        <v>435</v>
      </c>
      <c r="M701" s="44">
        <v>1</v>
      </c>
      <c r="N701" s="43" t="s">
        <v>436</v>
      </c>
    </row>
    <row r="702" spans="1:14" ht="15.75" customHeight="1">
      <c r="A702" s="41" t="s">
        <v>677</v>
      </c>
      <c r="B702" s="41" t="s">
        <v>221</v>
      </c>
      <c r="C702" s="41" t="s">
        <v>431</v>
      </c>
      <c r="D702" s="41" t="s">
        <v>432</v>
      </c>
      <c r="E702" s="41" t="s">
        <v>433</v>
      </c>
      <c r="F702" s="42">
        <v>19</v>
      </c>
      <c r="G702" s="41" t="s">
        <v>368</v>
      </c>
      <c r="H702" s="43" t="s">
        <v>434</v>
      </c>
      <c r="I702" s="44">
        <v>60</v>
      </c>
      <c r="J702" s="41"/>
      <c r="K702" s="44">
        <v>850</v>
      </c>
      <c r="L702" s="41" t="s">
        <v>435</v>
      </c>
      <c r="M702" s="44">
        <v>4</v>
      </c>
      <c r="N702" s="43" t="s">
        <v>436</v>
      </c>
    </row>
    <row r="703" spans="1:14" ht="15.75" customHeight="1">
      <c r="A703" s="41" t="s">
        <v>678</v>
      </c>
      <c r="B703" s="41" t="s">
        <v>679</v>
      </c>
      <c r="C703" s="41" t="s">
        <v>499</v>
      </c>
      <c r="D703" s="41" t="s">
        <v>443</v>
      </c>
      <c r="E703" s="41" t="s">
        <v>33</v>
      </c>
      <c r="F703" s="42">
        <v>11</v>
      </c>
      <c r="G703" s="41" t="s">
        <v>12</v>
      </c>
      <c r="H703" s="43" t="s">
        <v>444</v>
      </c>
      <c r="I703" s="44">
        <v>40</v>
      </c>
      <c r="J703" s="44">
        <v>12.8</v>
      </c>
      <c r="K703" s="41"/>
      <c r="L703" s="45">
        <v>95000</v>
      </c>
      <c r="M703" s="44">
        <v>1</v>
      </c>
      <c r="N703" s="43" t="s">
        <v>383</v>
      </c>
    </row>
    <row r="704" spans="1:14" ht="15.75" customHeight="1">
      <c r="A704" s="41" t="s">
        <v>678</v>
      </c>
      <c r="B704" s="41" t="s">
        <v>679</v>
      </c>
      <c r="C704" s="41" t="s">
        <v>499</v>
      </c>
      <c r="D704" s="41" t="s">
        <v>443</v>
      </c>
      <c r="E704" s="41" t="s">
        <v>33</v>
      </c>
      <c r="F704" s="42">
        <v>12</v>
      </c>
      <c r="G704" s="41" t="s">
        <v>13</v>
      </c>
      <c r="H704" s="43" t="s">
        <v>444</v>
      </c>
      <c r="I704" s="44">
        <v>10</v>
      </c>
      <c r="J704" s="44">
        <v>12.8</v>
      </c>
      <c r="K704" s="41"/>
      <c r="L704" s="45">
        <v>95000</v>
      </c>
      <c r="M704" s="44">
        <v>1</v>
      </c>
      <c r="N704" s="43" t="s">
        <v>383</v>
      </c>
    </row>
    <row r="705" spans="1:14" ht="15.75" customHeight="1">
      <c r="A705" s="41" t="s">
        <v>678</v>
      </c>
      <c r="B705" s="41" t="s">
        <v>679</v>
      </c>
      <c r="C705" s="41" t="s">
        <v>431</v>
      </c>
      <c r="D705" s="41" t="s">
        <v>432</v>
      </c>
      <c r="E705" s="41" t="s">
        <v>433</v>
      </c>
      <c r="F705" s="42">
        <v>16</v>
      </c>
      <c r="G705" s="41" t="s">
        <v>484</v>
      </c>
      <c r="H705" s="43" t="s">
        <v>440</v>
      </c>
      <c r="I705" s="44">
        <v>60</v>
      </c>
      <c r="J705" s="41"/>
      <c r="K705" s="44">
        <v>1500</v>
      </c>
      <c r="L705" s="41" t="s">
        <v>435</v>
      </c>
      <c r="M705" s="44">
        <v>1</v>
      </c>
      <c r="N705" s="43" t="s">
        <v>436</v>
      </c>
    </row>
    <row r="706" spans="1:14" ht="15.75" customHeight="1">
      <c r="A706" s="41" t="s">
        <v>678</v>
      </c>
      <c r="B706" s="41" t="s">
        <v>679</v>
      </c>
      <c r="C706" s="41" t="s">
        <v>431</v>
      </c>
      <c r="D706" s="41" t="s">
        <v>432</v>
      </c>
      <c r="E706" s="41" t="s">
        <v>433</v>
      </c>
      <c r="F706" s="42">
        <v>18</v>
      </c>
      <c r="G706" s="41" t="s">
        <v>439</v>
      </c>
      <c r="H706" s="43" t="s">
        <v>440</v>
      </c>
      <c r="I706" s="44">
        <v>60</v>
      </c>
      <c r="J706" s="41"/>
      <c r="K706" s="44">
        <v>1200</v>
      </c>
      <c r="L706" s="41" t="s">
        <v>435</v>
      </c>
      <c r="M706" s="44">
        <v>1</v>
      </c>
      <c r="N706" s="43" t="s">
        <v>436</v>
      </c>
    </row>
    <row r="707" spans="1:14" ht="15.75" customHeight="1">
      <c r="A707" s="41" t="s">
        <v>678</v>
      </c>
      <c r="B707" s="41" t="s">
        <v>679</v>
      </c>
      <c r="C707" s="41" t="s">
        <v>431</v>
      </c>
      <c r="D707" s="41" t="s">
        <v>432</v>
      </c>
      <c r="E707" s="41" t="s">
        <v>433</v>
      </c>
      <c r="F707" s="42">
        <v>19</v>
      </c>
      <c r="G707" s="41" t="s">
        <v>368</v>
      </c>
      <c r="H707" s="43" t="s">
        <v>434</v>
      </c>
      <c r="I707" s="44">
        <v>60</v>
      </c>
      <c r="J707" s="41"/>
      <c r="K707" s="44">
        <v>1000</v>
      </c>
      <c r="L707" s="41" t="s">
        <v>435</v>
      </c>
      <c r="M707" s="44">
        <v>5</v>
      </c>
      <c r="N707" s="43" t="s">
        <v>436</v>
      </c>
    </row>
    <row r="708" spans="1:14" ht="15.75" customHeight="1">
      <c r="A708" s="41" t="s">
        <v>680</v>
      </c>
      <c r="B708" s="41" t="s">
        <v>256</v>
      </c>
      <c r="C708" s="41" t="s">
        <v>442</v>
      </c>
      <c r="D708" s="41" t="s">
        <v>443</v>
      </c>
      <c r="E708" s="41" t="s">
        <v>33</v>
      </c>
      <c r="F708" s="42">
        <v>11</v>
      </c>
      <c r="G708" s="41" t="s">
        <v>12</v>
      </c>
      <c r="H708" s="43" t="s">
        <v>444</v>
      </c>
      <c r="I708" s="44">
        <v>55</v>
      </c>
      <c r="J708" s="44">
        <v>28.5</v>
      </c>
      <c r="K708" s="41"/>
      <c r="L708" s="45">
        <v>52000</v>
      </c>
      <c r="M708" s="44">
        <v>1</v>
      </c>
      <c r="N708" s="43" t="s">
        <v>383</v>
      </c>
    </row>
    <row r="709" spans="1:14" ht="15.75" customHeight="1">
      <c r="A709" s="41" t="s">
        <v>680</v>
      </c>
      <c r="B709" s="41" t="s">
        <v>256</v>
      </c>
      <c r="C709" s="41" t="s">
        <v>442</v>
      </c>
      <c r="D709" s="41" t="s">
        <v>443</v>
      </c>
      <c r="E709" s="41" t="s">
        <v>33</v>
      </c>
      <c r="F709" s="42">
        <v>12</v>
      </c>
      <c r="G709" s="41" t="s">
        <v>13</v>
      </c>
      <c r="H709" s="43" t="s">
        <v>444</v>
      </c>
      <c r="I709" s="44">
        <v>15</v>
      </c>
      <c r="J709" s="44">
        <v>28.5</v>
      </c>
      <c r="K709" s="41"/>
      <c r="L709" s="45">
        <v>52000</v>
      </c>
      <c r="M709" s="44">
        <v>1</v>
      </c>
      <c r="N709" s="43" t="s">
        <v>383</v>
      </c>
    </row>
    <row r="710" spans="1:14" ht="15.75" customHeight="1">
      <c r="A710" s="41" t="s">
        <v>680</v>
      </c>
      <c r="B710" s="41" t="s">
        <v>256</v>
      </c>
      <c r="C710" s="41" t="s">
        <v>431</v>
      </c>
      <c r="D710" s="41" t="s">
        <v>432</v>
      </c>
      <c r="E710" s="41" t="s">
        <v>433</v>
      </c>
      <c r="F710" s="42">
        <v>18</v>
      </c>
      <c r="G710" s="41" t="s">
        <v>439</v>
      </c>
      <c r="H710" s="43" t="s">
        <v>440</v>
      </c>
      <c r="I710" s="44">
        <v>60</v>
      </c>
      <c r="J710" s="41"/>
      <c r="K710" s="44">
        <v>1500</v>
      </c>
      <c r="L710" s="41" t="s">
        <v>435</v>
      </c>
      <c r="M710" s="44">
        <v>1</v>
      </c>
      <c r="N710" s="43" t="s">
        <v>436</v>
      </c>
    </row>
    <row r="711" spans="1:14" ht="15.75" customHeight="1">
      <c r="A711" s="41" t="s">
        <v>680</v>
      </c>
      <c r="B711" s="41" t="s">
        <v>256</v>
      </c>
      <c r="C711" s="41" t="s">
        <v>431</v>
      </c>
      <c r="D711" s="41" t="s">
        <v>432</v>
      </c>
      <c r="E711" s="41" t="s">
        <v>433</v>
      </c>
      <c r="F711" s="42">
        <v>19</v>
      </c>
      <c r="G711" s="41" t="s">
        <v>368</v>
      </c>
      <c r="H711" s="43" t="s">
        <v>434</v>
      </c>
      <c r="I711" s="44">
        <v>60</v>
      </c>
      <c r="J711" s="41"/>
      <c r="K711" s="44">
        <v>1000</v>
      </c>
      <c r="L711" s="41" t="s">
        <v>435</v>
      </c>
      <c r="M711" s="44">
        <v>4</v>
      </c>
      <c r="N711" s="43" t="s">
        <v>436</v>
      </c>
    </row>
    <row r="712" spans="1:14" ht="15.75" customHeight="1">
      <c r="A712" s="41" t="s">
        <v>681</v>
      </c>
      <c r="B712" s="41" t="s">
        <v>682</v>
      </c>
      <c r="C712" s="41" t="s">
        <v>442</v>
      </c>
      <c r="D712" s="41" t="s">
        <v>448</v>
      </c>
      <c r="E712" s="41" t="s">
        <v>40</v>
      </c>
      <c r="F712" s="42">
        <v>1</v>
      </c>
      <c r="G712" s="41" t="s">
        <v>11</v>
      </c>
      <c r="H712" s="43" t="s">
        <v>426</v>
      </c>
      <c r="I712" s="44">
        <v>25</v>
      </c>
      <c r="J712" s="44">
        <v>250</v>
      </c>
      <c r="K712" s="41"/>
      <c r="L712" s="45">
        <v>412000</v>
      </c>
      <c r="M712" s="44">
        <v>1</v>
      </c>
      <c r="N712" s="43" t="s">
        <v>383</v>
      </c>
    </row>
    <row r="713" spans="1:14" ht="15.75" customHeight="1">
      <c r="A713" s="41" t="s">
        <v>681</v>
      </c>
      <c r="B713" s="41" t="s">
        <v>682</v>
      </c>
      <c r="C713" s="41" t="s">
        <v>442</v>
      </c>
      <c r="D713" s="41" t="s">
        <v>448</v>
      </c>
      <c r="E713" s="41" t="s">
        <v>40</v>
      </c>
      <c r="F713" s="42">
        <v>2</v>
      </c>
      <c r="G713" s="41" t="s">
        <v>12</v>
      </c>
      <c r="H713" s="43" t="s">
        <v>449</v>
      </c>
      <c r="I713" s="44">
        <v>180</v>
      </c>
      <c r="J713" s="44">
        <v>250</v>
      </c>
      <c r="K713" s="41"/>
      <c r="L713" s="45">
        <v>412000</v>
      </c>
      <c r="M713" s="44">
        <v>1</v>
      </c>
      <c r="N713" s="43" t="s">
        <v>383</v>
      </c>
    </row>
    <row r="714" spans="1:14" ht="15.75" customHeight="1">
      <c r="A714" s="41" t="s">
        <v>681</v>
      </c>
      <c r="B714" s="41" t="s">
        <v>682</v>
      </c>
      <c r="C714" s="41" t="s">
        <v>442</v>
      </c>
      <c r="D714" s="41" t="s">
        <v>448</v>
      </c>
      <c r="E714" s="41" t="s">
        <v>40</v>
      </c>
      <c r="F714" s="42">
        <v>3</v>
      </c>
      <c r="G714" s="41" t="s">
        <v>13</v>
      </c>
      <c r="H714" s="43" t="s">
        <v>449</v>
      </c>
      <c r="I714" s="44">
        <v>30</v>
      </c>
      <c r="J714" s="44">
        <v>250</v>
      </c>
      <c r="K714" s="41"/>
      <c r="L714" s="45">
        <v>412000</v>
      </c>
      <c r="M714" s="44">
        <v>1</v>
      </c>
      <c r="N714" s="43" t="s">
        <v>383</v>
      </c>
    </row>
    <row r="715" spans="1:14" ht="15.75" customHeight="1">
      <c r="A715" s="41" t="s">
        <v>681</v>
      </c>
      <c r="B715" s="41" t="s">
        <v>682</v>
      </c>
      <c r="C715" s="41" t="s">
        <v>431</v>
      </c>
      <c r="D715" s="41" t="s">
        <v>432</v>
      </c>
      <c r="E715" s="41" t="s">
        <v>433</v>
      </c>
      <c r="F715" s="42">
        <v>18</v>
      </c>
      <c r="G715" s="41" t="s">
        <v>439</v>
      </c>
      <c r="H715" s="43" t="s">
        <v>440</v>
      </c>
      <c r="I715" s="44">
        <v>60</v>
      </c>
      <c r="J715" s="41"/>
      <c r="K715" s="44">
        <v>990</v>
      </c>
      <c r="L715" s="41" t="s">
        <v>435</v>
      </c>
      <c r="M715" s="44">
        <v>1</v>
      </c>
      <c r="N715" s="43" t="s">
        <v>436</v>
      </c>
    </row>
    <row r="716" spans="1:14" ht="15.75" customHeight="1">
      <c r="A716" s="41" t="s">
        <v>681</v>
      </c>
      <c r="B716" s="41" t="s">
        <v>682</v>
      </c>
      <c r="C716" s="41" t="s">
        <v>431</v>
      </c>
      <c r="D716" s="41" t="s">
        <v>432</v>
      </c>
      <c r="E716" s="41" t="s">
        <v>433</v>
      </c>
      <c r="F716" s="42">
        <v>19</v>
      </c>
      <c r="G716" s="41" t="s">
        <v>368</v>
      </c>
      <c r="H716" s="43" t="s">
        <v>434</v>
      </c>
      <c r="I716" s="44">
        <v>60</v>
      </c>
      <c r="J716" s="41"/>
      <c r="K716" s="44">
        <v>480</v>
      </c>
      <c r="L716" s="41" t="s">
        <v>435</v>
      </c>
      <c r="M716" s="44">
        <v>3</v>
      </c>
      <c r="N716" s="43" t="s">
        <v>436</v>
      </c>
    </row>
    <row r="717" spans="1:14" ht="15.75" customHeight="1">
      <c r="A717" s="41" t="s">
        <v>683</v>
      </c>
      <c r="B717" s="41" t="s">
        <v>296</v>
      </c>
      <c r="C717" s="41" t="s">
        <v>424</v>
      </c>
      <c r="D717" s="41" t="s">
        <v>425</v>
      </c>
      <c r="E717" s="41" t="s">
        <v>48</v>
      </c>
      <c r="F717" s="42">
        <v>4</v>
      </c>
      <c r="G717" s="41" t="s">
        <v>11</v>
      </c>
      <c r="H717" s="43" t="s">
        <v>426</v>
      </c>
      <c r="I717" s="44">
        <v>25</v>
      </c>
      <c r="J717" s="44">
        <v>60</v>
      </c>
      <c r="K717" s="41"/>
      <c r="L717" s="45">
        <v>52000</v>
      </c>
      <c r="M717" s="44">
        <v>1</v>
      </c>
      <c r="N717" s="43" t="s">
        <v>383</v>
      </c>
    </row>
    <row r="718" spans="1:14" ht="15.75" customHeight="1">
      <c r="A718" s="41" t="s">
        <v>683</v>
      </c>
      <c r="B718" s="41" t="s">
        <v>296</v>
      </c>
      <c r="C718" s="41" t="s">
        <v>424</v>
      </c>
      <c r="D718" s="41" t="s">
        <v>425</v>
      </c>
      <c r="E718" s="41" t="s">
        <v>48</v>
      </c>
      <c r="F718" s="42">
        <v>5</v>
      </c>
      <c r="G718" s="41" t="s">
        <v>12</v>
      </c>
      <c r="H718" s="43" t="s">
        <v>427</v>
      </c>
      <c r="I718" s="44">
        <v>130</v>
      </c>
      <c r="J718" s="44">
        <v>60</v>
      </c>
      <c r="K718" s="41"/>
      <c r="L718" s="45">
        <v>52000</v>
      </c>
      <c r="M718" s="44">
        <v>1</v>
      </c>
      <c r="N718" s="43" t="s">
        <v>383</v>
      </c>
    </row>
    <row r="719" spans="1:14" ht="15.75" customHeight="1">
      <c r="A719" s="41" t="s">
        <v>683</v>
      </c>
      <c r="B719" s="41" t="s">
        <v>296</v>
      </c>
      <c r="C719" s="41" t="s">
        <v>424</v>
      </c>
      <c r="D719" s="41" t="s">
        <v>425</v>
      </c>
      <c r="E719" s="41" t="s">
        <v>48</v>
      </c>
      <c r="F719" s="42">
        <v>6</v>
      </c>
      <c r="G719" s="41" t="s">
        <v>13</v>
      </c>
      <c r="H719" s="43" t="s">
        <v>427</v>
      </c>
      <c r="I719" s="44">
        <v>30</v>
      </c>
      <c r="J719" s="44">
        <v>60</v>
      </c>
      <c r="K719" s="41"/>
      <c r="L719" s="45">
        <v>52000</v>
      </c>
      <c r="M719" s="44">
        <v>1</v>
      </c>
      <c r="N719" s="43" t="s">
        <v>383</v>
      </c>
    </row>
    <row r="720" spans="1:14" ht="15.75" customHeight="1">
      <c r="A720" s="41" t="s">
        <v>683</v>
      </c>
      <c r="B720" s="41" t="s">
        <v>296</v>
      </c>
      <c r="C720" s="41" t="s">
        <v>431</v>
      </c>
      <c r="D720" s="41" t="s">
        <v>432</v>
      </c>
      <c r="E720" s="41" t="s">
        <v>433</v>
      </c>
      <c r="F720" s="42">
        <v>18</v>
      </c>
      <c r="G720" s="41" t="s">
        <v>439</v>
      </c>
      <c r="H720" s="43" t="s">
        <v>440</v>
      </c>
      <c r="I720" s="44">
        <v>60</v>
      </c>
      <c r="J720" s="41"/>
      <c r="K720" s="44">
        <v>760</v>
      </c>
      <c r="L720" s="41" t="s">
        <v>435</v>
      </c>
      <c r="M720" s="44">
        <v>1</v>
      </c>
      <c r="N720" s="43" t="s">
        <v>436</v>
      </c>
    </row>
    <row r="721" spans="1:14" ht="15.75" customHeight="1">
      <c r="A721" s="41" t="s">
        <v>683</v>
      </c>
      <c r="B721" s="41" t="s">
        <v>296</v>
      </c>
      <c r="C721" s="41" t="s">
        <v>431</v>
      </c>
      <c r="D721" s="41" t="s">
        <v>432</v>
      </c>
      <c r="E721" s="41" t="s">
        <v>433</v>
      </c>
      <c r="F721" s="42">
        <v>19</v>
      </c>
      <c r="G721" s="41" t="s">
        <v>368</v>
      </c>
      <c r="H721" s="43" t="s">
        <v>434</v>
      </c>
      <c r="I721" s="44">
        <v>60</v>
      </c>
      <c r="J721" s="41"/>
      <c r="K721" s="44">
        <v>770</v>
      </c>
      <c r="L721" s="41" t="s">
        <v>435</v>
      </c>
      <c r="M721" s="44">
        <v>4</v>
      </c>
      <c r="N721" s="43" t="s">
        <v>436</v>
      </c>
    </row>
    <row r="722" spans="1:14" ht="15.75" customHeight="1">
      <c r="A722" s="41" t="s">
        <v>684</v>
      </c>
      <c r="B722" s="41" t="s">
        <v>685</v>
      </c>
      <c r="C722" s="41" t="s">
        <v>424</v>
      </c>
      <c r="D722" s="41" t="s">
        <v>686</v>
      </c>
      <c r="E722" s="41" t="s">
        <v>687</v>
      </c>
      <c r="F722" s="42">
        <v>13</v>
      </c>
      <c r="G722" s="41" t="s">
        <v>11</v>
      </c>
      <c r="H722" s="43" t="s">
        <v>426</v>
      </c>
      <c r="I722" s="44">
        <v>15</v>
      </c>
      <c r="J722" s="44">
        <v>30</v>
      </c>
      <c r="K722" s="41"/>
      <c r="L722" s="45">
        <v>18000</v>
      </c>
      <c r="M722" s="44">
        <v>1</v>
      </c>
      <c r="N722" s="43" t="s">
        <v>383</v>
      </c>
    </row>
    <row r="723" spans="1:14" ht="15.75" customHeight="1">
      <c r="A723" s="41" t="s">
        <v>684</v>
      </c>
      <c r="B723" s="41" t="s">
        <v>685</v>
      </c>
      <c r="C723" s="41" t="s">
        <v>424</v>
      </c>
      <c r="D723" s="41" t="s">
        <v>686</v>
      </c>
      <c r="E723" s="41" t="s">
        <v>687</v>
      </c>
      <c r="F723" s="42">
        <v>14</v>
      </c>
      <c r="G723" s="41" t="s">
        <v>12</v>
      </c>
      <c r="H723" s="43" t="s">
        <v>688</v>
      </c>
      <c r="I723" s="44">
        <v>140</v>
      </c>
      <c r="J723" s="44">
        <v>30</v>
      </c>
      <c r="K723" s="41"/>
      <c r="L723" s="45">
        <v>18000</v>
      </c>
      <c r="M723" s="44">
        <v>1</v>
      </c>
      <c r="N723" s="43" t="s">
        <v>383</v>
      </c>
    </row>
    <row r="724" spans="1:14" ht="15.75" customHeight="1">
      <c r="A724" s="41" t="s">
        <v>684</v>
      </c>
      <c r="B724" s="41" t="s">
        <v>685</v>
      </c>
      <c r="C724" s="41" t="s">
        <v>424</v>
      </c>
      <c r="D724" s="41" t="s">
        <v>686</v>
      </c>
      <c r="E724" s="41" t="s">
        <v>687</v>
      </c>
      <c r="F724" s="42">
        <v>15</v>
      </c>
      <c r="G724" s="41" t="s">
        <v>13</v>
      </c>
      <c r="H724" s="43" t="s">
        <v>688</v>
      </c>
      <c r="I724" s="44">
        <v>30</v>
      </c>
      <c r="J724" s="44">
        <v>30</v>
      </c>
      <c r="K724" s="41"/>
      <c r="L724" s="45">
        <v>18000</v>
      </c>
      <c r="M724" s="44">
        <v>1</v>
      </c>
      <c r="N724" s="43" t="s">
        <v>383</v>
      </c>
    </row>
    <row r="725" spans="1:14" ht="15.75" customHeight="1">
      <c r="A725" s="41" t="s">
        <v>684</v>
      </c>
      <c r="B725" s="41" t="s">
        <v>685</v>
      </c>
      <c r="C725" s="41" t="s">
        <v>431</v>
      </c>
      <c r="D725" s="41" t="s">
        <v>432</v>
      </c>
      <c r="E725" s="41" t="s">
        <v>433</v>
      </c>
      <c r="F725" s="42">
        <v>18</v>
      </c>
      <c r="G725" s="41" t="s">
        <v>439</v>
      </c>
      <c r="H725" s="43" t="s">
        <v>440</v>
      </c>
      <c r="I725" s="44">
        <v>60</v>
      </c>
      <c r="J725" s="41"/>
      <c r="K725" s="44">
        <v>1400</v>
      </c>
      <c r="L725" s="41" t="s">
        <v>435</v>
      </c>
      <c r="M725" s="44">
        <v>1</v>
      </c>
      <c r="N725" s="43" t="s">
        <v>436</v>
      </c>
    </row>
    <row r="726" spans="1:14" ht="15.75" customHeight="1">
      <c r="A726" s="41" t="s">
        <v>684</v>
      </c>
      <c r="B726" s="41" t="s">
        <v>685</v>
      </c>
      <c r="C726" s="41" t="s">
        <v>431</v>
      </c>
      <c r="D726" s="41" t="s">
        <v>432</v>
      </c>
      <c r="E726" s="41" t="s">
        <v>433</v>
      </c>
      <c r="F726" s="42">
        <v>19</v>
      </c>
      <c r="G726" s="41" t="s">
        <v>368</v>
      </c>
      <c r="H726" s="43" t="s">
        <v>434</v>
      </c>
      <c r="I726" s="44">
        <v>60</v>
      </c>
      <c r="J726" s="41"/>
      <c r="K726" s="44">
        <v>650</v>
      </c>
      <c r="L726" s="41" t="s">
        <v>435</v>
      </c>
      <c r="M726" s="44">
        <v>3</v>
      </c>
      <c r="N726" s="43" t="s">
        <v>436</v>
      </c>
    </row>
    <row r="727" spans="1:14" ht="15.75" customHeight="1">
      <c r="A727" s="41" t="s">
        <v>689</v>
      </c>
      <c r="B727" s="41" t="s">
        <v>174</v>
      </c>
      <c r="C727" s="41" t="s">
        <v>424</v>
      </c>
      <c r="D727" s="41" t="s">
        <v>425</v>
      </c>
      <c r="E727" s="41" t="s">
        <v>48</v>
      </c>
      <c r="F727" s="42">
        <v>4</v>
      </c>
      <c r="G727" s="41" t="s">
        <v>11</v>
      </c>
      <c r="H727" s="43" t="s">
        <v>426</v>
      </c>
      <c r="I727" s="44">
        <v>105</v>
      </c>
      <c r="J727" s="44">
        <v>40</v>
      </c>
      <c r="K727" s="41"/>
      <c r="L727" s="45">
        <v>52000</v>
      </c>
      <c r="M727" s="44">
        <v>1</v>
      </c>
      <c r="N727" s="43" t="s">
        <v>383</v>
      </c>
    </row>
    <row r="728" spans="1:14" ht="15.75" customHeight="1">
      <c r="A728" s="41" t="s">
        <v>689</v>
      </c>
      <c r="B728" s="41" t="s">
        <v>174</v>
      </c>
      <c r="C728" s="41" t="s">
        <v>424</v>
      </c>
      <c r="D728" s="41" t="s">
        <v>425</v>
      </c>
      <c r="E728" s="41" t="s">
        <v>48</v>
      </c>
      <c r="F728" s="42">
        <v>5</v>
      </c>
      <c r="G728" s="41" t="s">
        <v>12</v>
      </c>
      <c r="H728" s="43" t="s">
        <v>427</v>
      </c>
      <c r="I728" s="44">
        <v>120</v>
      </c>
      <c r="J728" s="44">
        <v>40</v>
      </c>
      <c r="K728" s="41"/>
      <c r="L728" s="45">
        <v>52000</v>
      </c>
      <c r="M728" s="44">
        <v>1</v>
      </c>
      <c r="N728" s="43" t="s">
        <v>383</v>
      </c>
    </row>
    <row r="729" spans="1:14" ht="15.75" customHeight="1">
      <c r="A729" s="41" t="s">
        <v>689</v>
      </c>
      <c r="B729" s="41" t="s">
        <v>174</v>
      </c>
      <c r="C729" s="41" t="s">
        <v>424</v>
      </c>
      <c r="D729" s="41" t="s">
        <v>425</v>
      </c>
      <c r="E729" s="41" t="s">
        <v>48</v>
      </c>
      <c r="F729" s="42">
        <v>6</v>
      </c>
      <c r="G729" s="41" t="s">
        <v>13</v>
      </c>
      <c r="H729" s="43" t="s">
        <v>427</v>
      </c>
      <c r="I729" s="44">
        <v>90</v>
      </c>
      <c r="J729" s="44">
        <v>40</v>
      </c>
      <c r="K729" s="41"/>
      <c r="L729" s="45">
        <v>52000</v>
      </c>
      <c r="M729" s="44">
        <v>1</v>
      </c>
      <c r="N729" s="43" t="s">
        <v>383</v>
      </c>
    </row>
    <row r="730" spans="1:14" ht="15.75" customHeight="1">
      <c r="A730" s="41" t="s">
        <v>689</v>
      </c>
      <c r="B730" s="41" t="s">
        <v>174</v>
      </c>
      <c r="C730" s="41" t="s">
        <v>431</v>
      </c>
      <c r="D730" s="41" t="s">
        <v>432</v>
      </c>
      <c r="E730" s="41" t="s">
        <v>433</v>
      </c>
      <c r="F730" s="42">
        <v>19</v>
      </c>
      <c r="G730" s="41" t="s">
        <v>368</v>
      </c>
      <c r="H730" s="43" t="s">
        <v>434</v>
      </c>
      <c r="I730" s="44">
        <v>60</v>
      </c>
      <c r="J730" s="41"/>
      <c r="K730" s="44">
        <v>750</v>
      </c>
      <c r="L730" s="41" t="s">
        <v>435</v>
      </c>
      <c r="M730" s="44">
        <v>4</v>
      </c>
      <c r="N730" s="43" t="s">
        <v>436</v>
      </c>
    </row>
    <row r="731" spans="1:14" ht="15.75" customHeight="1">
      <c r="A731" s="41" t="s">
        <v>690</v>
      </c>
      <c r="B731" s="41" t="s">
        <v>691</v>
      </c>
      <c r="C731" s="41" t="s">
        <v>424</v>
      </c>
      <c r="D731" s="41" t="s">
        <v>425</v>
      </c>
      <c r="E731" s="41" t="s">
        <v>48</v>
      </c>
      <c r="F731" s="42">
        <v>4</v>
      </c>
      <c r="G731" s="41" t="s">
        <v>11</v>
      </c>
      <c r="H731" s="43" t="s">
        <v>426</v>
      </c>
      <c r="I731" s="44">
        <v>75</v>
      </c>
      <c r="J731" s="44">
        <v>35.5</v>
      </c>
      <c r="K731" s="41"/>
      <c r="L731" s="45">
        <v>52000</v>
      </c>
      <c r="M731" s="44">
        <v>1</v>
      </c>
      <c r="N731" s="43" t="s">
        <v>383</v>
      </c>
    </row>
    <row r="732" spans="1:14" ht="15.75" customHeight="1">
      <c r="A732" s="41" t="s">
        <v>690</v>
      </c>
      <c r="B732" s="41" t="s">
        <v>691</v>
      </c>
      <c r="C732" s="41" t="s">
        <v>424</v>
      </c>
      <c r="D732" s="41" t="s">
        <v>425</v>
      </c>
      <c r="E732" s="41" t="s">
        <v>48</v>
      </c>
      <c r="F732" s="42">
        <v>5</v>
      </c>
      <c r="G732" s="41" t="s">
        <v>12</v>
      </c>
      <c r="H732" s="43" t="s">
        <v>427</v>
      </c>
      <c r="I732" s="44">
        <v>50</v>
      </c>
      <c r="J732" s="44">
        <v>35.5</v>
      </c>
      <c r="K732" s="41"/>
      <c r="L732" s="45">
        <v>52000</v>
      </c>
      <c r="M732" s="44">
        <v>1</v>
      </c>
      <c r="N732" s="43" t="s">
        <v>383</v>
      </c>
    </row>
    <row r="733" spans="1:14" ht="15.75" customHeight="1">
      <c r="A733" s="41" t="s">
        <v>690</v>
      </c>
      <c r="B733" s="41" t="s">
        <v>691</v>
      </c>
      <c r="C733" s="41" t="s">
        <v>424</v>
      </c>
      <c r="D733" s="41" t="s">
        <v>425</v>
      </c>
      <c r="E733" s="41" t="s">
        <v>48</v>
      </c>
      <c r="F733" s="42">
        <v>6</v>
      </c>
      <c r="G733" s="41" t="s">
        <v>13</v>
      </c>
      <c r="H733" s="43" t="s">
        <v>427</v>
      </c>
      <c r="I733" s="44">
        <v>30</v>
      </c>
      <c r="J733" s="44">
        <v>35.5</v>
      </c>
      <c r="K733" s="41"/>
      <c r="L733" s="45">
        <v>52000</v>
      </c>
      <c r="M733" s="44">
        <v>1</v>
      </c>
      <c r="N733" s="43" t="s">
        <v>383</v>
      </c>
    </row>
    <row r="734" spans="1:14" ht="15.75" customHeight="1">
      <c r="A734" s="41" t="s">
        <v>690</v>
      </c>
      <c r="B734" s="41" t="s">
        <v>691</v>
      </c>
      <c r="C734" s="41" t="s">
        <v>431</v>
      </c>
      <c r="D734" s="41" t="s">
        <v>432</v>
      </c>
      <c r="E734" s="41" t="s">
        <v>433</v>
      </c>
      <c r="F734" s="42">
        <v>18</v>
      </c>
      <c r="G734" s="41" t="s">
        <v>439</v>
      </c>
      <c r="H734" s="43" t="s">
        <v>440</v>
      </c>
      <c r="I734" s="44">
        <v>60</v>
      </c>
      <c r="J734" s="41"/>
      <c r="K734" s="44">
        <v>800</v>
      </c>
      <c r="L734" s="41" t="s">
        <v>435</v>
      </c>
      <c r="M734" s="44">
        <v>1</v>
      </c>
      <c r="N734" s="43" t="s">
        <v>436</v>
      </c>
    </row>
    <row r="735" spans="1:14" ht="15.75" customHeight="1">
      <c r="A735" s="41" t="s">
        <v>690</v>
      </c>
      <c r="B735" s="41" t="s">
        <v>691</v>
      </c>
      <c r="C735" s="41" t="s">
        <v>431</v>
      </c>
      <c r="D735" s="41" t="s">
        <v>432</v>
      </c>
      <c r="E735" s="41" t="s">
        <v>433</v>
      </c>
      <c r="F735" s="42">
        <v>19</v>
      </c>
      <c r="G735" s="41" t="s">
        <v>368</v>
      </c>
      <c r="H735" s="43" t="s">
        <v>434</v>
      </c>
      <c r="I735" s="44">
        <v>60</v>
      </c>
      <c r="J735" s="41"/>
      <c r="K735" s="44">
        <v>860</v>
      </c>
      <c r="L735" s="41" t="s">
        <v>435</v>
      </c>
      <c r="M735" s="44">
        <v>3</v>
      </c>
      <c r="N735" s="43" t="s">
        <v>436</v>
      </c>
    </row>
    <row r="736" spans="1:14" ht="15.75" customHeight="1">
      <c r="A736" s="41" t="s">
        <v>692</v>
      </c>
      <c r="B736" s="41" t="s">
        <v>693</v>
      </c>
      <c r="C736" s="41" t="s">
        <v>424</v>
      </c>
      <c r="D736" s="41" t="s">
        <v>425</v>
      </c>
      <c r="E736" s="41" t="s">
        <v>48</v>
      </c>
      <c r="F736" s="42">
        <v>4</v>
      </c>
      <c r="G736" s="41" t="s">
        <v>11</v>
      </c>
      <c r="H736" s="43" t="s">
        <v>426</v>
      </c>
      <c r="I736" s="44">
        <v>20</v>
      </c>
      <c r="J736" s="44">
        <v>50</v>
      </c>
      <c r="K736" s="41"/>
      <c r="L736" s="45">
        <v>52000</v>
      </c>
      <c r="M736" s="44">
        <v>1</v>
      </c>
      <c r="N736" s="43" t="s">
        <v>383</v>
      </c>
    </row>
    <row r="737" spans="1:14" ht="15.75" customHeight="1">
      <c r="A737" s="41" t="s">
        <v>692</v>
      </c>
      <c r="B737" s="41" t="s">
        <v>693</v>
      </c>
      <c r="C737" s="41" t="s">
        <v>424</v>
      </c>
      <c r="D737" s="41" t="s">
        <v>425</v>
      </c>
      <c r="E737" s="41" t="s">
        <v>48</v>
      </c>
      <c r="F737" s="42">
        <v>5</v>
      </c>
      <c r="G737" s="41" t="s">
        <v>12</v>
      </c>
      <c r="H737" s="43" t="s">
        <v>427</v>
      </c>
      <c r="I737" s="44">
        <v>140</v>
      </c>
      <c r="J737" s="44">
        <v>50</v>
      </c>
      <c r="K737" s="41"/>
      <c r="L737" s="45">
        <v>52000</v>
      </c>
      <c r="M737" s="44">
        <v>1</v>
      </c>
      <c r="N737" s="43" t="s">
        <v>383</v>
      </c>
    </row>
    <row r="738" spans="1:14" ht="15.75" customHeight="1">
      <c r="A738" s="41" t="s">
        <v>692</v>
      </c>
      <c r="B738" s="41" t="s">
        <v>693</v>
      </c>
      <c r="C738" s="41" t="s">
        <v>424</v>
      </c>
      <c r="D738" s="41" t="s">
        <v>425</v>
      </c>
      <c r="E738" s="41" t="s">
        <v>48</v>
      </c>
      <c r="F738" s="42">
        <v>6</v>
      </c>
      <c r="G738" s="41" t="s">
        <v>13</v>
      </c>
      <c r="H738" s="43" t="s">
        <v>427</v>
      </c>
      <c r="I738" s="44">
        <v>30</v>
      </c>
      <c r="J738" s="44">
        <v>50</v>
      </c>
      <c r="K738" s="41"/>
      <c r="L738" s="45">
        <v>52000</v>
      </c>
      <c r="M738" s="44">
        <v>1</v>
      </c>
      <c r="N738" s="43" t="s">
        <v>383</v>
      </c>
    </row>
    <row r="739" spans="1:14" ht="15.75" customHeight="1">
      <c r="A739" s="41" t="s">
        <v>692</v>
      </c>
      <c r="B739" s="41" t="s">
        <v>693</v>
      </c>
      <c r="C739" s="41" t="s">
        <v>431</v>
      </c>
      <c r="D739" s="41" t="s">
        <v>432</v>
      </c>
      <c r="E739" s="41" t="s">
        <v>433</v>
      </c>
      <c r="F739" s="42">
        <v>18</v>
      </c>
      <c r="G739" s="41" t="s">
        <v>439</v>
      </c>
      <c r="H739" s="43" t="s">
        <v>440</v>
      </c>
      <c r="I739" s="44">
        <v>60</v>
      </c>
      <c r="J739" s="41"/>
      <c r="K739" s="44">
        <v>1000</v>
      </c>
      <c r="L739" s="41" t="s">
        <v>435</v>
      </c>
      <c r="M739" s="44">
        <v>1</v>
      </c>
      <c r="N739" s="43" t="s">
        <v>436</v>
      </c>
    </row>
    <row r="740" spans="1:14" ht="15.75" customHeight="1">
      <c r="A740" s="41" t="s">
        <v>692</v>
      </c>
      <c r="B740" s="41" t="s">
        <v>693</v>
      </c>
      <c r="C740" s="41" t="s">
        <v>431</v>
      </c>
      <c r="D740" s="41" t="s">
        <v>432</v>
      </c>
      <c r="E740" s="41" t="s">
        <v>433</v>
      </c>
      <c r="F740" s="42">
        <v>19</v>
      </c>
      <c r="G740" s="41" t="s">
        <v>368</v>
      </c>
      <c r="H740" s="43" t="s">
        <v>434</v>
      </c>
      <c r="I740" s="44">
        <v>60</v>
      </c>
      <c r="J740" s="41"/>
      <c r="K740" s="44">
        <v>900</v>
      </c>
      <c r="L740" s="41" t="s">
        <v>435</v>
      </c>
      <c r="M740" s="44">
        <v>4</v>
      </c>
      <c r="N740" s="43" t="s">
        <v>436</v>
      </c>
    </row>
    <row r="741" spans="1:14" ht="15.75" customHeight="1">
      <c r="A741" s="41" t="s">
        <v>694</v>
      </c>
      <c r="B741" s="41" t="s">
        <v>695</v>
      </c>
      <c r="C741" s="41" t="s">
        <v>442</v>
      </c>
      <c r="D741" s="41" t="s">
        <v>448</v>
      </c>
      <c r="E741" s="41" t="s">
        <v>40</v>
      </c>
      <c r="F741" s="42">
        <v>1</v>
      </c>
      <c r="G741" s="41" t="s">
        <v>11</v>
      </c>
      <c r="H741" s="43" t="s">
        <v>426</v>
      </c>
      <c r="I741" s="44">
        <v>80</v>
      </c>
      <c r="J741" s="44">
        <v>35</v>
      </c>
      <c r="K741" s="41"/>
      <c r="L741" s="45">
        <v>400000</v>
      </c>
      <c r="M741" s="44">
        <v>1</v>
      </c>
      <c r="N741" s="43" t="s">
        <v>383</v>
      </c>
    </row>
    <row r="742" spans="1:14" ht="15.75" customHeight="1">
      <c r="A742" s="41" t="s">
        <v>694</v>
      </c>
      <c r="B742" s="41" t="s">
        <v>695</v>
      </c>
      <c r="C742" s="41" t="s">
        <v>442</v>
      </c>
      <c r="D742" s="41" t="s">
        <v>448</v>
      </c>
      <c r="E742" s="41" t="s">
        <v>40</v>
      </c>
      <c r="F742" s="42">
        <v>2</v>
      </c>
      <c r="G742" s="41" t="s">
        <v>12</v>
      </c>
      <c r="H742" s="43" t="s">
        <v>449</v>
      </c>
      <c r="I742" s="44">
        <v>110</v>
      </c>
      <c r="J742" s="44">
        <v>35</v>
      </c>
      <c r="K742" s="41"/>
      <c r="L742" s="45">
        <v>400000</v>
      </c>
      <c r="M742" s="44">
        <v>1</v>
      </c>
      <c r="N742" s="43" t="s">
        <v>383</v>
      </c>
    </row>
    <row r="743" spans="1:14" ht="15.75" customHeight="1">
      <c r="A743" s="41" t="s">
        <v>694</v>
      </c>
      <c r="B743" s="41" t="s">
        <v>695</v>
      </c>
      <c r="C743" s="41" t="s">
        <v>442</v>
      </c>
      <c r="D743" s="41" t="s">
        <v>448</v>
      </c>
      <c r="E743" s="41" t="s">
        <v>40</v>
      </c>
      <c r="F743" s="42">
        <v>3</v>
      </c>
      <c r="G743" s="41" t="s">
        <v>13</v>
      </c>
      <c r="H743" s="43" t="s">
        <v>449</v>
      </c>
      <c r="I743" s="44">
        <v>30</v>
      </c>
      <c r="J743" s="44">
        <v>35</v>
      </c>
      <c r="K743" s="41"/>
      <c r="L743" s="45">
        <v>400000</v>
      </c>
      <c r="M743" s="44">
        <v>1</v>
      </c>
      <c r="N743" s="43" t="s">
        <v>383</v>
      </c>
    </row>
    <row r="744" spans="1:14" ht="15.75" customHeight="1">
      <c r="A744" s="41" t="s">
        <v>694</v>
      </c>
      <c r="B744" s="41" t="s">
        <v>695</v>
      </c>
      <c r="C744" s="41" t="s">
        <v>431</v>
      </c>
      <c r="D744" s="41" t="s">
        <v>432</v>
      </c>
      <c r="E744" s="41" t="s">
        <v>433</v>
      </c>
      <c r="F744" s="42">
        <v>18</v>
      </c>
      <c r="G744" s="41" t="s">
        <v>439</v>
      </c>
      <c r="H744" s="43" t="s">
        <v>440</v>
      </c>
      <c r="I744" s="44">
        <v>60</v>
      </c>
      <c r="J744" s="41"/>
      <c r="K744" s="44">
        <v>2000</v>
      </c>
      <c r="L744" s="41" t="s">
        <v>435</v>
      </c>
      <c r="M744" s="44">
        <v>1</v>
      </c>
      <c r="N744" s="43" t="s">
        <v>436</v>
      </c>
    </row>
    <row r="745" spans="1:14" ht="15.75" customHeight="1">
      <c r="A745" s="41" t="s">
        <v>694</v>
      </c>
      <c r="B745" s="41" t="s">
        <v>695</v>
      </c>
      <c r="C745" s="41" t="s">
        <v>431</v>
      </c>
      <c r="D745" s="41" t="s">
        <v>432</v>
      </c>
      <c r="E745" s="41" t="s">
        <v>433</v>
      </c>
      <c r="F745" s="42">
        <v>19</v>
      </c>
      <c r="G745" s="41" t="s">
        <v>368</v>
      </c>
      <c r="H745" s="43" t="s">
        <v>434</v>
      </c>
      <c r="I745" s="44">
        <v>60</v>
      </c>
      <c r="J745" s="41"/>
      <c r="K745" s="44">
        <v>1100</v>
      </c>
      <c r="L745" s="41" t="s">
        <v>435</v>
      </c>
      <c r="M745" s="44">
        <v>3</v>
      </c>
      <c r="N745" s="43" t="s">
        <v>436</v>
      </c>
    </row>
    <row r="746" spans="1:14" ht="15.75" customHeight="1">
      <c r="A746" s="41" t="s">
        <v>696</v>
      </c>
      <c r="B746" s="41" t="s">
        <v>697</v>
      </c>
      <c r="C746" s="41" t="s">
        <v>442</v>
      </c>
      <c r="D746" s="41" t="s">
        <v>448</v>
      </c>
      <c r="E746" s="41" t="s">
        <v>40</v>
      </c>
      <c r="F746" s="42">
        <v>1</v>
      </c>
      <c r="G746" s="41" t="s">
        <v>11</v>
      </c>
      <c r="H746" s="43" t="s">
        <v>426</v>
      </c>
      <c r="I746" s="44">
        <v>50</v>
      </c>
      <c r="J746" s="44">
        <v>150</v>
      </c>
      <c r="K746" s="41"/>
      <c r="L746" s="45">
        <v>400000</v>
      </c>
      <c r="M746" s="44">
        <v>1</v>
      </c>
      <c r="N746" s="43" t="s">
        <v>383</v>
      </c>
    </row>
    <row r="747" spans="1:14" ht="15.75" customHeight="1">
      <c r="A747" s="41" t="s">
        <v>696</v>
      </c>
      <c r="B747" s="41" t="s">
        <v>697</v>
      </c>
      <c r="C747" s="41" t="s">
        <v>442</v>
      </c>
      <c r="D747" s="41" t="s">
        <v>448</v>
      </c>
      <c r="E747" s="41" t="s">
        <v>40</v>
      </c>
      <c r="F747" s="42">
        <v>2</v>
      </c>
      <c r="G747" s="41" t="s">
        <v>12</v>
      </c>
      <c r="H747" s="43" t="s">
        <v>449</v>
      </c>
      <c r="I747" s="44">
        <v>120</v>
      </c>
      <c r="J747" s="44">
        <v>150</v>
      </c>
      <c r="K747" s="41"/>
      <c r="L747" s="45">
        <v>400000</v>
      </c>
      <c r="M747" s="44">
        <v>1</v>
      </c>
      <c r="N747" s="43" t="s">
        <v>383</v>
      </c>
    </row>
    <row r="748" spans="1:14" ht="15.75" customHeight="1">
      <c r="A748" s="41" t="s">
        <v>696</v>
      </c>
      <c r="B748" s="41" t="s">
        <v>697</v>
      </c>
      <c r="C748" s="41" t="s">
        <v>442</v>
      </c>
      <c r="D748" s="41" t="s">
        <v>448</v>
      </c>
      <c r="E748" s="41" t="s">
        <v>40</v>
      </c>
      <c r="F748" s="42">
        <v>3</v>
      </c>
      <c r="G748" s="41" t="s">
        <v>13</v>
      </c>
      <c r="H748" s="43" t="s">
        <v>449</v>
      </c>
      <c r="I748" s="44">
        <v>30</v>
      </c>
      <c r="J748" s="44">
        <v>150</v>
      </c>
      <c r="K748" s="41"/>
      <c r="L748" s="45">
        <v>400000</v>
      </c>
      <c r="M748" s="44">
        <v>1</v>
      </c>
      <c r="N748" s="43" t="s">
        <v>383</v>
      </c>
    </row>
    <row r="749" spans="1:14" ht="15.75" customHeight="1">
      <c r="A749" s="41" t="s">
        <v>696</v>
      </c>
      <c r="B749" s="41" t="s">
        <v>697</v>
      </c>
      <c r="C749" s="41" t="s">
        <v>431</v>
      </c>
      <c r="D749" s="41" t="s">
        <v>432</v>
      </c>
      <c r="E749" s="41" t="s">
        <v>433</v>
      </c>
      <c r="F749" s="42">
        <v>18</v>
      </c>
      <c r="G749" s="41" t="s">
        <v>439</v>
      </c>
      <c r="H749" s="43" t="s">
        <v>440</v>
      </c>
      <c r="I749" s="44">
        <v>60</v>
      </c>
      <c r="J749" s="41"/>
      <c r="K749" s="44">
        <v>600</v>
      </c>
      <c r="L749" s="41" t="s">
        <v>435</v>
      </c>
      <c r="M749" s="44">
        <v>1</v>
      </c>
      <c r="N749" s="43" t="s">
        <v>436</v>
      </c>
    </row>
    <row r="750" spans="1:14" ht="15.75" customHeight="1">
      <c r="A750" s="41" t="s">
        <v>696</v>
      </c>
      <c r="B750" s="41" t="s">
        <v>697</v>
      </c>
      <c r="C750" s="41" t="s">
        <v>431</v>
      </c>
      <c r="D750" s="41" t="s">
        <v>432</v>
      </c>
      <c r="E750" s="41" t="s">
        <v>433</v>
      </c>
      <c r="F750" s="42">
        <v>19</v>
      </c>
      <c r="G750" s="41" t="s">
        <v>368</v>
      </c>
      <c r="H750" s="43" t="s">
        <v>434</v>
      </c>
      <c r="I750" s="44">
        <v>60</v>
      </c>
      <c r="J750" s="41"/>
      <c r="K750" s="44">
        <v>650</v>
      </c>
      <c r="L750" s="41" t="s">
        <v>435</v>
      </c>
      <c r="M750" s="44">
        <v>3</v>
      </c>
      <c r="N750" s="43" t="s">
        <v>436</v>
      </c>
    </row>
    <row r="751" spans="1:14" ht="15.75" customHeight="1">
      <c r="A751" s="41" t="s">
        <v>698</v>
      </c>
      <c r="B751" s="41" t="s">
        <v>699</v>
      </c>
      <c r="C751" s="41" t="s">
        <v>442</v>
      </c>
      <c r="D751" s="41" t="s">
        <v>443</v>
      </c>
      <c r="E751" s="41" t="s">
        <v>33</v>
      </c>
      <c r="F751" s="42">
        <v>10</v>
      </c>
      <c r="G751" s="41" t="s">
        <v>11</v>
      </c>
      <c r="H751" s="43" t="s">
        <v>426</v>
      </c>
      <c r="I751" s="44">
        <v>20</v>
      </c>
      <c r="J751" s="44">
        <v>30</v>
      </c>
      <c r="K751" s="41"/>
      <c r="L751" s="45">
        <v>100000</v>
      </c>
      <c r="M751" s="44">
        <v>1</v>
      </c>
      <c r="N751" s="43" t="s">
        <v>383</v>
      </c>
    </row>
    <row r="752" spans="1:14" ht="15.75" customHeight="1">
      <c r="A752" s="41" t="s">
        <v>698</v>
      </c>
      <c r="B752" s="41" t="s">
        <v>699</v>
      </c>
      <c r="C752" s="41" t="s">
        <v>442</v>
      </c>
      <c r="D752" s="41" t="s">
        <v>443</v>
      </c>
      <c r="E752" s="41" t="s">
        <v>33</v>
      </c>
      <c r="F752" s="42">
        <v>11</v>
      </c>
      <c r="G752" s="41" t="s">
        <v>12</v>
      </c>
      <c r="H752" s="43" t="s">
        <v>444</v>
      </c>
      <c r="I752" s="44">
        <v>100</v>
      </c>
      <c r="J752" s="44">
        <v>30</v>
      </c>
      <c r="K752" s="41"/>
      <c r="L752" s="45">
        <v>100000</v>
      </c>
      <c r="M752" s="44">
        <v>1</v>
      </c>
      <c r="N752" s="43" t="s">
        <v>383</v>
      </c>
    </row>
    <row r="753" spans="1:14" ht="15.75" customHeight="1">
      <c r="A753" s="41" t="s">
        <v>698</v>
      </c>
      <c r="B753" s="41" t="s">
        <v>699</v>
      </c>
      <c r="C753" s="41" t="s">
        <v>442</v>
      </c>
      <c r="D753" s="41" t="s">
        <v>443</v>
      </c>
      <c r="E753" s="41" t="s">
        <v>33</v>
      </c>
      <c r="F753" s="42">
        <v>12</v>
      </c>
      <c r="G753" s="41" t="s">
        <v>13</v>
      </c>
      <c r="H753" s="43" t="s">
        <v>444</v>
      </c>
      <c r="I753" s="44">
        <v>10</v>
      </c>
      <c r="J753" s="44">
        <v>30</v>
      </c>
      <c r="K753" s="41"/>
      <c r="L753" s="45">
        <v>100000</v>
      </c>
      <c r="M753" s="44">
        <v>1</v>
      </c>
      <c r="N753" s="43" t="s">
        <v>383</v>
      </c>
    </row>
    <row r="754" spans="1:14" ht="15.75" customHeight="1">
      <c r="A754" s="41" t="s">
        <v>698</v>
      </c>
      <c r="B754" s="41" t="s">
        <v>699</v>
      </c>
      <c r="C754" s="41" t="s">
        <v>431</v>
      </c>
      <c r="D754" s="41" t="s">
        <v>432</v>
      </c>
      <c r="E754" s="41" t="s">
        <v>433</v>
      </c>
      <c r="F754" s="42">
        <v>18</v>
      </c>
      <c r="G754" s="41" t="s">
        <v>439</v>
      </c>
      <c r="H754" s="43" t="s">
        <v>440</v>
      </c>
      <c r="I754" s="44">
        <v>60</v>
      </c>
      <c r="J754" s="41"/>
      <c r="K754" s="44">
        <v>870</v>
      </c>
      <c r="L754" s="41" t="s">
        <v>435</v>
      </c>
      <c r="M754" s="44">
        <v>1</v>
      </c>
      <c r="N754" s="43" t="s">
        <v>436</v>
      </c>
    </row>
    <row r="755" spans="1:14" ht="15.75" customHeight="1">
      <c r="A755" s="41" t="s">
        <v>698</v>
      </c>
      <c r="B755" s="41" t="s">
        <v>699</v>
      </c>
      <c r="C755" s="41" t="s">
        <v>431</v>
      </c>
      <c r="D755" s="41" t="s">
        <v>432</v>
      </c>
      <c r="E755" s="41" t="s">
        <v>433</v>
      </c>
      <c r="F755" s="42">
        <v>19</v>
      </c>
      <c r="G755" s="41" t="s">
        <v>368</v>
      </c>
      <c r="H755" s="43" t="s">
        <v>434</v>
      </c>
      <c r="I755" s="44">
        <v>60</v>
      </c>
      <c r="J755" s="41"/>
      <c r="K755" s="44">
        <v>1200</v>
      </c>
      <c r="L755" s="41" t="s">
        <v>435</v>
      </c>
      <c r="M755" s="44">
        <v>4</v>
      </c>
      <c r="N755" s="43" t="s">
        <v>436</v>
      </c>
    </row>
    <row r="756" spans="1:14" ht="15.75" customHeight="1">
      <c r="A756" s="41" t="s">
        <v>700</v>
      </c>
      <c r="B756" s="41" t="s">
        <v>701</v>
      </c>
      <c r="C756" s="41" t="s">
        <v>424</v>
      </c>
      <c r="D756" s="41" t="s">
        <v>425</v>
      </c>
      <c r="E756" s="41" t="s">
        <v>48</v>
      </c>
      <c r="F756" s="42">
        <v>4</v>
      </c>
      <c r="G756" s="41" t="s">
        <v>11</v>
      </c>
      <c r="H756" s="43" t="s">
        <v>426</v>
      </c>
      <c r="I756" s="44">
        <v>20</v>
      </c>
      <c r="J756" s="44">
        <v>15</v>
      </c>
      <c r="K756" s="41"/>
      <c r="L756" s="45">
        <v>52000</v>
      </c>
      <c r="M756" s="44">
        <v>1</v>
      </c>
      <c r="N756" s="43" t="s">
        <v>383</v>
      </c>
    </row>
    <row r="757" spans="1:14" ht="15.75" customHeight="1">
      <c r="A757" s="41" t="s">
        <v>700</v>
      </c>
      <c r="B757" s="41" t="s">
        <v>701</v>
      </c>
      <c r="C757" s="41" t="s">
        <v>424</v>
      </c>
      <c r="D757" s="41" t="s">
        <v>425</v>
      </c>
      <c r="E757" s="41" t="s">
        <v>48</v>
      </c>
      <c r="F757" s="42">
        <v>5</v>
      </c>
      <c r="G757" s="41" t="s">
        <v>12</v>
      </c>
      <c r="H757" s="43" t="s">
        <v>427</v>
      </c>
      <c r="I757" s="44">
        <v>140</v>
      </c>
      <c r="J757" s="44">
        <v>15</v>
      </c>
      <c r="K757" s="41"/>
      <c r="L757" s="45">
        <v>52000</v>
      </c>
      <c r="M757" s="44">
        <v>1</v>
      </c>
      <c r="N757" s="43" t="s">
        <v>383</v>
      </c>
    </row>
    <row r="758" spans="1:14" ht="15.75" customHeight="1">
      <c r="A758" s="41" t="s">
        <v>700</v>
      </c>
      <c r="B758" s="41" t="s">
        <v>701</v>
      </c>
      <c r="C758" s="41" t="s">
        <v>424</v>
      </c>
      <c r="D758" s="41" t="s">
        <v>425</v>
      </c>
      <c r="E758" s="41" t="s">
        <v>48</v>
      </c>
      <c r="F758" s="42">
        <v>6</v>
      </c>
      <c r="G758" s="41" t="s">
        <v>13</v>
      </c>
      <c r="H758" s="43" t="s">
        <v>427</v>
      </c>
      <c r="I758" s="44">
        <v>30</v>
      </c>
      <c r="J758" s="44">
        <v>15</v>
      </c>
      <c r="K758" s="41"/>
      <c r="L758" s="45">
        <v>52000</v>
      </c>
      <c r="M758" s="44">
        <v>1</v>
      </c>
      <c r="N758" s="43" t="s">
        <v>383</v>
      </c>
    </row>
    <row r="759" spans="1:14" ht="15.75" customHeight="1">
      <c r="A759" s="41" t="s">
        <v>700</v>
      </c>
      <c r="B759" s="41" t="s">
        <v>701</v>
      </c>
      <c r="C759" s="41" t="s">
        <v>431</v>
      </c>
      <c r="D759" s="41" t="s">
        <v>432</v>
      </c>
      <c r="E759" s="41" t="s">
        <v>433</v>
      </c>
      <c r="F759" s="42">
        <v>18</v>
      </c>
      <c r="G759" s="41" t="s">
        <v>439</v>
      </c>
      <c r="H759" s="43" t="s">
        <v>440</v>
      </c>
      <c r="I759" s="44">
        <v>60</v>
      </c>
      <c r="J759" s="41"/>
      <c r="K759" s="44">
        <v>1000</v>
      </c>
      <c r="L759" s="41" t="s">
        <v>435</v>
      </c>
      <c r="M759" s="44">
        <v>1</v>
      </c>
      <c r="N759" s="43" t="s">
        <v>436</v>
      </c>
    </row>
    <row r="760" spans="1:14" ht="15.75" customHeight="1">
      <c r="A760" s="41" t="s">
        <v>700</v>
      </c>
      <c r="B760" s="41" t="s">
        <v>701</v>
      </c>
      <c r="C760" s="41" t="s">
        <v>431</v>
      </c>
      <c r="D760" s="41" t="s">
        <v>432</v>
      </c>
      <c r="E760" s="41" t="s">
        <v>433</v>
      </c>
      <c r="F760" s="42">
        <v>19</v>
      </c>
      <c r="G760" s="41" t="s">
        <v>368</v>
      </c>
      <c r="H760" s="43" t="s">
        <v>434</v>
      </c>
      <c r="I760" s="44">
        <v>60</v>
      </c>
      <c r="J760" s="41"/>
      <c r="K760" s="44">
        <v>1200</v>
      </c>
      <c r="L760" s="41" t="s">
        <v>435</v>
      </c>
      <c r="M760" s="44">
        <v>4</v>
      </c>
      <c r="N760" s="43" t="s">
        <v>436</v>
      </c>
    </row>
    <row r="761" spans="1:14" ht="15.75" customHeight="1">
      <c r="A761" s="41" t="s">
        <v>702</v>
      </c>
      <c r="B761" s="41" t="s">
        <v>703</v>
      </c>
      <c r="C761" s="41" t="s">
        <v>424</v>
      </c>
      <c r="D761" s="41" t="s">
        <v>425</v>
      </c>
      <c r="E761" s="41" t="s">
        <v>48</v>
      </c>
      <c r="F761" s="42">
        <v>4</v>
      </c>
      <c r="G761" s="41" t="s">
        <v>11</v>
      </c>
      <c r="H761" s="43" t="s">
        <v>426</v>
      </c>
      <c r="I761" s="44">
        <v>20</v>
      </c>
      <c r="J761" s="44">
        <v>50</v>
      </c>
      <c r="K761" s="41"/>
      <c r="L761" s="45">
        <v>52000</v>
      </c>
      <c r="M761" s="44">
        <v>1</v>
      </c>
      <c r="N761" s="43" t="s">
        <v>383</v>
      </c>
    </row>
    <row r="762" spans="1:14" ht="15.75" customHeight="1">
      <c r="A762" s="41" t="s">
        <v>702</v>
      </c>
      <c r="B762" s="41" t="s">
        <v>703</v>
      </c>
      <c r="C762" s="41" t="s">
        <v>424</v>
      </c>
      <c r="D762" s="41" t="s">
        <v>425</v>
      </c>
      <c r="E762" s="41" t="s">
        <v>48</v>
      </c>
      <c r="F762" s="42">
        <v>5</v>
      </c>
      <c r="G762" s="41" t="s">
        <v>12</v>
      </c>
      <c r="H762" s="43" t="s">
        <v>427</v>
      </c>
      <c r="I762" s="44">
        <v>140</v>
      </c>
      <c r="J762" s="44">
        <v>50</v>
      </c>
      <c r="K762" s="41"/>
      <c r="L762" s="45">
        <v>52000</v>
      </c>
      <c r="M762" s="44">
        <v>1</v>
      </c>
      <c r="N762" s="43" t="s">
        <v>383</v>
      </c>
    </row>
    <row r="763" spans="1:14" ht="15.75" customHeight="1">
      <c r="A763" s="41" t="s">
        <v>702</v>
      </c>
      <c r="B763" s="41" t="s">
        <v>703</v>
      </c>
      <c r="C763" s="41" t="s">
        <v>424</v>
      </c>
      <c r="D763" s="41" t="s">
        <v>425</v>
      </c>
      <c r="E763" s="41" t="s">
        <v>48</v>
      </c>
      <c r="F763" s="42">
        <v>6</v>
      </c>
      <c r="G763" s="41" t="s">
        <v>13</v>
      </c>
      <c r="H763" s="43" t="s">
        <v>427</v>
      </c>
      <c r="I763" s="44">
        <v>30</v>
      </c>
      <c r="J763" s="44">
        <v>50</v>
      </c>
      <c r="K763" s="41"/>
      <c r="L763" s="45">
        <v>52000</v>
      </c>
      <c r="M763" s="44">
        <v>1</v>
      </c>
      <c r="N763" s="43" t="s">
        <v>383</v>
      </c>
    </row>
    <row r="764" spans="1:14" ht="15.75" customHeight="1">
      <c r="A764" s="41" t="s">
        <v>702</v>
      </c>
      <c r="B764" s="41" t="s">
        <v>703</v>
      </c>
      <c r="C764" s="41" t="s">
        <v>431</v>
      </c>
      <c r="D764" s="41" t="s">
        <v>432</v>
      </c>
      <c r="E764" s="41" t="s">
        <v>433</v>
      </c>
      <c r="F764" s="42">
        <v>18</v>
      </c>
      <c r="G764" s="41" t="s">
        <v>439</v>
      </c>
      <c r="H764" s="43" t="s">
        <v>440</v>
      </c>
      <c r="I764" s="44">
        <v>60</v>
      </c>
      <c r="J764" s="41"/>
      <c r="K764" s="44">
        <v>1000</v>
      </c>
      <c r="L764" s="41" t="s">
        <v>435</v>
      </c>
      <c r="M764" s="44">
        <v>1</v>
      </c>
      <c r="N764" s="43" t="s">
        <v>436</v>
      </c>
    </row>
    <row r="765" spans="1:14" ht="15.75" customHeight="1">
      <c r="A765" s="41" t="s">
        <v>702</v>
      </c>
      <c r="B765" s="41" t="s">
        <v>703</v>
      </c>
      <c r="C765" s="41" t="s">
        <v>431</v>
      </c>
      <c r="D765" s="41" t="s">
        <v>432</v>
      </c>
      <c r="E765" s="41" t="s">
        <v>433</v>
      </c>
      <c r="F765" s="42">
        <v>19</v>
      </c>
      <c r="G765" s="41" t="s">
        <v>368</v>
      </c>
      <c r="H765" s="43" t="s">
        <v>434</v>
      </c>
      <c r="I765" s="44">
        <v>60</v>
      </c>
      <c r="J765" s="41"/>
      <c r="K765" s="44">
        <v>750</v>
      </c>
      <c r="L765" s="41" t="s">
        <v>435</v>
      </c>
      <c r="M765" s="44">
        <v>4</v>
      </c>
      <c r="N765" s="43" t="s">
        <v>436</v>
      </c>
    </row>
    <row r="766" spans="1:14" ht="15.75" customHeight="1">
      <c r="A766" s="41" t="s">
        <v>704</v>
      </c>
      <c r="B766" s="41" t="s">
        <v>127</v>
      </c>
      <c r="C766" s="41" t="s">
        <v>442</v>
      </c>
      <c r="D766" s="41" t="s">
        <v>448</v>
      </c>
      <c r="E766" s="41" t="s">
        <v>40</v>
      </c>
      <c r="F766" s="42">
        <v>1</v>
      </c>
      <c r="G766" s="41" t="s">
        <v>11</v>
      </c>
      <c r="H766" s="43" t="s">
        <v>426</v>
      </c>
      <c r="I766" s="44">
        <v>25</v>
      </c>
      <c r="J766" s="44">
        <v>416.6</v>
      </c>
      <c r="K766" s="41"/>
      <c r="L766" s="45">
        <v>382000</v>
      </c>
      <c r="M766" s="44">
        <v>1</v>
      </c>
      <c r="N766" s="43" t="s">
        <v>383</v>
      </c>
    </row>
    <row r="767" spans="1:14" ht="15.75" customHeight="1">
      <c r="A767" s="41" t="s">
        <v>704</v>
      </c>
      <c r="B767" s="41" t="s">
        <v>127</v>
      </c>
      <c r="C767" s="41" t="s">
        <v>442</v>
      </c>
      <c r="D767" s="41" t="s">
        <v>448</v>
      </c>
      <c r="E767" s="41" t="s">
        <v>40</v>
      </c>
      <c r="F767" s="42">
        <v>2</v>
      </c>
      <c r="G767" s="41" t="s">
        <v>12</v>
      </c>
      <c r="H767" s="43" t="s">
        <v>449</v>
      </c>
      <c r="I767" s="44">
        <v>180</v>
      </c>
      <c r="J767" s="44">
        <v>416.6</v>
      </c>
      <c r="K767" s="41"/>
      <c r="L767" s="45">
        <v>382000</v>
      </c>
      <c r="M767" s="44">
        <v>1</v>
      </c>
      <c r="N767" s="43" t="s">
        <v>383</v>
      </c>
    </row>
    <row r="768" spans="1:14" ht="15.75" customHeight="1">
      <c r="A768" s="41" t="s">
        <v>704</v>
      </c>
      <c r="B768" s="41" t="s">
        <v>127</v>
      </c>
      <c r="C768" s="41" t="s">
        <v>442</v>
      </c>
      <c r="D768" s="41" t="s">
        <v>448</v>
      </c>
      <c r="E768" s="41" t="s">
        <v>40</v>
      </c>
      <c r="F768" s="42">
        <v>3</v>
      </c>
      <c r="G768" s="41" t="s">
        <v>13</v>
      </c>
      <c r="H768" s="43" t="s">
        <v>449</v>
      </c>
      <c r="I768" s="44">
        <v>30</v>
      </c>
      <c r="J768" s="44">
        <v>416.6</v>
      </c>
      <c r="K768" s="41"/>
      <c r="L768" s="45">
        <v>382000</v>
      </c>
      <c r="M768" s="44">
        <v>1</v>
      </c>
      <c r="N768" s="43" t="s">
        <v>383</v>
      </c>
    </row>
    <row r="769" spans="1:14" ht="15.75" customHeight="1">
      <c r="A769" s="41" t="s">
        <v>705</v>
      </c>
      <c r="B769" s="41" t="s">
        <v>127</v>
      </c>
      <c r="C769" s="41" t="s">
        <v>442</v>
      </c>
      <c r="D769" s="41" t="s">
        <v>448</v>
      </c>
      <c r="E769" s="41" t="s">
        <v>40</v>
      </c>
      <c r="F769" s="42">
        <v>1</v>
      </c>
      <c r="G769" s="41" t="s">
        <v>11</v>
      </c>
      <c r="H769" s="43" t="s">
        <v>426</v>
      </c>
      <c r="I769" s="44">
        <v>25</v>
      </c>
      <c r="J769" s="44">
        <v>416.6</v>
      </c>
      <c r="K769" s="41"/>
      <c r="L769" s="45">
        <v>382000</v>
      </c>
      <c r="M769" s="44">
        <v>1</v>
      </c>
      <c r="N769" s="43" t="s">
        <v>383</v>
      </c>
    </row>
    <row r="770" spans="1:14" ht="15.75" customHeight="1">
      <c r="A770" s="41" t="s">
        <v>705</v>
      </c>
      <c r="B770" s="41" t="s">
        <v>127</v>
      </c>
      <c r="C770" s="41" t="s">
        <v>442</v>
      </c>
      <c r="D770" s="41" t="s">
        <v>448</v>
      </c>
      <c r="E770" s="41" t="s">
        <v>40</v>
      </c>
      <c r="F770" s="42">
        <v>2</v>
      </c>
      <c r="G770" s="41" t="s">
        <v>12</v>
      </c>
      <c r="H770" s="43" t="s">
        <v>449</v>
      </c>
      <c r="I770" s="44">
        <v>180</v>
      </c>
      <c r="J770" s="44">
        <v>416.6</v>
      </c>
      <c r="K770" s="41"/>
      <c r="L770" s="45">
        <v>382000</v>
      </c>
      <c r="M770" s="44">
        <v>1</v>
      </c>
      <c r="N770" s="43" t="s">
        <v>383</v>
      </c>
    </row>
    <row r="771" spans="1:14" ht="15.75" customHeight="1">
      <c r="A771" s="41" t="s">
        <v>705</v>
      </c>
      <c r="B771" s="41" t="s">
        <v>127</v>
      </c>
      <c r="C771" s="41" t="s">
        <v>442</v>
      </c>
      <c r="D771" s="41" t="s">
        <v>448</v>
      </c>
      <c r="E771" s="41" t="s">
        <v>40</v>
      </c>
      <c r="F771" s="42">
        <v>3</v>
      </c>
      <c r="G771" s="41" t="s">
        <v>13</v>
      </c>
      <c r="H771" s="43" t="s">
        <v>449</v>
      </c>
      <c r="I771" s="44">
        <v>30</v>
      </c>
      <c r="J771" s="44">
        <v>416.6</v>
      </c>
      <c r="K771" s="41"/>
      <c r="L771" s="45">
        <v>382000</v>
      </c>
      <c r="M771" s="44">
        <v>1</v>
      </c>
      <c r="N771" s="43" t="s">
        <v>383</v>
      </c>
    </row>
    <row r="772" spans="1:14" ht="15.75" customHeight="1">
      <c r="A772" s="41" t="s">
        <v>705</v>
      </c>
      <c r="B772" s="41" t="s">
        <v>127</v>
      </c>
      <c r="C772" s="41" t="s">
        <v>431</v>
      </c>
      <c r="D772" s="41" t="s">
        <v>432</v>
      </c>
      <c r="E772" s="41" t="s">
        <v>433</v>
      </c>
      <c r="F772" s="42">
        <v>18</v>
      </c>
      <c r="G772" s="41" t="s">
        <v>439</v>
      </c>
      <c r="H772" s="43" t="s">
        <v>440</v>
      </c>
      <c r="I772" s="44">
        <v>60</v>
      </c>
      <c r="J772" s="41"/>
      <c r="K772" s="44">
        <v>860</v>
      </c>
      <c r="L772" s="41" t="s">
        <v>435</v>
      </c>
      <c r="M772" s="44">
        <v>1</v>
      </c>
      <c r="N772" s="43" t="s">
        <v>436</v>
      </c>
    </row>
    <row r="773" spans="1:14" ht="15.75" customHeight="1">
      <c r="A773" s="41" t="s">
        <v>705</v>
      </c>
      <c r="B773" s="41" t="s">
        <v>127</v>
      </c>
      <c r="C773" s="41" t="s">
        <v>431</v>
      </c>
      <c r="D773" s="41" t="s">
        <v>432</v>
      </c>
      <c r="E773" s="41" t="s">
        <v>433</v>
      </c>
      <c r="F773" s="42">
        <v>19</v>
      </c>
      <c r="G773" s="41" t="s">
        <v>368</v>
      </c>
      <c r="H773" s="43" t="s">
        <v>434</v>
      </c>
      <c r="I773" s="44">
        <v>60</v>
      </c>
      <c r="J773" s="41"/>
      <c r="K773" s="44">
        <v>440</v>
      </c>
      <c r="L773" s="41" t="s">
        <v>435</v>
      </c>
      <c r="M773" s="44">
        <v>3</v>
      </c>
      <c r="N773" s="43" t="s">
        <v>436</v>
      </c>
    </row>
    <row r="774" spans="1:14" ht="15.75" customHeight="1">
      <c r="A774" s="41" t="s">
        <v>704</v>
      </c>
      <c r="B774" s="41" t="s">
        <v>127</v>
      </c>
      <c r="C774" s="41" t="s">
        <v>431</v>
      </c>
      <c r="D774" s="41" t="s">
        <v>432</v>
      </c>
      <c r="E774" s="41" t="s">
        <v>433</v>
      </c>
      <c r="F774" s="42">
        <v>18</v>
      </c>
      <c r="G774" s="41" t="s">
        <v>439</v>
      </c>
      <c r="H774" s="43" t="s">
        <v>440</v>
      </c>
      <c r="I774" s="44">
        <v>60</v>
      </c>
      <c r="J774" s="41"/>
      <c r="K774" s="44">
        <v>860</v>
      </c>
      <c r="L774" s="41" t="s">
        <v>435</v>
      </c>
      <c r="M774" s="44">
        <v>1</v>
      </c>
      <c r="N774" s="43" t="s">
        <v>436</v>
      </c>
    </row>
    <row r="775" spans="1:14" ht="15.75" customHeight="1">
      <c r="A775" s="41" t="s">
        <v>704</v>
      </c>
      <c r="B775" s="41" t="s">
        <v>127</v>
      </c>
      <c r="C775" s="41" t="s">
        <v>431</v>
      </c>
      <c r="D775" s="41" t="s">
        <v>432</v>
      </c>
      <c r="E775" s="41" t="s">
        <v>433</v>
      </c>
      <c r="F775" s="42">
        <v>19</v>
      </c>
      <c r="G775" s="41" t="s">
        <v>368</v>
      </c>
      <c r="H775" s="43" t="s">
        <v>434</v>
      </c>
      <c r="I775" s="44">
        <v>60</v>
      </c>
      <c r="J775" s="41"/>
      <c r="K775" s="44">
        <v>440</v>
      </c>
      <c r="L775" s="41" t="s">
        <v>435</v>
      </c>
      <c r="M775" s="44">
        <v>3</v>
      </c>
      <c r="N775" s="43" t="s">
        <v>436</v>
      </c>
    </row>
    <row r="776" spans="1:14" ht="15.75" customHeight="1">
      <c r="A776" s="41" t="s">
        <v>706</v>
      </c>
      <c r="B776" s="41" t="s">
        <v>124</v>
      </c>
      <c r="C776" s="41" t="s">
        <v>442</v>
      </c>
      <c r="D776" s="41" t="s">
        <v>443</v>
      </c>
      <c r="E776" s="41" t="s">
        <v>33</v>
      </c>
      <c r="F776" s="42">
        <v>10</v>
      </c>
      <c r="G776" s="41" t="s">
        <v>11</v>
      </c>
      <c r="H776" s="43" t="s">
        <v>426</v>
      </c>
      <c r="I776" s="44">
        <v>25</v>
      </c>
      <c r="J776" s="44">
        <v>9.1999999999999993</v>
      </c>
      <c r="K776" s="41"/>
      <c r="L776" s="45">
        <v>48000</v>
      </c>
      <c r="M776" s="44">
        <v>1</v>
      </c>
      <c r="N776" s="43" t="s">
        <v>383</v>
      </c>
    </row>
    <row r="777" spans="1:14" ht="15.75" customHeight="1">
      <c r="A777" s="41" t="s">
        <v>706</v>
      </c>
      <c r="B777" s="41" t="s">
        <v>124</v>
      </c>
      <c r="C777" s="41" t="s">
        <v>442</v>
      </c>
      <c r="D777" s="41" t="s">
        <v>443</v>
      </c>
      <c r="E777" s="41" t="s">
        <v>33</v>
      </c>
      <c r="F777" s="42">
        <v>11</v>
      </c>
      <c r="G777" s="41" t="s">
        <v>12</v>
      </c>
      <c r="H777" s="43" t="s">
        <v>444</v>
      </c>
      <c r="I777" s="44">
        <v>80</v>
      </c>
      <c r="J777" s="44">
        <v>9.1999999999999993</v>
      </c>
      <c r="K777" s="41"/>
      <c r="L777" s="45">
        <v>48000</v>
      </c>
      <c r="M777" s="44">
        <v>1</v>
      </c>
      <c r="N777" s="43" t="s">
        <v>383</v>
      </c>
    </row>
    <row r="778" spans="1:14" ht="15.75" customHeight="1">
      <c r="A778" s="41" t="s">
        <v>706</v>
      </c>
      <c r="B778" s="41" t="s">
        <v>124</v>
      </c>
      <c r="C778" s="41" t="s">
        <v>442</v>
      </c>
      <c r="D778" s="41" t="s">
        <v>443</v>
      </c>
      <c r="E778" s="41" t="s">
        <v>33</v>
      </c>
      <c r="F778" s="42">
        <v>12</v>
      </c>
      <c r="G778" s="41" t="s">
        <v>13</v>
      </c>
      <c r="H778" s="43" t="s">
        <v>444</v>
      </c>
      <c r="I778" s="44">
        <v>15</v>
      </c>
      <c r="J778" s="44">
        <v>9.1999999999999993</v>
      </c>
      <c r="K778" s="41"/>
      <c r="L778" s="45">
        <v>48000</v>
      </c>
      <c r="M778" s="44">
        <v>1</v>
      </c>
      <c r="N778" s="43" t="s">
        <v>383</v>
      </c>
    </row>
    <row r="779" spans="1:14" ht="15.75" customHeight="1">
      <c r="A779" s="41" t="s">
        <v>706</v>
      </c>
      <c r="B779" s="41" t="s">
        <v>124</v>
      </c>
      <c r="C779" s="41" t="s">
        <v>431</v>
      </c>
      <c r="D779" s="41" t="s">
        <v>432</v>
      </c>
      <c r="E779" s="41" t="s">
        <v>433</v>
      </c>
      <c r="F779" s="42">
        <v>18</v>
      </c>
      <c r="G779" s="41" t="s">
        <v>439</v>
      </c>
      <c r="H779" s="43" t="s">
        <v>440</v>
      </c>
      <c r="I779" s="44">
        <v>60</v>
      </c>
      <c r="J779" s="41"/>
      <c r="K779" s="44">
        <v>1700</v>
      </c>
      <c r="L779" s="41" t="s">
        <v>435</v>
      </c>
      <c r="M779" s="44">
        <v>1</v>
      </c>
      <c r="N779" s="43" t="s">
        <v>436</v>
      </c>
    </row>
    <row r="780" spans="1:14" ht="15.75" customHeight="1">
      <c r="A780" s="41" t="s">
        <v>706</v>
      </c>
      <c r="B780" s="41" t="s">
        <v>124</v>
      </c>
      <c r="C780" s="41" t="s">
        <v>431</v>
      </c>
      <c r="D780" s="41" t="s">
        <v>432</v>
      </c>
      <c r="E780" s="41" t="s">
        <v>433</v>
      </c>
      <c r="F780" s="42">
        <v>19</v>
      </c>
      <c r="G780" s="41" t="s">
        <v>368</v>
      </c>
      <c r="H780" s="43" t="s">
        <v>434</v>
      </c>
      <c r="I780" s="44">
        <v>60</v>
      </c>
      <c r="J780" s="41"/>
      <c r="K780" s="44">
        <v>1700</v>
      </c>
      <c r="L780" s="41" t="s">
        <v>435</v>
      </c>
      <c r="M780" s="44">
        <v>4</v>
      </c>
      <c r="N780" s="43" t="s">
        <v>436</v>
      </c>
    </row>
    <row r="781" spans="1:14" ht="15.75" customHeight="1">
      <c r="A781" s="41" t="s">
        <v>707</v>
      </c>
      <c r="B781" s="41" t="s">
        <v>185</v>
      </c>
      <c r="C781" s="41" t="s">
        <v>708</v>
      </c>
      <c r="D781" s="41" t="s">
        <v>443</v>
      </c>
      <c r="E781" s="41" t="s">
        <v>33</v>
      </c>
      <c r="F781" s="42">
        <v>11</v>
      </c>
      <c r="G781" s="41" t="s">
        <v>12</v>
      </c>
      <c r="H781" s="43" t="s">
        <v>444</v>
      </c>
      <c r="I781" s="44">
        <v>190</v>
      </c>
      <c r="J781" s="44">
        <v>16</v>
      </c>
      <c r="K781" s="41"/>
      <c r="L781" s="45">
        <v>18000</v>
      </c>
      <c r="M781" s="44">
        <v>1</v>
      </c>
      <c r="N781" s="43" t="s">
        <v>383</v>
      </c>
    </row>
    <row r="782" spans="1:14" ht="15.75" customHeight="1">
      <c r="A782" s="41" t="s">
        <v>707</v>
      </c>
      <c r="B782" s="41" t="s">
        <v>185</v>
      </c>
      <c r="C782" s="41" t="s">
        <v>708</v>
      </c>
      <c r="D782" s="41" t="s">
        <v>443</v>
      </c>
      <c r="E782" s="41" t="s">
        <v>33</v>
      </c>
      <c r="F782" s="42">
        <v>12</v>
      </c>
      <c r="G782" s="41" t="s">
        <v>13</v>
      </c>
      <c r="H782" s="43" t="s">
        <v>444</v>
      </c>
      <c r="I782" s="44">
        <v>10</v>
      </c>
      <c r="J782" s="44">
        <v>16</v>
      </c>
      <c r="K782" s="41"/>
      <c r="L782" s="45">
        <v>18000</v>
      </c>
      <c r="M782" s="44">
        <v>1</v>
      </c>
      <c r="N782" s="43" t="s">
        <v>383</v>
      </c>
    </row>
    <row r="783" spans="1:14" ht="15.75" customHeight="1">
      <c r="A783" s="41" t="s">
        <v>707</v>
      </c>
      <c r="B783" s="41" t="s">
        <v>185</v>
      </c>
      <c r="C783" s="41" t="s">
        <v>499</v>
      </c>
      <c r="D783" s="41" t="s">
        <v>443</v>
      </c>
      <c r="E783" s="41" t="s">
        <v>33</v>
      </c>
      <c r="F783" s="42">
        <v>11</v>
      </c>
      <c r="G783" s="41" t="s">
        <v>12</v>
      </c>
      <c r="H783" s="43" t="s">
        <v>444</v>
      </c>
      <c r="I783" s="44">
        <v>40</v>
      </c>
      <c r="J783" s="44">
        <v>16</v>
      </c>
      <c r="K783" s="41"/>
      <c r="L783" s="45">
        <v>18000</v>
      </c>
      <c r="M783" s="44">
        <v>1</v>
      </c>
      <c r="N783" s="43" t="s">
        <v>383</v>
      </c>
    </row>
    <row r="784" spans="1:14" ht="15.75" customHeight="1">
      <c r="A784" s="41" t="s">
        <v>707</v>
      </c>
      <c r="B784" s="41" t="s">
        <v>185</v>
      </c>
      <c r="C784" s="41" t="s">
        <v>499</v>
      </c>
      <c r="D784" s="41" t="s">
        <v>443</v>
      </c>
      <c r="E784" s="41" t="s">
        <v>33</v>
      </c>
      <c r="F784" s="42">
        <v>12</v>
      </c>
      <c r="G784" s="41" t="s">
        <v>13</v>
      </c>
      <c r="H784" s="43" t="s">
        <v>444</v>
      </c>
      <c r="I784" s="44">
        <v>15</v>
      </c>
      <c r="J784" s="44">
        <v>16</v>
      </c>
      <c r="K784" s="41"/>
      <c r="L784" s="45">
        <v>18000</v>
      </c>
      <c r="M784" s="44">
        <v>1</v>
      </c>
      <c r="N784" s="43" t="s">
        <v>383</v>
      </c>
    </row>
    <row r="785" spans="1:14" ht="15.75" customHeight="1">
      <c r="A785" s="41" t="s">
        <v>707</v>
      </c>
      <c r="B785" s="41" t="s">
        <v>185</v>
      </c>
      <c r="C785" s="41" t="s">
        <v>431</v>
      </c>
      <c r="D785" s="41" t="s">
        <v>432</v>
      </c>
      <c r="E785" s="41" t="s">
        <v>433</v>
      </c>
      <c r="F785" s="42">
        <v>18</v>
      </c>
      <c r="G785" s="41" t="s">
        <v>439</v>
      </c>
      <c r="H785" s="43" t="s">
        <v>440</v>
      </c>
      <c r="I785" s="44">
        <v>60</v>
      </c>
      <c r="J785" s="41"/>
      <c r="K785" s="44">
        <v>1200</v>
      </c>
      <c r="L785" s="41" t="s">
        <v>435</v>
      </c>
      <c r="M785" s="44">
        <v>1</v>
      </c>
      <c r="N785" s="43" t="s">
        <v>436</v>
      </c>
    </row>
    <row r="786" spans="1:14" ht="15.75" customHeight="1">
      <c r="A786" s="41" t="s">
        <v>707</v>
      </c>
      <c r="B786" s="41" t="s">
        <v>185</v>
      </c>
      <c r="C786" s="41" t="s">
        <v>431</v>
      </c>
      <c r="D786" s="41" t="s">
        <v>432</v>
      </c>
      <c r="E786" s="41" t="s">
        <v>433</v>
      </c>
      <c r="F786" s="42">
        <v>19</v>
      </c>
      <c r="G786" s="41" t="s">
        <v>368</v>
      </c>
      <c r="H786" s="43" t="s">
        <v>434</v>
      </c>
      <c r="I786" s="44">
        <v>60</v>
      </c>
      <c r="J786" s="41"/>
      <c r="K786" s="44">
        <v>550</v>
      </c>
      <c r="L786" s="41" t="s">
        <v>435</v>
      </c>
      <c r="M786" s="44">
        <v>4</v>
      </c>
      <c r="N786" s="43" t="s">
        <v>436</v>
      </c>
    </row>
    <row r="787" spans="1:14" ht="15.75" customHeight="1">
      <c r="A787" s="41" t="s">
        <v>709</v>
      </c>
      <c r="B787" s="41" t="s">
        <v>710</v>
      </c>
      <c r="C787" s="41" t="s">
        <v>424</v>
      </c>
      <c r="D787" s="41" t="s">
        <v>443</v>
      </c>
      <c r="E787" s="41" t="s">
        <v>33</v>
      </c>
      <c r="F787" s="42">
        <v>10</v>
      </c>
      <c r="G787" s="41" t="s">
        <v>11</v>
      </c>
      <c r="H787" s="43" t="s">
        <v>426</v>
      </c>
      <c r="I787" s="44">
        <v>35</v>
      </c>
      <c r="J787" s="44">
        <v>50.2</v>
      </c>
      <c r="K787" s="41"/>
      <c r="L787" s="45">
        <v>70000</v>
      </c>
      <c r="M787" s="44">
        <v>1</v>
      </c>
      <c r="N787" s="43" t="s">
        <v>383</v>
      </c>
    </row>
    <row r="788" spans="1:14" ht="15.75" customHeight="1">
      <c r="A788" s="41" t="s">
        <v>709</v>
      </c>
      <c r="B788" s="41" t="s">
        <v>710</v>
      </c>
      <c r="C788" s="41" t="s">
        <v>424</v>
      </c>
      <c r="D788" s="41" t="s">
        <v>443</v>
      </c>
      <c r="E788" s="41" t="s">
        <v>33</v>
      </c>
      <c r="F788" s="42">
        <v>11</v>
      </c>
      <c r="G788" s="41" t="s">
        <v>12</v>
      </c>
      <c r="H788" s="43" t="s">
        <v>444</v>
      </c>
      <c r="I788" s="44">
        <v>125</v>
      </c>
      <c r="J788" s="44">
        <v>50.2</v>
      </c>
      <c r="K788" s="41"/>
      <c r="L788" s="45">
        <v>70000</v>
      </c>
      <c r="M788" s="44">
        <v>1</v>
      </c>
      <c r="N788" s="43" t="s">
        <v>383</v>
      </c>
    </row>
    <row r="789" spans="1:14" ht="15.75" customHeight="1">
      <c r="A789" s="41" t="s">
        <v>709</v>
      </c>
      <c r="B789" s="41" t="s">
        <v>710</v>
      </c>
      <c r="C789" s="41" t="s">
        <v>424</v>
      </c>
      <c r="D789" s="41" t="s">
        <v>443</v>
      </c>
      <c r="E789" s="41" t="s">
        <v>33</v>
      </c>
      <c r="F789" s="42">
        <v>12</v>
      </c>
      <c r="G789" s="41" t="s">
        <v>13</v>
      </c>
      <c r="H789" s="43" t="s">
        <v>444</v>
      </c>
      <c r="I789" s="44">
        <v>15</v>
      </c>
      <c r="J789" s="44">
        <v>50.2</v>
      </c>
      <c r="K789" s="41"/>
      <c r="L789" s="45">
        <v>70000</v>
      </c>
      <c r="M789" s="44">
        <v>1</v>
      </c>
      <c r="N789" s="43" t="s">
        <v>383</v>
      </c>
    </row>
    <row r="790" spans="1:14" ht="15.75" customHeight="1">
      <c r="A790" s="41" t="s">
        <v>709</v>
      </c>
      <c r="B790" s="41" t="s">
        <v>710</v>
      </c>
      <c r="C790" s="41" t="s">
        <v>431</v>
      </c>
      <c r="D790" s="41" t="s">
        <v>432</v>
      </c>
      <c r="E790" s="41" t="s">
        <v>433</v>
      </c>
      <c r="F790" s="42">
        <v>19</v>
      </c>
      <c r="G790" s="41" t="s">
        <v>368</v>
      </c>
      <c r="H790" s="43" t="s">
        <v>434</v>
      </c>
      <c r="I790" s="44">
        <v>60</v>
      </c>
      <c r="J790" s="41"/>
      <c r="K790" s="44">
        <v>800</v>
      </c>
      <c r="L790" s="41" t="s">
        <v>435</v>
      </c>
      <c r="M790" s="44">
        <v>4</v>
      </c>
      <c r="N790" s="43" t="s">
        <v>436</v>
      </c>
    </row>
    <row r="791" spans="1:14" ht="15.75" customHeight="1">
      <c r="A791" s="41" t="s">
        <v>711</v>
      </c>
      <c r="B791" s="41" t="s">
        <v>165</v>
      </c>
      <c r="C791" s="41" t="s">
        <v>424</v>
      </c>
      <c r="D791" s="41" t="s">
        <v>425</v>
      </c>
      <c r="E791" s="41" t="s">
        <v>48</v>
      </c>
      <c r="F791" s="42">
        <v>4</v>
      </c>
      <c r="G791" s="41" t="s">
        <v>11</v>
      </c>
      <c r="H791" s="43" t="s">
        <v>426</v>
      </c>
      <c r="I791" s="44">
        <v>35</v>
      </c>
      <c r="J791" s="44">
        <v>170</v>
      </c>
      <c r="K791" s="41"/>
      <c r="L791" s="45">
        <v>50000</v>
      </c>
      <c r="M791" s="44">
        <v>1</v>
      </c>
      <c r="N791" s="43" t="s">
        <v>383</v>
      </c>
    </row>
    <row r="792" spans="1:14" ht="15.75" customHeight="1">
      <c r="A792" s="41" t="s">
        <v>711</v>
      </c>
      <c r="B792" s="41" t="s">
        <v>165</v>
      </c>
      <c r="C792" s="41" t="s">
        <v>424</v>
      </c>
      <c r="D792" s="41" t="s">
        <v>425</v>
      </c>
      <c r="E792" s="41" t="s">
        <v>48</v>
      </c>
      <c r="F792" s="42">
        <v>5</v>
      </c>
      <c r="G792" s="41" t="s">
        <v>12</v>
      </c>
      <c r="H792" s="43" t="s">
        <v>427</v>
      </c>
      <c r="I792" s="44">
        <v>140</v>
      </c>
      <c r="J792" s="44">
        <v>170</v>
      </c>
      <c r="K792" s="41"/>
      <c r="L792" s="45">
        <v>50000</v>
      </c>
      <c r="M792" s="44">
        <v>1</v>
      </c>
      <c r="N792" s="43" t="s">
        <v>383</v>
      </c>
    </row>
    <row r="793" spans="1:14" ht="15.75" customHeight="1">
      <c r="A793" s="41" t="s">
        <v>711</v>
      </c>
      <c r="B793" s="41" t="s">
        <v>165</v>
      </c>
      <c r="C793" s="41" t="s">
        <v>424</v>
      </c>
      <c r="D793" s="41" t="s">
        <v>425</v>
      </c>
      <c r="E793" s="41" t="s">
        <v>48</v>
      </c>
      <c r="F793" s="42">
        <v>6</v>
      </c>
      <c r="G793" s="41" t="s">
        <v>13</v>
      </c>
      <c r="H793" s="43" t="s">
        <v>427</v>
      </c>
      <c r="I793" s="44">
        <v>40</v>
      </c>
      <c r="J793" s="44">
        <v>170</v>
      </c>
      <c r="K793" s="41"/>
      <c r="L793" s="45">
        <v>50000</v>
      </c>
      <c r="M793" s="44">
        <v>1</v>
      </c>
      <c r="N793" s="43" t="s">
        <v>383</v>
      </c>
    </row>
    <row r="794" spans="1:14" ht="15.75" customHeight="1">
      <c r="A794" s="41" t="s">
        <v>711</v>
      </c>
      <c r="B794" s="41" t="s">
        <v>165</v>
      </c>
      <c r="C794" s="41" t="s">
        <v>431</v>
      </c>
      <c r="D794" s="41" t="s">
        <v>432</v>
      </c>
      <c r="E794" s="41" t="s">
        <v>433</v>
      </c>
      <c r="F794" s="42">
        <v>17</v>
      </c>
      <c r="G794" s="41" t="s">
        <v>559</v>
      </c>
      <c r="H794" s="43" t="s">
        <v>440</v>
      </c>
      <c r="I794" s="44">
        <v>60</v>
      </c>
      <c r="J794" s="41"/>
      <c r="K794" s="52">
        <v>40</v>
      </c>
      <c r="L794" s="41" t="s">
        <v>435</v>
      </c>
      <c r="M794" s="44">
        <v>1</v>
      </c>
      <c r="N794" s="43" t="s">
        <v>436</v>
      </c>
    </row>
    <row r="795" spans="1:14" ht="15.75" customHeight="1">
      <c r="A795" s="41" t="s">
        <v>711</v>
      </c>
      <c r="B795" s="41" t="s">
        <v>165</v>
      </c>
      <c r="C795" s="41" t="s">
        <v>431</v>
      </c>
      <c r="D795" s="41" t="s">
        <v>432</v>
      </c>
      <c r="E795" s="41" t="s">
        <v>433</v>
      </c>
      <c r="F795" s="42">
        <v>18</v>
      </c>
      <c r="G795" s="41" t="s">
        <v>439</v>
      </c>
      <c r="H795" s="43" t="s">
        <v>440</v>
      </c>
      <c r="I795" s="44">
        <v>60</v>
      </c>
      <c r="J795" s="41"/>
      <c r="K795" s="44">
        <v>400</v>
      </c>
      <c r="L795" s="41" t="s">
        <v>435</v>
      </c>
      <c r="M795" s="44">
        <v>1</v>
      </c>
      <c r="N795" s="43" t="s">
        <v>436</v>
      </c>
    </row>
    <row r="796" spans="1:14" ht="15.75" customHeight="1">
      <c r="A796" s="41" t="s">
        <v>711</v>
      </c>
      <c r="B796" s="41" t="s">
        <v>165</v>
      </c>
      <c r="C796" s="41" t="s">
        <v>431</v>
      </c>
      <c r="D796" s="41" t="s">
        <v>432</v>
      </c>
      <c r="E796" s="41" t="s">
        <v>433</v>
      </c>
      <c r="F796" s="42">
        <v>19</v>
      </c>
      <c r="G796" s="41" t="s">
        <v>368</v>
      </c>
      <c r="H796" s="43" t="s">
        <v>434</v>
      </c>
      <c r="I796" s="44">
        <v>60</v>
      </c>
      <c r="J796" s="41"/>
      <c r="K796" s="44">
        <v>190</v>
      </c>
      <c r="L796" s="41" t="s">
        <v>435</v>
      </c>
      <c r="M796" s="44">
        <v>4</v>
      </c>
      <c r="N796" s="43" t="s">
        <v>436</v>
      </c>
    </row>
    <row r="797" spans="1:14" ht="15.75" customHeight="1">
      <c r="A797" s="41" t="s">
        <v>712</v>
      </c>
      <c r="B797" s="41" t="s">
        <v>713</v>
      </c>
      <c r="C797" s="41" t="s">
        <v>431</v>
      </c>
      <c r="D797" s="41" t="s">
        <v>432</v>
      </c>
      <c r="E797" s="41" t="s">
        <v>433</v>
      </c>
      <c r="F797" s="42">
        <v>18</v>
      </c>
      <c r="G797" s="41" t="s">
        <v>439</v>
      </c>
      <c r="H797" s="43" t="s">
        <v>440</v>
      </c>
      <c r="I797" s="44">
        <v>60</v>
      </c>
      <c r="J797" s="41"/>
      <c r="K797" s="44">
        <v>1000</v>
      </c>
      <c r="L797" s="41" t="s">
        <v>435</v>
      </c>
      <c r="M797" s="44">
        <v>1</v>
      </c>
      <c r="N797" s="43" t="s">
        <v>436</v>
      </c>
    </row>
    <row r="798" spans="1:14" ht="15.75" customHeight="1">
      <c r="A798" s="41" t="s">
        <v>712</v>
      </c>
      <c r="B798" s="41" t="s">
        <v>713</v>
      </c>
      <c r="C798" s="41" t="s">
        <v>431</v>
      </c>
      <c r="D798" s="41" t="s">
        <v>432</v>
      </c>
      <c r="E798" s="41" t="s">
        <v>433</v>
      </c>
      <c r="F798" s="42">
        <v>19</v>
      </c>
      <c r="G798" s="41" t="s">
        <v>368</v>
      </c>
      <c r="H798" s="43" t="s">
        <v>434</v>
      </c>
      <c r="I798" s="44">
        <v>60</v>
      </c>
      <c r="J798" s="41"/>
      <c r="K798" s="44">
        <v>800</v>
      </c>
      <c r="L798" s="41" t="s">
        <v>435</v>
      </c>
      <c r="M798" s="44">
        <v>4</v>
      </c>
      <c r="N798" s="43" t="s">
        <v>436</v>
      </c>
    </row>
    <row r="799" spans="1:14" ht="15.75" customHeight="1">
      <c r="A799" s="41" t="s">
        <v>714</v>
      </c>
      <c r="B799" s="41" t="s">
        <v>715</v>
      </c>
      <c r="C799" s="41" t="s">
        <v>442</v>
      </c>
      <c r="D799" s="41" t="s">
        <v>443</v>
      </c>
      <c r="E799" s="41" t="s">
        <v>33</v>
      </c>
      <c r="F799" s="42">
        <v>10</v>
      </c>
      <c r="G799" s="41" t="s">
        <v>11</v>
      </c>
      <c r="H799" s="43" t="s">
        <v>426</v>
      </c>
      <c r="I799" s="44">
        <v>45</v>
      </c>
      <c r="J799" s="44">
        <v>10</v>
      </c>
      <c r="K799" s="41"/>
      <c r="L799" s="45">
        <v>105000</v>
      </c>
      <c r="M799" s="44">
        <v>1</v>
      </c>
      <c r="N799" s="43" t="s">
        <v>383</v>
      </c>
    </row>
    <row r="800" spans="1:14" ht="15.75" customHeight="1">
      <c r="A800" s="41" t="s">
        <v>714</v>
      </c>
      <c r="B800" s="41" t="s">
        <v>715</v>
      </c>
      <c r="C800" s="41" t="s">
        <v>442</v>
      </c>
      <c r="D800" s="41" t="s">
        <v>443</v>
      </c>
      <c r="E800" s="41" t="s">
        <v>33</v>
      </c>
      <c r="F800" s="42">
        <v>11</v>
      </c>
      <c r="G800" s="41" t="s">
        <v>12</v>
      </c>
      <c r="H800" s="43" t="s">
        <v>444</v>
      </c>
      <c r="I800" s="44">
        <v>50</v>
      </c>
      <c r="J800" s="44">
        <v>10</v>
      </c>
      <c r="K800" s="41"/>
      <c r="L800" s="45">
        <v>105000</v>
      </c>
      <c r="M800" s="44">
        <v>1</v>
      </c>
      <c r="N800" s="43" t="s">
        <v>383</v>
      </c>
    </row>
    <row r="801" spans="1:14" ht="15.75" customHeight="1">
      <c r="A801" s="41" t="s">
        <v>714</v>
      </c>
      <c r="B801" s="41" t="s">
        <v>715</v>
      </c>
      <c r="C801" s="41" t="s">
        <v>442</v>
      </c>
      <c r="D801" s="41" t="s">
        <v>443</v>
      </c>
      <c r="E801" s="41" t="s">
        <v>33</v>
      </c>
      <c r="F801" s="42">
        <v>12</v>
      </c>
      <c r="G801" s="41" t="s">
        <v>13</v>
      </c>
      <c r="H801" s="43" t="s">
        <v>444</v>
      </c>
      <c r="I801" s="44">
        <v>20</v>
      </c>
      <c r="J801" s="44">
        <v>10</v>
      </c>
      <c r="K801" s="41"/>
      <c r="L801" s="45">
        <v>105000</v>
      </c>
      <c r="M801" s="44">
        <v>1</v>
      </c>
      <c r="N801" s="43" t="s">
        <v>383</v>
      </c>
    </row>
    <row r="802" spans="1:14" ht="15.75" customHeight="1">
      <c r="A802" s="41" t="s">
        <v>716</v>
      </c>
      <c r="B802" s="41" t="s">
        <v>715</v>
      </c>
      <c r="C802" s="41" t="s">
        <v>442</v>
      </c>
      <c r="D802" s="41" t="s">
        <v>443</v>
      </c>
      <c r="E802" s="41" t="s">
        <v>33</v>
      </c>
      <c r="F802" s="42">
        <v>10</v>
      </c>
      <c r="G802" s="41" t="s">
        <v>11</v>
      </c>
      <c r="H802" s="43" t="s">
        <v>426</v>
      </c>
      <c r="I802" s="44">
        <v>45</v>
      </c>
      <c r="J802" s="44">
        <v>10</v>
      </c>
      <c r="K802" s="41"/>
      <c r="L802" s="45">
        <v>105000</v>
      </c>
      <c r="M802" s="44">
        <v>1</v>
      </c>
      <c r="N802" s="43" t="s">
        <v>383</v>
      </c>
    </row>
    <row r="803" spans="1:14" ht="15.75" customHeight="1">
      <c r="A803" s="41" t="s">
        <v>716</v>
      </c>
      <c r="B803" s="41" t="s">
        <v>715</v>
      </c>
      <c r="C803" s="41" t="s">
        <v>442</v>
      </c>
      <c r="D803" s="41" t="s">
        <v>443</v>
      </c>
      <c r="E803" s="41" t="s">
        <v>33</v>
      </c>
      <c r="F803" s="42">
        <v>11</v>
      </c>
      <c r="G803" s="41" t="s">
        <v>12</v>
      </c>
      <c r="H803" s="43" t="s">
        <v>444</v>
      </c>
      <c r="I803" s="44">
        <v>50</v>
      </c>
      <c r="J803" s="44">
        <v>10</v>
      </c>
      <c r="K803" s="41"/>
      <c r="L803" s="45">
        <v>105000</v>
      </c>
      <c r="M803" s="44">
        <v>1</v>
      </c>
      <c r="N803" s="43" t="s">
        <v>383</v>
      </c>
    </row>
    <row r="804" spans="1:14" ht="15.75" customHeight="1">
      <c r="A804" s="41" t="s">
        <v>716</v>
      </c>
      <c r="B804" s="41" t="s">
        <v>715</v>
      </c>
      <c r="C804" s="41" t="s">
        <v>442</v>
      </c>
      <c r="D804" s="41" t="s">
        <v>443</v>
      </c>
      <c r="E804" s="41" t="s">
        <v>33</v>
      </c>
      <c r="F804" s="42">
        <v>12</v>
      </c>
      <c r="G804" s="41" t="s">
        <v>13</v>
      </c>
      <c r="H804" s="43" t="s">
        <v>444</v>
      </c>
      <c r="I804" s="44">
        <v>20</v>
      </c>
      <c r="J804" s="44">
        <v>10</v>
      </c>
      <c r="K804" s="41"/>
      <c r="L804" s="45">
        <v>105000</v>
      </c>
      <c r="M804" s="44">
        <v>1</v>
      </c>
      <c r="N804" s="43" t="s">
        <v>383</v>
      </c>
    </row>
    <row r="805" spans="1:14" ht="15.75" customHeight="1">
      <c r="A805" s="41" t="s">
        <v>716</v>
      </c>
      <c r="B805" s="41" t="s">
        <v>715</v>
      </c>
      <c r="C805" s="41" t="s">
        <v>431</v>
      </c>
      <c r="D805" s="41" t="s">
        <v>432</v>
      </c>
      <c r="E805" s="41" t="s">
        <v>433</v>
      </c>
      <c r="F805" s="42">
        <v>18</v>
      </c>
      <c r="G805" s="41" t="s">
        <v>439</v>
      </c>
      <c r="H805" s="43" t="s">
        <v>440</v>
      </c>
      <c r="I805" s="44">
        <v>60</v>
      </c>
      <c r="J805" s="41"/>
      <c r="K805" s="44">
        <v>1500</v>
      </c>
      <c r="L805" s="41" t="s">
        <v>435</v>
      </c>
      <c r="M805" s="44">
        <v>1</v>
      </c>
      <c r="N805" s="43" t="s">
        <v>436</v>
      </c>
    </row>
    <row r="806" spans="1:14" ht="15.75" customHeight="1">
      <c r="A806" s="41" t="s">
        <v>716</v>
      </c>
      <c r="B806" s="41" t="s">
        <v>715</v>
      </c>
      <c r="C806" s="41" t="s">
        <v>431</v>
      </c>
      <c r="D806" s="41" t="s">
        <v>432</v>
      </c>
      <c r="E806" s="41" t="s">
        <v>433</v>
      </c>
      <c r="F806" s="42">
        <v>19</v>
      </c>
      <c r="G806" s="41" t="s">
        <v>368</v>
      </c>
      <c r="H806" s="43" t="s">
        <v>434</v>
      </c>
      <c r="I806" s="44">
        <v>60</v>
      </c>
      <c r="J806" s="41"/>
      <c r="K806" s="44">
        <v>1000</v>
      </c>
      <c r="L806" s="41" t="s">
        <v>435</v>
      </c>
      <c r="M806" s="44">
        <v>4</v>
      </c>
      <c r="N806" s="43" t="s">
        <v>436</v>
      </c>
    </row>
    <row r="807" spans="1:14" ht="15.75" customHeight="1">
      <c r="A807" s="41" t="s">
        <v>714</v>
      </c>
      <c r="B807" s="41" t="s">
        <v>715</v>
      </c>
      <c r="C807" s="41" t="s">
        <v>431</v>
      </c>
      <c r="D807" s="41" t="s">
        <v>432</v>
      </c>
      <c r="E807" s="41" t="s">
        <v>433</v>
      </c>
      <c r="F807" s="42">
        <v>18</v>
      </c>
      <c r="G807" s="41" t="s">
        <v>439</v>
      </c>
      <c r="H807" s="43" t="s">
        <v>440</v>
      </c>
      <c r="I807" s="44">
        <v>60</v>
      </c>
      <c r="J807" s="41"/>
      <c r="K807" s="44">
        <v>1500</v>
      </c>
      <c r="L807" s="41" t="s">
        <v>435</v>
      </c>
      <c r="M807" s="44">
        <v>1</v>
      </c>
      <c r="N807" s="43" t="s">
        <v>436</v>
      </c>
    </row>
    <row r="808" spans="1:14" ht="15.75" customHeight="1">
      <c r="A808" s="41" t="s">
        <v>714</v>
      </c>
      <c r="B808" s="41" t="s">
        <v>715</v>
      </c>
      <c r="C808" s="41" t="s">
        <v>431</v>
      </c>
      <c r="D808" s="41" t="s">
        <v>432</v>
      </c>
      <c r="E808" s="41" t="s">
        <v>433</v>
      </c>
      <c r="F808" s="42">
        <v>19</v>
      </c>
      <c r="G808" s="41" t="s">
        <v>368</v>
      </c>
      <c r="H808" s="43" t="s">
        <v>434</v>
      </c>
      <c r="I808" s="44">
        <v>60</v>
      </c>
      <c r="J808" s="41"/>
      <c r="K808" s="44">
        <v>1000</v>
      </c>
      <c r="L808" s="41" t="s">
        <v>435</v>
      </c>
      <c r="M808" s="44">
        <v>4</v>
      </c>
      <c r="N808" s="43" t="s">
        <v>436</v>
      </c>
    </row>
    <row r="809" spans="1:14" ht="15.75" customHeight="1">
      <c r="A809" s="41" t="s">
        <v>717</v>
      </c>
      <c r="B809" s="41" t="s">
        <v>718</v>
      </c>
      <c r="C809" s="41" t="s">
        <v>442</v>
      </c>
      <c r="D809" s="41" t="s">
        <v>443</v>
      </c>
      <c r="E809" s="41" t="s">
        <v>33</v>
      </c>
      <c r="F809" s="42">
        <v>10</v>
      </c>
      <c r="G809" s="41" t="s">
        <v>11</v>
      </c>
      <c r="H809" s="43" t="s">
        <v>426</v>
      </c>
      <c r="I809" s="44">
        <v>55</v>
      </c>
      <c r="J809" s="44">
        <v>120</v>
      </c>
      <c r="K809" s="41"/>
      <c r="L809" s="45">
        <v>412000</v>
      </c>
      <c r="M809" s="44">
        <v>1</v>
      </c>
      <c r="N809" s="43" t="s">
        <v>383</v>
      </c>
    </row>
    <row r="810" spans="1:14" ht="15.75" customHeight="1">
      <c r="A810" s="41" t="s">
        <v>717</v>
      </c>
      <c r="B810" s="41" t="s">
        <v>718</v>
      </c>
      <c r="C810" s="41" t="s">
        <v>442</v>
      </c>
      <c r="D810" s="41" t="s">
        <v>443</v>
      </c>
      <c r="E810" s="41" t="s">
        <v>33</v>
      </c>
      <c r="F810" s="42">
        <v>11</v>
      </c>
      <c r="G810" s="41" t="s">
        <v>12</v>
      </c>
      <c r="H810" s="43" t="s">
        <v>444</v>
      </c>
      <c r="I810" s="44">
        <v>75</v>
      </c>
      <c r="J810" s="44">
        <v>120</v>
      </c>
      <c r="K810" s="41"/>
      <c r="L810" s="45">
        <v>412000</v>
      </c>
      <c r="M810" s="44">
        <v>1</v>
      </c>
      <c r="N810" s="43" t="s">
        <v>383</v>
      </c>
    </row>
    <row r="811" spans="1:14" ht="15.75" customHeight="1">
      <c r="A811" s="41" t="s">
        <v>717</v>
      </c>
      <c r="B811" s="41" t="s">
        <v>718</v>
      </c>
      <c r="C811" s="41" t="s">
        <v>442</v>
      </c>
      <c r="D811" s="41" t="s">
        <v>443</v>
      </c>
      <c r="E811" s="41" t="s">
        <v>33</v>
      </c>
      <c r="F811" s="42">
        <v>12</v>
      </c>
      <c r="G811" s="41" t="s">
        <v>13</v>
      </c>
      <c r="H811" s="43" t="s">
        <v>444</v>
      </c>
      <c r="I811" s="44">
        <v>15</v>
      </c>
      <c r="J811" s="44">
        <v>120</v>
      </c>
      <c r="K811" s="41"/>
      <c r="L811" s="45">
        <v>412000</v>
      </c>
      <c r="M811" s="44">
        <v>1</v>
      </c>
      <c r="N811" s="43" t="s">
        <v>383</v>
      </c>
    </row>
    <row r="812" spans="1:14" ht="15.75" customHeight="1">
      <c r="A812" s="41" t="s">
        <v>717</v>
      </c>
      <c r="B812" s="41" t="s">
        <v>718</v>
      </c>
      <c r="C812" s="41" t="s">
        <v>431</v>
      </c>
      <c r="D812" s="41" t="s">
        <v>432</v>
      </c>
      <c r="E812" s="41" t="s">
        <v>433</v>
      </c>
      <c r="F812" s="42">
        <v>18</v>
      </c>
      <c r="G812" s="41" t="s">
        <v>439</v>
      </c>
      <c r="H812" s="43" t="s">
        <v>440</v>
      </c>
      <c r="I812" s="44">
        <v>60</v>
      </c>
      <c r="J812" s="41"/>
      <c r="K812" s="44">
        <v>850</v>
      </c>
      <c r="L812" s="41" t="s">
        <v>435</v>
      </c>
      <c r="M812" s="44">
        <v>1</v>
      </c>
      <c r="N812" s="43" t="s">
        <v>436</v>
      </c>
    </row>
    <row r="813" spans="1:14" ht="15.75" customHeight="1">
      <c r="A813" s="41" t="s">
        <v>717</v>
      </c>
      <c r="B813" s="41" t="s">
        <v>718</v>
      </c>
      <c r="C813" s="41" t="s">
        <v>431</v>
      </c>
      <c r="D813" s="41" t="s">
        <v>432</v>
      </c>
      <c r="E813" s="41" t="s">
        <v>433</v>
      </c>
      <c r="F813" s="42">
        <v>19</v>
      </c>
      <c r="G813" s="41" t="s">
        <v>368</v>
      </c>
      <c r="H813" s="43" t="s">
        <v>434</v>
      </c>
      <c r="I813" s="44">
        <v>60</v>
      </c>
      <c r="J813" s="41"/>
      <c r="K813" s="44">
        <v>800</v>
      </c>
      <c r="L813" s="41" t="s">
        <v>435</v>
      </c>
      <c r="M813" s="44">
        <v>4</v>
      </c>
      <c r="N813" s="43" t="s">
        <v>436</v>
      </c>
    </row>
    <row r="814" spans="1:14" ht="15.75" customHeight="1">
      <c r="A814" s="41" t="s">
        <v>719</v>
      </c>
      <c r="B814" s="41" t="s">
        <v>720</v>
      </c>
      <c r="C814" s="41" t="s">
        <v>442</v>
      </c>
      <c r="D814" s="41" t="s">
        <v>448</v>
      </c>
      <c r="E814" s="41" t="s">
        <v>40</v>
      </c>
      <c r="F814" s="42">
        <v>1</v>
      </c>
      <c r="G814" s="41" t="s">
        <v>11</v>
      </c>
      <c r="H814" s="43" t="s">
        <v>426</v>
      </c>
      <c r="I814" s="44">
        <v>50</v>
      </c>
      <c r="J814" s="44">
        <v>500</v>
      </c>
      <c r="K814" s="41"/>
      <c r="L814" s="45">
        <v>412000</v>
      </c>
      <c r="M814" s="44">
        <v>1</v>
      </c>
      <c r="N814" s="43" t="s">
        <v>383</v>
      </c>
    </row>
    <row r="815" spans="1:14" ht="15.75" customHeight="1">
      <c r="A815" s="41" t="s">
        <v>719</v>
      </c>
      <c r="B815" s="41" t="s">
        <v>720</v>
      </c>
      <c r="C815" s="41" t="s">
        <v>442</v>
      </c>
      <c r="D815" s="41" t="s">
        <v>448</v>
      </c>
      <c r="E815" s="41" t="s">
        <v>40</v>
      </c>
      <c r="F815" s="42">
        <v>2</v>
      </c>
      <c r="G815" s="41" t="s">
        <v>12</v>
      </c>
      <c r="H815" s="43" t="s">
        <v>449</v>
      </c>
      <c r="I815" s="44">
        <v>80</v>
      </c>
      <c r="J815" s="44">
        <v>500</v>
      </c>
      <c r="K815" s="41"/>
      <c r="L815" s="45">
        <v>412000</v>
      </c>
      <c r="M815" s="44">
        <v>1</v>
      </c>
      <c r="N815" s="43" t="s">
        <v>383</v>
      </c>
    </row>
    <row r="816" spans="1:14" ht="15.75" customHeight="1">
      <c r="A816" s="41" t="s">
        <v>719</v>
      </c>
      <c r="B816" s="41" t="s">
        <v>720</v>
      </c>
      <c r="C816" s="41" t="s">
        <v>442</v>
      </c>
      <c r="D816" s="41" t="s">
        <v>448</v>
      </c>
      <c r="E816" s="41" t="s">
        <v>40</v>
      </c>
      <c r="F816" s="42">
        <v>3</v>
      </c>
      <c r="G816" s="41" t="s">
        <v>13</v>
      </c>
      <c r="H816" s="43" t="s">
        <v>449</v>
      </c>
      <c r="I816" s="44">
        <v>30</v>
      </c>
      <c r="J816" s="44">
        <v>500</v>
      </c>
      <c r="K816" s="41"/>
      <c r="L816" s="45">
        <v>412000</v>
      </c>
      <c r="M816" s="44">
        <v>1</v>
      </c>
      <c r="N816" s="43" t="s">
        <v>383</v>
      </c>
    </row>
    <row r="817" spans="1:14" ht="15.75" customHeight="1">
      <c r="A817" s="41" t="s">
        <v>719</v>
      </c>
      <c r="B817" s="41" t="s">
        <v>720</v>
      </c>
      <c r="C817" s="41" t="s">
        <v>431</v>
      </c>
      <c r="D817" s="41" t="s">
        <v>432</v>
      </c>
      <c r="E817" s="41" t="s">
        <v>433</v>
      </c>
      <c r="F817" s="42">
        <v>18</v>
      </c>
      <c r="G817" s="41" t="s">
        <v>439</v>
      </c>
      <c r="H817" s="43" t="s">
        <v>440</v>
      </c>
      <c r="I817" s="44">
        <v>60</v>
      </c>
      <c r="J817" s="41"/>
      <c r="K817" s="44">
        <v>570</v>
      </c>
      <c r="L817" s="41" t="s">
        <v>435</v>
      </c>
      <c r="M817" s="44">
        <v>1</v>
      </c>
      <c r="N817" s="43" t="s">
        <v>436</v>
      </c>
    </row>
    <row r="818" spans="1:14" ht="15.75" customHeight="1">
      <c r="A818" s="41" t="s">
        <v>719</v>
      </c>
      <c r="B818" s="41" t="s">
        <v>720</v>
      </c>
      <c r="C818" s="41" t="s">
        <v>431</v>
      </c>
      <c r="D818" s="41" t="s">
        <v>432</v>
      </c>
      <c r="E818" s="41" t="s">
        <v>433</v>
      </c>
      <c r="F818" s="42">
        <v>19</v>
      </c>
      <c r="G818" s="41" t="s">
        <v>368</v>
      </c>
      <c r="H818" s="43" t="s">
        <v>434</v>
      </c>
      <c r="I818" s="44">
        <v>60</v>
      </c>
      <c r="J818" s="41"/>
      <c r="K818" s="44">
        <v>400</v>
      </c>
      <c r="L818" s="41" t="s">
        <v>435</v>
      </c>
      <c r="M818" s="44">
        <v>5</v>
      </c>
      <c r="N818" s="43" t="s">
        <v>436</v>
      </c>
    </row>
    <row r="819" spans="1:14" ht="15.75" customHeight="1">
      <c r="A819" s="41" t="s">
        <v>721</v>
      </c>
      <c r="B819" s="41" t="s">
        <v>722</v>
      </c>
      <c r="C819" s="41" t="s">
        <v>442</v>
      </c>
      <c r="D819" s="41" t="s">
        <v>443</v>
      </c>
      <c r="E819" s="41" t="s">
        <v>33</v>
      </c>
      <c r="F819" s="42">
        <v>10</v>
      </c>
      <c r="G819" s="41" t="s">
        <v>11</v>
      </c>
      <c r="H819" s="43" t="s">
        <v>426</v>
      </c>
      <c r="I819" s="44">
        <v>25</v>
      </c>
      <c r="J819" s="44">
        <v>15.5</v>
      </c>
      <c r="K819" s="41"/>
      <c r="L819" s="45">
        <v>18000</v>
      </c>
      <c r="M819" s="44">
        <v>1</v>
      </c>
      <c r="N819" s="43" t="s">
        <v>383</v>
      </c>
    </row>
    <row r="820" spans="1:14" ht="15.75" customHeight="1">
      <c r="A820" s="41" t="s">
        <v>721</v>
      </c>
      <c r="B820" s="41" t="s">
        <v>722</v>
      </c>
      <c r="C820" s="41" t="s">
        <v>442</v>
      </c>
      <c r="D820" s="41" t="s">
        <v>443</v>
      </c>
      <c r="E820" s="41" t="s">
        <v>33</v>
      </c>
      <c r="F820" s="42">
        <v>11</v>
      </c>
      <c r="G820" s="41" t="s">
        <v>12</v>
      </c>
      <c r="H820" s="43" t="s">
        <v>444</v>
      </c>
      <c r="I820" s="44">
        <v>80</v>
      </c>
      <c r="J820" s="44">
        <v>15.5</v>
      </c>
      <c r="K820" s="41"/>
      <c r="L820" s="45">
        <v>18000</v>
      </c>
      <c r="M820" s="44">
        <v>1</v>
      </c>
      <c r="N820" s="43" t="s">
        <v>383</v>
      </c>
    </row>
    <row r="821" spans="1:14" ht="15.75" customHeight="1">
      <c r="A821" s="41" t="s">
        <v>721</v>
      </c>
      <c r="B821" s="41" t="s">
        <v>722</v>
      </c>
      <c r="C821" s="41" t="s">
        <v>442</v>
      </c>
      <c r="D821" s="41" t="s">
        <v>443</v>
      </c>
      <c r="E821" s="41" t="s">
        <v>33</v>
      </c>
      <c r="F821" s="42">
        <v>12</v>
      </c>
      <c r="G821" s="41" t="s">
        <v>13</v>
      </c>
      <c r="H821" s="43" t="s">
        <v>444</v>
      </c>
      <c r="I821" s="44">
        <v>15</v>
      </c>
      <c r="J821" s="44">
        <v>15.5</v>
      </c>
      <c r="K821" s="41"/>
      <c r="L821" s="45">
        <v>18000</v>
      </c>
      <c r="M821" s="44">
        <v>1</v>
      </c>
      <c r="N821" s="43" t="s">
        <v>383</v>
      </c>
    </row>
    <row r="822" spans="1:14" ht="15.75" customHeight="1">
      <c r="A822" s="41" t="s">
        <v>721</v>
      </c>
      <c r="B822" s="41" t="s">
        <v>722</v>
      </c>
      <c r="C822" s="41" t="s">
        <v>431</v>
      </c>
      <c r="D822" s="41" t="s">
        <v>432</v>
      </c>
      <c r="E822" s="41" t="s">
        <v>433</v>
      </c>
      <c r="F822" s="42">
        <v>18</v>
      </c>
      <c r="G822" s="41" t="s">
        <v>439</v>
      </c>
      <c r="H822" s="43" t="s">
        <v>440</v>
      </c>
      <c r="I822" s="44">
        <v>60</v>
      </c>
      <c r="J822" s="41"/>
      <c r="K822" s="44">
        <v>800</v>
      </c>
      <c r="L822" s="41" t="s">
        <v>435</v>
      </c>
      <c r="M822" s="44">
        <v>1</v>
      </c>
      <c r="N822" s="43" t="s">
        <v>436</v>
      </c>
    </row>
    <row r="823" spans="1:14" ht="15.75" customHeight="1">
      <c r="A823" s="41" t="s">
        <v>721</v>
      </c>
      <c r="B823" s="41" t="s">
        <v>722</v>
      </c>
      <c r="C823" s="41" t="s">
        <v>431</v>
      </c>
      <c r="D823" s="41" t="s">
        <v>432</v>
      </c>
      <c r="E823" s="41" t="s">
        <v>433</v>
      </c>
      <c r="F823" s="42">
        <v>19</v>
      </c>
      <c r="G823" s="41" t="s">
        <v>368</v>
      </c>
      <c r="H823" s="43" t="s">
        <v>434</v>
      </c>
      <c r="I823" s="44">
        <v>60</v>
      </c>
      <c r="J823" s="41"/>
      <c r="K823" s="44">
        <v>800</v>
      </c>
      <c r="L823" s="41" t="s">
        <v>435</v>
      </c>
      <c r="M823" s="44">
        <v>3</v>
      </c>
      <c r="N823" s="43" t="s">
        <v>436</v>
      </c>
    </row>
    <row r="824" spans="1:14" ht="15.75" customHeight="1">
      <c r="A824" s="41" t="s">
        <v>723</v>
      </c>
      <c r="B824" s="41" t="s">
        <v>724</v>
      </c>
      <c r="C824" s="41" t="s">
        <v>442</v>
      </c>
      <c r="D824" s="41" t="s">
        <v>443</v>
      </c>
      <c r="E824" s="41" t="s">
        <v>33</v>
      </c>
      <c r="F824" s="42">
        <v>10</v>
      </c>
      <c r="G824" s="41" t="s">
        <v>11</v>
      </c>
      <c r="H824" s="43" t="s">
        <v>426</v>
      </c>
      <c r="I824" s="44">
        <v>30</v>
      </c>
      <c r="J824" s="44">
        <v>30.3</v>
      </c>
      <c r="K824" s="41"/>
      <c r="L824" s="45">
        <v>103000</v>
      </c>
      <c r="M824" s="44">
        <v>1</v>
      </c>
      <c r="N824" s="43" t="s">
        <v>383</v>
      </c>
    </row>
    <row r="825" spans="1:14" ht="15.75" customHeight="1">
      <c r="A825" s="41" t="s">
        <v>723</v>
      </c>
      <c r="B825" s="41" t="s">
        <v>724</v>
      </c>
      <c r="C825" s="41" t="s">
        <v>442</v>
      </c>
      <c r="D825" s="41" t="s">
        <v>443</v>
      </c>
      <c r="E825" s="41" t="s">
        <v>33</v>
      </c>
      <c r="F825" s="42">
        <v>11</v>
      </c>
      <c r="G825" s="41" t="s">
        <v>12</v>
      </c>
      <c r="H825" s="43" t="s">
        <v>444</v>
      </c>
      <c r="I825" s="44">
        <v>95</v>
      </c>
      <c r="J825" s="44">
        <v>30.3</v>
      </c>
      <c r="K825" s="41"/>
      <c r="L825" s="45">
        <v>103000</v>
      </c>
      <c r="M825" s="44">
        <v>1</v>
      </c>
      <c r="N825" s="43" t="s">
        <v>383</v>
      </c>
    </row>
    <row r="826" spans="1:14" ht="15.75" customHeight="1">
      <c r="A826" s="41" t="s">
        <v>723</v>
      </c>
      <c r="B826" s="41" t="s">
        <v>724</v>
      </c>
      <c r="C826" s="41" t="s">
        <v>442</v>
      </c>
      <c r="D826" s="41" t="s">
        <v>443</v>
      </c>
      <c r="E826" s="41" t="s">
        <v>33</v>
      </c>
      <c r="F826" s="42">
        <v>12</v>
      </c>
      <c r="G826" s="41" t="s">
        <v>13</v>
      </c>
      <c r="H826" s="43" t="s">
        <v>444</v>
      </c>
      <c r="I826" s="44">
        <v>20</v>
      </c>
      <c r="J826" s="44">
        <v>30.3</v>
      </c>
      <c r="K826" s="41"/>
      <c r="L826" s="45">
        <v>103000</v>
      </c>
      <c r="M826" s="44">
        <v>1</v>
      </c>
      <c r="N826" s="43" t="s">
        <v>383</v>
      </c>
    </row>
    <row r="827" spans="1:14" ht="15.75" customHeight="1">
      <c r="A827" s="41" t="s">
        <v>725</v>
      </c>
      <c r="B827" s="41" t="s">
        <v>724</v>
      </c>
      <c r="C827" s="41" t="s">
        <v>442</v>
      </c>
      <c r="D827" s="41" t="s">
        <v>443</v>
      </c>
      <c r="E827" s="41" t="s">
        <v>33</v>
      </c>
      <c r="F827" s="42">
        <v>10</v>
      </c>
      <c r="G827" s="41" t="s">
        <v>11</v>
      </c>
      <c r="H827" s="43" t="s">
        <v>426</v>
      </c>
      <c r="I827" s="44">
        <v>30</v>
      </c>
      <c r="J827" s="44">
        <v>30.3</v>
      </c>
      <c r="K827" s="41"/>
      <c r="L827" s="45">
        <v>103000</v>
      </c>
      <c r="M827" s="44">
        <v>1</v>
      </c>
      <c r="N827" s="43" t="s">
        <v>383</v>
      </c>
    </row>
    <row r="828" spans="1:14" ht="15.75" customHeight="1">
      <c r="A828" s="41" t="s">
        <v>725</v>
      </c>
      <c r="B828" s="41" t="s">
        <v>724</v>
      </c>
      <c r="C828" s="41" t="s">
        <v>442</v>
      </c>
      <c r="D828" s="41" t="s">
        <v>443</v>
      </c>
      <c r="E828" s="41" t="s">
        <v>33</v>
      </c>
      <c r="F828" s="42">
        <v>11</v>
      </c>
      <c r="G828" s="41" t="s">
        <v>12</v>
      </c>
      <c r="H828" s="43" t="s">
        <v>444</v>
      </c>
      <c r="I828" s="44">
        <v>95</v>
      </c>
      <c r="J828" s="44">
        <v>30.3</v>
      </c>
      <c r="K828" s="41"/>
      <c r="L828" s="45">
        <v>103000</v>
      </c>
      <c r="M828" s="44">
        <v>1</v>
      </c>
      <c r="N828" s="43" t="s">
        <v>383</v>
      </c>
    </row>
    <row r="829" spans="1:14" ht="15.75" customHeight="1">
      <c r="A829" s="41" t="s">
        <v>725</v>
      </c>
      <c r="B829" s="41" t="s">
        <v>724</v>
      </c>
      <c r="C829" s="41" t="s">
        <v>442</v>
      </c>
      <c r="D829" s="41" t="s">
        <v>443</v>
      </c>
      <c r="E829" s="41" t="s">
        <v>33</v>
      </c>
      <c r="F829" s="42">
        <v>12</v>
      </c>
      <c r="G829" s="41" t="s">
        <v>13</v>
      </c>
      <c r="H829" s="43" t="s">
        <v>444</v>
      </c>
      <c r="I829" s="44">
        <v>20</v>
      </c>
      <c r="J829" s="44">
        <v>30.3</v>
      </c>
      <c r="K829" s="41"/>
      <c r="L829" s="45">
        <v>103000</v>
      </c>
      <c r="M829" s="44">
        <v>1</v>
      </c>
      <c r="N829" s="43" t="s">
        <v>383</v>
      </c>
    </row>
    <row r="830" spans="1:14" ht="15.75" customHeight="1">
      <c r="A830" s="41" t="s">
        <v>723</v>
      </c>
      <c r="B830" s="41" t="s">
        <v>724</v>
      </c>
      <c r="C830" s="41" t="s">
        <v>431</v>
      </c>
      <c r="D830" s="41" t="s">
        <v>432</v>
      </c>
      <c r="E830" s="41" t="s">
        <v>433</v>
      </c>
      <c r="F830" s="42">
        <v>18</v>
      </c>
      <c r="G830" s="41" t="s">
        <v>439</v>
      </c>
      <c r="H830" s="43" t="s">
        <v>440</v>
      </c>
      <c r="I830" s="44">
        <v>60</v>
      </c>
      <c r="J830" s="41"/>
      <c r="K830" s="44">
        <v>650</v>
      </c>
      <c r="L830" s="41" t="s">
        <v>435</v>
      </c>
      <c r="M830" s="44">
        <v>1</v>
      </c>
      <c r="N830" s="43" t="s">
        <v>436</v>
      </c>
    </row>
    <row r="831" spans="1:14" ht="15.75" customHeight="1">
      <c r="A831" s="41" t="s">
        <v>723</v>
      </c>
      <c r="B831" s="41" t="s">
        <v>724</v>
      </c>
      <c r="C831" s="41" t="s">
        <v>431</v>
      </c>
      <c r="D831" s="41" t="s">
        <v>432</v>
      </c>
      <c r="E831" s="41" t="s">
        <v>433</v>
      </c>
      <c r="F831" s="42">
        <v>19</v>
      </c>
      <c r="G831" s="41" t="s">
        <v>368</v>
      </c>
      <c r="H831" s="43" t="s">
        <v>434</v>
      </c>
      <c r="I831" s="44">
        <v>60</v>
      </c>
      <c r="J831" s="41"/>
      <c r="K831" s="44">
        <v>1600</v>
      </c>
      <c r="L831" s="41" t="s">
        <v>435</v>
      </c>
      <c r="M831" s="44">
        <v>4</v>
      </c>
      <c r="N831" s="43" t="s">
        <v>436</v>
      </c>
    </row>
    <row r="832" spans="1:14" ht="15.75" customHeight="1">
      <c r="A832" s="41" t="s">
        <v>725</v>
      </c>
      <c r="B832" s="41" t="s">
        <v>724</v>
      </c>
      <c r="C832" s="41" t="s">
        <v>431</v>
      </c>
      <c r="D832" s="41" t="s">
        <v>432</v>
      </c>
      <c r="E832" s="41" t="s">
        <v>433</v>
      </c>
      <c r="F832" s="42">
        <v>18</v>
      </c>
      <c r="G832" s="41" t="s">
        <v>439</v>
      </c>
      <c r="H832" s="43" t="s">
        <v>440</v>
      </c>
      <c r="I832" s="44">
        <v>60</v>
      </c>
      <c r="J832" s="41"/>
      <c r="K832" s="44">
        <v>1400</v>
      </c>
      <c r="L832" s="41" t="s">
        <v>435</v>
      </c>
      <c r="M832" s="44">
        <v>1</v>
      </c>
      <c r="N832" s="43" t="s">
        <v>436</v>
      </c>
    </row>
    <row r="833" spans="1:14" ht="15.75" customHeight="1">
      <c r="A833" s="41" t="s">
        <v>725</v>
      </c>
      <c r="B833" s="41" t="s">
        <v>724</v>
      </c>
      <c r="C833" s="41" t="s">
        <v>431</v>
      </c>
      <c r="D833" s="41" t="s">
        <v>432</v>
      </c>
      <c r="E833" s="41" t="s">
        <v>433</v>
      </c>
      <c r="F833" s="42">
        <v>19</v>
      </c>
      <c r="G833" s="41" t="s">
        <v>368</v>
      </c>
      <c r="H833" s="43" t="s">
        <v>434</v>
      </c>
      <c r="I833" s="44">
        <v>60</v>
      </c>
      <c r="J833" s="41"/>
      <c r="K833" s="44">
        <v>1600</v>
      </c>
      <c r="L833" s="41" t="s">
        <v>435</v>
      </c>
      <c r="M833" s="44">
        <v>4</v>
      </c>
      <c r="N833" s="43" t="s">
        <v>436</v>
      </c>
    </row>
    <row r="834" spans="1:14" ht="15.75" customHeight="1">
      <c r="A834" s="41" t="s">
        <v>726</v>
      </c>
      <c r="B834" s="41" t="s">
        <v>727</v>
      </c>
      <c r="C834" s="41" t="s">
        <v>442</v>
      </c>
      <c r="D834" s="41" t="s">
        <v>448</v>
      </c>
      <c r="E834" s="41" t="s">
        <v>40</v>
      </c>
      <c r="F834" s="42">
        <v>1</v>
      </c>
      <c r="G834" s="41" t="s">
        <v>11</v>
      </c>
      <c r="H834" s="43" t="s">
        <v>426</v>
      </c>
      <c r="I834" s="44">
        <v>40</v>
      </c>
      <c r="J834" s="44">
        <v>121.2</v>
      </c>
      <c r="K834" s="41"/>
      <c r="L834" s="45">
        <v>412000</v>
      </c>
      <c r="M834" s="44">
        <v>1</v>
      </c>
      <c r="N834" s="43" t="s">
        <v>383</v>
      </c>
    </row>
    <row r="835" spans="1:14" ht="15.75" customHeight="1">
      <c r="A835" s="41" t="s">
        <v>726</v>
      </c>
      <c r="B835" s="41" t="s">
        <v>727</v>
      </c>
      <c r="C835" s="41" t="s">
        <v>442</v>
      </c>
      <c r="D835" s="41" t="s">
        <v>448</v>
      </c>
      <c r="E835" s="41" t="s">
        <v>40</v>
      </c>
      <c r="F835" s="42">
        <v>2</v>
      </c>
      <c r="G835" s="41" t="s">
        <v>12</v>
      </c>
      <c r="H835" s="43" t="s">
        <v>449</v>
      </c>
      <c r="I835" s="44">
        <v>130</v>
      </c>
      <c r="J835" s="44">
        <v>121.2</v>
      </c>
      <c r="K835" s="41"/>
      <c r="L835" s="45">
        <v>412000</v>
      </c>
      <c r="M835" s="44">
        <v>1</v>
      </c>
      <c r="N835" s="43" t="s">
        <v>383</v>
      </c>
    </row>
    <row r="836" spans="1:14" ht="15.75" customHeight="1">
      <c r="A836" s="41" t="s">
        <v>726</v>
      </c>
      <c r="B836" s="41" t="s">
        <v>727</v>
      </c>
      <c r="C836" s="41" t="s">
        <v>442</v>
      </c>
      <c r="D836" s="41" t="s">
        <v>448</v>
      </c>
      <c r="E836" s="41" t="s">
        <v>40</v>
      </c>
      <c r="F836" s="42">
        <v>3</v>
      </c>
      <c r="G836" s="41" t="s">
        <v>13</v>
      </c>
      <c r="H836" s="43" t="s">
        <v>449</v>
      </c>
      <c r="I836" s="44">
        <v>30</v>
      </c>
      <c r="J836" s="44">
        <v>121.2</v>
      </c>
      <c r="K836" s="41"/>
      <c r="L836" s="45">
        <v>412000</v>
      </c>
      <c r="M836" s="44">
        <v>1</v>
      </c>
      <c r="N836" s="43" t="s">
        <v>383</v>
      </c>
    </row>
    <row r="837" spans="1:14" ht="15.75" customHeight="1">
      <c r="A837" s="41" t="s">
        <v>726</v>
      </c>
      <c r="B837" s="41" t="s">
        <v>727</v>
      </c>
      <c r="C837" s="41" t="s">
        <v>431</v>
      </c>
      <c r="D837" s="41" t="s">
        <v>432</v>
      </c>
      <c r="E837" s="41" t="s">
        <v>433</v>
      </c>
      <c r="F837" s="42">
        <v>18</v>
      </c>
      <c r="G837" s="41" t="s">
        <v>439</v>
      </c>
      <c r="H837" s="43" t="s">
        <v>440</v>
      </c>
      <c r="I837" s="44">
        <v>60</v>
      </c>
      <c r="J837" s="41"/>
      <c r="K837" s="44">
        <v>1100</v>
      </c>
      <c r="L837" s="41" t="s">
        <v>435</v>
      </c>
      <c r="M837" s="44">
        <v>1</v>
      </c>
      <c r="N837" s="43" t="s">
        <v>436</v>
      </c>
    </row>
    <row r="838" spans="1:14" ht="15.75" customHeight="1">
      <c r="A838" s="41" t="s">
        <v>726</v>
      </c>
      <c r="B838" s="41" t="s">
        <v>727</v>
      </c>
      <c r="C838" s="41" t="s">
        <v>431</v>
      </c>
      <c r="D838" s="41" t="s">
        <v>432</v>
      </c>
      <c r="E838" s="41" t="s">
        <v>433</v>
      </c>
      <c r="F838" s="42">
        <v>19</v>
      </c>
      <c r="G838" s="41" t="s">
        <v>368</v>
      </c>
      <c r="H838" s="43" t="s">
        <v>434</v>
      </c>
      <c r="I838" s="44">
        <v>60</v>
      </c>
      <c r="J838" s="41"/>
      <c r="K838" s="44">
        <v>730</v>
      </c>
      <c r="L838" s="41" t="s">
        <v>435</v>
      </c>
      <c r="M838" s="44">
        <v>4</v>
      </c>
      <c r="N838" s="43" t="s">
        <v>436</v>
      </c>
    </row>
    <row r="839" spans="1:14" ht="15.75" customHeight="1">
      <c r="A839" s="41" t="s">
        <v>728</v>
      </c>
      <c r="B839" s="41" t="s">
        <v>729</v>
      </c>
      <c r="C839" s="41" t="s">
        <v>442</v>
      </c>
      <c r="D839" s="41" t="s">
        <v>443</v>
      </c>
      <c r="E839" s="41" t="s">
        <v>33</v>
      </c>
      <c r="F839" s="42">
        <v>10</v>
      </c>
      <c r="G839" s="41" t="s">
        <v>11</v>
      </c>
      <c r="H839" s="43" t="s">
        <v>426</v>
      </c>
      <c r="I839" s="44">
        <v>35</v>
      </c>
      <c r="J839" s="44">
        <v>33.5</v>
      </c>
      <c r="K839" s="41"/>
      <c r="L839" s="45">
        <v>100000</v>
      </c>
      <c r="M839" s="44">
        <v>1</v>
      </c>
      <c r="N839" s="43" t="s">
        <v>383</v>
      </c>
    </row>
    <row r="840" spans="1:14" ht="15.75" customHeight="1">
      <c r="A840" s="41" t="s">
        <v>728</v>
      </c>
      <c r="B840" s="41" t="s">
        <v>729</v>
      </c>
      <c r="C840" s="41" t="s">
        <v>442</v>
      </c>
      <c r="D840" s="41" t="s">
        <v>443</v>
      </c>
      <c r="E840" s="41" t="s">
        <v>33</v>
      </c>
      <c r="F840" s="42">
        <v>11</v>
      </c>
      <c r="G840" s="41" t="s">
        <v>12</v>
      </c>
      <c r="H840" s="43" t="s">
        <v>444</v>
      </c>
      <c r="I840" s="44">
        <v>60</v>
      </c>
      <c r="J840" s="44">
        <v>33.5</v>
      </c>
      <c r="K840" s="41"/>
      <c r="L840" s="45">
        <v>100000</v>
      </c>
      <c r="M840" s="44">
        <v>1</v>
      </c>
      <c r="N840" s="43" t="s">
        <v>383</v>
      </c>
    </row>
    <row r="841" spans="1:14" ht="15.75" customHeight="1">
      <c r="A841" s="41" t="s">
        <v>728</v>
      </c>
      <c r="B841" s="41" t="s">
        <v>729</v>
      </c>
      <c r="C841" s="41" t="s">
        <v>442</v>
      </c>
      <c r="D841" s="41" t="s">
        <v>443</v>
      </c>
      <c r="E841" s="41" t="s">
        <v>33</v>
      </c>
      <c r="F841" s="42">
        <v>12</v>
      </c>
      <c r="G841" s="41" t="s">
        <v>13</v>
      </c>
      <c r="H841" s="43" t="s">
        <v>444</v>
      </c>
      <c r="I841" s="44">
        <v>15</v>
      </c>
      <c r="J841" s="44">
        <v>33.5</v>
      </c>
      <c r="K841" s="41"/>
      <c r="L841" s="45">
        <v>100000</v>
      </c>
      <c r="M841" s="44">
        <v>1</v>
      </c>
      <c r="N841" s="43" t="s">
        <v>383</v>
      </c>
    </row>
    <row r="842" spans="1:14" ht="15.75" customHeight="1">
      <c r="A842" s="41" t="s">
        <v>728</v>
      </c>
      <c r="B842" s="41" t="s">
        <v>729</v>
      </c>
      <c r="C842" s="41" t="s">
        <v>499</v>
      </c>
      <c r="D842" s="41" t="s">
        <v>443</v>
      </c>
      <c r="E842" s="41" t="s">
        <v>33</v>
      </c>
      <c r="F842" s="42">
        <v>11</v>
      </c>
      <c r="G842" s="41" t="s">
        <v>12</v>
      </c>
      <c r="H842" s="43" t="s">
        <v>444</v>
      </c>
      <c r="I842" s="44">
        <v>30</v>
      </c>
      <c r="J842" s="44">
        <v>8.9</v>
      </c>
      <c r="K842" s="41"/>
      <c r="L842" s="45">
        <v>100000</v>
      </c>
      <c r="M842" s="44">
        <v>1</v>
      </c>
      <c r="N842" s="43" t="s">
        <v>383</v>
      </c>
    </row>
    <row r="843" spans="1:14" ht="15.75" customHeight="1">
      <c r="A843" s="41" t="s">
        <v>728</v>
      </c>
      <c r="B843" s="41" t="s">
        <v>729</v>
      </c>
      <c r="C843" s="41" t="s">
        <v>499</v>
      </c>
      <c r="D843" s="41" t="s">
        <v>443</v>
      </c>
      <c r="E843" s="41" t="s">
        <v>33</v>
      </c>
      <c r="F843" s="42">
        <v>12</v>
      </c>
      <c r="G843" s="41" t="s">
        <v>13</v>
      </c>
      <c r="H843" s="43" t="s">
        <v>444</v>
      </c>
      <c r="I843" s="44">
        <v>10</v>
      </c>
      <c r="J843" s="44">
        <v>8.9</v>
      </c>
      <c r="K843" s="41"/>
      <c r="L843" s="45">
        <v>100000</v>
      </c>
      <c r="M843" s="44">
        <v>1</v>
      </c>
      <c r="N843" s="43" t="s">
        <v>383</v>
      </c>
    </row>
    <row r="844" spans="1:14" ht="15.75" customHeight="1">
      <c r="A844" s="41" t="s">
        <v>728</v>
      </c>
      <c r="B844" s="41" t="s">
        <v>729</v>
      </c>
      <c r="C844" s="41" t="s">
        <v>431</v>
      </c>
      <c r="D844" s="41" t="s">
        <v>432</v>
      </c>
      <c r="E844" s="41" t="s">
        <v>433</v>
      </c>
      <c r="F844" s="42">
        <v>18</v>
      </c>
      <c r="G844" s="41" t="s">
        <v>439</v>
      </c>
      <c r="H844" s="43" t="s">
        <v>440</v>
      </c>
      <c r="I844" s="44">
        <v>60</v>
      </c>
      <c r="J844" s="41"/>
      <c r="K844" s="44">
        <v>1000</v>
      </c>
      <c r="L844" s="41" t="s">
        <v>435</v>
      </c>
      <c r="M844" s="44">
        <v>1</v>
      </c>
      <c r="N844" s="43" t="s">
        <v>436</v>
      </c>
    </row>
    <row r="845" spans="1:14" ht="15.75" customHeight="1">
      <c r="A845" s="41" t="s">
        <v>728</v>
      </c>
      <c r="B845" s="41" t="s">
        <v>729</v>
      </c>
      <c r="C845" s="41" t="s">
        <v>431</v>
      </c>
      <c r="D845" s="41" t="s">
        <v>432</v>
      </c>
      <c r="E845" s="41" t="s">
        <v>433</v>
      </c>
      <c r="F845" s="42">
        <v>19</v>
      </c>
      <c r="G845" s="41" t="s">
        <v>368</v>
      </c>
      <c r="H845" s="43" t="s">
        <v>434</v>
      </c>
      <c r="I845" s="44">
        <v>60</v>
      </c>
      <c r="J845" s="41"/>
      <c r="K845" s="44">
        <v>250</v>
      </c>
      <c r="L845" s="41" t="s">
        <v>435</v>
      </c>
      <c r="M845" s="44">
        <v>4</v>
      </c>
      <c r="N845" s="43" t="s">
        <v>436</v>
      </c>
    </row>
    <row r="846" spans="1:14" ht="15.75" customHeight="1">
      <c r="A846" s="41" t="s">
        <v>730</v>
      </c>
      <c r="B846" s="41" t="s">
        <v>731</v>
      </c>
      <c r="C846" s="41" t="s">
        <v>442</v>
      </c>
      <c r="D846" s="41" t="s">
        <v>448</v>
      </c>
      <c r="E846" s="41" t="s">
        <v>40</v>
      </c>
      <c r="F846" s="42">
        <v>1</v>
      </c>
      <c r="G846" s="41" t="s">
        <v>11</v>
      </c>
      <c r="H846" s="43" t="s">
        <v>426</v>
      </c>
      <c r="I846" s="44">
        <v>45</v>
      </c>
      <c r="J846" s="44">
        <v>30.3</v>
      </c>
      <c r="K846" s="41"/>
      <c r="L846" s="45">
        <v>362000</v>
      </c>
      <c r="M846" s="44">
        <v>1</v>
      </c>
      <c r="N846" s="43" t="s">
        <v>383</v>
      </c>
    </row>
    <row r="847" spans="1:14" ht="15.75" customHeight="1">
      <c r="A847" s="41" t="s">
        <v>730</v>
      </c>
      <c r="B847" s="41" t="s">
        <v>731</v>
      </c>
      <c r="C847" s="41" t="s">
        <v>442</v>
      </c>
      <c r="D847" s="41" t="s">
        <v>448</v>
      </c>
      <c r="E847" s="41" t="s">
        <v>40</v>
      </c>
      <c r="F847" s="42">
        <v>2</v>
      </c>
      <c r="G847" s="41" t="s">
        <v>12</v>
      </c>
      <c r="H847" s="43" t="s">
        <v>449</v>
      </c>
      <c r="I847" s="44">
        <v>120</v>
      </c>
      <c r="J847" s="44">
        <v>30.3</v>
      </c>
      <c r="K847" s="41"/>
      <c r="L847" s="45">
        <v>362000</v>
      </c>
      <c r="M847" s="44">
        <v>1</v>
      </c>
      <c r="N847" s="43" t="s">
        <v>383</v>
      </c>
    </row>
    <row r="848" spans="1:14" ht="15.75" customHeight="1">
      <c r="A848" s="41" t="s">
        <v>730</v>
      </c>
      <c r="B848" s="41" t="s">
        <v>731</v>
      </c>
      <c r="C848" s="41" t="s">
        <v>442</v>
      </c>
      <c r="D848" s="41" t="s">
        <v>448</v>
      </c>
      <c r="E848" s="41" t="s">
        <v>40</v>
      </c>
      <c r="F848" s="42">
        <v>3</v>
      </c>
      <c r="G848" s="41" t="s">
        <v>13</v>
      </c>
      <c r="H848" s="43" t="s">
        <v>449</v>
      </c>
      <c r="I848" s="44">
        <v>40</v>
      </c>
      <c r="J848" s="44">
        <v>30.3</v>
      </c>
      <c r="K848" s="41"/>
      <c r="L848" s="45">
        <v>362000</v>
      </c>
      <c r="M848" s="44">
        <v>1</v>
      </c>
      <c r="N848" s="43" t="s">
        <v>383</v>
      </c>
    </row>
    <row r="849" spans="1:14" ht="15.75" customHeight="1">
      <c r="A849" s="41" t="s">
        <v>730</v>
      </c>
      <c r="B849" s="41" t="s">
        <v>731</v>
      </c>
      <c r="C849" s="41" t="s">
        <v>442</v>
      </c>
      <c r="D849" s="41" t="s">
        <v>443</v>
      </c>
      <c r="E849" s="41" t="s">
        <v>33</v>
      </c>
      <c r="F849" s="42">
        <v>10</v>
      </c>
      <c r="G849" s="41" t="s">
        <v>11</v>
      </c>
      <c r="H849" s="43" t="s">
        <v>426</v>
      </c>
      <c r="I849" s="44">
        <v>45</v>
      </c>
      <c r="J849" s="44">
        <v>30.3</v>
      </c>
      <c r="K849" s="41"/>
      <c r="L849" s="45">
        <v>362000</v>
      </c>
      <c r="M849" s="44">
        <v>1</v>
      </c>
      <c r="N849" s="43" t="s">
        <v>383</v>
      </c>
    </row>
    <row r="850" spans="1:14" ht="15.75" customHeight="1">
      <c r="A850" s="41" t="s">
        <v>730</v>
      </c>
      <c r="B850" s="41" t="s">
        <v>731</v>
      </c>
      <c r="C850" s="41" t="s">
        <v>442</v>
      </c>
      <c r="D850" s="41" t="s">
        <v>443</v>
      </c>
      <c r="E850" s="41" t="s">
        <v>33</v>
      </c>
      <c r="F850" s="42">
        <v>11</v>
      </c>
      <c r="G850" s="41" t="s">
        <v>12</v>
      </c>
      <c r="H850" s="43" t="s">
        <v>444</v>
      </c>
      <c r="I850" s="44">
        <v>80</v>
      </c>
      <c r="J850" s="44">
        <v>30.3</v>
      </c>
      <c r="K850" s="41"/>
      <c r="L850" s="45">
        <v>362000</v>
      </c>
      <c r="M850" s="44">
        <v>1</v>
      </c>
      <c r="N850" s="43" t="s">
        <v>383</v>
      </c>
    </row>
    <row r="851" spans="1:14" ht="15.75" customHeight="1">
      <c r="A851" s="41" t="s">
        <v>730</v>
      </c>
      <c r="B851" s="41" t="s">
        <v>731</v>
      </c>
      <c r="C851" s="41" t="s">
        <v>442</v>
      </c>
      <c r="D851" s="41" t="s">
        <v>443</v>
      </c>
      <c r="E851" s="41" t="s">
        <v>33</v>
      </c>
      <c r="F851" s="42">
        <v>12</v>
      </c>
      <c r="G851" s="41" t="s">
        <v>13</v>
      </c>
      <c r="H851" s="43" t="s">
        <v>444</v>
      </c>
      <c r="I851" s="44">
        <v>20</v>
      </c>
      <c r="J851" s="44">
        <v>30.3</v>
      </c>
      <c r="K851" s="41"/>
      <c r="L851" s="45">
        <v>362000</v>
      </c>
      <c r="M851" s="44">
        <v>1</v>
      </c>
      <c r="N851" s="43" t="s">
        <v>383</v>
      </c>
    </row>
    <row r="852" spans="1:14" ht="15.75" customHeight="1">
      <c r="A852" s="41" t="s">
        <v>730</v>
      </c>
      <c r="B852" s="41" t="s">
        <v>731</v>
      </c>
      <c r="C852" s="41" t="s">
        <v>431</v>
      </c>
      <c r="D852" s="41" t="s">
        <v>432</v>
      </c>
      <c r="E852" s="41" t="s">
        <v>433</v>
      </c>
      <c r="F852" s="42">
        <v>18</v>
      </c>
      <c r="G852" s="41" t="s">
        <v>439</v>
      </c>
      <c r="H852" s="43" t="s">
        <v>440</v>
      </c>
      <c r="I852" s="44">
        <v>60</v>
      </c>
      <c r="J852" s="41"/>
      <c r="K852" s="44">
        <v>1500</v>
      </c>
      <c r="L852" s="41" t="s">
        <v>435</v>
      </c>
      <c r="M852" s="44">
        <v>1</v>
      </c>
      <c r="N852" s="43" t="s">
        <v>436</v>
      </c>
    </row>
    <row r="853" spans="1:14" ht="15.75" customHeight="1">
      <c r="A853" s="41" t="s">
        <v>730</v>
      </c>
      <c r="B853" s="41" t="s">
        <v>731</v>
      </c>
      <c r="C853" s="41" t="s">
        <v>431</v>
      </c>
      <c r="D853" s="41" t="s">
        <v>432</v>
      </c>
      <c r="E853" s="41" t="s">
        <v>433</v>
      </c>
      <c r="F853" s="42">
        <v>19</v>
      </c>
      <c r="G853" s="41" t="s">
        <v>368</v>
      </c>
      <c r="H853" s="43" t="s">
        <v>434</v>
      </c>
      <c r="I853" s="44">
        <v>60</v>
      </c>
      <c r="J853" s="41"/>
      <c r="K853" s="44">
        <v>1300</v>
      </c>
      <c r="L853" s="41" t="s">
        <v>435</v>
      </c>
      <c r="M853" s="44">
        <v>4</v>
      </c>
      <c r="N853" s="43" t="s">
        <v>436</v>
      </c>
    </row>
    <row r="854" spans="1:14" ht="15.75" customHeight="1">
      <c r="A854" s="41" t="s">
        <v>732</v>
      </c>
      <c r="B854" s="41" t="s">
        <v>733</v>
      </c>
      <c r="C854" s="41" t="s">
        <v>424</v>
      </c>
      <c r="D854" s="41" t="s">
        <v>429</v>
      </c>
      <c r="E854" s="41" t="s">
        <v>74</v>
      </c>
      <c r="F854" s="42">
        <v>7</v>
      </c>
      <c r="G854" s="41" t="s">
        <v>11</v>
      </c>
      <c r="H854" s="43" t="s">
        <v>426</v>
      </c>
      <c r="I854" s="44">
        <v>30</v>
      </c>
      <c r="J854" s="44">
        <v>50</v>
      </c>
      <c r="K854" s="41"/>
      <c r="L854" s="45">
        <v>109000</v>
      </c>
      <c r="M854" s="44">
        <v>1</v>
      </c>
      <c r="N854" s="43" t="s">
        <v>383</v>
      </c>
    </row>
    <row r="855" spans="1:14" ht="15.75" customHeight="1">
      <c r="A855" s="41" t="s">
        <v>732</v>
      </c>
      <c r="B855" s="41" t="s">
        <v>733</v>
      </c>
      <c r="C855" s="41" t="s">
        <v>424</v>
      </c>
      <c r="D855" s="41" t="s">
        <v>429</v>
      </c>
      <c r="E855" s="41" t="s">
        <v>74</v>
      </c>
      <c r="F855" s="42">
        <v>8</v>
      </c>
      <c r="G855" s="41" t="s">
        <v>12</v>
      </c>
      <c r="H855" s="43" t="s">
        <v>430</v>
      </c>
      <c r="I855" s="44">
        <v>170</v>
      </c>
      <c r="J855" s="44">
        <v>50</v>
      </c>
      <c r="K855" s="41"/>
      <c r="L855" s="45">
        <v>109000</v>
      </c>
      <c r="M855" s="44">
        <v>1</v>
      </c>
      <c r="N855" s="43" t="s">
        <v>383</v>
      </c>
    </row>
    <row r="856" spans="1:14" ht="15.75" customHeight="1">
      <c r="A856" s="41" t="s">
        <v>732</v>
      </c>
      <c r="B856" s="41" t="s">
        <v>733</v>
      </c>
      <c r="C856" s="41" t="s">
        <v>424</v>
      </c>
      <c r="D856" s="41" t="s">
        <v>429</v>
      </c>
      <c r="E856" s="41" t="s">
        <v>74</v>
      </c>
      <c r="F856" s="42">
        <v>9</v>
      </c>
      <c r="G856" s="41" t="s">
        <v>13</v>
      </c>
      <c r="H856" s="43" t="s">
        <v>430</v>
      </c>
      <c r="I856" s="44">
        <v>40</v>
      </c>
      <c r="J856" s="44">
        <v>50</v>
      </c>
      <c r="K856" s="41"/>
      <c r="L856" s="45">
        <v>109000</v>
      </c>
      <c r="M856" s="44">
        <v>1</v>
      </c>
      <c r="N856" s="43" t="s">
        <v>383</v>
      </c>
    </row>
    <row r="857" spans="1:14" ht="15.75" customHeight="1">
      <c r="A857" s="41" t="s">
        <v>732</v>
      </c>
      <c r="B857" s="41" t="s">
        <v>733</v>
      </c>
      <c r="C857" s="41" t="s">
        <v>431</v>
      </c>
      <c r="D857" s="41" t="s">
        <v>432</v>
      </c>
      <c r="E857" s="41" t="s">
        <v>433</v>
      </c>
      <c r="F857" s="42">
        <v>18</v>
      </c>
      <c r="G857" s="41" t="s">
        <v>439</v>
      </c>
      <c r="H857" s="43" t="s">
        <v>440</v>
      </c>
      <c r="I857" s="44">
        <v>60</v>
      </c>
      <c r="J857" s="41"/>
      <c r="K857" s="44">
        <v>900</v>
      </c>
      <c r="L857" s="41" t="s">
        <v>435</v>
      </c>
      <c r="M857" s="44">
        <v>1</v>
      </c>
      <c r="N857" s="43" t="s">
        <v>436</v>
      </c>
    </row>
    <row r="858" spans="1:14" ht="15.75" customHeight="1">
      <c r="A858" s="41" t="s">
        <v>732</v>
      </c>
      <c r="B858" s="41" t="s">
        <v>733</v>
      </c>
      <c r="C858" s="41" t="s">
        <v>431</v>
      </c>
      <c r="D858" s="41" t="s">
        <v>432</v>
      </c>
      <c r="E858" s="41" t="s">
        <v>433</v>
      </c>
      <c r="F858" s="42">
        <v>19</v>
      </c>
      <c r="G858" s="41" t="s">
        <v>368</v>
      </c>
      <c r="H858" s="43" t="s">
        <v>434</v>
      </c>
      <c r="I858" s="44">
        <v>60</v>
      </c>
      <c r="J858" s="41"/>
      <c r="K858" s="44">
        <v>950</v>
      </c>
      <c r="L858" s="41" t="s">
        <v>435</v>
      </c>
      <c r="M858" s="44">
        <v>4</v>
      </c>
      <c r="N858" s="43" t="s">
        <v>436</v>
      </c>
    </row>
    <row r="859" spans="1:14" ht="15.75" customHeight="1">
      <c r="A859" s="41" t="s">
        <v>734</v>
      </c>
      <c r="B859" s="41" t="s">
        <v>735</v>
      </c>
      <c r="C859" s="41" t="s">
        <v>424</v>
      </c>
      <c r="D859" s="41" t="s">
        <v>425</v>
      </c>
      <c r="E859" s="41" t="s">
        <v>48</v>
      </c>
      <c r="F859" s="42">
        <v>4</v>
      </c>
      <c r="G859" s="41" t="s">
        <v>11</v>
      </c>
      <c r="H859" s="43" t="s">
        <v>426</v>
      </c>
      <c r="I859" s="44">
        <v>25</v>
      </c>
      <c r="J859" s="44">
        <v>30.3</v>
      </c>
      <c r="K859" s="41"/>
      <c r="L859" s="45">
        <v>52000</v>
      </c>
      <c r="M859" s="44">
        <v>1</v>
      </c>
      <c r="N859" s="43" t="s">
        <v>383</v>
      </c>
    </row>
    <row r="860" spans="1:14" ht="15.75" customHeight="1">
      <c r="A860" s="41" t="s">
        <v>734</v>
      </c>
      <c r="B860" s="41" t="s">
        <v>735</v>
      </c>
      <c r="C860" s="41" t="s">
        <v>424</v>
      </c>
      <c r="D860" s="41" t="s">
        <v>425</v>
      </c>
      <c r="E860" s="41" t="s">
        <v>48</v>
      </c>
      <c r="F860" s="42">
        <v>5</v>
      </c>
      <c r="G860" s="41" t="s">
        <v>12</v>
      </c>
      <c r="H860" s="43" t="s">
        <v>427</v>
      </c>
      <c r="I860" s="44">
        <v>140</v>
      </c>
      <c r="J860" s="44">
        <v>30.3</v>
      </c>
      <c r="K860" s="41"/>
      <c r="L860" s="45">
        <v>52000</v>
      </c>
      <c r="M860" s="44">
        <v>1</v>
      </c>
      <c r="N860" s="43" t="s">
        <v>383</v>
      </c>
    </row>
    <row r="861" spans="1:14" ht="15.75" customHeight="1">
      <c r="A861" s="41" t="s">
        <v>734</v>
      </c>
      <c r="B861" s="41" t="s">
        <v>735</v>
      </c>
      <c r="C861" s="41" t="s">
        <v>424</v>
      </c>
      <c r="D861" s="41" t="s">
        <v>425</v>
      </c>
      <c r="E861" s="41" t="s">
        <v>48</v>
      </c>
      <c r="F861" s="42">
        <v>6</v>
      </c>
      <c r="G861" s="41" t="s">
        <v>13</v>
      </c>
      <c r="H861" s="43" t="s">
        <v>427</v>
      </c>
      <c r="I861" s="44">
        <v>90</v>
      </c>
      <c r="J861" s="44">
        <v>30.3</v>
      </c>
      <c r="K861" s="41"/>
      <c r="L861" s="45">
        <v>52000</v>
      </c>
      <c r="M861" s="44">
        <v>1</v>
      </c>
      <c r="N861" s="43" t="s">
        <v>383</v>
      </c>
    </row>
    <row r="862" spans="1:14" ht="15.75" customHeight="1">
      <c r="A862" s="41" t="s">
        <v>734</v>
      </c>
      <c r="B862" s="41" t="s">
        <v>735</v>
      </c>
      <c r="C862" s="41" t="s">
        <v>431</v>
      </c>
      <c r="D862" s="41" t="s">
        <v>432</v>
      </c>
      <c r="E862" s="41" t="s">
        <v>433</v>
      </c>
      <c r="F862" s="42">
        <v>19</v>
      </c>
      <c r="G862" s="41" t="s">
        <v>368</v>
      </c>
      <c r="H862" s="43" t="s">
        <v>434</v>
      </c>
      <c r="I862" s="44">
        <v>60</v>
      </c>
      <c r="J862" s="41"/>
      <c r="K862" s="44">
        <v>850</v>
      </c>
      <c r="L862" s="41" t="s">
        <v>435</v>
      </c>
      <c r="M862" s="44">
        <v>4</v>
      </c>
      <c r="N862" s="43" t="s">
        <v>436</v>
      </c>
    </row>
    <row r="863" spans="1:14" ht="15.75" customHeight="1">
      <c r="A863" s="41" t="s">
        <v>736</v>
      </c>
      <c r="B863" s="41" t="s">
        <v>737</v>
      </c>
      <c r="C863" s="41" t="s">
        <v>442</v>
      </c>
      <c r="D863" s="41" t="s">
        <v>443</v>
      </c>
      <c r="E863" s="41" t="s">
        <v>33</v>
      </c>
      <c r="F863" s="42">
        <v>10</v>
      </c>
      <c r="G863" s="41" t="s">
        <v>11</v>
      </c>
      <c r="H863" s="43" t="s">
        <v>426</v>
      </c>
      <c r="I863" s="44">
        <v>100</v>
      </c>
      <c r="J863" s="44">
        <v>31</v>
      </c>
      <c r="K863" s="41"/>
      <c r="L863" s="45">
        <v>101700</v>
      </c>
      <c r="M863" s="44">
        <v>1</v>
      </c>
      <c r="N863" s="43" t="s">
        <v>383</v>
      </c>
    </row>
    <row r="864" spans="1:14" ht="15.75" customHeight="1">
      <c r="A864" s="41" t="s">
        <v>736</v>
      </c>
      <c r="B864" s="41" t="s">
        <v>737</v>
      </c>
      <c r="C864" s="41" t="s">
        <v>442</v>
      </c>
      <c r="D864" s="41" t="s">
        <v>443</v>
      </c>
      <c r="E864" s="41" t="s">
        <v>33</v>
      </c>
      <c r="F864" s="42">
        <v>11</v>
      </c>
      <c r="G864" s="41" t="s">
        <v>12</v>
      </c>
      <c r="H864" s="43" t="s">
        <v>444</v>
      </c>
      <c r="I864" s="44">
        <v>115</v>
      </c>
      <c r="J864" s="44">
        <v>31</v>
      </c>
      <c r="K864" s="41"/>
      <c r="L864" s="45">
        <v>101700</v>
      </c>
      <c r="M864" s="44">
        <v>1</v>
      </c>
      <c r="N864" s="43" t="s">
        <v>383</v>
      </c>
    </row>
    <row r="865" spans="1:14" ht="15.75" customHeight="1">
      <c r="A865" s="41" t="s">
        <v>736</v>
      </c>
      <c r="B865" s="41" t="s">
        <v>737</v>
      </c>
      <c r="C865" s="41" t="s">
        <v>442</v>
      </c>
      <c r="D865" s="41" t="s">
        <v>443</v>
      </c>
      <c r="E865" s="41" t="s">
        <v>33</v>
      </c>
      <c r="F865" s="42">
        <v>12</v>
      </c>
      <c r="G865" s="41" t="s">
        <v>13</v>
      </c>
      <c r="H865" s="43" t="s">
        <v>444</v>
      </c>
      <c r="I865" s="44">
        <v>50</v>
      </c>
      <c r="J865" s="44">
        <v>31</v>
      </c>
      <c r="K865" s="41"/>
      <c r="L865" s="45">
        <v>101700</v>
      </c>
      <c r="M865" s="44">
        <v>1</v>
      </c>
      <c r="N865" s="43" t="s">
        <v>383</v>
      </c>
    </row>
    <row r="866" spans="1:14" ht="15.75" customHeight="1">
      <c r="A866" s="41" t="s">
        <v>736</v>
      </c>
      <c r="B866" s="41" t="s">
        <v>737</v>
      </c>
      <c r="C866" s="41" t="s">
        <v>431</v>
      </c>
      <c r="D866" s="41" t="s">
        <v>432</v>
      </c>
      <c r="E866" s="41" t="s">
        <v>433</v>
      </c>
      <c r="F866" s="42">
        <v>17</v>
      </c>
      <c r="G866" s="41" t="s">
        <v>559</v>
      </c>
      <c r="H866" s="43" t="s">
        <v>440</v>
      </c>
      <c r="I866" s="44">
        <v>60</v>
      </c>
      <c r="J866" s="41"/>
      <c r="K866" s="44">
        <v>555</v>
      </c>
      <c r="L866" s="41" t="s">
        <v>435</v>
      </c>
      <c r="M866" s="44">
        <v>1</v>
      </c>
      <c r="N866" s="43" t="s">
        <v>436</v>
      </c>
    </row>
    <row r="867" spans="1:14" ht="15.75" customHeight="1">
      <c r="A867" s="41" t="s">
        <v>736</v>
      </c>
      <c r="B867" s="41" t="s">
        <v>737</v>
      </c>
      <c r="C867" s="41" t="s">
        <v>431</v>
      </c>
      <c r="D867" s="41" t="s">
        <v>432</v>
      </c>
      <c r="E867" s="41" t="s">
        <v>433</v>
      </c>
      <c r="F867" s="42">
        <v>18</v>
      </c>
      <c r="G867" s="41" t="s">
        <v>439</v>
      </c>
      <c r="H867" s="43" t="s">
        <v>440</v>
      </c>
      <c r="I867" s="44">
        <v>60</v>
      </c>
      <c r="J867" s="41"/>
      <c r="K867" s="44">
        <v>1235</v>
      </c>
      <c r="L867" s="41" t="s">
        <v>435</v>
      </c>
      <c r="M867" s="44">
        <v>1</v>
      </c>
      <c r="N867" s="43" t="s">
        <v>436</v>
      </c>
    </row>
    <row r="868" spans="1:14" ht="15.75" customHeight="1">
      <c r="A868" s="41" t="s">
        <v>736</v>
      </c>
      <c r="B868" s="41" t="s">
        <v>737</v>
      </c>
      <c r="C868" s="41" t="s">
        <v>431</v>
      </c>
      <c r="D868" s="41" t="s">
        <v>432</v>
      </c>
      <c r="E868" s="41" t="s">
        <v>433</v>
      </c>
      <c r="F868" s="42">
        <v>19</v>
      </c>
      <c r="G868" s="41" t="s">
        <v>368</v>
      </c>
      <c r="H868" s="43" t="s">
        <v>434</v>
      </c>
      <c r="I868" s="44">
        <v>60</v>
      </c>
      <c r="J868" s="41"/>
      <c r="K868" s="44">
        <v>800</v>
      </c>
      <c r="L868" s="41" t="s">
        <v>435</v>
      </c>
      <c r="M868" s="44">
        <v>3</v>
      </c>
      <c r="N868" s="43" t="s">
        <v>436</v>
      </c>
    </row>
    <row r="869" spans="1:14" ht="15.75" customHeight="1">
      <c r="A869" s="41" t="s">
        <v>738</v>
      </c>
      <c r="B869" s="41" t="s">
        <v>739</v>
      </c>
      <c r="C869" s="41" t="s">
        <v>442</v>
      </c>
      <c r="D869" s="41" t="s">
        <v>448</v>
      </c>
      <c r="E869" s="41" t="s">
        <v>40</v>
      </c>
      <c r="F869" s="42">
        <v>1</v>
      </c>
      <c r="G869" s="41" t="s">
        <v>11</v>
      </c>
      <c r="H869" s="43" t="s">
        <v>426</v>
      </c>
      <c r="I869" s="44">
        <v>65</v>
      </c>
      <c r="J869" s="44">
        <v>25</v>
      </c>
      <c r="K869" s="41"/>
      <c r="L869" s="45">
        <v>412000</v>
      </c>
      <c r="M869" s="44">
        <v>1</v>
      </c>
      <c r="N869" s="43" t="s">
        <v>383</v>
      </c>
    </row>
    <row r="870" spans="1:14" ht="15.75" customHeight="1">
      <c r="A870" s="41" t="s">
        <v>738</v>
      </c>
      <c r="B870" s="41" t="s">
        <v>739</v>
      </c>
      <c r="C870" s="41" t="s">
        <v>442</v>
      </c>
      <c r="D870" s="41" t="s">
        <v>448</v>
      </c>
      <c r="E870" s="41" t="s">
        <v>40</v>
      </c>
      <c r="F870" s="42">
        <v>2</v>
      </c>
      <c r="G870" s="41" t="s">
        <v>12</v>
      </c>
      <c r="H870" s="43" t="s">
        <v>449</v>
      </c>
      <c r="I870" s="44">
        <v>115</v>
      </c>
      <c r="J870" s="44">
        <v>25</v>
      </c>
      <c r="K870" s="41"/>
      <c r="L870" s="45">
        <v>412000</v>
      </c>
      <c r="M870" s="44">
        <v>1</v>
      </c>
      <c r="N870" s="43" t="s">
        <v>383</v>
      </c>
    </row>
    <row r="871" spans="1:14" ht="15.75" customHeight="1">
      <c r="A871" s="41" t="s">
        <v>738</v>
      </c>
      <c r="B871" s="41" t="s">
        <v>739</v>
      </c>
      <c r="C871" s="41" t="s">
        <v>442</v>
      </c>
      <c r="D871" s="41" t="s">
        <v>448</v>
      </c>
      <c r="E871" s="41" t="s">
        <v>40</v>
      </c>
      <c r="F871" s="42">
        <v>3</v>
      </c>
      <c r="G871" s="41" t="s">
        <v>13</v>
      </c>
      <c r="H871" s="43" t="s">
        <v>449</v>
      </c>
      <c r="I871" s="44">
        <v>30</v>
      </c>
      <c r="J871" s="44">
        <v>25</v>
      </c>
      <c r="K871" s="41"/>
      <c r="L871" s="45">
        <v>412000</v>
      </c>
      <c r="M871" s="44">
        <v>1</v>
      </c>
      <c r="N871" s="43" t="s">
        <v>383</v>
      </c>
    </row>
    <row r="872" spans="1:14" ht="15.75" customHeight="1">
      <c r="A872" s="41" t="s">
        <v>738</v>
      </c>
      <c r="B872" s="41" t="s">
        <v>739</v>
      </c>
      <c r="C872" s="41" t="s">
        <v>431</v>
      </c>
      <c r="D872" s="41" t="s">
        <v>432</v>
      </c>
      <c r="E872" s="41" t="s">
        <v>433</v>
      </c>
      <c r="F872" s="42">
        <v>18</v>
      </c>
      <c r="G872" s="41" t="s">
        <v>439</v>
      </c>
      <c r="H872" s="43" t="s">
        <v>440</v>
      </c>
      <c r="I872" s="44">
        <v>60</v>
      </c>
      <c r="J872" s="41"/>
      <c r="K872" s="44">
        <v>2700</v>
      </c>
      <c r="L872" s="41" t="s">
        <v>435</v>
      </c>
      <c r="M872" s="44">
        <v>1</v>
      </c>
      <c r="N872" s="43" t="s">
        <v>436</v>
      </c>
    </row>
    <row r="873" spans="1:14" ht="15.75" customHeight="1">
      <c r="A873" s="41" t="s">
        <v>738</v>
      </c>
      <c r="B873" s="41" t="s">
        <v>739</v>
      </c>
      <c r="C873" s="41" t="s">
        <v>431</v>
      </c>
      <c r="D873" s="41" t="s">
        <v>432</v>
      </c>
      <c r="E873" s="41" t="s">
        <v>433</v>
      </c>
      <c r="F873" s="42">
        <v>19</v>
      </c>
      <c r="G873" s="41" t="s">
        <v>368</v>
      </c>
      <c r="H873" s="43" t="s">
        <v>434</v>
      </c>
      <c r="I873" s="44">
        <v>60</v>
      </c>
      <c r="J873" s="41"/>
      <c r="K873" s="44">
        <v>1100</v>
      </c>
      <c r="L873" s="41" t="s">
        <v>435</v>
      </c>
      <c r="M873" s="44">
        <v>3</v>
      </c>
      <c r="N873" s="43" t="s">
        <v>436</v>
      </c>
    </row>
    <row r="874" spans="1:14" ht="15.75" customHeight="1">
      <c r="A874" s="41" t="s">
        <v>740</v>
      </c>
      <c r="B874" s="41" t="s">
        <v>741</v>
      </c>
      <c r="C874" s="41" t="s">
        <v>424</v>
      </c>
      <c r="D874" s="41" t="s">
        <v>425</v>
      </c>
      <c r="E874" s="41" t="s">
        <v>48</v>
      </c>
      <c r="F874" s="42">
        <v>4</v>
      </c>
      <c r="G874" s="41" t="s">
        <v>11</v>
      </c>
      <c r="H874" s="43" t="s">
        <v>426</v>
      </c>
      <c r="I874" s="44">
        <v>45</v>
      </c>
      <c r="J874" s="44">
        <v>50</v>
      </c>
      <c r="K874" s="41"/>
      <c r="L874" s="45">
        <v>52000</v>
      </c>
      <c r="M874" s="44">
        <v>1</v>
      </c>
      <c r="N874" s="43" t="s">
        <v>383</v>
      </c>
    </row>
    <row r="875" spans="1:14" ht="15.75" customHeight="1">
      <c r="A875" s="41" t="s">
        <v>740</v>
      </c>
      <c r="B875" s="41" t="s">
        <v>741</v>
      </c>
      <c r="C875" s="41" t="s">
        <v>424</v>
      </c>
      <c r="D875" s="41" t="s">
        <v>425</v>
      </c>
      <c r="E875" s="41" t="s">
        <v>48</v>
      </c>
      <c r="F875" s="42">
        <v>5</v>
      </c>
      <c r="G875" s="41" t="s">
        <v>12</v>
      </c>
      <c r="H875" s="43" t="s">
        <v>427</v>
      </c>
      <c r="I875" s="44">
        <v>130</v>
      </c>
      <c r="J875" s="44">
        <v>50</v>
      </c>
      <c r="K875" s="41"/>
      <c r="L875" s="45">
        <v>52000</v>
      </c>
      <c r="M875" s="44">
        <v>1</v>
      </c>
      <c r="N875" s="43" t="s">
        <v>383</v>
      </c>
    </row>
    <row r="876" spans="1:14" ht="15.75" customHeight="1">
      <c r="A876" s="41" t="s">
        <v>740</v>
      </c>
      <c r="B876" s="41" t="s">
        <v>741</v>
      </c>
      <c r="C876" s="41" t="s">
        <v>424</v>
      </c>
      <c r="D876" s="41" t="s">
        <v>425</v>
      </c>
      <c r="E876" s="41" t="s">
        <v>48</v>
      </c>
      <c r="F876" s="42">
        <v>6</v>
      </c>
      <c r="G876" s="41" t="s">
        <v>13</v>
      </c>
      <c r="H876" s="43" t="s">
        <v>427</v>
      </c>
      <c r="I876" s="44">
        <v>30</v>
      </c>
      <c r="J876" s="44">
        <v>50</v>
      </c>
      <c r="K876" s="41"/>
      <c r="L876" s="45">
        <v>52000</v>
      </c>
      <c r="M876" s="44">
        <v>1</v>
      </c>
      <c r="N876" s="43" t="s">
        <v>383</v>
      </c>
    </row>
    <row r="877" spans="1:14" ht="15.75" customHeight="1">
      <c r="A877" s="41" t="s">
        <v>740</v>
      </c>
      <c r="B877" s="41" t="s">
        <v>741</v>
      </c>
      <c r="C877" s="41" t="s">
        <v>431</v>
      </c>
      <c r="D877" s="41" t="s">
        <v>432</v>
      </c>
      <c r="E877" s="41" t="s">
        <v>433</v>
      </c>
      <c r="F877" s="42">
        <v>18</v>
      </c>
      <c r="G877" s="41" t="s">
        <v>439</v>
      </c>
      <c r="H877" s="43" t="s">
        <v>440</v>
      </c>
      <c r="I877" s="44">
        <v>60</v>
      </c>
      <c r="J877" s="41"/>
      <c r="K877" s="44">
        <v>480</v>
      </c>
      <c r="L877" s="41" t="s">
        <v>435</v>
      </c>
      <c r="M877" s="44">
        <v>1</v>
      </c>
      <c r="N877" s="43" t="s">
        <v>436</v>
      </c>
    </row>
    <row r="878" spans="1:14" ht="15.75" customHeight="1">
      <c r="A878" s="41" t="s">
        <v>740</v>
      </c>
      <c r="B878" s="41" t="s">
        <v>741</v>
      </c>
      <c r="C878" s="41" t="s">
        <v>431</v>
      </c>
      <c r="D878" s="41" t="s">
        <v>432</v>
      </c>
      <c r="E878" s="41" t="s">
        <v>433</v>
      </c>
      <c r="F878" s="42">
        <v>19</v>
      </c>
      <c r="G878" s="41" t="s">
        <v>368</v>
      </c>
      <c r="H878" s="43" t="s">
        <v>434</v>
      </c>
      <c r="I878" s="44">
        <v>60</v>
      </c>
      <c r="J878" s="41"/>
      <c r="K878" s="44">
        <v>730</v>
      </c>
      <c r="L878" s="41" t="s">
        <v>435</v>
      </c>
      <c r="M878" s="44">
        <v>4</v>
      </c>
      <c r="N878" s="43" t="s">
        <v>436</v>
      </c>
    </row>
    <row r="879" spans="1:14" ht="15.75" customHeight="1">
      <c r="A879" s="41" t="s">
        <v>742</v>
      </c>
      <c r="B879" s="41" t="s">
        <v>743</v>
      </c>
      <c r="C879" s="41" t="s">
        <v>442</v>
      </c>
      <c r="D879" s="41" t="s">
        <v>443</v>
      </c>
      <c r="E879" s="41" t="s">
        <v>33</v>
      </c>
      <c r="F879" s="42">
        <v>10</v>
      </c>
      <c r="G879" s="41" t="s">
        <v>11</v>
      </c>
      <c r="H879" s="43" t="s">
        <v>426</v>
      </c>
      <c r="I879" s="44">
        <v>90</v>
      </c>
      <c r="J879" s="44">
        <v>40</v>
      </c>
      <c r="K879" s="41"/>
      <c r="L879" s="45">
        <v>100000</v>
      </c>
      <c r="M879" s="44">
        <v>1</v>
      </c>
      <c r="N879" s="43" t="s">
        <v>383</v>
      </c>
    </row>
    <row r="880" spans="1:14" ht="15.75" customHeight="1">
      <c r="A880" s="41" t="s">
        <v>742</v>
      </c>
      <c r="B880" s="41" t="s">
        <v>743</v>
      </c>
      <c r="C880" s="41" t="s">
        <v>442</v>
      </c>
      <c r="D880" s="41" t="s">
        <v>443</v>
      </c>
      <c r="E880" s="41" t="s">
        <v>33</v>
      </c>
      <c r="F880" s="42">
        <v>11</v>
      </c>
      <c r="G880" s="41" t="s">
        <v>12</v>
      </c>
      <c r="H880" s="43" t="s">
        <v>444</v>
      </c>
      <c r="I880" s="44">
        <v>55</v>
      </c>
      <c r="J880" s="44">
        <v>40</v>
      </c>
      <c r="K880" s="41"/>
      <c r="L880" s="45">
        <v>100000</v>
      </c>
      <c r="M880" s="44">
        <v>1</v>
      </c>
      <c r="N880" s="43" t="s">
        <v>383</v>
      </c>
    </row>
    <row r="881" spans="1:14" ht="15.75" customHeight="1">
      <c r="A881" s="41" t="s">
        <v>742</v>
      </c>
      <c r="B881" s="41" t="s">
        <v>743</v>
      </c>
      <c r="C881" s="41" t="s">
        <v>442</v>
      </c>
      <c r="D881" s="41" t="s">
        <v>443</v>
      </c>
      <c r="E881" s="41" t="s">
        <v>33</v>
      </c>
      <c r="F881" s="42">
        <v>12</v>
      </c>
      <c r="G881" s="41" t="s">
        <v>13</v>
      </c>
      <c r="H881" s="43" t="s">
        <v>444</v>
      </c>
      <c r="I881" s="44">
        <v>10</v>
      </c>
      <c r="J881" s="44">
        <v>40</v>
      </c>
      <c r="K881" s="41"/>
      <c r="L881" s="45">
        <v>100000</v>
      </c>
      <c r="M881" s="44">
        <v>1</v>
      </c>
      <c r="N881" s="43" t="s">
        <v>383</v>
      </c>
    </row>
    <row r="882" spans="1:14" ht="15.75" customHeight="1">
      <c r="A882" s="41" t="s">
        <v>742</v>
      </c>
      <c r="B882" s="41" t="s">
        <v>743</v>
      </c>
      <c r="C882" s="41" t="s">
        <v>431</v>
      </c>
      <c r="D882" s="41" t="s">
        <v>432</v>
      </c>
      <c r="E882" s="41" t="s">
        <v>433</v>
      </c>
      <c r="F882" s="42">
        <v>18</v>
      </c>
      <c r="G882" s="41" t="s">
        <v>439</v>
      </c>
      <c r="H882" s="43" t="s">
        <v>440</v>
      </c>
      <c r="I882" s="44">
        <v>60</v>
      </c>
      <c r="J882" s="41"/>
      <c r="K882" s="44">
        <v>700</v>
      </c>
      <c r="L882" s="41" t="s">
        <v>435</v>
      </c>
      <c r="M882" s="44">
        <v>1</v>
      </c>
      <c r="N882" s="43" t="s">
        <v>436</v>
      </c>
    </row>
    <row r="883" spans="1:14" ht="15.75" customHeight="1">
      <c r="A883" s="41" t="s">
        <v>742</v>
      </c>
      <c r="B883" s="41" t="s">
        <v>743</v>
      </c>
      <c r="C883" s="41" t="s">
        <v>431</v>
      </c>
      <c r="D883" s="41" t="s">
        <v>432</v>
      </c>
      <c r="E883" s="41" t="s">
        <v>433</v>
      </c>
      <c r="F883" s="42">
        <v>19</v>
      </c>
      <c r="G883" s="41" t="s">
        <v>368</v>
      </c>
      <c r="H883" s="43" t="s">
        <v>434</v>
      </c>
      <c r="I883" s="44">
        <v>60</v>
      </c>
      <c r="J883" s="41"/>
      <c r="K883" s="44">
        <v>880</v>
      </c>
      <c r="L883" s="41" t="s">
        <v>435</v>
      </c>
      <c r="M883" s="44">
        <v>4</v>
      </c>
      <c r="N883" s="43" t="s">
        <v>436</v>
      </c>
    </row>
    <row r="884" spans="1:14" ht="15.75" customHeight="1">
      <c r="A884" s="41" t="s">
        <v>744</v>
      </c>
      <c r="B884" s="41" t="s">
        <v>745</v>
      </c>
      <c r="C884" s="41" t="s">
        <v>442</v>
      </c>
      <c r="D884" s="41" t="s">
        <v>443</v>
      </c>
      <c r="E884" s="41" t="s">
        <v>33</v>
      </c>
      <c r="F884" s="42">
        <v>10</v>
      </c>
      <c r="G884" s="41" t="s">
        <v>11</v>
      </c>
      <c r="H884" s="43" t="s">
        <v>426</v>
      </c>
      <c r="I884" s="44">
        <v>20</v>
      </c>
      <c r="J884" s="44">
        <v>60.6</v>
      </c>
      <c r="K884" s="41"/>
      <c r="L884" s="45">
        <v>35000</v>
      </c>
      <c r="M884" s="44">
        <v>1</v>
      </c>
      <c r="N884" s="43" t="s">
        <v>383</v>
      </c>
    </row>
    <row r="885" spans="1:14" ht="15.75" customHeight="1">
      <c r="A885" s="41" t="s">
        <v>744</v>
      </c>
      <c r="B885" s="41" t="s">
        <v>745</v>
      </c>
      <c r="C885" s="41" t="s">
        <v>442</v>
      </c>
      <c r="D885" s="41" t="s">
        <v>443</v>
      </c>
      <c r="E885" s="41" t="s">
        <v>33</v>
      </c>
      <c r="F885" s="42">
        <v>11</v>
      </c>
      <c r="G885" s="41" t="s">
        <v>12</v>
      </c>
      <c r="H885" s="43" t="s">
        <v>444</v>
      </c>
      <c r="I885" s="44">
        <v>55</v>
      </c>
      <c r="J885" s="44">
        <v>60.6</v>
      </c>
      <c r="K885" s="41"/>
      <c r="L885" s="45">
        <v>35000</v>
      </c>
      <c r="M885" s="44">
        <v>1</v>
      </c>
      <c r="N885" s="43" t="s">
        <v>383</v>
      </c>
    </row>
    <row r="886" spans="1:14" ht="15.75" customHeight="1">
      <c r="A886" s="41" t="s">
        <v>744</v>
      </c>
      <c r="B886" s="41" t="s">
        <v>745</v>
      </c>
      <c r="C886" s="41" t="s">
        <v>442</v>
      </c>
      <c r="D886" s="41" t="s">
        <v>443</v>
      </c>
      <c r="E886" s="41" t="s">
        <v>33</v>
      </c>
      <c r="F886" s="42">
        <v>12</v>
      </c>
      <c r="G886" s="41" t="s">
        <v>13</v>
      </c>
      <c r="H886" s="43" t="s">
        <v>444</v>
      </c>
      <c r="I886" s="44">
        <v>15</v>
      </c>
      <c r="J886" s="44">
        <v>60.6</v>
      </c>
      <c r="K886" s="41"/>
      <c r="L886" s="45">
        <v>35000</v>
      </c>
      <c r="M886" s="44">
        <v>1</v>
      </c>
      <c r="N886" s="43" t="s">
        <v>383</v>
      </c>
    </row>
    <row r="887" spans="1:14" ht="15.75" customHeight="1">
      <c r="A887" s="41" t="s">
        <v>746</v>
      </c>
      <c r="B887" s="41" t="s">
        <v>745</v>
      </c>
      <c r="C887" s="41" t="s">
        <v>442</v>
      </c>
      <c r="D887" s="41" t="s">
        <v>443</v>
      </c>
      <c r="E887" s="41" t="s">
        <v>33</v>
      </c>
      <c r="F887" s="42">
        <v>10</v>
      </c>
      <c r="G887" s="41" t="s">
        <v>11</v>
      </c>
      <c r="H887" s="43" t="s">
        <v>426</v>
      </c>
      <c r="I887" s="44">
        <v>20</v>
      </c>
      <c r="J887" s="44">
        <v>60.6</v>
      </c>
      <c r="K887" s="41"/>
      <c r="L887" s="45">
        <v>65000</v>
      </c>
      <c r="M887" s="44">
        <v>1</v>
      </c>
      <c r="N887" s="43" t="s">
        <v>383</v>
      </c>
    </row>
    <row r="888" spans="1:14" ht="15.75" customHeight="1">
      <c r="A888" s="41" t="s">
        <v>746</v>
      </c>
      <c r="B888" s="41" t="s">
        <v>745</v>
      </c>
      <c r="C888" s="41" t="s">
        <v>442</v>
      </c>
      <c r="D888" s="41" t="s">
        <v>443</v>
      </c>
      <c r="E888" s="41" t="s">
        <v>33</v>
      </c>
      <c r="F888" s="42">
        <v>11</v>
      </c>
      <c r="G888" s="41" t="s">
        <v>12</v>
      </c>
      <c r="H888" s="43" t="s">
        <v>444</v>
      </c>
      <c r="I888" s="44">
        <v>55</v>
      </c>
      <c r="J888" s="44">
        <v>60.6</v>
      </c>
      <c r="K888" s="41"/>
      <c r="L888" s="45">
        <v>65000</v>
      </c>
      <c r="M888" s="44">
        <v>1</v>
      </c>
      <c r="N888" s="43" t="s">
        <v>383</v>
      </c>
    </row>
    <row r="889" spans="1:14" ht="15.75" customHeight="1">
      <c r="A889" s="41" t="s">
        <v>746</v>
      </c>
      <c r="B889" s="41" t="s">
        <v>745</v>
      </c>
      <c r="C889" s="41" t="s">
        <v>442</v>
      </c>
      <c r="D889" s="41" t="s">
        <v>443</v>
      </c>
      <c r="E889" s="41" t="s">
        <v>33</v>
      </c>
      <c r="F889" s="42">
        <v>12</v>
      </c>
      <c r="G889" s="41" t="s">
        <v>13</v>
      </c>
      <c r="H889" s="43" t="s">
        <v>444</v>
      </c>
      <c r="I889" s="44">
        <v>15</v>
      </c>
      <c r="J889" s="44">
        <v>60.6</v>
      </c>
      <c r="K889" s="41"/>
      <c r="L889" s="45">
        <v>65000</v>
      </c>
      <c r="M889" s="44">
        <v>1</v>
      </c>
      <c r="N889" s="43" t="s">
        <v>383</v>
      </c>
    </row>
    <row r="890" spans="1:14" ht="15.75" customHeight="1">
      <c r="A890" s="41" t="s">
        <v>744</v>
      </c>
      <c r="B890" s="41" t="s">
        <v>745</v>
      </c>
      <c r="C890" s="41" t="s">
        <v>431</v>
      </c>
      <c r="D890" s="41" t="s">
        <v>432</v>
      </c>
      <c r="E890" s="41" t="s">
        <v>433</v>
      </c>
      <c r="F890" s="42">
        <v>18</v>
      </c>
      <c r="G890" s="41" t="s">
        <v>439</v>
      </c>
      <c r="H890" s="43" t="s">
        <v>440</v>
      </c>
      <c r="I890" s="44">
        <v>60</v>
      </c>
      <c r="J890" s="41"/>
      <c r="K890" s="44">
        <v>550</v>
      </c>
      <c r="L890" s="41" t="s">
        <v>435</v>
      </c>
      <c r="M890" s="44">
        <v>1</v>
      </c>
      <c r="N890" s="43" t="s">
        <v>436</v>
      </c>
    </row>
    <row r="891" spans="1:14" ht="15.75" customHeight="1">
      <c r="A891" s="41" t="s">
        <v>744</v>
      </c>
      <c r="B891" s="41" t="s">
        <v>745</v>
      </c>
      <c r="C891" s="41" t="s">
        <v>431</v>
      </c>
      <c r="D891" s="41" t="s">
        <v>432</v>
      </c>
      <c r="E891" s="41" t="s">
        <v>433</v>
      </c>
      <c r="F891" s="42">
        <v>19</v>
      </c>
      <c r="G891" s="41" t="s">
        <v>368</v>
      </c>
      <c r="H891" s="43" t="s">
        <v>434</v>
      </c>
      <c r="I891" s="44">
        <v>60</v>
      </c>
      <c r="J891" s="41"/>
      <c r="K891" s="44">
        <v>770</v>
      </c>
      <c r="L891" s="41" t="s">
        <v>435</v>
      </c>
      <c r="M891" s="44">
        <v>4</v>
      </c>
      <c r="N891" s="43" t="s">
        <v>436</v>
      </c>
    </row>
    <row r="892" spans="1:14" ht="15.75" customHeight="1">
      <c r="A892" s="41" t="s">
        <v>746</v>
      </c>
      <c r="B892" s="41" t="s">
        <v>745</v>
      </c>
      <c r="C892" s="41" t="s">
        <v>431</v>
      </c>
      <c r="D892" s="41" t="s">
        <v>432</v>
      </c>
      <c r="E892" s="41" t="s">
        <v>433</v>
      </c>
      <c r="F892" s="42">
        <v>18</v>
      </c>
      <c r="G892" s="41" t="s">
        <v>439</v>
      </c>
      <c r="H892" s="43" t="s">
        <v>440</v>
      </c>
      <c r="I892" s="44">
        <v>60</v>
      </c>
      <c r="J892" s="41"/>
      <c r="K892" s="44">
        <v>550</v>
      </c>
      <c r="L892" s="41" t="s">
        <v>435</v>
      </c>
      <c r="M892" s="44">
        <v>1</v>
      </c>
      <c r="N892" s="43" t="s">
        <v>436</v>
      </c>
    </row>
    <row r="893" spans="1:14" ht="15.75" customHeight="1">
      <c r="A893" s="41" t="s">
        <v>746</v>
      </c>
      <c r="B893" s="41" t="s">
        <v>745</v>
      </c>
      <c r="C893" s="41" t="s">
        <v>431</v>
      </c>
      <c r="D893" s="41" t="s">
        <v>432</v>
      </c>
      <c r="E893" s="41" t="s">
        <v>433</v>
      </c>
      <c r="F893" s="42">
        <v>19</v>
      </c>
      <c r="G893" s="41" t="s">
        <v>368</v>
      </c>
      <c r="H893" s="43" t="s">
        <v>434</v>
      </c>
      <c r="I893" s="44">
        <v>60</v>
      </c>
      <c r="J893" s="41"/>
      <c r="K893" s="44">
        <v>770</v>
      </c>
      <c r="L893" s="41" t="s">
        <v>435</v>
      </c>
      <c r="M893" s="44">
        <v>4</v>
      </c>
      <c r="N893" s="43" t="s">
        <v>436</v>
      </c>
    </row>
    <row r="894" spans="1:14" ht="15.75" customHeight="1">
      <c r="A894" s="41" t="s">
        <v>747</v>
      </c>
      <c r="B894" s="41" t="s">
        <v>748</v>
      </c>
      <c r="C894" s="41" t="s">
        <v>442</v>
      </c>
      <c r="D894" s="41" t="s">
        <v>443</v>
      </c>
      <c r="E894" s="41" t="s">
        <v>33</v>
      </c>
      <c r="F894" s="42">
        <v>10</v>
      </c>
      <c r="G894" s="41" t="s">
        <v>11</v>
      </c>
      <c r="H894" s="43" t="s">
        <v>426</v>
      </c>
      <c r="I894" s="44">
        <v>25</v>
      </c>
      <c r="J894" s="44">
        <v>10.1</v>
      </c>
      <c r="K894" s="41"/>
      <c r="L894" s="45">
        <v>105000</v>
      </c>
      <c r="M894" s="44">
        <v>1</v>
      </c>
      <c r="N894" s="43" t="s">
        <v>383</v>
      </c>
    </row>
    <row r="895" spans="1:14" ht="15.75" customHeight="1">
      <c r="A895" s="41" t="s">
        <v>747</v>
      </c>
      <c r="B895" s="41" t="s">
        <v>748</v>
      </c>
      <c r="C895" s="41" t="s">
        <v>442</v>
      </c>
      <c r="D895" s="41" t="s">
        <v>443</v>
      </c>
      <c r="E895" s="41" t="s">
        <v>33</v>
      </c>
      <c r="F895" s="42">
        <v>11</v>
      </c>
      <c r="G895" s="41" t="s">
        <v>12</v>
      </c>
      <c r="H895" s="43" t="s">
        <v>444</v>
      </c>
      <c r="I895" s="44">
        <v>85</v>
      </c>
      <c r="J895" s="44">
        <v>10.1</v>
      </c>
      <c r="K895" s="41"/>
      <c r="L895" s="45">
        <v>105000</v>
      </c>
      <c r="M895" s="44">
        <v>1</v>
      </c>
      <c r="N895" s="43" t="s">
        <v>383</v>
      </c>
    </row>
    <row r="896" spans="1:14" ht="15.75" customHeight="1">
      <c r="A896" s="41" t="s">
        <v>747</v>
      </c>
      <c r="B896" s="41" t="s">
        <v>748</v>
      </c>
      <c r="C896" s="41" t="s">
        <v>442</v>
      </c>
      <c r="D896" s="41" t="s">
        <v>443</v>
      </c>
      <c r="E896" s="41" t="s">
        <v>33</v>
      </c>
      <c r="F896" s="42">
        <v>12</v>
      </c>
      <c r="G896" s="41" t="s">
        <v>13</v>
      </c>
      <c r="H896" s="43" t="s">
        <v>444</v>
      </c>
      <c r="I896" s="44">
        <v>15</v>
      </c>
      <c r="J896" s="44">
        <v>10.1</v>
      </c>
      <c r="K896" s="41"/>
      <c r="L896" s="45">
        <v>105000</v>
      </c>
      <c r="M896" s="44">
        <v>1</v>
      </c>
      <c r="N896" s="43" t="s">
        <v>383</v>
      </c>
    </row>
    <row r="897" spans="1:14" ht="15.75" customHeight="1">
      <c r="A897" s="41" t="s">
        <v>747</v>
      </c>
      <c r="B897" s="41" t="s">
        <v>748</v>
      </c>
      <c r="C897" s="41" t="s">
        <v>442</v>
      </c>
      <c r="D897" s="41" t="s">
        <v>448</v>
      </c>
      <c r="E897" s="41" t="s">
        <v>40</v>
      </c>
      <c r="F897" s="42">
        <v>1</v>
      </c>
      <c r="G897" s="41" t="s">
        <v>11</v>
      </c>
      <c r="H897" s="43" t="s">
        <v>426</v>
      </c>
      <c r="I897" s="44">
        <v>25</v>
      </c>
      <c r="J897" s="44">
        <v>10.1</v>
      </c>
      <c r="K897" s="41"/>
      <c r="L897" s="45">
        <v>412000</v>
      </c>
      <c r="M897" s="44">
        <v>1</v>
      </c>
      <c r="N897" s="43" t="s">
        <v>383</v>
      </c>
    </row>
    <row r="898" spans="1:14" ht="15.75" customHeight="1">
      <c r="A898" s="41" t="s">
        <v>747</v>
      </c>
      <c r="B898" s="41" t="s">
        <v>748</v>
      </c>
      <c r="C898" s="41" t="s">
        <v>442</v>
      </c>
      <c r="D898" s="41" t="s">
        <v>448</v>
      </c>
      <c r="E898" s="41" t="s">
        <v>40</v>
      </c>
      <c r="F898" s="42">
        <v>2</v>
      </c>
      <c r="G898" s="41" t="s">
        <v>12</v>
      </c>
      <c r="H898" s="43" t="s">
        <v>449</v>
      </c>
      <c r="I898" s="44">
        <v>105</v>
      </c>
      <c r="J898" s="44">
        <v>10.1</v>
      </c>
      <c r="K898" s="41"/>
      <c r="L898" s="45">
        <v>412000</v>
      </c>
      <c r="M898" s="44">
        <v>1</v>
      </c>
      <c r="N898" s="43" t="s">
        <v>383</v>
      </c>
    </row>
    <row r="899" spans="1:14" ht="15.75" customHeight="1">
      <c r="A899" s="41" t="s">
        <v>747</v>
      </c>
      <c r="B899" s="41" t="s">
        <v>748</v>
      </c>
      <c r="C899" s="41" t="s">
        <v>442</v>
      </c>
      <c r="D899" s="41" t="s">
        <v>448</v>
      </c>
      <c r="E899" s="41" t="s">
        <v>40</v>
      </c>
      <c r="F899" s="42">
        <v>3</v>
      </c>
      <c r="G899" s="41" t="s">
        <v>13</v>
      </c>
      <c r="H899" s="43" t="s">
        <v>449</v>
      </c>
      <c r="I899" s="44">
        <v>30</v>
      </c>
      <c r="J899" s="44">
        <v>10.1</v>
      </c>
      <c r="K899" s="41"/>
      <c r="L899" s="45">
        <v>412000</v>
      </c>
      <c r="M899" s="44">
        <v>1</v>
      </c>
      <c r="N899" s="43" t="s">
        <v>383</v>
      </c>
    </row>
    <row r="900" spans="1:14" ht="15.75" customHeight="1">
      <c r="A900" s="41" t="s">
        <v>747</v>
      </c>
      <c r="B900" s="41" t="s">
        <v>748</v>
      </c>
      <c r="C900" s="41" t="s">
        <v>431</v>
      </c>
      <c r="D900" s="41" t="s">
        <v>432</v>
      </c>
      <c r="E900" s="41" t="s">
        <v>433</v>
      </c>
      <c r="F900" s="42">
        <v>18</v>
      </c>
      <c r="G900" s="41" t="s">
        <v>439</v>
      </c>
      <c r="H900" s="43" t="s">
        <v>440</v>
      </c>
      <c r="I900" s="44">
        <v>60</v>
      </c>
      <c r="J900" s="41"/>
      <c r="K900" s="44">
        <v>300</v>
      </c>
      <c r="L900" s="41" t="s">
        <v>435</v>
      </c>
      <c r="M900" s="44">
        <v>1</v>
      </c>
      <c r="N900" s="43" t="s">
        <v>436</v>
      </c>
    </row>
    <row r="901" spans="1:14" ht="15.75" customHeight="1">
      <c r="A901" s="41" t="s">
        <v>747</v>
      </c>
      <c r="B901" s="41" t="s">
        <v>748</v>
      </c>
      <c r="C901" s="41" t="s">
        <v>431</v>
      </c>
      <c r="D901" s="41" t="s">
        <v>432</v>
      </c>
      <c r="E901" s="41" t="s">
        <v>433</v>
      </c>
      <c r="F901" s="42">
        <v>19</v>
      </c>
      <c r="G901" s="41" t="s">
        <v>368</v>
      </c>
      <c r="H901" s="43" t="s">
        <v>434</v>
      </c>
      <c r="I901" s="44">
        <v>60</v>
      </c>
      <c r="J901" s="41"/>
      <c r="K901" s="44">
        <v>500</v>
      </c>
      <c r="L901" s="41" t="s">
        <v>435</v>
      </c>
      <c r="M901" s="44">
        <v>4</v>
      </c>
      <c r="N901" s="43" t="s">
        <v>436</v>
      </c>
    </row>
    <row r="902" spans="1:14" ht="15.75" customHeight="1">
      <c r="A902" s="41" t="s">
        <v>749</v>
      </c>
      <c r="B902" s="41" t="s">
        <v>750</v>
      </c>
      <c r="C902" s="41" t="s">
        <v>424</v>
      </c>
      <c r="D902" s="41" t="s">
        <v>425</v>
      </c>
      <c r="E902" s="41" t="s">
        <v>48</v>
      </c>
      <c r="F902" s="42">
        <v>4</v>
      </c>
      <c r="G902" s="41" t="s">
        <v>11</v>
      </c>
      <c r="H902" s="43" t="s">
        <v>426</v>
      </c>
      <c r="I902" s="44">
        <v>20</v>
      </c>
      <c r="J902" s="44">
        <v>58.1</v>
      </c>
      <c r="K902" s="41"/>
      <c r="L902" s="45">
        <v>52000</v>
      </c>
      <c r="M902" s="44">
        <v>1</v>
      </c>
      <c r="N902" s="43" t="s">
        <v>383</v>
      </c>
    </row>
    <row r="903" spans="1:14" ht="15.75" customHeight="1">
      <c r="A903" s="41" t="s">
        <v>749</v>
      </c>
      <c r="B903" s="41" t="s">
        <v>750</v>
      </c>
      <c r="C903" s="41" t="s">
        <v>424</v>
      </c>
      <c r="D903" s="41" t="s">
        <v>425</v>
      </c>
      <c r="E903" s="41" t="s">
        <v>48</v>
      </c>
      <c r="F903" s="42">
        <v>5</v>
      </c>
      <c r="G903" s="41" t="s">
        <v>12</v>
      </c>
      <c r="H903" s="43" t="s">
        <v>427</v>
      </c>
      <c r="I903" s="44">
        <v>160</v>
      </c>
      <c r="J903" s="44">
        <v>58.1</v>
      </c>
      <c r="K903" s="41"/>
      <c r="L903" s="45">
        <v>52000</v>
      </c>
      <c r="M903" s="44">
        <v>1</v>
      </c>
      <c r="N903" s="43" t="s">
        <v>383</v>
      </c>
    </row>
    <row r="904" spans="1:14" ht="15.75" customHeight="1">
      <c r="A904" s="41" t="s">
        <v>749</v>
      </c>
      <c r="B904" s="41" t="s">
        <v>750</v>
      </c>
      <c r="C904" s="41" t="s">
        <v>424</v>
      </c>
      <c r="D904" s="41" t="s">
        <v>425</v>
      </c>
      <c r="E904" s="41" t="s">
        <v>48</v>
      </c>
      <c r="F904" s="42">
        <v>6</v>
      </c>
      <c r="G904" s="41" t="s">
        <v>13</v>
      </c>
      <c r="H904" s="43" t="s">
        <v>427</v>
      </c>
      <c r="I904" s="44">
        <v>35</v>
      </c>
      <c r="J904" s="44">
        <v>58.1</v>
      </c>
      <c r="K904" s="41"/>
      <c r="L904" s="45">
        <v>52000</v>
      </c>
      <c r="M904" s="44">
        <v>1</v>
      </c>
      <c r="N904" s="43" t="s">
        <v>383</v>
      </c>
    </row>
    <row r="905" spans="1:14" ht="15.75" customHeight="1">
      <c r="A905" s="41" t="s">
        <v>749</v>
      </c>
      <c r="B905" s="41" t="s">
        <v>750</v>
      </c>
      <c r="C905" s="41" t="s">
        <v>431</v>
      </c>
      <c r="D905" s="41" t="s">
        <v>432</v>
      </c>
      <c r="E905" s="41" t="s">
        <v>433</v>
      </c>
      <c r="F905" s="42">
        <v>18</v>
      </c>
      <c r="G905" s="41" t="s">
        <v>439</v>
      </c>
      <c r="H905" s="43" t="s">
        <v>440</v>
      </c>
      <c r="I905" s="44">
        <v>60</v>
      </c>
      <c r="J905" s="41"/>
      <c r="K905" s="44">
        <v>800</v>
      </c>
      <c r="L905" s="41" t="s">
        <v>435</v>
      </c>
      <c r="M905" s="44">
        <v>1</v>
      </c>
      <c r="N905" s="43" t="s">
        <v>436</v>
      </c>
    </row>
    <row r="906" spans="1:14" ht="15.75" customHeight="1">
      <c r="A906" s="41" t="s">
        <v>749</v>
      </c>
      <c r="B906" s="41" t="s">
        <v>750</v>
      </c>
      <c r="C906" s="41" t="s">
        <v>431</v>
      </c>
      <c r="D906" s="41" t="s">
        <v>432</v>
      </c>
      <c r="E906" s="41" t="s">
        <v>433</v>
      </c>
      <c r="F906" s="42">
        <v>19</v>
      </c>
      <c r="G906" s="41" t="s">
        <v>368</v>
      </c>
      <c r="H906" s="43" t="s">
        <v>434</v>
      </c>
      <c r="I906" s="44">
        <v>60</v>
      </c>
      <c r="J906" s="41"/>
      <c r="K906" s="44">
        <v>560</v>
      </c>
      <c r="L906" s="41" t="s">
        <v>435</v>
      </c>
      <c r="M906" s="44">
        <v>4</v>
      </c>
      <c r="N906" s="43" t="s">
        <v>436</v>
      </c>
    </row>
    <row r="907" spans="1:14" ht="15.75" customHeight="1">
      <c r="A907" s="41" t="s">
        <v>751</v>
      </c>
      <c r="B907" s="41" t="s">
        <v>60</v>
      </c>
      <c r="C907" s="41" t="s">
        <v>442</v>
      </c>
      <c r="D907" s="41" t="s">
        <v>448</v>
      </c>
      <c r="E907" s="41" t="s">
        <v>40</v>
      </c>
      <c r="F907" s="42">
        <v>1</v>
      </c>
      <c r="G907" s="41" t="s">
        <v>11</v>
      </c>
      <c r="H907" s="43" t="s">
        <v>426</v>
      </c>
      <c r="I907" s="44">
        <v>25</v>
      </c>
      <c r="J907" s="44">
        <v>100</v>
      </c>
      <c r="K907" s="41"/>
      <c r="L907" s="45">
        <v>367500</v>
      </c>
      <c r="M907" s="44">
        <v>1</v>
      </c>
      <c r="N907" s="43" t="s">
        <v>383</v>
      </c>
    </row>
    <row r="908" spans="1:14" ht="15.75" customHeight="1">
      <c r="A908" s="41" t="s">
        <v>751</v>
      </c>
      <c r="B908" s="41" t="s">
        <v>60</v>
      </c>
      <c r="C908" s="41" t="s">
        <v>442</v>
      </c>
      <c r="D908" s="41" t="s">
        <v>448</v>
      </c>
      <c r="E908" s="41" t="s">
        <v>40</v>
      </c>
      <c r="F908" s="42">
        <v>2</v>
      </c>
      <c r="G908" s="41" t="s">
        <v>12</v>
      </c>
      <c r="H908" s="43" t="s">
        <v>449</v>
      </c>
      <c r="I908" s="44">
        <v>320</v>
      </c>
      <c r="J908" s="44">
        <v>100</v>
      </c>
      <c r="K908" s="41"/>
      <c r="L908" s="45">
        <v>367500</v>
      </c>
      <c r="M908" s="44">
        <v>1</v>
      </c>
      <c r="N908" s="43" t="s">
        <v>383</v>
      </c>
    </row>
    <row r="909" spans="1:14" ht="15.75" customHeight="1">
      <c r="A909" s="41" t="s">
        <v>751</v>
      </c>
      <c r="B909" s="41" t="s">
        <v>60</v>
      </c>
      <c r="C909" s="41" t="s">
        <v>442</v>
      </c>
      <c r="D909" s="41" t="s">
        <v>448</v>
      </c>
      <c r="E909" s="41" t="s">
        <v>40</v>
      </c>
      <c r="F909" s="42">
        <v>3</v>
      </c>
      <c r="G909" s="41" t="s">
        <v>13</v>
      </c>
      <c r="H909" s="43" t="s">
        <v>449</v>
      </c>
      <c r="I909" s="44">
        <v>50</v>
      </c>
      <c r="J909" s="44">
        <v>100</v>
      </c>
      <c r="K909" s="41"/>
      <c r="L909" s="45">
        <v>367500</v>
      </c>
      <c r="M909" s="44">
        <v>1</v>
      </c>
      <c r="N909" s="43" t="s">
        <v>383</v>
      </c>
    </row>
    <row r="910" spans="1:14" ht="15.75" customHeight="1">
      <c r="A910" s="41" t="s">
        <v>751</v>
      </c>
      <c r="B910" s="41" t="s">
        <v>60</v>
      </c>
      <c r="C910" s="41" t="s">
        <v>431</v>
      </c>
      <c r="D910" s="41" t="s">
        <v>432</v>
      </c>
      <c r="E910" s="41" t="s">
        <v>433</v>
      </c>
      <c r="F910" s="42">
        <v>18</v>
      </c>
      <c r="G910" s="41" t="s">
        <v>439</v>
      </c>
      <c r="H910" s="43" t="s">
        <v>440</v>
      </c>
      <c r="I910" s="44">
        <v>60</v>
      </c>
      <c r="J910" s="41"/>
      <c r="K910" s="44">
        <v>460</v>
      </c>
      <c r="L910" s="41" t="s">
        <v>435</v>
      </c>
      <c r="M910" s="44">
        <v>1</v>
      </c>
      <c r="N910" s="43" t="s">
        <v>436</v>
      </c>
    </row>
    <row r="911" spans="1:14" ht="15.75" customHeight="1">
      <c r="A911" s="41" t="s">
        <v>751</v>
      </c>
      <c r="B911" s="41" t="s">
        <v>60</v>
      </c>
      <c r="C911" s="41" t="s">
        <v>431</v>
      </c>
      <c r="D911" s="41" t="s">
        <v>432</v>
      </c>
      <c r="E911" s="41" t="s">
        <v>433</v>
      </c>
      <c r="F911" s="42">
        <v>19</v>
      </c>
      <c r="G911" s="41" t="s">
        <v>368</v>
      </c>
      <c r="H911" s="43" t="s">
        <v>434</v>
      </c>
      <c r="I911" s="44">
        <v>60</v>
      </c>
      <c r="J911" s="41"/>
      <c r="K911" s="44">
        <v>470</v>
      </c>
      <c r="L911" s="41" t="s">
        <v>435</v>
      </c>
      <c r="M911" s="44">
        <v>3</v>
      </c>
      <c r="N911" s="43" t="s">
        <v>436</v>
      </c>
    </row>
    <row r="912" spans="1:14" ht="15.75" customHeight="1">
      <c r="A912" s="41" t="s">
        <v>752</v>
      </c>
      <c r="B912" s="41" t="s">
        <v>753</v>
      </c>
      <c r="C912" s="41" t="s">
        <v>442</v>
      </c>
      <c r="D912" s="41" t="s">
        <v>443</v>
      </c>
      <c r="E912" s="41" t="s">
        <v>33</v>
      </c>
      <c r="F912" s="42">
        <v>10</v>
      </c>
      <c r="G912" s="41" t="s">
        <v>11</v>
      </c>
      <c r="H912" s="43" t="s">
        <v>426</v>
      </c>
      <c r="I912" s="44">
        <v>85</v>
      </c>
      <c r="J912" s="44">
        <v>33</v>
      </c>
      <c r="K912" s="41"/>
      <c r="L912" s="45">
        <v>86500</v>
      </c>
      <c r="M912" s="44">
        <v>1</v>
      </c>
      <c r="N912" s="43" t="s">
        <v>383</v>
      </c>
    </row>
    <row r="913" spans="1:14" ht="15.75" customHeight="1">
      <c r="A913" s="41" t="s">
        <v>752</v>
      </c>
      <c r="B913" s="41" t="s">
        <v>753</v>
      </c>
      <c r="C913" s="41" t="s">
        <v>442</v>
      </c>
      <c r="D913" s="41" t="s">
        <v>443</v>
      </c>
      <c r="E913" s="41" t="s">
        <v>33</v>
      </c>
      <c r="F913" s="42">
        <v>11</v>
      </c>
      <c r="G913" s="41" t="s">
        <v>12</v>
      </c>
      <c r="H913" s="43" t="s">
        <v>444</v>
      </c>
      <c r="I913" s="44">
        <v>160</v>
      </c>
      <c r="J913" s="44">
        <v>33</v>
      </c>
      <c r="K913" s="41"/>
      <c r="L913" s="45">
        <v>86500</v>
      </c>
      <c r="M913" s="44">
        <v>1</v>
      </c>
      <c r="N913" s="43" t="s">
        <v>383</v>
      </c>
    </row>
    <row r="914" spans="1:14" ht="15.75" customHeight="1">
      <c r="A914" s="41" t="s">
        <v>752</v>
      </c>
      <c r="B914" s="41" t="s">
        <v>753</v>
      </c>
      <c r="C914" s="41" t="s">
        <v>442</v>
      </c>
      <c r="D914" s="41" t="s">
        <v>443</v>
      </c>
      <c r="E914" s="41" t="s">
        <v>33</v>
      </c>
      <c r="F914" s="42">
        <v>12</v>
      </c>
      <c r="G914" s="41" t="s">
        <v>13</v>
      </c>
      <c r="H914" s="43" t="s">
        <v>444</v>
      </c>
      <c r="I914" s="44">
        <v>15</v>
      </c>
      <c r="J914" s="44">
        <v>33</v>
      </c>
      <c r="K914" s="41"/>
      <c r="L914" s="45">
        <v>86500</v>
      </c>
      <c r="M914" s="44">
        <v>1</v>
      </c>
      <c r="N914" s="43" t="s">
        <v>383</v>
      </c>
    </row>
    <row r="915" spans="1:14" ht="15.75" customHeight="1">
      <c r="A915" s="41" t="s">
        <v>752</v>
      </c>
      <c r="B915" s="41" t="s">
        <v>753</v>
      </c>
      <c r="C915" s="41" t="s">
        <v>431</v>
      </c>
      <c r="D915" s="41" t="s">
        <v>432</v>
      </c>
      <c r="E915" s="41" t="s">
        <v>433</v>
      </c>
      <c r="F915" s="42">
        <v>18</v>
      </c>
      <c r="G915" s="41" t="s">
        <v>439</v>
      </c>
      <c r="H915" s="43" t="s">
        <v>440</v>
      </c>
      <c r="I915" s="44">
        <v>60</v>
      </c>
      <c r="J915" s="41"/>
      <c r="K915" s="44">
        <v>850</v>
      </c>
      <c r="L915" s="41" t="s">
        <v>435</v>
      </c>
      <c r="M915" s="44">
        <v>1</v>
      </c>
      <c r="N915" s="43" t="s">
        <v>436</v>
      </c>
    </row>
    <row r="916" spans="1:14" ht="15.75" customHeight="1">
      <c r="A916" s="41" t="s">
        <v>752</v>
      </c>
      <c r="B916" s="41" t="s">
        <v>753</v>
      </c>
      <c r="C916" s="41" t="s">
        <v>431</v>
      </c>
      <c r="D916" s="41" t="s">
        <v>432</v>
      </c>
      <c r="E916" s="41" t="s">
        <v>433</v>
      </c>
      <c r="F916" s="42">
        <v>19</v>
      </c>
      <c r="G916" s="41" t="s">
        <v>368</v>
      </c>
      <c r="H916" s="43" t="s">
        <v>434</v>
      </c>
      <c r="I916" s="44">
        <v>60</v>
      </c>
      <c r="J916" s="41"/>
      <c r="K916" s="44">
        <v>850</v>
      </c>
      <c r="L916" s="41" t="s">
        <v>435</v>
      </c>
      <c r="M916" s="44">
        <v>4</v>
      </c>
      <c r="N916" s="43" t="s">
        <v>436</v>
      </c>
    </row>
    <row r="917" spans="1:14" ht="15.75" customHeight="1">
      <c r="A917" s="41" t="s">
        <v>754</v>
      </c>
      <c r="B917" s="41" t="s">
        <v>199</v>
      </c>
      <c r="C917" s="41" t="s">
        <v>442</v>
      </c>
      <c r="D917" s="41" t="s">
        <v>448</v>
      </c>
      <c r="E917" s="41" t="s">
        <v>40</v>
      </c>
      <c r="F917" s="42">
        <v>2</v>
      </c>
      <c r="G917" s="41" t="s">
        <v>12</v>
      </c>
      <c r="H917" s="43" t="s">
        <v>449</v>
      </c>
      <c r="I917" s="44">
        <v>315</v>
      </c>
      <c r="J917" s="44">
        <v>206</v>
      </c>
      <c r="K917" s="41"/>
      <c r="L917" s="45">
        <v>412000</v>
      </c>
      <c r="M917" s="44">
        <v>1</v>
      </c>
      <c r="N917" s="43" t="s">
        <v>383</v>
      </c>
    </row>
    <row r="918" spans="1:14" ht="15.75" customHeight="1">
      <c r="A918" s="41" t="s">
        <v>754</v>
      </c>
      <c r="B918" s="41" t="s">
        <v>199</v>
      </c>
      <c r="C918" s="41" t="s">
        <v>442</v>
      </c>
      <c r="D918" s="41" t="s">
        <v>448</v>
      </c>
      <c r="E918" s="41" t="s">
        <v>40</v>
      </c>
      <c r="F918" s="42">
        <v>3</v>
      </c>
      <c r="G918" s="41" t="s">
        <v>13</v>
      </c>
      <c r="H918" s="43" t="s">
        <v>449</v>
      </c>
      <c r="I918" s="44">
        <v>30</v>
      </c>
      <c r="J918" s="44">
        <v>206</v>
      </c>
      <c r="K918" s="41"/>
      <c r="L918" s="45">
        <v>412000</v>
      </c>
      <c r="M918" s="44">
        <v>1</v>
      </c>
      <c r="N918" s="43" t="s">
        <v>383</v>
      </c>
    </row>
    <row r="919" spans="1:14" ht="15.75" customHeight="1">
      <c r="A919" s="41" t="s">
        <v>754</v>
      </c>
      <c r="B919" s="41" t="s">
        <v>199</v>
      </c>
      <c r="C919" s="41" t="s">
        <v>431</v>
      </c>
      <c r="D919" s="41" t="s">
        <v>432</v>
      </c>
      <c r="E919" s="41" t="s">
        <v>433</v>
      </c>
      <c r="F919" s="42">
        <v>18</v>
      </c>
      <c r="G919" s="41" t="s">
        <v>439</v>
      </c>
      <c r="H919" s="43" t="s">
        <v>440</v>
      </c>
      <c r="I919" s="44">
        <v>60</v>
      </c>
      <c r="J919" s="41"/>
      <c r="K919" s="44">
        <v>900</v>
      </c>
      <c r="L919" s="41" t="s">
        <v>435</v>
      </c>
      <c r="M919" s="44">
        <v>1</v>
      </c>
      <c r="N919" s="43" t="s">
        <v>436</v>
      </c>
    </row>
    <row r="920" spans="1:14" ht="15.75" customHeight="1">
      <c r="A920" s="41" t="s">
        <v>754</v>
      </c>
      <c r="B920" s="41" t="s">
        <v>199</v>
      </c>
      <c r="C920" s="41" t="s">
        <v>431</v>
      </c>
      <c r="D920" s="41" t="s">
        <v>432</v>
      </c>
      <c r="E920" s="41" t="s">
        <v>433</v>
      </c>
      <c r="F920" s="42">
        <v>19</v>
      </c>
      <c r="G920" s="41" t="s">
        <v>368</v>
      </c>
      <c r="H920" s="43" t="s">
        <v>434</v>
      </c>
      <c r="I920" s="44">
        <v>60</v>
      </c>
      <c r="J920" s="41"/>
      <c r="K920" s="44">
        <v>480</v>
      </c>
      <c r="L920" s="41" t="s">
        <v>435</v>
      </c>
      <c r="M920" s="44">
        <v>4</v>
      </c>
      <c r="N920" s="43" t="s">
        <v>436</v>
      </c>
    </row>
    <row r="921" spans="1:14" ht="15.75" customHeight="1">
      <c r="A921" s="41" t="s">
        <v>755</v>
      </c>
      <c r="B921" s="41" t="s">
        <v>205</v>
      </c>
      <c r="C921" s="41" t="s">
        <v>442</v>
      </c>
      <c r="D921" s="41" t="s">
        <v>448</v>
      </c>
      <c r="E921" s="41" t="s">
        <v>40</v>
      </c>
      <c r="F921" s="42">
        <v>2</v>
      </c>
      <c r="G921" s="41" t="s">
        <v>12</v>
      </c>
      <c r="H921" s="43" t="s">
        <v>449</v>
      </c>
      <c r="I921" s="44">
        <v>280</v>
      </c>
      <c r="J921" s="44">
        <v>100.3</v>
      </c>
      <c r="K921" s="41"/>
      <c r="L921" s="45">
        <v>412000</v>
      </c>
      <c r="M921" s="44">
        <v>1</v>
      </c>
      <c r="N921" s="43" t="s">
        <v>383</v>
      </c>
    </row>
    <row r="922" spans="1:14" ht="15.75" customHeight="1">
      <c r="A922" s="41" t="s">
        <v>755</v>
      </c>
      <c r="B922" s="41" t="s">
        <v>205</v>
      </c>
      <c r="C922" s="41" t="s">
        <v>442</v>
      </c>
      <c r="D922" s="41" t="s">
        <v>448</v>
      </c>
      <c r="E922" s="41" t="s">
        <v>40</v>
      </c>
      <c r="F922" s="42">
        <v>3</v>
      </c>
      <c r="G922" s="41" t="s">
        <v>13</v>
      </c>
      <c r="H922" s="43" t="s">
        <v>449</v>
      </c>
      <c r="I922" s="44">
        <v>30</v>
      </c>
      <c r="J922" s="44">
        <v>100.3</v>
      </c>
      <c r="K922" s="41"/>
      <c r="L922" s="45">
        <v>412000</v>
      </c>
      <c r="M922" s="44">
        <v>1</v>
      </c>
      <c r="N922" s="43" t="s">
        <v>383</v>
      </c>
    </row>
    <row r="923" spans="1:14" ht="15.75" customHeight="1">
      <c r="A923" s="41" t="s">
        <v>755</v>
      </c>
      <c r="B923" s="41" t="s">
        <v>205</v>
      </c>
      <c r="C923" s="41" t="s">
        <v>431</v>
      </c>
      <c r="D923" s="41" t="s">
        <v>432</v>
      </c>
      <c r="E923" s="41" t="s">
        <v>433</v>
      </c>
      <c r="F923" s="42">
        <v>19</v>
      </c>
      <c r="G923" s="41" t="s">
        <v>368</v>
      </c>
      <c r="H923" s="43" t="s">
        <v>434</v>
      </c>
      <c r="I923" s="44">
        <v>60</v>
      </c>
      <c r="J923" s="41"/>
      <c r="K923" s="44">
        <v>450</v>
      </c>
      <c r="L923" s="41" t="s">
        <v>435</v>
      </c>
      <c r="M923" s="44">
        <v>3</v>
      </c>
      <c r="N923" s="43" t="s">
        <v>436</v>
      </c>
    </row>
    <row r="924" spans="1:14" ht="15.75" customHeight="1">
      <c r="A924" s="41" t="s">
        <v>756</v>
      </c>
      <c r="B924" s="41" t="s">
        <v>202</v>
      </c>
      <c r="C924" s="41" t="s">
        <v>442</v>
      </c>
      <c r="D924" s="41" t="s">
        <v>448</v>
      </c>
      <c r="E924" s="41" t="s">
        <v>40</v>
      </c>
      <c r="F924" s="42">
        <v>1</v>
      </c>
      <c r="G924" s="41" t="s">
        <v>11</v>
      </c>
      <c r="H924" s="43" t="s">
        <v>426</v>
      </c>
      <c r="I924" s="44">
        <v>70</v>
      </c>
      <c r="J924" s="44">
        <v>202</v>
      </c>
      <c r="K924" s="41"/>
      <c r="L924" s="45">
        <v>400000</v>
      </c>
      <c r="M924" s="44">
        <v>1</v>
      </c>
      <c r="N924" s="43" t="s">
        <v>383</v>
      </c>
    </row>
    <row r="925" spans="1:14" ht="15.75" customHeight="1">
      <c r="A925" s="41" t="s">
        <v>756</v>
      </c>
      <c r="B925" s="41" t="s">
        <v>202</v>
      </c>
      <c r="C925" s="41" t="s">
        <v>442</v>
      </c>
      <c r="D925" s="41" t="s">
        <v>448</v>
      </c>
      <c r="E925" s="41" t="s">
        <v>40</v>
      </c>
      <c r="F925" s="42">
        <v>2</v>
      </c>
      <c r="G925" s="41" t="s">
        <v>12</v>
      </c>
      <c r="H925" s="43" t="s">
        <v>449</v>
      </c>
      <c r="I925" s="44">
        <v>130</v>
      </c>
      <c r="J925" s="44">
        <v>202</v>
      </c>
      <c r="K925" s="41"/>
      <c r="L925" s="45">
        <v>400000</v>
      </c>
      <c r="M925" s="44">
        <v>1</v>
      </c>
      <c r="N925" s="43" t="s">
        <v>383</v>
      </c>
    </row>
    <row r="926" spans="1:14" ht="15.75" customHeight="1">
      <c r="A926" s="41" t="s">
        <v>756</v>
      </c>
      <c r="B926" s="41" t="s">
        <v>202</v>
      </c>
      <c r="C926" s="41" t="s">
        <v>442</v>
      </c>
      <c r="D926" s="41" t="s">
        <v>448</v>
      </c>
      <c r="E926" s="41" t="s">
        <v>40</v>
      </c>
      <c r="F926" s="42">
        <v>3</v>
      </c>
      <c r="G926" s="41" t="s">
        <v>13</v>
      </c>
      <c r="H926" s="43" t="s">
        <v>449</v>
      </c>
      <c r="I926" s="44">
        <v>30</v>
      </c>
      <c r="J926" s="44">
        <v>202</v>
      </c>
      <c r="K926" s="41"/>
      <c r="L926" s="45">
        <v>400000</v>
      </c>
      <c r="M926" s="44">
        <v>1</v>
      </c>
      <c r="N926" s="43" t="s">
        <v>383</v>
      </c>
    </row>
    <row r="927" spans="1:14" ht="15.75" customHeight="1">
      <c r="A927" s="41" t="s">
        <v>756</v>
      </c>
      <c r="B927" s="41" t="s">
        <v>202</v>
      </c>
      <c r="C927" s="41" t="s">
        <v>431</v>
      </c>
      <c r="D927" s="41" t="s">
        <v>432</v>
      </c>
      <c r="E927" s="41" t="s">
        <v>433</v>
      </c>
      <c r="F927" s="42">
        <v>18</v>
      </c>
      <c r="G927" s="41" t="s">
        <v>439</v>
      </c>
      <c r="H927" s="43" t="s">
        <v>440</v>
      </c>
      <c r="I927" s="44">
        <v>60</v>
      </c>
      <c r="J927" s="41"/>
      <c r="K927" s="44">
        <v>600</v>
      </c>
      <c r="L927" s="41" t="s">
        <v>435</v>
      </c>
      <c r="M927" s="44">
        <v>1</v>
      </c>
      <c r="N927" s="43" t="s">
        <v>436</v>
      </c>
    </row>
    <row r="928" spans="1:14" ht="15.75" customHeight="1">
      <c r="A928" s="41" t="s">
        <v>756</v>
      </c>
      <c r="B928" s="41" t="s">
        <v>202</v>
      </c>
      <c r="C928" s="41" t="s">
        <v>431</v>
      </c>
      <c r="D928" s="41" t="s">
        <v>432</v>
      </c>
      <c r="E928" s="41" t="s">
        <v>433</v>
      </c>
      <c r="F928" s="42">
        <v>19</v>
      </c>
      <c r="G928" s="41" t="s">
        <v>368</v>
      </c>
      <c r="H928" s="43" t="s">
        <v>434</v>
      </c>
      <c r="I928" s="44">
        <v>60</v>
      </c>
      <c r="J928" s="41"/>
      <c r="K928" s="44">
        <v>630</v>
      </c>
      <c r="L928" s="41" t="s">
        <v>435</v>
      </c>
      <c r="M928" s="44">
        <v>4</v>
      </c>
      <c r="N928" s="43" t="s">
        <v>436</v>
      </c>
    </row>
    <row r="929" spans="1:14" ht="15.75" customHeight="1">
      <c r="A929" s="41" t="s">
        <v>757</v>
      </c>
      <c r="B929" s="41" t="s">
        <v>211</v>
      </c>
      <c r="C929" s="41" t="s">
        <v>424</v>
      </c>
      <c r="D929" s="41" t="s">
        <v>425</v>
      </c>
      <c r="E929" s="41" t="s">
        <v>48</v>
      </c>
      <c r="F929" s="42">
        <v>4</v>
      </c>
      <c r="G929" s="41" t="s">
        <v>11</v>
      </c>
      <c r="H929" s="43" t="s">
        <v>426</v>
      </c>
      <c r="I929" s="44">
        <v>30</v>
      </c>
      <c r="J929" s="44">
        <v>100</v>
      </c>
      <c r="K929" s="41"/>
      <c r="L929" s="45">
        <v>52000</v>
      </c>
      <c r="M929" s="44">
        <v>1</v>
      </c>
      <c r="N929" s="43" t="s">
        <v>383</v>
      </c>
    </row>
    <row r="930" spans="1:14" ht="15.75" customHeight="1">
      <c r="A930" s="41" t="s">
        <v>757</v>
      </c>
      <c r="B930" s="41" t="s">
        <v>211</v>
      </c>
      <c r="C930" s="41" t="s">
        <v>424</v>
      </c>
      <c r="D930" s="41" t="s">
        <v>425</v>
      </c>
      <c r="E930" s="41" t="s">
        <v>48</v>
      </c>
      <c r="F930" s="42">
        <v>5</v>
      </c>
      <c r="G930" s="41" t="s">
        <v>12</v>
      </c>
      <c r="H930" s="43" t="s">
        <v>427</v>
      </c>
      <c r="I930" s="44">
        <v>155</v>
      </c>
      <c r="J930" s="44">
        <v>100</v>
      </c>
      <c r="K930" s="41"/>
      <c r="L930" s="45">
        <v>52000</v>
      </c>
      <c r="M930" s="44">
        <v>1</v>
      </c>
      <c r="N930" s="43" t="s">
        <v>383</v>
      </c>
    </row>
    <row r="931" spans="1:14" ht="15.75" customHeight="1">
      <c r="A931" s="41" t="s">
        <v>757</v>
      </c>
      <c r="B931" s="41" t="s">
        <v>211</v>
      </c>
      <c r="C931" s="41" t="s">
        <v>424</v>
      </c>
      <c r="D931" s="41" t="s">
        <v>425</v>
      </c>
      <c r="E931" s="41" t="s">
        <v>48</v>
      </c>
      <c r="F931" s="42">
        <v>6</v>
      </c>
      <c r="G931" s="41" t="s">
        <v>13</v>
      </c>
      <c r="H931" s="43" t="s">
        <v>427</v>
      </c>
      <c r="I931" s="44">
        <v>40</v>
      </c>
      <c r="J931" s="44">
        <v>100</v>
      </c>
      <c r="K931" s="41"/>
      <c r="L931" s="45">
        <v>52000</v>
      </c>
      <c r="M931" s="44">
        <v>1</v>
      </c>
      <c r="N931" s="43" t="s">
        <v>383</v>
      </c>
    </row>
    <row r="932" spans="1:14" ht="15.75" customHeight="1">
      <c r="A932" s="41" t="s">
        <v>757</v>
      </c>
      <c r="B932" s="41" t="s">
        <v>211</v>
      </c>
      <c r="C932" s="41" t="s">
        <v>431</v>
      </c>
      <c r="D932" s="41" t="s">
        <v>432</v>
      </c>
      <c r="E932" s="41" t="s">
        <v>433</v>
      </c>
      <c r="F932" s="42">
        <v>18</v>
      </c>
      <c r="G932" s="41" t="s">
        <v>439</v>
      </c>
      <c r="H932" s="43" t="s">
        <v>440</v>
      </c>
      <c r="I932" s="44">
        <v>60</v>
      </c>
      <c r="J932" s="41"/>
      <c r="K932" s="44">
        <v>1000</v>
      </c>
      <c r="L932" s="41" t="s">
        <v>435</v>
      </c>
      <c r="M932" s="44">
        <v>1</v>
      </c>
      <c r="N932" s="43" t="s">
        <v>436</v>
      </c>
    </row>
    <row r="933" spans="1:14" ht="15.75" customHeight="1">
      <c r="A933" s="41" t="s">
        <v>757</v>
      </c>
      <c r="B933" s="41" t="s">
        <v>211</v>
      </c>
      <c r="C933" s="41" t="s">
        <v>431</v>
      </c>
      <c r="D933" s="41" t="s">
        <v>432</v>
      </c>
      <c r="E933" s="41" t="s">
        <v>433</v>
      </c>
      <c r="F933" s="42">
        <v>19</v>
      </c>
      <c r="G933" s="41" t="s">
        <v>368</v>
      </c>
      <c r="H933" s="43" t="s">
        <v>434</v>
      </c>
      <c r="I933" s="44">
        <v>60</v>
      </c>
      <c r="J933" s="41"/>
      <c r="K933" s="44">
        <v>600</v>
      </c>
      <c r="L933" s="41" t="s">
        <v>435</v>
      </c>
      <c r="M933" s="44">
        <v>4</v>
      </c>
      <c r="N933" s="43" t="s">
        <v>436</v>
      </c>
    </row>
    <row r="934" spans="1:14" ht="15.75" customHeight="1">
      <c r="A934" s="41" t="s">
        <v>758</v>
      </c>
      <c r="B934" s="41" t="s">
        <v>214</v>
      </c>
      <c r="C934" s="41" t="s">
        <v>442</v>
      </c>
      <c r="D934" s="41" t="s">
        <v>448</v>
      </c>
      <c r="E934" s="41" t="s">
        <v>40</v>
      </c>
      <c r="F934" s="42">
        <v>1</v>
      </c>
      <c r="G934" s="41" t="s">
        <v>11</v>
      </c>
      <c r="H934" s="43" t="s">
        <v>426</v>
      </c>
      <c r="I934" s="44">
        <v>25</v>
      </c>
      <c r="J934" s="44">
        <v>25.3</v>
      </c>
      <c r="K934" s="41"/>
      <c r="L934" s="45">
        <v>400000</v>
      </c>
      <c r="M934" s="44">
        <v>1</v>
      </c>
      <c r="N934" s="43" t="s">
        <v>383</v>
      </c>
    </row>
    <row r="935" spans="1:14" ht="15.75" customHeight="1">
      <c r="A935" s="41" t="s">
        <v>758</v>
      </c>
      <c r="B935" s="41" t="s">
        <v>214</v>
      </c>
      <c r="C935" s="41" t="s">
        <v>442</v>
      </c>
      <c r="D935" s="41" t="s">
        <v>448</v>
      </c>
      <c r="E935" s="41" t="s">
        <v>40</v>
      </c>
      <c r="F935" s="42">
        <v>2</v>
      </c>
      <c r="G935" s="41" t="s">
        <v>12</v>
      </c>
      <c r="H935" s="43" t="s">
        <v>449</v>
      </c>
      <c r="I935" s="44">
        <v>115</v>
      </c>
      <c r="J935" s="44">
        <v>25.3</v>
      </c>
      <c r="K935" s="41"/>
      <c r="L935" s="45">
        <v>400000</v>
      </c>
      <c r="M935" s="44">
        <v>1</v>
      </c>
      <c r="N935" s="43" t="s">
        <v>383</v>
      </c>
    </row>
    <row r="936" spans="1:14" ht="15.75" customHeight="1">
      <c r="A936" s="41" t="s">
        <v>758</v>
      </c>
      <c r="B936" s="41" t="s">
        <v>214</v>
      </c>
      <c r="C936" s="41" t="s">
        <v>442</v>
      </c>
      <c r="D936" s="41" t="s">
        <v>448</v>
      </c>
      <c r="E936" s="41" t="s">
        <v>40</v>
      </c>
      <c r="F936" s="42">
        <v>3</v>
      </c>
      <c r="G936" s="41" t="s">
        <v>13</v>
      </c>
      <c r="H936" s="43" t="s">
        <v>449</v>
      </c>
      <c r="I936" s="44">
        <v>30</v>
      </c>
      <c r="J936" s="44">
        <v>25.3</v>
      </c>
      <c r="K936" s="41"/>
      <c r="L936" s="45">
        <v>400000</v>
      </c>
      <c r="M936" s="44">
        <v>1</v>
      </c>
      <c r="N936" s="43" t="s">
        <v>383</v>
      </c>
    </row>
    <row r="937" spans="1:14" ht="15.75" customHeight="1">
      <c r="A937" s="41" t="s">
        <v>758</v>
      </c>
      <c r="B937" s="41" t="s">
        <v>214</v>
      </c>
      <c r="C937" s="41" t="s">
        <v>431</v>
      </c>
      <c r="D937" s="41" t="s">
        <v>432</v>
      </c>
      <c r="E937" s="41" t="s">
        <v>433</v>
      </c>
      <c r="F937" s="42">
        <v>19</v>
      </c>
      <c r="G937" s="41" t="s">
        <v>368</v>
      </c>
      <c r="H937" s="43" t="s">
        <v>434</v>
      </c>
      <c r="I937" s="44">
        <v>60</v>
      </c>
      <c r="J937" s="41"/>
      <c r="K937" s="44">
        <v>1428</v>
      </c>
      <c r="L937" s="41" t="s">
        <v>435</v>
      </c>
      <c r="M937" s="44">
        <v>1</v>
      </c>
      <c r="N937" s="43" t="s">
        <v>436</v>
      </c>
    </row>
    <row r="938" spans="1:14" ht="15.75" customHeight="1">
      <c r="A938" s="41" t="s">
        <v>759</v>
      </c>
      <c r="B938" s="41" t="s">
        <v>208</v>
      </c>
      <c r="C938" s="41" t="s">
        <v>442</v>
      </c>
      <c r="D938" s="41" t="s">
        <v>443</v>
      </c>
      <c r="E938" s="41" t="s">
        <v>33</v>
      </c>
      <c r="F938" s="42">
        <v>10</v>
      </c>
      <c r="G938" s="41" t="s">
        <v>11</v>
      </c>
      <c r="H938" s="43" t="s">
        <v>426</v>
      </c>
      <c r="I938" s="44">
        <v>90</v>
      </c>
      <c r="J938" s="44">
        <v>30.5</v>
      </c>
      <c r="K938" s="41"/>
      <c r="L938" s="45">
        <v>100000</v>
      </c>
      <c r="M938" s="44">
        <v>1</v>
      </c>
      <c r="N938" s="43" t="s">
        <v>383</v>
      </c>
    </row>
    <row r="939" spans="1:14" ht="15.75" customHeight="1">
      <c r="A939" s="41" t="s">
        <v>759</v>
      </c>
      <c r="B939" s="41" t="s">
        <v>208</v>
      </c>
      <c r="C939" s="41" t="s">
        <v>442</v>
      </c>
      <c r="D939" s="41" t="s">
        <v>443</v>
      </c>
      <c r="E939" s="41" t="s">
        <v>33</v>
      </c>
      <c r="F939" s="42">
        <v>11</v>
      </c>
      <c r="G939" s="41" t="s">
        <v>12</v>
      </c>
      <c r="H939" s="43" t="s">
        <v>444</v>
      </c>
      <c r="I939" s="44">
        <v>50</v>
      </c>
      <c r="J939" s="44">
        <v>30.5</v>
      </c>
      <c r="K939" s="41"/>
      <c r="L939" s="45">
        <v>100000</v>
      </c>
      <c r="M939" s="44">
        <v>1</v>
      </c>
      <c r="N939" s="43" t="s">
        <v>383</v>
      </c>
    </row>
    <row r="940" spans="1:14" ht="15.75" customHeight="1">
      <c r="A940" s="41" t="s">
        <v>759</v>
      </c>
      <c r="B940" s="41" t="s">
        <v>208</v>
      </c>
      <c r="C940" s="41" t="s">
        <v>442</v>
      </c>
      <c r="D940" s="41" t="s">
        <v>443</v>
      </c>
      <c r="E940" s="41" t="s">
        <v>33</v>
      </c>
      <c r="F940" s="42">
        <v>12</v>
      </c>
      <c r="G940" s="41" t="s">
        <v>13</v>
      </c>
      <c r="H940" s="43" t="s">
        <v>444</v>
      </c>
      <c r="I940" s="44">
        <v>10</v>
      </c>
      <c r="J940" s="44">
        <v>30.5</v>
      </c>
      <c r="K940" s="41"/>
      <c r="L940" s="45">
        <v>100000</v>
      </c>
      <c r="M940" s="44">
        <v>1</v>
      </c>
      <c r="N940" s="43" t="s">
        <v>383</v>
      </c>
    </row>
    <row r="941" spans="1:14" ht="15.75" customHeight="1">
      <c r="A941" s="41" t="s">
        <v>759</v>
      </c>
      <c r="B941" s="41" t="s">
        <v>208</v>
      </c>
      <c r="C941" s="41" t="s">
        <v>431</v>
      </c>
      <c r="D941" s="41" t="s">
        <v>432</v>
      </c>
      <c r="E941" s="41" t="s">
        <v>433</v>
      </c>
      <c r="F941" s="42">
        <v>18</v>
      </c>
      <c r="G941" s="41" t="s">
        <v>439</v>
      </c>
      <c r="H941" s="43" t="s">
        <v>440</v>
      </c>
      <c r="I941" s="44">
        <v>60</v>
      </c>
      <c r="J941" s="41"/>
      <c r="K941" s="44">
        <v>800</v>
      </c>
      <c r="L941" s="41" t="s">
        <v>435</v>
      </c>
      <c r="M941" s="44">
        <v>1</v>
      </c>
      <c r="N941" s="43" t="s">
        <v>436</v>
      </c>
    </row>
    <row r="942" spans="1:14" ht="15.75" customHeight="1">
      <c r="A942" s="41" t="s">
        <v>759</v>
      </c>
      <c r="B942" s="41" t="s">
        <v>208</v>
      </c>
      <c r="C942" s="41" t="s">
        <v>431</v>
      </c>
      <c r="D942" s="41" t="s">
        <v>432</v>
      </c>
      <c r="E942" s="41" t="s">
        <v>433</v>
      </c>
      <c r="F942" s="42">
        <v>19</v>
      </c>
      <c r="G942" s="41" t="s">
        <v>368</v>
      </c>
      <c r="H942" s="43" t="s">
        <v>434</v>
      </c>
      <c r="I942" s="44">
        <v>60</v>
      </c>
      <c r="J942" s="41"/>
      <c r="K942" s="44">
        <v>1000</v>
      </c>
      <c r="L942" s="41" t="s">
        <v>435</v>
      </c>
      <c r="M942" s="44">
        <v>4</v>
      </c>
      <c r="N942" s="43" t="s">
        <v>436</v>
      </c>
    </row>
    <row r="943" spans="1:14" ht="15.75" customHeight="1">
      <c r="A943" s="41" t="s">
        <v>760</v>
      </c>
      <c r="B943" s="41" t="s">
        <v>284</v>
      </c>
      <c r="C943" s="41" t="s">
        <v>442</v>
      </c>
      <c r="D943" s="41" t="s">
        <v>448</v>
      </c>
      <c r="E943" s="41" t="s">
        <v>40</v>
      </c>
      <c r="F943" s="42">
        <v>1</v>
      </c>
      <c r="G943" s="41" t="s">
        <v>11</v>
      </c>
      <c r="H943" s="43" t="s">
        <v>426</v>
      </c>
      <c r="I943" s="44">
        <v>70</v>
      </c>
      <c r="J943" s="44">
        <v>30.3</v>
      </c>
      <c r="K943" s="41"/>
      <c r="L943" s="45">
        <v>400000</v>
      </c>
      <c r="M943" s="44">
        <v>1</v>
      </c>
      <c r="N943" s="43" t="s">
        <v>383</v>
      </c>
    </row>
    <row r="944" spans="1:14" ht="15.75" customHeight="1">
      <c r="A944" s="41" t="s">
        <v>760</v>
      </c>
      <c r="B944" s="41" t="s">
        <v>284</v>
      </c>
      <c r="C944" s="41" t="s">
        <v>442</v>
      </c>
      <c r="D944" s="41" t="s">
        <v>448</v>
      </c>
      <c r="E944" s="41" t="s">
        <v>40</v>
      </c>
      <c r="F944" s="42">
        <v>2</v>
      </c>
      <c r="G944" s="41" t="s">
        <v>12</v>
      </c>
      <c r="H944" s="43" t="s">
        <v>449</v>
      </c>
      <c r="I944" s="44">
        <v>90</v>
      </c>
      <c r="J944" s="44">
        <v>30.3</v>
      </c>
      <c r="K944" s="41"/>
      <c r="L944" s="45">
        <v>400000</v>
      </c>
      <c r="M944" s="44">
        <v>1</v>
      </c>
      <c r="N944" s="43" t="s">
        <v>383</v>
      </c>
    </row>
    <row r="945" spans="1:26" ht="15.75" customHeight="1">
      <c r="A945" s="41" t="s">
        <v>760</v>
      </c>
      <c r="B945" s="41" t="s">
        <v>284</v>
      </c>
      <c r="C945" s="41" t="s">
        <v>442</v>
      </c>
      <c r="D945" s="41" t="s">
        <v>448</v>
      </c>
      <c r="E945" s="41" t="s">
        <v>40</v>
      </c>
      <c r="F945" s="42">
        <v>3</v>
      </c>
      <c r="G945" s="41" t="s">
        <v>13</v>
      </c>
      <c r="H945" s="43" t="s">
        <v>449</v>
      </c>
      <c r="I945" s="44">
        <v>30</v>
      </c>
      <c r="J945" s="44">
        <v>30.3</v>
      </c>
      <c r="K945" s="41"/>
      <c r="L945" s="45">
        <v>400000</v>
      </c>
      <c r="M945" s="44">
        <v>1</v>
      </c>
      <c r="N945" s="43" t="s">
        <v>383</v>
      </c>
    </row>
    <row r="946" spans="1:26" ht="15.75" customHeight="1">
      <c r="A946" s="46" t="s">
        <v>761</v>
      </c>
      <c r="B946" s="46" t="s">
        <v>284</v>
      </c>
      <c r="C946" s="46" t="s">
        <v>442</v>
      </c>
      <c r="D946" s="46" t="s">
        <v>443</v>
      </c>
      <c r="E946" s="46" t="s">
        <v>33</v>
      </c>
      <c r="F946" s="47">
        <v>10</v>
      </c>
      <c r="G946" s="46" t="s">
        <v>11</v>
      </c>
      <c r="H946" s="48" t="s">
        <v>426</v>
      </c>
      <c r="I946" s="49">
        <v>95</v>
      </c>
      <c r="J946" s="49">
        <v>30.3</v>
      </c>
      <c r="K946" s="46"/>
      <c r="L946" s="50">
        <v>100000</v>
      </c>
      <c r="M946" s="49">
        <v>1</v>
      </c>
      <c r="N946" s="48" t="s">
        <v>383</v>
      </c>
      <c r="O946" s="51"/>
    </row>
    <row r="947" spans="1:26" ht="15.75" customHeight="1">
      <c r="A947" s="46" t="s">
        <v>761</v>
      </c>
      <c r="B947" s="46" t="s">
        <v>284</v>
      </c>
      <c r="C947" s="46" t="s">
        <v>442</v>
      </c>
      <c r="D947" s="46" t="s">
        <v>443</v>
      </c>
      <c r="E947" s="46" t="s">
        <v>33</v>
      </c>
      <c r="F947" s="47">
        <v>11</v>
      </c>
      <c r="G947" s="46" t="s">
        <v>12</v>
      </c>
      <c r="H947" s="48" t="s">
        <v>444</v>
      </c>
      <c r="I947" s="49">
        <v>55</v>
      </c>
      <c r="J947" s="49">
        <v>30.3</v>
      </c>
      <c r="K947" s="46"/>
      <c r="L947" s="50">
        <v>100000</v>
      </c>
      <c r="M947" s="49">
        <v>1</v>
      </c>
      <c r="N947" s="48" t="s">
        <v>383</v>
      </c>
      <c r="O947" s="51"/>
    </row>
    <row r="948" spans="1:26" ht="15.75" customHeight="1">
      <c r="A948" s="46" t="s">
        <v>761</v>
      </c>
      <c r="B948" s="46" t="s">
        <v>284</v>
      </c>
      <c r="C948" s="46" t="s">
        <v>442</v>
      </c>
      <c r="D948" s="46" t="s">
        <v>443</v>
      </c>
      <c r="E948" s="46" t="s">
        <v>33</v>
      </c>
      <c r="F948" s="47">
        <v>12</v>
      </c>
      <c r="G948" s="46" t="s">
        <v>13</v>
      </c>
      <c r="H948" s="48" t="s">
        <v>444</v>
      </c>
      <c r="I948" s="49">
        <v>10</v>
      </c>
      <c r="J948" s="49">
        <v>30.3</v>
      </c>
      <c r="K948" s="46"/>
      <c r="L948" s="50">
        <v>100000</v>
      </c>
      <c r="M948" s="49">
        <v>1</v>
      </c>
      <c r="N948" s="48" t="s">
        <v>383</v>
      </c>
      <c r="O948" s="51"/>
    </row>
    <row r="949" spans="1:26" ht="15.75" customHeight="1">
      <c r="A949" s="41" t="s">
        <v>760</v>
      </c>
      <c r="B949" s="41" t="s">
        <v>284</v>
      </c>
      <c r="C949" s="41" t="s">
        <v>431</v>
      </c>
      <c r="D949" s="41" t="s">
        <v>432</v>
      </c>
      <c r="E949" s="41" t="s">
        <v>433</v>
      </c>
      <c r="F949" s="42">
        <v>18</v>
      </c>
      <c r="G949" s="41" t="s">
        <v>439</v>
      </c>
      <c r="H949" s="43" t="s">
        <v>440</v>
      </c>
      <c r="I949" s="44">
        <v>60</v>
      </c>
      <c r="J949" s="41"/>
      <c r="K949" s="44">
        <v>1600</v>
      </c>
      <c r="L949" s="41" t="s">
        <v>435</v>
      </c>
      <c r="M949" s="44">
        <v>1</v>
      </c>
      <c r="N949" s="43" t="s">
        <v>436</v>
      </c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>
      <c r="A950" s="41" t="s">
        <v>760</v>
      </c>
      <c r="B950" s="41" t="s">
        <v>284</v>
      </c>
      <c r="C950" s="41" t="s">
        <v>431</v>
      </c>
      <c r="D950" s="41" t="s">
        <v>432</v>
      </c>
      <c r="E950" s="41" t="s">
        <v>433</v>
      </c>
      <c r="F950" s="42">
        <v>19</v>
      </c>
      <c r="G950" s="41" t="s">
        <v>368</v>
      </c>
      <c r="H950" s="43" t="s">
        <v>434</v>
      </c>
      <c r="I950" s="44">
        <v>60</v>
      </c>
      <c r="J950" s="41"/>
      <c r="K950" s="44">
        <v>1600</v>
      </c>
      <c r="L950" s="41" t="s">
        <v>435</v>
      </c>
      <c r="M950" s="44">
        <v>3</v>
      </c>
      <c r="N950" s="43" t="s">
        <v>436</v>
      </c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>
      <c r="A951" s="41" t="s">
        <v>762</v>
      </c>
      <c r="B951" s="41" t="s">
        <v>763</v>
      </c>
      <c r="C951" s="41" t="s">
        <v>442</v>
      </c>
      <c r="D951" s="41" t="s">
        <v>443</v>
      </c>
      <c r="E951" s="41" t="s">
        <v>33</v>
      </c>
      <c r="F951" s="42">
        <v>10</v>
      </c>
      <c r="G951" s="41" t="s">
        <v>11</v>
      </c>
      <c r="H951" s="43" t="s">
        <v>426</v>
      </c>
      <c r="I951" s="44">
        <v>55</v>
      </c>
      <c r="J951" s="44">
        <v>2</v>
      </c>
      <c r="K951" s="41"/>
      <c r="L951" s="45">
        <v>107000</v>
      </c>
      <c r="M951" s="44">
        <v>1</v>
      </c>
      <c r="N951" s="43" t="s">
        <v>383</v>
      </c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>
      <c r="A952" s="41" t="s">
        <v>762</v>
      </c>
      <c r="B952" s="41" t="s">
        <v>763</v>
      </c>
      <c r="C952" s="41" t="s">
        <v>442</v>
      </c>
      <c r="D952" s="41" t="s">
        <v>443</v>
      </c>
      <c r="E952" s="41" t="s">
        <v>33</v>
      </c>
      <c r="F952" s="42">
        <v>11</v>
      </c>
      <c r="G952" s="41" t="s">
        <v>12</v>
      </c>
      <c r="H952" s="43" t="s">
        <v>444</v>
      </c>
      <c r="I952" s="44">
        <v>55</v>
      </c>
      <c r="J952" s="44">
        <v>2</v>
      </c>
      <c r="K952" s="41"/>
      <c r="L952" s="45">
        <v>107000</v>
      </c>
      <c r="M952" s="44">
        <v>1</v>
      </c>
      <c r="N952" s="43" t="s">
        <v>383</v>
      </c>
    </row>
    <row r="953" spans="1:26" ht="15.75" customHeight="1">
      <c r="A953" s="41" t="s">
        <v>762</v>
      </c>
      <c r="B953" s="41" t="s">
        <v>763</v>
      </c>
      <c r="C953" s="41" t="s">
        <v>442</v>
      </c>
      <c r="D953" s="41" t="s">
        <v>443</v>
      </c>
      <c r="E953" s="41" t="s">
        <v>33</v>
      </c>
      <c r="F953" s="42">
        <v>12</v>
      </c>
      <c r="G953" s="41" t="s">
        <v>13</v>
      </c>
      <c r="H953" s="43" t="s">
        <v>444</v>
      </c>
      <c r="I953" s="44">
        <v>10</v>
      </c>
      <c r="J953" s="44">
        <v>2</v>
      </c>
      <c r="K953" s="41"/>
      <c r="L953" s="45">
        <v>107000</v>
      </c>
      <c r="M953" s="44">
        <v>1</v>
      </c>
      <c r="N953" s="43" t="s">
        <v>383</v>
      </c>
    </row>
    <row r="954" spans="1:26" ht="15.75" customHeight="1">
      <c r="A954" s="41" t="s">
        <v>762</v>
      </c>
      <c r="B954" s="41" t="s">
        <v>763</v>
      </c>
      <c r="C954" s="41" t="s">
        <v>431</v>
      </c>
      <c r="D954" s="41" t="s">
        <v>432</v>
      </c>
      <c r="E954" s="41" t="s">
        <v>433</v>
      </c>
      <c r="F954" s="42">
        <v>19</v>
      </c>
      <c r="G954" s="41" t="s">
        <v>368</v>
      </c>
      <c r="H954" s="43" t="s">
        <v>434</v>
      </c>
      <c r="I954" s="44">
        <v>60</v>
      </c>
      <c r="J954" s="41"/>
      <c r="K954" s="44">
        <v>40000</v>
      </c>
      <c r="L954" s="41" t="s">
        <v>435</v>
      </c>
      <c r="M954" s="44">
        <v>1</v>
      </c>
      <c r="N954" s="43" t="s">
        <v>436</v>
      </c>
    </row>
    <row r="955" spans="1:26" ht="15.75" customHeight="1">
      <c r="A955" s="41" t="s">
        <v>764</v>
      </c>
      <c r="B955" s="41" t="s">
        <v>765</v>
      </c>
      <c r="C955" s="41" t="s">
        <v>442</v>
      </c>
      <c r="D955" s="41" t="s">
        <v>443</v>
      </c>
      <c r="E955" s="41" t="s">
        <v>33</v>
      </c>
      <c r="F955" s="42">
        <v>10</v>
      </c>
      <c r="G955" s="41" t="s">
        <v>11</v>
      </c>
      <c r="H955" s="43" t="s">
        <v>426</v>
      </c>
      <c r="I955" s="44">
        <v>10</v>
      </c>
      <c r="J955" s="44">
        <v>8</v>
      </c>
      <c r="K955" s="41"/>
      <c r="L955" s="45">
        <v>82500</v>
      </c>
      <c r="M955" s="44">
        <v>1</v>
      </c>
      <c r="N955" s="43" t="s">
        <v>383</v>
      </c>
    </row>
    <row r="956" spans="1:26" ht="15.75" customHeight="1">
      <c r="A956" s="41" t="s">
        <v>764</v>
      </c>
      <c r="B956" s="41" t="s">
        <v>765</v>
      </c>
      <c r="C956" s="41" t="s">
        <v>442</v>
      </c>
      <c r="D956" s="41" t="s">
        <v>443</v>
      </c>
      <c r="E956" s="41" t="s">
        <v>33</v>
      </c>
      <c r="F956" s="42">
        <v>11</v>
      </c>
      <c r="G956" s="41" t="s">
        <v>12</v>
      </c>
      <c r="H956" s="43" t="s">
        <v>444</v>
      </c>
      <c r="I956" s="44">
        <v>113</v>
      </c>
      <c r="J956" s="44">
        <v>8</v>
      </c>
      <c r="K956" s="41"/>
      <c r="L956" s="45">
        <v>82500</v>
      </c>
      <c r="M956" s="44">
        <v>1</v>
      </c>
      <c r="N956" s="43" t="s">
        <v>383</v>
      </c>
    </row>
    <row r="957" spans="1:26" ht="15.75" customHeight="1">
      <c r="A957" s="41" t="s">
        <v>764</v>
      </c>
      <c r="B957" s="41" t="s">
        <v>765</v>
      </c>
      <c r="C957" s="41" t="s">
        <v>442</v>
      </c>
      <c r="D957" s="41" t="s">
        <v>443</v>
      </c>
      <c r="E957" s="41" t="s">
        <v>33</v>
      </c>
      <c r="F957" s="42">
        <v>12</v>
      </c>
      <c r="G957" s="41" t="s">
        <v>13</v>
      </c>
      <c r="H957" s="43" t="s">
        <v>444</v>
      </c>
      <c r="I957" s="44">
        <v>15</v>
      </c>
      <c r="J957" s="44">
        <v>8</v>
      </c>
      <c r="K957" s="41"/>
      <c r="L957" s="45">
        <v>82500</v>
      </c>
      <c r="M957" s="44">
        <v>1</v>
      </c>
      <c r="N957" s="43" t="s">
        <v>383</v>
      </c>
    </row>
    <row r="958" spans="1:26" ht="15.75" customHeight="1">
      <c r="A958" s="41" t="s">
        <v>764</v>
      </c>
      <c r="B958" s="41" t="s">
        <v>765</v>
      </c>
      <c r="C958" s="41" t="s">
        <v>431</v>
      </c>
      <c r="D958" s="41" t="s">
        <v>432</v>
      </c>
      <c r="E958" s="41" t="s">
        <v>433</v>
      </c>
      <c r="F958" s="42">
        <v>17</v>
      </c>
      <c r="G958" s="41" t="s">
        <v>559</v>
      </c>
      <c r="H958" s="43" t="s">
        <v>440</v>
      </c>
      <c r="I958" s="44">
        <v>60</v>
      </c>
      <c r="J958" s="41"/>
      <c r="K958" s="44">
        <v>1418</v>
      </c>
      <c r="L958" s="41" t="s">
        <v>435</v>
      </c>
      <c r="M958" s="44">
        <v>1</v>
      </c>
      <c r="N958" s="43" t="s">
        <v>436</v>
      </c>
    </row>
    <row r="959" spans="1:26" ht="15.75" customHeight="1">
      <c r="A959" s="41" t="s">
        <v>764</v>
      </c>
      <c r="B959" s="41" t="s">
        <v>765</v>
      </c>
      <c r="C959" s="41" t="s">
        <v>431</v>
      </c>
      <c r="D959" s="41" t="s">
        <v>432</v>
      </c>
      <c r="E959" s="41" t="s">
        <v>433</v>
      </c>
      <c r="F959" s="42">
        <v>18</v>
      </c>
      <c r="G959" s="41" t="s">
        <v>439</v>
      </c>
      <c r="H959" s="43" t="s">
        <v>440</v>
      </c>
      <c r="I959" s="44">
        <v>60</v>
      </c>
      <c r="J959" s="41"/>
      <c r="K959" s="44">
        <v>1500</v>
      </c>
      <c r="L959" s="41" t="s">
        <v>435</v>
      </c>
      <c r="M959" s="44">
        <v>1</v>
      </c>
      <c r="N959" s="43" t="s">
        <v>436</v>
      </c>
    </row>
    <row r="960" spans="1:26" ht="15.75" customHeight="1">
      <c r="A960" s="41" t="s">
        <v>764</v>
      </c>
      <c r="B960" s="41" t="s">
        <v>765</v>
      </c>
      <c r="C960" s="41" t="s">
        <v>431</v>
      </c>
      <c r="D960" s="41" t="s">
        <v>432</v>
      </c>
      <c r="E960" s="41" t="s">
        <v>433</v>
      </c>
      <c r="F960" s="42">
        <v>19</v>
      </c>
      <c r="G960" s="41" t="s">
        <v>368</v>
      </c>
      <c r="H960" s="43" t="s">
        <v>434</v>
      </c>
      <c r="I960" s="44">
        <v>60</v>
      </c>
      <c r="J960" s="41"/>
      <c r="K960" s="44">
        <v>1500</v>
      </c>
      <c r="L960" s="41" t="s">
        <v>435</v>
      </c>
      <c r="M960" s="44">
        <v>4</v>
      </c>
      <c r="N960" s="43" t="s">
        <v>436</v>
      </c>
    </row>
    <row r="961" spans="1:26" ht="15.75" customHeight="1">
      <c r="A961" s="41" t="s">
        <v>766</v>
      </c>
      <c r="B961" s="41" t="s">
        <v>196</v>
      </c>
      <c r="C961" s="41" t="s">
        <v>442</v>
      </c>
      <c r="D961" s="41" t="s">
        <v>443</v>
      </c>
      <c r="E961" s="41" t="s">
        <v>33</v>
      </c>
      <c r="F961" s="42">
        <v>10</v>
      </c>
      <c r="G961" s="41" t="s">
        <v>11</v>
      </c>
      <c r="H961" s="43" t="s">
        <v>426</v>
      </c>
      <c r="I961" s="44">
        <v>20</v>
      </c>
      <c r="J961" s="44">
        <v>8</v>
      </c>
      <c r="K961" s="41"/>
      <c r="L961" s="45">
        <v>82500</v>
      </c>
      <c r="M961" s="44">
        <v>1</v>
      </c>
      <c r="N961" s="43" t="s">
        <v>383</v>
      </c>
    </row>
    <row r="962" spans="1:26" ht="15.75" customHeight="1">
      <c r="A962" s="41" t="s">
        <v>766</v>
      </c>
      <c r="B962" s="41" t="s">
        <v>196</v>
      </c>
      <c r="C962" s="41" t="s">
        <v>442</v>
      </c>
      <c r="D962" s="41" t="s">
        <v>443</v>
      </c>
      <c r="E962" s="41" t="s">
        <v>33</v>
      </c>
      <c r="F962" s="42">
        <v>11</v>
      </c>
      <c r="G962" s="41" t="s">
        <v>12</v>
      </c>
      <c r="H962" s="43" t="s">
        <v>444</v>
      </c>
      <c r="I962" s="44">
        <v>105</v>
      </c>
      <c r="J962" s="44">
        <v>8</v>
      </c>
      <c r="K962" s="41"/>
      <c r="L962" s="45">
        <v>82500</v>
      </c>
      <c r="M962" s="44">
        <v>1</v>
      </c>
      <c r="N962" s="43" t="s">
        <v>383</v>
      </c>
    </row>
    <row r="963" spans="1:26" ht="15.75" customHeight="1">
      <c r="A963" s="41" t="s">
        <v>766</v>
      </c>
      <c r="B963" s="41" t="s">
        <v>196</v>
      </c>
      <c r="C963" s="41" t="s">
        <v>442</v>
      </c>
      <c r="D963" s="41" t="s">
        <v>443</v>
      </c>
      <c r="E963" s="41" t="s">
        <v>33</v>
      </c>
      <c r="F963" s="42">
        <v>12</v>
      </c>
      <c r="G963" s="41" t="s">
        <v>13</v>
      </c>
      <c r="H963" s="43" t="s">
        <v>444</v>
      </c>
      <c r="I963" s="44">
        <v>15</v>
      </c>
      <c r="J963" s="44">
        <v>8</v>
      </c>
      <c r="K963" s="41"/>
      <c r="L963" s="45">
        <v>82500</v>
      </c>
      <c r="M963" s="44">
        <v>1</v>
      </c>
      <c r="N963" s="43" t="s">
        <v>383</v>
      </c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>
      <c r="A964" s="41" t="s">
        <v>766</v>
      </c>
      <c r="B964" s="41" t="s">
        <v>196</v>
      </c>
      <c r="C964" s="41" t="s">
        <v>431</v>
      </c>
      <c r="D964" s="41" t="s">
        <v>432</v>
      </c>
      <c r="E964" s="41" t="s">
        <v>433</v>
      </c>
      <c r="F964" s="42">
        <v>17</v>
      </c>
      <c r="G964" s="41" t="s">
        <v>559</v>
      </c>
      <c r="H964" s="43" t="s">
        <v>440</v>
      </c>
      <c r="I964" s="44">
        <v>60</v>
      </c>
      <c r="J964" s="41"/>
      <c r="K964" s="44">
        <v>1418</v>
      </c>
      <c r="L964" s="41" t="s">
        <v>435</v>
      </c>
      <c r="M964" s="44">
        <v>1</v>
      </c>
      <c r="N964" s="43" t="s">
        <v>436</v>
      </c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>
      <c r="A965" s="41" t="s">
        <v>766</v>
      </c>
      <c r="B965" s="41" t="s">
        <v>196</v>
      </c>
      <c r="C965" s="41" t="s">
        <v>431</v>
      </c>
      <c r="D965" s="41" t="s">
        <v>432</v>
      </c>
      <c r="E965" s="41" t="s">
        <v>433</v>
      </c>
      <c r="F965" s="42">
        <v>18</v>
      </c>
      <c r="G965" s="41" t="s">
        <v>439</v>
      </c>
      <c r="H965" s="43" t="s">
        <v>440</v>
      </c>
      <c r="I965" s="44">
        <v>60</v>
      </c>
      <c r="J965" s="41"/>
      <c r="K965" s="44">
        <v>1850</v>
      </c>
      <c r="L965" s="41" t="s">
        <v>435</v>
      </c>
      <c r="M965" s="44">
        <v>1</v>
      </c>
      <c r="N965" s="43" t="s">
        <v>436</v>
      </c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>
      <c r="A966" s="41" t="s">
        <v>766</v>
      </c>
      <c r="B966" s="41" t="s">
        <v>196</v>
      </c>
      <c r="C966" s="41" t="s">
        <v>431</v>
      </c>
      <c r="D966" s="41" t="s">
        <v>432</v>
      </c>
      <c r="E966" s="41" t="s">
        <v>433</v>
      </c>
      <c r="F966" s="42">
        <v>19</v>
      </c>
      <c r="G966" s="41" t="s">
        <v>368</v>
      </c>
      <c r="H966" s="43" t="s">
        <v>434</v>
      </c>
      <c r="I966" s="44">
        <v>60</v>
      </c>
      <c r="J966" s="41"/>
      <c r="K966" s="44">
        <v>1500</v>
      </c>
      <c r="L966" s="41" t="s">
        <v>435</v>
      </c>
      <c r="M966" s="44">
        <v>4</v>
      </c>
      <c r="N966" s="43" t="s">
        <v>436</v>
      </c>
    </row>
    <row r="967" spans="1:26" ht="15.75" customHeight="1">
      <c r="A967" s="41" t="s">
        <v>767</v>
      </c>
      <c r="B967" s="41" t="s">
        <v>137</v>
      </c>
      <c r="C967" s="41" t="s">
        <v>442</v>
      </c>
      <c r="D967" s="41" t="s">
        <v>448</v>
      </c>
      <c r="E967" s="41" t="s">
        <v>40</v>
      </c>
      <c r="F967" s="42">
        <v>1</v>
      </c>
      <c r="G967" s="41" t="s">
        <v>11</v>
      </c>
      <c r="H967" s="43" t="s">
        <v>426</v>
      </c>
      <c r="I967" s="44">
        <v>30</v>
      </c>
      <c r="J967" s="44">
        <v>120</v>
      </c>
      <c r="K967" s="41"/>
      <c r="L967" s="45">
        <v>248000</v>
      </c>
      <c r="M967" s="44">
        <v>1</v>
      </c>
      <c r="N967" s="43" t="s">
        <v>383</v>
      </c>
    </row>
    <row r="968" spans="1:26" ht="15.75" customHeight="1">
      <c r="A968" s="41" t="s">
        <v>767</v>
      </c>
      <c r="B968" s="41" t="s">
        <v>137</v>
      </c>
      <c r="C968" s="41" t="s">
        <v>442</v>
      </c>
      <c r="D968" s="41" t="s">
        <v>448</v>
      </c>
      <c r="E968" s="41" t="s">
        <v>40</v>
      </c>
      <c r="F968" s="42">
        <v>2</v>
      </c>
      <c r="G968" s="41" t="s">
        <v>12</v>
      </c>
      <c r="H968" s="43" t="s">
        <v>449</v>
      </c>
      <c r="I968" s="44">
        <v>120</v>
      </c>
      <c r="J968" s="44">
        <v>120</v>
      </c>
      <c r="K968" s="41"/>
      <c r="L968" s="45">
        <v>248000</v>
      </c>
      <c r="M968" s="44">
        <v>1</v>
      </c>
      <c r="N968" s="43" t="s">
        <v>383</v>
      </c>
    </row>
    <row r="969" spans="1:26" ht="15.75" customHeight="1">
      <c r="A969" s="41" t="s">
        <v>767</v>
      </c>
      <c r="B969" s="41" t="s">
        <v>137</v>
      </c>
      <c r="C969" s="41" t="s">
        <v>442</v>
      </c>
      <c r="D969" s="41" t="s">
        <v>448</v>
      </c>
      <c r="E969" s="41" t="s">
        <v>40</v>
      </c>
      <c r="F969" s="42">
        <v>3</v>
      </c>
      <c r="G969" s="41" t="s">
        <v>13</v>
      </c>
      <c r="H969" s="43" t="s">
        <v>449</v>
      </c>
      <c r="I969" s="44">
        <v>30</v>
      </c>
      <c r="J969" s="44">
        <v>120</v>
      </c>
      <c r="K969" s="41"/>
      <c r="L969" s="45">
        <v>248000</v>
      </c>
      <c r="M969" s="44">
        <v>1</v>
      </c>
      <c r="N969" s="43" t="s">
        <v>383</v>
      </c>
    </row>
    <row r="970" spans="1:26" ht="15.75" customHeight="1">
      <c r="A970" s="41" t="s">
        <v>767</v>
      </c>
      <c r="B970" s="41" t="s">
        <v>137</v>
      </c>
      <c r="C970" s="41" t="s">
        <v>431</v>
      </c>
      <c r="D970" s="41" t="s">
        <v>432</v>
      </c>
      <c r="E970" s="41" t="s">
        <v>433</v>
      </c>
      <c r="F970" s="42">
        <v>18</v>
      </c>
      <c r="G970" s="41" t="s">
        <v>439</v>
      </c>
      <c r="H970" s="43" t="s">
        <v>440</v>
      </c>
      <c r="I970" s="44">
        <v>60</v>
      </c>
      <c r="J970" s="41"/>
      <c r="K970" s="44">
        <v>440</v>
      </c>
      <c r="L970" s="41" t="s">
        <v>435</v>
      </c>
      <c r="M970" s="44">
        <v>1</v>
      </c>
      <c r="N970" s="43" t="s">
        <v>436</v>
      </c>
    </row>
    <row r="971" spans="1:26" ht="15.75" customHeight="1">
      <c r="A971" s="41" t="s">
        <v>767</v>
      </c>
      <c r="B971" s="41" t="s">
        <v>137</v>
      </c>
      <c r="C971" s="41" t="s">
        <v>431</v>
      </c>
      <c r="D971" s="41" t="s">
        <v>432</v>
      </c>
      <c r="E971" s="41" t="s">
        <v>433</v>
      </c>
      <c r="F971" s="42">
        <v>19</v>
      </c>
      <c r="G971" s="41" t="s">
        <v>368</v>
      </c>
      <c r="H971" s="43" t="s">
        <v>434</v>
      </c>
      <c r="I971" s="44">
        <v>60</v>
      </c>
      <c r="J971" s="41"/>
      <c r="K971" s="44">
        <v>600</v>
      </c>
      <c r="L971" s="41" t="s">
        <v>435</v>
      </c>
      <c r="M971" s="44">
        <v>4</v>
      </c>
      <c r="N971" s="43" t="s">
        <v>436</v>
      </c>
    </row>
    <row r="972" spans="1:26" ht="15.75" customHeight="1">
      <c r="A972" s="53" t="s">
        <v>768</v>
      </c>
      <c r="B972" s="41" t="s">
        <v>769</v>
      </c>
      <c r="C972" s="41" t="s">
        <v>442</v>
      </c>
      <c r="D972" s="41" t="s">
        <v>443</v>
      </c>
      <c r="E972" s="41" t="s">
        <v>33</v>
      </c>
      <c r="F972" s="42">
        <v>10</v>
      </c>
      <c r="G972" s="41" t="s">
        <v>11</v>
      </c>
      <c r="H972" s="43" t="s">
        <v>426</v>
      </c>
      <c r="I972" s="44">
        <v>40</v>
      </c>
      <c r="J972" s="44">
        <v>150</v>
      </c>
      <c r="K972" s="41"/>
      <c r="L972" s="45">
        <v>100000</v>
      </c>
      <c r="M972" s="44">
        <v>1</v>
      </c>
      <c r="N972" s="43" t="s">
        <v>383</v>
      </c>
    </row>
    <row r="973" spans="1:26" ht="15.75" customHeight="1">
      <c r="A973" s="53" t="s">
        <v>768</v>
      </c>
      <c r="B973" s="41" t="s">
        <v>769</v>
      </c>
      <c r="C973" s="41" t="s">
        <v>442</v>
      </c>
      <c r="D973" s="41" t="s">
        <v>443</v>
      </c>
      <c r="E973" s="41" t="s">
        <v>33</v>
      </c>
      <c r="F973" s="42">
        <v>11</v>
      </c>
      <c r="G973" s="41" t="s">
        <v>12</v>
      </c>
      <c r="H973" s="43" t="s">
        <v>444</v>
      </c>
      <c r="I973" s="44">
        <v>110</v>
      </c>
      <c r="J973" s="44">
        <v>150</v>
      </c>
      <c r="K973" s="41"/>
      <c r="L973" s="45">
        <v>100000</v>
      </c>
      <c r="M973" s="44">
        <v>1</v>
      </c>
      <c r="N973" s="43" t="s">
        <v>383</v>
      </c>
    </row>
    <row r="974" spans="1:26" ht="15.75" customHeight="1">
      <c r="A974" s="53" t="s">
        <v>768</v>
      </c>
      <c r="B974" s="41" t="s">
        <v>769</v>
      </c>
      <c r="C974" s="41" t="s">
        <v>442</v>
      </c>
      <c r="D974" s="41" t="s">
        <v>443</v>
      </c>
      <c r="E974" s="41" t="s">
        <v>33</v>
      </c>
      <c r="F974" s="42">
        <v>12</v>
      </c>
      <c r="G974" s="41" t="s">
        <v>13</v>
      </c>
      <c r="H974" s="43" t="s">
        <v>444</v>
      </c>
      <c r="I974" s="44">
        <v>15</v>
      </c>
      <c r="J974" s="44">
        <v>150</v>
      </c>
      <c r="K974" s="41"/>
      <c r="L974" s="45">
        <v>100000</v>
      </c>
      <c r="M974" s="44">
        <v>1</v>
      </c>
      <c r="N974" s="43" t="s">
        <v>383</v>
      </c>
    </row>
    <row r="975" spans="1:26" ht="15.75" customHeight="1">
      <c r="A975" s="41" t="s">
        <v>768</v>
      </c>
      <c r="B975" s="41" t="s">
        <v>769</v>
      </c>
      <c r="C975" s="41" t="s">
        <v>431</v>
      </c>
      <c r="D975" s="41" t="s">
        <v>432</v>
      </c>
      <c r="E975" s="41" t="s">
        <v>433</v>
      </c>
      <c r="F975" s="42">
        <v>18</v>
      </c>
      <c r="G975" s="41" t="s">
        <v>439</v>
      </c>
      <c r="H975" s="43" t="s">
        <v>440</v>
      </c>
      <c r="I975" s="44">
        <v>60</v>
      </c>
      <c r="J975" s="41"/>
      <c r="K975" s="44">
        <v>1100</v>
      </c>
      <c r="L975" s="41" t="s">
        <v>435</v>
      </c>
      <c r="M975" s="44">
        <v>1</v>
      </c>
      <c r="N975" s="43" t="s">
        <v>436</v>
      </c>
    </row>
    <row r="976" spans="1:26" ht="15.75" customHeight="1">
      <c r="A976" s="41" t="s">
        <v>768</v>
      </c>
      <c r="B976" s="41" t="s">
        <v>769</v>
      </c>
      <c r="C976" s="41" t="s">
        <v>431</v>
      </c>
      <c r="D976" s="41" t="s">
        <v>432</v>
      </c>
      <c r="E976" s="41" t="s">
        <v>433</v>
      </c>
      <c r="F976" s="42">
        <v>19</v>
      </c>
      <c r="G976" s="41" t="s">
        <v>368</v>
      </c>
      <c r="H976" s="43" t="s">
        <v>434</v>
      </c>
      <c r="I976" s="44">
        <v>60</v>
      </c>
      <c r="J976" s="41"/>
      <c r="K976" s="44">
        <v>660</v>
      </c>
      <c r="L976" s="41" t="s">
        <v>435</v>
      </c>
      <c r="M976" s="44">
        <v>4</v>
      </c>
      <c r="N976" s="43" t="s">
        <v>436</v>
      </c>
    </row>
    <row r="977" spans="1:14" ht="15.75" customHeight="1">
      <c r="A977" s="41" t="s">
        <v>770</v>
      </c>
      <c r="B977" s="41" t="s">
        <v>771</v>
      </c>
      <c r="C977" s="41" t="s">
        <v>442</v>
      </c>
      <c r="D977" s="41" t="s">
        <v>448</v>
      </c>
      <c r="E977" s="41" t="s">
        <v>40</v>
      </c>
      <c r="F977" s="42">
        <v>2</v>
      </c>
      <c r="G977" s="41" t="s">
        <v>12</v>
      </c>
      <c r="H977" s="43" t="s">
        <v>449</v>
      </c>
      <c r="I977" s="44">
        <v>120</v>
      </c>
      <c r="J977" s="44">
        <v>33.5</v>
      </c>
      <c r="K977" s="41"/>
      <c r="L977" s="45">
        <v>412000</v>
      </c>
      <c r="M977" s="44">
        <v>1</v>
      </c>
      <c r="N977" s="43" t="s">
        <v>383</v>
      </c>
    </row>
    <row r="978" spans="1:14" ht="15.75" customHeight="1">
      <c r="A978" s="41" t="s">
        <v>770</v>
      </c>
      <c r="B978" s="41" t="s">
        <v>771</v>
      </c>
      <c r="C978" s="41" t="s">
        <v>442</v>
      </c>
      <c r="D978" s="41" t="s">
        <v>448</v>
      </c>
      <c r="E978" s="41" t="s">
        <v>40</v>
      </c>
      <c r="F978" s="42">
        <v>3</v>
      </c>
      <c r="G978" s="41" t="s">
        <v>13</v>
      </c>
      <c r="H978" s="43" t="s">
        <v>449</v>
      </c>
      <c r="I978" s="44">
        <v>30</v>
      </c>
      <c r="J978" s="44">
        <v>33.5</v>
      </c>
      <c r="K978" s="41"/>
      <c r="L978" s="45">
        <v>412000</v>
      </c>
      <c r="M978" s="44">
        <v>1</v>
      </c>
      <c r="N978" s="43" t="s">
        <v>383</v>
      </c>
    </row>
    <row r="979" spans="1:14" ht="15.75" customHeight="1">
      <c r="A979" s="41" t="s">
        <v>770</v>
      </c>
      <c r="B979" s="41" t="s">
        <v>771</v>
      </c>
      <c r="C979" s="41" t="s">
        <v>499</v>
      </c>
      <c r="D979" s="41" t="s">
        <v>443</v>
      </c>
      <c r="E979" s="41" t="s">
        <v>33</v>
      </c>
      <c r="F979" s="42">
        <v>11</v>
      </c>
      <c r="G979" s="41" t="s">
        <v>12</v>
      </c>
      <c r="H979" s="43" t="s">
        <v>444</v>
      </c>
      <c r="I979" s="44">
        <v>40</v>
      </c>
      <c r="J979" s="44">
        <v>8.9</v>
      </c>
      <c r="K979" s="41"/>
      <c r="L979" s="45">
        <v>80000</v>
      </c>
      <c r="M979" s="44">
        <v>1</v>
      </c>
      <c r="N979" s="43" t="s">
        <v>383</v>
      </c>
    </row>
    <row r="980" spans="1:14" ht="15.75" customHeight="1">
      <c r="A980" s="41" t="s">
        <v>770</v>
      </c>
      <c r="B980" s="41" t="s">
        <v>771</v>
      </c>
      <c r="C980" s="41" t="s">
        <v>499</v>
      </c>
      <c r="D980" s="41" t="s">
        <v>443</v>
      </c>
      <c r="E980" s="41" t="s">
        <v>33</v>
      </c>
      <c r="F980" s="42">
        <v>12</v>
      </c>
      <c r="G980" s="41" t="s">
        <v>13</v>
      </c>
      <c r="H980" s="43" t="s">
        <v>444</v>
      </c>
      <c r="I980" s="44">
        <v>20</v>
      </c>
      <c r="J980" s="44">
        <v>8.9</v>
      </c>
      <c r="K980" s="41"/>
      <c r="L980" s="45">
        <v>80000</v>
      </c>
      <c r="M980" s="44">
        <v>1</v>
      </c>
      <c r="N980" s="43" t="s">
        <v>383</v>
      </c>
    </row>
    <row r="981" spans="1:14" ht="15.75" customHeight="1">
      <c r="A981" s="41" t="s">
        <v>770</v>
      </c>
      <c r="B981" s="41" t="s">
        <v>771</v>
      </c>
      <c r="C981" s="41" t="s">
        <v>431</v>
      </c>
      <c r="D981" s="41" t="s">
        <v>432</v>
      </c>
      <c r="E981" s="41" t="s">
        <v>433</v>
      </c>
      <c r="F981" s="42">
        <v>18</v>
      </c>
      <c r="G981" s="41" t="s">
        <v>439</v>
      </c>
      <c r="H981" s="43" t="s">
        <v>440</v>
      </c>
      <c r="I981" s="44">
        <v>60</v>
      </c>
      <c r="J981" s="41"/>
      <c r="K981" s="44">
        <v>900</v>
      </c>
      <c r="L981" s="41" t="s">
        <v>435</v>
      </c>
      <c r="M981" s="44">
        <v>1</v>
      </c>
      <c r="N981" s="43" t="s">
        <v>436</v>
      </c>
    </row>
    <row r="982" spans="1:14" ht="15.75" customHeight="1">
      <c r="A982" s="41" t="s">
        <v>770</v>
      </c>
      <c r="B982" s="41" t="s">
        <v>771</v>
      </c>
      <c r="C982" s="41" t="s">
        <v>431</v>
      </c>
      <c r="D982" s="41" t="s">
        <v>432</v>
      </c>
      <c r="E982" s="41" t="s">
        <v>433</v>
      </c>
      <c r="F982" s="42">
        <v>19</v>
      </c>
      <c r="G982" s="41" t="s">
        <v>368</v>
      </c>
      <c r="H982" s="43" t="s">
        <v>434</v>
      </c>
      <c r="I982" s="44">
        <v>60</v>
      </c>
      <c r="J982" s="41"/>
      <c r="K982" s="44">
        <v>430</v>
      </c>
      <c r="L982" s="41" t="s">
        <v>435</v>
      </c>
      <c r="M982" s="44">
        <v>4</v>
      </c>
      <c r="N982" s="43" t="s">
        <v>436</v>
      </c>
    </row>
    <row r="983" spans="1:14" ht="15.75" customHeight="1">
      <c r="A983" s="41" t="s">
        <v>772</v>
      </c>
      <c r="B983" s="41" t="s">
        <v>84</v>
      </c>
      <c r="C983" s="41" t="s">
        <v>442</v>
      </c>
      <c r="D983" s="41" t="s">
        <v>448</v>
      </c>
      <c r="E983" s="41" t="s">
        <v>40</v>
      </c>
      <c r="F983" s="42">
        <v>1</v>
      </c>
      <c r="G983" s="41" t="s">
        <v>11</v>
      </c>
      <c r="H983" s="43" t="s">
        <v>426</v>
      </c>
      <c r="I983" s="44">
        <v>55</v>
      </c>
      <c r="J983" s="44">
        <v>100</v>
      </c>
      <c r="K983" s="41"/>
      <c r="L983" s="45">
        <v>410000</v>
      </c>
      <c r="M983" s="44">
        <v>1</v>
      </c>
      <c r="N983" s="43" t="s">
        <v>383</v>
      </c>
    </row>
    <row r="984" spans="1:14" ht="15.75" customHeight="1">
      <c r="A984" s="41" t="s">
        <v>772</v>
      </c>
      <c r="B984" s="41" t="s">
        <v>84</v>
      </c>
      <c r="C984" s="41" t="s">
        <v>442</v>
      </c>
      <c r="D984" s="41" t="s">
        <v>448</v>
      </c>
      <c r="E984" s="41" t="s">
        <v>40</v>
      </c>
      <c r="F984" s="42">
        <v>2</v>
      </c>
      <c r="G984" s="41" t="s">
        <v>12</v>
      </c>
      <c r="H984" s="43" t="s">
        <v>449</v>
      </c>
      <c r="I984" s="44">
        <v>130</v>
      </c>
      <c r="J984" s="44">
        <v>100</v>
      </c>
      <c r="K984" s="41"/>
      <c r="L984" s="45">
        <v>410000</v>
      </c>
      <c r="M984" s="44">
        <v>1</v>
      </c>
      <c r="N984" s="43" t="s">
        <v>383</v>
      </c>
    </row>
    <row r="985" spans="1:14" ht="15.75" customHeight="1">
      <c r="A985" s="41" t="s">
        <v>772</v>
      </c>
      <c r="B985" s="41" t="s">
        <v>84</v>
      </c>
      <c r="C985" s="41" t="s">
        <v>442</v>
      </c>
      <c r="D985" s="41" t="s">
        <v>448</v>
      </c>
      <c r="E985" s="41" t="s">
        <v>40</v>
      </c>
      <c r="F985" s="42">
        <v>3</v>
      </c>
      <c r="G985" s="41" t="s">
        <v>13</v>
      </c>
      <c r="H985" s="43" t="s">
        <v>449</v>
      </c>
      <c r="I985" s="44">
        <v>30</v>
      </c>
      <c r="J985" s="44">
        <v>100</v>
      </c>
      <c r="K985" s="41"/>
      <c r="L985" s="45">
        <v>410000</v>
      </c>
      <c r="M985" s="44">
        <v>1</v>
      </c>
      <c r="N985" s="43" t="s">
        <v>383</v>
      </c>
    </row>
    <row r="986" spans="1:14" ht="15.75" customHeight="1">
      <c r="A986" s="41" t="s">
        <v>772</v>
      </c>
      <c r="B986" s="41" t="s">
        <v>84</v>
      </c>
      <c r="C986" s="41" t="s">
        <v>431</v>
      </c>
      <c r="D986" s="41" t="s">
        <v>432</v>
      </c>
      <c r="E986" s="41" t="s">
        <v>433</v>
      </c>
      <c r="F986" s="42">
        <v>18</v>
      </c>
      <c r="G986" s="41" t="s">
        <v>439</v>
      </c>
      <c r="H986" s="43" t="s">
        <v>440</v>
      </c>
      <c r="I986" s="44">
        <v>60</v>
      </c>
      <c r="J986" s="41"/>
      <c r="K986" s="44">
        <v>800</v>
      </c>
      <c r="L986" s="41" t="s">
        <v>435</v>
      </c>
      <c r="M986" s="44">
        <v>1</v>
      </c>
      <c r="N986" s="43" t="s">
        <v>436</v>
      </c>
    </row>
    <row r="987" spans="1:14" ht="15.75" customHeight="1">
      <c r="A987" s="41" t="s">
        <v>772</v>
      </c>
      <c r="B987" s="41" t="s">
        <v>84</v>
      </c>
      <c r="C987" s="41" t="s">
        <v>431</v>
      </c>
      <c r="D987" s="41" t="s">
        <v>432</v>
      </c>
      <c r="E987" s="41" t="s">
        <v>433</v>
      </c>
      <c r="F987" s="42">
        <v>19</v>
      </c>
      <c r="G987" s="41" t="s">
        <v>368</v>
      </c>
      <c r="H987" s="43" t="s">
        <v>434</v>
      </c>
      <c r="I987" s="44">
        <v>60</v>
      </c>
      <c r="J987" s="41"/>
      <c r="K987" s="44">
        <v>600</v>
      </c>
      <c r="L987" s="41" t="s">
        <v>435</v>
      </c>
      <c r="M987" s="44">
        <v>5</v>
      </c>
      <c r="N987" s="43" t="s">
        <v>436</v>
      </c>
    </row>
    <row r="988" spans="1:14" ht="15.75" customHeight="1">
      <c r="A988" s="41" t="s">
        <v>773</v>
      </c>
      <c r="B988" s="41" t="s">
        <v>774</v>
      </c>
      <c r="C988" s="41" t="s">
        <v>442</v>
      </c>
      <c r="D988" s="41" t="s">
        <v>448</v>
      </c>
      <c r="E988" s="41" t="s">
        <v>40</v>
      </c>
      <c r="F988" s="42">
        <v>1</v>
      </c>
      <c r="G988" s="41" t="s">
        <v>11</v>
      </c>
      <c r="H988" s="43" t="s">
        <v>426</v>
      </c>
      <c r="I988" s="44">
        <v>55</v>
      </c>
      <c r="J988" s="44">
        <v>500</v>
      </c>
      <c r="K988" s="41"/>
      <c r="L988" s="45">
        <v>410000</v>
      </c>
      <c r="M988" s="44">
        <v>1</v>
      </c>
      <c r="N988" s="43" t="s">
        <v>383</v>
      </c>
    </row>
    <row r="989" spans="1:14" ht="15.75" customHeight="1">
      <c r="A989" s="41" t="s">
        <v>773</v>
      </c>
      <c r="B989" s="41" t="s">
        <v>774</v>
      </c>
      <c r="C989" s="41" t="s">
        <v>442</v>
      </c>
      <c r="D989" s="41" t="s">
        <v>448</v>
      </c>
      <c r="E989" s="41" t="s">
        <v>40</v>
      </c>
      <c r="F989" s="42">
        <v>2</v>
      </c>
      <c r="G989" s="41" t="s">
        <v>12</v>
      </c>
      <c r="H989" s="43" t="s">
        <v>449</v>
      </c>
      <c r="I989" s="44">
        <v>130</v>
      </c>
      <c r="J989" s="44">
        <v>500</v>
      </c>
      <c r="K989" s="41"/>
      <c r="L989" s="45">
        <v>410000</v>
      </c>
      <c r="M989" s="44">
        <v>1</v>
      </c>
      <c r="N989" s="43" t="s">
        <v>383</v>
      </c>
    </row>
    <row r="990" spans="1:14" ht="15.75" customHeight="1">
      <c r="A990" s="53" t="s">
        <v>773</v>
      </c>
      <c r="B990" s="41" t="s">
        <v>774</v>
      </c>
      <c r="C990" s="41" t="s">
        <v>442</v>
      </c>
      <c r="D990" s="41" t="s">
        <v>448</v>
      </c>
      <c r="E990" s="41" t="s">
        <v>40</v>
      </c>
      <c r="F990" s="42">
        <v>3</v>
      </c>
      <c r="G990" s="41" t="s">
        <v>13</v>
      </c>
      <c r="H990" s="43" t="s">
        <v>449</v>
      </c>
      <c r="I990" s="44">
        <v>30</v>
      </c>
      <c r="J990" s="44">
        <v>500</v>
      </c>
      <c r="K990" s="41"/>
      <c r="L990" s="45">
        <v>410000</v>
      </c>
      <c r="M990" s="44">
        <v>1</v>
      </c>
      <c r="N990" s="43" t="s">
        <v>383</v>
      </c>
    </row>
    <row r="991" spans="1:14" ht="15.75" customHeight="1">
      <c r="A991" s="53" t="s">
        <v>773</v>
      </c>
      <c r="B991" s="41" t="s">
        <v>774</v>
      </c>
      <c r="C991" s="41" t="s">
        <v>431</v>
      </c>
      <c r="D991" s="41" t="s">
        <v>432</v>
      </c>
      <c r="E991" s="41" t="s">
        <v>433</v>
      </c>
      <c r="F991" s="42">
        <v>18</v>
      </c>
      <c r="G991" s="41" t="s">
        <v>439</v>
      </c>
      <c r="H991" s="43" t="s">
        <v>440</v>
      </c>
      <c r="I991" s="44">
        <v>60</v>
      </c>
      <c r="J991" s="41"/>
      <c r="K991" s="44">
        <v>700</v>
      </c>
      <c r="L991" s="41" t="s">
        <v>435</v>
      </c>
      <c r="M991" s="44">
        <v>1</v>
      </c>
      <c r="N991" s="43" t="s">
        <v>436</v>
      </c>
    </row>
    <row r="992" spans="1:14" ht="15.75" customHeight="1">
      <c r="A992" s="53" t="s">
        <v>773</v>
      </c>
      <c r="B992" s="41" t="s">
        <v>774</v>
      </c>
      <c r="C992" s="41" t="s">
        <v>431</v>
      </c>
      <c r="D992" s="41" t="s">
        <v>432</v>
      </c>
      <c r="E992" s="41" t="s">
        <v>433</v>
      </c>
      <c r="F992" s="42">
        <v>19</v>
      </c>
      <c r="G992" s="41" t="s">
        <v>368</v>
      </c>
      <c r="H992" s="43" t="s">
        <v>434</v>
      </c>
      <c r="I992" s="44">
        <v>60</v>
      </c>
      <c r="J992" s="41"/>
      <c r="K992" s="44">
        <v>310</v>
      </c>
      <c r="L992" s="41" t="s">
        <v>435</v>
      </c>
      <c r="M992" s="44">
        <v>3</v>
      </c>
      <c r="N992" s="43" t="s">
        <v>436</v>
      </c>
    </row>
    <row r="993" spans="1:15" ht="15.75" customHeight="1">
      <c r="A993" s="41" t="s">
        <v>775</v>
      </c>
      <c r="B993" s="41" t="s">
        <v>80</v>
      </c>
      <c r="C993" s="41" t="s">
        <v>424</v>
      </c>
      <c r="D993" s="41" t="s">
        <v>425</v>
      </c>
      <c r="E993" s="41" t="s">
        <v>48</v>
      </c>
      <c r="F993" s="42">
        <v>4</v>
      </c>
      <c r="G993" s="41" t="s">
        <v>11</v>
      </c>
      <c r="H993" s="43" t="s">
        <v>426</v>
      </c>
      <c r="I993" s="44">
        <v>45</v>
      </c>
      <c r="J993" s="44">
        <v>30</v>
      </c>
      <c r="K993" s="41"/>
      <c r="L993" s="45">
        <v>52000</v>
      </c>
      <c r="M993" s="44">
        <v>1</v>
      </c>
      <c r="N993" s="43" t="s">
        <v>383</v>
      </c>
    </row>
    <row r="994" spans="1:15" ht="15.75" customHeight="1">
      <c r="A994" s="41" t="s">
        <v>775</v>
      </c>
      <c r="B994" s="41" t="s">
        <v>80</v>
      </c>
      <c r="C994" s="41" t="s">
        <v>424</v>
      </c>
      <c r="D994" s="41" t="s">
        <v>425</v>
      </c>
      <c r="E994" s="41" t="s">
        <v>48</v>
      </c>
      <c r="F994" s="42">
        <v>5</v>
      </c>
      <c r="G994" s="41" t="s">
        <v>12</v>
      </c>
      <c r="H994" s="43" t="s">
        <v>427</v>
      </c>
      <c r="I994" s="44">
        <v>130</v>
      </c>
      <c r="J994" s="44">
        <v>30</v>
      </c>
      <c r="K994" s="41"/>
      <c r="L994" s="45">
        <v>52000</v>
      </c>
      <c r="M994" s="44">
        <v>1</v>
      </c>
      <c r="N994" s="43" t="s">
        <v>383</v>
      </c>
    </row>
    <row r="995" spans="1:15" ht="15.75" customHeight="1">
      <c r="A995" s="41" t="s">
        <v>775</v>
      </c>
      <c r="B995" s="41" t="s">
        <v>80</v>
      </c>
      <c r="C995" s="41" t="s">
        <v>424</v>
      </c>
      <c r="D995" s="41" t="s">
        <v>425</v>
      </c>
      <c r="E995" s="41" t="s">
        <v>48</v>
      </c>
      <c r="F995" s="42">
        <v>6</v>
      </c>
      <c r="G995" s="41" t="s">
        <v>13</v>
      </c>
      <c r="H995" s="43" t="s">
        <v>427</v>
      </c>
      <c r="I995" s="44">
        <v>30</v>
      </c>
      <c r="J995" s="44">
        <v>30</v>
      </c>
      <c r="K995" s="41"/>
      <c r="L995" s="45">
        <v>52000</v>
      </c>
      <c r="M995" s="44">
        <v>1</v>
      </c>
      <c r="N995" s="43" t="s">
        <v>383</v>
      </c>
    </row>
    <row r="996" spans="1:15" ht="15.75" customHeight="1">
      <c r="A996" s="46" t="s">
        <v>776</v>
      </c>
      <c r="B996" s="46" t="s">
        <v>80</v>
      </c>
      <c r="C996" s="46" t="s">
        <v>424</v>
      </c>
      <c r="D996" s="46" t="s">
        <v>429</v>
      </c>
      <c r="E996" s="46" t="s">
        <v>74</v>
      </c>
      <c r="F996" s="47">
        <v>7</v>
      </c>
      <c r="G996" s="46" t="s">
        <v>11</v>
      </c>
      <c r="H996" s="48" t="s">
        <v>426</v>
      </c>
      <c r="I996" s="49">
        <v>45</v>
      </c>
      <c r="J996" s="49">
        <v>30</v>
      </c>
      <c r="K996" s="46"/>
      <c r="L996" s="50">
        <v>103000</v>
      </c>
      <c r="M996" s="49">
        <v>1</v>
      </c>
      <c r="N996" s="48" t="s">
        <v>383</v>
      </c>
      <c r="O996" s="51"/>
    </row>
    <row r="997" spans="1:15" ht="15.75" customHeight="1">
      <c r="A997" s="46" t="s">
        <v>776</v>
      </c>
      <c r="B997" s="46" t="s">
        <v>80</v>
      </c>
      <c r="C997" s="46" t="s">
        <v>424</v>
      </c>
      <c r="D997" s="46" t="s">
        <v>429</v>
      </c>
      <c r="E997" s="46" t="s">
        <v>74</v>
      </c>
      <c r="F997" s="47">
        <v>8</v>
      </c>
      <c r="G997" s="46" t="s">
        <v>12</v>
      </c>
      <c r="H997" s="48" t="s">
        <v>430</v>
      </c>
      <c r="I997" s="49">
        <v>180</v>
      </c>
      <c r="J997" s="49">
        <v>30</v>
      </c>
      <c r="K997" s="46"/>
      <c r="L997" s="50">
        <v>103000</v>
      </c>
      <c r="M997" s="49">
        <v>1</v>
      </c>
      <c r="N997" s="48" t="s">
        <v>383</v>
      </c>
      <c r="O997" s="51"/>
    </row>
    <row r="998" spans="1:15" ht="15.75" customHeight="1">
      <c r="A998" s="46" t="s">
        <v>776</v>
      </c>
      <c r="B998" s="46" t="s">
        <v>80</v>
      </c>
      <c r="C998" s="46" t="s">
        <v>424</v>
      </c>
      <c r="D998" s="46" t="s">
        <v>429</v>
      </c>
      <c r="E998" s="46" t="s">
        <v>74</v>
      </c>
      <c r="F998" s="47">
        <v>9</v>
      </c>
      <c r="G998" s="46" t="s">
        <v>13</v>
      </c>
      <c r="H998" s="48" t="s">
        <v>430</v>
      </c>
      <c r="I998" s="49">
        <v>40</v>
      </c>
      <c r="J998" s="49">
        <v>30</v>
      </c>
      <c r="K998" s="46"/>
      <c r="L998" s="50">
        <v>103000</v>
      </c>
      <c r="M998" s="49">
        <v>1</v>
      </c>
      <c r="N998" s="48" t="s">
        <v>383</v>
      </c>
      <c r="O998" s="51"/>
    </row>
    <row r="999" spans="1:15" ht="15.75" customHeight="1">
      <c r="A999" s="41" t="s">
        <v>775</v>
      </c>
      <c r="B999" s="41" t="s">
        <v>80</v>
      </c>
      <c r="C999" s="41" t="s">
        <v>431</v>
      </c>
      <c r="D999" s="41" t="s">
        <v>432</v>
      </c>
      <c r="E999" s="41" t="s">
        <v>433</v>
      </c>
      <c r="F999" s="42">
        <v>18</v>
      </c>
      <c r="G999" s="41" t="s">
        <v>439</v>
      </c>
      <c r="H999" s="43" t="s">
        <v>440</v>
      </c>
      <c r="I999" s="44">
        <v>60</v>
      </c>
      <c r="J999" s="41"/>
      <c r="K999" s="44">
        <v>750</v>
      </c>
      <c r="L999" s="41" t="s">
        <v>435</v>
      </c>
      <c r="M999" s="44">
        <v>1</v>
      </c>
      <c r="N999" s="43" t="s">
        <v>436</v>
      </c>
    </row>
    <row r="1000" spans="1:15" ht="15.75" customHeight="1">
      <c r="A1000" s="41" t="s">
        <v>775</v>
      </c>
      <c r="B1000" s="41" t="s">
        <v>80</v>
      </c>
      <c r="C1000" s="41" t="s">
        <v>431</v>
      </c>
      <c r="D1000" s="41" t="s">
        <v>432</v>
      </c>
      <c r="E1000" s="41" t="s">
        <v>433</v>
      </c>
      <c r="F1000" s="42">
        <v>19</v>
      </c>
      <c r="G1000" s="41" t="s">
        <v>368</v>
      </c>
      <c r="H1000" s="43" t="s">
        <v>434</v>
      </c>
      <c r="I1000" s="44">
        <v>60</v>
      </c>
      <c r="J1000" s="41"/>
      <c r="K1000" s="44">
        <v>770</v>
      </c>
      <c r="L1000" s="41" t="s">
        <v>435</v>
      </c>
      <c r="M1000" s="44">
        <v>4</v>
      </c>
      <c r="N1000" s="43" t="s">
        <v>436</v>
      </c>
    </row>
    <row r="1001" spans="1:15" ht="15.75" customHeight="1">
      <c r="A1001" s="41" t="s">
        <v>777</v>
      </c>
      <c r="B1001" s="41" t="s">
        <v>778</v>
      </c>
      <c r="C1001" s="41" t="s">
        <v>424</v>
      </c>
      <c r="D1001" s="41" t="s">
        <v>425</v>
      </c>
      <c r="E1001" s="41" t="s">
        <v>48</v>
      </c>
      <c r="F1001" s="42">
        <v>4</v>
      </c>
      <c r="G1001" s="41" t="s">
        <v>11</v>
      </c>
      <c r="H1001" s="43" t="s">
        <v>426</v>
      </c>
      <c r="I1001" s="44">
        <v>25</v>
      </c>
      <c r="J1001" s="44">
        <v>50.6</v>
      </c>
      <c r="K1001" s="41"/>
      <c r="L1001" s="45">
        <v>52000</v>
      </c>
      <c r="M1001" s="44">
        <v>1</v>
      </c>
      <c r="N1001" s="43" t="s">
        <v>383</v>
      </c>
    </row>
    <row r="1002" spans="1:15" ht="15.75" customHeight="1">
      <c r="A1002" s="41" t="s">
        <v>777</v>
      </c>
      <c r="B1002" s="41" t="s">
        <v>778</v>
      </c>
      <c r="C1002" s="41" t="s">
        <v>424</v>
      </c>
      <c r="D1002" s="41" t="s">
        <v>425</v>
      </c>
      <c r="E1002" s="41" t="s">
        <v>48</v>
      </c>
      <c r="F1002" s="42">
        <v>5</v>
      </c>
      <c r="G1002" s="41" t="s">
        <v>12</v>
      </c>
      <c r="H1002" s="43" t="s">
        <v>427</v>
      </c>
      <c r="I1002" s="44">
        <v>140</v>
      </c>
      <c r="J1002" s="44">
        <v>50.6</v>
      </c>
      <c r="K1002" s="41"/>
      <c r="L1002" s="45">
        <v>52000</v>
      </c>
      <c r="M1002" s="44">
        <v>1</v>
      </c>
      <c r="N1002" s="43" t="s">
        <v>383</v>
      </c>
    </row>
    <row r="1003" spans="1:15" ht="15.75" customHeight="1">
      <c r="A1003" s="41" t="s">
        <v>777</v>
      </c>
      <c r="B1003" s="41" t="s">
        <v>778</v>
      </c>
      <c r="C1003" s="41" t="s">
        <v>424</v>
      </c>
      <c r="D1003" s="41" t="s">
        <v>425</v>
      </c>
      <c r="E1003" s="41" t="s">
        <v>48</v>
      </c>
      <c r="F1003" s="42">
        <v>6</v>
      </c>
      <c r="G1003" s="41" t="s">
        <v>13</v>
      </c>
      <c r="H1003" s="43" t="s">
        <v>427</v>
      </c>
      <c r="I1003" s="44">
        <v>90</v>
      </c>
      <c r="J1003" s="44">
        <v>50.6</v>
      </c>
      <c r="K1003" s="41"/>
      <c r="L1003" s="45">
        <v>52000</v>
      </c>
      <c r="M1003" s="44">
        <v>1</v>
      </c>
      <c r="N1003" s="43" t="s">
        <v>383</v>
      </c>
    </row>
    <row r="1004" spans="1:15" ht="15.75" customHeight="1">
      <c r="A1004" s="41" t="s">
        <v>777</v>
      </c>
      <c r="B1004" s="41" t="s">
        <v>778</v>
      </c>
      <c r="C1004" s="41" t="s">
        <v>431</v>
      </c>
      <c r="D1004" s="41" t="s">
        <v>432</v>
      </c>
      <c r="E1004" s="41" t="s">
        <v>433</v>
      </c>
      <c r="F1004" s="42">
        <v>18</v>
      </c>
      <c r="G1004" s="41" t="s">
        <v>439</v>
      </c>
      <c r="H1004" s="43" t="s">
        <v>440</v>
      </c>
      <c r="I1004" s="44">
        <v>60</v>
      </c>
      <c r="J1004" s="41"/>
      <c r="K1004" s="44">
        <v>750</v>
      </c>
      <c r="L1004" s="41" t="s">
        <v>435</v>
      </c>
      <c r="M1004" s="44">
        <v>1</v>
      </c>
      <c r="N1004" s="43" t="s">
        <v>436</v>
      </c>
    </row>
    <row r="1005" spans="1:15" ht="15.75" customHeight="1">
      <c r="A1005" s="41" t="s">
        <v>777</v>
      </c>
      <c r="B1005" s="41" t="s">
        <v>778</v>
      </c>
      <c r="C1005" s="41" t="s">
        <v>431</v>
      </c>
      <c r="D1005" s="41" t="s">
        <v>432</v>
      </c>
      <c r="E1005" s="41" t="s">
        <v>433</v>
      </c>
      <c r="F1005" s="42">
        <v>19</v>
      </c>
      <c r="G1005" s="41" t="s">
        <v>368</v>
      </c>
      <c r="H1005" s="43" t="s">
        <v>434</v>
      </c>
      <c r="I1005" s="44">
        <v>60</v>
      </c>
      <c r="J1005" s="41"/>
      <c r="K1005" s="44">
        <v>800</v>
      </c>
      <c r="L1005" s="41" t="s">
        <v>435</v>
      </c>
      <c r="M1005" s="44">
        <v>4</v>
      </c>
      <c r="N1005" s="43" t="s">
        <v>436</v>
      </c>
    </row>
    <row r="1006" spans="1:15" ht="15.75" customHeight="1">
      <c r="A1006" s="41" t="s">
        <v>779</v>
      </c>
      <c r="B1006" s="41" t="s">
        <v>780</v>
      </c>
      <c r="C1006" s="41" t="s">
        <v>442</v>
      </c>
      <c r="D1006" s="41" t="s">
        <v>443</v>
      </c>
      <c r="E1006" s="41" t="s">
        <v>33</v>
      </c>
      <c r="F1006" s="42">
        <v>10</v>
      </c>
      <c r="G1006" s="41" t="s">
        <v>11</v>
      </c>
      <c r="H1006" s="43" t="s">
        <v>426</v>
      </c>
      <c r="I1006" s="44">
        <v>65</v>
      </c>
      <c r="J1006" s="44">
        <v>102</v>
      </c>
      <c r="K1006" s="41"/>
      <c r="L1006" s="45">
        <v>107000</v>
      </c>
      <c r="M1006" s="44">
        <v>1</v>
      </c>
      <c r="N1006" s="43" t="s">
        <v>383</v>
      </c>
    </row>
    <row r="1007" spans="1:15" ht="15.75" customHeight="1">
      <c r="A1007" s="41" t="s">
        <v>779</v>
      </c>
      <c r="B1007" s="41" t="s">
        <v>780</v>
      </c>
      <c r="C1007" s="41" t="s">
        <v>442</v>
      </c>
      <c r="D1007" s="41" t="s">
        <v>443</v>
      </c>
      <c r="E1007" s="41" t="s">
        <v>33</v>
      </c>
      <c r="F1007" s="42">
        <v>11</v>
      </c>
      <c r="G1007" s="41" t="s">
        <v>12</v>
      </c>
      <c r="H1007" s="43" t="s">
        <v>444</v>
      </c>
      <c r="I1007" s="44">
        <v>95</v>
      </c>
      <c r="J1007" s="44">
        <v>102</v>
      </c>
      <c r="K1007" s="41"/>
      <c r="L1007" s="45">
        <v>107000</v>
      </c>
      <c r="M1007" s="44">
        <v>1</v>
      </c>
      <c r="N1007" s="43" t="s">
        <v>383</v>
      </c>
    </row>
    <row r="1008" spans="1:15" ht="15.75" customHeight="1">
      <c r="A1008" s="41" t="s">
        <v>779</v>
      </c>
      <c r="B1008" s="41" t="s">
        <v>780</v>
      </c>
      <c r="C1008" s="41" t="s">
        <v>442</v>
      </c>
      <c r="D1008" s="41" t="s">
        <v>443</v>
      </c>
      <c r="E1008" s="41" t="s">
        <v>33</v>
      </c>
      <c r="F1008" s="42">
        <v>12</v>
      </c>
      <c r="G1008" s="41" t="s">
        <v>13</v>
      </c>
      <c r="H1008" s="43" t="s">
        <v>444</v>
      </c>
      <c r="I1008" s="44">
        <v>20</v>
      </c>
      <c r="J1008" s="44">
        <v>102</v>
      </c>
      <c r="K1008" s="41"/>
      <c r="L1008" s="45">
        <v>107000</v>
      </c>
      <c r="M1008" s="44">
        <v>1</v>
      </c>
      <c r="N1008" s="43" t="s">
        <v>383</v>
      </c>
    </row>
    <row r="1009" spans="1:14" ht="15.75" customHeight="1">
      <c r="A1009" s="41" t="s">
        <v>779</v>
      </c>
      <c r="B1009" s="41" t="s">
        <v>780</v>
      </c>
      <c r="C1009" s="41" t="s">
        <v>442</v>
      </c>
      <c r="D1009" s="41" t="s">
        <v>448</v>
      </c>
      <c r="E1009" s="41" t="s">
        <v>40</v>
      </c>
      <c r="F1009" s="42">
        <v>1</v>
      </c>
      <c r="G1009" s="41" t="s">
        <v>11</v>
      </c>
      <c r="H1009" s="43" t="s">
        <v>426</v>
      </c>
      <c r="I1009" s="44">
        <v>65</v>
      </c>
      <c r="J1009" s="44">
        <v>102</v>
      </c>
      <c r="K1009" s="41"/>
      <c r="L1009" s="45">
        <v>264000</v>
      </c>
      <c r="M1009" s="44">
        <v>1</v>
      </c>
      <c r="N1009" s="43" t="s">
        <v>383</v>
      </c>
    </row>
    <row r="1010" spans="1:14" ht="15.75" customHeight="1">
      <c r="A1010" s="41" t="s">
        <v>779</v>
      </c>
      <c r="B1010" s="41" t="s">
        <v>780</v>
      </c>
      <c r="C1010" s="41" t="s">
        <v>442</v>
      </c>
      <c r="D1010" s="41" t="s">
        <v>448</v>
      </c>
      <c r="E1010" s="41" t="s">
        <v>40</v>
      </c>
      <c r="F1010" s="42">
        <v>2</v>
      </c>
      <c r="G1010" s="41" t="s">
        <v>12</v>
      </c>
      <c r="H1010" s="43" t="s">
        <v>449</v>
      </c>
      <c r="I1010" s="44">
        <v>130</v>
      </c>
      <c r="J1010" s="44">
        <v>102</v>
      </c>
      <c r="K1010" s="41"/>
      <c r="L1010" s="45">
        <v>264000</v>
      </c>
      <c r="M1010" s="44">
        <v>1</v>
      </c>
      <c r="N1010" s="43" t="s">
        <v>383</v>
      </c>
    </row>
    <row r="1011" spans="1:14" ht="15.75" customHeight="1">
      <c r="A1011" s="41" t="s">
        <v>779</v>
      </c>
      <c r="B1011" s="41" t="s">
        <v>780</v>
      </c>
      <c r="C1011" s="41" t="s">
        <v>442</v>
      </c>
      <c r="D1011" s="41" t="s">
        <v>448</v>
      </c>
      <c r="E1011" s="41" t="s">
        <v>40</v>
      </c>
      <c r="F1011" s="42">
        <v>3</v>
      </c>
      <c r="G1011" s="41" t="s">
        <v>13</v>
      </c>
      <c r="H1011" s="43" t="s">
        <v>449</v>
      </c>
      <c r="I1011" s="44">
        <v>30</v>
      </c>
      <c r="J1011" s="44">
        <v>102</v>
      </c>
      <c r="K1011" s="41"/>
      <c r="L1011" s="45">
        <v>264000</v>
      </c>
      <c r="M1011" s="44">
        <v>1</v>
      </c>
      <c r="N1011" s="43" t="s">
        <v>383</v>
      </c>
    </row>
    <row r="1012" spans="1:14" ht="15.75" customHeight="1">
      <c r="A1012" s="41" t="s">
        <v>779</v>
      </c>
      <c r="B1012" s="41" t="s">
        <v>780</v>
      </c>
      <c r="C1012" s="41" t="s">
        <v>431</v>
      </c>
      <c r="D1012" s="41" t="s">
        <v>432</v>
      </c>
      <c r="E1012" s="41" t="s">
        <v>433</v>
      </c>
      <c r="F1012" s="42">
        <v>18</v>
      </c>
      <c r="G1012" s="41" t="s">
        <v>439</v>
      </c>
      <c r="H1012" s="43" t="s">
        <v>440</v>
      </c>
      <c r="I1012" s="44">
        <v>60</v>
      </c>
      <c r="J1012" s="41"/>
      <c r="K1012" s="44">
        <v>800</v>
      </c>
      <c r="L1012" s="41" t="s">
        <v>435</v>
      </c>
      <c r="M1012" s="44">
        <v>1</v>
      </c>
      <c r="N1012" s="43" t="s">
        <v>436</v>
      </c>
    </row>
    <row r="1013" spans="1:14" ht="15.75" customHeight="1">
      <c r="A1013" s="41" t="s">
        <v>779</v>
      </c>
      <c r="B1013" s="41" t="s">
        <v>780</v>
      </c>
      <c r="C1013" s="41" t="s">
        <v>431</v>
      </c>
      <c r="D1013" s="41" t="s">
        <v>432</v>
      </c>
      <c r="E1013" s="41" t="s">
        <v>433</v>
      </c>
      <c r="F1013" s="42">
        <v>19</v>
      </c>
      <c r="G1013" s="41" t="s">
        <v>368</v>
      </c>
      <c r="H1013" s="43" t="s">
        <v>434</v>
      </c>
      <c r="I1013" s="44">
        <v>60</v>
      </c>
      <c r="J1013" s="41"/>
      <c r="K1013" s="44">
        <v>700</v>
      </c>
      <c r="L1013" s="41" t="s">
        <v>435</v>
      </c>
      <c r="M1013" s="44">
        <v>4</v>
      </c>
      <c r="N1013" s="43" t="s">
        <v>436</v>
      </c>
    </row>
    <row r="1014" spans="1:14" ht="15.75" customHeight="1">
      <c r="A1014" s="41" t="s">
        <v>781</v>
      </c>
      <c r="B1014" s="41" t="s">
        <v>782</v>
      </c>
      <c r="C1014" s="41" t="s">
        <v>442</v>
      </c>
      <c r="D1014" s="41" t="s">
        <v>443</v>
      </c>
      <c r="E1014" s="41" t="s">
        <v>33</v>
      </c>
      <c r="F1014" s="42">
        <v>10</v>
      </c>
      <c r="G1014" s="41" t="s">
        <v>11</v>
      </c>
      <c r="H1014" s="43" t="s">
        <v>426</v>
      </c>
      <c r="I1014" s="44">
        <v>90</v>
      </c>
      <c r="J1014" s="44">
        <v>30</v>
      </c>
      <c r="K1014" s="41"/>
      <c r="L1014" s="45">
        <v>100000</v>
      </c>
      <c r="M1014" s="44">
        <v>1</v>
      </c>
      <c r="N1014" s="43" t="s">
        <v>383</v>
      </c>
    </row>
    <row r="1015" spans="1:14" ht="15.75" customHeight="1">
      <c r="A1015" s="41" t="s">
        <v>781</v>
      </c>
      <c r="B1015" s="41" t="s">
        <v>782</v>
      </c>
      <c r="C1015" s="41" t="s">
        <v>442</v>
      </c>
      <c r="D1015" s="41" t="s">
        <v>443</v>
      </c>
      <c r="E1015" s="41" t="s">
        <v>33</v>
      </c>
      <c r="F1015" s="42">
        <v>11</v>
      </c>
      <c r="G1015" s="41" t="s">
        <v>12</v>
      </c>
      <c r="H1015" s="43" t="s">
        <v>444</v>
      </c>
      <c r="I1015" s="44">
        <v>50</v>
      </c>
      <c r="J1015" s="44">
        <v>30</v>
      </c>
      <c r="K1015" s="41"/>
      <c r="L1015" s="45">
        <v>100000</v>
      </c>
      <c r="M1015" s="44">
        <v>1</v>
      </c>
      <c r="N1015" s="43" t="s">
        <v>383</v>
      </c>
    </row>
    <row r="1016" spans="1:14" ht="15.75" customHeight="1">
      <c r="A1016" s="41" t="s">
        <v>781</v>
      </c>
      <c r="B1016" s="41" t="s">
        <v>782</v>
      </c>
      <c r="C1016" s="41" t="s">
        <v>442</v>
      </c>
      <c r="D1016" s="41" t="s">
        <v>443</v>
      </c>
      <c r="E1016" s="41" t="s">
        <v>33</v>
      </c>
      <c r="F1016" s="42">
        <v>12</v>
      </c>
      <c r="G1016" s="41" t="s">
        <v>13</v>
      </c>
      <c r="H1016" s="43" t="s">
        <v>444</v>
      </c>
      <c r="I1016" s="44">
        <v>10</v>
      </c>
      <c r="J1016" s="44">
        <v>30</v>
      </c>
      <c r="K1016" s="41"/>
      <c r="L1016" s="45">
        <v>100000</v>
      </c>
      <c r="M1016" s="44">
        <v>1</v>
      </c>
      <c r="N1016" s="43" t="s">
        <v>383</v>
      </c>
    </row>
    <row r="1017" spans="1:14" ht="15.75" customHeight="1">
      <c r="A1017" s="41" t="s">
        <v>781</v>
      </c>
      <c r="B1017" s="41" t="s">
        <v>782</v>
      </c>
      <c r="C1017" s="41" t="s">
        <v>442</v>
      </c>
      <c r="D1017" s="41" t="s">
        <v>448</v>
      </c>
      <c r="E1017" s="41" t="s">
        <v>40</v>
      </c>
      <c r="F1017" s="42">
        <v>1</v>
      </c>
      <c r="G1017" s="41" t="s">
        <v>11</v>
      </c>
      <c r="H1017" s="43" t="s">
        <v>426</v>
      </c>
      <c r="I1017" s="44">
        <v>90</v>
      </c>
      <c r="J1017" s="44">
        <v>30</v>
      </c>
      <c r="K1017" s="41"/>
      <c r="L1017" s="45">
        <v>305000</v>
      </c>
      <c r="M1017" s="44">
        <v>1</v>
      </c>
      <c r="N1017" s="43" t="s">
        <v>383</v>
      </c>
    </row>
    <row r="1018" spans="1:14" ht="15.75" customHeight="1">
      <c r="A1018" s="41" t="s">
        <v>781</v>
      </c>
      <c r="B1018" s="41" t="s">
        <v>782</v>
      </c>
      <c r="C1018" s="41" t="s">
        <v>442</v>
      </c>
      <c r="D1018" s="41" t="s">
        <v>448</v>
      </c>
      <c r="E1018" s="41" t="s">
        <v>40</v>
      </c>
      <c r="F1018" s="42">
        <v>2</v>
      </c>
      <c r="G1018" s="41" t="s">
        <v>12</v>
      </c>
      <c r="H1018" s="43" t="s">
        <v>449</v>
      </c>
      <c r="I1018" s="44">
        <v>90</v>
      </c>
      <c r="J1018" s="44">
        <v>30</v>
      </c>
      <c r="K1018" s="41"/>
      <c r="L1018" s="45">
        <v>305000</v>
      </c>
      <c r="M1018" s="44">
        <v>1</v>
      </c>
      <c r="N1018" s="43" t="s">
        <v>383</v>
      </c>
    </row>
    <row r="1019" spans="1:14" ht="15.75" customHeight="1">
      <c r="A1019" s="41" t="s">
        <v>781</v>
      </c>
      <c r="B1019" s="41" t="s">
        <v>782</v>
      </c>
      <c r="C1019" s="41" t="s">
        <v>442</v>
      </c>
      <c r="D1019" s="41" t="s">
        <v>448</v>
      </c>
      <c r="E1019" s="41" t="s">
        <v>40</v>
      </c>
      <c r="F1019" s="42">
        <v>3</v>
      </c>
      <c r="G1019" s="41" t="s">
        <v>13</v>
      </c>
      <c r="H1019" s="43" t="s">
        <v>449</v>
      </c>
      <c r="I1019" s="44">
        <v>30</v>
      </c>
      <c r="J1019" s="44">
        <v>30</v>
      </c>
      <c r="K1019" s="41"/>
      <c r="L1019" s="45">
        <v>305000</v>
      </c>
      <c r="M1019" s="44">
        <v>1</v>
      </c>
      <c r="N1019" s="43" t="s">
        <v>383</v>
      </c>
    </row>
    <row r="1020" spans="1:14" ht="15.75" customHeight="1">
      <c r="A1020" s="41" t="s">
        <v>781</v>
      </c>
      <c r="B1020" s="41" t="s">
        <v>782</v>
      </c>
      <c r="C1020" s="41" t="s">
        <v>431</v>
      </c>
      <c r="D1020" s="41" t="s">
        <v>432</v>
      </c>
      <c r="E1020" s="41" t="s">
        <v>433</v>
      </c>
      <c r="F1020" s="42">
        <v>18</v>
      </c>
      <c r="G1020" s="41" t="s">
        <v>439</v>
      </c>
      <c r="H1020" s="43" t="s">
        <v>440</v>
      </c>
      <c r="I1020" s="44">
        <v>60</v>
      </c>
      <c r="J1020" s="41"/>
      <c r="K1020" s="44">
        <v>650</v>
      </c>
      <c r="L1020" s="41" t="s">
        <v>435</v>
      </c>
      <c r="M1020" s="44">
        <v>1</v>
      </c>
      <c r="N1020" s="43" t="s">
        <v>436</v>
      </c>
    </row>
    <row r="1021" spans="1:14" ht="15.75" customHeight="1">
      <c r="A1021" s="41" t="s">
        <v>781</v>
      </c>
      <c r="B1021" s="41" t="s">
        <v>782</v>
      </c>
      <c r="C1021" s="41" t="s">
        <v>431</v>
      </c>
      <c r="D1021" s="41" t="s">
        <v>432</v>
      </c>
      <c r="E1021" s="41" t="s">
        <v>433</v>
      </c>
      <c r="F1021" s="42">
        <v>19</v>
      </c>
      <c r="G1021" s="41" t="s">
        <v>368</v>
      </c>
      <c r="H1021" s="43" t="s">
        <v>434</v>
      </c>
      <c r="I1021" s="44">
        <v>60</v>
      </c>
      <c r="J1021" s="41"/>
      <c r="K1021" s="44">
        <v>850</v>
      </c>
      <c r="L1021" s="41" t="s">
        <v>435</v>
      </c>
      <c r="M1021" s="44">
        <v>3</v>
      </c>
      <c r="N1021" s="43" t="s">
        <v>436</v>
      </c>
    </row>
    <row r="1022" spans="1:14" ht="15.75" customHeight="1">
      <c r="A1022" s="41" t="s">
        <v>783</v>
      </c>
      <c r="B1022" s="41" t="s">
        <v>784</v>
      </c>
      <c r="C1022" s="41" t="s">
        <v>499</v>
      </c>
      <c r="D1022" s="41" t="s">
        <v>443</v>
      </c>
      <c r="E1022" s="41" t="s">
        <v>33</v>
      </c>
      <c r="F1022" s="42">
        <v>11</v>
      </c>
      <c r="G1022" s="41" t="s">
        <v>12</v>
      </c>
      <c r="H1022" s="43" t="s">
        <v>444</v>
      </c>
      <c r="I1022" s="44">
        <v>50</v>
      </c>
      <c r="J1022" s="44">
        <v>107</v>
      </c>
      <c r="K1022" s="41"/>
      <c r="L1022" s="45">
        <v>88000</v>
      </c>
      <c r="M1022" s="44">
        <v>1</v>
      </c>
      <c r="N1022" s="43" t="s">
        <v>383</v>
      </c>
    </row>
    <row r="1023" spans="1:14" ht="15.75" customHeight="1">
      <c r="A1023" s="41" t="s">
        <v>783</v>
      </c>
      <c r="B1023" s="41" t="s">
        <v>784</v>
      </c>
      <c r="C1023" s="41" t="s">
        <v>499</v>
      </c>
      <c r="D1023" s="41" t="s">
        <v>443</v>
      </c>
      <c r="E1023" s="41" t="s">
        <v>33</v>
      </c>
      <c r="F1023" s="42">
        <v>12</v>
      </c>
      <c r="G1023" s="41" t="s">
        <v>13</v>
      </c>
      <c r="H1023" s="43" t="s">
        <v>444</v>
      </c>
      <c r="I1023" s="44">
        <v>25</v>
      </c>
      <c r="J1023" s="44">
        <v>107</v>
      </c>
      <c r="K1023" s="41"/>
      <c r="L1023" s="45">
        <v>88000</v>
      </c>
      <c r="M1023" s="44">
        <v>1</v>
      </c>
      <c r="N1023" s="43" t="s">
        <v>383</v>
      </c>
    </row>
    <row r="1024" spans="1:14" ht="15.75" customHeight="1">
      <c r="A1024" s="41" t="s">
        <v>783</v>
      </c>
      <c r="B1024" s="41" t="s">
        <v>784</v>
      </c>
      <c r="C1024" s="41" t="s">
        <v>431</v>
      </c>
      <c r="D1024" s="41" t="s">
        <v>432</v>
      </c>
      <c r="E1024" s="41" t="s">
        <v>433</v>
      </c>
      <c r="F1024" s="42">
        <v>18</v>
      </c>
      <c r="G1024" s="41" t="s">
        <v>439</v>
      </c>
      <c r="H1024" s="43" t="s">
        <v>440</v>
      </c>
      <c r="I1024" s="44">
        <v>60</v>
      </c>
      <c r="J1024" s="41"/>
      <c r="K1024" s="44">
        <v>800</v>
      </c>
      <c r="L1024" s="41" t="s">
        <v>435</v>
      </c>
      <c r="M1024" s="44">
        <v>1</v>
      </c>
      <c r="N1024" s="43" t="s">
        <v>436</v>
      </c>
    </row>
    <row r="1025" spans="1:14" ht="15.75" customHeight="1">
      <c r="A1025" s="41" t="s">
        <v>783</v>
      </c>
      <c r="B1025" s="41" t="s">
        <v>784</v>
      </c>
      <c r="C1025" s="41" t="s">
        <v>431</v>
      </c>
      <c r="D1025" s="41" t="s">
        <v>432</v>
      </c>
      <c r="E1025" s="41" t="s">
        <v>433</v>
      </c>
      <c r="F1025" s="42">
        <v>19</v>
      </c>
      <c r="G1025" s="41" t="s">
        <v>368</v>
      </c>
      <c r="H1025" s="43" t="s">
        <v>434</v>
      </c>
      <c r="I1025" s="44">
        <v>60</v>
      </c>
      <c r="J1025" s="41"/>
      <c r="K1025" s="44">
        <v>650</v>
      </c>
      <c r="L1025" s="41" t="s">
        <v>435</v>
      </c>
      <c r="M1025" s="44">
        <v>4</v>
      </c>
      <c r="N1025" s="43" t="s">
        <v>436</v>
      </c>
    </row>
    <row r="1026" spans="1:14" ht="15.75" customHeight="1">
      <c r="A1026" s="41" t="s">
        <v>785</v>
      </c>
      <c r="B1026" s="41" t="s">
        <v>786</v>
      </c>
      <c r="C1026" s="41" t="s">
        <v>442</v>
      </c>
      <c r="D1026" s="41" t="s">
        <v>443</v>
      </c>
      <c r="E1026" s="41" t="s">
        <v>33</v>
      </c>
      <c r="F1026" s="42">
        <v>10</v>
      </c>
      <c r="G1026" s="41" t="s">
        <v>11</v>
      </c>
      <c r="H1026" s="43" t="s">
        <v>426</v>
      </c>
      <c r="I1026" s="44">
        <v>100</v>
      </c>
      <c r="J1026" s="44">
        <v>15</v>
      </c>
      <c r="K1026" s="41"/>
      <c r="L1026" s="45">
        <v>101700</v>
      </c>
      <c r="M1026" s="44">
        <v>1</v>
      </c>
      <c r="N1026" s="43" t="s">
        <v>383</v>
      </c>
    </row>
    <row r="1027" spans="1:14" ht="15.75" customHeight="1">
      <c r="A1027" s="41" t="s">
        <v>785</v>
      </c>
      <c r="B1027" s="41" t="s">
        <v>786</v>
      </c>
      <c r="C1027" s="41" t="s">
        <v>442</v>
      </c>
      <c r="D1027" s="41" t="s">
        <v>443</v>
      </c>
      <c r="E1027" s="41" t="s">
        <v>33</v>
      </c>
      <c r="F1027" s="42">
        <v>11</v>
      </c>
      <c r="G1027" s="41" t="s">
        <v>12</v>
      </c>
      <c r="H1027" s="43" t="s">
        <v>444</v>
      </c>
      <c r="I1027" s="44">
        <v>115</v>
      </c>
      <c r="J1027" s="44">
        <v>15</v>
      </c>
      <c r="K1027" s="41"/>
      <c r="L1027" s="45">
        <v>101700</v>
      </c>
      <c r="M1027" s="44">
        <v>1</v>
      </c>
      <c r="N1027" s="43" t="s">
        <v>383</v>
      </c>
    </row>
    <row r="1028" spans="1:14" ht="15.75" customHeight="1">
      <c r="A1028" s="41" t="s">
        <v>785</v>
      </c>
      <c r="B1028" s="41" t="s">
        <v>786</v>
      </c>
      <c r="C1028" s="41" t="s">
        <v>442</v>
      </c>
      <c r="D1028" s="41" t="s">
        <v>443</v>
      </c>
      <c r="E1028" s="41" t="s">
        <v>33</v>
      </c>
      <c r="F1028" s="42">
        <v>12</v>
      </c>
      <c r="G1028" s="41" t="s">
        <v>13</v>
      </c>
      <c r="H1028" s="43" t="s">
        <v>444</v>
      </c>
      <c r="I1028" s="44">
        <v>50</v>
      </c>
      <c r="J1028" s="44">
        <v>15</v>
      </c>
      <c r="K1028" s="41"/>
      <c r="L1028" s="45">
        <v>101700</v>
      </c>
      <c r="M1028" s="44">
        <v>1</v>
      </c>
      <c r="N1028" s="43" t="s">
        <v>383</v>
      </c>
    </row>
    <row r="1029" spans="1:14" ht="15.75" customHeight="1">
      <c r="A1029" s="41" t="s">
        <v>785</v>
      </c>
      <c r="B1029" s="41" t="s">
        <v>786</v>
      </c>
      <c r="C1029" s="41" t="s">
        <v>431</v>
      </c>
      <c r="D1029" s="41" t="s">
        <v>432</v>
      </c>
      <c r="E1029" s="41" t="s">
        <v>433</v>
      </c>
      <c r="F1029" s="42">
        <v>17</v>
      </c>
      <c r="G1029" s="41" t="s">
        <v>559</v>
      </c>
      <c r="H1029" s="43" t="s">
        <v>440</v>
      </c>
      <c r="I1029" s="44">
        <v>60</v>
      </c>
      <c r="J1029" s="41"/>
      <c r="K1029" s="44">
        <v>960</v>
      </c>
      <c r="L1029" s="41" t="s">
        <v>435</v>
      </c>
      <c r="M1029" s="44">
        <v>1</v>
      </c>
      <c r="N1029" s="43" t="s">
        <v>436</v>
      </c>
    </row>
    <row r="1030" spans="1:14" ht="15.75" customHeight="1">
      <c r="A1030" s="41" t="s">
        <v>785</v>
      </c>
      <c r="B1030" s="41" t="s">
        <v>786</v>
      </c>
      <c r="C1030" s="41" t="s">
        <v>431</v>
      </c>
      <c r="D1030" s="41" t="s">
        <v>432</v>
      </c>
      <c r="E1030" s="41" t="s">
        <v>433</v>
      </c>
      <c r="F1030" s="42">
        <v>18</v>
      </c>
      <c r="G1030" s="41" t="s">
        <v>439</v>
      </c>
      <c r="H1030" s="43" t="s">
        <v>440</v>
      </c>
      <c r="I1030" s="44">
        <v>60</v>
      </c>
      <c r="J1030" s="41"/>
      <c r="K1030" s="44">
        <v>1500</v>
      </c>
      <c r="L1030" s="41" t="s">
        <v>435</v>
      </c>
      <c r="M1030" s="44">
        <v>1</v>
      </c>
      <c r="N1030" s="43" t="s">
        <v>436</v>
      </c>
    </row>
    <row r="1031" spans="1:14" ht="15.75" customHeight="1">
      <c r="A1031" s="41" t="s">
        <v>785</v>
      </c>
      <c r="B1031" s="41" t="s">
        <v>786</v>
      </c>
      <c r="C1031" s="41" t="s">
        <v>431</v>
      </c>
      <c r="D1031" s="41" t="s">
        <v>432</v>
      </c>
      <c r="E1031" s="41" t="s">
        <v>433</v>
      </c>
      <c r="F1031" s="42">
        <v>19</v>
      </c>
      <c r="G1031" s="41" t="s">
        <v>368</v>
      </c>
      <c r="H1031" s="43" t="s">
        <v>434</v>
      </c>
      <c r="I1031" s="44">
        <v>60</v>
      </c>
      <c r="J1031" s="41"/>
      <c r="K1031" s="44">
        <v>800</v>
      </c>
      <c r="L1031" s="41" t="s">
        <v>435</v>
      </c>
      <c r="M1031" s="44">
        <v>4</v>
      </c>
      <c r="N1031" s="43" t="s">
        <v>436</v>
      </c>
    </row>
    <row r="1032" spans="1:14" ht="15.75" customHeight="1">
      <c r="A1032" s="41" t="s">
        <v>787</v>
      </c>
      <c r="B1032" s="41" t="s">
        <v>66</v>
      </c>
      <c r="C1032" s="41" t="s">
        <v>442</v>
      </c>
      <c r="D1032" s="41" t="s">
        <v>443</v>
      </c>
      <c r="E1032" s="41" t="s">
        <v>33</v>
      </c>
      <c r="F1032" s="42">
        <v>10</v>
      </c>
      <c r="G1032" s="41" t="s">
        <v>11</v>
      </c>
      <c r="H1032" s="43" t="s">
        <v>426</v>
      </c>
      <c r="I1032" s="44">
        <v>100</v>
      </c>
      <c r="J1032" s="44">
        <v>30.6</v>
      </c>
      <c r="K1032" s="41"/>
      <c r="L1032" s="45">
        <v>101700</v>
      </c>
      <c r="M1032" s="44">
        <v>1</v>
      </c>
      <c r="N1032" s="43" t="s">
        <v>383</v>
      </c>
    </row>
    <row r="1033" spans="1:14" ht="15.75" customHeight="1">
      <c r="A1033" s="41" t="s">
        <v>787</v>
      </c>
      <c r="B1033" s="41" t="s">
        <v>66</v>
      </c>
      <c r="C1033" s="41" t="s">
        <v>442</v>
      </c>
      <c r="D1033" s="41" t="s">
        <v>443</v>
      </c>
      <c r="E1033" s="41" t="s">
        <v>33</v>
      </c>
      <c r="F1033" s="42">
        <v>11</v>
      </c>
      <c r="G1033" s="41" t="s">
        <v>12</v>
      </c>
      <c r="H1033" s="43" t="s">
        <v>444</v>
      </c>
      <c r="I1033" s="44">
        <v>115</v>
      </c>
      <c r="J1033" s="44">
        <v>30.6</v>
      </c>
      <c r="K1033" s="41"/>
      <c r="L1033" s="45">
        <v>101700</v>
      </c>
      <c r="M1033" s="44">
        <v>1</v>
      </c>
      <c r="N1033" s="43" t="s">
        <v>383</v>
      </c>
    </row>
    <row r="1034" spans="1:14" ht="15.75" customHeight="1">
      <c r="A1034" s="41" t="s">
        <v>787</v>
      </c>
      <c r="B1034" s="41" t="s">
        <v>66</v>
      </c>
      <c r="C1034" s="41" t="s">
        <v>442</v>
      </c>
      <c r="D1034" s="41" t="s">
        <v>443</v>
      </c>
      <c r="E1034" s="41" t="s">
        <v>33</v>
      </c>
      <c r="F1034" s="42">
        <v>12</v>
      </c>
      <c r="G1034" s="41" t="s">
        <v>13</v>
      </c>
      <c r="H1034" s="43" t="s">
        <v>444</v>
      </c>
      <c r="I1034" s="44">
        <v>50</v>
      </c>
      <c r="J1034" s="44">
        <v>30.6</v>
      </c>
      <c r="K1034" s="41"/>
      <c r="L1034" s="45">
        <v>101700</v>
      </c>
      <c r="M1034" s="44">
        <v>1</v>
      </c>
      <c r="N1034" s="43" t="s">
        <v>383</v>
      </c>
    </row>
    <row r="1035" spans="1:14" ht="15.75" customHeight="1">
      <c r="A1035" s="41" t="s">
        <v>787</v>
      </c>
      <c r="B1035" s="41" t="s">
        <v>66</v>
      </c>
      <c r="C1035" s="41" t="s">
        <v>431</v>
      </c>
      <c r="D1035" s="41" t="s">
        <v>432</v>
      </c>
      <c r="E1035" s="41" t="s">
        <v>433</v>
      </c>
      <c r="F1035" s="42">
        <v>17</v>
      </c>
      <c r="G1035" s="41" t="s">
        <v>559</v>
      </c>
      <c r="H1035" s="43" t="s">
        <v>440</v>
      </c>
      <c r="I1035" s="44">
        <v>60</v>
      </c>
      <c r="J1035" s="41"/>
      <c r="K1035" s="44">
        <v>554</v>
      </c>
      <c r="L1035" s="41" t="s">
        <v>435</v>
      </c>
      <c r="M1035" s="44">
        <v>1</v>
      </c>
      <c r="N1035" s="43" t="s">
        <v>436</v>
      </c>
    </row>
    <row r="1036" spans="1:14" ht="15.75" customHeight="1">
      <c r="A1036" s="41" t="s">
        <v>787</v>
      </c>
      <c r="B1036" s="41" t="s">
        <v>66</v>
      </c>
      <c r="C1036" s="41" t="s">
        <v>431</v>
      </c>
      <c r="D1036" s="41" t="s">
        <v>432</v>
      </c>
      <c r="E1036" s="41" t="s">
        <v>433</v>
      </c>
      <c r="F1036" s="42">
        <v>18</v>
      </c>
      <c r="G1036" s="41" t="s">
        <v>439</v>
      </c>
      <c r="H1036" s="43" t="s">
        <v>440</v>
      </c>
      <c r="I1036" s="44">
        <v>60</v>
      </c>
      <c r="J1036" s="41"/>
      <c r="K1036" s="44">
        <v>1235</v>
      </c>
      <c r="L1036" s="41" t="s">
        <v>435</v>
      </c>
      <c r="M1036" s="44">
        <v>1</v>
      </c>
      <c r="N1036" s="43" t="s">
        <v>436</v>
      </c>
    </row>
    <row r="1037" spans="1:14" ht="15.75" customHeight="1">
      <c r="A1037" s="41" t="s">
        <v>787</v>
      </c>
      <c r="B1037" s="41" t="s">
        <v>66</v>
      </c>
      <c r="C1037" s="41" t="s">
        <v>431</v>
      </c>
      <c r="D1037" s="41" t="s">
        <v>432</v>
      </c>
      <c r="E1037" s="41" t="s">
        <v>433</v>
      </c>
      <c r="F1037" s="42">
        <v>19</v>
      </c>
      <c r="G1037" s="41" t="s">
        <v>368</v>
      </c>
      <c r="H1037" s="43" t="s">
        <v>434</v>
      </c>
      <c r="I1037" s="44">
        <v>60</v>
      </c>
      <c r="J1037" s="41"/>
      <c r="K1037" s="44">
        <v>800</v>
      </c>
      <c r="L1037" s="41" t="s">
        <v>435</v>
      </c>
      <c r="M1037" s="44">
        <v>3</v>
      </c>
      <c r="N1037" s="43" t="s">
        <v>436</v>
      </c>
    </row>
    <row r="1038" spans="1:14" ht="15.75" customHeight="1">
      <c r="A1038" s="41" t="s">
        <v>788</v>
      </c>
      <c r="B1038" s="41" t="s">
        <v>789</v>
      </c>
      <c r="C1038" s="41" t="s">
        <v>424</v>
      </c>
      <c r="D1038" s="41" t="s">
        <v>429</v>
      </c>
      <c r="E1038" s="41" t="s">
        <v>74</v>
      </c>
      <c r="F1038" s="42">
        <v>7</v>
      </c>
      <c r="G1038" s="41" t="s">
        <v>11</v>
      </c>
      <c r="H1038" s="43" t="s">
        <v>426</v>
      </c>
      <c r="I1038" s="44">
        <v>30</v>
      </c>
      <c r="J1038" s="44">
        <v>155</v>
      </c>
      <c r="K1038" s="41"/>
      <c r="L1038" s="45">
        <v>103000</v>
      </c>
      <c r="M1038" s="44">
        <v>1</v>
      </c>
      <c r="N1038" s="43" t="s">
        <v>383</v>
      </c>
    </row>
    <row r="1039" spans="1:14" ht="15.75" customHeight="1">
      <c r="A1039" s="41" t="s">
        <v>788</v>
      </c>
      <c r="B1039" s="41" t="s">
        <v>789</v>
      </c>
      <c r="C1039" s="41" t="s">
        <v>424</v>
      </c>
      <c r="D1039" s="41" t="s">
        <v>429</v>
      </c>
      <c r="E1039" s="41" t="s">
        <v>74</v>
      </c>
      <c r="F1039" s="42">
        <v>8</v>
      </c>
      <c r="G1039" s="41" t="s">
        <v>12</v>
      </c>
      <c r="H1039" s="43" t="s">
        <v>430</v>
      </c>
      <c r="I1039" s="44">
        <v>180</v>
      </c>
      <c r="J1039" s="44">
        <v>155</v>
      </c>
      <c r="K1039" s="41"/>
      <c r="L1039" s="45">
        <v>103000</v>
      </c>
      <c r="M1039" s="44">
        <v>1</v>
      </c>
      <c r="N1039" s="43" t="s">
        <v>383</v>
      </c>
    </row>
    <row r="1040" spans="1:14" ht="15.75" customHeight="1">
      <c r="A1040" s="41" t="s">
        <v>788</v>
      </c>
      <c r="B1040" s="41" t="s">
        <v>789</v>
      </c>
      <c r="C1040" s="41" t="s">
        <v>424</v>
      </c>
      <c r="D1040" s="41" t="s">
        <v>429</v>
      </c>
      <c r="E1040" s="41" t="s">
        <v>74</v>
      </c>
      <c r="F1040" s="42">
        <v>9</v>
      </c>
      <c r="G1040" s="41" t="s">
        <v>13</v>
      </c>
      <c r="H1040" s="43" t="s">
        <v>430</v>
      </c>
      <c r="I1040" s="44">
        <v>40</v>
      </c>
      <c r="J1040" s="44">
        <v>155</v>
      </c>
      <c r="K1040" s="41"/>
      <c r="L1040" s="45">
        <v>103000</v>
      </c>
      <c r="M1040" s="44">
        <v>1</v>
      </c>
      <c r="N1040" s="43" t="s">
        <v>383</v>
      </c>
    </row>
    <row r="1041" spans="1:14" ht="15.75" customHeight="1">
      <c r="A1041" s="41" t="s">
        <v>788</v>
      </c>
      <c r="B1041" s="41" t="s">
        <v>789</v>
      </c>
      <c r="C1041" s="41" t="s">
        <v>431</v>
      </c>
      <c r="D1041" s="41" t="s">
        <v>432</v>
      </c>
      <c r="E1041" s="41" t="s">
        <v>433</v>
      </c>
      <c r="F1041" s="42">
        <v>18</v>
      </c>
      <c r="G1041" s="41" t="s">
        <v>439</v>
      </c>
      <c r="H1041" s="43" t="s">
        <v>440</v>
      </c>
      <c r="I1041" s="44">
        <v>60</v>
      </c>
      <c r="J1041" s="41"/>
      <c r="K1041" s="44">
        <v>600</v>
      </c>
      <c r="L1041" s="41" t="s">
        <v>435</v>
      </c>
      <c r="M1041" s="44">
        <v>1</v>
      </c>
      <c r="N1041" s="43" t="s">
        <v>436</v>
      </c>
    </row>
    <row r="1042" spans="1:14" ht="15.75" customHeight="1">
      <c r="A1042" s="41" t="s">
        <v>788</v>
      </c>
      <c r="B1042" s="41" t="s">
        <v>789</v>
      </c>
      <c r="C1042" s="41" t="s">
        <v>431</v>
      </c>
      <c r="D1042" s="41" t="s">
        <v>432</v>
      </c>
      <c r="E1042" s="41" t="s">
        <v>433</v>
      </c>
      <c r="F1042" s="42">
        <v>19</v>
      </c>
      <c r="G1042" s="41" t="s">
        <v>368</v>
      </c>
      <c r="H1042" s="43" t="s">
        <v>434</v>
      </c>
      <c r="I1042" s="44">
        <v>60</v>
      </c>
      <c r="J1042" s="41"/>
      <c r="K1042" s="44">
        <v>700</v>
      </c>
      <c r="L1042" s="41" t="s">
        <v>435</v>
      </c>
      <c r="M1042" s="44">
        <v>4</v>
      </c>
      <c r="N1042" s="43" t="s">
        <v>436</v>
      </c>
    </row>
    <row r="1043" spans="1:14" ht="15.75" customHeight="1">
      <c r="A1043" s="41" t="s">
        <v>790</v>
      </c>
      <c r="B1043" s="41" t="s">
        <v>791</v>
      </c>
      <c r="C1043" s="41" t="s">
        <v>424</v>
      </c>
      <c r="D1043" s="41" t="s">
        <v>429</v>
      </c>
      <c r="E1043" s="41" t="s">
        <v>74</v>
      </c>
      <c r="F1043" s="42">
        <v>7</v>
      </c>
      <c r="G1043" s="41" t="s">
        <v>11</v>
      </c>
      <c r="H1043" s="43" t="s">
        <v>426</v>
      </c>
      <c r="I1043" s="44">
        <v>30</v>
      </c>
      <c r="J1043" s="44">
        <v>48.9</v>
      </c>
      <c r="K1043" s="41"/>
      <c r="L1043" s="45">
        <v>103000</v>
      </c>
      <c r="M1043" s="44">
        <v>1</v>
      </c>
      <c r="N1043" s="43" t="s">
        <v>383</v>
      </c>
    </row>
    <row r="1044" spans="1:14" ht="15.75" customHeight="1">
      <c r="A1044" s="41" t="s">
        <v>790</v>
      </c>
      <c r="B1044" s="41" t="s">
        <v>791</v>
      </c>
      <c r="C1044" s="41" t="s">
        <v>424</v>
      </c>
      <c r="D1044" s="41" t="s">
        <v>429</v>
      </c>
      <c r="E1044" s="41" t="s">
        <v>74</v>
      </c>
      <c r="F1044" s="42">
        <v>8</v>
      </c>
      <c r="G1044" s="41" t="s">
        <v>12</v>
      </c>
      <c r="H1044" s="43" t="s">
        <v>430</v>
      </c>
      <c r="I1044" s="44">
        <v>180</v>
      </c>
      <c r="J1044" s="44">
        <v>48.9</v>
      </c>
      <c r="K1044" s="41"/>
      <c r="L1044" s="45">
        <v>103000</v>
      </c>
      <c r="M1044" s="44">
        <v>1</v>
      </c>
      <c r="N1044" s="43" t="s">
        <v>383</v>
      </c>
    </row>
    <row r="1045" spans="1:14" ht="15.75" customHeight="1">
      <c r="A1045" s="41" t="s">
        <v>790</v>
      </c>
      <c r="B1045" s="41" t="s">
        <v>791</v>
      </c>
      <c r="C1045" s="41" t="s">
        <v>424</v>
      </c>
      <c r="D1045" s="41" t="s">
        <v>429</v>
      </c>
      <c r="E1045" s="41" t="s">
        <v>74</v>
      </c>
      <c r="F1045" s="42">
        <v>9</v>
      </c>
      <c r="G1045" s="41" t="s">
        <v>13</v>
      </c>
      <c r="H1045" s="43" t="s">
        <v>430</v>
      </c>
      <c r="I1045" s="44">
        <v>40</v>
      </c>
      <c r="J1045" s="44">
        <v>48.9</v>
      </c>
      <c r="K1045" s="41"/>
      <c r="L1045" s="45">
        <v>103000</v>
      </c>
      <c r="M1045" s="44">
        <v>1</v>
      </c>
      <c r="N1045" s="43" t="s">
        <v>383</v>
      </c>
    </row>
    <row r="1046" spans="1:14" ht="15.75" customHeight="1">
      <c r="A1046" s="41" t="s">
        <v>790</v>
      </c>
      <c r="B1046" s="41" t="s">
        <v>791</v>
      </c>
      <c r="C1046" s="41" t="s">
        <v>431</v>
      </c>
      <c r="D1046" s="41" t="s">
        <v>432</v>
      </c>
      <c r="E1046" s="41" t="s">
        <v>433</v>
      </c>
      <c r="F1046" s="42">
        <v>18</v>
      </c>
      <c r="G1046" s="41" t="s">
        <v>439</v>
      </c>
      <c r="H1046" s="43" t="s">
        <v>440</v>
      </c>
      <c r="I1046" s="44">
        <v>60</v>
      </c>
      <c r="J1046" s="41"/>
      <c r="K1046" s="44">
        <v>800</v>
      </c>
      <c r="L1046" s="41" t="s">
        <v>435</v>
      </c>
      <c r="M1046" s="44">
        <v>1</v>
      </c>
      <c r="N1046" s="43" t="s">
        <v>436</v>
      </c>
    </row>
    <row r="1047" spans="1:14" ht="15.75" customHeight="1">
      <c r="A1047" s="41" t="s">
        <v>790</v>
      </c>
      <c r="B1047" s="41" t="s">
        <v>791</v>
      </c>
      <c r="C1047" s="41" t="s">
        <v>431</v>
      </c>
      <c r="D1047" s="41" t="s">
        <v>432</v>
      </c>
      <c r="E1047" s="41" t="s">
        <v>433</v>
      </c>
      <c r="F1047" s="42">
        <v>19</v>
      </c>
      <c r="G1047" s="41" t="s">
        <v>368</v>
      </c>
      <c r="H1047" s="43" t="s">
        <v>434</v>
      </c>
      <c r="I1047" s="44">
        <v>60</v>
      </c>
      <c r="J1047" s="41"/>
      <c r="K1047" s="44">
        <v>800</v>
      </c>
      <c r="L1047" s="41" t="s">
        <v>435</v>
      </c>
      <c r="M1047" s="44">
        <v>4</v>
      </c>
      <c r="N1047" s="43" t="s">
        <v>436</v>
      </c>
    </row>
    <row r="1048" spans="1:14" ht="15.75" customHeight="1">
      <c r="A1048" s="41" t="s">
        <v>792</v>
      </c>
      <c r="B1048" s="41" t="s">
        <v>793</v>
      </c>
      <c r="C1048" s="41" t="s">
        <v>424</v>
      </c>
      <c r="D1048" s="41" t="s">
        <v>443</v>
      </c>
      <c r="E1048" s="41" t="s">
        <v>33</v>
      </c>
      <c r="F1048" s="42">
        <v>11</v>
      </c>
      <c r="G1048" s="41" t="s">
        <v>12</v>
      </c>
      <c r="H1048" s="43" t="s">
        <v>444</v>
      </c>
      <c r="I1048" s="44">
        <v>120</v>
      </c>
      <c r="J1048" s="44">
        <v>49.5</v>
      </c>
      <c r="K1048" s="41"/>
      <c r="L1048" s="45">
        <v>79000</v>
      </c>
      <c r="M1048" s="44">
        <v>1</v>
      </c>
      <c r="N1048" s="43" t="s">
        <v>383</v>
      </c>
    </row>
    <row r="1049" spans="1:14" ht="15.75" customHeight="1">
      <c r="A1049" s="41" t="s">
        <v>792</v>
      </c>
      <c r="B1049" s="41" t="s">
        <v>793</v>
      </c>
      <c r="C1049" s="41" t="s">
        <v>424</v>
      </c>
      <c r="D1049" s="41" t="s">
        <v>443</v>
      </c>
      <c r="E1049" s="41" t="s">
        <v>33</v>
      </c>
      <c r="F1049" s="42">
        <v>12</v>
      </c>
      <c r="G1049" s="41" t="s">
        <v>13</v>
      </c>
      <c r="H1049" s="43" t="s">
        <v>444</v>
      </c>
      <c r="I1049" s="44">
        <v>15</v>
      </c>
      <c r="J1049" s="44">
        <v>49.5</v>
      </c>
      <c r="K1049" s="41"/>
      <c r="L1049" s="45">
        <v>79000</v>
      </c>
      <c r="M1049" s="44">
        <v>1</v>
      </c>
      <c r="N1049" s="43" t="s">
        <v>383</v>
      </c>
    </row>
    <row r="1050" spans="1:14" ht="15.75" customHeight="1">
      <c r="A1050" s="41" t="s">
        <v>792</v>
      </c>
      <c r="B1050" s="41" t="s">
        <v>793</v>
      </c>
      <c r="C1050" s="41" t="s">
        <v>431</v>
      </c>
      <c r="D1050" s="41" t="s">
        <v>432</v>
      </c>
      <c r="E1050" s="41" t="s">
        <v>433</v>
      </c>
      <c r="F1050" s="42">
        <v>18</v>
      </c>
      <c r="G1050" s="41" t="s">
        <v>439</v>
      </c>
      <c r="H1050" s="43" t="s">
        <v>440</v>
      </c>
      <c r="I1050" s="44">
        <v>60</v>
      </c>
      <c r="J1050" s="41"/>
      <c r="K1050" s="44">
        <v>1400</v>
      </c>
      <c r="L1050" s="41" t="s">
        <v>435</v>
      </c>
      <c r="M1050" s="44">
        <v>1</v>
      </c>
      <c r="N1050" s="43" t="s">
        <v>436</v>
      </c>
    </row>
    <row r="1051" spans="1:14" ht="15.75" customHeight="1">
      <c r="A1051" s="41" t="s">
        <v>792</v>
      </c>
      <c r="B1051" s="41" t="s">
        <v>793</v>
      </c>
      <c r="C1051" s="41" t="s">
        <v>431</v>
      </c>
      <c r="D1051" s="41" t="s">
        <v>432</v>
      </c>
      <c r="E1051" s="41" t="s">
        <v>433</v>
      </c>
      <c r="F1051" s="42">
        <v>19</v>
      </c>
      <c r="G1051" s="41" t="s">
        <v>368</v>
      </c>
      <c r="H1051" s="43" t="s">
        <v>434</v>
      </c>
      <c r="I1051" s="44">
        <v>60</v>
      </c>
      <c r="J1051" s="41"/>
      <c r="K1051" s="44">
        <v>900</v>
      </c>
      <c r="L1051" s="41" t="s">
        <v>435</v>
      </c>
      <c r="M1051" s="44">
        <v>4</v>
      </c>
      <c r="N1051" s="43" t="s">
        <v>436</v>
      </c>
    </row>
    <row r="1052" spans="1:14" ht="15.75" customHeight="1">
      <c r="A1052" s="41" t="s">
        <v>794</v>
      </c>
      <c r="B1052" s="41" t="s">
        <v>795</v>
      </c>
      <c r="C1052" s="41" t="s">
        <v>442</v>
      </c>
      <c r="D1052" s="41" t="s">
        <v>443</v>
      </c>
      <c r="E1052" s="41" t="s">
        <v>33</v>
      </c>
      <c r="F1052" s="42">
        <v>10</v>
      </c>
      <c r="G1052" s="41" t="s">
        <v>11</v>
      </c>
      <c r="H1052" s="43" t="s">
        <v>426</v>
      </c>
      <c r="I1052" s="44">
        <v>55</v>
      </c>
      <c r="J1052" s="44">
        <v>29</v>
      </c>
      <c r="K1052" s="41"/>
      <c r="L1052" s="45">
        <v>18000</v>
      </c>
      <c r="M1052" s="44">
        <v>1</v>
      </c>
      <c r="N1052" s="43" t="s">
        <v>383</v>
      </c>
    </row>
    <row r="1053" spans="1:14" ht="15.75" customHeight="1">
      <c r="A1053" s="41" t="s">
        <v>794</v>
      </c>
      <c r="B1053" s="41" t="s">
        <v>795</v>
      </c>
      <c r="C1053" s="41" t="s">
        <v>442</v>
      </c>
      <c r="D1053" s="41" t="s">
        <v>443</v>
      </c>
      <c r="E1053" s="41" t="s">
        <v>33</v>
      </c>
      <c r="F1053" s="42">
        <v>11</v>
      </c>
      <c r="G1053" s="41" t="s">
        <v>12</v>
      </c>
      <c r="H1053" s="43" t="s">
        <v>444</v>
      </c>
      <c r="I1053" s="44">
        <v>25</v>
      </c>
      <c r="J1053" s="44">
        <v>29</v>
      </c>
      <c r="K1053" s="41"/>
      <c r="L1053" s="45">
        <v>18000</v>
      </c>
      <c r="M1053" s="44">
        <v>1</v>
      </c>
      <c r="N1053" s="43" t="s">
        <v>383</v>
      </c>
    </row>
    <row r="1054" spans="1:14" ht="15.75" customHeight="1">
      <c r="A1054" s="41" t="s">
        <v>794</v>
      </c>
      <c r="B1054" s="41" t="s">
        <v>795</v>
      </c>
      <c r="C1054" s="41" t="s">
        <v>442</v>
      </c>
      <c r="D1054" s="41" t="s">
        <v>443</v>
      </c>
      <c r="E1054" s="41" t="s">
        <v>33</v>
      </c>
      <c r="F1054" s="42">
        <v>12</v>
      </c>
      <c r="G1054" s="41" t="s">
        <v>13</v>
      </c>
      <c r="H1054" s="43" t="s">
        <v>444</v>
      </c>
      <c r="I1054" s="44">
        <v>10</v>
      </c>
      <c r="J1054" s="44">
        <v>29</v>
      </c>
      <c r="K1054" s="41"/>
      <c r="L1054" s="45">
        <v>18000</v>
      </c>
      <c r="M1054" s="44">
        <v>1</v>
      </c>
      <c r="N1054" s="43" t="s">
        <v>383</v>
      </c>
    </row>
    <row r="1055" spans="1:14" ht="15.75" customHeight="1">
      <c r="A1055" s="41" t="s">
        <v>794</v>
      </c>
      <c r="B1055" s="41" t="s">
        <v>795</v>
      </c>
      <c r="C1055" s="41" t="s">
        <v>431</v>
      </c>
      <c r="D1055" s="41" t="s">
        <v>432</v>
      </c>
      <c r="E1055" s="41" t="s">
        <v>433</v>
      </c>
      <c r="F1055" s="42">
        <v>18</v>
      </c>
      <c r="G1055" s="41" t="s">
        <v>439</v>
      </c>
      <c r="H1055" s="43" t="s">
        <v>440</v>
      </c>
      <c r="I1055" s="44">
        <v>60</v>
      </c>
      <c r="J1055" s="41"/>
      <c r="K1055" s="44">
        <v>1000</v>
      </c>
      <c r="L1055" s="41" t="s">
        <v>435</v>
      </c>
      <c r="M1055" s="44">
        <v>1</v>
      </c>
      <c r="N1055" s="43" t="s">
        <v>436</v>
      </c>
    </row>
    <row r="1056" spans="1:14" ht="15.75" customHeight="1">
      <c r="A1056" s="41" t="s">
        <v>794</v>
      </c>
      <c r="B1056" s="41" t="s">
        <v>795</v>
      </c>
      <c r="C1056" s="41" t="s">
        <v>431</v>
      </c>
      <c r="D1056" s="41" t="s">
        <v>432</v>
      </c>
      <c r="E1056" s="41" t="s">
        <v>433</v>
      </c>
      <c r="F1056" s="42">
        <v>19</v>
      </c>
      <c r="G1056" s="41" t="s">
        <v>368</v>
      </c>
      <c r="H1056" s="43" t="s">
        <v>434</v>
      </c>
      <c r="I1056" s="44">
        <v>60</v>
      </c>
      <c r="J1056" s="41"/>
      <c r="K1056" s="44">
        <v>1000</v>
      </c>
      <c r="L1056" s="41" t="s">
        <v>435</v>
      </c>
      <c r="M1056" s="44">
        <v>3</v>
      </c>
      <c r="N1056" s="43" t="s">
        <v>436</v>
      </c>
    </row>
    <row r="1057" spans="1:14" ht="15.75" customHeight="1">
      <c r="A1057" s="41" t="s">
        <v>796</v>
      </c>
      <c r="B1057" s="41" t="s">
        <v>797</v>
      </c>
      <c r="C1057" s="41" t="s">
        <v>424</v>
      </c>
      <c r="D1057" s="41" t="s">
        <v>425</v>
      </c>
      <c r="E1057" s="41" t="s">
        <v>48</v>
      </c>
      <c r="F1057" s="42">
        <v>4</v>
      </c>
      <c r="G1057" s="41" t="s">
        <v>11</v>
      </c>
      <c r="H1057" s="43" t="s">
        <v>426</v>
      </c>
      <c r="I1057" s="44">
        <v>105</v>
      </c>
      <c r="J1057" s="44">
        <v>37.799999999999997</v>
      </c>
      <c r="K1057" s="41"/>
      <c r="L1057" s="45">
        <v>52000</v>
      </c>
      <c r="M1057" s="44">
        <v>1</v>
      </c>
      <c r="N1057" s="43" t="s">
        <v>383</v>
      </c>
    </row>
    <row r="1058" spans="1:14" ht="15.75" customHeight="1">
      <c r="A1058" s="41" t="s">
        <v>796</v>
      </c>
      <c r="B1058" s="41" t="s">
        <v>797</v>
      </c>
      <c r="C1058" s="41" t="s">
        <v>424</v>
      </c>
      <c r="D1058" s="41" t="s">
        <v>425</v>
      </c>
      <c r="E1058" s="41" t="s">
        <v>48</v>
      </c>
      <c r="F1058" s="42">
        <v>5</v>
      </c>
      <c r="G1058" s="41" t="s">
        <v>12</v>
      </c>
      <c r="H1058" s="43" t="s">
        <v>427</v>
      </c>
      <c r="I1058" s="44">
        <v>115</v>
      </c>
      <c r="J1058" s="44">
        <v>37.799999999999997</v>
      </c>
      <c r="K1058" s="41"/>
      <c r="L1058" s="45">
        <v>52000</v>
      </c>
      <c r="M1058" s="44">
        <v>1</v>
      </c>
      <c r="N1058" s="43" t="s">
        <v>383</v>
      </c>
    </row>
    <row r="1059" spans="1:14" ht="15.75" customHeight="1">
      <c r="A1059" s="41" t="s">
        <v>796</v>
      </c>
      <c r="B1059" s="41" t="s">
        <v>797</v>
      </c>
      <c r="C1059" s="41" t="s">
        <v>424</v>
      </c>
      <c r="D1059" s="41" t="s">
        <v>425</v>
      </c>
      <c r="E1059" s="41" t="s">
        <v>48</v>
      </c>
      <c r="F1059" s="42">
        <v>6</v>
      </c>
      <c r="G1059" s="41" t="s">
        <v>13</v>
      </c>
      <c r="H1059" s="43" t="s">
        <v>427</v>
      </c>
      <c r="I1059" s="44">
        <v>90</v>
      </c>
      <c r="J1059" s="44">
        <v>37.799999999999997</v>
      </c>
      <c r="K1059" s="41"/>
      <c r="L1059" s="45">
        <v>52000</v>
      </c>
      <c r="M1059" s="44">
        <v>1</v>
      </c>
      <c r="N1059" s="43" t="s">
        <v>383</v>
      </c>
    </row>
    <row r="1060" spans="1:14" ht="15.75" customHeight="1">
      <c r="A1060" s="41" t="s">
        <v>796</v>
      </c>
      <c r="B1060" s="41" t="s">
        <v>797</v>
      </c>
      <c r="C1060" s="41" t="s">
        <v>431</v>
      </c>
      <c r="D1060" s="41" t="s">
        <v>432</v>
      </c>
      <c r="E1060" s="41" t="s">
        <v>433</v>
      </c>
      <c r="F1060" s="42">
        <v>18</v>
      </c>
      <c r="G1060" s="41" t="s">
        <v>439</v>
      </c>
      <c r="H1060" s="43" t="s">
        <v>440</v>
      </c>
      <c r="I1060" s="44">
        <v>60</v>
      </c>
      <c r="J1060" s="41"/>
      <c r="K1060" s="44">
        <v>1000</v>
      </c>
      <c r="L1060" s="41" t="s">
        <v>435</v>
      </c>
      <c r="M1060" s="44">
        <v>1</v>
      </c>
      <c r="N1060" s="43" t="s">
        <v>436</v>
      </c>
    </row>
    <row r="1061" spans="1:14" ht="15.75" customHeight="1">
      <c r="A1061" s="41" t="s">
        <v>796</v>
      </c>
      <c r="B1061" s="41" t="s">
        <v>797</v>
      </c>
      <c r="C1061" s="41" t="s">
        <v>431</v>
      </c>
      <c r="D1061" s="41" t="s">
        <v>432</v>
      </c>
      <c r="E1061" s="41" t="s">
        <v>433</v>
      </c>
      <c r="F1061" s="42">
        <v>19</v>
      </c>
      <c r="G1061" s="41" t="s">
        <v>368</v>
      </c>
      <c r="H1061" s="43" t="s">
        <v>434</v>
      </c>
      <c r="I1061" s="44">
        <v>60</v>
      </c>
      <c r="J1061" s="41"/>
      <c r="K1061" s="44">
        <v>780</v>
      </c>
      <c r="L1061" s="41" t="s">
        <v>435</v>
      </c>
      <c r="M1061" s="44">
        <v>4</v>
      </c>
      <c r="N1061" s="43" t="s">
        <v>436</v>
      </c>
    </row>
    <row r="1062" spans="1:14" ht="15.75" customHeight="1">
      <c r="A1062" s="41" t="s">
        <v>798</v>
      </c>
      <c r="B1062" s="41" t="s">
        <v>799</v>
      </c>
      <c r="C1062" s="41" t="s">
        <v>442</v>
      </c>
      <c r="D1062" s="41" t="s">
        <v>448</v>
      </c>
      <c r="E1062" s="41" t="s">
        <v>40</v>
      </c>
      <c r="F1062" s="42">
        <v>1</v>
      </c>
      <c r="G1062" s="41" t="s">
        <v>11</v>
      </c>
      <c r="H1062" s="43" t="s">
        <v>426</v>
      </c>
      <c r="I1062" s="44">
        <v>40</v>
      </c>
      <c r="J1062" s="44">
        <v>121.2</v>
      </c>
      <c r="K1062" s="41"/>
      <c r="L1062" s="45">
        <v>412000</v>
      </c>
      <c r="M1062" s="44">
        <v>1</v>
      </c>
      <c r="N1062" s="43" t="s">
        <v>383</v>
      </c>
    </row>
    <row r="1063" spans="1:14" ht="15.75" customHeight="1">
      <c r="A1063" s="41" t="s">
        <v>798</v>
      </c>
      <c r="B1063" s="41" t="s">
        <v>799</v>
      </c>
      <c r="C1063" s="41" t="s">
        <v>442</v>
      </c>
      <c r="D1063" s="41" t="s">
        <v>448</v>
      </c>
      <c r="E1063" s="41" t="s">
        <v>40</v>
      </c>
      <c r="F1063" s="42">
        <v>2</v>
      </c>
      <c r="G1063" s="41" t="s">
        <v>12</v>
      </c>
      <c r="H1063" s="43" t="s">
        <v>449</v>
      </c>
      <c r="I1063" s="44">
        <v>100</v>
      </c>
      <c r="J1063" s="44">
        <v>121.2</v>
      </c>
      <c r="K1063" s="41"/>
      <c r="L1063" s="45">
        <v>412000</v>
      </c>
      <c r="M1063" s="44">
        <v>1</v>
      </c>
      <c r="N1063" s="43" t="s">
        <v>383</v>
      </c>
    </row>
    <row r="1064" spans="1:14" ht="15.75" customHeight="1">
      <c r="A1064" s="41" t="s">
        <v>798</v>
      </c>
      <c r="B1064" s="41" t="s">
        <v>799</v>
      </c>
      <c r="C1064" s="41" t="s">
        <v>442</v>
      </c>
      <c r="D1064" s="41" t="s">
        <v>448</v>
      </c>
      <c r="E1064" s="41" t="s">
        <v>40</v>
      </c>
      <c r="F1064" s="42">
        <v>3</v>
      </c>
      <c r="G1064" s="41" t="s">
        <v>13</v>
      </c>
      <c r="H1064" s="43" t="s">
        <v>449</v>
      </c>
      <c r="I1064" s="44">
        <v>40</v>
      </c>
      <c r="J1064" s="44">
        <v>121.2</v>
      </c>
      <c r="K1064" s="41"/>
      <c r="L1064" s="45">
        <v>412000</v>
      </c>
      <c r="M1064" s="44">
        <v>1</v>
      </c>
      <c r="N1064" s="43" t="s">
        <v>383</v>
      </c>
    </row>
    <row r="1065" spans="1:14" ht="15.75" customHeight="1">
      <c r="A1065" s="41" t="s">
        <v>798</v>
      </c>
      <c r="B1065" s="41" t="s">
        <v>799</v>
      </c>
      <c r="C1065" s="41" t="s">
        <v>431</v>
      </c>
      <c r="D1065" s="41" t="s">
        <v>432</v>
      </c>
      <c r="E1065" s="41" t="s">
        <v>433</v>
      </c>
      <c r="F1065" s="42">
        <v>18</v>
      </c>
      <c r="G1065" s="41" t="s">
        <v>439</v>
      </c>
      <c r="H1065" s="43" t="s">
        <v>440</v>
      </c>
      <c r="I1065" s="44">
        <v>60</v>
      </c>
      <c r="J1065" s="41"/>
      <c r="K1065" s="44">
        <v>860</v>
      </c>
      <c r="L1065" s="41" t="s">
        <v>435</v>
      </c>
      <c r="M1065" s="44">
        <v>1</v>
      </c>
      <c r="N1065" s="43" t="s">
        <v>436</v>
      </c>
    </row>
    <row r="1066" spans="1:14" ht="15.75" customHeight="1">
      <c r="A1066" s="41" t="s">
        <v>798</v>
      </c>
      <c r="B1066" s="41" t="s">
        <v>799</v>
      </c>
      <c r="C1066" s="41" t="s">
        <v>431</v>
      </c>
      <c r="D1066" s="41" t="s">
        <v>432</v>
      </c>
      <c r="E1066" s="41" t="s">
        <v>433</v>
      </c>
      <c r="F1066" s="42">
        <v>19</v>
      </c>
      <c r="G1066" s="41" t="s">
        <v>368</v>
      </c>
      <c r="H1066" s="43" t="s">
        <v>434</v>
      </c>
      <c r="I1066" s="44">
        <v>60</v>
      </c>
      <c r="J1066" s="41"/>
      <c r="K1066" s="44">
        <v>700</v>
      </c>
      <c r="L1066" s="41" t="s">
        <v>435</v>
      </c>
      <c r="M1066" s="44">
        <v>4</v>
      </c>
      <c r="N1066" s="43" t="s">
        <v>436</v>
      </c>
    </row>
    <row r="1067" spans="1:14" ht="15.75" customHeight="1">
      <c r="A1067" s="41" t="s">
        <v>800</v>
      </c>
      <c r="B1067" s="41" t="s">
        <v>801</v>
      </c>
      <c r="C1067" s="41" t="s">
        <v>442</v>
      </c>
      <c r="D1067" s="41" t="s">
        <v>443</v>
      </c>
      <c r="E1067" s="41" t="s">
        <v>33</v>
      </c>
      <c r="F1067" s="42">
        <v>10</v>
      </c>
      <c r="G1067" s="41" t="s">
        <v>11</v>
      </c>
      <c r="H1067" s="43" t="s">
        <v>426</v>
      </c>
      <c r="I1067" s="44">
        <v>20</v>
      </c>
      <c r="J1067" s="44">
        <v>60.6</v>
      </c>
      <c r="K1067" s="41"/>
      <c r="L1067" s="45">
        <v>35000</v>
      </c>
      <c r="M1067" s="44">
        <v>1</v>
      </c>
      <c r="N1067" s="43" t="s">
        <v>383</v>
      </c>
    </row>
    <row r="1068" spans="1:14" ht="15.75" customHeight="1">
      <c r="A1068" s="41" t="s">
        <v>800</v>
      </c>
      <c r="B1068" s="41" t="s">
        <v>801</v>
      </c>
      <c r="C1068" s="41" t="s">
        <v>442</v>
      </c>
      <c r="D1068" s="41" t="s">
        <v>443</v>
      </c>
      <c r="E1068" s="41" t="s">
        <v>33</v>
      </c>
      <c r="F1068" s="42">
        <v>11</v>
      </c>
      <c r="G1068" s="41" t="s">
        <v>12</v>
      </c>
      <c r="H1068" s="43" t="s">
        <v>444</v>
      </c>
      <c r="I1068" s="44">
        <v>55</v>
      </c>
      <c r="J1068" s="44">
        <v>60.6</v>
      </c>
      <c r="K1068" s="41"/>
      <c r="L1068" s="45">
        <v>35000</v>
      </c>
      <c r="M1068" s="44">
        <v>1</v>
      </c>
      <c r="N1068" s="43" t="s">
        <v>383</v>
      </c>
    </row>
    <row r="1069" spans="1:14" ht="15.75" customHeight="1">
      <c r="A1069" s="41" t="s">
        <v>800</v>
      </c>
      <c r="B1069" s="41" t="s">
        <v>801</v>
      </c>
      <c r="C1069" s="41" t="s">
        <v>442</v>
      </c>
      <c r="D1069" s="41" t="s">
        <v>443</v>
      </c>
      <c r="E1069" s="41" t="s">
        <v>33</v>
      </c>
      <c r="F1069" s="42">
        <v>12</v>
      </c>
      <c r="G1069" s="41" t="s">
        <v>13</v>
      </c>
      <c r="H1069" s="43" t="s">
        <v>444</v>
      </c>
      <c r="I1069" s="44">
        <v>15</v>
      </c>
      <c r="J1069" s="44">
        <v>60.6</v>
      </c>
      <c r="K1069" s="41"/>
      <c r="L1069" s="45">
        <v>35000</v>
      </c>
      <c r="M1069" s="44">
        <v>1</v>
      </c>
      <c r="N1069" s="43" t="s">
        <v>383</v>
      </c>
    </row>
    <row r="1070" spans="1:14" ht="15.75" customHeight="1">
      <c r="A1070" s="41" t="s">
        <v>800</v>
      </c>
      <c r="B1070" s="41" t="s">
        <v>801</v>
      </c>
      <c r="C1070" s="41" t="s">
        <v>431</v>
      </c>
      <c r="D1070" s="41" t="s">
        <v>432</v>
      </c>
      <c r="E1070" s="41" t="s">
        <v>433</v>
      </c>
      <c r="F1070" s="42">
        <v>18</v>
      </c>
      <c r="G1070" s="41" t="s">
        <v>439</v>
      </c>
      <c r="H1070" s="43" t="s">
        <v>440</v>
      </c>
      <c r="I1070" s="44">
        <v>60</v>
      </c>
      <c r="J1070" s="41"/>
      <c r="K1070" s="44">
        <v>550</v>
      </c>
      <c r="L1070" s="41" t="s">
        <v>435</v>
      </c>
      <c r="M1070" s="44">
        <v>1</v>
      </c>
      <c r="N1070" s="43" t="s">
        <v>436</v>
      </c>
    </row>
    <row r="1071" spans="1:14" ht="15.75" customHeight="1">
      <c r="A1071" s="41" t="s">
        <v>800</v>
      </c>
      <c r="B1071" s="41" t="s">
        <v>801</v>
      </c>
      <c r="C1071" s="41" t="s">
        <v>431</v>
      </c>
      <c r="D1071" s="41" t="s">
        <v>432</v>
      </c>
      <c r="E1071" s="41" t="s">
        <v>433</v>
      </c>
      <c r="F1071" s="42">
        <v>19</v>
      </c>
      <c r="G1071" s="41" t="s">
        <v>368</v>
      </c>
      <c r="H1071" s="43" t="s">
        <v>434</v>
      </c>
      <c r="I1071" s="44">
        <v>60</v>
      </c>
      <c r="J1071" s="41"/>
      <c r="K1071" s="44">
        <v>770</v>
      </c>
      <c r="L1071" s="41" t="s">
        <v>435</v>
      </c>
      <c r="M1071" s="44">
        <v>4</v>
      </c>
      <c r="N1071" s="43" t="s">
        <v>436</v>
      </c>
    </row>
    <row r="1072" spans="1:14" ht="15.75" customHeight="1">
      <c r="A1072" s="41" t="s">
        <v>802</v>
      </c>
      <c r="B1072" s="41" t="s">
        <v>803</v>
      </c>
      <c r="C1072" s="41" t="s">
        <v>442</v>
      </c>
      <c r="D1072" s="41" t="s">
        <v>443</v>
      </c>
      <c r="E1072" s="41" t="s">
        <v>33</v>
      </c>
      <c r="F1072" s="42">
        <v>10</v>
      </c>
      <c r="G1072" s="41" t="s">
        <v>11</v>
      </c>
      <c r="H1072" s="43" t="s">
        <v>426</v>
      </c>
      <c r="I1072" s="44">
        <v>20</v>
      </c>
      <c r="J1072" s="44">
        <v>60.6</v>
      </c>
      <c r="K1072" s="41"/>
      <c r="L1072" s="45">
        <v>65000</v>
      </c>
      <c r="M1072" s="44">
        <v>1</v>
      </c>
      <c r="N1072" s="43" t="s">
        <v>383</v>
      </c>
    </row>
    <row r="1073" spans="1:14" ht="15.75" customHeight="1">
      <c r="A1073" s="41" t="s">
        <v>802</v>
      </c>
      <c r="B1073" s="41" t="s">
        <v>803</v>
      </c>
      <c r="C1073" s="41" t="s">
        <v>442</v>
      </c>
      <c r="D1073" s="41" t="s">
        <v>443</v>
      </c>
      <c r="E1073" s="41" t="s">
        <v>33</v>
      </c>
      <c r="F1073" s="42">
        <v>11</v>
      </c>
      <c r="G1073" s="41" t="s">
        <v>12</v>
      </c>
      <c r="H1073" s="43" t="s">
        <v>444</v>
      </c>
      <c r="I1073" s="44">
        <v>55</v>
      </c>
      <c r="J1073" s="44">
        <v>60.6</v>
      </c>
      <c r="K1073" s="41"/>
      <c r="L1073" s="45">
        <v>65000</v>
      </c>
      <c r="M1073" s="44">
        <v>1</v>
      </c>
      <c r="N1073" s="43" t="s">
        <v>383</v>
      </c>
    </row>
    <row r="1074" spans="1:14" ht="15.75" customHeight="1">
      <c r="A1074" s="41" t="s">
        <v>802</v>
      </c>
      <c r="B1074" s="41" t="s">
        <v>803</v>
      </c>
      <c r="C1074" s="41" t="s">
        <v>442</v>
      </c>
      <c r="D1074" s="41" t="s">
        <v>443</v>
      </c>
      <c r="E1074" s="41" t="s">
        <v>33</v>
      </c>
      <c r="F1074" s="42">
        <v>12</v>
      </c>
      <c r="G1074" s="41" t="s">
        <v>13</v>
      </c>
      <c r="H1074" s="43" t="s">
        <v>444</v>
      </c>
      <c r="I1074" s="44">
        <v>15</v>
      </c>
      <c r="J1074" s="44">
        <v>60.6</v>
      </c>
      <c r="K1074" s="41"/>
      <c r="L1074" s="45">
        <v>65000</v>
      </c>
      <c r="M1074" s="44">
        <v>1</v>
      </c>
      <c r="N1074" s="43" t="s">
        <v>383</v>
      </c>
    </row>
    <row r="1075" spans="1:14" ht="15.75" customHeight="1">
      <c r="A1075" s="41" t="s">
        <v>802</v>
      </c>
      <c r="B1075" s="41" t="s">
        <v>803</v>
      </c>
      <c r="C1075" s="41" t="s">
        <v>431</v>
      </c>
      <c r="D1075" s="41" t="s">
        <v>432</v>
      </c>
      <c r="E1075" s="41" t="s">
        <v>433</v>
      </c>
      <c r="F1075" s="42">
        <v>18</v>
      </c>
      <c r="G1075" s="41" t="s">
        <v>439</v>
      </c>
      <c r="H1075" s="43" t="s">
        <v>440</v>
      </c>
      <c r="I1075" s="44">
        <v>60</v>
      </c>
      <c r="J1075" s="41"/>
      <c r="K1075" s="44">
        <v>1300</v>
      </c>
      <c r="L1075" s="41" t="s">
        <v>435</v>
      </c>
      <c r="M1075" s="44">
        <v>1</v>
      </c>
      <c r="N1075" s="43" t="s">
        <v>436</v>
      </c>
    </row>
    <row r="1076" spans="1:14" ht="15.75" customHeight="1">
      <c r="A1076" s="41" t="s">
        <v>802</v>
      </c>
      <c r="B1076" s="41" t="s">
        <v>803</v>
      </c>
      <c r="C1076" s="41" t="s">
        <v>431</v>
      </c>
      <c r="D1076" s="41" t="s">
        <v>432</v>
      </c>
      <c r="E1076" s="41" t="s">
        <v>433</v>
      </c>
      <c r="F1076" s="42">
        <v>19</v>
      </c>
      <c r="G1076" s="41" t="s">
        <v>368</v>
      </c>
      <c r="H1076" s="43" t="s">
        <v>434</v>
      </c>
      <c r="I1076" s="44">
        <v>60</v>
      </c>
      <c r="J1076" s="41"/>
      <c r="K1076" s="44">
        <v>770</v>
      </c>
      <c r="L1076" s="41" t="s">
        <v>435</v>
      </c>
      <c r="M1076" s="44">
        <v>4</v>
      </c>
      <c r="N1076" s="43" t="s">
        <v>436</v>
      </c>
    </row>
    <row r="1077" spans="1:14" ht="15.75" customHeight="1">
      <c r="A1077" s="41" t="s">
        <v>804</v>
      </c>
      <c r="B1077" s="41" t="s">
        <v>805</v>
      </c>
      <c r="C1077" s="41" t="s">
        <v>499</v>
      </c>
      <c r="D1077" s="41" t="s">
        <v>443</v>
      </c>
      <c r="E1077" s="41" t="s">
        <v>33</v>
      </c>
      <c r="F1077" s="42">
        <v>11</v>
      </c>
      <c r="G1077" s="41" t="s">
        <v>12</v>
      </c>
      <c r="H1077" s="43" t="s">
        <v>444</v>
      </c>
      <c r="I1077" s="44">
        <v>40</v>
      </c>
      <c r="J1077" s="44">
        <v>16.5</v>
      </c>
      <c r="K1077" s="41"/>
      <c r="L1077" s="45">
        <v>62000</v>
      </c>
      <c r="M1077" s="44">
        <v>1</v>
      </c>
      <c r="N1077" s="43" t="s">
        <v>383</v>
      </c>
    </row>
    <row r="1078" spans="1:14" ht="15.75" customHeight="1">
      <c r="A1078" s="41" t="s">
        <v>804</v>
      </c>
      <c r="B1078" s="41" t="s">
        <v>805</v>
      </c>
      <c r="C1078" s="41" t="s">
        <v>499</v>
      </c>
      <c r="D1078" s="41" t="s">
        <v>443</v>
      </c>
      <c r="E1078" s="41" t="s">
        <v>33</v>
      </c>
      <c r="F1078" s="42">
        <v>12</v>
      </c>
      <c r="G1078" s="41" t="s">
        <v>13</v>
      </c>
      <c r="H1078" s="43" t="s">
        <v>444</v>
      </c>
      <c r="I1078" s="44">
        <v>15</v>
      </c>
      <c r="J1078" s="44">
        <v>16.5</v>
      </c>
      <c r="K1078" s="41"/>
      <c r="L1078" s="45">
        <v>62000</v>
      </c>
      <c r="M1078" s="44">
        <v>1</v>
      </c>
      <c r="N1078" s="43" t="s">
        <v>383</v>
      </c>
    </row>
    <row r="1079" spans="1:14" ht="15.75" customHeight="1">
      <c r="A1079" s="41" t="s">
        <v>804</v>
      </c>
      <c r="B1079" s="41" t="s">
        <v>805</v>
      </c>
      <c r="C1079" s="41" t="s">
        <v>708</v>
      </c>
      <c r="D1079" s="41" t="s">
        <v>443</v>
      </c>
      <c r="E1079" s="41" t="s">
        <v>33</v>
      </c>
      <c r="F1079" s="42">
        <v>11</v>
      </c>
      <c r="G1079" s="41" t="s">
        <v>12</v>
      </c>
      <c r="H1079" s="43" t="s">
        <v>444</v>
      </c>
      <c r="I1079" s="44">
        <v>190</v>
      </c>
      <c r="J1079" s="44">
        <v>16.5</v>
      </c>
      <c r="K1079" s="41"/>
      <c r="L1079" s="45">
        <v>62000</v>
      </c>
      <c r="M1079" s="44">
        <v>1</v>
      </c>
      <c r="N1079" s="43" t="s">
        <v>383</v>
      </c>
    </row>
    <row r="1080" spans="1:14" ht="15.75" customHeight="1">
      <c r="A1080" s="41" t="s">
        <v>804</v>
      </c>
      <c r="B1080" s="41" t="s">
        <v>805</v>
      </c>
      <c r="C1080" s="41" t="s">
        <v>708</v>
      </c>
      <c r="D1080" s="41" t="s">
        <v>443</v>
      </c>
      <c r="E1080" s="41" t="s">
        <v>33</v>
      </c>
      <c r="F1080" s="42">
        <v>12</v>
      </c>
      <c r="G1080" s="41" t="s">
        <v>13</v>
      </c>
      <c r="H1080" s="43" t="s">
        <v>444</v>
      </c>
      <c r="I1080" s="44">
        <v>15</v>
      </c>
      <c r="J1080" s="44">
        <v>16.5</v>
      </c>
      <c r="K1080" s="41"/>
      <c r="L1080" s="45">
        <v>62000</v>
      </c>
      <c r="M1080" s="44">
        <v>1</v>
      </c>
      <c r="N1080" s="43" t="s">
        <v>383</v>
      </c>
    </row>
    <row r="1081" spans="1:14" ht="15.75" customHeight="1">
      <c r="A1081" s="41" t="s">
        <v>804</v>
      </c>
      <c r="B1081" s="41" t="s">
        <v>805</v>
      </c>
      <c r="C1081" s="41" t="s">
        <v>431</v>
      </c>
      <c r="D1081" s="41" t="s">
        <v>432</v>
      </c>
      <c r="E1081" s="41" t="s">
        <v>433</v>
      </c>
      <c r="F1081" s="42">
        <v>18</v>
      </c>
      <c r="G1081" s="41" t="s">
        <v>439</v>
      </c>
      <c r="H1081" s="43" t="s">
        <v>440</v>
      </c>
      <c r="I1081" s="44">
        <v>60</v>
      </c>
      <c r="J1081" s="41"/>
      <c r="K1081" s="44">
        <v>900</v>
      </c>
      <c r="L1081" s="41" t="s">
        <v>435</v>
      </c>
      <c r="M1081" s="44">
        <v>1</v>
      </c>
      <c r="N1081" s="43" t="s">
        <v>436</v>
      </c>
    </row>
    <row r="1082" spans="1:14" ht="15.75" customHeight="1">
      <c r="A1082" s="41" t="s">
        <v>804</v>
      </c>
      <c r="B1082" s="41" t="s">
        <v>805</v>
      </c>
      <c r="C1082" s="41" t="s">
        <v>431</v>
      </c>
      <c r="D1082" s="41" t="s">
        <v>432</v>
      </c>
      <c r="E1082" s="41" t="s">
        <v>433</v>
      </c>
      <c r="F1082" s="42">
        <v>19</v>
      </c>
      <c r="G1082" s="41" t="s">
        <v>368</v>
      </c>
      <c r="H1082" s="43" t="s">
        <v>434</v>
      </c>
      <c r="I1082" s="44">
        <v>60</v>
      </c>
      <c r="J1082" s="41"/>
      <c r="K1082" s="44">
        <v>630</v>
      </c>
      <c r="L1082" s="41" t="s">
        <v>435</v>
      </c>
      <c r="M1082" s="44">
        <v>4</v>
      </c>
      <c r="N1082" s="43" t="s">
        <v>436</v>
      </c>
    </row>
    <row r="1083" spans="1:14" ht="15.75" customHeight="1">
      <c r="A1083" s="41" t="s">
        <v>806</v>
      </c>
      <c r="B1083" s="41" t="s">
        <v>807</v>
      </c>
      <c r="C1083" s="41" t="s">
        <v>442</v>
      </c>
      <c r="D1083" s="41" t="s">
        <v>443</v>
      </c>
      <c r="E1083" s="41" t="s">
        <v>33</v>
      </c>
      <c r="F1083" s="42">
        <v>10</v>
      </c>
      <c r="G1083" s="41" t="s">
        <v>11</v>
      </c>
      <c r="H1083" s="43" t="s">
        <v>426</v>
      </c>
      <c r="I1083" s="44">
        <v>90</v>
      </c>
      <c r="J1083" s="44">
        <v>40</v>
      </c>
      <c r="K1083" s="41"/>
      <c r="L1083" s="45">
        <v>100000</v>
      </c>
      <c r="M1083" s="44">
        <v>1</v>
      </c>
      <c r="N1083" s="43" t="s">
        <v>383</v>
      </c>
    </row>
    <row r="1084" spans="1:14" ht="15.75" customHeight="1">
      <c r="A1084" s="41" t="s">
        <v>806</v>
      </c>
      <c r="B1084" s="41" t="s">
        <v>807</v>
      </c>
      <c r="C1084" s="41" t="s">
        <v>442</v>
      </c>
      <c r="D1084" s="41" t="s">
        <v>443</v>
      </c>
      <c r="E1084" s="41" t="s">
        <v>33</v>
      </c>
      <c r="F1084" s="42">
        <v>11</v>
      </c>
      <c r="G1084" s="41" t="s">
        <v>12</v>
      </c>
      <c r="H1084" s="43" t="s">
        <v>444</v>
      </c>
      <c r="I1084" s="44">
        <v>55</v>
      </c>
      <c r="J1084" s="44">
        <v>40</v>
      </c>
      <c r="K1084" s="41"/>
      <c r="L1084" s="45">
        <v>100000</v>
      </c>
      <c r="M1084" s="44">
        <v>1</v>
      </c>
      <c r="N1084" s="43" t="s">
        <v>383</v>
      </c>
    </row>
    <row r="1085" spans="1:14" ht="15.75" customHeight="1">
      <c r="A1085" s="41" t="s">
        <v>806</v>
      </c>
      <c r="B1085" s="41" t="s">
        <v>807</v>
      </c>
      <c r="C1085" s="41" t="s">
        <v>442</v>
      </c>
      <c r="D1085" s="41" t="s">
        <v>443</v>
      </c>
      <c r="E1085" s="41" t="s">
        <v>33</v>
      </c>
      <c r="F1085" s="42">
        <v>12</v>
      </c>
      <c r="G1085" s="41" t="s">
        <v>13</v>
      </c>
      <c r="H1085" s="43" t="s">
        <v>444</v>
      </c>
      <c r="I1085" s="44">
        <v>10</v>
      </c>
      <c r="J1085" s="44">
        <v>40</v>
      </c>
      <c r="K1085" s="41"/>
      <c r="L1085" s="45">
        <v>100000</v>
      </c>
      <c r="M1085" s="44">
        <v>1</v>
      </c>
      <c r="N1085" s="43" t="s">
        <v>383</v>
      </c>
    </row>
    <row r="1086" spans="1:14" ht="15.75" customHeight="1">
      <c r="A1086" s="41" t="s">
        <v>806</v>
      </c>
      <c r="B1086" s="41" t="s">
        <v>807</v>
      </c>
      <c r="C1086" s="41" t="s">
        <v>431</v>
      </c>
      <c r="D1086" s="41" t="s">
        <v>432</v>
      </c>
      <c r="E1086" s="41" t="s">
        <v>433</v>
      </c>
      <c r="F1086" s="42">
        <v>18</v>
      </c>
      <c r="G1086" s="41" t="s">
        <v>439</v>
      </c>
      <c r="H1086" s="43" t="s">
        <v>440</v>
      </c>
      <c r="I1086" s="44">
        <v>60</v>
      </c>
      <c r="J1086" s="41"/>
      <c r="K1086" s="44">
        <v>1000</v>
      </c>
      <c r="L1086" s="41" t="s">
        <v>435</v>
      </c>
      <c r="M1086" s="44">
        <v>1</v>
      </c>
      <c r="N1086" s="43" t="s">
        <v>436</v>
      </c>
    </row>
    <row r="1087" spans="1:14" ht="15.75" customHeight="1">
      <c r="A1087" s="41" t="s">
        <v>806</v>
      </c>
      <c r="B1087" s="41" t="s">
        <v>807</v>
      </c>
      <c r="C1087" s="41" t="s">
        <v>431</v>
      </c>
      <c r="D1087" s="41" t="s">
        <v>432</v>
      </c>
      <c r="E1087" s="41" t="s">
        <v>433</v>
      </c>
      <c r="F1087" s="42">
        <v>19</v>
      </c>
      <c r="G1087" s="41" t="s">
        <v>368</v>
      </c>
      <c r="H1087" s="43" t="s">
        <v>434</v>
      </c>
      <c r="I1087" s="44">
        <v>60</v>
      </c>
      <c r="J1087" s="41"/>
      <c r="K1087" s="44">
        <v>900</v>
      </c>
      <c r="L1087" s="41" t="s">
        <v>435</v>
      </c>
      <c r="M1087" s="44">
        <v>4</v>
      </c>
      <c r="N1087" s="43" t="s">
        <v>436</v>
      </c>
    </row>
    <row r="1088" spans="1:14" ht="15.75" customHeight="1">
      <c r="A1088" s="41" t="s">
        <v>808</v>
      </c>
      <c r="B1088" s="41" t="s">
        <v>809</v>
      </c>
      <c r="C1088" s="41" t="s">
        <v>442</v>
      </c>
      <c r="D1088" s="41" t="s">
        <v>443</v>
      </c>
      <c r="E1088" s="41" t="s">
        <v>33</v>
      </c>
      <c r="F1088" s="42">
        <v>10</v>
      </c>
      <c r="G1088" s="41" t="s">
        <v>11</v>
      </c>
      <c r="H1088" s="43" t="s">
        <v>426</v>
      </c>
      <c r="I1088" s="44">
        <v>95</v>
      </c>
      <c r="J1088" s="44">
        <v>30.3</v>
      </c>
      <c r="K1088" s="41"/>
      <c r="L1088" s="45">
        <v>80000</v>
      </c>
      <c r="M1088" s="44">
        <v>1</v>
      </c>
      <c r="N1088" s="43" t="s">
        <v>383</v>
      </c>
    </row>
    <row r="1089" spans="1:14" ht="15.75" customHeight="1">
      <c r="A1089" s="41" t="s">
        <v>808</v>
      </c>
      <c r="B1089" s="41" t="s">
        <v>809</v>
      </c>
      <c r="C1089" s="41" t="s">
        <v>442</v>
      </c>
      <c r="D1089" s="41" t="s">
        <v>443</v>
      </c>
      <c r="E1089" s="41" t="s">
        <v>33</v>
      </c>
      <c r="F1089" s="42">
        <v>11</v>
      </c>
      <c r="G1089" s="41" t="s">
        <v>12</v>
      </c>
      <c r="H1089" s="43" t="s">
        <v>444</v>
      </c>
      <c r="I1089" s="44">
        <v>110</v>
      </c>
      <c r="J1089" s="44">
        <v>30.3</v>
      </c>
      <c r="K1089" s="41"/>
      <c r="L1089" s="45">
        <v>80000</v>
      </c>
      <c r="M1089" s="44">
        <v>1</v>
      </c>
      <c r="N1089" s="43" t="s">
        <v>383</v>
      </c>
    </row>
    <row r="1090" spans="1:14" ht="15.75" customHeight="1">
      <c r="A1090" s="41" t="s">
        <v>808</v>
      </c>
      <c r="B1090" s="41" t="s">
        <v>809</v>
      </c>
      <c r="C1090" s="41" t="s">
        <v>442</v>
      </c>
      <c r="D1090" s="41" t="s">
        <v>443</v>
      </c>
      <c r="E1090" s="41" t="s">
        <v>33</v>
      </c>
      <c r="F1090" s="42">
        <v>12</v>
      </c>
      <c r="G1090" s="41" t="s">
        <v>13</v>
      </c>
      <c r="H1090" s="43" t="s">
        <v>444</v>
      </c>
      <c r="I1090" s="44">
        <v>30</v>
      </c>
      <c r="J1090" s="44">
        <v>30.3</v>
      </c>
      <c r="K1090" s="41"/>
      <c r="L1090" s="45">
        <v>80000</v>
      </c>
      <c r="M1090" s="44">
        <v>1</v>
      </c>
      <c r="N1090" s="43" t="s">
        <v>383</v>
      </c>
    </row>
    <row r="1091" spans="1:14" ht="15.75" customHeight="1">
      <c r="A1091" s="41" t="s">
        <v>808</v>
      </c>
      <c r="B1091" s="41" t="s">
        <v>809</v>
      </c>
      <c r="C1091" s="41" t="s">
        <v>431</v>
      </c>
      <c r="D1091" s="41" t="s">
        <v>432</v>
      </c>
      <c r="E1091" s="41" t="s">
        <v>433</v>
      </c>
      <c r="F1091" s="42">
        <v>18</v>
      </c>
      <c r="G1091" s="41" t="s">
        <v>439</v>
      </c>
      <c r="H1091" s="43" t="s">
        <v>440</v>
      </c>
      <c r="I1091" s="44">
        <v>60</v>
      </c>
      <c r="J1091" s="41"/>
      <c r="K1091" s="44">
        <v>800</v>
      </c>
      <c r="L1091" s="41" t="s">
        <v>435</v>
      </c>
      <c r="M1091" s="44">
        <v>1</v>
      </c>
      <c r="N1091" s="43" t="s">
        <v>436</v>
      </c>
    </row>
    <row r="1092" spans="1:14" ht="15.75" customHeight="1">
      <c r="A1092" s="41" t="s">
        <v>808</v>
      </c>
      <c r="B1092" s="41" t="s">
        <v>809</v>
      </c>
      <c r="C1092" s="41" t="s">
        <v>431</v>
      </c>
      <c r="D1092" s="41" t="s">
        <v>432</v>
      </c>
      <c r="E1092" s="41" t="s">
        <v>433</v>
      </c>
      <c r="F1092" s="42">
        <v>19</v>
      </c>
      <c r="G1092" s="41" t="s">
        <v>368</v>
      </c>
      <c r="H1092" s="43" t="s">
        <v>434</v>
      </c>
      <c r="I1092" s="44">
        <v>60</v>
      </c>
      <c r="J1092" s="41"/>
      <c r="K1092" s="44">
        <v>800</v>
      </c>
      <c r="L1092" s="41" t="s">
        <v>435</v>
      </c>
      <c r="M1092" s="44">
        <v>3</v>
      </c>
      <c r="N1092" s="43" t="s">
        <v>436</v>
      </c>
    </row>
    <row r="1093" spans="1:14" ht="15.75" customHeight="1">
      <c r="A1093" s="41" t="s">
        <v>810</v>
      </c>
      <c r="B1093" s="41" t="s">
        <v>266</v>
      </c>
      <c r="C1093" s="41" t="s">
        <v>442</v>
      </c>
      <c r="D1093" s="41" t="s">
        <v>443</v>
      </c>
      <c r="E1093" s="41" t="s">
        <v>33</v>
      </c>
      <c r="F1093" s="42">
        <v>10</v>
      </c>
      <c r="G1093" s="41" t="s">
        <v>11</v>
      </c>
      <c r="H1093" s="43" t="s">
        <v>426</v>
      </c>
      <c r="I1093" s="44">
        <v>95</v>
      </c>
      <c r="J1093" s="44">
        <v>5</v>
      </c>
      <c r="K1093" s="41"/>
      <c r="L1093" s="45">
        <v>80000</v>
      </c>
      <c r="M1093" s="44">
        <v>1</v>
      </c>
      <c r="N1093" s="43" t="s">
        <v>383</v>
      </c>
    </row>
    <row r="1094" spans="1:14" ht="15.75" customHeight="1">
      <c r="A1094" s="41" t="s">
        <v>810</v>
      </c>
      <c r="B1094" s="41" t="s">
        <v>266</v>
      </c>
      <c r="C1094" s="41" t="s">
        <v>442</v>
      </c>
      <c r="D1094" s="41" t="s">
        <v>443</v>
      </c>
      <c r="E1094" s="41" t="s">
        <v>33</v>
      </c>
      <c r="F1094" s="42">
        <v>11</v>
      </c>
      <c r="G1094" s="41" t="s">
        <v>12</v>
      </c>
      <c r="H1094" s="43" t="s">
        <v>444</v>
      </c>
      <c r="I1094" s="44">
        <v>110</v>
      </c>
      <c r="J1094" s="44">
        <v>5</v>
      </c>
      <c r="K1094" s="41"/>
      <c r="L1094" s="45">
        <v>80000</v>
      </c>
      <c r="M1094" s="44">
        <v>1</v>
      </c>
      <c r="N1094" s="43" t="s">
        <v>383</v>
      </c>
    </row>
    <row r="1095" spans="1:14" ht="15.75" customHeight="1">
      <c r="A1095" s="41" t="s">
        <v>810</v>
      </c>
      <c r="B1095" s="41" t="s">
        <v>266</v>
      </c>
      <c r="C1095" s="41" t="s">
        <v>442</v>
      </c>
      <c r="D1095" s="41" t="s">
        <v>443</v>
      </c>
      <c r="E1095" s="41" t="s">
        <v>33</v>
      </c>
      <c r="F1095" s="42">
        <v>12</v>
      </c>
      <c r="G1095" s="41" t="s">
        <v>13</v>
      </c>
      <c r="H1095" s="43" t="s">
        <v>444</v>
      </c>
      <c r="I1095" s="44">
        <v>30</v>
      </c>
      <c r="J1095" s="44">
        <v>5</v>
      </c>
      <c r="K1095" s="41"/>
      <c r="L1095" s="45">
        <v>80000</v>
      </c>
      <c r="M1095" s="44">
        <v>1</v>
      </c>
      <c r="N1095" s="43" t="s">
        <v>383</v>
      </c>
    </row>
    <row r="1096" spans="1:14" ht="15.75" customHeight="1">
      <c r="A1096" s="41" t="s">
        <v>810</v>
      </c>
      <c r="B1096" s="41" t="s">
        <v>266</v>
      </c>
      <c r="C1096" s="41" t="s">
        <v>431</v>
      </c>
      <c r="D1096" s="41" t="s">
        <v>432</v>
      </c>
      <c r="E1096" s="41" t="s">
        <v>433</v>
      </c>
      <c r="F1096" s="42">
        <v>18</v>
      </c>
      <c r="G1096" s="41" t="s">
        <v>439</v>
      </c>
      <c r="H1096" s="43" t="s">
        <v>440</v>
      </c>
      <c r="I1096" s="44">
        <v>60</v>
      </c>
      <c r="J1096" s="41"/>
      <c r="K1096" s="44">
        <v>3000</v>
      </c>
      <c r="L1096" s="41" t="s">
        <v>435</v>
      </c>
      <c r="M1096" s="44">
        <v>1</v>
      </c>
      <c r="N1096" s="43" t="s">
        <v>436</v>
      </c>
    </row>
    <row r="1097" spans="1:14" ht="15.75" customHeight="1">
      <c r="A1097" s="41" t="s">
        <v>810</v>
      </c>
      <c r="B1097" s="41" t="s">
        <v>266</v>
      </c>
      <c r="C1097" s="41" t="s">
        <v>431</v>
      </c>
      <c r="D1097" s="41" t="s">
        <v>432</v>
      </c>
      <c r="E1097" s="41" t="s">
        <v>433</v>
      </c>
      <c r="F1097" s="42">
        <v>19</v>
      </c>
      <c r="G1097" s="41" t="s">
        <v>368</v>
      </c>
      <c r="H1097" s="43" t="s">
        <v>434</v>
      </c>
      <c r="I1097" s="44">
        <v>60</v>
      </c>
      <c r="J1097" s="41"/>
      <c r="K1097" s="44">
        <v>1200</v>
      </c>
      <c r="L1097" s="41" t="s">
        <v>435</v>
      </c>
      <c r="M1097" s="44">
        <v>3</v>
      </c>
      <c r="N1097" s="43" t="s">
        <v>436</v>
      </c>
    </row>
    <row r="1098" spans="1:14" ht="15.75" customHeight="1">
      <c r="A1098" s="41" t="s">
        <v>811</v>
      </c>
      <c r="B1098" s="41" t="s">
        <v>812</v>
      </c>
      <c r="C1098" s="41" t="s">
        <v>442</v>
      </c>
      <c r="D1098" s="41" t="s">
        <v>443</v>
      </c>
      <c r="E1098" s="41" t="s">
        <v>33</v>
      </c>
      <c r="F1098" s="42">
        <v>10</v>
      </c>
      <c r="G1098" s="41" t="s">
        <v>11</v>
      </c>
      <c r="H1098" s="43" t="s">
        <v>426</v>
      </c>
      <c r="I1098" s="44">
        <v>30</v>
      </c>
      <c r="J1098" s="44">
        <v>51.9</v>
      </c>
      <c r="K1098" s="41"/>
      <c r="L1098" s="45">
        <v>110000</v>
      </c>
      <c r="M1098" s="44">
        <v>1</v>
      </c>
      <c r="N1098" s="43" t="s">
        <v>383</v>
      </c>
    </row>
    <row r="1099" spans="1:14" ht="15.75" customHeight="1">
      <c r="A1099" s="41" t="s">
        <v>811</v>
      </c>
      <c r="B1099" s="41" t="s">
        <v>812</v>
      </c>
      <c r="C1099" s="41" t="s">
        <v>442</v>
      </c>
      <c r="D1099" s="41" t="s">
        <v>443</v>
      </c>
      <c r="E1099" s="41" t="s">
        <v>33</v>
      </c>
      <c r="F1099" s="42">
        <v>11</v>
      </c>
      <c r="G1099" s="41" t="s">
        <v>12</v>
      </c>
      <c r="H1099" s="43" t="s">
        <v>444</v>
      </c>
      <c r="I1099" s="44">
        <v>60</v>
      </c>
      <c r="J1099" s="44">
        <v>51.9</v>
      </c>
      <c r="K1099" s="41"/>
      <c r="L1099" s="45">
        <v>110000</v>
      </c>
      <c r="M1099" s="44">
        <v>1</v>
      </c>
      <c r="N1099" s="43" t="s">
        <v>383</v>
      </c>
    </row>
    <row r="1100" spans="1:14" ht="15.75" customHeight="1">
      <c r="A1100" s="41" t="s">
        <v>811</v>
      </c>
      <c r="B1100" s="41" t="s">
        <v>812</v>
      </c>
      <c r="C1100" s="41" t="s">
        <v>442</v>
      </c>
      <c r="D1100" s="41" t="s">
        <v>443</v>
      </c>
      <c r="E1100" s="41" t="s">
        <v>33</v>
      </c>
      <c r="F1100" s="42">
        <v>12</v>
      </c>
      <c r="G1100" s="41" t="s">
        <v>13</v>
      </c>
      <c r="H1100" s="43" t="s">
        <v>444</v>
      </c>
      <c r="I1100" s="44">
        <v>15</v>
      </c>
      <c r="J1100" s="44">
        <v>51.9</v>
      </c>
      <c r="K1100" s="41"/>
      <c r="L1100" s="45">
        <v>110000</v>
      </c>
      <c r="M1100" s="44">
        <v>1</v>
      </c>
      <c r="N1100" s="43" t="s">
        <v>383</v>
      </c>
    </row>
    <row r="1101" spans="1:14" ht="15.75" customHeight="1">
      <c r="A1101" s="41" t="s">
        <v>811</v>
      </c>
      <c r="B1101" s="41" t="s">
        <v>812</v>
      </c>
      <c r="C1101" s="41" t="s">
        <v>431</v>
      </c>
      <c r="D1101" s="41" t="s">
        <v>432</v>
      </c>
      <c r="E1101" s="41" t="s">
        <v>433</v>
      </c>
      <c r="F1101" s="42">
        <v>18</v>
      </c>
      <c r="G1101" s="41" t="s">
        <v>439</v>
      </c>
      <c r="H1101" s="43" t="s">
        <v>440</v>
      </c>
      <c r="I1101" s="44">
        <v>60</v>
      </c>
      <c r="J1101" s="41"/>
      <c r="K1101" s="44">
        <v>1000</v>
      </c>
      <c r="L1101" s="41" t="s">
        <v>435</v>
      </c>
      <c r="M1101" s="44">
        <v>1</v>
      </c>
      <c r="N1101" s="43" t="s">
        <v>436</v>
      </c>
    </row>
    <row r="1102" spans="1:14" ht="15.75" customHeight="1">
      <c r="A1102" s="41" t="s">
        <v>811</v>
      </c>
      <c r="B1102" s="41" t="s">
        <v>812</v>
      </c>
      <c r="C1102" s="41" t="s">
        <v>431</v>
      </c>
      <c r="D1102" s="41" t="s">
        <v>432</v>
      </c>
      <c r="E1102" s="41" t="s">
        <v>433</v>
      </c>
      <c r="F1102" s="42">
        <v>19</v>
      </c>
      <c r="G1102" s="41" t="s">
        <v>368</v>
      </c>
      <c r="H1102" s="43" t="s">
        <v>434</v>
      </c>
      <c r="I1102" s="44">
        <v>60</v>
      </c>
      <c r="J1102" s="41"/>
      <c r="K1102" s="44">
        <v>800</v>
      </c>
      <c r="L1102" s="41" t="s">
        <v>435</v>
      </c>
      <c r="M1102" s="44">
        <v>4</v>
      </c>
      <c r="N1102" s="43" t="s">
        <v>436</v>
      </c>
    </row>
    <row r="1103" spans="1:14" ht="15.75" customHeight="1">
      <c r="A1103" s="41" t="s">
        <v>813</v>
      </c>
      <c r="B1103" s="41" t="s">
        <v>814</v>
      </c>
      <c r="C1103" s="41" t="s">
        <v>442</v>
      </c>
      <c r="D1103" s="41" t="s">
        <v>448</v>
      </c>
      <c r="E1103" s="41" t="s">
        <v>40</v>
      </c>
      <c r="F1103" s="42">
        <v>1</v>
      </c>
      <c r="G1103" s="41" t="s">
        <v>11</v>
      </c>
      <c r="H1103" s="43" t="s">
        <v>426</v>
      </c>
      <c r="I1103" s="44">
        <v>20</v>
      </c>
      <c r="J1103" s="44">
        <v>101.7</v>
      </c>
      <c r="K1103" s="41"/>
      <c r="L1103" s="45">
        <v>412000</v>
      </c>
      <c r="M1103" s="44">
        <v>1</v>
      </c>
      <c r="N1103" s="43" t="s">
        <v>383</v>
      </c>
    </row>
    <row r="1104" spans="1:14" ht="15.75" customHeight="1">
      <c r="A1104" s="41" t="s">
        <v>813</v>
      </c>
      <c r="B1104" s="41" t="s">
        <v>814</v>
      </c>
      <c r="C1104" s="41" t="s">
        <v>442</v>
      </c>
      <c r="D1104" s="41" t="s">
        <v>448</v>
      </c>
      <c r="E1104" s="41" t="s">
        <v>40</v>
      </c>
      <c r="F1104" s="42">
        <v>2</v>
      </c>
      <c r="G1104" s="41" t="s">
        <v>12</v>
      </c>
      <c r="H1104" s="43" t="s">
        <v>449</v>
      </c>
      <c r="I1104" s="44">
        <v>80</v>
      </c>
      <c r="J1104" s="44">
        <v>101.7</v>
      </c>
      <c r="K1104" s="41"/>
      <c r="L1104" s="45">
        <v>412000</v>
      </c>
      <c r="M1104" s="44">
        <v>1</v>
      </c>
      <c r="N1104" s="43" t="s">
        <v>383</v>
      </c>
    </row>
    <row r="1105" spans="1:14" ht="15.75" customHeight="1">
      <c r="A1105" s="41" t="s">
        <v>813</v>
      </c>
      <c r="B1105" s="41" t="s">
        <v>814</v>
      </c>
      <c r="C1105" s="41" t="s">
        <v>442</v>
      </c>
      <c r="D1105" s="41" t="s">
        <v>448</v>
      </c>
      <c r="E1105" s="41" t="s">
        <v>40</v>
      </c>
      <c r="F1105" s="42">
        <v>3</v>
      </c>
      <c r="G1105" s="41" t="s">
        <v>13</v>
      </c>
      <c r="H1105" s="43" t="s">
        <v>449</v>
      </c>
      <c r="I1105" s="44">
        <v>30</v>
      </c>
      <c r="J1105" s="44">
        <v>101.7</v>
      </c>
      <c r="K1105" s="41"/>
      <c r="L1105" s="45">
        <v>412000</v>
      </c>
      <c r="M1105" s="44">
        <v>1</v>
      </c>
      <c r="N1105" s="43" t="s">
        <v>383</v>
      </c>
    </row>
    <row r="1106" spans="1:14" ht="15.75" customHeight="1">
      <c r="A1106" s="41" t="s">
        <v>813</v>
      </c>
      <c r="B1106" s="41" t="s">
        <v>814</v>
      </c>
      <c r="C1106" s="41" t="s">
        <v>431</v>
      </c>
      <c r="D1106" s="41" t="s">
        <v>432</v>
      </c>
      <c r="E1106" s="41" t="s">
        <v>433</v>
      </c>
      <c r="F1106" s="42">
        <v>18</v>
      </c>
      <c r="G1106" s="41" t="s">
        <v>439</v>
      </c>
      <c r="H1106" s="43" t="s">
        <v>440</v>
      </c>
      <c r="I1106" s="44">
        <v>60</v>
      </c>
      <c r="J1106" s="41"/>
      <c r="K1106" s="44">
        <v>600</v>
      </c>
      <c r="L1106" s="41" t="s">
        <v>435</v>
      </c>
      <c r="M1106" s="44">
        <v>1</v>
      </c>
      <c r="N1106" s="43" t="s">
        <v>436</v>
      </c>
    </row>
    <row r="1107" spans="1:14" ht="15.75" customHeight="1">
      <c r="A1107" s="41" t="s">
        <v>813</v>
      </c>
      <c r="B1107" s="41" t="s">
        <v>814</v>
      </c>
      <c r="C1107" s="41" t="s">
        <v>431</v>
      </c>
      <c r="D1107" s="41" t="s">
        <v>432</v>
      </c>
      <c r="E1107" s="41" t="s">
        <v>433</v>
      </c>
      <c r="F1107" s="42">
        <v>19</v>
      </c>
      <c r="G1107" s="41" t="s">
        <v>368</v>
      </c>
      <c r="H1107" s="43" t="s">
        <v>434</v>
      </c>
      <c r="I1107" s="44">
        <v>60</v>
      </c>
      <c r="J1107" s="41"/>
      <c r="K1107" s="44">
        <v>650</v>
      </c>
      <c r="L1107" s="41" t="s">
        <v>435</v>
      </c>
      <c r="M1107" s="44">
        <v>4</v>
      </c>
      <c r="N1107" s="43" t="s">
        <v>436</v>
      </c>
    </row>
    <row r="1108" spans="1:14" ht="15.75" customHeight="1">
      <c r="A1108" s="41" t="s">
        <v>815</v>
      </c>
      <c r="B1108" s="41" t="s">
        <v>269</v>
      </c>
      <c r="C1108" s="41" t="s">
        <v>442</v>
      </c>
      <c r="D1108" s="41" t="s">
        <v>443</v>
      </c>
      <c r="E1108" s="41" t="s">
        <v>33</v>
      </c>
      <c r="F1108" s="42">
        <v>10</v>
      </c>
      <c r="G1108" s="41" t="s">
        <v>11</v>
      </c>
      <c r="H1108" s="43" t="s">
        <v>426</v>
      </c>
      <c r="I1108" s="44">
        <v>35</v>
      </c>
      <c r="J1108" s="44">
        <v>50</v>
      </c>
      <c r="K1108" s="41"/>
      <c r="L1108" s="45">
        <v>78000</v>
      </c>
      <c r="M1108" s="44">
        <v>1</v>
      </c>
      <c r="N1108" s="43" t="s">
        <v>383</v>
      </c>
    </row>
    <row r="1109" spans="1:14" ht="15.75" customHeight="1">
      <c r="A1109" s="41" t="s">
        <v>815</v>
      </c>
      <c r="B1109" s="41" t="s">
        <v>269</v>
      </c>
      <c r="C1109" s="41" t="s">
        <v>442</v>
      </c>
      <c r="D1109" s="41" t="s">
        <v>443</v>
      </c>
      <c r="E1109" s="41" t="s">
        <v>33</v>
      </c>
      <c r="F1109" s="42">
        <v>11</v>
      </c>
      <c r="G1109" s="41" t="s">
        <v>12</v>
      </c>
      <c r="H1109" s="43" t="s">
        <v>444</v>
      </c>
      <c r="I1109" s="44">
        <v>125</v>
      </c>
      <c r="J1109" s="44">
        <v>50</v>
      </c>
      <c r="K1109" s="41"/>
      <c r="L1109" s="45">
        <v>78000</v>
      </c>
      <c r="M1109" s="44">
        <v>1</v>
      </c>
      <c r="N1109" s="43" t="s">
        <v>383</v>
      </c>
    </row>
    <row r="1110" spans="1:14" ht="15.75" customHeight="1">
      <c r="A1110" s="41" t="s">
        <v>815</v>
      </c>
      <c r="B1110" s="41" t="s">
        <v>269</v>
      </c>
      <c r="C1110" s="41" t="s">
        <v>442</v>
      </c>
      <c r="D1110" s="41" t="s">
        <v>443</v>
      </c>
      <c r="E1110" s="41" t="s">
        <v>33</v>
      </c>
      <c r="F1110" s="42">
        <v>12</v>
      </c>
      <c r="G1110" s="41" t="s">
        <v>13</v>
      </c>
      <c r="H1110" s="43" t="s">
        <v>444</v>
      </c>
      <c r="I1110" s="44">
        <v>15</v>
      </c>
      <c r="J1110" s="44">
        <v>50</v>
      </c>
      <c r="K1110" s="41"/>
      <c r="L1110" s="45">
        <v>78000</v>
      </c>
      <c r="M1110" s="44">
        <v>1</v>
      </c>
      <c r="N1110" s="43" t="s">
        <v>383</v>
      </c>
    </row>
    <row r="1111" spans="1:14" ht="15.75" customHeight="1">
      <c r="A1111" s="41" t="s">
        <v>815</v>
      </c>
      <c r="B1111" s="41" t="s">
        <v>269</v>
      </c>
      <c r="C1111" s="41" t="s">
        <v>431</v>
      </c>
      <c r="D1111" s="41" t="s">
        <v>432</v>
      </c>
      <c r="E1111" s="41" t="s">
        <v>433</v>
      </c>
      <c r="F1111" s="42">
        <v>19</v>
      </c>
      <c r="G1111" s="41" t="s">
        <v>368</v>
      </c>
      <c r="H1111" s="43" t="s">
        <v>434</v>
      </c>
      <c r="I1111" s="44">
        <v>60</v>
      </c>
      <c r="J1111" s="41"/>
      <c r="K1111" s="44">
        <v>980</v>
      </c>
      <c r="L1111" s="41" t="s">
        <v>435</v>
      </c>
      <c r="M1111" s="44">
        <v>4</v>
      </c>
      <c r="N1111" s="43" t="s">
        <v>436</v>
      </c>
    </row>
    <row r="1112" spans="1:14" ht="15.75" customHeight="1">
      <c r="A1112" s="41" t="s">
        <v>816</v>
      </c>
      <c r="B1112" s="41" t="s">
        <v>817</v>
      </c>
      <c r="C1112" s="41" t="s">
        <v>442</v>
      </c>
      <c r="D1112" s="41" t="s">
        <v>448</v>
      </c>
      <c r="E1112" s="41" t="s">
        <v>40</v>
      </c>
      <c r="F1112" s="42">
        <v>1</v>
      </c>
      <c r="G1112" s="41" t="s">
        <v>11</v>
      </c>
      <c r="H1112" s="43" t="s">
        <v>426</v>
      </c>
      <c r="I1112" s="44">
        <v>30</v>
      </c>
      <c r="J1112" s="44">
        <v>25</v>
      </c>
      <c r="K1112" s="41"/>
      <c r="L1112" s="45">
        <v>412000</v>
      </c>
      <c r="M1112" s="44">
        <v>1</v>
      </c>
      <c r="N1112" s="43" t="s">
        <v>383</v>
      </c>
    </row>
    <row r="1113" spans="1:14" ht="15.75" customHeight="1">
      <c r="A1113" s="41" t="s">
        <v>816</v>
      </c>
      <c r="B1113" s="41" t="s">
        <v>817</v>
      </c>
      <c r="C1113" s="41" t="s">
        <v>442</v>
      </c>
      <c r="D1113" s="41" t="s">
        <v>448</v>
      </c>
      <c r="E1113" s="41" t="s">
        <v>40</v>
      </c>
      <c r="F1113" s="42">
        <v>2</v>
      </c>
      <c r="G1113" s="41" t="s">
        <v>12</v>
      </c>
      <c r="H1113" s="43" t="s">
        <v>449</v>
      </c>
      <c r="I1113" s="44">
        <v>85</v>
      </c>
      <c r="J1113" s="44">
        <v>25</v>
      </c>
      <c r="K1113" s="41"/>
      <c r="L1113" s="45">
        <v>412000</v>
      </c>
      <c r="M1113" s="44">
        <v>1</v>
      </c>
      <c r="N1113" s="43" t="s">
        <v>383</v>
      </c>
    </row>
    <row r="1114" spans="1:14" ht="15.75" customHeight="1">
      <c r="A1114" s="41" t="s">
        <v>816</v>
      </c>
      <c r="B1114" s="41" t="s">
        <v>817</v>
      </c>
      <c r="C1114" s="41" t="s">
        <v>442</v>
      </c>
      <c r="D1114" s="41" t="s">
        <v>448</v>
      </c>
      <c r="E1114" s="41" t="s">
        <v>40</v>
      </c>
      <c r="F1114" s="42">
        <v>3</v>
      </c>
      <c r="G1114" s="41" t="s">
        <v>13</v>
      </c>
      <c r="H1114" s="43" t="s">
        <v>449</v>
      </c>
      <c r="I1114" s="44">
        <v>30</v>
      </c>
      <c r="J1114" s="44">
        <v>25</v>
      </c>
      <c r="K1114" s="41"/>
      <c r="L1114" s="45">
        <v>412000</v>
      </c>
      <c r="M1114" s="44">
        <v>1</v>
      </c>
      <c r="N1114" s="43" t="s">
        <v>383</v>
      </c>
    </row>
    <row r="1115" spans="1:14" ht="15.75" customHeight="1">
      <c r="A1115" s="41" t="s">
        <v>816</v>
      </c>
      <c r="B1115" s="41" t="s">
        <v>817</v>
      </c>
      <c r="C1115" s="41" t="s">
        <v>431</v>
      </c>
      <c r="D1115" s="41" t="s">
        <v>432</v>
      </c>
      <c r="E1115" s="41" t="s">
        <v>433</v>
      </c>
      <c r="F1115" s="42">
        <v>19</v>
      </c>
      <c r="G1115" s="41" t="s">
        <v>368</v>
      </c>
      <c r="H1115" s="43" t="s">
        <v>434</v>
      </c>
      <c r="I1115" s="44">
        <v>60</v>
      </c>
      <c r="J1115" s="41"/>
      <c r="K1115" s="44">
        <v>1500</v>
      </c>
      <c r="L1115" s="41" t="s">
        <v>435</v>
      </c>
      <c r="M1115" s="44">
        <v>2</v>
      </c>
      <c r="N1115" s="43" t="s">
        <v>436</v>
      </c>
    </row>
    <row r="1116" spans="1:14" ht="15.75" customHeight="1">
      <c r="A1116" s="41" t="s">
        <v>818</v>
      </c>
      <c r="B1116" s="41" t="s">
        <v>313</v>
      </c>
      <c r="C1116" s="41" t="s">
        <v>424</v>
      </c>
      <c r="D1116" s="41" t="s">
        <v>425</v>
      </c>
      <c r="E1116" s="41" t="s">
        <v>48</v>
      </c>
      <c r="F1116" s="42">
        <v>4</v>
      </c>
      <c r="G1116" s="41" t="s">
        <v>11</v>
      </c>
      <c r="H1116" s="43" t="s">
        <v>426</v>
      </c>
      <c r="I1116" s="44">
        <v>60</v>
      </c>
      <c r="J1116" s="44">
        <v>31.5</v>
      </c>
      <c r="K1116" s="41"/>
      <c r="L1116" s="45">
        <v>52000</v>
      </c>
      <c r="M1116" s="44">
        <v>1</v>
      </c>
      <c r="N1116" s="43" t="s">
        <v>383</v>
      </c>
    </row>
    <row r="1117" spans="1:14" ht="15.75" customHeight="1">
      <c r="A1117" s="41" t="s">
        <v>818</v>
      </c>
      <c r="B1117" s="41" t="s">
        <v>313</v>
      </c>
      <c r="C1117" s="41" t="s">
        <v>424</v>
      </c>
      <c r="D1117" s="41" t="s">
        <v>425</v>
      </c>
      <c r="E1117" s="41" t="s">
        <v>48</v>
      </c>
      <c r="F1117" s="42">
        <v>5</v>
      </c>
      <c r="G1117" s="41" t="s">
        <v>12</v>
      </c>
      <c r="H1117" s="43" t="s">
        <v>427</v>
      </c>
      <c r="I1117" s="44">
        <v>120</v>
      </c>
      <c r="J1117" s="44">
        <v>31.5</v>
      </c>
      <c r="K1117" s="41"/>
      <c r="L1117" s="45">
        <v>52000</v>
      </c>
      <c r="M1117" s="44">
        <v>1</v>
      </c>
      <c r="N1117" s="43" t="s">
        <v>383</v>
      </c>
    </row>
    <row r="1118" spans="1:14" ht="15.75" customHeight="1">
      <c r="A1118" s="41" t="s">
        <v>818</v>
      </c>
      <c r="B1118" s="41" t="s">
        <v>313</v>
      </c>
      <c r="C1118" s="41" t="s">
        <v>424</v>
      </c>
      <c r="D1118" s="41" t="s">
        <v>425</v>
      </c>
      <c r="E1118" s="41" t="s">
        <v>48</v>
      </c>
      <c r="F1118" s="42">
        <v>6</v>
      </c>
      <c r="G1118" s="41" t="s">
        <v>13</v>
      </c>
      <c r="H1118" s="43" t="s">
        <v>427</v>
      </c>
      <c r="I1118" s="44">
        <v>105</v>
      </c>
      <c r="J1118" s="44">
        <v>31.5</v>
      </c>
      <c r="K1118" s="41"/>
      <c r="L1118" s="45">
        <v>52000</v>
      </c>
      <c r="M1118" s="44">
        <v>1</v>
      </c>
      <c r="N1118" s="43" t="s">
        <v>383</v>
      </c>
    </row>
    <row r="1119" spans="1:14" ht="15.75" customHeight="1">
      <c r="A1119" s="41" t="s">
        <v>818</v>
      </c>
      <c r="B1119" s="41" t="s">
        <v>313</v>
      </c>
      <c r="C1119" s="41" t="s">
        <v>431</v>
      </c>
      <c r="D1119" s="41" t="s">
        <v>432</v>
      </c>
      <c r="E1119" s="41" t="s">
        <v>433</v>
      </c>
      <c r="F1119" s="42">
        <v>18</v>
      </c>
      <c r="G1119" s="41" t="s">
        <v>439</v>
      </c>
      <c r="H1119" s="43" t="s">
        <v>440</v>
      </c>
      <c r="I1119" s="44">
        <v>60</v>
      </c>
      <c r="J1119" s="41"/>
      <c r="K1119" s="44">
        <v>2000</v>
      </c>
      <c r="L1119" s="41" t="s">
        <v>435</v>
      </c>
      <c r="M1119" s="44">
        <v>1</v>
      </c>
      <c r="N1119" s="43" t="s">
        <v>436</v>
      </c>
    </row>
    <row r="1120" spans="1:14" ht="15.75" customHeight="1">
      <c r="A1120" s="41" t="s">
        <v>818</v>
      </c>
      <c r="B1120" s="41" t="s">
        <v>313</v>
      </c>
      <c r="C1120" s="41" t="s">
        <v>431</v>
      </c>
      <c r="D1120" s="41" t="s">
        <v>432</v>
      </c>
      <c r="E1120" s="41" t="s">
        <v>433</v>
      </c>
      <c r="F1120" s="42">
        <v>19</v>
      </c>
      <c r="G1120" s="41" t="s">
        <v>368</v>
      </c>
      <c r="H1120" s="43" t="s">
        <v>434</v>
      </c>
      <c r="I1120" s="44">
        <v>60</v>
      </c>
      <c r="J1120" s="41"/>
      <c r="K1120" s="44">
        <v>890</v>
      </c>
      <c r="L1120" s="41" t="s">
        <v>435</v>
      </c>
      <c r="M1120" s="44">
        <v>4</v>
      </c>
      <c r="N1120" s="43" t="s">
        <v>436</v>
      </c>
    </row>
    <row r="1121" spans="1:14" ht="15.75" customHeight="1">
      <c r="A1121" s="41" t="s">
        <v>819</v>
      </c>
      <c r="B1121" s="41" t="s">
        <v>820</v>
      </c>
      <c r="C1121" s="41" t="s">
        <v>442</v>
      </c>
      <c r="D1121" s="41" t="s">
        <v>448</v>
      </c>
      <c r="E1121" s="41" t="s">
        <v>40</v>
      </c>
      <c r="F1121" s="42">
        <v>1</v>
      </c>
      <c r="G1121" s="41" t="s">
        <v>11</v>
      </c>
      <c r="H1121" s="43" t="s">
        <v>426</v>
      </c>
      <c r="I1121" s="44">
        <v>80</v>
      </c>
      <c r="J1121" s="44">
        <v>121.2</v>
      </c>
      <c r="K1121" s="41"/>
      <c r="L1121" s="45">
        <v>400000</v>
      </c>
      <c r="M1121" s="44">
        <v>1</v>
      </c>
      <c r="N1121" s="43" t="s">
        <v>383</v>
      </c>
    </row>
    <row r="1122" spans="1:14" ht="15.75" customHeight="1">
      <c r="A1122" s="41" t="s">
        <v>819</v>
      </c>
      <c r="B1122" s="41" t="s">
        <v>820</v>
      </c>
      <c r="C1122" s="41" t="s">
        <v>442</v>
      </c>
      <c r="D1122" s="41" t="s">
        <v>448</v>
      </c>
      <c r="E1122" s="41" t="s">
        <v>40</v>
      </c>
      <c r="F1122" s="42">
        <v>2</v>
      </c>
      <c r="G1122" s="41" t="s">
        <v>12</v>
      </c>
      <c r="H1122" s="43" t="s">
        <v>449</v>
      </c>
      <c r="I1122" s="44">
        <v>130</v>
      </c>
      <c r="J1122" s="44">
        <v>121.2</v>
      </c>
      <c r="K1122" s="41"/>
      <c r="L1122" s="45">
        <v>400000</v>
      </c>
      <c r="M1122" s="44">
        <v>1</v>
      </c>
      <c r="N1122" s="43" t="s">
        <v>383</v>
      </c>
    </row>
    <row r="1123" spans="1:14" ht="15.75" customHeight="1">
      <c r="A1123" s="41" t="s">
        <v>819</v>
      </c>
      <c r="B1123" s="41" t="s">
        <v>820</v>
      </c>
      <c r="C1123" s="41" t="s">
        <v>442</v>
      </c>
      <c r="D1123" s="41" t="s">
        <v>448</v>
      </c>
      <c r="E1123" s="41" t="s">
        <v>40</v>
      </c>
      <c r="F1123" s="42">
        <v>3</v>
      </c>
      <c r="G1123" s="41" t="s">
        <v>13</v>
      </c>
      <c r="H1123" s="43" t="s">
        <v>449</v>
      </c>
      <c r="I1123" s="44">
        <v>30</v>
      </c>
      <c r="J1123" s="44">
        <v>121.2</v>
      </c>
      <c r="K1123" s="41"/>
      <c r="L1123" s="45">
        <v>400000</v>
      </c>
      <c r="M1123" s="44">
        <v>1</v>
      </c>
      <c r="N1123" s="43" t="s">
        <v>383</v>
      </c>
    </row>
    <row r="1124" spans="1:14" ht="15.75" customHeight="1">
      <c r="A1124" s="41" t="s">
        <v>819</v>
      </c>
      <c r="B1124" s="41" t="s">
        <v>820</v>
      </c>
      <c r="C1124" s="41" t="s">
        <v>431</v>
      </c>
      <c r="D1124" s="41" t="s">
        <v>432</v>
      </c>
      <c r="E1124" s="41" t="s">
        <v>433</v>
      </c>
      <c r="F1124" s="42">
        <v>18</v>
      </c>
      <c r="G1124" s="41" t="s">
        <v>439</v>
      </c>
      <c r="H1124" s="43" t="s">
        <v>440</v>
      </c>
      <c r="I1124" s="44">
        <v>60</v>
      </c>
      <c r="J1124" s="41"/>
      <c r="K1124" s="44">
        <v>800</v>
      </c>
      <c r="L1124" s="41" t="s">
        <v>435</v>
      </c>
      <c r="M1124" s="44">
        <v>1</v>
      </c>
      <c r="N1124" s="43" t="s">
        <v>436</v>
      </c>
    </row>
    <row r="1125" spans="1:14" ht="15.75" customHeight="1">
      <c r="A1125" s="41" t="s">
        <v>819</v>
      </c>
      <c r="B1125" s="41" t="s">
        <v>820</v>
      </c>
      <c r="C1125" s="41" t="s">
        <v>431</v>
      </c>
      <c r="D1125" s="41" t="s">
        <v>432</v>
      </c>
      <c r="E1125" s="41" t="s">
        <v>433</v>
      </c>
      <c r="F1125" s="42">
        <v>19</v>
      </c>
      <c r="G1125" s="41" t="s">
        <v>368</v>
      </c>
      <c r="H1125" s="43" t="s">
        <v>434</v>
      </c>
      <c r="I1125" s="44">
        <v>60</v>
      </c>
      <c r="J1125" s="41"/>
      <c r="K1125" s="44">
        <v>750</v>
      </c>
      <c r="L1125" s="41" t="s">
        <v>435</v>
      </c>
      <c r="M1125" s="44">
        <v>4</v>
      </c>
      <c r="N1125" s="43" t="s">
        <v>436</v>
      </c>
    </row>
    <row r="1126" spans="1:14" ht="15.75" customHeight="1">
      <c r="A1126" s="41" t="s">
        <v>821</v>
      </c>
      <c r="B1126" s="41" t="s">
        <v>822</v>
      </c>
      <c r="C1126" s="41" t="s">
        <v>442</v>
      </c>
      <c r="D1126" s="41" t="s">
        <v>443</v>
      </c>
      <c r="E1126" s="41" t="s">
        <v>33</v>
      </c>
      <c r="F1126" s="42">
        <v>10</v>
      </c>
      <c r="G1126" s="41" t="s">
        <v>11</v>
      </c>
      <c r="H1126" s="43" t="s">
        <v>426</v>
      </c>
      <c r="I1126" s="44">
        <v>80</v>
      </c>
      <c r="J1126" s="44">
        <v>15</v>
      </c>
      <c r="K1126" s="41"/>
      <c r="L1126" s="45">
        <v>80000</v>
      </c>
      <c r="M1126" s="44">
        <v>1</v>
      </c>
      <c r="N1126" s="43" t="s">
        <v>383</v>
      </c>
    </row>
    <row r="1127" spans="1:14" ht="15.75" customHeight="1">
      <c r="A1127" s="41" t="s">
        <v>821</v>
      </c>
      <c r="B1127" s="41" t="s">
        <v>822</v>
      </c>
      <c r="C1127" s="41" t="s">
        <v>442</v>
      </c>
      <c r="D1127" s="41" t="s">
        <v>443</v>
      </c>
      <c r="E1127" s="41" t="s">
        <v>33</v>
      </c>
      <c r="F1127" s="42">
        <v>11</v>
      </c>
      <c r="G1127" s="41" t="s">
        <v>12</v>
      </c>
      <c r="H1127" s="43" t="s">
        <v>444</v>
      </c>
      <c r="I1127" s="44">
        <v>130</v>
      </c>
      <c r="J1127" s="44">
        <v>15</v>
      </c>
      <c r="K1127" s="41"/>
      <c r="L1127" s="45">
        <v>80000</v>
      </c>
      <c r="M1127" s="44">
        <v>1</v>
      </c>
      <c r="N1127" s="43" t="s">
        <v>383</v>
      </c>
    </row>
    <row r="1128" spans="1:14" ht="15.75" customHeight="1">
      <c r="A1128" s="41" t="s">
        <v>821</v>
      </c>
      <c r="B1128" s="41" t="s">
        <v>822</v>
      </c>
      <c r="C1128" s="41" t="s">
        <v>442</v>
      </c>
      <c r="D1128" s="41" t="s">
        <v>443</v>
      </c>
      <c r="E1128" s="41" t="s">
        <v>33</v>
      </c>
      <c r="F1128" s="42">
        <v>12</v>
      </c>
      <c r="G1128" s="41" t="s">
        <v>13</v>
      </c>
      <c r="H1128" s="43" t="s">
        <v>444</v>
      </c>
      <c r="I1128" s="44">
        <v>30</v>
      </c>
      <c r="J1128" s="44">
        <v>15</v>
      </c>
      <c r="K1128" s="41"/>
      <c r="L1128" s="45">
        <v>80000</v>
      </c>
      <c r="M1128" s="44">
        <v>1</v>
      </c>
      <c r="N1128" s="43" t="s">
        <v>383</v>
      </c>
    </row>
    <row r="1129" spans="1:14" ht="15.75" customHeight="1">
      <c r="A1129" s="41" t="s">
        <v>821</v>
      </c>
      <c r="B1129" s="41" t="s">
        <v>822</v>
      </c>
      <c r="C1129" s="41" t="s">
        <v>431</v>
      </c>
      <c r="D1129" s="41" t="s">
        <v>432</v>
      </c>
      <c r="E1129" s="41" t="s">
        <v>433</v>
      </c>
      <c r="F1129" s="42">
        <v>18</v>
      </c>
      <c r="G1129" s="41" t="s">
        <v>439</v>
      </c>
      <c r="H1129" s="43" t="s">
        <v>440</v>
      </c>
      <c r="I1129" s="44">
        <v>60</v>
      </c>
      <c r="J1129" s="41"/>
      <c r="K1129" s="44">
        <v>1100</v>
      </c>
      <c r="L1129" s="41" t="s">
        <v>435</v>
      </c>
      <c r="M1129" s="44">
        <v>1</v>
      </c>
      <c r="N1129" s="43" t="s">
        <v>436</v>
      </c>
    </row>
    <row r="1130" spans="1:14" ht="15.75" customHeight="1">
      <c r="A1130" s="41" t="s">
        <v>821</v>
      </c>
      <c r="B1130" s="41" t="s">
        <v>822</v>
      </c>
      <c r="C1130" s="41" t="s">
        <v>431</v>
      </c>
      <c r="D1130" s="41" t="s">
        <v>432</v>
      </c>
      <c r="E1130" s="41" t="s">
        <v>433</v>
      </c>
      <c r="F1130" s="42">
        <v>19</v>
      </c>
      <c r="G1130" s="41" t="s">
        <v>368</v>
      </c>
      <c r="H1130" s="43" t="s">
        <v>434</v>
      </c>
      <c r="I1130" s="44">
        <v>60</v>
      </c>
      <c r="J1130" s="41"/>
      <c r="K1130" s="44">
        <v>1400</v>
      </c>
      <c r="L1130" s="41" t="s">
        <v>435</v>
      </c>
      <c r="M1130" s="44">
        <v>4</v>
      </c>
      <c r="N1130" s="43" t="s">
        <v>436</v>
      </c>
    </row>
    <row r="1131" spans="1:14" ht="15.75" customHeight="1">
      <c r="A1131" s="40" t="s">
        <v>823</v>
      </c>
      <c r="B1131" s="41" t="s">
        <v>133</v>
      </c>
      <c r="C1131" s="41" t="s">
        <v>424</v>
      </c>
      <c r="D1131" s="41" t="s">
        <v>425</v>
      </c>
      <c r="E1131" s="41" t="s">
        <v>48</v>
      </c>
      <c r="F1131" s="42">
        <v>4</v>
      </c>
      <c r="G1131" s="41" t="s">
        <v>11</v>
      </c>
      <c r="H1131" s="43" t="s">
        <v>426</v>
      </c>
      <c r="I1131" s="44">
        <v>105</v>
      </c>
      <c r="J1131" s="44">
        <v>10.1</v>
      </c>
      <c r="K1131" s="41"/>
      <c r="L1131" s="45">
        <v>52000</v>
      </c>
      <c r="M1131" s="44">
        <v>1</v>
      </c>
      <c r="N1131" s="43" t="s">
        <v>383</v>
      </c>
    </row>
    <row r="1132" spans="1:14" ht="15.75" customHeight="1">
      <c r="A1132" s="40" t="s">
        <v>823</v>
      </c>
      <c r="B1132" s="41" t="s">
        <v>133</v>
      </c>
      <c r="C1132" s="41" t="s">
        <v>424</v>
      </c>
      <c r="D1132" s="41" t="s">
        <v>425</v>
      </c>
      <c r="E1132" s="41" t="s">
        <v>48</v>
      </c>
      <c r="F1132" s="42">
        <v>5</v>
      </c>
      <c r="G1132" s="41" t="s">
        <v>12</v>
      </c>
      <c r="H1132" s="43" t="s">
        <v>427</v>
      </c>
      <c r="I1132" s="44">
        <v>150</v>
      </c>
      <c r="J1132" s="44">
        <v>10.1</v>
      </c>
      <c r="K1132" s="41"/>
      <c r="L1132" s="45">
        <v>52000</v>
      </c>
      <c r="M1132" s="44">
        <v>1</v>
      </c>
      <c r="N1132" s="43" t="s">
        <v>383</v>
      </c>
    </row>
    <row r="1133" spans="1:14" ht="15.75" customHeight="1">
      <c r="A1133" s="40" t="s">
        <v>823</v>
      </c>
      <c r="B1133" s="41" t="s">
        <v>133</v>
      </c>
      <c r="C1133" s="41" t="s">
        <v>424</v>
      </c>
      <c r="D1133" s="41" t="s">
        <v>425</v>
      </c>
      <c r="E1133" s="41" t="s">
        <v>48</v>
      </c>
      <c r="F1133" s="42">
        <v>6</v>
      </c>
      <c r="G1133" s="41" t="s">
        <v>13</v>
      </c>
      <c r="H1133" s="43" t="s">
        <v>427</v>
      </c>
      <c r="I1133" s="44">
        <v>30</v>
      </c>
      <c r="J1133" s="44">
        <v>10.1</v>
      </c>
      <c r="K1133" s="41"/>
      <c r="L1133" s="45">
        <v>52000</v>
      </c>
      <c r="M1133" s="44">
        <v>1</v>
      </c>
      <c r="N1133" s="43" t="s">
        <v>383</v>
      </c>
    </row>
    <row r="1134" spans="1:14" ht="15.75" customHeight="1">
      <c r="A1134" s="41" t="s">
        <v>824</v>
      </c>
      <c r="B1134" s="41" t="s">
        <v>133</v>
      </c>
      <c r="C1134" s="41" t="s">
        <v>424</v>
      </c>
      <c r="D1134" s="41" t="s">
        <v>429</v>
      </c>
      <c r="E1134" s="41" t="s">
        <v>74</v>
      </c>
      <c r="F1134" s="42">
        <v>7</v>
      </c>
      <c r="G1134" s="41" t="s">
        <v>11</v>
      </c>
      <c r="H1134" s="43" t="s">
        <v>426</v>
      </c>
      <c r="I1134" s="44">
        <v>135</v>
      </c>
      <c r="J1134" s="44">
        <v>10.1</v>
      </c>
      <c r="K1134" s="41"/>
      <c r="L1134" s="45">
        <v>103000</v>
      </c>
      <c r="M1134" s="44">
        <v>1</v>
      </c>
      <c r="N1134" s="43" t="s">
        <v>383</v>
      </c>
    </row>
    <row r="1135" spans="1:14" ht="15.75" customHeight="1">
      <c r="A1135" s="41" t="s">
        <v>824</v>
      </c>
      <c r="B1135" s="41" t="s">
        <v>133</v>
      </c>
      <c r="C1135" s="41" t="s">
        <v>424</v>
      </c>
      <c r="D1135" s="41" t="s">
        <v>429</v>
      </c>
      <c r="E1135" s="41" t="s">
        <v>74</v>
      </c>
      <c r="F1135" s="42">
        <v>8</v>
      </c>
      <c r="G1135" s="41" t="s">
        <v>12</v>
      </c>
      <c r="H1135" s="43" t="s">
        <v>430</v>
      </c>
      <c r="I1135" s="44">
        <v>200</v>
      </c>
      <c r="J1135" s="44">
        <v>10.1</v>
      </c>
      <c r="K1135" s="41"/>
      <c r="L1135" s="45">
        <v>103000</v>
      </c>
      <c r="M1135" s="44">
        <v>1</v>
      </c>
      <c r="N1135" s="43" t="s">
        <v>383</v>
      </c>
    </row>
    <row r="1136" spans="1:14" ht="15.75" customHeight="1">
      <c r="A1136" s="41" t="s">
        <v>824</v>
      </c>
      <c r="B1136" s="41" t="s">
        <v>133</v>
      </c>
      <c r="C1136" s="41" t="s">
        <v>424</v>
      </c>
      <c r="D1136" s="41" t="s">
        <v>429</v>
      </c>
      <c r="E1136" s="41" t="s">
        <v>74</v>
      </c>
      <c r="F1136" s="42">
        <v>9</v>
      </c>
      <c r="G1136" s="41" t="s">
        <v>13</v>
      </c>
      <c r="H1136" s="43" t="s">
        <v>430</v>
      </c>
      <c r="I1136" s="44">
        <v>40</v>
      </c>
      <c r="J1136" s="44">
        <v>10.1</v>
      </c>
      <c r="K1136" s="41"/>
      <c r="L1136" s="45">
        <v>103000</v>
      </c>
      <c r="M1136" s="44">
        <v>1</v>
      </c>
      <c r="N1136" s="43" t="s">
        <v>383</v>
      </c>
    </row>
    <row r="1137" spans="1:15" ht="15.75" customHeight="1">
      <c r="A1137" s="41" t="s">
        <v>824</v>
      </c>
      <c r="B1137" s="41" t="s">
        <v>133</v>
      </c>
      <c r="C1137" s="41" t="s">
        <v>431</v>
      </c>
      <c r="D1137" s="41" t="s">
        <v>432</v>
      </c>
      <c r="E1137" s="41" t="s">
        <v>433</v>
      </c>
      <c r="F1137" s="42">
        <v>19</v>
      </c>
      <c r="G1137" s="41" t="s">
        <v>368</v>
      </c>
      <c r="H1137" s="43" t="s">
        <v>434</v>
      </c>
      <c r="I1137" s="44">
        <v>60</v>
      </c>
      <c r="J1137" s="41"/>
      <c r="K1137" s="44">
        <v>1000</v>
      </c>
      <c r="L1137" s="41" t="s">
        <v>435</v>
      </c>
      <c r="M1137" s="44">
        <v>4</v>
      </c>
      <c r="N1137" s="43" t="s">
        <v>436</v>
      </c>
    </row>
    <row r="1138" spans="1:15" ht="15.75" customHeight="1">
      <c r="A1138" s="41" t="s">
        <v>825</v>
      </c>
      <c r="B1138" s="41" t="s">
        <v>826</v>
      </c>
      <c r="C1138" s="41" t="s">
        <v>424</v>
      </c>
      <c r="D1138" s="41" t="s">
        <v>425</v>
      </c>
      <c r="E1138" s="41" t="s">
        <v>48</v>
      </c>
      <c r="F1138" s="42">
        <v>4</v>
      </c>
      <c r="G1138" s="41" t="s">
        <v>11</v>
      </c>
      <c r="H1138" s="43" t="s">
        <v>426</v>
      </c>
      <c r="I1138" s="44">
        <v>105</v>
      </c>
      <c r="J1138" s="44">
        <v>60.6</v>
      </c>
      <c r="K1138" s="41"/>
      <c r="L1138" s="45">
        <v>52000</v>
      </c>
      <c r="M1138" s="44">
        <v>1</v>
      </c>
      <c r="N1138" s="43" t="s">
        <v>383</v>
      </c>
    </row>
    <row r="1139" spans="1:15" ht="15.75" customHeight="1">
      <c r="A1139" s="41" t="s">
        <v>825</v>
      </c>
      <c r="B1139" s="41" t="s">
        <v>826</v>
      </c>
      <c r="C1139" s="41" t="s">
        <v>424</v>
      </c>
      <c r="D1139" s="41" t="s">
        <v>425</v>
      </c>
      <c r="E1139" s="41" t="s">
        <v>48</v>
      </c>
      <c r="F1139" s="42">
        <v>5</v>
      </c>
      <c r="G1139" s="41" t="s">
        <v>12</v>
      </c>
      <c r="H1139" s="43" t="s">
        <v>427</v>
      </c>
      <c r="I1139" s="44">
        <v>150</v>
      </c>
      <c r="J1139" s="44">
        <v>60.6</v>
      </c>
      <c r="K1139" s="41"/>
      <c r="L1139" s="45">
        <v>52000</v>
      </c>
      <c r="M1139" s="44">
        <v>1</v>
      </c>
      <c r="N1139" s="43" t="s">
        <v>383</v>
      </c>
    </row>
    <row r="1140" spans="1:15" ht="15.75" customHeight="1">
      <c r="A1140" s="41" t="s">
        <v>825</v>
      </c>
      <c r="B1140" s="41" t="s">
        <v>826</v>
      </c>
      <c r="C1140" s="41" t="s">
        <v>424</v>
      </c>
      <c r="D1140" s="41" t="s">
        <v>425</v>
      </c>
      <c r="E1140" s="41" t="s">
        <v>48</v>
      </c>
      <c r="F1140" s="42">
        <v>6</v>
      </c>
      <c r="G1140" s="41" t="s">
        <v>13</v>
      </c>
      <c r="H1140" s="43" t="s">
        <v>427</v>
      </c>
      <c r="I1140" s="44">
        <v>30</v>
      </c>
      <c r="J1140" s="44">
        <v>60.6</v>
      </c>
      <c r="K1140" s="41"/>
      <c r="L1140" s="45">
        <v>52000</v>
      </c>
      <c r="M1140" s="44">
        <v>1</v>
      </c>
      <c r="N1140" s="43" t="s">
        <v>383</v>
      </c>
    </row>
    <row r="1141" spans="1:15" ht="15.75" customHeight="1">
      <c r="A1141" s="46" t="s">
        <v>827</v>
      </c>
      <c r="B1141" s="46" t="s">
        <v>826</v>
      </c>
      <c r="C1141" s="46" t="s">
        <v>424</v>
      </c>
      <c r="D1141" s="46" t="s">
        <v>429</v>
      </c>
      <c r="E1141" s="46" t="s">
        <v>74</v>
      </c>
      <c r="F1141" s="47">
        <v>7</v>
      </c>
      <c r="G1141" s="46" t="s">
        <v>11</v>
      </c>
      <c r="H1141" s="48" t="s">
        <v>426</v>
      </c>
      <c r="I1141" s="49">
        <v>135</v>
      </c>
      <c r="J1141" s="49">
        <v>60.6</v>
      </c>
      <c r="K1141" s="46"/>
      <c r="L1141" s="50">
        <v>103000</v>
      </c>
      <c r="M1141" s="49">
        <v>1</v>
      </c>
      <c r="N1141" s="48" t="s">
        <v>383</v>
      </c>
      <c r="O1141" s="51"/>
    </row>
    <row r="1142" spans="1:15" ht="15.75" customHeight="1">
      <c r="A1142" s="46" t="s">
        <v>827</v>
      </c>
      <c r="B1142" s="46" t="s">
        <v>826</v>
      </c>
      <c r="C1142" s="46" t="s">
        <v>424</v>
      </c>
      <c r="D1142" s="46" t="s">
        <v>429</v>
      </c>
      <c r="E1142" s="46" t="s">
        <v>74</v>
      </c>
      <c r="F1142" s="47">
        <v>8</v>
      </c>
      <c r="G1142" s="46" t="s">
        <v>12</v>
      </c>
      <c r="H1142" s="48" t="s">
        <v>430</v>
      </c>
      <c r="I1142" s="49">
        <v>200</v>
      </c>
      <c r="J1142" s="49">
        <v>60.6</v>
      </c>
      <c r="K1142" s="46"/>
      <c r="L1142" s="50">
        <v>103000</v>
      </c>
      <c r="M1142" s="49">
        <v>1</v>
      </c>
      <c r="N1142" s="48" t="s">
        <v>383</v>
      </c>
      <c r="O1142" s="51"/>
    </row>
    <row r="1143" spans="1:15" ht="15.75" customHeight="1">
      <c r="A1143" s="46" t="s">
        <v>827</v>
      </c>
      <c r="B1143" s="46" t="s">
        <v>826</v>
      </c>
      <c r="C1143" s="46" t="s">
        <v>424</v>
      </c>
      <c r="D1143" s="46" t="s">
        <v>429</v>
      </c>
      <c r="E1143" s="46" t="s">
        <v>74</v>
      </c>
      <c r="F1143" s="47">
        <v>9</v>
      </c>
      <c r="G1143" s="46" t="s">
        <v>13</v>
      </c>
      <c r="H1143" s="48" t="s">
        <v>430</v>
      </c>
      <c r="I1143" s="49">
        <v>40</v>
      </c>
      <c r="J1143" s="49">
        <v>60.6</v>
      </c>
      <c r="K1143" s="46"/>
      <c r="L1143" s="50">
        <v>103000</v>
      </c>
      <c r="M1143" s="49">
        <v>1</v>
      </c>
      <c r="N1143" s="48" t="s">
        <v>383</v>
      </c>
      <c r="O1143" s="51"/>
    </row>
    <row r="1144" spans="1:15" ht="15.75" customHeight="1">
      <c r="A1144" s="41" t="s">
        <v>825</v>
      </c>
      <c r="B1144" s="41" t="s">
        <v>826</v>
      </c>
      <c r="C1144" s="41" t="s">
        <v>431</v>
      </c>
      <c r="D1144" s="41" t="s">
        <v>432</v>
      </c>
      <c r="E1144" s="41" t="s">
        <v>433</v>
      </c>
      <c r="F1144" s="42">
        <v>18</v>
      </c>
      <c r="G1144" s="41" t="s">
        <v>439</v>
      </c>
      <c r="H1144" s="43" t="s">
        <v>440</v>
      </c>
      <c r="I1144" s="44">
        <v>60</v>
      </c>
      <c r="J1144" s="41"/>
      <c r="K1144" s="44">
        <v>800</v>
      </c>
      <c r="L1144" s="41" t="s">
        <v>435</v>
      </c>
      <c r="M1144" s="44">
        <v>1</v>
      </c>
      <c r="N1144" s="43" t="s">
        <v>436</v>
      </c>
    </row>
    <row r="1145" spans="1:15" ht="15.75" customHeight="1">
      <c r="A1145" s="41" t="s">
        <v>825</v>
      </c>
      <c r="B1145" s="41" t="s">
        <v>826</v>
      </c>
      <c r="C1145" s="41" t="s">
        <v>431</v>
      </c>
      <c r="D1145" s="41" t="s">
        <v>432</v>
      </c>
      <c r="E1145" s="41" t="s">
        <v>433</v>
      </c>
      <c r="F1145" s="42">
        <v>19</v>
      </c>
      <c r="G1145" s="41" t="s">
        <v>368</v>
      </c>
      <c r="H1145" s="43" t="s">
        <v>434</v>
      </c>
      <c r="I1145" s="44">
        <v>60</v>
      </c>
      <c r="J1145" s="41"/>
      <c r="K1145" s="44">
        <v>700</v>
      </c>
      <c r="L1145" s="41" t="s">
        <v>435</v>
      </c>
      <c r="M1145" s="44">
        <v>3</v>
      </c>
      <c r="N1145" s="43" t="s">
        <v>436</v>
      </c>
    </row>
    <row r="1146" spans="1:15" ht="15.75" customHeight="1">
      <c r="A1146" s="41" t="s">
        <v>828</v>
      </c>
      <c r="B1146" s="41" t="s">
        <v>829</v>
      </c>
      <c r="C1146" s="41" t="s">
        <v>499</v>
      </c>
      <c r="D1146" s="41" t="s">
        <v>443</v>
      </c>
      <c r="E1146" s="41" t="s">
        <v>33</v>
      </c>
      <c r="F1146" s="42">
        <v>11</v>
      </c>
      <c r="G1146" s="41" t="s">
        <v>12</v>
      </c>
      <c r="H1146" s="43" t="s">
        <v>444</v>
      </c>
      <c r="I1146" s="44">
        <v>40</v>
      </c>
      <c r="J1146" s="44">
        <v>28.4</v>
      </c>
      <c r="K1146" s="41"/>
      <c r="L1146" s="45">
        <v>80000</v>
      </c>
      <c r="M1146" s="44">
        <v>1</v>
      </c>
      <c r="N1146" s="43" t="s">
        <v>383</v>
      </c>
    </row>
    <row r="1147" spans="1:15" ht="15.75" customHeight="1">
      <c r="A1147" s="41" t="s">
        <v>828</v>
      </c>
      <c r="B1147" s="41" t="s">
        <v>829</v>
      </c>
      <c r="C1147" s="41" t="s">
        <v>499</v>
      </c>
      <c r="D1147" s="41" t="s">
        <v>443</v>
      </c>
      <c r="E1147" s="41" t="s">
        <v>33</v>
      </c>
      <c r="F1147" s="42">
        <v>12</v>
      </c>
      <c r="G1147" s="41" t="s">
        <v>13</v>
      </c>
      <c r="H1147" s="43" t="s">
        <v>444</v>
      </c>
      <c r="I1147" s="44">
        <v>20</v>
      </c>
      <c r="J1147" s="44">
        <v>28.4</v>
      </c>
      <c r="K1147" s="41"/>
      <c r="L1147" s="45">
        <v>80000</v>
      </c>
      <c r="M1147" s="44">
        <v>1</v>
      </c>
      <c r="N1147" s="43" t="s">
        <v>383</v>
      </c>
    </row>
    <row r="1148" spans="1:15" ht="15.75" customHeight="1">
      <c r="A1148" s="41" t="s">
        <v>828</v>
      </c>
      <c r="B1148" s="41" t="s">
        <v>829</v>
      </c>
      <c r="C1148" s="41" t="s">
        <v>431</v>
      </c>
      <c r="D1148" s="41" t="s">
        <v>432</v>
      </c>
      <c r="E1148" s="41" t="s">
        <v>433</v>
      </c>
      <c r="F1148" s="42">
        <v>18</v>
      </c>
      <c r="G1148" s="41" t="s">
        <v>439</v>
      </c>
      <c r="H1148" s="43" t="s">
        <v>440</v>
      </c>
      <c r="I1148" s="44">
        <v>60</v>
      </c>
      <c r="J1148" s="41"/>
      <c r="K1148" s="44">
        <v>1235</v>
      </c>
      <c r="L1148" s="41" t="s">
        <v>435</v>
      </c>
      <c r="M1148" s="44">
        <v>1</v>
      </c>
      <c r="N1148" s="43" t="s">
        <v>436</v>
      </c>
    </row>
    <row r="1149" spans="1:15" ht="15.75" customHeight="1">
      <c r="A1149" s="41" t="s">
        <v>828</v>
      </c>
      <c r="B1149" s="41" t="s">
        <v>829</v>
      </c>
      <c r="C1149" s="41" t="s">
        <v>431</v>
      </c>
      <c r="D1149" s="41" t="s">
        <v>432</v>
      </c>
      <c r="E1149" s="41" t="s">
        <v>433</v>
      </c>
      <c r="F1149" s="42">
        <v>19</v>
      </c>
      <c r="G1149" s="41" t="s">
        <v>368</v>
      </c>
      <c r="H1149" s="43" t="s">
        <v>434</v>
      </c>
      <c r="I1149" s="44">
        <v>60</v>
      </c>
      <c r="J1149" s="41"/>
      <c r="K1149" s="44">
        <v>800</v>
      </c>
      <c r="L1149" s="41" t="s">
        <v>435</v>
      </c>
      <c r="M1149" s="44">
        <v>3</v>
      </c>
      <c r="N1149" s="43" t="s">
        <v>436</v>
      </c>
    </row>
    <row r="1150" spans="1:15" ht="15.75" customHeight="1">
      <c r="A1150" s="41" t="s">
        <v>830</v>
      </c>
      <c r="B1150" s="41" t="s">
        <v>831</v>
      </c>
      <c r="C1150" s="41" t="s">
        <v>431</v>
      </c>
      <c r="D1150" s="41" t="s">
        <v>432</v>
      </c>
      <c r="E1150" s="41" t="s">
        <v>433</v>
      </c>
      <c r="F1150" s="42">
        <v>18</v>
      </c>
      <c r="G1150" s="41" t="s">
        <v>439</v>
      </c>
      <c r="H1150" s="43" t="s">
        <v>440</v>
      </c>
      <c r="I1150" s="44">
        <v>60</v>
      </c>
      <c r="J1150" s="41"/>
      <c r="K1150" s="44">
        <v>1000</v>
      </c>
      <c r="L1150" s="41" t="s">
        <v>435</v>
      </c>
      <c r="M1150" s="44">
        <v>1</v>
      </c>
      <c r="N1150" s="43" t="s">
        <v>436</v>
      </c>
    </row>
    <row r="1151" spans="1:15" ht="15.75" customHeight="1">
      <c r="A1151" s="41" t="s">
        <v>830</v>
      </c>
      <c r="B1151" s="41" t="s">
        <v>831</v>
      </c>
      <c r="C1151" s="41" t="s">
        <v>431</v>
      </c>
      <c r="D1151" s="41" t="s">
        <v>432</v>
      </c>
      <c r="E1151" s="41" t="s">
        <v>433</v>
      </c>
      <c r="F1151" s="42">
        <v>19</v>
      </c>
      <c r="G1151" s="41" t="s">
        <v>368</v>
      </c>
      <c r="H1151" s="43" t="s">
        <v>434</v>
      </c>
      <c r="I1151" s="44">
        <v>60</v>
      </c>
      <c r="J1151" s="41"/>
      <c r="K1151" s="44">
        <v>800</v>
      </c>
      <c r="L1151" s="41" t="s">
        <v>435</v>
      </c>
      <c r="M1151" s="44">
        <v>4</v>
      </c>
      <c r="N1151" s="43" t="s">
        <v>436</v>
      </c>
    </row>
    <row r="1152" spans="1:15" ht="15.75" customHeight="1">
      <c r="A1152" s="41" t="s">
        <v>832</v>
      </c>
      <c r="B1152" s="41" t="s">
        <v>833</v>
      </c>
      <c r="C1152" s="41" t="s">
        <v>442</v>
      </c>
      <c r="D1152" s="41" t="s">
        <v>443</v>
      </c>
      <c r="E1152" s="41" t="s">
        <v>33</v>
      </c>
      <c r="F1152" s="42">
        <v>10</v>
      </c>
      <c r="G1152" s="41" t="s">
        <v>11</v>
      </c>
      <c r="H1152" s="43" t="s">
        <v>426</v>
      </c>
      <c r="I1152" s="44">
        <v>30</v>
      </c>
      <c r="J1152" s="44">
        <v>5000</v>
      </c>
      <c r="K1152" s="41"/>
      <c r="L1152" s="45">
        <v>103000</v>
      </c>
      <c r="M1152" s="44">
        <v>1</v>
      </c>
      <c r="N1152" s="43" t="s">
        <v>383</v>
      </c>
    </row>
    <row r="1153" spans="1:14" ht="15.75" customHeight="1">
      <c r="A1153" s="41" t="s">
        <v>832</v>
      </c>
      <c r="B1153" s="41" t="s">
        <v>833</v>
      </c>
      <c r="C1153" s="41" t="s">
        <v>442</v>
      </c>
      <c r="D1153" s="41" t="s">
        <v>443</v>
      </c>
      <c r="E1153" s="41" t="s">
        <v>33</v>
      </c>
      <c r="F1153" s="42">
        <v>11</v>
      </c>
      <c r="G1153" s="41" t="s">
        <v>12</v>
      </c>
      <c r="H1153" s="43" t="s">
        <v>444</v>
      </c>
      <c r="I1153" s="44">
        <v>110</v>
      </c>
      <c r="J1153" s="44">
        <v>5000</v>
      </c>
      <c r="K1153" s="41"/>
      <c r="L1153" s="45">
        <v>103000</v>
      </c>
      <c r="M1153" s="44">
        <v>1</v>
      </c>
      <c r="N1153" s="43" t="s">
        <v>383</v>
      </c>
    </row>
    <row r="1154" spans="1:14" ht="15.75" customHeight="1">
      <c r="A1154" s="41" t="s">
        <v>832</v>
      </c>
      <c r="B1154" s="41" t="s">
        <v>833</v>
      </c>
      <c r="C1154" s="41" t="s">
        <v>442</v>
      </c>
      <c r="D1154" s="41" t="s">
        <v>443</v>
      </c>
      <c r="E1154" s="41" t="s">
        <v>33</v>
      </c>
      <c r="F1154" s="42">
        <v>12</v>
      </c>
      <c r="G1154" s="41" t="s">
        <v>13</v>
      </c>
      <c r="H1154" s="43" t="s">
        <v>444</v>
      </c>
      <c r="I1154" s="44">
        <v>15</v>
      </c>
      <c r="J1154" s="44">
        <v>5000</v>
      </c>
      <c r="K1154" s="41"/>
      <c r="L1154" s="45">
        <v>103000</v>
      </c>
      <c r="M1154" s="44">
        <v>1</v>
      </c>
      <c r="N1154" s="43" t="s">
        <v>383</v>
      </c>
    </row>
    <row r="1155" spans="1:14" ht="15.75" customHeight="1">
      <c r="A1155" s="41" t="s">
        <v>832</v>
      </c>
      <c r="B1155" s="41" t="s">
        <v>833</v>
      </c>
      <c r="C1155" s="41" t="s">
        <v>431</v>
      </c>
      <c r="D1155" s="41" t="s">
        <v>432</v>
      </c>
      <c r="E1155" s="41" t="s">
        <v>433</v>
      </c>
      <c r="F1155" s="42">
        <v>18</v>
      </c>
      <c r="G1155" s="41" t="s">
        <v>439</v>
      </c>
      <c r="H1155" s="43" t="s">
        <v>440</v>
      </c>
      <c r="I1155" s="44">
        <v>60</v>
      </c>
      <c r="J1155" s="41"/>
      <c r="K1155" s="44">
        <v>400</v>
      </c>
      <c r="L1155" s="41" t="s">
        <v>435</v>
      </c>
      <c r="M1155" s="44">
        <v>1</v>
      </c>
      <c r="N1155" s="43" t="s">
        <v>436</v>
      </c>
    </row>
    <row r="1156" spans="1:14" ht="15.75" customHeight="1">
      <c r="A1156" s="41" t="s">
        <v>832</v>
      </c>
      <c r="B1156" s="41" t="s">
        <v>833</v>
      </c>
      <c r="C1156" s="41" t="s">
        <v>431</v>
      </c>
      <c r="D1156" s="41" t="s">
        <v>432</v>
      </c>
      <c r="E1156" s="41" t="s">
        <v>433</v>
      </c>
      <c r="F1156" s="42">
        <v>19</v>
      </c>
      <c r="G1156" s="41" t="s">
        <v>368</v>
      </c>
      <c r="H1156" s="43" t="s">
        <v>434</v>
      </c>
      <c r="I1156" s="44">
        <v>60</v>
      </c>
      <c r="J1156" s="41"/>
      <c r="K1156" s="44">
        <v>20</v>
      </c>
      <c r="L1156" s="41" t="s">
        <v>435</v>
      </c>
      <c r="M1156" s="44">
        <v>3</v>
      </c>
      <c r="N1156" s="43" t="s">
        <v>436</v>
      </c>
    </row>
    <row r="1157" spans="1:14" ht="15.75" customHeight="1">
      <c r="A1157" s="41" t="s">
        <v>834</v>
      </c>
      <c r="B1157" s="41" t="s">
        <v>835</v>
      </c>
      <c r="C1157" s="41" t="s">
        <v>442</v>
      </c>
      <c r="D1157" s="41" t="s">
        <v>448</v>
      </c>
      <c r="E1157" s="41" t="s">
        <v>40</v>
      </c>
      <c r="F1157" s="42">
        <v>1</v>
      </c>
      <c r="G1157" s="41" t="s">
        <v>11</v>
      </c>
      <c r="H1157" s="43" t="s">
        <v>426</v>
      </c>
      <c r="I1157" s="44">
        <v>20</v>
      </c>
      <c r="J1157" s="44">
        <v>27.5</v>
      </c>
      <c r="K1157" s="41"/>
      <c r="L1157" s="45">
        <v>412000</v>
      </c>
      <c r="M1157" s="44">
        <v>1</v>
      </c>
      <c r="N1157" s="43" t="s">
        <v>383</v>
      </c>
    </row>
    <row r="1158" spans="1:14" ht="15.75" customHeight="1">
      <c r="A1158" s="41" t="s">
        <v>834</v>
      </c>
      <c r="B1158" s="41" t="s">
        <v>835</v>
      </c>
      <c r="C1158" s="41" t="s">
        <v>442</v>
      </c>
      <c r="D1158" s="41" t="s">
        <v>448</v>
      </c>
      <c r="E1158" s="41" t="s">
        <v>40</v>
      </c>
      <c r="F1158" s="42">
        <v>2</v>
      </c>
      <c r="G1158" s="41" t="s">
        <v>12</v>
      </c>
      <c r="H1158" s="43" t="s">
        <v>449</v>
      </c>
      <c r="I1158" s="44">
        <v>110</v>
      </c>
      <c r="J1158" s="44">
        <v>27.5</v>
      </c>
      <c r="K1158" s="41"/>
      <c r="L1158" s="45">
        <v>412000</v>
      </c>
      <c r="M1158" s="44">
        <v>1</v>
      </c>
      <c r="N1158" s="43" t="s">
        <v>383</v>
      </c>
    </row>
    <row r="1159" spans="1:14" ht="15.75" customHeight="1">
      <c r="A1159" s="41" t="s">
        <v>834</v>
      </c>
      <c r="B1159" s="41" t="s">
        <v>835</v>
      </c>
      <c r="C1159" s="41" t="s">
        <v>442</v>
      </c>
      <c r="D1159" s="41" t="s">
        <v>448</v>
      </c>
      <c r="E1159" s="41" t="s">
        <v>40</v>
      </c>
      <c r="F1159" s="42">
        <v>3</v>
      </c>
      <c r="G1159" s="41" t="s">
        <v>13</v>
      </c>
      <c r="H1159" s="43" t="s">
        <v>449</v>
      </c>
      <c r="I1159" s="44">
        <v>30</v>
      </c>
      <c r="J1159" s="44">
        <v>27.5</v>
      </c>
      <c r="K1159" s="41"/>
      <c r="L1159" s="45">
        <v>412000</v>
      </c>
      <c r="M1159" s="44">
        <v>1</v>
      </c>
      <c r="N1159" s="43" t="s">
        <v>383</v>
      </c>
    </row>
    <row r="1160" spans="1:14" ht="15.75" customHeight="1">
      <c r="A1160" s="41" t="s">
        <v>834</v>
      </c>
      <c r="B1160" s="41" t="s">
        <v>835</v>
      </c>
      <c r="C1160" s="41" t="s">
        <v>431</v>
      </c>
      <c r="D1160" s="41" t="s">
        <v>432</v>
      </c>
      <c r="E1160" s="41" t="s">
        <v>433</v>
      </c>
      <c r="F1160" s="42">
        <v>19</v>
      </c>
      <c r="G1160" s="41" t="s">
        <v>368</v>
      </c>
      <c r="H1160" s="43" t="s">
        <v>434</v>
      </c>
      <c r="I1160" s="44">
        <v>60</v>
      </c>
      <c r="J1160" s="41"/>
      <c r="K1160" s="44">
        <v>1250</v>
      </c>
      <c r="L1160" s="41" t="s">
        <v>435</v>
      </c>
      <c r="M1160" s="44">
        <v>2</v>
      </c>
      <c r="N1160" s="43" t="s">
        <v>436</v>
      </c>
    </row>
    <row r="1161" spans="1:14" ht="15.75" customHeight="1">
      <c r="A1161" s="41" t="s">
        <v>836</v>
      </c>
      <c r="B1161" s="41" t="s">
        <v>837</v>
      </c>
      <c r="C1161" s="41" t="s">
        <v>442</v>
      </c>
      <c r="D1161" s="41" t="s">
        <v>443</v>
      </c>
      <c r="E1161" s="41" t="s">
        <v>33</v>
      </c>
      <c r="F1161" s="42">
        <v>10</v>
      </c>
      <c r="G1161" s="41" t="s">
        <v>11</v>
      </c>
      <c r="H1161" s="43" t="s">
        <v>426</v>
      </c>
      <c r="I1161" s="44">
        <v>100</v>
      </c>
      <c r="J1161" s="44">
        <v>30.5</v>
      </c>
      <c r="K1161" s="41"/>
      <c r="L1161" s="45">
        <v>100000</v>
      </c>
      <c r="M1161" s="44">
        <v>1</v>
      </c>
      <c r="N1161" s="43" t="s">
        <v>383</v>
      </c>
    </row>
    <row r="1162" spans="1:14" ht="15.75" customHeight="1">
      <c r="A1162" s="41" t="s">
        <v>836</v>
      </c>
      <c r="B1162" s="41" t="s">
        <v>837</v>
      </c>
      <c r="C1162" s="41" t="s">
        <v>442</v>
      </c>
      <c r="D1162" s="41" t="s">
        <v>443</v>
      </c>
      <c r="E1162" s="41" t="s">
        <v>33</v>
      </c>
      <c r="F1162" s="42">
        <v>11</v>
      </c>
      <c r="G1162" s="41" t="s">
        <v>12</v>
      </c>
      <c r="H1162" s="43" t="s">
        <v>444</v>
      </c>
      <c r="I1162" s="44">
        <v>50</v>
      </c>
      <c r="J1162" s="44">
        <v>30.5</v>
      </c>
      <c r="K1162" s="41"/>
      <c r="L1162" s="45">
        <v>100000</v>
      </c>
      <c r="M1162" s="44">
        <v>1</v>
      </c>
      <c r="N1162" s="43" t="s">
        <v>383</v>
      </c>
    </row>
    <row r="1163" spans="1:14" ht="15.75" customHeight="1">
      <c r="A1163" s="41" t="s">
        <v>836</v>
      </c>
      <c r="B1163" s="41" t="s">
        <v>837</v>
      </c>
      <c r="C1163" s="41" t="s">
        <v>442</v>
      </c>
      <c r="D1163" s="41" t="s">
        <v>443</v>
      </c>
      <c r="E1163" s="41" t="s">
        <v>33</v>
      </c>
      <c r="F1163" s="42">
        <v>12</v>
      </c>
      <c r="G1163" s="41" t="s">
        <v>13</v>
      </c>
      <c r="H1163" s="43" t="s">
        <v>444</v>
      </c>
      <c r="I1163" s="44">
        <v>10</v>
      </c>
      <c r="J1163" s="44">
        <v>30.5</v>
      </c>
      <c r="K1163" s="41"/>
      <c r="L1163" s="45">
        <v>100000</v>
      </c>
      <c r="M1163" s="44">
        <v>1</v>
      </c>
      <c r="N1163" s="43" t="s">
        <v>383</v>
      </c>
    </row>
    <row r="1164" spans="1:14" ht="15.75" customHeight="1">
      <c r="A1164" s="41" t="s">
        <v>836</v>
      </c>
      <c r="B1164" s="41" t="s">
        <v>837</v>
      </c>
      <c r="C1164" s="41" t="s">
        <v>431</v>
      </c>
      <c r="D1164" s="41" t="s">
        <v>432</v>
      </c>
      <c r="E1164" s="41" t="s">
        <v>433</v>
      </c>
      <c r="F1164" s="42">
        <v>18</v>
      </c>
      <c r="G1164" s="41" t="s">
        <v>439</v>
      </c>
      <c r="H1164" s="43" t="s">
        <v>440</v>
      </c>
      <c r="I1164" s="44">
        <v>60</v>
      </c>
      <c r="J1164" s="41"/>
      <c r="K1164" s="44">
        <v>1000</v>
      </c>
      <c r="L1164" s="41" t="s">
        <v>435</v>
      </c>
      <c r="M1164" s="44">
        <v>1</v>
      </c>
      <c r="N1164" s="43" t="s">
        <v>436</v>
      </c>
    </row>
    <row r="1165" spans="1:14" ht="15.75" customHeight="1">
      <c r="A1165" s="41" t="s">
        <v>836</v>
      </c>
      <c r="B1165" s="41" t="s">
        <v>837</v>
      </c>
      <c r="C1165" s="41" t="s">
        <v>431</v>
      </c>
      <c r="D1165" s="41" t="s">
        <v>432</v>
      </c>
      <c r="E1165" s="41" t="s">
        <v>433</v>
      </c>
      <c r="F1165" s="42">
        <v>19</v>
      </c>
      <c r="G1165" s="41" t="s">
        <v>368</v>
      </c>
      <c r="H1165" s="43" t="s">
        <v>434</v>
      </c>
      <c r="I1165" s="44">
        <v>60</v>
      </c>
      <c r="J1165" s="41"/>
      <c r="K1165" s="44">
        <v>670</v>
      </c>
      <c r="L1165" s="41" t="s">
        <v>435</v>
      </c>
      <c r="M1165" s="44">
        <v>4</v>
      </c>
      <c r="N1165" s="43" t="s">
        <v>436</v>
      </c>
    </row>
    <row r="1166" spans="1:14" ht="15.75" customHeight="1">
      <c r="A1166" s="41" t="s">
        <v>838</v>
      </c>
      <c r="B1166" s="41" t="s">
        <v>839</v>
      </c>
      <c r="C1166" s="41" t="s">
        <v>424</v>
      </c>
      <c r="D1166" s="41" t="s">
        <v>425</v>
      </c>
      <c r="E1166" s="41" t="s">
        <v>48</v>
      </c>
      <c r="F1166" s="42">
        <v>4</v>
      </c>
      <c r="G1166" s="41" t="s">
        <v>11</v>
      </c>
      <c r="H1166" s="43" t="s">
        <v>426</v>
      </c>
      <c r="I1166" s="44">
        <v>75</v>
      </c>
      <c r="J1166" s="44">
        <v>50</v>
      </c>
      <c r="K1166" s="41"/>
      <c r="L1166" s="45">
        <v>52000</v>
      </c>
      <c r="M1166" s="44">
        <v>1</v>
      </c>
      <c r="N1166" s="43" t="s">
        <v>383</v>
      </c>
    </row>
    <row r="1167" spans="1:14" ht="15.75" customHeight="1">
      <c r="A1167" s="41" t="s">
        <v>838</v>
      </c>
      <c r="B1167" s="41" t="s">
        <v>839</v>
      </c>
      <c r="C1167" s="41" t="s">
        <v>424</v>
      </c>
      <c r="D1167" s="41" t="s">
        <v>425</v>
      </c>
      <c r="E1167" s="41" t="s">
        <v>48</v>
      </c>
      <c r="F1167" s="42">
        <v>5</v>
      </c>
      <c r="G1167" s="41" t="s">
        <v>12</v>
      </c>
      <c r="H1167" s="43" t="s">
        <v>427</v>
      </c>
      <c r="I1167" s="44">
        <v>120</v>
      </c>
      <c r="J1167" s="44">
        <v>50</v>
      </c>
      <c r="K1167" s="41"/>
      <c r="L1167" s="45">
        <v>52000</v>
      </c>
      <c r="M1167" s="44">
        <v>1</v>
      </c>
      <c r="N1167" s="43" t="s">
        <v>383</v>
      </c>
    </row>
    <row r="1168" spans="1:14" ht="15.75" customHeight="1">
      <c r="A1168" s="41" t="s">
        <v>838</v>
      </c>
      <c r="B1168" s="41" t="s">
        <v>839</v>
      </c>
      <c r="C1168" s="41" t="s">
        <v>424</v>
      </c>
      <c r="D1168" s="41" t="s">
        <v>425</v>
      </c>
      <c r="E1168" s="41" t="s">
        <v>48</v>
      </c>
      <c r="F1168" s="42">
        <v>6</v>
      </c>
      <c r="G1168" s="41" t="s">
        <v>13</v>
      </c>
      <c r="H1168" s="43" t="s">
        <v>427</v>
      </c>
      <c r="I1168" s="44">
        <v>90</v>
      </c>
      <c r="J1168" s="44">
        <v>50</v>
      </c>
      <c r="K1168" s="41"/>
      <c r="L1168" s="45">
        <v>52000</v>
      </c>
      <c r="M1168" s="44">
        <v>1</v>
      </c>
      <c r="N1168" s="43" t="s">
        <v>383</v>
      </c>
    </row>
    <row r="1169" spans="1:15" ht="15.75" customHeight="1">
      <c r="A1169" s="41" t="s">
        <v>838</v>
      </c>
      <c r="B1169" s="41" t="s">
        <v>839</v>
      </c>
      <c r="C1169" s="41" t="s">
        <v>431</v>
      </c>
      <c r="D1169" s="41" t="s">
        <v>432</v>
      </c>
      <c r="E1169" s="41" t="s">
        <v>433</v>
      </c>
      <c r="F1169" s="42">
        <v>19</v>
      </c>
      <c r="G1169" s="41" t="s">
        <v>368</v>
      </c>
      <c r="H1169" s="43" t="s">
        <v>434</v>
      </c>
      <c r="I1169" s="44">
        <v>60</v>
      </c>
      <c r="J1169" s="41"/>
      <c r="K1169" s="44">
        <v>860</v>
      </c>
      <c r="L1169" s="41" t="s">
        <v>435</v>
      </c>
      <c r="M1169" s="44">
        <v>4</v>
      </c>
      <c r="N1169" s="43" t="s">
        <v>436</v>
      </c>
    </row>
    <row r="1170" spans="1:15" ht="15.75" customHeight="1">
      <c r="A1170" s="46" t="s">
        <v>840</v>
      </c>
      <c r="B1170" s="46" t="s">
        <v>238</v>
      </c>
      <c r="C1170" s="46" t="s">
        <v>442</v>
      </c>
      <c r="D1170" s="46" t="s">
        <v>443</v>
      </c>
      <c r="E1170" s="46" t="s">
        <v>33</v>
      </c>
      <c r="F1170" s="47">
        <v>10</v>
      </c>
      <c r="G1170" s="46" t="s">
        <v>11</v>
      </c>
      <c r="H1170" s="48" t="s">
        <v>426</v>
      </c>
      <c r="I1170" s="49">
        <v>90</v>
      </c>
      <c r="J1170" s="49">
        <v>29.5</v>
      </c>
      <c r="K1170" s="46"/>
      <c r="L1170" s="50">
        <v>100000</v>
      </c>
      <c r="M1170" s="49">
        <v>1</v>
      </c>
      <c r="N1170" s="48" t="s">
        <v>383</v>
      </c>
      <c r="O1170" s="51"/>
    </row>
    <row r="1171" spans="1:15" ht="15.75" customHeight="1">
      <c r="A1171" s="46" t="s">
        <v>840</v>
      </c>
      <c r="B1171" s="46" t="s">
        <v>238</v>
      </c>
      <c r="C1171" s="46" t="s">
        <v>442</v>
      </c>
      <c r="D1171" s="46" t="s">
        <v>443</v>
      </c>
      <c r="E1171" s="46" t="s">
        <v>33</v>
      </c>
      <c r="F1171" s="47">
        <v>11</v>
      </c>
      <c r="G1171" s="46" t="s">
        <v>12</v>
      </c>
      <c r="H1171" s="48" t="s">
        <v>444</v>
      </c>
      <c r="I1171" s="49">
        <v>50</v>
      </c>
      <c r="J1171" s="49">
        <v>29.5</v>
      </c>
      <c r="K1171" s="46"/>
      <c r="L1171" s="50">
        <v>100000</v>
      </c>
      <c r="M1171" s="49">
        <v>1</v>
      </c>
      <c r="N1171" s="48" t="s">
        <v>383</v>
      </c>
      <c r="O1171" s="51"/>
    </row>
    <row r="1172" spans="1:15" ht="15.75" customHeight="1">
      <c r="A1172" s="46" t="s">
        <v>840</v>
      </c>
      <c r="B1172" s="46" t="s">
        <v>238</v>
      </c>
      <c r="C1172" s="46" t="s">
        <v>442</v>
      </c>
      <c r="D1172" s="46" t="s">
        <v>443</v>
      </c>
      <c r="E1172" s="46" t="s">
        <v>33</v>
      </c>
      <c r="F1172" s="47">
        <v>12</v>
      </c>
      <c r="G1172" s="46" t="s">
        <v>13</v>
      </c>
      <c r="H1172" s="48" t="s">
        <v>444</v>
      </c>
      <c r="I1172" s="49">
        <v>10</v>
      </c>
      <c r="J1172" s="49">
        <v>29.5</v>
      </c>
      <c r="K1172" s="46"/>
      <c r="L1172" s="50">
        <v>100000</v>
      </c>
      <c r="M1172" s="49">
        <v>1</v>
      </c>
      <c r="N1172" s="48" t="s">
        <v>383</v>
      </c>
      <c r="O1172" s="51"/>
    </row>
    <row r="1173" spans="1:15" ht="15.75" customHeight="1">
      <c r="A1173" s="41" t="s">
        <v>841</v>
      </c>
      <c r="B1173" s="41" t="s">
        <v>238</v>
      </c>
      <c r="C1173" s="41" t="s">
        <v>442</v>
      </c>
      <c r="D1173" s="41" t="s">
        <v>448</v>
      </c>
      <c r="E1173" s="41" t="s">
        <v>40</v>
      </c>
      <c r="F1173" s="42">
        <v>1</v>
      </c>
      <c r="G1173" s="41" t="s">
        <v>11</v>
      </c>
      <c r="H1173" s="43" t="s">
        <v>426</v>
      </c>
      <c r="I1173" s="44">
        <v>90</v>
      </c>
      <c r="J1173" s="44">
        <v>29.5</v>
      </c>
      <c r="K1173" s="41"/>
      <c r="L1173" s="45">
        <v>213000</v>
      </c>
      <c r="M1173" s="44">
        <v>1</v>
      </c>
      <c r="N1173" s="43" t="s">
        <v>383</v>
      </c>
    </row>
    <row r="1174" spans="1:15" ht="15.75" customHeight="1">
      <c r="A1174" s="41" t="s">
        <v>841</v>
      </c>
      <c r="B1174" s="41" t="s">
        <v>238</v>
      </c>
      <c r="C1174" s="41" t="s">
        <v>442</v>
      </c>
      <c r="D1174" s="41" t="s">
        <v>448</v>
      </c>
      <c r="E1174" s="41" t="s">
        <v>40</v>
      </c>
      <c r="F1174" s="42">
        <v>2</v>
      </c>
      <c r="G1174" s="41" t="s">
        <v>12</v>
      </c>
      <c r="H1174" s="43" t="s">
        <v>449</v>
      </c>
      <c r="I1174" s="44">
        <v>90</v>
      </c>
      <c r="J1174" s="44">
        <v>29.5</v>
      </c>
      <c r="K1174" s="41"/>
      <c r="L1174" s="45">
        <v>213000</v>
      </c>
      <c r="M1174" s="44">
        <v>1</v>
      </c>
      <c r="N1174" s="43" t="s">
        <v>383</v>
      </c>
    </row>
    <row r="1175" spans="1:15" ht="15.75" customHeight="1">
      <c r="A1175" s="41" t="s">
        <v>841</v>
      </c>
      <c r="B1175" s="41" t="s">
        <v>238</v>
      </c>
      <c r="C1175" s="41" t="s">
        <v>442</v>
      </c>
      <c r="D1175" s="41" t="s">
        <v>448</v>
      </c>
      <c r="E1175" s="41" t="s">
        <v>40</v>
      </c>
      <c r="F1175" s="42">
        <v>3</v>
      </c>
      <c r="G1175" s="41" t="s">
        <v>13</v>
      </c>
      <c r="H1175" s="43" t="s">
        <v>449</v>
      </c>
      <c r="I1175" s="44">
        <v>30</v>
      </c>
      <c r="J1175" s="44">
        <v>29.5</v>
      </c>
      <c r="K1175" s="41"/>
      <c r="L1175" s="45">
        <v>213000</v>
      </c>
      <c r="M1175" s="44">
        <v>1</v>
      </c>
      <c r="N1175" s="43" t="s">
        <v>383</v>
      </c>
    </row>
    <row r="1176" spans="1:15" ht="15.75" customHeight="1">
      <c r="A1176" s="41" t="s">
        <v>841</v>
      </c>
      <c r="B1176" s="41" t="s">
        <v>238</v>
      </c>
      <c r="C1176" s="41" t="s">
        <v>431</v>
      </c>
      <c r="D1176" s="41" t="s">
        <v>432</v>
      </c>
      <c r="E1176" s="41" t="s">
        <v>433</v>
      </c>
      <c r="F1176" s="42">
        <v>18</v>
      </c>
      <c r="G1176" s="41" t="s">
        <v>439</v>
      </c>
      <c r="H1176" s="43" t="s">
        <v>440</v>
      </c>
      <c r="I1176" s="44">
        <v>60</v>
      </c>
      <c r="J1176" s="41"/>
      <c r="K1176" s="44">
        <v>650</v>
      </c>
      <c r="L1176" s="41" t="s">
        <v>435</v>
      </c>
      <c r="M1176" s="44">
        <v>1</v>
      </c>
      <c r="N1176" s="43" t="s">
        <v>436</v>
      </c>
    </row>
    <row r="1177" spans="1:15" ht="15.75" customHeight="1">
      <c r="A1177" s="41" t="s">
        <v>841</v>
      </c>
      <c r="B1177" s="41" t="s">
        <v>238</v>
      </c>
      <c r="C1177" s="41" t="s">
        <v>431</v>
      </c>
      <c r="D1177" s="41" t="s">
        <v>432</v>
      </c>
      <c r="E1177" s="41" t="s">
        <v>433</v>
      </c>
      <c r="F1177" s="42">
        <v>19</v>
      </c>
      <c r="G1177" s="41" t="s">
        <v>368</v>
      </c>
      <c r="H1177" s="43" t="s">
        <v>434</v>
      </c>
      <c r="I1177" s="44">
        <v>60</v>
      </c>
      <c r="J1177" s="41"/>
      <c r="K1177" s="44">
        <v>850</v>
      </c>
      <c r="L1177" s="41" t="s">
        <v>435</v>
      </c>
      <c r="M1177" s="44">
        <v>3</v>
      </c>
      <c r="N1177" s="43" t="s">
        <v>436</v>
      </c>
    </row>
    <row r="1178" spans="1:15" ht="15.75" customHeight="1">
      <c r="A1178" s="41" t="s">
        <v>842</v>
      </c>
      <c r="B1178" s="41" t="s">
        <v>63</v>
      </c>
      <c r="C1178" s="41" t="s">
        <v>442</v>
      </c>
      <c r="D1178" s="41" t="s">
        <v>443</v>
      </c>
      <c r="E1178" s="41" t="s">
        <v>33</v>
      </c>
      <c r="F1178" s="42">
        <v>11</v>
      </c>
      <c r="G1178" s="41" t="s">
        <v>12</v>
      </c>
      <c r="H1178" s="43" t="s">
        <v>444</v>
      </c>
      <c r="I1178" s="44">
        <v>90</v>
      </c>
      <c r="J1178" s="44">
        <v>180</v>
      </c>
      <c r="K1178" s="41"/>
      <c r="L1178" s="45">
        <v>81000</v>
      </c>
      <c r="M1178" s="44">
        <v>1</v>
      </c>
      <c r="N1178" s="43" t="s">
        <v>383</v>
      </c>
    </row>
    <row r="1179" spans="1:15" ht="15.75" customHeight="1">
      <c r="A1179" s="41" t="s">
        <v>842</v>
      </c>
      <c r="B1179" s="41" t="s">
        <v>63</v>
      </c>
      <c r="C1179" s="41" t="s">
        <v>442</v>
      </c>
      <c r="D1179" s="41" t="s">
        <v>443</v>
      </c>
      <c r="E1179" s="41" t="s">
        <v>33</v>
      </c>
      <c r="F1179" s="42">
        <v>12</v>
      </c>
      <c r="G1179" s="41" t="s">
        <v>13</v>
      </c>
      <c r="H1179" s="43" t="s">
        <v>444</v>
      </c>
      <c r="I1179" s="44">
        <v>15</v>
      </c>
      <c r="J1179" s="44">
        <v>180</v>
      </c>
      <c r="K1179" s="41"/>
      <c r="L1179" s="45">
        <v>81000</v>
      </c>
      <c r="M1179" s="44">
        <v>1</v>
      </c>
      <c r="N1179" s="43" t="s">
        <v>383</v>
      </c>
    </row>
    <row r="1180" spans="1:15" ht="15.75" customHeight="1">
      <c r="A1180" s="41" t="s">
        <v>843</v>
      </c>
      <c r="B1180" s="41" t="s">
        <v>63</v>
      </c>
      <c r="C1180" s="41" t="s">
        <v>442</v>
      </c>
      <c r="D1180" s="41" t="s">
        <v>443</v>
      </c>
      <c r="E1180" s="41" t="s">
        <v>33</v>
      </c>
      <c r="F1180" s="42">
        <v>11</v>
      </c>
      <c r="G1180" s="41" t="s">
        <v>12</v>
      </c>
      <c r="H1180" s="43" t="s">
        <v>444</v>
      </c>
      <c r="I1180" s="44">
        <v>90</v>
      </c>
      <c r="J1180" s="44">
        <v>15</v>
      </c>
      <c r="K1180" s="41"/>
      <c r="L1180" s="45">
        <v>81000</v>
      </c>
      <c r="M1180" s="44">
        <v>1</v>
      </c>
      <c r="N1180" s="43" t="s">
        <v>383</v>
      </c>
    </row>
    <row r="1181" spans="1:15" ht="15.75" customHeight="1">
      <c r="A1181" s="41" t="s">
        <v>843</v>
      </c>
      <c r="B1181" s="41" t="s">
        <v>63</v>
      </c>
      <c r="C1181" s="41" t="s">
        <v>442</v>
      </c>
      <c r="D1181" s="41" t="s">
        <v>443</v>
      </c>
      <c r="E1181" s="41" t="s">
        <v>33</v>
      </c>
      <c r="F1181" s="42">
        <v>12</v>
      </c>
      <c r="G1181" s="41" t="s">
        <v>13</v>
      </c>
      <c r="H1181" s="43" t="s">
        <v>444</v>
      </c>
      <c r="I1181" s="44">
        <v>15</v>
      </c>
      <c r="J1181" s="44">
        <v>15</v>
      </c>
      <c r="K1181" s="41"/>
      <c r="L1181" s="45">
        <v>81000</v>
      </c>
      <c r="M1181" s="44">
        <v>1</v>
      </c>
      <c r="N1181" s="43" t="s">
        <v>383</v>
      </c>
    </row>
    <row r="1182" spans="1:15" ht="15.75" customHeight="1">
      <c r="A1182" s="41" t="s">
        <v>843</v>
      </c>
      <c r="B1182" s="41" t="s">
        <v>63</v>
      </c>
      <c r="C1182" s="41" t="s">
        <v>431</v>
      </c>
      <c r="D1182" s="41" t="s">
        <v>432</v>
      </c>
      <c r="E1182" s="41" t="s">
        <v>433</v>
      </c>
      <c r="F1182" s="42">
        <v>19</v>
      </c>
      <c r="G1182" s="41" t="s">
        <v>368</v>
      </c>
      <c r="H1182" s="43" t="s">
        <v>434</v>
      </c>
      <c r="I1182" s="44">
        <v>60</v>
      </c>
      <c r="J1182" s="41"/>
      <c r="K1182" s="44">
        <v>1000</v>
      </c>
      <c r="L1182" s="41" t="s">
        <v>435</v>
      </c>
      <c r="M1182" s="44">
        <v>4</v>
      </c>
      <c r="N1182" s="43" t="s">
        <v>436</v>
      </c>
    </row>
    <row r="1183" spans="1:15" ht="15.75" customHeight="1">
      <c r="A1183" s="41" t="s">
        <v>842</v>
      </c>
      <c r="B1183" s="41" t="s">
        <v>63</v>
      </c>
      <c r="C1183" s="41" t="s">
        <v>431</v>
      </c>
      <c r="D1183" s="41" t="s">
        <v>432</v>
      </c>
      <c r="E1183" s="41" t="s">
        <v>433</v>
      </c>
      <c r="F1183" s="42">
        <v>19</v>
      </c>
      <c r="G1183" s="41" t="s">
        <v>368</v>
      </c>
      <c r="H1183" s="43" t="s">
        <v>434</v>
      </c>
      <c r="I1183" s="44">
        <v>60</v>
      </c>
      <c r="J1183" s="41"/>
      <c r="K1183" s="44">
        <v>40000</v>
      </c>
      <c r="L1183" s="41" t="s">
        <v>435</v>
      </c>
      <c r="M1183" s="44">
        <v>1</v>
      </c>
      <c r="N1183" s="43" t="s">
        <v>436</v>
      </c>
    </row>
    <row r="1184" spans="1:15" ht="15.75" customHeight="1">
      <c r="A1184" s="41" t="s">
        <v>844</v>
      </c>
      <c r="B1184" s="41" t="s">
        <v>47</v>
      </c>
      <c r="C1184" s="41" t="s">
        <v>424</v>
      </c>
      <c r="D1184" s="41" t="s">
        <v>425</v>
      </c>
      <c r="E1184" s="41" t="s">
        <v>48</v>
      </c>
      <c r="F1184" s="42">
        <v>4</v>
      </c>
      <c r="G1184" s="41" t="s">
        <v>11</v>
      </c>
      <c r="H1184" s="43" t="s">
        <v>426</v>
      </c>
      <c r="I1184" s="44">
        <v>40</v>
      </c>
      <c r="J1184" s="44">
        <v>42.5</v>
      </c>
      <c r="K1184" s="41"/>
      <c r="L1184" s="45">
        <v>52000</v>
      </c>
      <c r="M1184" s="44">
        <v>1</v>
      </c>
      <c r="N1184" s="43" t="s">
        <v>383</v>
      </c>
    </row>
    <row r="1185" spans="1:14" ht="15.75" customHeight="1">
      <c r="A1185" s="41" t="s">
        <v>844</v>
      </c>
      <c r="B1185" s="41" t="s">
        <v>47</v>
      </c>
      <c r="C1185" s="41" t="s">
        <v>424</v>
      </c>
      <c r="D1185" s="41" t="s">
        <v>425</v>
      </c>
      <c r="E1185" s="41" t="s">
        <v>48</v>
      </c>
      <c r="F1185" s="42">
        <v>5</v>
      </c>
      <c r="G1185" s="41" t="s">
        <v>12</v>
      </c>
      <c r="H1185" s="43" t="s">
        <v>427</v>
      </c>
      <c r="I1185" s="44">
        <v>140</v>
      </c>
      <c r="J1185" s="44">
        <v>42.5</v>
      </c>
      <c r="K1185" s="41"/>
      <c r="L1185" s="45">
        <v>52000</v>
      </c>
      <c r="M1185" s="44">
        <v>1</v>
      </c>
      <c r="N1185" s="43" t="s">
        <v>383</v>
      </c>
    </row>
    <row r="1186" spans="1:14" ht="15.75" customHeight="1">
      <c r="A1186" s="41" t="s">
        <v>844</v>
      </c>
      <c r="B1186" s="41" t="s">
        <v>47</v>
      </c>
      <c r="C1186" s="41" t="s">
        <v>424</v>
      </c>
      <c r="D1186" s="41" t="s">
        <v>425</v>
      </c>
      <c r="E1186" s="41" t="s">
        <v>48</v>
      </c>
      <c r="F1186" s="42">
        <v>6</v>
      </c>
      <c r="G1186" s="41" t="s">
        <v>13</v>
      </c>
      <c r="H1186" s="43" t="s">
        <v>427</v>
      </c>
      <c r="I1186" s="44">
        <v>60</v>
      </c>
      <c r="J1186" s="44">
        <v>42.5</v>
      </c>
      <c r="K1186" s="41"/>
      <c r="L1186" s="45">
        <v>52000</v>
      </c>
      <c r="M1186" s="44">
        <v>1</v>
      </c>
      <c r="N1186" s="43" t="s">
        <v>383</v>
      </c>
    </row>
    <row r="1187" spans="1:14" ht="15.75" customHeight="1">
      <c r="A1187" s="41" t="s">
        <v>844</v>
      </c>
      <c r="B1187" s="41" t="s">
        <v>47</v>
      </c>
      <c r="C1187" s="41" t="s">
        <v>431</v>
      </c>
      <c r="D1187" s="41" t="s">
        <v>432</v>
      </c>
      <c r="E1187" s="41" t="s">
        <v>433</v>
      </c>
      <c r="F1187" s="42">
        <v>19</v>
      </c>
      <c r="G1187" s="41" t="s">
        <v>368</v>
      </c>
      <c r="H1187" s="43" t="s">
        <v>434</v>
      </c>
      <c r="I1187" s="44">
        <v>60</v>
      </c>
      <c r="J1187" s="41"/>
      <c r="K1187" s="44">
        <v>420</v>
      </c>
      <c r="L1187" s="41" t="s">
        <v>435</v>
      </c>
      <c r="M1187" s="44">
        <v>3</v>
      </c>
      <c r="N1187" s="43" t="s">
        <v>436</v>
      </c>
    </row>
    <row r="1188" spans="1:14" ht="15.75" customHeight="1">
      <c r="A1188" s="41" t="s">
        <v>845</v>
      </c>
      <c r="B1188" s="41" t="s">
        <v>228</v>
      </c>
      <c r="C1188" s="41" t="s">
        <v>442</v>
      </c>
      <c r="D1188" s="41" t="s">
        <v>448</v>
      </c>
      <c r="E1188" s="41" t="s">
        <v>40</v>
      </c>
      <c r="F1188" s="42">
        <v>1</v>
      </c>
      <c r="G1188" s="41" t="s">
        <v>11</v>
      </c>
      <c r="H1188" s="43" t="s">
        <v>426</v>
      </c>
      <c r="I1188" s="44">
        <v>50</v>
      </c>
      <c r="J1188" s="44">
        <v>312</v>
      </c>
      <c r="K1188" s="41"/>
      <c r="L1188" s="45">
        <v>412000</v>
      </c>
      <c r="M1188" s="44">
        <v>1</v>
      </c>
      <c r="N1188" s="43" t="s">
        <v>383</v>
      </c>
    </row>
    <row r="1189" spans="1:14" ht="15.75" customHeight="1">
      <c r="A1189" s="41" t="s">
        <v>845</v>
      </c>
      <c r="B1189" s="41" t="s">
        <v>228</v>
      </c>
      <c r="C1189" s="41" t="s">
        <v>442</v>
      </c>
      <c r="D1189" s="41" t="s">
        <v>448</v>
      </c>
      <c r="E1189" s="41" t="s">
        <v>40</v>
      </c>
      <c r="F1189" s="42">
        <v>2</v>
      </c>
      <c r="G1189" s="41" t="s">
        <v>12</v>
      </c>
      <c r="H1189" s="43" t="s">
        <v>449</v>
      </c>
      <c r="I1189" s="44">
        <v>105</v>
      </c>
      <c r="J1189" s="44">
        <v>312</v>
      </c>
      <c r="K1189" s="41"/>
      <c r="L1189" s="45">
        <v>412000</v>
      </c>
      <c r="M1189" s="44">
        <v>1</v>
      </c>
      <c r="N1189" s="43" t="s">
        <v>383</v>
      </c>
    </row>
    <row r="1190" spans="1:14" ht="15.75" customHeight="1">
      <c r="A1190" s="41" t="s">
        <v>845</v>
      </c>
      <c r="B1190" s="41" t="s">
        <v>228</v>
      </c>
      <c r="C1190" s="41" t="s">
        <v>442</v>
      </c>
      <c r="D1190" s="41" t="s">
        <v>448</v>
      </c>
      <c r="E1190" s="41" t="s">
        <v>40</v>
      </c>
      <c r="F1190" s="42">
        <v>3</v>
      </c>
      <c r="G1190" s="41" t="s">
        <v>13</v>
      </c>
      <c r="H1190" s="43" t="s">
        <v>449</v>
      </c>
      <c r="I1190" s="44">
        <v>30</v>
      </c>
      <c r="J1190" s="44">
        <v>312</v>
      </c>
      <c r="K1190" s="41"/>
      <c r="L1190" s="45">
        <v>412000</v>
      </c>
      <c r="M1190" s="44">
        <v>1</v>
      </c>
      <c r="N1190" s="43" t="s">
        <v>383</v>
      </c>
    </row>
    <row r="1191" spans="1:14" ht="15.75" customHeight="1">
      <c r="A1191" s="41" t="s">
        <v>845</v>
      </c>
      <c r="B1191" s="41" t="s">
        <v>228</v>
      </c>
      <c r="C1191" s="41" t="s">
        <v>431</v>
      </c>
      <c r="D1191" s="41" t="s">
        <v>432</v>
      </c>
      <c r="E1191" s="41" t="s">
        <v>433</v>
      </c>
      <c r="F1191" s="42">
        <v>18</v>
      </c>
      <c r="G1191" s="41" t="s">
        <v>439</v>
      </c>
      <c r="H1191" s="43" t="s">
        <v>440</v>
      </c>
      <c r="I1191" s="44">
        <v>60</v>
      </c>
      <c r="J1191" s="41"/>
      <c r="K1191" s="44">
        <v>670</v>
      </c>
      <c r="L1191" s="41" t="s">
        <v>435</v>
      </c>
      <c r="M1191" s="44">
        <v>1</v>
      </c>
      <c r="N1191" s="43" t="s">
        <v>436</v>
      </c>
    </row>
    <row r="1192" spans="1:14" ht="15.75" customHeight="1">
      <c r="A1192" s="41" t="s">
        <v>845</v>
      </c>
      <c r="B1192" s="41" t="s">
        <v>228</v>
      </c>
      <c r="C1192" s="41" t="s">
        <v>431</v>
      </c>
      <c r="D1192" s="41" t="s">
        <v>432</v>
      </c>
      <c r="E1192" s="41" t="s">
        <v>433</v>
      </c>
      <c r="F1192" s="42">
        <v>19</v>
      </c>
      <c r="G1192" s="41" t="s">
        <v>368</v>
      </c>
      <c r="H1192" s="43" t="s">
        <v>434</v>
      </c>
      <c r="I1192" s="44">
        <v>60</v>
      </c>
      <c r="J1192" s="41"/>
      <c r="K1192" s="44">
        <v>430</v>
      </c>
      <c r="L1192" s="41" t="s">
        <v>435</v>
      </c>
      <c r="M1192" s="44">
        <v>3</v>
      </c>
      <c r="N1192" s="43" t="s">
        <v>436</v>
      </c>
    </row>
    <row r="1193" spans="1:14" ht="15.75" customHeight="1">
      <c r="A1193" s="41" t="s">
        <v>846</v>
      </c>
      <c r="B1193" s="41" t="s">
        <v>847</v>
      </c>
      <c r="C1193" s="41" t="s">
        <v>424</v>
      </c>
      <c r="D1193" s="41" t="s">
        <v>425</v>
      </c>
      <c r="E1193" s="41" t="s">
        <v>48</v>
      </c>
      <c r="F1193" s="42">
        <v>4</v>
      </c>
      <c r="G1193" s="41" t="s">
        <v>11</v>
      </c>
      <c r="H1193" s="43" t="s">
        <v>426</v>
      </c>
      <c r="I1193" s="44">
        <v>35</v>
      </c>
      <c r="J1193" s="44">
        <v>49.5</v>
      </c>
      <c r="K1193" s="41"/>
      <c r="L1193" s="45">
        <v>52000</v>
      </c>
      <c r="M1193" s="44">
        <v>1</v>
      </c>
      <c r="N1193" s="43" t="s">
        <v>383</v>
      </c>
    </row>
    <row r="1194" spans="1:14" ht="15.75" customHeight="1">
      <c r="A1194" s="41" t="s">
        <v>846</v>
      </c>
      <c r="B1194" s="41" t="s">
        <v>847</v>
      </c>
      <c r="C1194" s="41" t="s">
        <v>424</v>
      </c>
      <c r="D1194" s="41" t="s">
        <v>425</v>
      </c>
      <c r="E1194" s="41" t="s">
        <v>48</v>
      </c>
      <c r="F1194" s="42">
        <v>5</v>
      </c>
      <c r="G1194" s="41" t="s">
        <v>12</v>
      </c>
      <c r="H1194" s="43" t="s">
        <v>427</v>
      </c>
      <c r="I1194" s="44">
        <v>120</v>
      </c>
      <c r="J1194" s="44">
        <v>49.5</v>
      </c>
      <c r="K1194" s="41"/>
      <c r="L1194" s="45">
        <v>52000</v>
      </c>
      <c r="M1194" s="44">
        <v>1</v>
      </c>
      <c r="N1194" s="43" t="s">
        <v>383</v>
      </c>
    </row>
    <row r="1195" spans="1:14" ht="15.75" customHeight="1">
      <c r="A1195" s="41" t="s">
        <v>846</v>
      </c>
      <c r="B1195" s="41" t="s">
        <v>847</v>
      </c>
      <c r="C1195" s="41" t="s">
        <v>424</v>
      </c>
      <c r="D1195" s="41" t="s">
        <v>425</v>
      </c>
      <c r="E1195" s="41" t="s">
        <v>48</v>
      </c>
      <c r="F1195" s="42">
        <v>6</v>
      </c>
      <c r="G1195" s="41" t="s">
        <v>13</v>
      </c>
      <c r="H1195" s="43" t="s">
        <v>427</v>
      </c>
      <c r="I1195" s="44">
        <v>90</v>
      </c>
      <c r="J1195" s="44">
        <v>49.5</v>
      </c>
      <c r="K1195" s="41"/>
      <c r="L1195" s="45">
        <v>52000</v>
      </c>
      <c r="M1195" s="44">
        <v>1</v>
      </c>
      <c r="N1195" s="43" t="s">
        <v>383</v>
      </c>
    </row>
    <row r="1196" spans="1:14" ht="15.75" customHeight="1">
      <c r="A1196" s="41" t="s">
        <v>846</v>
      </c>
      <c r="B1196" s="41" t="s">
        <v>847</v>
      </c>
      <c r="C1196" s="41" t="s">
        <v>431</v>
      </c>
      <c r="D1196" s="41" t="s">
        <v>432</v>
      </c>
      <c r="E1196" s="41" t="s">
        <v>433</v>
      </c>
      <c r="F1196" s="42">
        <v>16</v>
      </c>
      <c r="G1196" s="41" t="s">
        <v>484</v>
      </c>
      <c r="H1196" s="43" t="s">
        <v>440</v>
      </c>
      <c r="I1196" s="44">
        <v>60</v>
      </c>
      <c r="J1196" s="41"/>
      <c r="K1196" s="44">
        <v>2000</v>
      </c>
      <c r="L1196" s="41" t="s">
        <v>435</v>
      </c>
      <c r="M1196" s="44">
        <v>1</v>
      </c>
      <c r="N1196" s="43" t="s">
        <v>436</v>
      </c>
    </row>
    <row r="1197" spans="1:14" ht="15.75" customHeight="1">
      <c r="A1197" s="41" t="s">
        <v>846</v>
      </c>
      <c r="B1197" s="41" t="s">
        <v>847</v>
      </c>
      <c r="C1197" s="41" t="s">
        <v>431</v>
      </c>
      <c r="D1197" s="41" t="s">
        <v>432</v>
      </c>
      <c r="E1197" s="41" t="s">
        <v>433</v>
      </c>
      <c r="F1197" s="42">
        <v>18</v>
      </c>
      <c r="G1197" s="41" t="s">
        <v>439</v>
      </c>
      <c r="H1197" s="43" t="s">
        <v>440</v>
      </c>
      <c r="I1197" s="44">
        <v>60</v>
      </c>
      <c r="J1197" s="41"/>
      <c r="K1197" s="44">
        <v>1000</v>
      </c>
      <c r="L1197" s="41" t="s">
        <v>435</v>
      </c>
      <c r="M1197" s="44">
        <v>1</v>
      </c>
      <c r="N1197" s="43" t="s">
        <v>436</v>
      </c>
    </row>
    <row r="1198" spans="1:14" ht="15.75" customHeight="1">
      <c r="A1198" s="41" t="s">
        <v>846</v>
      </c>
      <c r="B1198" s="41" t="s">
        <v>847</v>
      </c>
      <c r="C1198" s="41" t="s">
        <v>431</v>
      </c>
      <c r="D1198" s="41" t="s">
        <v>432</v>
      </c>
      <c r="E1198" s="41" t="s">
        <v>433</v>
      </c>
      <c r="F1198" s="42">
        <v>19</v>
      </c>
      <c r="G1198" s="41" t="s">
        <v>368</v>
      </c>
      <c r="H1198" s="43" t="s">
        <v>434</v>
      </c>
      <c r="I1198" s="44">
        <v>60</v>
      </c>
      <c r="J1198" s="41"/>
      <c r="K1198" s="44">
        <v>800</v>
      </c>
      <c r="L1198" s="41" t="s">
        <v>435</v>
      </c>
      <c r="M1198" s="44">
        <v>4</v>
      </c>
      <c r="N1198" s="43" t="s">
        <v>436</v>
      </c>
    </row>
    <row r="1199" spans="1:14" ht="15.75" customHeight="1">
      <c r="A1199" s="41" t="s">
        <v>848</v>
      </c>
      <c r="B1199" s="41" t="s">
        <v>849</v>
      </c>
      <c r="C1199" s="41" t="s">
        <v>442</v>
      </c>
      <c r="D1199" s="41" t="s">
        <v>443</v>
      </c>
      <c r="E1199" s="41" t="s">
        <v>33</v>
      </c>
      <c r="F1199" s="42">
        <v>11</v>
      </c>
      <c r="G1199" s="41" t="s">
        <v>12</v>
      </c>
      <c r="H1199" s="43" t="s">
        <v>444</v>
      </c>
      <c r="I1199" s="44">
        <v>80</v>
      </c>
      <c r="J1199" s="44">
        <v>47</v>
      </c>
      <c r="K1199" s="41"/>
      <c r="L1199" s="45">
        <v>81000</v>
      </c>
      <c r="M1199" s="44">
        <v>1</v>
      </c>
      <c r="N1199" s="43" t="s">
        <v>383</v>
      </c>
    </row>
    <row r="1200" spans="1:14" ht="15.75" customHeight="1">
      <c r="A1200" s="41" t="s">
        <v>848</v>
      </c>
      <c r="B1200" s="41" t="s">
        <v>849</v>
      </c>
      <c r="C1200" s="41" t="s">
        <v>442</v>
      </c>
      <c r="D1200" s="41" t="s">
        <v>443</v>
      </c>
      <c r="E1200" s="41" t="s">
        <v>33</v>
      </c>
      <c r="F1200" s="42">
        <v>12</v>
      </c>
      <c r="G1200" s="41" t="s">
        <v>13</v>
      </c>
      <c r="H1200" s="43" t="s">
        <v>444</v>
      </c>
      <c r="I1200" s="44">
        <v>15</v>
      </c>
      <c r="J1200" s="44">
        <v>47</v>
      </c>
      <c r="K1200" s="41"/>
      <c r="L1200" s="45">
        <v>81000</v>
      </c>
      <c r="M1200" s="44">
        <v>1</v>
      </c>
      <c r="N1200" s="43" t="s">
        <v>383</v>
      </c>
    </row>
    <row r="1201" spans="1:14" ht="15.75" customHeight="1">
      <c r="A1201" s="41" t="s">
        <v>848</v>
      </c>
      <c r="B1201" s="41" t="s">
        <v>849</v>
      </c>
      <c r="C1201" s="41" t="s">
        <v>431</v>
      </c>
      <c r="D1201" s="41" t="s">
        <v>432</v>
      </c>
      <c r="E1201" s="41" t="s">
        <v>433</v>
      </c>
      <c r="F1201" s="42">
        <v>18</v>
      </c>
      <c r="G1201" s="41" t="s">
        <v>439</v>
      </c>
      <c r="H1201" s="43" t="s">
        <v>440</v>
      </c>
      <c r="I1201" s="44">
        <v>60</v>
      </c>
      <c r="J1201" s="41"/>
      <c r="K1201" s="44">
        <v>800</v>
      </c>
      <c r="L1201" s="41" t="s">
        <v>435</v>
      </c>
      <c r="M1201" s="44">
        <v>1</v>
      </c>
      <c r="N1201" s="43" t="s">
        <v>436</v>
      </c>
    </row>
    <row r="1202" spans="1:14" ht="15.75" customHeight="1">
      <c r="A1202" s="41" t="s">
        <v>848</v>
      </c>
      <c r="B1202" s="41" t="s">
        <v>849</v>
      </c>
      <c r="C1202" s="41" t="s">
        <v>431</v>
      </c>
      <c r="D1202" s="41" t="s">
        <v>432</v>
      </c>
      <c r="E1202" s="41" t="s">
        <v>433</v>
      </c>
      <c r="F1202" s="42">
        <v>19</v>
      </c>
      <c r="G1202" s="41" t="s">
        <v>368</v>
      </c>
      <c r="H1202" s="43" t="s">
        <v>434</v>
      </c>
      <c r="I1202" s="44">
        <v>60</v>
      </c>
      <c r="J1202" s="41"/>
      <c r="K1202" s="44">
        <v>780</v>
      </c>
      <c r="L1202" s="41" t="s">
        <v>435</v>
      </c>
      <c r="M1202" s="44">
        <v>4</v>
      </c>
      <c r="N1202" s="43" t="s">
        <v>436</v>
      </c>
    </row>
    <row r="1203" spans="1:14" ht="15.75" customHeight="1">
      <c r="A1203" s="41" t="s">
        <v>850</v>
      </c>
      <c r="B1203" s="41" t="s">
        <v>851</v>
      </c>
      <c r="C1203" s="41" t="s">
        <v>431</v>
      </c>
      <c r="D1203" s="41" t="s">
        <v>432</v>
      </c>
      <c r="E1203" s="41" t="s">
        <v>433</v>
      </c>
      <c r="F1203" s="42">
        <v>18</v>
      </c>
      <c r="G1203" s="41" t="s">
        <v>439</v>
      </c>
      <c r="H1203" s="43" t="s">
        <v>440</v>
      </c>
      <c r="I1203" s="44">
        <v>60</v>
      </c>
      <c r="J1203" s="41"/>
      <c r="K1203" s="44">
        <v>650</v>
      </c>
      <c r="L1203" s="41" t="s">
        <v>435</v>
      </c>
      <c r="M1203" s="44">
        <v>1</v>
      </c>
      <c r="N1203" s="43" t="s">
        <v>436</v>
      </c>
    </row>
    <row r="1204" spans="1:14" ht="15.75" customHeight="1">
      <c r="A1204" s="41" t="s">
        <v>850</v>
      </c>
      <c r="B1204" s="41" t="s">
        <v>851</v>
      </c>
      <c r="C1204" s="41" t="s">
        <v>431</v>
      </c>
      <c r="D1204" s="41" t="s">
        <v>432</v>
      </c>
      <c r="E1204" s="41" t="s">
        <v>433</v>
      </c>
      <c r="F1204" s="42">
        <v>19</v>
      </c>
      <c r="G1204" s="41" t="s">
        <v>368</v>
      </c>
      <c r="H1204" s="43" t="s">
        <v>434</v>
      </c>
      <c r="I1204" s="44">
        <v>60</v>
      </c>
      <c r="J1204" s="41"/>
      <c r="K1204" s="44">
        <v>850</v>
      </c>
      <c r="L1204" s="41" t="s">
        <v>435</v>
      </c>
      <c r="M1204" s="44">
        <v>3</v>
      </c>
      <c r="N1204" s="43" t="s">
        <v>436</v>
      </c>
    </row>
    <row r="1205" spans="1:14" ht="15.75" customHeight="1">
      <c r="A1205" s="41" t="s">
        <v>852</v>
      </c>
      <c r="B1205" s="41" t="s">
        <v>853</v>
      </c>
      <c r="C1205" s="41" t="s">
        <v>424</v>
      </c>
      <c r="D1205" s="41" t="s">
        <v>425</v>
      </c>
      <c r="E1205" s="41" t="s">
        <v>48</v>
      </c>
      <c r="F1205" s="42">
        <v>4</v>
      </c>
      <c r="G1205" s="41" t="s">
        <v>11</v>
      </c>
      <c r="H1205" s="43" t="s">
        <v>426</v>
      </c>
      <c r="I1205" s="44">
        <v>25</v>
      </c>
      <c r="J1205" s="44">
        <v>7</v>
      </c>
      <c r="K1205" s="41"/>
      <c r="L1205" s="45">
        <v>52000</v>
      </c>
      <c r="M1205" s="44">
        <v>1</v>
      </c>
      <c r="N1205" s="43" t="s">
        <v>383</v>
      </c>
    </row>
    <row r="1206" spans="1:14" ht="15.75" customHeight="1">
      <c r="A1206" s="41" t="s">
        <v>852</v>
      </c>
      <c r="B1206" s="41" t="s">
        <v>853</v>
      </c>
      <c r="C1206" s="41" t="s">
        <v>424</v>
      </c>
      <c r="D1206" s="41" t="s">
        <v>425</v>
      </c>
      <c r="E1206" s="41" t="s">
        <v>48</v>
      </c>
      <c r="F1206" s="42">
        <v>5</v>
      </c>
      <c r="G1206" s="41" t="s">
        <v>12</v>
      </c>
      <c r="H1206" s="43" t="s">
        <v>427</v>
      </c>
      <c r="I1206" s="44">
        <v>140</v>
      </c>
      <c r="J1206" s="44">
        <v>7</v>
      </c>
      <c r="K1206" s="41"/>
      <c r="L1206" s="45">
        <v>52000</v>
      </c>
      <c r="M1206" s="44">
        <v>1</v>
      </c>
      <c r="N1206" s="43" t="s">
        <v>383</v>
      </c>
    </row>
    <row r="1207" spans="1:14" ht="15.75" customHeight="1">
      <c r="A1207" s="41" t="s">
        <v>852</v>
      </c>
      <c r="B1207" s="41" t="s">
        <v>853</v>
      </c>
      <c r="C1207" s="41" t="s">
        <v>424</v>
      </c>
      <c r="D1207" s="41" t="s">
        <v>425</v>
      </c>
      <c r="E1207" s="41" t="s">
        <v>48</v>
      </c>
      <c r="F1207" s="42">
        <v>6</v>
      </c>
      <c r="G1207" s="41" t="s">
        <v>13</v>
      </c>
      <c r="H1207" s="43" t="s">
        <v>427</v>
      </c>
      <c r="I1207" s="44">
        <v>90</v>
      </c>
      <c r="J1207" s="44">
        <v>7</v>
      </c>
      <c r="K1207" s="41"/>
      <c r="L1207" s="45">
        <v>52000</v>
      </c>
      <c r="M1207" s="44">
        <v>1</v>
      </c>
      <c r="N1207" s="43" t="s">
        <v>383</v>
      </c>
    </row>
    <row r="1208" spans="1:14" ht="15.75" customHeight="1">
      <c r="A1208" s="41" t="s">
        <v>852</v>
      </c>
      <c r="B1208" s="41" t="s">
        <v>853</v>
      </c>
      <c r="C1208" s="41" t="s">
        <v>431</v>
      </c>
      <c r="D1208" s="41" t="s">
        <v>432</v>
      </c>
      <c r="E1208" s="41" t="s">
        <v>433</v>
      </c>
      <c r="F1208" s="42">
        <v>18</v>
      </c>
      <c r="G1208" s="41" t="s">
        <v>439</v>
      </c>
      <c r="H1208" s="43" t="s">
        <v>440</v>
      </c>
      <c r="I1208" s="44">
        <v>60</v>
      </c>
      <c r="J1208" s="41"/>
      <c r="K1208" s="44">
        <v>1600</v>
      </c>
      <c r="L1208" s="41" t="s">
        <v>435</v>
      </c>
      <c r="M1208" s="44">
        <v>1</v>
      </c>
      <c r="N1208" s="43" t="s">
        <v>436</v>
      </c>
    </row>
    <row r="1209" spans="1:14" ht="15.75" customHeight="1">
      <c r="A1209" s="41" t="s">
        <v>852</v>
      </c>
      <c r="B1209" s="41" t="s">
        <v>853</v>
      </c>
      <c r="C1209" s="41" t="s">
        <v>431</v>
      </c>
      <c r="D1209" s="41" t="s">
        <v>432</v>
      </c>
      <c r="E1209" s="41" t="s">
        <v>433</v>
      </c>
      <c r="F1209" s="42">
        <v>19</v>
      </c>
      <c r="G1209" s="41" t="s">
        <v>368</v>
      </c>
      <c r="H1209" s="43" t="s">
        <v>434</v>
      </c>
      <c r="I1209" s="44">
        <v>60</v>
      </c>
      <c r="J1209" s="41"/>
      <c r="K1209" s="44">
        <v>1200</v>
      </c>
      <c r="L1209" s="41" t="s">
        <v>435</v>
      </c>
      <c r="M1209" s="44">
        <v>4</v>
      </c>
      <c r="N1209" s="43" t="s">
        <v>436</v>
      </c>
    </row>
    <row r="1210" spans="1:14" ht="15.75" customHeight="1">
      <c r="A1210" s="41" t="s">
        <v>854</v>
      </c>
      <c r="B1210" s="41" t="s">
        <v>855</v>
      </c>
      <c r="C1210" s="41" t="s">
        <v>424</v>
      </c>
      <c r="D1210" s="41" t="s">
        <v>443</v>
      </c>
      <c r="E1210" s="41" t="s">
        <v>33</v>
      </c>
      <c r="F1210" s="42">
        <v>10</v>
      </c>
      <c r="G1210" s="41" t="s">
        <v>11</v>
      </c>
      <c r="H1210" s="43" t="s">
        <v>426</v>
      </c>
      <c r="I1210" s="44">
        <v>35</v>
      </c>
      <c r="J1210" s="44">
        <v>7</v>
      </c>
      <c r="K1210" s="41"/>
      <c r="L1210" s="45">
        <v>70000</v>
      </c>
      <c r="M1210" s="44">
        <v>1</v>
      </c>
      <c r="N1210" s="43" t="s">
        <v>383</v>
      </c>
    </row>
    <row r="1211" spans="1:14" ht="15.75" customHeight="1">
      <c r="A1211" s="41" t="s">
        <v>854</v>
      </c>
      <c r="B1211" s="41" t="s">
        <v>855</v>
      </c>
      <c r="C1211" s="41" t="s">
        <v>424</v>
      </c>
      <c r="D1211" s="41" t="s">
        <v>443</v>
      </c>
      <c r="E1211" s="41" t="s">
        <v>33</v>
      </c>
      <c r="F1211" s="42">
        <v>11</v>
      </c>
      <c r="G1211" s="41" t="s">
        <v>12</v>
      </c>
      <c r="H1211" s="43" t="s">
        <v>444</v>
      </c>
      <c r="I1211" s="44">
        <v>125</v>
      </c>
      <c r="J1211" s="44">
        <v>7</v>
      </c>
      <c r="K1211" s="41"/>
      <c r="L1211" s="45">
        <v>70000</v>
      </c>
      <c r="M1211" s="44">
        <v>1</v>
      </c>
      <c r="N1211" s="43" t="s">
        <v>383</v>
      </c>
    </row>
    <row r="1212" spans="1:14" ht="15.75" customHeight="1">
      <c r="A1212" s="41" t="s">
        <v>854</v>
      </c>
      <c r="B1212" s="41" t="s">
        <v>855</v>
      </c>
      <c r="C1212" s="41" t="s">
        <v>424</v>
      </c>
      <c r="D1212" s="41" t="s">
        <v>443</v>
      </c>
      <c r="E1212" s="41" t="s">
        <v>33</v>
      </c>
      <c r="F1212" s="42">
        <v>12</v>
      </c>
      <c r="G1212" s="41" t="s">
        <v>13</v>
      </c>
      <c r="H1212" s="43" t="s">
        <v>444</v>
      </c>
      <c r="I1212" s="44">
        <v>15</v>
      </c>
      <c r="J1212" s="44">
        <v>7</v>
      </c>
      <c r="K1212" s="41"/>
      <c r="L1212" s="45">
        <v>70000</v>
      </c>
      <c r="M1212" s="44">
        <v>1</v>
      </c>
      <c r="N1212" s="43" t="s">
        <v>383</v>
      </c>
    </row>
    <row r="1213" spans="1:14" ht="15.75" customHeight="1">
      <c r="A1213" s="41" t="s">
        <v>854</v>
      </c>
      <c r="B1213" s="41" t="s">
        <v>855</v>
      </c>
      <c r="C1213" s="41" t="s">
        <v>431</v>
      </c>
      <c r="D1213" s="41" t="s">
        <v>432</v>
      </c>
      <c r="E1213" s="41" t="s">
        <v>433</v>
      </c>
      <c r="F1213" s="42">
        <v>18</v>
      </c>
      <c r="G1213" s="41" t="s">
        <v>439</v>
      </c>
      <c r="H1213" s="43" t="s">
        <v>440</v>
      </c>
      <c r="I1213" s="44">
        <v>60</v>
      </c>
      <c r="J1213" s="41"/>
      <c r="K1213" s="54">
        <v>1600</v>
      </c>
      <c r="L1213" s="41" t="s">
        <v>435</v>
      </c>
      <c r="M1213" s="44">
        <v>1</v>
      </c>
      <c r="N1213" s="43" t="s">
        <v>436</v>
      </c>
    </row>
    <row r="1214" spans="1:14" ht="15.75" customHeight="1">
      <c r="A1214" s="41" t="s">
        <v>854</v>
      </c>
      <c r="B1214" s="41" t="s">
        <v>855</v>
      </c>
      <c r="C1214" s="41" t="s">
        <v>431</v>
      </c>
      <c r="D1214" s="41" t="s">
        <v>432</v>
      </c>
      <c r="E1214" s="41" t="s">
        <v>433</v>
      </c>
      <c r="F1214" s="42">
        <v>19</v>
      </c>
      <c r="G1214" s="41" t="s">
        <v>368</v>
      </c>
      <c r="H1214" s="43" t="s">
        <v>434</v>
      </c>
      <c r="I1214" s="44">
        <v>60</v>
      </c>
      <c r="J1214" s="41"/>
      <c r="K1214" s="44">
        <v>1200</v>
      </c>
      <c r="L1214" s="41" t="s">
        <v>435</v>
      </c>
      <c r="M1214" s="44">
        <v>4</v>
      </c>
      <c r="N1214" s="43" t="s">
        <v>436</v>
      </c>
    </row>
    <row r="1215" spans="1:14" ht="15.75" customHeight="1">
      <c r="A1215" s="41" t="s">
        <v>856</v>
      </c>
      <c r="B1215" s="41" t="s">
        <v>857</v>
      </c>
      <c r="C1215" s="41" t="s">
        <v>442</v>
      </c>
      <c r="D1215" s="41" t="s">
        <v>443</v>
      </c>
      <c r="E1215" s="41" t="s">
        <v>33</v>
      </c>
      <c r="F1215" s="42">
        <v>10</v>
      </c>
      <c r="G1215" s="41" t="s">
        <v>11</v>
      </c>
      <c r="H1215" s="43" t="s">
        <v>426</v>
      </c>
      <c r="I1215" s="44">
        <v>30</v>
      </c>
      <c r="J1215" s="44">
        <v>7</v>
      </c>
      <c r="K1215" s="41"/>
      <c r="L1215" s="45">
        <v>103000</v>
      </c>
      <c r="M1215" s="44">
        <v>1</v>
      </c>
      <c r="N1215" s="43" t="s">
        <v>383</v>
      </c>
    </row>
    <row r="1216" spans="1:14" ht="15.75" customHeight="1">
      <c r="A1216" s="41" t="s">
        <v>856</v>
      </c>
      <c r="B1216" s="41" t="s">
        <v>857</v>
      </c>
      <c r="C1216" s="41" t="s">
        <v>442</v>
      </c>
      <c r="D1216" s="41" t="s">
        <v>443</v>
      </c>
      <c r="E1216" s="41" t="s">
        <v>33</v>
      </c>
      <c r="F1216" s="42">
        <v>11</v>
      </c>
      <c r="G1216" s="41" t="s">
        <v>12</v>
      </c>
      <c r="H1216" s="43" t="s">
        <v>444</v>
      </c>
      <c r="I1216" s="44">
        <v>95</v>
      </c>
      <c r="J1216" s="44">
        <v>7</v>
      </c>
      <c r="K1216" s="41"/>
      <c r="L1216" s="45">
        <v>103000</v>
      </c>
      <c r="M1216" s="44">
        <v>1</v>
      </c>
      <c r="N1216" s="43" t="s">
        <v>383</v>
      </c>
    </row>
    <row r="1217" spans="1:14" ht="15.75" customHeight="1">
      <c r="A1217" s="41" t="s">
        <v>856</v>
      </c>
      <c r="B1217" s="41" t="s">
        <v>857</v>
      </c>
      <c r="C1217" s="41" t="s">
        <v>442</v>
      </c>
      <c r="D1217" s="41" t="s">
        <v>443</v>
      </c>
      <c r="E1217" s="41" t="s">
        <v>33</v>
      </c>
      <c r="F1217" s="42">
        <v>12</v>
      </c>
      <c r="G1217" s="41" t="s">
        <v>13</v>
      </c>
      <c r="H1217" s="43" t="s">
        <v>444</v>
      </c>
      <c r="I1217" s="44">
        <v>20</v>
      </c>
      <c r="J1217" s="44">
        <v>7</v>
      </c>
      <c r="K1217" s="41"/>
      <c r="L1217" s="45">
        <v>103000</v>
      </c>
      <c r="M1217" s="44">
        <v>1</v>
      </c>
      <c r="N1217" s="43" t="s">
        <v>383</v>
      </c>
    </row>
    <row r="1218" spans="1:14" ht="15.75" customHeight="1">
      <c r="A1218" s="41" t="s">
        <v>856</v>
      </c>
      <c r="B1218" s="41" t="s">
        <v>857</v>
      </c>
      <c r="C1218" s="41" t="s">
        <v>431</v>
      </c>
      <c r="D1218" s="41" t="s">
        <v>432</v>
      </c>
      <c r="E1218" s="41" t="s">
        <v>433</v>
      </c>
      <c r="F1218" s="42">
        <v>18</v>
      </c>
      <c r="G1218" s="41" t="s">
        <v>439</v>
      </c>
      <c r="H1218" s="43" t="s">
        <v>440</v>
      </c>
      <c r="I1218" s="44">
        <v>60</v>
      </c>
      <c r="J1218" s="41"/>
      <c r="K1218" s="44">
        <v>1600</v>
      </c>
      <c r="L1218" s="41" t="s">
        <v>435</v>
      </c>
      <c r="M1218" s="44">
        <v>1</v>
      </c>
      <c r="N1218" s="43" t="s">
        <v>436</v>
      </c>
    </row>
    <row r="1219" spans="1:14" ht="15.75" customHeight="1">
      <c r="A1219" s="41" t="s">
        <v>856</v>
      </c>
      <c r="B1219" s="41" t="s">
        <v>857</v>
      </c>
      <c r="C1219" s="41" t="s">
        <v>431</v>
      </c>
      <c r="D1219" s="41" t="s">
        <v>432</v>
      </c>
      <c r="E1219" s="41" t="s">
        <v>433</v>
      </c>
      <c r="F1219" s="42">
        <v>19</v>
      </c>
      <c r="G1219" s="41" t="s">
        <v>368</v>
      </c>
      <c r="H1219" s="43" t="s">
        <v>434</v>
      </c>
      <c r="I1219" s="44">
        <v>60</v>
      </c>
      <c r="J1219" s="41"/>
      <c r="K1219" s="44">
        <v>1200</v>
      </c>
      <c r="L1219" s="41" t="s">
        <v>435</v>
      </c>
      <c r="M1219" s="44">
        <v>4</v>
      </c>
      <c r="N1219" s="43" t="s">
        <v>436</v>
      </c>
    </row>
    <row r="1220" spans="1:14" ht="15.75" customHeight="1">
      <c r="A1220" s="41" t="s">
        <v>858</v>
      </c>
      <c r="B1220" s="41" t="s">
        <v>859</v>
      </c>
      <c r="C1220" s="41" t="s">
        <v>424</v>
      </c>
      <c r="D1220" s="41" t="s">
        <v>443</v>
      </c>
      <c r="E1220" s="41" t="s">
        <v>33</v>
      </c>
      <c r="F1220" s="42">
        <v>11</v>
      </c>
      <c r="G1220" s="41" t="s">
        <v>12</v>
      </c>
      <c r="H1220" s="43" t="s">
        <v>444</v>
      </c>
      <c r="I1220" s="44">
        <v>100</v>
      </c>
      <c r="J1220" s="44">
        <v>50.3</v>
      </c>
      <c r="K1220" s="41"/>
      <c r="L1220" s="45">
        <v>103000</v>
      </c>
      <c r="M1220" s="44">
        <v>1</v>
      </c>
      <c r="N1220" s="43" t="s">
        <v>383</v>
      </c>
    </row>
    <row r="1221" spans="1:14" ht="15.75" customHeight="1">
      <c r="A1221" s="41" t="s">
        <v>858</v>
      </c>
      <c r="B1221" s="41" t="s">
        <v>859</v>
      </c>
      <c r="C1221" s="41" t="s">
        <v>424</v>
      </c>
      <c r="D1221" s="41" t="s">
        <v>443</v>
      </c>
      <c r="E1221" s="41" t="s">
        <v>33</v>
      </c>
      <c r="F1221" s="42">
        <v>12</v>
      </c>
      <c r="G1221" s="41" t="s">
        <v>13</v>
      </c>
      <c r="H1221" s="43" t="s">
        <v>444</v>
      </c>
      <c r="I1221" s="44">
        <v>20</v>
      </c>
      <c r="J1221" s="44">
        <v>50.3</v>
      </c>
      <c r="K1221" s="41"/>
      <c r="L1221" s="45">
        <v>103000</v>
      </c>
      <c r="M1221" s="44">
        <v>1</v>
      </c>
      <c r="N1221" s="43" t="s">
        <v>383</v>
      </c>
    </row>
    <row r="1222" spans="1:14" ht="15.75" customHeight="1">
      <c r="A1222" s="41" t="s">
        <v>858</v>
      </c>
      <c r="B1222" s="41" t="s">
        <v>859</v>
      </c>
      <c r="C1222" s="41" t="s">
        <v>431</v>
      </c>
      <c r="D1222" s="41" t="s">
        <v>432</v>
      </c>
      <c r="E1222" s="41" t="s">
        <v>433</v>
      </c>
      <c r="F1222" s="42">
        <v>18</v>
      </c>
      <c r="G1222" s="41" t="s">
        <v>439</v>
      </c>
      <c r="H1222" s="43" t="s">
        <v>440</v>
      </c>
      <c r="I1222" s="44">
        <v>60</v>
      </c>
      <c r="J1222" s="41"/>
      <c r="K1222" s="44">
        <v>600</v>
      </c>
      <c r="L1222" s="41" t="s">
        <v>435</v>
      </c>
      <c r="M1222" s="44">
        <v>1</v>
      </c>
      <c r="N1222" s="43" t="s">
        <v>436</v>
      </c>
    </row>
    <row r="1223" spans="1:14" ht="15.75" customHeight="1">
      <c r="A1223" s="41" t="s">
        <v>858</v>
      </c>
      <c r="B1223" s="41" t="s">
        <v>859</v>
      </c>
      <c r="C1223" s="41" t="s">
        <v>431</v>
      </c>
      <c r="D1223" s="41" t="s">
        <v>432</v>
      </c>
      <c r="E1223" s="41" t="s">
        <v>433</v>
      </c>
      <c r="F1223" s="42">
        <v>19</v>
      </c>
      <c r="G1223" s="41" t="s">
        <v>368</v>
      </c>
      <c r="H1223" s="43" t="s">
        <v>434</v>
      </c>
      <c r="I1223" s="44">
        <v>60</v>
      </c>
      <c r="J1223" s="41"/>
      <c r="K1223" s="44">
        <v>800</v>
      </c>
      <c r="L1223" s="41" t="s">
        <v>435</v>
      </c>
      <c r="M1223" s="44">
        <v>4</v>
      </c>
      <c r="N1223" s="43" t="s">
        <v>436</v>
      </c>
    </row>
    <row r="1224" spans="1:14" ht="15.75" customHeight="1">
      <c r="A1224" s="41" t="s">
        <v>860</v>
      </c>
      <c r="B1224" s="41" t="s">
        <v>861</v>
      </c>
      <c r="C1224" s="41" t="s">
        <v>442</v>
      </c>
      <c r="D1224" s="41" t="s">
        <v>448</v>
      </c>
      <c r="E1224" s="41" t="s">
        <v>40</v>
      </c>
      <c r="F1224" s="42">
        <v>1</v>
      </c>
      <c r="G1224" s="41" t="s">
        <v>11</v>
      </c>
      <c r="H1224" s="43" t="s">
        <v>426</v>
      </c>
      <c r="I1224" s="44">
        <v>20</v>
      </c>
      <c r="J1224" s="44">
        <v>309</v>
      </c>
      <c r="K1224" s="41"/>
      <c r="L1224" s="45">
        <v>200000</v>
      </c>
      <c r="M1224" s="44">
        <v>1</v>
      </c>
      <c r="N1224" s="43" t="s">
        <v>383</v>
      </c>
    </row>
    <row r="1225" spans="1:14" ht="15.75" customHeight="1">
      <c r="A1225" s="41" t="s">
        <v>860</v>
      </c>
      <c r="B1225" s="41" t="s">
        <v>861</v>
      </c>
      <c r="C1225" s="41" t="s">
        <v>442</v>
      </c>
      <c r="D1225" s="41" t="s">
        <v>448</v>
      </c>
      <c r="E1225" s="41" t="s">
        <v>40</v>
      </c>
      <c r="F1225" s="42">
        <v>2</v>
      </c>
      <c r="G1225" s="41" t="s">
        <v>12</v>
      </c>
      <c r="H1225" s="43" t="s">
        <v>449</v>
      </c>
      <c r="I1225" s="44">
        <v>100</v>
      </c>
      <c r="J1225" s="44">
        <v>309</v>
      </c>
      <c r="K1225" s="41"/>
      <c r="L1225" s="45">
        <v>200000</v>
      </c>
      <c r="M1225" s="44">
        <v>1</v>
      </c>
      <c r="N1225" s="43" t="s">
        <v>383</v>
      </c>
    </row>
    <row r="1226" spans="1:14" ht="15.75" customHeight="1">
      <c r="A1226" s="41" t="s">
        <v>860</v>
      </c>
      <c r="B1226" s="41" t="s">
        <v>861</v>
      </c>
      <c r="C1226" s="41" t="s">
        <v>442</v>
      </c>
      <c r="D1226" s="41" t="s">
        <v>448</v>
      </c>
      <c r="E1226" s="41" t="s">
        <v>40</v>
      </c>
      <c r="F1226" s="42">
        <v>3</v>
      </c>
      <c r="G1226" s="41" t="s">
        <v>13</v>
      </c>
      <c r="H1226" s="43" t="s">
        <v>449</v>
      </c>
      <c r="I1226" s="44">
        <v>45</v>
      </c>
      <c r="J1226" s="44">
        <v>309</v>
      </c>
      <c r="K1226" s="41"/>
      <c r="L1226" s="45">
        <v>200000</v>
      </c>
      <c r="M1226" s="44">
        <v>1</v>
      </c>
      <c r="N1226" s="43" t="s">
        <v>383</v>
      </c>
    </row>
    <row r="1227" spans="1:14" ht="15.75" customHeight="1">
      <c r="A1227" s="41" t="s">
        <v>860</v>
      </c>
      <c r="B1227" s="41" t="s">
        <v>861</v>
      </c>
      <c r="C1227" s="41" t="s">
        <v>431</v>
      </c>
      <c r="D1227" s="41" t="s">
        <v>432</v>
      </c>
      <c r="E1227" s="41" t="s">
        <v>433</v>
      </c>
      <c r="F1227" s="42">
        <v>18</v>
      </c>
      <c r="G1227" s="41" t="s">
        <v>439</v>
      </c>
      <c r="H1227" s="43" t="s">
        <v>440</v>
      </c>
      <c r="I1227" s="44">
        <v>60</v>
      </c>
      <c r="J1227" s="41"/>
      <c r="K1227" s="44">
        <v>700</v>
      </c>
      <c r="L1227" s="41" t="s">
        <v>435</v>
      </c>
      <c r="M1227" s="44">
        <v>1</v>
      </c>
      <c r="N1227" s="43" t="s">
        <v>436</v>
      </c>
    </row>
    <row r="1228" spans="1:14" ht="15.75" customHeight="1">
      <c r="A1228" s="41" t="s">
        <v>860</v>
      </c>
      <c r="B1228" s="41" t="s">
        <v>861</v>
      </c>
      <c r="C1228" s="41" t="s">
        <v>431</v>
      </c>
      <c r="D1228" s="41" t="s">
        <v>432</v>
      </c>
      <c r="E1228" s="41" t="s">
        <v>433</v>
      </c>
      <c r="F1228" s="42">
        <v>19</v>
      </c>
      <c r="G1228" s="41" t="s">
        <v>368</v>
      </c>
      <c r="H1228" s="43" t="s">
        <v>434</v>
      </c>
      <c r="I1228" s="44">
        <v>60</v>
      </c>
      <c r="J1228" s="41"/>
      <c r="K1228" s="44">
        <v>300</v>
      </c>
      <c r="L1228" s="41" t="s">
        <v>435</v>
      </c>
      <c r="M1228" s="44">
        <v>3</v>
      </c>
      <c r="N1228" s="43" t="s">
        <v>436</v>
      </c>
    </row>
    <row r="1229" spans="1:14" ht="15.75" customHeight="1">
      <c r="A1229" s="41" t="s">
        <v>862</v>
      </c>
      <c r="B1229" s="41" t="s">
        <v>863</v>
      </c>
      <c r="C1229" s="41" t="s">
        <v>424</v>
      </c>
      <c r="D1229" s="41" t="s">
        <v>425</v>
      </c>
      <c r="E1229" s="41" t="s">
        <v>48</v>
      </c>
      <c r="F1229" s="42">
        <v>4</v>
      </c>
      <c r="G1229" s="41" t="s">
        <v>11</v>
      </c>
      <c r="H1229" s="43" t="s">
        <v>426</v>
      </c>
      <c r="I1229" s="44">
        <v>70</v>
      </c>
      <c r="J1229" s="44">
        <v>19.399999999999999</v>
      </c>
      <c r="K1229" s="41"/>
      <c r="L1229" s="45">
        <v>50000</v>
      </c>
      <c r="M1229" s="44">
        <v>1</v>
      </c>
      <c r="N1229" s="43" t="s">
        <v>383</v>
      </c>
    </row>
    <row r="1230" spans="1:14" ht="15.75" customHeight="1">
      <c r="A1230" s="41" t="s">
        <v>862</v>
      </c>
      <c r="B1230" s="41" t="s">
        <v>863</v>
      </c>
      <c r="C1230" s="41" t="s">
        <v>424</v>
      </c>
      <c r="D1230" s="41" t="s">
        <v>425</v>
      </c>
      <c r="E1230" s="41" t="s">
        <v>48</v>
      </c>
      <c r="F1230" s="42">
        <v>5</v>
      </c>
      <c r="G1230" s="41" t="s">
        <v>12</v>
      </c>
      <c r="H1230" s="43" t="s">
        <v>427</v>
      </c>
      <c r="I1230" s="44">
        <v>130</v>
      </c>
      <c r="J1230" s="44">
        <v>19.399999999999999</v>
      </c>
      <c r="K1230" s="41"/>
      <c r="L1230" s="45">
        <v>50000</v>
      </c>
      <c r="M1230" s="44">
        <v>1</v>
      </c>
      <c r="N1230" s="43" t="s">
        <v>383</v>
      </c>
    </row>
    <row r="1231" spans="1:14" ht="15.75" customHeight="1">
      <c r="A1231" s="41" t="s">
        <v>862</v>
      </c>
      <c r="B1231" s="41" t="s">
        <v>863</v>
      </c>
      <c r="C1231" s="41" t="s">
        <v>424</v>
      </c>
      <c r="D1231" s="41" t="s">
        <v>425</v>
      </c>
      <c r="E1231" s="41" t="s">
        <v>48</v>
      </c>
      <c r="F1231" s="42">
        <v>6</v>
      </c>
      <c r="G1231" s="41" t="s">
        <v>13</v>
      </c>
      <c r="H1231" s="43" t="s">
        <v>427</v>
      </c>
      <c r="I1231" s="44">
        <v>30</v>
      </c>
      <c r="J1231" s="44">
        <v>19.399999999999999</v>
      </c>
      <c r="K1231" s="41"/>
      <c r="L1231" s="45">
        <v>50000</v>
      </c>
      <c r="M1231" s="44">
        <v>1</v>
      </c>
      <c r="N1231" s="43" t="s">
        <v>383</v>
      </c>
    </row>
    <row r="1232" spans="1:14" ht="15.75" customHeight="1">
      <c r="A1232" s="41" t="s">
        <v>862</v>
      </c>
      <c r="B1232" s="41" t="s">
        <v>863</v>
      </c>
      <c r="C1232" s="41" t="s">
        <v>431</v>
      </c>
      <c r="D1232" s="41" t="s">
        <v>432</v>
      </c>
      <c r="E1232" s="41" t="s">
        <v>433</v>
      </c>
      <c r="F1232" s="42">
        <v>18</v>
      </c>
      <c r="G1232" s="41" t="s">
        <v>439</v>
      </c>
      <c r="H1232" s="43" t="s">
        <v>440</v>
      </c>
      <c r="I1232" s="44">
        <v>60</v>
      </c>
      <c r="J1232" s="41"/>
      <c r="K1232" s="44">
        <v>1200</v>
      </c>
      <c r="L1232" s="41" t="s">
        <v>435</v>
      </c>
      <c r="M1232" s="44">
        <v>1</v>
      </c>
      <c r="N1232" s="43" t="s">
        <v>436</v>
      </c>
    </row>
    <row r="1233" spans="1:14" ht="15.75" customHeight="1">
      <c r="A1233" s="41" t="s">
        <v>862</v>
      </c>
      <c r="B1233" s="41" t="s">
        <v>863</v>
      </c>
      <c r="C1233" s="41" t="s">
        <v>431</v>
      </c>
      <c r="D1233" s="41" t="s">
        <v>432</v>
      </c>
      <c r="E1233" s="41" t="s">
        <v>433</v>
      </c>
      <c r="F1233" s="42">
        <v>19</v>
      </c>
      <c r="G1233" s="41" t="s">
        <v>368</v>
      </c>
      <c r="H1233" s="43" t="s">
        <v>434</v>
      </c>
      <c r="I1233" s="44">
        <v>60</v>
      </c>
      <c r="J1233" s="41"/>
      <c r="K1233" s="44">
        <v>800</v>
      </c>
      <c r="L1233" s="41" t="s">
        <v>435</v>
      </c>
      <c r="M1233" s="44">
        <v>4</v>
      </c>
      <c r="N1233" s="43" t="s">
        <v>436</v>
      </c>
    </row>
    <row r="1234" spans="1:14" ht="15.75" customHeight="1">
      <c r="A1234" s="41" t="s">
        <v>864</v>
      </c>
      <c r="B1234" s="41" t="s">
        <v>865</v>
      </c>
      <c r="C1234" s="41" t="s">
        <v>424</v>
      </c>
      <c r="D1234" s="41" t="s">
        <v>443</v>
      </c>
      <c r="E1234" s="41" t="s">
        <v>33</v>
      </c>
      <c r="F1234" s="42">
        <v>10</v>
      </c>
      <c r="G1234" s="41" t="s">
        <v>11</v>
      </c>
      <c r="H1234" s="43" t="s">
        <v>426</v>
      </c>
      <c r="I1234" s="44">
        <v>35</v>
      </c>
      <c r="J1234" s="44">
        <v>50</v>
      </c>
      <c r="K1234" s="41"/>
      <c r="L1234" s="45">
        <v>69000</v>
      </c>
      <c r="M1234" s="44">
        <v>1</v>
      </c>
      <c r="N1234" s="43" t="s">
        <v>383</v>
      </c>
    </row>
    <row r="1235" spans="1:14" ht="15.75" customHeight="1">
      <c r="A1235" s="41" t="s">
        <v>864</v>
      </c>
      <c r="B1235" s="41" t="s">
        <v>865</v>
      </c>
      <c r="C1235" s="41" t="s">
        <v>424</v>
      </c>
      <c r="D1235" s="41" t="s">
        <v>443</v>
      </c>
      <c r="E1235" s="41" t="s">
        <v>33</v>
      </c>
      <c r="F1235" s="42">
        <v>11</v>
      </c>
      <c r="G1235" s="41" t="s">
        <v>12</v>
      </c>
      <c r="H1235" s="43" t="s">
        <v>444</v>
      </c>
      <c r="I1235" s="44">
        <v>155</v>
      </c>
      <c r="J1235" s="44">
        <v>50</v>
      </c>
      <c r="K1235" s="41"/>
      <c r="L1235" s="45">
        <v>69000</v>
      </c>
      <c r="M1235" s="44">
        <v>1</v>
      </c>
      <c r="N1235" s="43" t="s">
        <v>383</v>
      </c>
    </row>
    <row r="1236" spans="1:14" ht="15.75" customHeight="1">
      <c r="A1236" s="41" t="s">
        <v>864</v>
      </c>
      <c r="B1236" s="41" t="s">
        <v>865</v>
      </c>
      <c r="C1236" s="41" t="s">
        <v>424</v>
      </c>
      <c r="D1236" s="41" t="s">
        <v>443</v>
      </c>
      <c r="E1236" s="41" t="s">
        <v>33</v>
      </c>
      <c r="F1236" s="42">
        <v>12</v>
      </c>
      <c r="G1236" s="41" t="s">
        <v>13</v>
      </c>
      <c r="H1236" s="43" t="s">
        <v>444</v>
      </c>
      <c r="I1236" s="44">
        <v>15</v>
      </c>
      <c r="J1236" s="44">
        <v>50</v>
      </c>
      <c r="K1236" s="41"/>
      <c r="L1236" s="45">
        <v>69000</v>
      </c>
      <c r="M1236" s="44">
        <v>1</v>
      </c>
      <c r="N1236" s="43" t="s">
        <v>383</v>
      </c>
    </row>
    <row r="1237" spans="1:14" ht="15.75" customHeight="1">
      <c r="A1237" s="41" t="s">
        <v>864</v>
      </c>
      <c r="B1237" s="41" t="s">
        <v>865</v>
      </c>
      <c r="C1237" s="41" t="s">
        <v>431</v>
      </c>
      <c r="D1237" s="41" t="s">
        <v>432</v>
      </c>
      <c r="E1237" s="41" t="s">
        <v>433</v>
      </c>
      <c r="F1237" s="42">
        <v>18</v>
      </c>
      <c r="G1237" s="41" t="s">
        <v>439</v>
      </c>
      <c r="H1237" s="43" t="s">
        <v>440</v>
      </c>
      <c r="I1237" s="44">
        <v>60</v>
      </c>
      <c r="J1237" s="41"/>
      <c r="K1237" s="44">
        <v>900</v>
      </c>
      <c r="L1237" s="41" t="s">
        <v>435</v>
      </c>
      <c r="M1237" s="44">
        <v>1</v>
      </c>
      <c r="N1237" s="43" t="s">
        <v>436</v>
      </c>
    </row>
    <row r="1238" spans="1:14" ht="15.75" customHeight="1">
      <c r="A1238" s="41" t="s">
        <v>864</v>
      </c>
      <c r="B1238" s="41" t="s">
        <v>865</v>
      </c>
      <c r="C1238" s="41" t="s">
        <v>431</v>
      </c>
      <c r="D1238" s="41" t="s">
        <v>432</v>
      </c>
      <c r="E1238" s="41" t="s">
        <v>433</v>
      </c>
      <c r="F1238" s="42">
        <v>19</v>
      </c>
      <c r="G1238" s="41" t="s">
        <v>368</v>
      </c>
      <c r="H1238" s="43" t="s">
        <v>434</v>
      </c>
      <c r="I1238" s="44">
        <v>60</v>
      </c>
      <c r="J1238" s="41"/>
      <c r="K1238" s="44">
        <v>400</v>
      </c>
      <c r="L1238" s="41" t="s">
        <v>435</v>
      </c>
      <c r="M1238" s="44">
        <v>4</v>
      </c>
      <c r="N1238" s="43" t="s">
        <v>436</v>
      </c>
    </row>
    <row r="1239" spans="1:14" ht="15.75" customHeight="1">
      <c r="A1239" s="41" t="s">
        <v>866</v>
      </c>
      <c r="B1239" s="41" t="s">
        <v>161</v>
      </c>
      <c r="C1239" s="41" t="s">
        <v>424</v>
      </c>
      <c r="D1239" s="41" t="s">
        <v>425</v>
      </c>
      <c r="E1239" s="41" t="s">
        <v>48</v>
      </c>
      <c r="F1239" s="42">
        <v>4</v>
      </c>
      <c r="G1239" s="41" t="s">
        <v>11</v>
      </c>
      <c r="H1239" s="43" t="s">
        <v>426</v>
      </c>
      <c r="I1239" s="44">
        <v>90</v>
      </c>
      <c r="J1239" s="44">
        <v>60</v>
      </c>
      <c r="K1239" s="41"/>
      <c r="L1239" s="45">
        <v>51500</v>
      </c>
      <c r="M1239" s="44">
        <v>1</v>
      </c>
      <c r="N1239" s="43" t="s">
        <v>383</v>
      </c>
    </row>
    <row r="1240" spans="1:14" ht="15.75" customHeight="1">
      <c r="A1240" s="41" t="s">
        <v>866</v>
      </c>
      <c r="B1240" s="41" t="s">
        <v>161</v>
      </c>
      <c r="C1240" s="41" t="s">
        <v>424</v>
      </c>
      <c r="D1240" s="41" t="s">
        <v>425</v>
      </c>
      <c r="E1240" s="41" t="s">
        <v>48</v>
      </c>
      <c r="F1240" s="42">
        <v>5</v>
      </c>
      <c r="G1240" s="41" t="s">
        <v>12</v>
      </c>
      <c r="H1240" s="43" t="s">
        <v>427</v>
      </c>
      <c r="I1240" s="44">
        <v>150</v>
      </c>
      <c r="J1240" s="44">
        <v>60</v>
      </c>
      <c r="K1240" s="41"/>
      <c r="L1240" s="45">
        <v>51500</v>
      </c>
      <c r="M1240" s="44">
        <v>1</v>
      </c>
      <c r="N1240" s="43" t="s">
        <v>383</v>
      </c>
    </row>
    <row r="1241" spans="1:14" ht="15.75" customHeight="1">
      <c r="A1241" s="41" t="s">
        <v>866</v>
      </c>
      <c r="B1241" s="41" t="s">
        <v>161</v>
      </c>
      <c r="C1241" s="41" t="s">
        <v>424</v>
      </c>
      <c r="D1241" s="41" t="s">
        <v>425</v>
      </c>
      <c r="E1241" s="41" t="s">
        <v>48</v>
      </c>
      <c r="F1241" s="42">
        <v>6</v>
      </c>
      <c r="G1241" s="41" t="s">
        <v>13</v>
      </c>
      <c r="H1241" s="43" t="s">
        <v>427</v>
      </c>
      <c r="I1241" s="44">
        <v>90</v>
      </c>
      <c r="J1241" s="44">
        <v>60</v>
      </c>
      <c r="K1241" s="41"/>
      <c r="L1241" s="45">
        <v>51500</v>
      </c>
      <c r="M1241" s="44">
        <v>1</v>
      </c>
      <c r="N1241" s="43" t="s">
        <v>383</v>
      </c>
    </row>
    <row r="1242" spans="1:14" ht="15.75" customHeight="1">
      <c r="A1242" s="41" t="s">
        <v>866</v>
      </c>
      <c r="B1242" s="41" t="s">
        <v>161</v>
      </c>
      <c r="C1242" s="41" t="s">
        <v>431</v>
      </c>
      <c r="D1242" s="41" t="s">
        <v>432</v>
      </c>
      <c r="E1242" s="41" t="s">
        <v>433</v>
      </c>
      <c r="F1242" s="42">
        <v>19</v>
      </c>
      <c r="G1242" s="41" t="s">
        <v>368</v>
      </c>
      <c r="H1242" s="43" t="s">
        <v>434</v>
      </c>
      <c r="I1242" s="44">
        <v>60</v>
      </c>
      <c r="J1242" s="41"/>
      <c r="K1242" s="44">
        <v>850</v>
      </c>
      <c r="L1242" s="41" t="s">
        <v>435</v>
      </c>
      <c r="M1242" s="44">
        <v>4</v>
      </c>
      <c r="N1242" s="43" t="s">
        <v>436</v>
      </c>
    </row>
    <row r="1243" spans="1:14" ht="15.75" customHeight="1">
      <c r="A1243" s="41" t="s">
        <v>867</v>
      </c>
      <c r="B1243" s="41" t="s">
        <v>54</v>
      </c>
      <c r="C1243" s="41" t="s">
        <v>424</v>
      </c>
      <c r="D1243" s="41" t="s">
        <v>425</v>
      </c>
      <c r="E1243" s="41" t="s">
        <v>48</v>
      </c>
      <c r="F1243" s="42">
        <v>4</v>
      </c>
      <c r="G1243" s="41" t="s">
        <v>11</v>
      </c>
      <c r="H1243" s="43" t="s">
        <v>426</v>
      </c>
      <c r="I1243" s="44">
        <v>75</v>
      </c>
      <c r="J1243" s="44">
        <v>31.45</v>
      </c>
      <c r="K1243" s="41"/>
      <c r="L1243" s="45">
        <v>44000</v>
      </c>
      <c r="M1243" s="44">
        <v>1</v>
      </c>
      <c r="N1243" s="43" t="s">
        <v>383</v>
      </c>
    </row>
    <row r="1244" spans="1:14" ht="15.75" customHeight="1">
      <c r="A1244" s="41" t="s">
        <v>867</v>
      </c>
      <c r="B1244" s="41" t="s">
        <v>54</v>
      </c>
      <c r="C1244" s="41" t="s">
        <v>424</v>
      </c>
      <c r="D1244" s="41" t="s">
        <v>425</v>
      </c>
      <c r="E1244" s="41" t="s">
        <v>48</v>
      </c>
      <c r="F1244" s="42">
        <v>5</v>
      </c>
      <c r="G1244" s="41" t="s">
        <v>12</v>
      </c>
      <c r="H1244" s="43" t="s">
        <v>427</v>
      </c>
      <c r="I1244" s="44">
        <v>165</v>
      </c>
      <c r="J1244" s="44">
        <v>31.45</v>
      </c>
      <c r="K1244" s="41"/>
      <c r="L1244" s="45">
        <v>44000</v>
      </c>
      <c r="M1244" s="44">
        <v>1</v>
      </c>
      <c r="N1244" s="43" t="s">
        <v>383</v>
      </c>
    </row>
    <row r="1245" spans="1:14" ht="15.75" customHeight="1">
      <c r="A1245" s="41" t="s">
        <v>867</v>
      </c>
      <c r="B1245" s="41" t="s">
        <v>54</v>
      </c>
      <c r="C1245" s="41" t="s">
        <v>424</v>
      </c>
      <c r="D1245" s="41" t="s">
        <v>425</v>
      </c>
      <c r="E1245" s="41" t="s">
        <v>48</v>
      </c>
      <c r="F1245" s="42">
        <v>6</v>
      </c>
      <c r="G1245" s="41" t="s">
        <v>13</v>
      </c>
      <c r="H1245" s="43" t="s">
        <v>427</v>
      </c>
      <c r="I1245" s="44">
        <v>90</v>
      </c>
      <c r="J1245" s="44">
        <v>31.45</v>
      </c>
      <c r="K1245" s="41"/>
      <c r="L1245" s="45">
        <v>44000</v>
      </c>
      <c r="M1245" s="44">
        <v>1</v>
      </c>
      <c r="N1245" s="43" t="s">
        <v>383</v>
      </c>
    </row>
    <row r="1246" spans="1:14" ht="15.75" customHeight="1">
      <c r="A1246" s="41" t="s">
        <v>867</v>
      </c>
      <c r="B1246" s="41" t="s">
        <v>54</v>
      </c>
      <c r="C1246" s="41" t="s">
        <v>431</v>
      </c>
      <c r="D1246" s="41" t="s">
        <v>432</v>
      </c>
      <c r="E1246" s="41" t="s">
        <v>433</v>
      </c>
      <c r="F1246" s="42">
        <v>19</v>
      </c>
      <c r="G1246" s="41" t="s">
        <v>368</v>
      </c>
      <c r="H1246" s="43" t="s">
        <v>434</v>
      </c>
      <c r="I1246" s="44">
        <v>60</v>
      </c>
      <c r="J1246" s="41"/>
      <c r="K1246" s="44">
        <v>800</v>
      </c>
      <c r="L1246" s="41" t="s">
        <v>435</v>
      </c>
      <c r="M1246" s="44">
        <v>3</v>
      </c>
      <c r="N1246" s="43" t="s">
        <v>436</v>
      </c>
    </row>
    <row r="1247" spans="1:14" ht="15.75" customHeight="1">
      <c r="A1247" s="41" t="s">
        <v>868</v>
      </c>
      <c r="B1247" s="41" t="s">
        <v>869</v>
      </c>
      <c r="C1247" s="41" t="s">
        <v>424</v>
      </c>
      <c r="D1247" s="41" t="s">
        <v>425</v>
      </c>
      <c r="E1247" s="41" t="s">
        <v>48</v>
      </c>
      <c r="F1247" s="42">
        <v>4</v>
      </c>
      <c r="G1247" s="41" t="s">
        <v>11</v>
      </c>
      <c r="H1247" s="43" t="s">
        <v>426</v>
      </c>
      <c r="I1247" s="44">
        <v>60</v>
      </c>
      <c r="J1247" s="44">
        <v>31.5</v>
      </c>
      <c r="K1247" s="41"/>
      <c r="L1247" s="45">
        <v>52000</v>
      </c>
      <c r="M1247" s="44">
        <v>1</v>
      </c>
      <c r="N1247" s="43" t="s">
        <v>383</v>
      </c>
    </row>
    <row r="1248" spans="1:14" ht="15.75" customHeight="1">
      <c r="A1248" s="41" t="s">
        <v>868</v>
      </c>
      <c r="B1248" s="41" t="s">
        <v>869</v>
      </c>
      <c r="C1248" s="41" t="s">
        <v>424</v>
      </c>
      <c r="D1248" s="41" t="s">
        <v>425</v>
      </c>
      <c r="E1248" s="41" t="s">
        <v>48</v>
      </c>
      <c r="F1248" s="42">
        <v>5</v>
      </c>
      <c r="G1248" s="41" t="s">
        <v>12</v>
      </c>
      <c r="H1248" s="43" t="s">
        <v>427</v>
      </c>
      <c r="I1248" s="44">
        <v>120</v>
      </c>
      <c r="J1248" s="44">
        <v>31.5</v>
      </c>
      <c r="K1248" s="41"/>
      <c r="L1248" s="45">
        <v>52000</v>
      </c>
      <c r="M1248" s="44">
        <v>1</v>
      </c>
      <c r="N1248" s="43" t="s">
        <v>383</v>
      </c>
    </row>
    <row r="1249" spans="1:14" ht="15.75" customHeight="1">
      <c r="A1249" s="41" t="s">
        <v>868</v>
      </c>
      <c r="B1249" s="41" t="s">
        <v>869</v>
      </c>
      <c r="C1249" s="41" t="s">
        <v>424</v>
      </c>
      <c r="D1249" s="41" t="s">
        <v>425</v>
      </c>
      <c r="E1249" s="41" t="s">
        <v>48</v>
      </c>
      <c r="F1249" s="42">
        <v>6</v>
      </c>
      <c r="G1249" s="41" t="s">
        <v>13</v>
      </c>
      <c r="H1249" s="43" t="s">
        <v>427</v>
      </c>
      <c r="I1249" s="44">
        <v>105</v>
      </c>
      <c r="J1249" s="44">
        <v>31.5</v>
      </c>
      <c r="K1249" s="41"/>
      <c r="L1249" s="45">
        <v>52000</v>
      </c>
      <c r="M1249" s="44">
        <v>1</v>
      </c>
      <c r="N1249" s="43" t="s">
        <v>383</v>
      </c>
    </row>
    <row r="1250" spans="1:14" ht="15.75" customHeight="1">
      <c r="A1250" s="41" t="s">
        <v>868</v>
      </c>
      <c r="B1250" s="41" t="s">
        <v>869</v>
      </c>
      <c r="C1250" s="41" t="s">
        <v>431</v>
      </c>
      <c r="D1250" s="41" t="s">
        <v>432</v>
      </c>
      <c r="E1250" s="41" t="s">
        <v>433</v>
      </c>
      <c r="F1250" s="42">
        <v>18</v>
      </c>
      <c r="G1250" s="41" t="s">
        <v>439</v>
      </c>
      <c r="H1250" s="43" t="s">
        <v>440</v>
      </c>
      <c r="I1250" s="44">
        <v>60</v>
      </c>
      <c r="J1250" s="41"/>
      <c r="K1250" s="44">
        <v>1600</v>
      </c>
      <c r="L1250" s="41" t="s">
        <v>435</v>
      </c>
      <c r="M1250" s="44">
        <v>1</v>
      </c>
      <c r="N1250" s="43" t="s">
        <v>436</v>
      </c>
    </row>
    <row r="1251" spans="1:14" ht="15.75" customHeight="1">
      <c r="A1251" s="41" t="s">
        <v>868</v>
      </c>
      <c r="B1251" s="41" t="s">
        <v>869</v>
      </c>
      <c r="C1251" s="41" t="s">
        <v>431</v>
      </c>
      <c r="D1251" s="41" t="s">
        <v>432</v>
      </c>
      <c r="E1251" s="41" t="s">
        <v>433</v>
      </c>
      <c r="F1251" s="42">
        <v>19</v>
      </c>
      <c r="G1251" s="41" t="s">
        <v>368</v>
      </c>
      <c r="H1251" s="43" t="s">
        <v>434</v>
      </c>
      <c r="I1251" s="44">
        <v>60</v>
      </c>
      <c r="J1251" s="41"/>
      <c r="K1251" s="44">
        <v>800</v>
      </c>
      <c r="L1251" s="41" t="s">
        <v>435</v>
      </c>
      <c r="M1251" s="44">
        <v>4</v>
      </c>
      <c r="N1251" s="43" t="s">
        <v>436</v>
      </c>
    </row>
    <row r="1252" spans="1:14" ht="15.75" customHeight="1">
      <c r="A1252" s="41" t="s">
        <v>870</v>
      </c>
      <c r="B1252" s="41" t="s">
        <v>871</v>
      </c>
      <c r="C1252" s="41" t="s">
        <v>708</v>
      </c>
      <c r="D1252" s="41" t="s">
        <v>443</v>
      </c>
      <c r="E1252" s="41" t="s">
        <v>33</v>
      </c>
      <c r="F1252" s="42">
        <v>11</v>
      </c>
      <c r="G1252" s="41" t="s">
        <v>12</v>
      </c>
      <c r="H1252" s="43" t="s">
        <v>444</v>
      </c>
      <c r="I1252" s="44">
        <v>335</v>
      </c>
      <c r="J1252" s="44">
        <v>15</v>
      </c>
      <c r="K1252" s="41"/>
      <c r="L1252" s="45">
        <v>56000</v>
      </c>
      <c r="M1252" s="44">
        <v>1</v>
      </c>
      <c r="N1252" s="43" t="s">
        <v>383</v>
      </c>
    </row>
    <row r="1253" spans="1:14" ht="15.75" customHeight="1">
      <c r="A1253" s="41" t="s">
        <v>870</v>
      </c>
      <c r="B1253" s="41" t="s">
        <v>871</v>
      </c>
      <c r="C1253" s="41" t="s">
        <v>708</v>
      </c>
      <c r="D1253" s="41" t="s">
        <v>443</v>
      </c>
      <c r="E1253" s="41" t="s">
        <v>33</v>
      </c>
      <c r="F1253" s="42">
        <v>12</v>
      </c>
      <c r="G1253" s="41" t="s">
        <v>13</v>
      </c>
      <c r="H1253" s="43" t="s">
        <v>444</v>
      </c>
      <c r="I1253" s="44">
        <v>30</v>
      </c>
      <c r="J1253" s="44">
        <v>15</v>
      </c>
      <c r="K1253" s="41"/>
      <c r="L1253" s="45">
        <v>56000</v>
      </c>
      <c r="M1253" s="44">
        <v>1</v>
      </c>
      <c r="N1253" s="43" t="s">
        <v>383</v>
      </c>
    </row>
    <row r="1254" spans="1:14" ht="15.75" customHeight="1">
      <c r="A1254" s="41" t="s">
        <v>870</v>
      </c>
      <c r="B1254" s="41" t="s">
        <v>871</v>
      </c>
      <c r="C1254" s="41" t="s">
        <v>499</v>
      </c>
      <c r="D1254" s="41" t="s">
        <v>443</v>
      </c>
      <c r="E1254" s="41" t="s">
        <v>33</v>
      </c>
      <c r="F1254" s="42">
        <v>11</v>
      </c>
      <c r="G1254" s="41" t="s">
        <v>12</v>
      </c>
      <c r="H1254" s="43" t="s">
        <v>444</v>
      </c>
      <c r="I1254" s="44">
        <v>75</v>
      </c>
      <c r="J1254" s="44">
        <v>15</v>
      </c>
      <c r="K1254" s="41"/>
      <c r="L1254" s="45">
        <v>56000</v>
      </c>
      <c r="M1254" s="44">
        <v>1</v>
      </c>
      <c r="N1254" s="43" t="s">
        <v>383</v>
      </c>
    </row>
    <row r="1255" spans="1:14" ht="15.75" customHeight="1">
      <c r="A1255" s="41" t="s">
        <v>870</v>
      </c>
      <c r="B1255" s="41" t="s">
        <v>871</v>
      </c>
      <c r="C1255" s="41" t="s">
        <v>499</v>
      </c>
      <c r="D1255" s="41" t="s">
        <v>443</v>
      </c>
      <c r="E1255" s="41" t="s">
        <v>33</v>
      </c>
      <c r="F1255" s="42">
        <v>12</v>
      </c>
      <c r="G1255" s="41" t="s">
        <v>13</v>
      </c>
      <c r="H1255" s="43" t="s">
        <v>444</v>
      </c>
      <c r="I1255" s="44">
        <v>15</v>
      </c>
      <c r="J1255" s="44">
        <v>15</v>
      </c>
      <c r="K1255" s="41"/>
      <c r="L1255" s="45">
        <v>56000</v>
      </c>
      <c r="M1255" s="44">
        <v>1</v>
      </c>
      <c r="N1255" s="43" t="s">
        <v>383</v>
      </c>
    </row>
    <row r="1256" spans="1:14" ht="15.75" customHeight="1">
      <c r="A1256" s="41" t="s">
        <v>870</v>
      </c>
      <c r="B1256" s="41" t="s">
        <v>871</v>
      </c>
      <c r="C1256" s="41" t="s">
        <v>431</v>
      </c>
      <c r="D1256" s="41" t="s">
        <v>432</v>
      </c>
      <c r="E1256" s="41" t="s">
        <v>433</v>
      </c>
      <c r="F1256" s="42">
        <v>18</v>
      </c>
      <c r="G1256" s="41" t="s">
        <v>439</v>
      </c>
      <c r="H1256" s="43" t="s">
        <v>440</v>
      </c>
      <c r="I1256" s="44">
        <v>60</v>
      </c>
      <c r="J1256" s="41"/>
      <c r="K1256" s="44">
        <v>800</v>
      </c>
      <c r="L1256" s="41" t="s">
        <v>435</v>
      </c>
      <c r="M1256" s="44">
        <v>1</v>
      </c>
      <c r="N1256" s="43" t="s">
        <v>436</v>
      </c>
    </row>
    <row r="1257" spans="1:14" ht="15.75" customHeight="1">
      <c r="A1257" s="41" t="s">
        <v>870</v>
      </c>
      <c r="B1257" s="41" t="s">
        <v>871</v>
      </c>
      <c r="C1257" s="41" t="s">
        <v>431</v>
      </c>
      <c r="D1257" s="41" t="s">
        <v>432</v>
      </c>
      <c r="E1257" s="41" t="s">
        <v>433</v>
      </c>
      <c r="F1257" s="42">
        <v>19</v>
      </c>
      <c r="G1257" s="41" t="s">
        <v>368</v>
      </c>
      <c r="H1257" s="43" t="s">
        <v>434</v>
      </c>
      <c r="I1257" s="44">
        <v>60</v>
      </c>
      <c r="J1257" s="41"/>
      <c r="K1257" s="44">
        <v>570</v>
      </c>
      <c r="L1257" s="41" t="s">
        <v>435</v>
      </c>
      <c r="M1257" s="44">
        <v>4</v>
      </c>
      <c r="N1257" s="43" t="s">
        <v>436</v>
      </c>
    </row>
    <row r="1258" spans="1:14" ht="15.75" customHeight="1">
      <c r="A1258" s="41" t="s">
        <v>872</v>
      </c>
      <c r="B1258" s="41" t="s">
        <v>873</v>
      </c>
      <c r="C1258" s="41" t="s">
        <v>499</v>
      </c>
      <c r="D1258" s="41" t="s">
        <v>443</v>
      </c>
      <c r="E1258" s="41" t="s">
        <v>33</v>
      </c>
      <c r="F1258" s="42">
        <v>11</v>
      </c>
      <c r="G1258" s="41" t="s">
        <v>12</v>
      </c>
      <c r="H1258" s="43" t="s">
        <v>444</v>
      </c>
      <c r="I1258" s="44">
        <v>75</v>
      </c>
      <c r="J1258" s="44">
        <v>15</v>
      </c>
      <c r="K1258" s="41"/>
      <c r="L1258" s="45">
        <v>56000</v>
      </c>
      <c r="M1258" s="44">
        <v>1</v>
      </c>
      <c r="N1258" s="43" t="s">
        <v>383</v>
      </c>
    </row>
    <row r="1259" spans="1:14" ht="15.75" customHeight="1">
      <c r="A1259" s="41" t="s">
        <v>872</v>
      </c>
      <c r="B1259" s="41" t="s">
        <v>873</v>
      </c>
      <c r="C1259" s="41" t="s">
        <v>499</v>
      </c>
      <c r="D1259" s="41" t="s">
        <v>443</v>
      </c>
      <c r="E1259" s="41" t="s">
        <v>33</v>
      </c>
      <c r="F1259" s="42">
        <v>12</v>
      </c>
      <c r="G1259" s="41" t="s">
        <v>13</v>
      </c>
      <c r="H1259" s="43" t="s">
        <v>444</v>
      </c>
      <c r="I1259" s="44">
        <v>15</v>
      </c>
      <c r="J1259" s="44">
        <v>15</v>
      </c>
      <c r="K1259" s="41"/>
      <c r="L1259" s="45">
        <v>56000</v>
      </c>
      <c r="M1259" s="44">
        <v>1</v>
      </c>
      <c r="N1259" s="43" t="s">
        <v>383</v>
      </c>
    </row>
    <row r="1260" spans="1:14" ht="15.75" customHeight="1">
      <c r="A1260" s="41" t="s">
        <v>872</v>
      </c>
      <c r="B1260" s="41" t="s">
        <v>873</v>
      </c>
      <c r="C1260" s="41" t="s">
        <v>708</v>
      </c>
      <c r="D1260" s="41" t="s">
        <v>443</v>
      </c>
      <c r="E1260" s="41" t="s">
        <v>33</v>
      </c>
      <c r="F1260" s="42">
        <v>11</v>
      </c>
      <c r="G1260" s="41" t="s">
        <v>12</v>
      </c>
      <c r="H1260" s="43" t="s">
        <v>444</v>
      </c>
      <c r="I1260" s="44">
        <v>335</v>
      </c>
      <c r="J1260" s="44">
        <v>15</v>
      </c>
      <c r="K1260" s="41"/>
      <c r="L1260" s="45">
        <v>56000</v>
      </c>
      <c r="M1260" s="44">
        <v>1</v>
      </c>
      <c r="N1260" s="43" t="s">
        <v>383</v>
      </c>
    </row>
    <row r="1261" spans="1:14" ht="15.75" customHeight="1">
      <c r="A1261" s="41" t="s">
        <v>872</v>
      </c>
      <c r="B1261" s="41" t="s">
        <v>873</v>
      </c>
      <c r="C1261" s="41" t="s">
        <v>708</v>
      </c>
      <c r="D1261" s="41" t="s">
        <v>443</v>
      </c>
      <c r="E1261" s="41" t="s">
        <v>33</v>
      </c>
      <c r="F1261" s="42">
        <v>12</v>
      </c>
      <c r="G1261" s="41" t="s">
        <v>13</v>
      </c>
      <c r="H1261" s="43" t="s">
        <v>444</v>
      </c>
      <c r="I1261" s="44">
        <v>30</v>
      </c>
      <c r="J1261" s="44">
        <v>15</v>
      </c>
      <c r="K1261" s="41"/>
      <c r="L1261" s="45">
        <v>56000</v>
      </c>
      <c r="M1261" s="44">
        <v>1</v>
      </c>
      <c r="N1261" s="43" t="s">
        <v>383</v>
      </c>
    </row>
    <row r="1262" spans="1:14" ht="15.75" customHeight="1">
      <c r="A1262" s="41" t="s">
        <v>872</v>
      </c>
      <c r="B1262" s="41" t="s">
        <v>873</v>
      </c>
      <c r="C1262" s="41" t="s">
        <v>431</v>
      </c>
      <c r="D1262" s="41" t="s">
        <v>432</v>
      </c>
      <c r="E1262" s="41" t="s">
        <v>433</v>
      </c>
      <c r="F1262" s="42">
        <v>18</v>
      </c>
      <c r="G1262" s="41" t="s">
        <v>439</v>
      </c>
      <c r="H1262" s="43" t="s">
        <v>440</v>
      </c>
      <c r="I1262" s="44">
        <v>60</v>
      </c>
      <c r="J1262" s="41"/>
      <c r="K1262" s="44">
        <v>800</v>
      </c>
      <c r="L1262" s="41" t="s">
        <v>435</v>
      </c>
      <c r="M1262" s="44">
        <v>1</v>
      </c>
      <c r="N1262" s="43" t="s">
        <v>436</v>
      </c>
    </row>
    <row r="1263" spans="1:14" ht="15.75" customHeight="1">
      <c r="A1263" s="41" t="s">
        <v>872</v>
      </c>
      <c r="B1263" s="41" t="s">
        <v>873</v>
      </c>
      <c r="C1263" s="41" t="s">
        <v>431</v>
      </c>
      <c r="D1263" s="41" t="s">
        <v>432</v>
      </c>
      <c r="E1263" s="41" t="s">
        <v>433</v>
      </c>
      <c r="F1263" s="42">
        <v>19</v>
      </c>
      <c r="G1263" s="41" t="s">
        <v>368</v>
      </c>
      <c r="H1263" s="43" t="s">
        <v>434</v>
      </c>
      <c r="I1263" s="44">
        <v>60</v>
      </c>
      <c r="J1263" s="41"/>
      <c r="K1263" s="44">
        <v>570</v>
      </c>
      <c r="L1263" s="41" t="s">
        <v>435</v>
      </c>
      <c r="M1263" s="44">
        <v>4</v>
      </c>
      <c r="N1263" s="43" t="s">
        <v>436</v>
      </c>
    </row>
    <row r="1264" spans="1:14" ht="15.75" customHeight="1">
      <c r="A1264" s="41" t="s">
        <v>874</v>
      </c>
      <c r="B1264" s="41" t="s">
        <v>149</v>
      </c>
      <c r="C1264" s="41" t="s">
        <v>442</v>
      </c>
      <c r="D1264" s="41" t="s">
        <v>448</v>
      </c>
      <c r="E1264" s="41" t="s">
        <v>40</v>
      </c>
      <c r="F1264" s="42">
        <v>1</v>
      </c>
      <c r="G1264" s="41" t="s">
        <v>11</v>
      </c>
      <c r="H1264" s="43" t="s">
        <v>426</v>
      </c>
      <c r="I1264" s="44">
        <v>25</v>
      </c>
      <c r="J1264" s="44">
        <v>250</v>
      </c>
      <c r="K1264" s="41"/>
      <c r="L1264" s="45">
        <v>412000</v>
      </c>
      <c r="M1264" s="44">
        <v>1</v>
      </c>
      <c r="N1264" s="43" t="s">
        <v>383</v>
      </c>
    </row>
    <row r="1265" spans="1:14" ht="15.75" customHeight="1">
      <c r="A1265" s="41" t="s">
        <v>874</v>
      </c>
      <c r="B1265" s="41" t="s">
        <v>149</v>
      </c>
      <c r="C1265" s="41" t="s">
        <v>442</v>
      </c>
      <c r="D1265" s="41" t="s">
        <v>448</v>
      </c>
      <c r="E1265" s="41" t="s">
        <v>40</v>
      </c>
      <c r="F1265" s="42">
        <v>2</v>
      </c>
      <c r="G1265" s="41" t="s">
        <v>12</v>
      </c>
      <c r="H1265" s="43" t="s">
        <v>449</v>
      </c>
      <c r="I1265" s="44">
        <v>180</v>
      </c>
      <c r="J1265" s="44">
        <v>250</v>
      </c>
      <c r="K1265" s="41"/>
      <c r="L1265" s="45">
        <v>412000</v>
      </c>
      <c r="M1265" s="44">
        <v>1</v>
      </c>
      <c r="N1265" s="43" t="s">
        <v>383</v>
      </c>
    </row>
    <row r="1266" spans="1:14" ht="15.75" customHeight="1">
      <c r="A1266" s="41" t="s">
        <v>874</v>
      </c>
      <c r="B1266" s="41" t="s">
        <v>149</v>
      </c>
      <c r="C1266" s="41" t="s">
        <v>442</v>
      </c>
      <c r="D1266" s="41" t="s">
        <v>448</v>
      </c>
      <c r="E1266" s="41" t="s">
        <v>40</v>
      </c>
      <c r="F1266" s="42">
        <v>3</v>
      </c>
      <c r="G1266" s="41" t="s">
        <v>13</v>
      </c>
      <c r="H1266" s="43" t="s">
        <v>449</v>
      </c>
      <c r="I1266" s="44">
        <v>30</v>
      </c>
      <c r="J1266" s="44">
        <v>250</v>
      </c>
      <c r="K1266" s="41"/>
      <c r="L1266" s="45">
        <v>412000</v>
      </c>
      <c r="M1266" s="44">
        <v>1</v>
      </c>
      <c r="N1266" s="43" t="s">
        <v>383</v>
      </c>
    </row>
    <row r="1267" spans="1:14" ht="15.75" customHeight="1">
      <c r="A1267" s="41" t="s">
        <v>874</v>
      </c>
      <c r="B1267" s="41" t="s">
        <v>149</v>
      </c>
      <c r="C1267" s="41" t="s">
        <v>431</v>
      </c>
      <c r="D1267" s="41" t="s">
        <v>432</v>
      </c>
      <c r="E1267" s="41" t="s">
        <v>433</v>
      </c>
      <c r="F1267" s="42">
        <v>18</v>
      </c>
      <c r="G1267" s="41" t="s">
        <v>439</v>
      </c>
      <c r="H1267" s="43" t="s">
        <v>440</v>
      </c>
      <c r="I1267" s="44">
        <v>60</v>
      </c>
      <c r="J1267" s="41"/>
      <c r="K1267" s="44">
        <v>990</v>
      </c>
      <c r="L1267" s="41" t="s">
        <v>435</v>
      </c>
      <c r="M1267" s="44">
        <v>1</v>
      </c>
      <c r="N1267" s="43" t="s">
        <v>436</v>
      </c>
    </row>
    <row r="1268" spans="1:14" ht="15.75" customHeight="1">
      <c r="A1268" s="41" t="s">
        <v>874</v>
      </c>
      <c r="B1268" s="41" t="s">
        <v>149</v>
      </c>
      <c r="C1268" s="41" t="s">
        <v>431</v>
      </c>
      <c r="D1268" s="41" t="s">
        <v>432</v>
      </c>
      <c r="E1268" s="41" t="s">
        <v>433</v>
      </c>
      <c r="F1268" s="42">
        <v>19</v>
      </c>
      <c r="G1268" s="41" t="s">
        <v>368</v>
      </c>
      <c r="H1268" s="43" t="s">
        <v>434</v>
      </c>
      <c r="I1268" s="44">
        <v>60</v>
      </c>
      <c r="J1268" s="41"/>
      <c r="K1268" s="44">
        <v>480</v>
      </c>
      <c r="L1268" s="41" t="s">
        <v>435</v>
      </c>
      <c r="M1268" s="44">
        <v>3</v>
      </c>
      <c r="N1268" s="43" t="s">
        <v>436</v>
      </c>
    </row>
    <row r="1269" spans="1:14" ht="15.75" customHeight="1">
      <c r="A1269" s="41" t="s">
        <v>875</v>
      </c>
      <c r="B1269" s="41" t="s">
        <v>152</v>
      </c>
      <c r="C1269" s="41" t="s">
        <v>442</v>
      </c>
      <c r="D1269" s="41" t="s">
        <v>448</v>
      </c>
      <c r="E1269" s="41" t="s">
        <v>40</v>
      </c>
      <c r="F1269" s="42">
        <v>1</v>
      </c>
      <c r="G1269" s="41" t="s">
        <v>11</v>
      </c>
      <c r="H1269" s="43" t="s">
        <v>426</v>
      </c>
      <c r="I1269" s="44">
        <v>25</v>
      </c>
      <c r="J1269" s="44">
        <v>500</v>
      </c>
      <c r="K1269" s="41"/>
      <c r="L1269" s="45">
        <v>412000</v>
      </c>
      <c r="M1269" s="44">
        <v>1</v>
      </c>
      <c r="N1269" s="43" t="s">
        <v>383</v>
      </c>
    </row>
    <row r="1270" spans="1:14" ht="15.75" customHeight="1">
      <c r="A1270" s="41" t="s">
        <v>875</v>
      </c>
      <c r="B1270" s="41" t="s">
        <v>152</v>
      </c>
      <c r="C1270" s="41" t="s">
        <v>442</v>
      </c>
      <c r="D1270" s="41" t="s">
        <v>448</v>
      </c>
      <c r="E1270" s="41" t="s">
        <v>40</v>
      </c>
      <c r="F1270" s="42">
        <v>2</v>
      </c>
      <c r="G1270" s="41" t="s">
        <v>12</v>
      </c>
      <c r="H1270" s="43" t="s">
        <v>449</v>
      </c>
      <c r="I1270" s="44">
        <v>180</v>
      </c>
      <c r="J1270" s="44">
        <v>500</v>
      </c>
      <c r="K1270" s="41"/>
      <c r="L1270" s="45">
        <v>412000</v>
      </c>
      <c r="M1270" s="44">
        <v>1</v>
      </c>
      <c r="N1270" s="43" t="s">
        <v>383</v>
      </c>
    </row>
    <row r="1271" spans="1:14" ht="15.75" customHeight="1">
      <c r="A1271" s="41" t="s">
        <v>875</v>
      </c>
      <c r="B1271" s="41" t="s">
        <v>152</v>
      </c>
      <c r="C1271" s="41" t="s">
        <v>442</v>
      </c>
      <c r="D1271" s="41" t="s">
        <v>448</v>
      </c>
      <c r="E1271" s="41" t="s">
        <v>40</v>
      </c>
      <c r="F1271" s="42">
        <v>3</v>
      </c>
      <c r="G1271" s="41" t="s">
        <v>13</v>
      </c>
      <c r="H1271" s="43" t="s">
        <v>449</v>
      </c>
      <c r="I1271" s="44">
        <v>30</v>
      </c>
      <c r="J1271" s="44">
        <v>500</v>
      </c>
      <c r="K1271" s="41"/>
      <c r="L1271" s="45">
        <v>412000</v>
      </c>
      <c r="M1271" s="44">
        <v>1</v>
      </c>
      <c r="N1271" s="43" t="s">
        <v>383</v>
      </c>
    </row>
    <row r="1272" spans="1:14" ht="15.75" customHeight="1">
      <c r="A1272" s="41" t="s">
        <v>875</v>
      </c>
      <c r="B1272" s="41" t="s">
        <v>152</v>
      </c>
      <c r="C1272" s="41" t="s">
        <v>431</v>
      </c>
      <c r="D1272" s="41" t="s">
        <v>432</v>
      </c>
      <c r="E1272" s="41" t="s">
        <v>433</v>
      </c>
      <c r="F1272" s="42">
        <v>18</v>
      </c>
      <c r="G1272" s="41" t="s">
        <v>439</v>
      </c>
      <c r="H1272" s="43" t="s">
        <v>440</v>
      </c>
      <c r="I1272" s="44">
        <v>60</v>
      </c>
      <c r="J1272" s="41"/>
      <c r="K1272" s="44">
        <v>770</v>
      </c>
      <c r="L1272" s="41" t="s">
        <v>435</v>
      </c>
      <c r="M1272" s="44">
        <v>1</v>
      </c>
      <c r="N1272" s="43" t="s">
        <v>436</v>
      </c>
    </row>
    <row r="1273" spans="1:14" ht="15.75" customHeight="1">
      <c r="A1273" s="41" t="s">
        <v>875</v>
      </c>
      <c r="B1273" s="41" t="s">
        <v>152</v>
      </c>
      <c r="C1273" s="41" t="s">
        <v>431</v>
      </c>
      <c r="D1273" s="41" t="s">
        <v>432</v>
      </c>
      <c r="E1273" s="41" t="s">
        <v>433</v>
      </c>
      <c r="F1273" s="42">
        <v>19</v>
      </c>
      <c r="G1273" s="41" t="s">
        <v>368</v>
      </c>
      <c r="H1273" s="43" t="s">
        <v>434</v>
      </c>
      <c r="I1273" s="44">
        <v>60</v>
      </c>
      <c r="J1273" s="41"/>
      <c r="K1273" s="44">
        <v>350</v>
      </c>
      <c r="L1273" s="41" t="s">
        <v>435</v>
      </c>
      <c r="M1273" s="44">
        <v>4</v>
      </c>
      <c r="N1273" s="43" t="s">
        <v>436</v>
      </c>
    </row>
    <row r="1274" spans="1:14" ht="15.75" customHeight="1">
      <c r="A1274" s="41" t="s">
        <v>876</v>
      </c>
      <c r="B1274" s="41" t="s">
        <v>877</v>
      </c>
      <c r="C1274" s="41" t="s">
        <v>424</v>
      </c>
      <c r="D1274" s="41" t="s">
        <v>443</v>
      </c>
      <c r="E1274" s="41" t="s">
        <v>33</v>
      </c>
      <c r="F1274" s="42">
        <v>10</v>
      </c>
      <c r="G1274" s="41" t="s">
        <v>11</v>
      </c>
      <c r="H1274" s="43" t="s">
        <v>426</v>
      </c>
      <c r="I1274" s="44">
        <v>75</v>
      </c>
      <c r="J1274" s="44">
        <v>49</v>
      </c>
      <c r="K1274" s="41"/>
      <c r="L1274" s="45">
        <v>76000</v>
      </c>
      <c r="M1274" s="44">
        <v>1</v>
      </c>
      <c r="N1274" s="43" t="s">
        <v>383</v>
      </c>
    </row>
    <row r="1275" spans="1:14" ht="15.75" customHeight="1">
      <c r="A1275" s="41" t="s">
        <v>876</v>
      </c>
      <c r="B1275" s="41" t="s">
        <v>877</v>
      </c>
      <c r="C1275" s="41" t="s">
        <v>424</v>
      </c>
      <c r="D1275" s="41" t="s">
        <v>443</v>
      </c>
      <c r="E1275" s="41" t="s">
        <v>33</v>
      </c>
      <c r="F1275" s="42">
        <v>11</v>
      </c>
      <c r="G1275" s="41" t="s">
        <v>12</v>
      </c>
      <c r="H1275" s="43" t="s">
        <v>444</v>
      </c>
      <c r="I1275" s="44">
        <v>80</v>
      </c>
      <c r="J1275" s="44">
        <v>49</v>
      </c>
      <c r="K1275" s="41"/>
      <c r="L1275" s="45">
        <v>76000</v>
      </c>
      <c r="M1275" s="44">
        <v>1</v>
      </c>
      <c r="N1275" s="43" t="s">
        <v>383</v>
      </c>
    </row>
    <row r="1276" spans="1:14" ht="15.75" customHeight="1">
      <c r="A1276" s="41" t="s">
        <v>876</v>
      </c>
      <c r="B1276" s="41" t="s">
        <v>877</v>
      </c>
      <c r="C1276" s="41" t="s">
        <v>424</v>
      </c>
      <c r="D1276" s="41" t="s">
        <v>443</v>
      </c>
      <c r="E1276" s="41" t="s">
        <v>33</v>
      </c>
      <c r="F1276" s="42">
        <v>12</v>
      </c>
      <c r="G1276" s="41" t="s">
        <v>13</v>
      </c>
      <c r="H1276" s="43" t="s">
        <v>444</v>
      </c>
      <c r="I1276" s="44">
        <v>30</v>
      </c>
      <c r="J1276" s="44">
        <v>49</v>
      </c>
      <c r="K1276" s="41"/>
      <c r="L1276" s="45">
        <v>76000</v>
      </c>
      <c r="M1276" s="44">
        <v>1</v>
      </c>
      <c r="N1276" s="43" t="s">
        <v>383</v>
      </c>
    </row>
    <row r="1277" spans="1:14" ht="15.75" customHeight="1">
      <c r="A1277" s="41" t="s">
        <v>876</v>
      </c>
      <c r="B1277" s="41" t="s">
        <v>877</v>
      </c>
      <c r="C1277" s="41" t="s">
        <v>431</v>
      </c>
      <c r="D1277" s="41" t="s">
        <v>432</v>
      </c>
      <c r="E1277" s="41" t="s">
        <v>433</v>
      </c>
      <c r="F1277" s="42">
        <v>18</v>
      </c>
      <c r="G1277" s="41" t="s">
        <v>439</v>
      </c>
      <c r="H1277" s="43" t="s">
        <v>440</v>
      </c>
      <c r="I1277" s="44">
        <v>60</v>
      </c>
      <c r="J1277" s="41"/>
      <c r="K1277" s="44">
        <v>1500</v>
      </c>
      <c r="L1277" s="41" t="s">
        <v>435</v>
      </c>
      <c r="M1277" s="44">
        <v>1</v>
      </c>
      <c r="N1277" s="43" t="s">
        <v>436</v>
      </c>
    </row>
    <row r="1278" spans="1:14" ht="15.75" customHeight="1">
      <c r="A1278" s="41" t="s">
        <v>876</v>
      </c>
      <c r="B1278" s="41" t="s">
        <v>877</v>
      </c>
      <c r="C1278" s="41" t="s">
        <v>431</v>
      </c>
      <c r="D1278" s="41" t="s">
        <v>432</v>
      </c>
      <c r="E1278" s="41" t="s">
        <v>433</v>
      </c>
      <c r="F1278" s="42">
        <v>19</v>
      </c>
      <c r="G1278" s="41" t="s">
        <v>368</v>
      </c>
      <c r="H1278" s="43" t="s">
        <v>434</v>
      </c>
      <c r="I1278" s="44">
        <v>60</v>
      </c>
      <c r="J1278" s="41"/>
      <c r="K1278" s="44">
        <v>1000</v>
      </c>
      <c r="L1278" s="41" t="s">
        <v>435</v>
      </c>
      <c r="M1278" s="44">
        <v>4</v>
      </c>
      <c r="N1278" s="43" t="s">
        <v>436</v>
      </c>
    </row>
    <row r="1279" spans="1:14" ht="15.75" customHeight="1">
      <c r="A1279" s="41" t="s">
        <v>878</v>
      </c>
      <c r="B1279" s="41" t="s">
        <v>879</v>
      </c>
      <c r="C1279" s="41" t="s">
        <v>442</v>
      </c>
      <c r="D1279" s="41" t="s">
        <v>448</v>
      </c>
      <c r="E1279" s="41" t="s">
        <v>40</v>
      </c>
      <c r="F1279" s="42">
        <v>1</v>
      </c>
      <c r="G1279" s="41" t="s">
        <v>11</v>
      </c>
      <c r="H1279" s="43" t="s">
        <v>426</v>
      </c>
      <c r="I1279" s="44">
        <v>25</v>
      </c>
      <c r="J1279" s="44">
        <v>25</v>
      </c>
      <c r="K1279" s="41"/>
      <c r="L1279" s="45">
        <v>78000</v>
      </c>
      <c r="M1279" s="44">
        <v>1</v>
      </c>
      <c r="N1279" s="43" t="s">
        <v>383</v>
      </c>
    </row>
    <row r="1280" spans="1:14" ht="15.75" customHeight="1">
      <c r="A1280" s="41" t="s">
        <v>878</v>
      </c>
      <c r="B1280" s="41" t="s">
        <v>879</v>
      </c>
      <c r="C1280" s="41" t="s">
        <v>442</v>
      </c>
      <c r="D1280" s="41" t="s">
        <v>448</v>
      </c>
      <c r="E1280" s="41" t="s">
        <v>40</v>
      </c>
      <c r="F1280" s="42">
        <v>2</v>
      </c>
      <c r="G1280" s="41" t="s">
        <v>12</v>
      </c>
      <c r="H1280" s="43" t="s">
        <v>449</v>
      </c>
      <c r="I1280" s="44">
        <v>90</v>
      </c>
      <c r="J1280" s="44">
        <v>25</v>
      </c>
      <c r="K1280" s="41"/>
      <c r="L1280" s="45">
        <v>78000</v>
      </c>
      <c r="M1280" s="44">
        <v>1</v>
      </c>
      <c r="N1280" s="43" t="s">
        <v>383</v>
      </c>
    </row>
    <row r="1281" spans="1:14" ht="15.75" customHeight="1">
      <c r="A1281" s="41" t="s">
        <v>878</v>
      </c>
      <c r="B1281" s="41" t="s">
        <v>879</v>
      </c>
      <c r="C1281" s="41" t="s">
        <v>442</v>
      </c>
      <c r="D1281" s="41" t="s">
        <v>448</v>
      </c>
      <c r="E1281" s="41" t="s">
        <v>40</v>
      </c>
      <c r="F1281" s="42">
        <v>3</v>
      </c>
      <c r="G1281" s="41" t="s">
        <v>13</v>
      </c>
      <c r="H1281" s="43" t="s">
        <v>449</v>
      </c>
      <c r="I1281" s="44">
        <v>30</v>
      </c>
      <c r="J1281" s="44">
        <v>25</v>
      </c>
      <c r="K1281" s="41"/>
      <c r="L1281" s="45">
        <v>78000</v>
      </c>
      <c r="M1281" s="44">
        <v>1</v>
      </c>
      <c r="N1281" s="43" t="s">
        <v>383</v>
      </c>
    </row>
    <row r="1282" spans="1:14" ht="15.75" customHeight="1">
      <c r="A1282" s="41" t="s">
        <v>878</v>
      </c>
      <c r="B1282" s="41" t="s">
        <v>879</v>
      </c>
      <c r="C1282" s="41" t="s">
        <v>431</v>
      </c>
      <c r="D1282" s="41" t="s">
        <v>432</v>
      </c>
      <c r="E1282" s="41" t="s">
        <v>433</v>
      </c>
      <c r="F1282" s="42">
        <v>18</v>
      </c>
      <c r="G1282" s="41" t="s">
        <v>439</v>
      </c>
      <c r="H1282" s="43" t="s">
        <v>440</v>
      </c>
      <c r="I1282" s="44">
        <v>60</v>
      </c>
      <c r="J1282" s="41"/>
      <c r="K1282" s="44">
        <v>3100</v>
      </c>
      <c r="L1282" s="41" t="s">
        <v>435</v>
      </c>
      <c r="M1282" s="44">
        <v>1</v>
      </c>
      <c r="N1282" s="43" t="s">
        <v>436</v>
      </c>
    </row>
    <row r="1283" spans="1:14" ht="15.75" customHeight="1">
      <c r="A1283" s="41" t="s">
        <v>878</v>
      </c>
      <c r="B1283" s="41" t="s">
        <v>879</v>
      </c>
      <c r="C1283" s="41" t="s">
        <v>431</v>
      </c>
      <c r="D1283" s="41" t="s">
        <v>432</v>
      </c>
      <c r="E1283" s="41" t="s">
        <v>433</v>
      </c>
      <c r="F1283" s="42">
        <v>19</v>
      </c>
      <c r="G1283" s="41" t="s">
        <v>368</v>
      </c>
      <c r="H1283" s="43" t="s">
        <v>434</v>
      </c>
      <c r="I1283" s="44">
        <v>60</v>
      </c>
      <c r="J1283" s="41"/>
      <c r="K1283" s="44">
        <v>1100</v>
      </c>
      <c r="L1283" s="41" t="s">
        <v>435</v>
      </c>
      <c r="M1283" s="44">
        <v>4</v>
      </c>
      <c r="N1283" s="43" t="s">
        <v>436</v>
      </c>
    </row>
    <row r="1284" spans="1:14" ht="15.75" customHeight="1">
      <c r="A1284" s="41" t="s">
        <v>880</v>
      </c>
      <c r="B1284" s="41" t="s">
        <v>881</v>
      </c>
      <c r="C1284" s="41" t="s">
        <v>442</v>
      </c>
      <c r="D1284" s="41" t="s">
        <v>448</v>
      </c>
      <c r="E1284" s="41" t="s">
        <v>40</v>
      </c>
      <c r="F1284" s="42">
        <v>1</v>
      </c>
      <c r="G1284" s="41" t="s">
        <v>11</v>
      </c>
      <c r="H1284" s="43" t="s">
        <v>426</v>
      </c>
      <c r="I1284" s="44">
        <v>65</v>
      </c>
      <c r="J1284" s="44">
        <v>25.5</v>
      </c>
      <c r="K1284" s="41"/>
      <c r="L1284" s="45">
        <v>412000</v>
      </c>
      <c r="M1284" s="44">
        <v>1</v>
      </c>
      <c r="N1284" s="43" t="s">
        <v>383</v>
      </c>
    </row>
    <row r="1285" spans="1:14" ht="15.75" customHeight="1">
      <c r="A1285" s="41" t="s">
        <v>880</v>
      </c>
      <c r="B1285" s="41" t="s">
        <v>881</v>
      </c>
      <c r="C1285" s="41" t="s">
        <v>442</v>
      </c>
      <c r="D1285" s="41" t="s">
        <v>448</v>
      </c>
      <c r="E1285" s="41" t="s">
        <v>40</v>
      </c>
      <c r="F1285" s="42">
        <v>2</v>
      </c>
      <c r="G1285" s="41" t="s">
        <v>12</v>
      </c>
      <c r="H1285" s="43" t="s">
        <v>449</v>
      </c>
      <c r="I1285" s="44">
        <v>100</v>
      </c>
      <c r="J1285" s="44">
        <v>25.5</v>
      </c>
      <c r="K1285" s="41"/>
      <c r="L1285" s="45">
        <v>412000</v>
      </c>
      <c r="M1285" s="44">
        <v>1</v>
      </c>
      <c r="N1285" s="43" t="s">
        <v>383</v>
      </c>
    </row>
    <row r="1286" spans="1:14" ht="15.75" customHeight="1">
      <c r="A1286" s="41" t="s">
        <v>880</v>
      </c>
      <c r="B1286" s="41" t="s">
        <v>881</v>
      </c>
      <c r="C1286" s="41" t="s">
        <v>442</v>
      </c>
      <c r="D1286" s="41" t="s">
        <v>448</v>
      </c>
      <c r="E1286" s="41" t="s">
        <v>40</v>
      </c>
      <c r="F1286" s="42">
        <v>3</v>
      </c>
      <c r="G1286" s="41" t="s">
        <v>13</v>
      </c>
      <c r="H1286" s="43" t="s">
        <v>449</v>
      </c>
      <c r="I1286" s="44">
        <v>30</v>
      </c>
      <c r="J1286" s="44">
        <v>25.5</v>
      </c>
      <c r="K1286" s="41"/>
      <c r="L1286" s="45">
        <v>412000</v>
      </c>
      <c r="M1286" s="44">
        <v>1</v>
      </c>
      <c r="N1286" s="43" t="s">
        <v>383</v>
      </c>
    </row>
    <row r="1287" spans="1:14" ht="15.75" customHeight="1">
      <c r="A1287" s="41" t="s">
        <v>880</v>
      </c>
      <c r="B1287" s="41" t="s">
        <v>881</v>
      </c>
      <c r="C1287" s="41" t="s">
        <v>431</v>
      </c>
      <c r="D1287" s="41" t="s">
        <v>432</v>
      </c>
      <c r="E1287" s="41" t="s">
        <v>433</v>
      </c>
      <c r="F1287" s="42">
        <v>18</v>
      </c>
      <c r="G1287" s="41" t="s">
        <v>439</v>
      </c>
      <c r="H1287" s="43" t="s">
        <v>440</v>
      </c>
      <c r="I1287" s="44">
        <v>60</v>
      </c>
      <c r="J1287" s="41"/>
      <c r="K1287" s="44">
        <v>3100</v>
      </c>
      <c r="L1287" s="41" t="s">
        <v>435</v>
      </c>
      <c r="M1287" s="44">
        <v>1</v>
      </c>
      <c r="N1287" s="43" t="s">
        <v>436</v>
      </c>
    </row>
    <row r="1288" spans="1:14" ht="15.75" customHeight="1">
      <c r="A1288" s="41" t="s">
        <v>880</v>
      </c>
      <c r="B1288" s="41" t="s">
        <v>881</v>
      </c>
      <c r="C1288" s="41" t="s">
        <v>431</v>
      </c>
      <c r="D1288" s="41" t="s">
        <v>432</v>
      </c>
      <c r="E1288" s="41" t="s">
        <v>433</v>
      </c>
      <c r="F1288" s="42">
        <v>19</v>
      </c>
      <c r="G1288" s="41" t="s">
        <v>368</v>
      </c>
      <c r="H1288" s="43" t="s">
        <v>434</v>
      </c>
      <c r="I1288" s="44">
        <v>60</v>
      </c>
      <c r="J1288" s="41"/>
      <c r="K1288" s="44">
        <v>1100</v>
      </c>
      <c r="L1288" s="41" t="s">
        <v>435</v>
      </c>
      <c r="M1288" s="44">
        <v>4</v>
      </c>
      <c r="N1288" s="43" t="s">
        <v>436</v>
      </c>
    </row>
    <row r="1289" spans="1:14" ht="15.75" customHeight="1">
      <c r="A1289" s="41" t="s">
        <v>882</v>
      </c>
      <c r="B1289" s="41" t="s">
        <v>883</v>
      </c>
      <c r="C1289" s="41" t="s">
        <v>424</v>
      </c>
      <c r="D1289" s="41" t="s">
        <v>425</v>
      </c>
      <c r="E1289" s="41" t="s">
        <v>48</v>
      </c>
      <c r="F1289" s="42">
        <v>4</v>
      </c>
      <c r="G1289" s="41" t="s">
        <v>11</v>
      </c>
      <c r="H1289" s="43" t="s">
        <v>426</v>
      </c>
      <c r="I1289" s="44">
        <v>25</v>
      </c>
      <c r="J1289" s="44">
        <v>20</v>
      </c>
      <c r="K1289" s="41"/>
      <c r="L1289" s="45">
        <v>52000</v>
      </c>
      <c r="M1289" s="44">
        <v>1</v>
      </c>
      <c r="N1289" s="43" t="s">
        <v>383</v>
      </c>
    </row>
    <row r="1290" spans="1:14" ht="15.75" customHeight="1">
      <c r="A1290" s="41" t="s">
        <v>882</v>
      </c>
      <c r="B1290" s="41" t="s">
        <v>883</v>
      </c>
      <c r="C1290" s="41" t="s">
        <v>424</v>
      </c>
      <c r="D1290" s="41" t="s">
        <v>425</v>
      </c>
      <c r="E1290" s="41" t="s">
        <v>48</v>
      </c>
      <c r="F1290" s="42">
        <v>5</v>
      </c>
      <c r="G1290" s="41" t="s">
        <v>12</v>
      </c>
      <c r="H1290" s="43" t="s">
        <v>427</v>
      </c>
      <c r="I1290" s="44">
        <v>130</v>
      </c>
      <c r="J1290" s="44">
        <v>20</v>
      </c>
      <c r="K1290" s="41"/>
      <c r="L1290" s="45">
        <v>52000</v>
      </c>
      <c r="M1290" s="44">
        <v>1</v>
      </c>
      <c r="N1290" s="43" t="s">
        <v>383</v>
      </c>
    </row>
    <row r="1291" spans="1:14" ht="15.75" customHeight="1">
      <c r="A1291" s="41" t="s">
        <v>882</v>
      </c>
      <c r="B1291" s="41" t="s">
        <v>883</v>
      </c>
      <c r="C1291" s="41" t="s">
        <v>424</v>
      </c>
      <c r="D1291" s="41" t="s">
        <v>425</v>
      </c>
      <c r="E1291" s="41" t="s">
        <v>48</v>
      </c>
      <c r="F1291" s="42">
        <v>6</v>
      </c>
      <c r="G1291" s="41" t="s">
        <v>13</v>
      </c>
      <c r="H1291" s="43" t="s">
        <v>427</v>
      </c>
      <c r="I1291" s="44">
        <v>30</v>
      </c>
      <c r="J1291" s="44">
        <v>20</v>
      </c>
      <c r="K1291" s="41"/>
      <c r="L1291" s="45">
        <v>52000</v>
      </c>
      <c r="M1291" s="44">
        <v>1</v>
      </c>
      <c r="N1291" s="43" t="s">
        <v>383</v>
      </c>
    </row>
    <row r="1292" spans="1:14" ht="15.75" customHeight="1">
      <c r="A1292" s="41" t="s">
        <v>882</v>
      </c>
      <c r="B1292" s="41" t="s">
        <v>883</v>
      </c>
      <c r="C1292" s="41" t="s">
        <v>424</v>
      </c>
      <c r="D1292" s="41" t="s">
        <v>429</v>
      </c>
      <c r="E1292" s="41" t="s">
        <v>74</v>
      </c>
      <c r="F1292" s="42">
        <v>7</v>
      </c>
      <c r="G1292" s="41" t="s">
        <v>11</v>
      </c>
      <c r="H1292" s="43" t="s">
        <v>426</v>
      </c>
      <c r="I1292" s="44">
        <v>25</v>
      </c>
      <c r="J1292" s="44">
        <v>20</v>
      </c>
      <c r="K1292" s="41"/>
      <c r="L1292" s="45">
        <v>103000</v>
      </c>
      <c r="M1292" s="44">
        <v>1</v>
      </c>
      <c r="N1292" s="43" t="s">
        <v>383</v>
      </c>
    </row>
    <row r="1293" spans="1:14" ht="15.75" customHeight="1">
      <c r="A1293" s="41" t="s">
        <v>882</v>
      </c>
      <c r="B1293" s="41" t="s">
        <v>883</v>
      </c>
      <c r="C1293" s="41" t="s">
        <v>424</v>
      </c>
      <c r="D1293" s="41" t="s">
        <v>429</v>
      </c>
      <c r="E1293" s="41" t="s">
        <v>74</v>
      </c>
      <c r="F1293" s="42">
        <v>8</v>
      </c>
      <c r="G1293" s="41" t="s">
        <v>12</v>
      </c>
      <c r="H1293" s="43" t="s">
        <v>430</v>
      </c>
      <c r="I1293" s="44">
        <v>180</v>
      </c>
      <c r="J1293" s="44">
        <v>20</v>
      </c>
      <c r="K1293" s="41"/>
      <c r="L1293" s="45">
        <v>103000</v>
      </c>
      <c r="M1293" s="44">
        <v>1</v>
      </c>
      <c r="N1293" s="43" t="s">
        <v>383</v>
      </c>
    </row>
    <row r="1294" spans="1:14" ht="15.75" customHeight="1">
      <c r="A1294" s="41" t="s">
        <v>882</v>
      </c>
      <c r="B1294" s="41" t="s">
        <v>883</v>
      </c>
      <c r="C1294" s="41" t="s">
        <v>424</v>
      </c>
      <c r="D1294" s="41" t="s">
        <v>429</v>
      </c>
      <c r="E1294" s="41" t="s">
        <v>74</v>
      </c>
      <c r="F1294" s="42">
        <v>9</v>
      </c>
      <c r="G1294" s="41" t="s">
        <v>13</v>
      </c>
      <c r="H1294" s="43" t="s">
        <v>430</v>
      </c>
      <c r="I1294" s="44">
        <v>40</v>
      </c>
      <c r="J1294" s="44">
        <v>20</v>
      </c>
      <c r="K1294" s="41"/>
      <c r="L1294" s="45">
        <v>103000</v>
      </c>
      <c r="M1294" s="44">
        <v>1</v>
      </c>
      <c r="N1294" s="43" t="s">
        <v>383</v>
      </c>
    </row>
    <row r="1295" spans="1:14" ht="15.75" customHeight="1">
      <c r="A1295" s="41" t="s">
        <v>882</v>
      </c>
      <c r="B1295" s="41" t="s">
        <v>883</v>
      </c>
      <c r="C1295" s="41" t="s">
        <v>431</v>
      </c>
      <c r="D1295" s="41" t="s">
        <v>432</v>
      </c>
      <c r="E1295" s="41" t="s">
        <v>433</v>
      </c>
      <c r="F1295" s="42">
        <v>18</v>
      </c>
      <c r="G1295" s="41" t="s">
        <v>439</v>
      </c>
      <c r="H1295" s="43" t="s">
        <v>440</v>
      </c>
      <c r="I1295" s="44">
        <v>60</v>
      </c>
      <c r="J1295" s="41"/>
      <c r="K1295" s="44">
        <v>1200</v>
      </c>
      <c r="L1295" s="41" t="s">
        <v>435</v>
      </c>
      <c r="M1295" s="44">
        <v>1</v>
      </c>
      <c r="N1295" s="43" t="s">
        <v>436</v>
      </c>
    </row>
    <row r="1296" spans="1:14" ht="15.75" customHeight="1">
      <c r="A1296" s="41" t="s">
        <v>882</v>
      </c>
      <c r="B1296" s="41" t="s">
        <v>883</v>
      </c>
      <c r="C1296" s="41" t="s">
        <v>431</v>
      </c>
      <c r="D1296" s="41" t="s">
        <v>432</v>
      </c>
      <c r="E1296" s="41" t="s">
        <v>433</v>
      </c>
      <c r="F1296" s="42">
        <v>19</v>
      </c>
      <c r="G1296" s="41" t="s">
        <v>368</v>
      </c>
      <c r="H1296" s="43" t="s">
        <v>434</v>
      </c>
      <c r="I1296" s="44">
        <v>60</v>
      </c>
      <c r="J1296" s="41"/>
      <c r="K1296" s="44">
        <v>950</v>
      </c>
      <c r="L1296" s="41" t="s">
        <v>435</v>
      </c>
      <c r="M1296" s="44">
        <v>3</v>
      </c>
      <c r="N1296" s="43" t="s">
        <v>436</v>
      </c>
    </row>
    <row r="1297" spans="1:14" ht="15.75" customHeight="1">
      <c r="A1297" s="41" t="s">
        <v>884</v>
      </c>
      <c r="B1297" s="41" t="s">
        <v>885</v>
      </c>
      <c r="C1297" s="41" t="s">
        <v>499</v>
      </c>
      <c r="D1297" s="41" t="s">
        <v>443</v>
      </c>
      <c r="E1297" s="41" t="s">
        <v>33</v>
      </c>
      <c r="F1297" s="42">
        <v>11</v>
      </c>
      <c r="G1297" s="41" t="s">
        <v>12</v>
      </c>
      <c r="H1297" s="43" t="s">
        <v>444</v>
      </c>
      <c r="I1297" s="44">
        <v>40</v>
      </c>
      <c r="J1297" s="44">
        <v>12.6</v>
      </c>
      <c r="K1297" s="41"/>
      <c r="L1297" s="45">
        <v>95000</v>
      </c>
      <c r="M1297" s="44">
        <v>1</v>
      </c>
      <c r="N1297" s="43" t="s">
        <v>383</v>
      </c>
    </row>
    <row r="1298" spans="1:14" ht="15.75" customHeight="1">
      <c r="A1298" s="41" t="s">
        <v>884</v>
      </c>
      <c r="B1298" s="41" t="s">
        <v>885</v>
      </c>
      <c r="C1298" s="41" t="s">
        <v>499</v>
      </c>
      <c r="D1298" s="41" t="s">
        <v>443</v>
      </c>
      <c r="E1298" s="41" t="s">
        <v>33</v>
      </c>
      <c r="F1298" s="42">
        <v>12</v>
      </c>
      <c r="G1298" s="41" t="s">
        <v>13</v>
      </c>
      <c r="H1298" s="43" t="s">
        <v>444</v>
      </c>
      <c r="I1298" s="44">
        <v>10</v>
      </c>
      <c r="J1298" s="44">
        <v>12.6</v>
      </c>
      <c r="K1298" s="41"/>
      <c r="L1298" s="45">
        <v>95000</v>
      </c>
      <c r="M1298" s="44">
        <v>1</v>
      </c>
      <c r="N1298" s="43" t="s">
        <v>383</v>
      </c>
    </row>
    <row r="1299" spans="1:14" ht="15.75" customHeight="1">
      <c r="A1299" s="41" t="s">
        <v>884</v>
      </c>
      <c r="B1299" s="41" t="s">
        <v>885</v>
      </c>
      <c r="C1299" s="41" t="s">
        <v>431</v>
      </c>
      <c r="D1299" s="41" t="s">
        <v>432</v>
      </c>
      <c r="E1299" s="41" t="s">
        <v>433</v>
      </c>
      <c r="F1299" s="42">
        <v>18</v>
      </c>
      <c r="G1299" s="41" t="s">
        <v>439</v>
      </c>
      <c r="H1299" s="43" t="s">
        <v>440</v>
      </c>
      <c r="I1299" s="44">
        <v>60</v>
      </c>
      <c r="J1299" s="41"/>
      <c r="K1299" s="44">
        <v>1200</v>
      </c>
      <c r="L1299" s="41" t="s">
        <v>435</v>
      </c>
      <c r="M1299" s="44">
        <v>1</v>
      </c>
      <c r="N1299" s="43" t="s">
        <v>436</v>
      </c>
    </row>
    <row r="1300" spans="1:14" ht="15.75" customHeight="1">
      <c r="A1300" s="41" t="s">
        <v>884</v>
      </c>
      <c r="B1300" s="41" t="s">
        <v>885</v>
      </c>
      <c r="C1300" s="41" t="s">
        <v>431</v>
      </c>
      <c r="D1300" s="41" t="s">
        <v>432</v>
      </c>
      <c r="E1300" s="41" t="s">
        <v>433</v>
      </c>
      <c r="F1300" s="42">
        <v>19</v>
      </c>
      <c r="G1300" s="41" t="s">
        <v>368</v>
      </c>
      <c r="H1300" s="43" t="s">
        <v>434</v>
      </c>
      <c r="I1300" s="44">
        <v>60</v>
      </c>
      <c r="J1300" s="41"/>
      <c r="K1300" s="44">
        <v>1200</v>
      </c>
      <c r="L1300" s="41" t="s">
        <v>435</v>
      </c>
      <c r="M1300" s="44">
        <v>3</v>
      </c>
      <c r="N1300" s="43" t="s">
        <v>436</v>
      </c>
    </row>
    <row r="1301" spans="1:14" ht="15.75" customHeight="1">
      <c r="A1301" s="41" t="s">
        <v>886</v>
      </c>
      <c r="B1301" s="41" t="s">
        <v>887</v>
      </c>
      <c r="C1301" s="41" t="s">
        <v>424</v>
      </c>
      <c r="D1301" s="41" t="s">
        <v>425</v>
      </c>
      <c r="E1301" s="41" t="s">
        <v>48</v>
      </c>
      <c r="F1301" s="42">
        <v>4</v>
      </c>
      <c r="G1301" s="41" t="s">
        <v>11</v>
      </c>
      <c r="H1301" s="43" t="s">
        <v>426</v>
      </c>
      <c r="I1301" s="44">
        <v>30</v>
      </c>
      <c r="J1301" s="44">
        <v>29.7</v>
      </c>
      <c r="K1301" s="41"/>
      <c r="L1301" s="45">
        <v>52000</v>
      </c>
      <c r="M1301" s="44">
        <v>1</v>
      </c>
      <c r="N1301" s="43" t="s">
        <v>383</v>
      </c>
    </row>
    <row r="1302" spans="1:14" ht="15.75" customHeight="1">
      <c r="A1302" s="41" t="s">
        <v>886</v>
      </c>
      <c r="B1302" s="41" t="s">
        <v>887</v>
      </c>
      <c r="C1302" s="41" t="s">
        <v>424</v>
      </c>
      <c r="D1302" s="41" t="s">
        <v>425</v>
      </c>
      <c r="E1302" s="41" t="s">
        <v>48</v>
      </c>
      <c r="F1302" s="42">
        <v>5</v>
      </c>
      <c r="G1302" s="41" t="s">
        <v>12</v>
      </c>
      <c r="H1302" s="43" t="s">
        <v>427</v>
      </c>
      <c r="I1302" s="44">
        <v>140</v>
      </c>
      <c r="J1302" s="44">
        <v>29.7</v>
      </c>
      <c r="K1302" s="41"/>
      <c r="L1302" s="45">
        <v>52000</v>
      </c>
      <c r="M1302" s="44">
        <v>1</v>
      </c>
      <c r="N1302" s="43" t="s">
        <v>383</v>
      </c>
    </row>
    <row r="1303" spans="1:14" ht="15.75" customHeight="1">
      <c r="A1303" s="41" t="s">
        <v>886</v>
      </c>
      <c r="B1303" s="41" t="s">
        <v>887</v>
      </c>
      <c r="C1303" s="41" t="s">
        <v>424</v>
      </c>
      <c r="D1303" s="41" t="s">
        <v>425</v>
      </c>
      <c r="E1303" s="41" t="s">
        <v>48</v>
      </c>
      <c r="F1303" s="42">
        <v>6</v>
      </c>
      <c r="G1303" s="41" t="s">
        <v>13</v>
      </c>
      <c r="H1303" s="43" t="s">
        <v>427</v>
      </c>
      <c r="I1303" s="44">
        <v>30</v>
      </c>
      <c r="J1303" s="44">
        <v>29.7</v>
      </c>
      <c r="K1303" s="41"/>
      <c r="L1303" s="45">
        <v>52000</v>
      </c>
      <c r="M1303" s="44">
        <v>1</v>
      </c>
      <c r="N1303" s="43" t="s">
        <v>383</v>
      </c>
    </row>
    <row r="1304" spans="1:14" ht="15.75" customHeight="1">
      <c r="A1304" s="41" t="s">
        <v>886</v>
      </c>
      <c r="B1304" s="41" t="s">
        <v>887</v>
      </c>
      <c r="C1304" s="41" t="s">
        <v>431</v>
      </c>
      <c r="D1304" s="41" t="s">
        <v>432</v>
      </c>
      <c r="E1304" s="41" t="s">
        <v>433</v>
      </c>
      <c r="F1304" s="42">
        <v>18</v>
      </c>
      <c r="G1304" s="41" t="s">
        <v>439</v>
      </c>
      <c r="H1304" s="43" t="s">
        <v>440</v>
      </c>
      <c r="I1304" s="44">
        <v>60</v>
      </c>
      <c r="J1304" s="41"/>
      <c r="K1304" s="44">
        <v>800</v>
      </c>
      <c r="L1304" s="41" t="s">
        <v>435</v>
      </c>
      <c r="M1304" s="44">
        <v>1</v>
      </c>
      <c r="N1304" s="43" t="s">
        <v>436</v>
      </c>
    </row>
    <row r="1305" spans="1:14" ht="15.75" customHeight="1">
      <c r="A1305" s="41" t="s">
        <v>886</v>
      </c>
      <c r="B1305" s="41" t="s">
        <v>887</v>
      </c>
      <c r="C1305" s="41" t="s">
        <v>431</v>
      </c>
      <c r="D1305" s="41" t="s">
        <v>432</v>
      </c>
      <c r="E1305" s="41" t="s">
        <v>433</v>
      </c>
      <c r="F1305" s="42">
        <v>19</v>
      </c>
      <c r="G1305" s="41" t="s">
        <v>368</v>
      </c>
      <c r="H1305" s="43" t="s">
        <v>434</v>
      </c>
      <c r="I1305" s="44">
        <v>60</v>
      </c>
      <c r="J1305" s="41"/>
      <c r="K1305" s="44">
        <v>800</v>
      </c>
      <c r="L1305" s="41" t="s">
        <v>435</v>
      </c>
      <c r="M1305" s="44">
        <v>4</v>
      </c>
      <c r="N1305" s="43" t="s">
        <v>436</v>
      </c>
    </row>
    <row r="1306" spans="1:14" ht="15.75" customHeight="1">
      <c r="A1306" s="41" t="s">
        <v>888</v>
      </c>
      <c r="B1306" s="41" t="s">
        <v>100</v>
      </c>
      <c r="C1306" s="41" t="s">
        <v>442</v>
      </c>
      <c r="D1306" s="41" t="s">
        <v>443</v>
      </c>
      <c r="E1306" s="41" t="s">
        <v>33</v>
      </c>
      <c r="F1306" s="42">
        <v>11</v>
      </c>
      <c r="G1306" s="41" t="s">
        <v>12</v>
      </c>
      <c r="H1306" s="43" t="s">
        <v>444</v>
      </c>
      <c r="I1306" s="44">
        <v>160</v>
      </c>
      <c r="J1306" s="44">
        <v>31.7</v>
      </c>
      <c r="K1306" s="41"/>
      <c r="L1306" s="45">
        <v>100000</v>
      </c>
      <c r="M1306" s="44">
        <v>1</v>
      </c>
      <c r="N1306" s="43" t="s">
        <v>383</v>
      </c>
    </row>
    <row r="1307" spans="1:14" ht="15.75" customHeight="1">
      <c r="A1307" s="41" t="s">
        <v>888</v>
      </c>
      <c r="B1307" s="41" t="s">
        <v>100</v>
      </c>
      <c r="C1307" s="41" t="s">
        <v>442</v>
      </c>
      <c r="D1307" s="41" t="s">
        <v>443</v>
      </c>
      <c r="E1307" s="41" t="s">
        <v>33</v>
      </c>
      <c r="F1307" s="42">
        <v>12</v>
      </c>
      <c r="G1307" s="41" t="s">
        <v>13</v>
      </c>
      <c r="H1307" s="43" t="s">
        <v>444</v>
      </c>
      <c r="I1307" s="44">
        <v>30</v>
      </c>
      <c r="J1307" s="44">
        <v>31.7</v>
      </c>
      <c r="K1307" s="41"/>
      <c r="L1307" s="45">
        <v>100000</v>
      </c>
      <c r="M1307" s="44">
        <v>1</v>
      </c>
      <c r="N1307" s="43" t="s">
        <v>383</v>
      </c>
    </row>
    <row r="1308" spans="1:14" ht="15.75" customHeight="1">
      <c r="A1308" s="41" t="s">
        <v>888</v>
      </c>
      <c r="B1308" s="41" t="s">
        <v>100</v>
      </c>
      <c r="C1308" s="41" t="s">
        <v>431</v>
      </c>
      <c r="D1308" s="41" t="s">
        <v>432</v>
      </c>
      <c r="E1308" s="41" t="s">
        <v>433</v>
      </c>
      <c r="F1308" s="42">
        <v>18</v>
      </c>
      <c r="G1308" s="41" t="s">
        <v>439</v>
      </c>
      <c r="H1308" s="43" t="s">
        <v>440</v>
      </c>
      <c r="I1308" s="44">
        <v>60</v>
      </c>
      <c r="J1308" s="41"/>
      <c r="K1308" s="44">
        <v>660</v>
      </c>
      <c r="L1308" s="41" t="s">
        <v>435</v>
      </c>
      <c r="M1308" s="44">
        <v>1</v>
      </c>
      <c r="N1308" s="43" t="s">
        <v>436</v>
      </c>
    </row>
    <row r="1309" spans="1:14" ht="15.75" customHeight="1">
      <c r="A1309" s="41" t="s">
        <v>888</v>
      </c>
      <c r="B1309" s="41" t="s">
        <v>100</v>
      </c>
      <c r="C1309" s="41" t="s">
        <v>431</v>
      </c>
      <c r="D1309" s="41" t="s">
        <v>432</v>
      </c>
      <c r="E1309" s="41" t="s">
        <v>433</v>
      </c>
      <c r="F1309" s="42">
        <v>19</v>
      </c>
      <c r="G1309" s="41" t="s">
        <v>368</v>
      </c>
      <c r="H1309" s="43" t="s">
        <v>434</v>
      </c>
      <c r="I1309" s="44">
        <v>60</v>
      </c>
      <c r="J1309" s="41"/>
      <c r="K1309" s="44">
        <v>800</v>
      </c>
      <c r="L1309" s="41" t="s">
        <v>435</v>
      </c>
      <c r="M1309" s="44">
        <v>4</v>
      </c>
      <c r="N1309" s="43" t="s">
        <v>436</v>
      </c>
    </row>
    <row r="1310" spans="1:14" ht="15.75" customHeight="1">
      <c r="A1310" s="41" t="s">
        <v>889</v>
      </c>
      <c r="B1310" s="41" t="s">
        <v>248</v>
      </c>
      <c r="C1310" s="41" t="s">
        <v>442</v>
      </c>
      <c r="D1310" s="41" t="s">
        <v>443</v>
      </c>
      <c r="E1310" s="41" t="s">
        <v>33</v>
      </c>
      <c r="F1310" s="42">
        <v>10</v>
      </c>
      <c r="G1310" s="41" t="s">
        <v>11</v>
      </c>
      <c r="H1310" s="43" t="s">
        <v>426</v>
      </c>
      <c r="I1310" s="44">
        <v>70</v>
      </c>
      <c r="J1310" s="44">
        <v>15</v>
      </c>
      <c r="K1310" s="41"/>
      <c r="L1310" s="45">
        <v>100000</v>
      </c>
      <c r="M1310" s="44">
        <v>1</v>
      </c>
      <c r="N1310" s="43" t="s">
        <v>383</v>
      </c>
    </row>
    <row r="1311" spans="1:14" ht="15.75" customHeight="1">
      <c r="A1311" s="41" t="s">
        <v>889</v>
      </c>
      <c r="B1311" s="41" t="s">
        <v>248</v>
      </c>
      <c r="C1311" s="41" t="s">
        <v>442</v>
      </c>
      <c r="D1311" s="41" t="s">
        <v>443</v>
      </c>
      <c r="E1311" s="41" t="s">
        <v>33</v>
      </c>
      <c r="F1311" s="42">
        <v>11</v>
      </c>
      <c r="G1311" s="41" t="s">
        <v>12</v>
      </c>
      <c r="H1311" s="43" t="s">
        <v>444</v>
      </c>
      <c r="I1311" s="44">
        <v>40</v>
      </c>
      <c r="J1311" s="44">
        <v>15</v>
      </c>
      <c r="K1311" s="41"/>
      <c r="L1311" s="45">
        <v>100000</v>
      </c>
      <c r="M1311" s="44">
        <v>1</v>
      </c>
      <c r="N1311" s="43" t="s">
        <v>383</v>
      </c>
    </row>
    <row r="1312" spans="1:14" ht="15.75" customHeight="1">
      <c r="A1312" s="41" t="s">
        <v>889</v>
      </c>
      <c r="B1312" s="41" t="s">
        <v>248</v>
      </c>
      <c r="C1312" s="41" t="s">
        <v>442</v>
      </c>
      <c r="D1312" s="41" t="s">
        <v>443</v>
      </c>
      <c r="E1312" s="41" t="s">
        <v>33</v>
      </c>
      <c r="F1312" s="42">
        <v>12</v>
      </c>
      <c r="G1312" s="41" t="s">
        <v>13</v>
      </c>
      <c r="H1312" s="43" t="s">
        <v>444</v>
      </c>
      <c r="I1312" s="44">
        <v>10</v>
      </c>
      <c r="J1312" s="44">
        <v>15</v>
      </c>
      <c r="K1312" s="41"/>
      <c r="L1312" s="45">
        <v>100000</v>
      </c>
      <c r="M1312" s="44">
        <v>1</v>
      </c>
      <c r="N1312" s="43" t="s">
        <v>383</v>
      </c>
    </row>
    <row r="1313" spans="1:14" ht="15.75" customHeight="1">
      <c r="A1313" s="41" t="s">
        <v>889</v>
      </c>
      <c r="B1313" s="41" t="s">
        <v>248</v>
      </c>
      <c r="C1313" s="41" t="s">
        <v>431</v>
      </c>
      <c r="D1313" s="41" t="s">
        <v>432</v>
      </c>
      <c r="E1313" s="41" t="s">
        <v>433</v>
      </c>
      <c r="F1313" s="42">
        <v>18</v>
      </c>
      <c r="G1313" s="41" t="s">
        <v>439</v>
      </c>
      <c r="H1313" s="43" t="s">
        <v>440</v>
      </c>
      <c r="I1313" s="44">
        <v>60</v>
      </c>
      <c r="J1313" s="41"/>
      <c r="K1313" s="44">
        <v>2000</v>
      </c>
      <c r="L1313" s="41" t="s">
        <v>435</v>
      </c>
      <c r="M1313" s="44">
        <v>1</v>
      </c>
      <c r="N1313" s="43" t="s">
        <v>436</v>
      </c>
    </row>
    <row r="1314" spans="1:14" ht="15.75" customHeight="1">
      <c r="A1314" s="41" t="s">
        <v>889</v>
      </c>
      <c r="B1314" s="41" t="s">
        <v>248</v>
      </c>
      <c r="C1314" s="41" t="s">
        <v>431</v>
      </c>
      <c r="D1314" s="41" t="s">
        <v>432</v>
      </c>
      <c r="E1314" s="41" t="s">
        <v>433</v>
      </c>
      <c r="F1314" s="42">
        <v>19</v>
      </c>
      <c r="G1314" s="41" t="s">
        <v>368</v>
      </c>
      <c r="H1314" s="43" t="s">
        <v>434</v>
      </c>
      <c r="I1314" s="44">
        <v>60</v>
      </c>
      <c r="J1314" s="41"/>
      <c r="K1314" s="44">
        <v>1800</v>
      </c>
      <c r="L1314" s="41" t="s">
        <v>435</v>
      </c>
      <c r="M1314" s="44">
        <v>4</v>
      </c>
      <c r="N1314" s="43" t="s">
        <v>436</v>
      </c>
    </row>
    <row r="1315" spans="1:14" ht="15.75" customHeight="1">
      <c r="A1315" s="41" t="s">
        <v>890</v>
      </c>
      <c r="B1315" s="41" t="s">
        <v>891</v>
      </c>
      <c r="C1315" s="41" t="s">
        <v>442</v>
      </c>
      <c r="D1315" s="41" t="s">
        <v>443</v>
      </c>
      <c r="E1315" s="41" t="s">
        <v>33</v>
      </c>
      <c r="F1315" s="42">
        <v>11</v>
      </c>
      <c r="G1315" s="41" t="s">
        <v>12</v>
      </c>
      <c r="H1315" s="43" t="s">
        <v>444</v>
      </c>
      <c r="I1315" s="44">
        <v>60</v>
      </c>
      <c r="J1315" s="44">
        <v>17.3</v>
      </c>
      <c r="K1315" s="41"/>
      <c r="L1315" s="45">
        <v>110000</v>
      </c>
      <c r="M1315" s="44">
        <v>1</v>
      </c>
      <c r="N1315" s="43" t="s">
        <v>383</v>
      </c>
    </row>
    <row r="1316" spans="1:14" ht="15.75" customHeight="1">
      <c r="A1316" s="41" t="s">
        <v>890</v>
      </c>
      <c r="B1316" s="41" t="s">
        <v>891</v>
      </c>
      <c r="C1316" s="41" t="s">
        <v>442</v>
      </c>
      <c r="D1316" s="41" t="s">
        <v>443</v>
      </c>
      <c r="E1316" s="41" t="s">
        <v>33</v>
      </c>
      <c r="F1316" s="42">
        <v>12</v>
      </c>
      <c r="G1316" s="41" t="s">
        <v>13</v>
      </c>
      <c r="H1316" s="43" t="s">
        <v>444</v>
      </c>
      <c r="I1316" s="44">
        <v>15</v>
      </c>
      <c r="J1316" s="44">
        <v>17.3</v>
      </c>
      <c r="K1316" s="41"/>
      <c r="L1316" s="45">
        <v>110000</v>
      </c>
      <c r="M1316" s="44">
        <v>1</v>
      </c>
      <c r="N1316" s="43" t="s">
        <v>383</v>
      </c>
    </row>
    <row r="1317" spans="1:14" ht="15.75" customHeight="1">
      <c r="A1317" s="41" t="s">
        <v>890</v>
      </c>
      <c r="B1317" s="41" t="s">
        <v>891</v>
      </c>
      <c r="C1317" s="41" t="s">
        <v>431</v>
      </c>
      <c r="D1317" s="41" t="s">
        <v>432</v>
      </c>
      <c r="E1317" s="41" t="s">
        <v>433</v>
      </c>
      <c r="F1317" s="42">
        <v>18</v>
      </c>
      <c r="G1317" s="41" t="s">
        <v>439</v>
      </c>
      <c r="H1317" s="43" t="s">
        <v>440</v>
      </c>
      <c r="I1317" s="44">
        <v>60</v>
      </c>
      <c r="J1317" s="41"/>
      <c r="K1317" s="44">
        <v>700</v>
      </c>
      <c r="L1317" s="41" t="s">
        <v>435</v>
      </c>
      <c r="M1317" s="44">
        <v>1</v>
      </c>
      <c r="N1317" s="43" t="s">
        <v>436</v>
      </c>
    </row>
    <row r="1318" spans="1:14" ht="15.75" customHeight="1">
      <c r="A1318" s="41" t="s">
        <v>890</v>
      </c>
      <c r="B1318" s="41" t="s">
        <v>891</v>
      </c>
      <c r="C1318" s="41" t="s">
        <v>431</v>
      </c>
      <c r="D1318" s="41" t="s">
        <v>432</v>
      </c>
      <c r="E1318" s="41" t="s">
        <v>433</v>
      </c>
      <c r="F1318" s="42">
        <v>19</v>
      </c>
      <c r="G1318" s="41" t="s">
        <v>368</v>
      </c>
      <c r="H1318" s="43" t="s">
        <v>434</v>
      </c>
      <c r="I1318" s="44">
        <v>60</v>
      </c>
      <c r="J1318" s="41"/>
      <c r="K1318" s="44">
        <v>1000</v>
      </c>
      <c r="L1318" s="41" t="s">
        <v>435</v>
      </c>
      <c r="M1318" s="44">
        <v>4</v>
      </c>
      <c r="N1318" s="43" t="s">
        <v>436</v>
      </c>
    </row>
    <row r="1319" spans="1:14" ht="15.75" customHeight="1">
      <c r="A1319" s="41" t="s">
        <v>892</v>
      </c>
      <c r="B1319" s="41" t="s">
        <v>893</v>
      </c>
      <c r="C1319" s="41" t="s">
        <v>431</v>
      </c>
      <c r="D1319" s="41" t="s">
        <v>432</v>
      </c>
      <c r="E1319" s="41" t="s">
        <v>433</v>
      </c>
      <c r="F1319" s="42">
        <v>19</v>
      </c>
      <c r="G1319" s="41" t="s">
        <v>368</v>
      </c>
      <c r="H1319" s="43" t="s">
        <v>434</v>
      </c>
      <c r="I1319" s="44">
        <v>60</v>
      </c>
      <c r="J1319" s="41"/>
      <c r="K1319" s="44">
        <v>500</v>
      </c>
      <c r="L1319" s="41" t="s">
        <v>435</v>
      </c>
      <c r="M1319" s="44">
        <v>3</v>
      </c>
      <c r="N1319" s="43" t="s">
        <v>436</v>
      </c>
    </row>
    <row r="1320" spans="1:14" ht="15.75" customHeight="1">
      <c r="A1320" s="41" t="s">
        <v>894</v>
      </c>
      <c r="B1320" s="41" t="s">
        <v>895</v>
      </c>
      <c r="C1320" s="41" t="s">
        <v>424</v>
      </c>
      <c r="D1320" s="41" t="s">
        <v>429</v>
      </c>
      <c r="E1320" s="41" t="s">
        <v>74</v>
      </c>
      <c r="F1320" s="42">
        <v>7</v>
      </c>
      <c r="G1320" s="41" t="s">
        <v>11</v>
      </c>
      <c r="H1320" s="43" t="s">
        <v>426</v>
      </c>
      <c r="I1320" s="44">
        <v>25</v>
      </c>
      <c r="J1320" s="44">
        <v>30</v>
      </c>
      <c r="K1320" s="41"/>
      <c r="L1320" s="45">
        <v>103000</v>
      </c>
      <c r="M1320" s="44">
        <v>1</v>
      </c>
      <c r="N1320" s="43" t="s">
        <v>383</v>
      </c>
    </row>
    <row r="1321" spans="1:14" ht="15.75" customHeight="1">
      <c r="A1321" s="41" t="s">
        <v>894</v>
      </c>
      <c r="B1321" s="41" t="s">
        <v>895</v>
      </c>
      <c r="C1321" s="41" t="s">
        <v>424</v>
      </c>
      <c r="D1321" s="41" t="s">
        <v>429</v>
      </c>
      <c r="E1321" s="41" t="s">
        <v>74</v>
      </c>
      <c r="F1321" s="42">
        <v>8</v>
      </c>
      <c r="G1321" s="41" t="s">
        <v>12</v>
      </c>
      <c r="H1321" s="43" t="s">
        <v>430</v>
      </c>
      <c r="I1321" s="44">
        <v>190</v>
      </c>
      <c r="J1321" s="44">
        <v>30</v>
      </c>
      <c r="K1321" s="41"/>
      <c r="L1321" s="45">
        <v>103000</v>
      </c>
      <c r="M1321" s="44">
        <v>1</v>
      </c>
      <c r="N1321" s="43" t="s">
        <v>383</v>
      </c>
    </row>
    <row r="1322" spans="1:14" ht="15.75" customHeight="1">
      <c r="A1322" s="41" t="s">
        <v>894</v>
      </c>
      <c r="B1322" s="41" t="s">
        <v>895</v>
      </c>
      <c r="C1322" s="41" t="s">
        <v>424</v>
      </c>
      <c r="D1322" s="41" t="s">
        <v>429</v>
      </c>
      <c r="E1322" s="41" t="s">
        <v>74</v>
      </c>
      <c r="F1322" s="42">
        <v>9</v>
      </c>
      <c r="G1322" s="41" t="s">
        <v>13</v>
      </c>
      <c r="H1322" s="43" t="s">
        <v>430</v>
      </c>
      <c r="I1322" s="44">
        <v>40</v>
      </c>
      <c r="J1322" s="44">
        <v>30</v>
      </c>
      <c r="K1322" s="41"/>
      <c r="L1322" s="45">
        <v>103000</v>
      </c>
      <c r="M1322" s="44">
        <v>1</v>
      </c>
      <c r="N1322" s="43" t="s">
        <v>383</v>
      </c>
    </row>
    <row r="1323" spans="1:14" ht="15.75" customHeight="1">
      <c r="A1323" s="41" t="s">
        <v>894</v>
      </c>
      <c r="B1323" s="41" t="s">
        <v>895</v>
      </c>
      <c r="C1323" s="41" t="s">
        <v>431</v>
      </c>
      <c r="D1323" s="41" t="s">
        <v>432</v>
      </c>
      <c r="E1323" s="41" t="s">
        <v>433</v>
      </c>
      <c r="F1323" s="42">
        <v>18</v>
      </c>
      <c r="G1323" s="41" t="s">
        <v>439</v>
      </c>
      <c r="H1323" s="43" t="s">
        <v>440</v>
      </c>
      <c r="I1323" s="44">
        <v>60</v>
      </c>
      <c r="J1323" s="41"/>
      <c r="K1323" s="44">
        <v>680</v>
      </c>
      <c r="L1323" s="41" t="s">
        <v>435</v>
      </c>
      <c r="M1323" s="44">
        <v>1</v>
      </c>
      <c r="N1323" s="43" t="s">
        <v>436</v>
      </c>
    </row>
    <row r="1324" spans="1:14" ht="15.75" customHeight="1">
      <c r="A1324" s="41" t="s">
        <v>894</v>
      </c>
      <c r="B1324" s="41" t="s">
        <v>895</v>
      </c>
      <c r="C1324" s="41" t="s">
        <v>431</v>
      </c>
      <c r="D1324" s="41" t="s">
        <v>432</v>
      </c>
      <c r="E1324" s="41" t="s">
        <v>433</v>
      </c>
      <c r="F1324" s="42">
        <v>19</v>
      </c>
      <c r="G1324" s="41" t="s">
        <v>368</v>
      </c>
      <c r="H1324" s="43" t="s">
        <v>434</v>
      </c>
      <c r="I1324" s="44">
        <v>60</v>
      </c>
      <c r="J1324" s="41"/>
      <c r="K1324" s="44">
        <v>750</v>
      </c>
      <c r="L1324" s="41" t="s">
        <v>435</v>
      </c>
      <c r="M1324" s="44">
        <v>4</v>
      </c>
      <c r="N1324" s="43" t="s">
        <v>436</v>
      </c>
    </row>
    <row r="1325" spans="1:14" ht="15.75" customHeight="1">
      <c r="A1325" s="41" t="s">
        <v>896</v>
      </c>
      <c r="B1325" s="41" t="s">
        <v>317</v>
      </c>
      <c r="C1325" s="41" t="s">
        <v>442</v>
      </c>
      <c r="D1325" s="41" t="s">
        <v>443</v>
      </c>
      <c r="E1325" s="41" t="s">
        <v>33</v>
      </c>
      <c r="F1325" s="42">
        <v>10</v>
      </c>
      <c r="G1325" s="41" t="s">
        <v>11</v>
      </c>
      <c r="H1325" s="43" t="s">
        <v>426</v>
      </c>
      <c r="I1325" s="44">
        <v>20</v>
      </c>
      <c r="J1325" s="44">
        <v>16.5</v>
      </c>
      <c r="K1325" s="41"/>
      <c r="L1325" s="45">
        <v>100000</v>
      </c>
      <c r="M1325" s="44">
        <v>1</v>
      </c>
      <c r="N1325" s="43" t="s">
        <v>383</v>
      </c>
    </row>
    <row r="1326" spans="1:14" ht="15.75" customHeight="1">
      <c r="A1326" s="41" t="s">
        <v>896</v>
      </c>
      <c r="B1326" s="41" t="s">
        <v>317</v>
      </c>
      <c r="C1326" s="41" t="s">
        <v>442</v>
      </c>
      <c r="D1326" s="41" t="s">
        <v>443</v>
      </c>
      <c r="E1326" s="41" t="s">
        <v>33</v>
      </c>
      <c r="F1326" s="42">
        <v>11</v>
      </c>
      <c r="G1326" s="41" t="s">
        <v>12</v>
      </c>
      <c r="H1326" s="43" t="s">
        <v>444</v>
      </c>
      <c r="I1326" s="44">
        <v>85</v>
      </c>
      <c r="J1326" s="44">
        <v>16.5</v>
      </c>
      <c r="K1326" s="41"/>
      <c r="L1326" s="45">
        <v>100000</v>
      </c>
      <c r="M1326" s="44">
        <v>1</v>
      </c>
      <c r="N1326" s="43" t="s">
        <v>383</v>
      </c>
    </row>
    <row r="1327" spans="1:14" ht="15.75" customHeight="1">
      <c r="A1327" s="41" t="s">
        <v>896</v>
      </c>
      <c r="B1327" s="41" t="s">
        <v>317</v>
      </c>
      <c r="C1327" s="41" t="s">
        <v>442</v>
      </c>
      <c r="D1327" s="41" t="s">
        <v>443</v>
      </c>
      <c r="E1327" s="41" t="s">
        <v>33</v>
      </c>
      <c r="F1327" s="42">
        <v>12</v>
      </c>
      <c r="G1327" s="41" t="s">
        <v>13</v>
      </c>
      <c r="H1327" s="43" t="s">
        <v>444</v>
      </c>
      <c r="I1327" s="44">
        <v>15</v>
      </c>
      <c r="J1327" s="44">
        <v>16.5</v>
      </c>
      <c r="K1327" s="41"/>
      <c r="L1327" s="45">
        <v>100000</v>
      </c>
      <c r="M1327" s="44">
        <v>1</v>
      </c>
      <c r="N1327" s="43" t="s">
        <v>383</v>
      </c>
    </row>
    <row r="1328" spans="1:14" ht="15.75" customHeight="1">
      <c r="A1328" s="41" t="s">
        <v>896</v>
      </c>
      <c r="B1328" s="41" t="s">
        <v>317</v>
      </c>
      <c r="C1328" s="41" t="s">
        <v>431</v>
      </c>
      <c r="D1328" s="41" t="s">
        <v>432</v>
      </c>
      <c r="E1328" s="41" t="s">
        <v>433</v>
      </c>
      <c r="F1328" s="42">
        <v>18</v>
      </c>
      <c r="G1328" s="41" t="s">
        <v>439</v>
      </c>
      <c r="H1328" s="43" t="s">
        <v>440</v>
      </c>
      <c r="I1328" s="44">
        <v>60</v>
      </c>
      <c r="J1328" s="41"/>
      <c r="K1328" s="44">
        <v>800</v>
      </c>
      <c r="L1328" s="41" t="s">
        <v>435</v>
      </c>
      <c r="M1328" s="44">
        <v>1</v>
      </c>
      <c r="N1328" s="43" t="s">
        <v>436</v>
      </c>
    </row>
    <row r="1329" spans="1:14" ht="15.75" customHeight="1">
      <c r="A1329" s="41" t="s">
        <v>896</v>
      </c>
      <c r="B1329" s="41" t="s">
        <v>317</v>
      </c>
      <c r="C1329" s="41" t="s">
        <v>431</v>
      </c>
      <c r="D1329" s="41" t="s">
        <v>432</v>
      </c>
      <c r="E1329" s="41" t="s">
        <v>433</v>
      </c>
      <c r="F1329" s="42">
        <v>19</v>
      </c>
      <c r="G1329" s="41" t="s">
        <v>368</v>
      </c>
      <c r="H1329" s="43" t="s">
        <v>434</v>
      </c>
      <c r="I1329" s="44">
        <v>60</v>
      </c>
      <c r="J1329" s="41"/>
      <c r="K1329" s="44">
        <v>850</v>
      </c>
      <c r="L1329" s="41" t="s">
        <v>435</v>
      </c>
      <c r="M1329" s="44">
        <v>3</v>
      </c>
      <c r="N1329" s="43" t="s">
        <v>436</v>
      </c>
    </row>
    <row r="1330" spans="1:14" ht="15.75" customHeight="1">
      <c r="A1330" s="41" t="s">
        <v>897</v>
      </c>
      <c r="B1330" s="41" t="s">
        <v>898</v>
      </c>
      <c r="C1330" s="41" t="s">
        <v>424</v>
      </c>
      <c r="D1330" s="41" t="s">
        <v>425</v>
      </c>
      <c r="E1330" s="41" t="s">
        <v>48</v>
      </c>
      <c r="F1330" s="42">
        <v>4</v>
      </c>
      <c r="G1330" s="41" t="s">
        <v>11</v>
      </c>
      <c r="H1330" s="43" t="s">
        <v>426</v>
      </c>
      <c r="I1330" s="44">
        <v>30</v>
      </c>
      <c r="J1330" s="44">
        <v>30</v>
      </c>
      <c r="K1330" s="41"/>
      <c r="L1330" s="45">
        <v>52000</v>
      </c>
      <c r="M1330" s="44">
        <v>1</v>
      </c>
      <c r="N1330" s="43" t="s">
        <v>383</v>
      </c>
    </row>
    <row r="1331" spans="1:14" ht="15.75" customHeight="1">
      <c r="A1331" s="41" t="s">
        <v>897</v>
      </c>
      <c r="B1331" s="41" t="s">
        <v>898</v>
      </c>
      <c r="C1331" s="41" t="s">
        <v>424</v>
      </c>
      <c r="D1331" s="41" t="s">
        <v>425</v>
      </c>
      <c r="E1331" s="41" t="s">
        <v>48</v>
      </c>
      <c r="F1331" s="42">
        <v>5</v>
      </c>
      <c r="G1331" s="41" t="s">
        <v>12</v>
      </c>
      <c r="H1331" s="43" t="s">
        <v>427</v>
      </c>
      <c r="I1331" s="44">
        <v>130</v>
      </c>
      <c r="J1331" s="44">
        <v>30</v>
      </c>
      <c r="K1331" s="41"/>
      <c r="L1331" s="45">
        <v>52000</v>
      </c>
      <c r="M1331" s="44">
        <v>1</v>
      </c>
      <c r="N1331" s="43" t="s">
        <v>383</v>
      </c>
    </row>
    <row r="1332" spans="1:14" ht="15.75" customHeight="1">
      <c r="A1332" s="41" t="s">
        <v>897</v>
      </c>
      <c r="B1332" s="41" t="s">
        <v>898</v>
      </c>
      <c r="C1332" s="41" t="s">
        <v>424</v>
      </c>
      <c r="D1332" s="41" t="s">
        <v>425</v>
      </c>
      <c r="E1332" s="41" t="s">
        <v>48</v>
      </c>
      <c r="F1332" s="42">
        <v>6</v>
      </c>
      <c r="G1332" s="41" t="s">
        <v>13</v>
      </c>
      <c r="H1332" s="43" t="s">
        <v>427</v>
      </c>
      <c r="I1332" s="44">
        <v>30</v>
      </c>
      <c r="J1332" s="44">
        <v>30</v>
      </c>
      <c r="K1332" s="41"/>
      <c r="L1332" s="45">
        <v>52000</v>
      </c>
      <c r="M1332" s="44">
        <v>1</v>
      </c>
      <c r="N1332" s="43" t="s">
        <v>383</v>
      </c>
    </row>
    <row r="1333" spans="1:14" ht="15.75" customHeight="1">
      <c r="A1333" s="41" t="s">
        <v>897</v>
      </c>
      <c r="B1333" s="41" t="s">
        <v>898</v>
      </c>
      <c r="C1333" s="41" t="s">
        <v>424</v>
      </c>
      <c r="D1333" s="41" t="s">
        <v>429</v>
      </c>
      <c r="E1333" s="41" t="s">
        <v>74</v>
      </c>
      <c r="F1333" s="42">
        <v>7</v>
      </c>
      <c r="G1333" s="41" t="s">
        <v>11</v>
      </c>
      <c r="H1333" s="43" t="s">
        <v>426</v>
      </c>
      <c r="I1333" s="44">
        <v>30</v>
      </c>
      <c r="J1333" s="44">
        <v>30</v>
      </c>
      <c r="K1333" s="41"/>
      <c r="L1333" s="45">
        <v>103000</v>
      </c>
      <c r="M1333" s="44">
        <v>1</v>
      </c>
      <c r="N1333" s="43" t="s">
        <v>383</v>
      </c>
    </row>
    <row r="1334" spans="1:14" ht="15.75" customHeight="1">
      <c r="A1334" s="41" t="s">
        <v>897</v>
      </c>
      <c r="B1334" s="41" t="s">
        <v>898</v>
      </c>
      <c r="C1334" s="41" t="s">
        <v>424</v>
      </c>
      <c r="D1334" s="41" t="s">
        <v>429</v>
      </c>
      <c r="E1334" s="41" t="s">
        <v>74</v>
      </c>
      <c r="F1334" s="42">
        <v>8</v>
      </c>
      <c r="G1334" s="41" t="s">
        <v>12</v>
      </c>
      <c r="H1334" s="43" t="s">
        <v>430</v>
      </c>
      <c r="I1334" s="44">
        <v>180</v>
      </c>
      <c r="J1334" s="44">
        <v>30</v>
      </c>
      <c r="K1334" s="41"/>
      <c r="L1334" s="45">
        <v>103000</v>
      </c>
      <c r="M1334" s="44">
        <v>1</v>
      </c>
      <c r="N1334" s="43" t="s">
        <v>383</v>
      </c>
    </row>
    <row r="1335" spans="1:14" ht="15.75" customHeight="1">
      <c r="A1335" s="41" t="s">
        <v>897</v>
      </c>
      <c r="B1335" s="41" t="s">
        <v>898</v>
      </c>
      <c r="C1335" s="41" t="s">
        <v>424</v>
      </c>
      <c r="D1335" s="41" t="s">
        <v>429</v>
      </c>
      <c r="E1335" s="41" t="s">
        <v>74</v>
      </c>
      <c r="F1335" s="42">
        <v>9</v>
      </c>
      <c r="G1335" s="41" t="s">
        <v>13</v>
      </c>
      <c r="H1335" s="43" t="s">
        <v>430</v>
      </c>
      <c r="I1335" s="44">
        <v>40</v>
      </c>
      <c r="J1335" s="44">
        <v>30</v>
      </c>
      <c r="K1335" s="41"/>
      <c r="L1335" s="45">
        <v>103000</v>
      </c>
      <c r="M1335" s="44">
        <v>1</v>
      </c>
      <c r="N1335" s="43" t="s">
        <v>383</v>
      </c>
    </row>
    <row r="1336" spans="1:14" ht="15.75" customHeight="1">
      <c r="A1336" s="41" t="s">
        <v>897</v>
      </c>
      <c r="B1336" s="41" t="s">
        <v>898</v>
      </c>
      <c r="C1336" s="41" t="s">
        <v>431</v>
      </c>
      <c r="D1336" s="41" t="s">
        <v>432</v>
      </c>
      <c r="E1336" s="41" t="s">
        <v>433</v>
      </c>
      <c r="F1336" s="42">
        <v>18</v>
      </c>
      <c r="G1336" s="41" t="s">
        <v>439</v>
      </c>
      <c r="H1336" s="43" t="s">
        <v>440</v>
      </c>
      <c r="I1336" s="44">
        <v>60</v>
      </c>
      <c r="J1336" s="41"/>
      <c r="K1336" s="44">
        <v>680</v>
      </c>
      <c r="L1336" s="41" t="s">
        <v>435</v>
      </c>
      <c r="M1336" s="44">
        <v>1</v>
      </c>
      <c r="N1336" s="43" t="s">
        <v>436</v>
      </c>
    </row>
    <row r="1337" spans="1:14" ht="15.75" customHeight="1">
      <c r="A1337" s="41" t="s">
        <v>897</v>
      </c>
      <c r="B1337" s="41" t="s">
        <v>898</v>
      </c>
      <c r="C1337" s="41" t="s">
        <v>431</v>
      </c>
      <c r="D1337" s="41" t="s">
        <v>432</v>
      </c>
      <c r="E1337" s="41" t="s">
        <v>433</v>
      </c>
      <c r="F1337" s="42">
        <v>19</v>
      </c>
      <c r="G1337" s="41" t="s">
        <v>368</v>
      </c>
      <c r="H1337" s="43" t="s">
        <v>434</v>
      </c>
      <c r="I1337" s="44">
        <v>60</v>
      </c>
      <c r="J1337" s="41"/>
      <c r="K1337" s="44">
        <v>750</v>
      </c>
      <c r="L1337" s="41" t="s">
        <v>435</v>
      </c>
      <c r="M1337" s="44">
        <v>4</v>
      </c>
      <c r="N1337" s="43" t="s">
        <v>436</v>
      </c>
    </row>
    <row r="1338" spans="1:14" ht="15.75" customHeight="1">
      <c r="A1338" s="41" t="s">
        <v>899</v>
      </c>
      <c r="B1338" s="41" t="s">
        <v>900</v>
      </c>
      <c r="C1338" s="41" t="s">
        <v>424</v>
      </c>
      <c r="D1338" s="41" t="s">
        <v>425</v>
      </c>
      <c r="E1338" s="41" t="s">
        <v>48</v>
      </c>
      <c r="F1338" s="42">
        <v>4</v>
      </c>
      <c r="G1338" s="41" t="s">
        <v>11</v>
      </c>
      <c r="H1338" s="43" t="s">
        <v>426</v>
      </c>
      <c r="I1338" s="44">
        <v>25</v>
      </c>
      <c r="J1338" s="44">
        <v>15.2</v>
      </c>
      <c r="K1338" s="41"/>
      <c r="L1338" s="45">
        <v>52000</v>
      </c>
      <c r="M1338" s="44">
        <v>1</v>
      </c>
      <c r="N1338" s="43" t="s">
        <v>383</v>
      </c>
    </row>
    <row r="1339" spans="1:14" ht="15.75" customHeight="1">
      <c r="A1339" s="41" t="s">
        <v>899</v>
      </c>
      <c r="B1339" s="41" t="s">
        <v>900</v>
      </c>
      <c r="C1339" s="41" t="s">
        <v>424</v>
      </c>
      <c r="D1339" s="41" t="s">
        <v>425</v>
      </c>
      <c r="E1339" s="41" t="s">
        <v>48</v>
      </c>
      <c r="F1339" s="42">
        <v>5</v>
      </c>
      <c r="G1339" s="41" t="s">
        <v>12</v>
      </c>
      <c r="H1339" s="43" t="s">
        <v>427</v>
      </c>
      <c r="I1339" s="44">
        <v>90</v>
      </c>
      <c r="J1339" s="44">
        <v>15.2</v>
      </c>
      <c r="K1339" s="41"/>
      <c r="L1339" s="45">
        <v>52000</v>
      </c>
      <c r="M1339" s="44">
        <v>1</v>
      </c>
      <c r="N1339" s="43" t="s">
        <v>383</v>
      </c>
    </row>
    <row r="1340" spans="1:14" ht="15.75" customHeight="1">
      <c r="A1340" s="41" t="s">
        <v>899</v>
      </c>
      <c r="B1340" s="41" t="s">
        <v>900</v>
      </c>
      <c r="C1340" s="41" t="s">
        <v>424</v>
      </c>
      <c r="D1340" s="41" t="s">
        <v>425</v>
      </c>
      <c r="E1340" s="41" t="s">
        <v>48</v>
      </c>
      <c r="F1340" s="42">
        <v>6</v>
      </c>
      <c r="G1340" s="41" t="s">
        <v>13</v>
      </c>
      <c r="H1340" s="43" t="s">
        <v>427</v>
      </c>
      <c r="I1340" s="44">
        <v>20</v>
      </c>
      <c r="J1340" s="44">
        <v>15.2</v>
      </c>
      <c r="K1340" s="41"/>
      <c r="L1340" s="45">
        <v>52000</v>
      </c>
      <c r="M1340" s="44">
        <v>1</v>
      </c>
      <c r="N1340" s="43" t="s">
        <v>383</v>
      </c>
    </row>
    <row r="1341" spans="1:14" ht="15.75" customHeight="1">
      <c r="A1341" s="41" t="s">
        <v>899</v>
      </c>
      <c r="B1341" s="41" t="s">
        <v>900</v>
      </c>
      <c r="C1341" s="41" t="s">
        <v>431</v>
      </c>
      <c r="D1341" s="41" t="s">
        <v>432</v>
      </c>
      <c r="E1341" s="41" t="s">
        <v>433</v>
      </c>
      <c r="F1341" s="42">
        <v>18</v>
      </c>
      <c r="G1341" s="41" t="s">
        <v>439</v>
      </c>
      <c r="H1341" s="43" t="s">
        <v>440</v>
      </c>
      <c r="I1341" s="44">
        <v>60</v>
      </c>
      <c r="J1341" s="41"/>
      <c r="K1341" s="44">
        <v>800</v>
      </c>
      <c r="L1341" s="41" t="s">
        <v>435</v>
      </c>
      <c r="M1341" s="44">
        <v>1</v>
      </c>
      <c r="N1341" s="43" t="s">
        <v>436</v>
      </c>
    </row>
    <row r="1342" spans="1:14" ht="15.75" customHeight="1">
      <c r="A1342" s="41" t="s">
        <v>899</v>
      </c>
      <c r="B1342" s="41" t="s">
        <v>900</v>
      </c>
      <c r="C1342" s="41" t="s">
        <v>431</v>
      </c>
      <c r="D1342" s="41" t="s">
        <v>432</v>
      </c>
      <c r="E1342" s="41" t="s">
        <v>433</v>
      </c>
      <c r="F1342" s="42">
        <v>19</v>
      </c>
      <c r="G1342" s="41" t="s">
        <v>368</v>
      </c>
      <c r="H1342" s="43" t="s">
        <v>434</v>
      </c>
      <c r="I1342" s="44">
        <v>60</v>
      </c>
      <c r="J1342" s="41"/>
      <c r="K1342" s="44">
        <v>950</v>
      </c>
      <c r="L1342" s="41" t="s">
        <v>435</v>
      </c>
      <c r="M1342" s="44">
        <v>4</v>
      </c>
      <c r="N1342" s="43" t="s">
        <v>436</v>
      </c>
    </row>
    <row r="1343" spans="1:14" ht="15.75" customHeight="1">
      <c r="A1343" s="41" t="s">
        <v>901</v>
      </c>
      <c r="B1343" s="41" t="s">
        <v>902</v>
      </c>
      <c r="C1343" s="41" t="s">
        <v>442</v>
      </c>
      <c r="D1343" s="41" t="s">
        <v>443</v>
      </c>
      <c r="E1343" s="41" t="s">
        <v>33</v>
      </c>
      <c r="F1343" s="42">
        <v>10</v>
      </c>
      <c r="G1343" s="41" t="s">
        <v>11</v>
      </c>
      <c r="H1343" s="43" t="s">
        <v>426</v>
      </c>
      <c r="I1343" s="44">
        <v>25</v>
      </c>
      <c r="J1343" s="44">
        <v>34.4</v>
      </c>
      <c r="K1343" s="41"/>
      <c r="L1343" s="45">
        <v>103000</v>
      </c>
      <c r="M1343" s="44">
        <v>1</v>
      </c>
      <c r="N1343" s="43" t="s">
        <v>383</v>
      </c>
    </row>
    <row r="1344" spans="1:14" ht="15.75" customHeight="1">
      <c r="A1344" s="41" t="s">
        <v>901</v>
      </c>
      <c r="B1344" s="41" t="s">
        <v>902</v>
      </c>
      <c r="C1344" s="41" t="s">
        <v>442</v>
      </c>
      <c r="D1344" s="41" t="s">
        <v>443</v>
      </c>
      <c r="E1344" s="41" t="s">
        <v>33</v>
      </c>
      <c r="F1344" s="42">
        <v>11</v>
      </c>
      <c r="G1344" s="41" t="s">
        <v>12</v>
      </c>
      <c r="H1344" s="43" t="s">
        <v>444</v>
      </c>
      <c r="I1344" s="44">
        <v>105</v>
      </c>
      <c r="J1344" s="44">
        <v>34.4</v>
      </c>
      <c r="K1344" s="41"/>
      <c r="L1344" s="45">
        <v>103000</v>
      </c>
      <c r="M1344" s="44">
        <v>1</v>
      </c>
      <c r="N1344" s="43" t="s">
        <v>383</v>
      </c>
    </row>
    <row r="1345" spans="1:14" ht="15.75" customHeight="1">
      <c r="A1345" s="41" t="s">
        <v>901</v>
      </c>
      <c r="B1345" s="41" t="s">
        <v>902</v>
      </c>
      <c r="C1345" s="41" t="s">
        <v>442</v>
      </c>
      <c r="D1345" s="41" t="s">
        <v>443</v>
      </c>
      <c r="E1345" s="41" t="s">
        <v>33</v>
      </c>
      <c r="F1345" s="42">
        <v>12</v>
      </c>
      <c r="G1345" s="41" t="s">
        <v>13</v>
      </c>
      <c r="H1345" s="43" t="s">
        <v>444</v>
      </c>
      <c r="I1345" s="44">
        <v>15</v>
      </c>
      <c r="J1345" s="44">
        <v>34.4</v>
      </c>
      <c r="K1345" s="41"/>
      <c r="L1345" s="45">
        <v>103000</v>
      </c>
      <c r="M1345" s="44">
        <v>1</v>
      </c>
      <c r="N1345" s="43" t="s">
        <v>383</v>
      </c>
    </row>
    <row r="1346" spans="1:14" ht="15.75" customHeight="1">
      <c r="A1346" s="41" t="s">
        <v>901</v>
      </c>
      <c r="B1346" s="41" t="s">
        <v>902</v>
      </c>
      <c r="C1346" s="41" t="s">
        <v>431</v>
      </c>
      <c r="D1346" s="41" t="s">
        <v>432</v>
      </c>
      <c r="E1346" s="41" t="s">
        <v>433</v>
      </c>
      <c r="F1346" s="42">
        <v>18</v>
      </c>
      <c r="G1346" s="41" t="s">
        <v>439</v>
      </c>
      <c r="H1346" s="43" t="s">
        <v>440</v>
      </c>
      <c r="I1346" s="44">
        <v>60</v>
      </c>
      <c r="J1346" s="41"/>
      <c r="K1346" s="44">
        <v>660</v>
      </c>
      <c r="L1346" s="41" t="s">
        <v>435</v>
      </c>
      <c r="M1346" s="44">
        <v>1</v>
      </c>
      <c r="N1346" s="43" t="s">
        <v>436</v>
      </c>
    </row>
    <row r="1347" spans="1:14" ht="15.75" customHeight="1">
      <c r="A1347" s="41" t="s">
        <v>901</v>
      </c>
      <c r="B1347" s="41" t="s">
        <v>902</v>
      </c>
      <c r="C1347" s="41" t="s">
        <v>431</v>
      </c>
      <c r="D1347" s="41" t="s">
        <v>432</v>
      </c>
      <c r="E1347" s="41" t="s">
        <v>433</v>
      </c>
      <c r="F1347" s="42">
        <v>19</v>
      </c>
      <c r="G1347" s="41" t="s">
        <v>368</v>
      </c>
      <c r="H1347" s="43" t="s">
        <v>434</v>
      </c>
      <c r="I1347" s="44">
        <v>60</v>
      </c>
      <c r="J1347" s="41"/>
      <c r="K1347" s="44">
        <v>1200</v>
      </c>
      <c r="L1347" s="41" t="s">
        <v>435</v>
      </c>
      <c r="M1347" s="44">
        <v>4</v>
      </c>
      <c r="N1347" s="43" t="s">
        <v>436</v>
      </c>
    </row>
    <row r="1348" spans="1:14" ht="15.75" customHeight="1">
      <c r="A1348" s="41" t="s">
        <v>903</v>
      </c>
      <c r="B1348" s="41" t="s">
        <v>904</v>
      </c>
      <c r="C1348" s="41" t="s">
        <v>424</v>
      </c>
      <c r="D1348" s="41" t="s">
        <v>425</v>
      </c>
      <c r="E1348" s="41" t="s">
        <v>48</v>
      </c>
      <c r="F1348" s="42">
        <v>4</v>
      </c>
      <c r="G1348" s="41" t="s">
        <v>11</v>
      </c>
      <c r="H1348" s="43" t="s">
        <v>426</v>
      </c>
      <c r="I1348" s="44">
        <v>25</v>
      </c>
      <c r="J1348" s="44">
        <v>30</v>
      </c>
      <c r="K1348" s="41"/>
      <c r="L1348" s="45">
        <v>52000</v>
      </c>
      <c r="M1348" s="44">
        <v>1</v>
      </c>
      <c r="N1348" s="43" t="s">
        <v>383</v>
      </c>
    </row>
    <row r="1349" spans="1:14" ht="15.75" customHeight="1">
      <c r="A1349" s="41" t="s">
        <v>903</v>
      </c>
      <c r="B1349" s="41" t="s">
        <v>904</v>
      </c>
      <c r="C1349" s="41" t="s">
        <v>424</v>
      </c>
      <c r="D1349" s="41" t="s">
        <v>425</v>
      </c>
      <c r="E1349" s="41" t="s">
        <v>48</v>
      </c>
      <c r="F1349" s="42">
        <v>5</v>
      </c>
      <c r="G1349" s="41" t="s">
        <v>12</v>
      </c>
      <c r="H1349" s="43" t="s">
        <v>427</v>
      </c>
      <c r="I1349" s="44">
        <v>130</v>
      </c>
      <c r="J1349" s="44">
        <v>30</v>
      </c>
      <c r="K1349" s="41"/>
      <c r="L1349" s="45">
        <v>52000</v>
      </c>
      <c r="M1349" s="44">
        <v>1</v>
      </c>
      <c r="N1349" s="43" t="s">
        <v>383</v>
      </c>
    </row>
    <row r="1350" spans="1:14" ht="15.75" customHeight="1">
      <c r="A1350" s="41" t="s">
        <v>903</v>
      </c>
      <c r="B1350" s="41" t="s">
        <v>904</v>
      </c>
      <c r="C1350" s="41" t="s">
        <v>424</v>
      </c>
      <c r="D1350" s="41" t="s">
        <v>425</v>
      </c>
      <c r="E1350" s="41" t="s">
        <v>48</v>
      </c>
      <c r="F1350" s="42">
        <v>6</v>
      </c>
      <c r="G1350" s="41" t="s">
        <v>13</v>
      </c>
      <c r="H1350" s="43" t="s">
        <v>427</v>
      </c>
      <c r="I1350" s="44">
        <v>30</v>
      </c>
      <c r="J1350" s="44">
        <v>30</v>
      </c>
      <c r="K1350" s="41"/>
      <c r="L1350" s="45">
        <v>52000</v>
      </c>
      <c r="M1350" s="44">
        <v>1</v>
      </c>
      <c r="N1350" s="43" t="s">
        <v>383</v>
      </c>
    </row>
    <row r="1351" spans="1:14" ht="15.75" customHeight="1">
      <c r="A1351" s="41" t="s">
        <v>903</v>
      </c>
      <c r="B1351" s="41" t="s">
        <v>904</v>
      </c>
      <c r="C1351" s="41" t="s">
        <v>431</v>
      </c>
      <c r="D1351" s="41" t="s">
        <v>432</v>
      </c>
      <c r="E1351" s="41" t="s">
        <v>433</v>
      </c>
      <c r="F1351" s="42">
        <v>18</v>
      </c>
      <c r="G1351" s="41" t="s">
        <v>439</v>
      </c>
      <c r="H1351" s="43" t="s">
        <v>440</v>
      </c>
      <c r="I1351" s="44">
        <v>60</v>
      </c>
      <c r="J1351" s="41"/>
      <c r="K1351" s="44">
        <v>800</v>
      </c>
      <c r="L1351" s="41" t="s">
        <v>435</v>
      </c>
      <c r="M1351" s="44">
        <v>1</v>
      </c>
      <c r="N1351" s="43" t="s">
        <v>436</v>
      </c>
    </row>
    <row r="1352" spans="1:14" ht="15.75" customHeight="1">
      <c r="A1352" s="41" t="s">
        <v>903</v>
      </c>
      <c r="B1352" s="41" t="s">
        <v>904</v>
      </c>
      <c r="C1352" s="41" t="s">
        <v>431</v>
      </c>
      <c r="D1352" s="41" t="s">
        <v>432</v>
      </c>
      <c r="E1352" s="41" t="s">
        <v>433</v>
      </c>
      <c r="F1352" s="42">
        <v>19</v>
      </c>
      <c r="G1352" s="41" t="s">
        <v>368</v>
      </c>
      <c r="H1352" s="43" t="s">
        <v>434</v>
      </c>
      <c r="I1352" s="44">
        <v>60</v>
      </c>
      <c r="J1352" s="41"/>
      <c r="K1352" s="44">
        <v>900</v>
      </c>
      <c r="L1352" s="41" t="s">
        <v>435</v>
      </c>
      <c r="M1352" s="44">
        <v>4</v>
      </c>
      <c r="N1352" s="43" t="s">
        <v>436</v>
      </c>
    </row>
    <row r="1353" spans="1:14" ht="15.75" customHeight="1">
      <c r="A1353" s="41" t="s">
        <v>905</v>
      </c>
      <c r="B1353" s="41" t="s">
        <v>906</v>
      </c>
      <c r="C1353" s="41" t="s">
        <v>499</v>
      </c>
      <c r="D1353" s="41" t="s">
        <v>443</v>
      </c>
      <c r="E1353" s="41" t="s">
        <v>33</v>
      </c>
      <c r="F1353" s="42">
        <v>11</v>
      </c>
      <c r="G1353" s="41" t="s">
        <v>12</v>
      </c>
      <c r="H1353" s="43" t="s">
        <v>444</v>
      </c>
      <c r="I1353" s="44">
        <v>75</v>
      </c>
      <c r="J1353" s="44">
        <v>15</v>
      </c>
      <c r="K1353" s="41"/>
      <c r="L1353" s="45">
        <v>56000</v>
      </c>
      <c r="M1353" s="44">
        <v>1</v>
      </c>
      <c r="N1353" s="43" t="s">
        <v>383</v>
      </c>
    </row>
    <row r="1354" spans="1:14" ht="15.75" customHeight="1">
      <c r="A1354" s="41" t="s">
        <v>905</v>
      </c>
      <c r="B1354" s="41" t="s">
        <v>906</v>
      </c>
      <c r="C1354" s="41" t="s">
        <v>499</v>
      </c>
      <c r="D1354" s="41" t="s">
        <v>443</v>
      </c>
      <c r="E1354" s="41" t="s">
        <v>33</v>
      </c>
      <c r="F1354" s="42">
        <v>12</v>
      </c>
      <c r="G1354" s="41" t="s">
        <v>13</v>
      </c>
      <c r="H1354" s="43" t="s">
        <v>444</v>
      </c>
      <c r="I1354" s="44">
        <v>15</v>
      </c>
      <c r="J1354" s="44">
        <v>15</v>
      </c>
      <c r="K1354" s="41"/>
      <c r="L1354" s="45">
        <v>56000</v>
      </c>
      <c r="M1354" s="44">
        <v>1</v>
      </c>
      <c r="N1354" s="43" t="s">
        <v>383</v>
      </c>
    </row>
    <row r="1355" spans="1:14" ht="15.75" customHeight="1">
      <c r="A1355" s="41" t="s">
        <v>905</v>
      </c>
      <c r="B1355" s="41" t="s">
        <v>906</v>
      </c>
      <c r="C1355" s="41" t="s">
        <v>708</v>
      </c>
      <c r="D1355" s="41" t="s">
        <v>443</v>
      </c>
      <c r="E1355" s="41" t="s">
        <v>33</v>
      </c>
      <c r="F1355" s="42">
        <v>11</v>
      </c>
      <c r="G1355" s="41" t="s">
        <v>12</v>
      </c>
      <c r="H1355" s="43" t="s">
        <v>444</v>
      </c>
      <c r="I1355" s="44">
        <v>335</v>
      </c>
      <c r="J1355" s="44">
        <v>15</v>
      </c>
      <c r="K1355" s="41"/>
      <c r="L1355" s="45">
        <v>56000</v>
      </c>
      <c r="M1355" s="44">
        <v>1</v>
      </c>
      <c r="N1355" s="43" t="s">
        <v>383</v>
      </c>
    </row>
    <row r="1356" spans="1:14" ht="15.75" customHeight="1">
      <c r="A1356" s="41" t="s">
        <v>905</v>
      </c>
      <c r="B1356" s="41" t="s">
        <v>906</v>
      </c>
      <c r="C1356" s="41" t="s">
        <v>708</v>
      </c>
      <c r="D1356" s="41" t="s">
        <v>443</v>
      </c>
      <c r="E1356" s="41" t="s">
        <v>33</v>
      </c>
      <c r="F1356" s="42">
        <v>12</v>
      </c>
      <c r="G1356" s="41" t="s">
        <v>13</v>
      </c>
      <c r="H1356" s="43" t="s">
        <v>444</v>
      </c>
      <c r="I1356" s="44">
        <v>30</v>
      </c>
      <c r="J1356" s="44">
        <v>15</v>
      </c>
      <c r="K1356" s="41"/>
      <c r="L1356" s="45">
        <v>56000</v>
      </c>
      <c r="M1356" s="44">
        <v>1</v>
      </c>
      <c r="N1356" s="43" t="s">
        <v>383</v>
      </c>
    </row>
    <row r="1357" spans="1:14" ht="15.75" customHeight="1">
      <c r="A1357" s="41" t="s">
        <v>905</v>
      </c>
      <c r="B1357" s="41" t="s">
        <v>906</v>
      </c>
      <c r="C1357" s="41" t="s">
        <v>431</v>
      </c>
      <c r="D1357" s="41" t="s">
        <v>432</v>
      </c>
      <c r="E1357" s="41" t="s">
        <v>433</v>
      </c>
      <c r="F1357" s="42">
        <v>18</v>
      </c>
      <c r="G1357" s="41" t="s">
        <v>439</v>
      </c>
      <c r="H1357" s="43" t="s">
        <v>440</v>
      </c>
      <c r="I1357" s="44">
        <v>60</v>
      </c>
      <c r="J1357" s="41"/>
      <c r="K1357" s="44">
        <v>800</v>
      </c>
      <c r="L1357" s="41" t="s">
        <v>435</v>
      </c>
      <c r="M1357" s="44">
        <v>1</v>
      </c>
      <c r="N1357" s="43" t="s">
        <v>436</v>
      </c>
    </row>
    <row r="1358" spans="1:14" ht="15.75" customHeight="1">
      <c r="A1358" s="41" t="s">
        <v>905</v>
      </c>
      <c r="B1358" s="41" t="s">
        <v>906</v>
      </c>
      <c r="C1358" s="41" t="s">
        <v>431</v>
      </c>
      <c r="D1358" s="41" t="s">
        <v>432</v>
      </c>
      <c r="E1358" s="41" t="s">
        <v>433</v>
      </c>
      <c r="F1358" s="42">
        <v>19</v>
      </c>
      <c r="G1358" s="41" t="s">
        <v>368</v>
      </c>
      <c r="H1358" s="43" t="s">
        <v>434</v>
      </c>
      <c r="I1358" s="44">
        <v>60</v>
      </c>
      <c r="J1358" s="41"/>
      <c r="K1358" s="44">
        <v>570</v>
      </c>
      <c r="L1358" s="41" t="s">
        <v>435</v>
      </c>
      <c r="M1358" s="44">
        <v>4</v>
      </c>
      <c r="N1358" s="43" t="s">
        <v>436</v>
      </c>
    </row>
    <row r="1359" spans="1:14" ht="15.75" customHeight="1">
      <c r="A1359" s="41" t="s">
        <v>907</v>
      </c>
      <c r="B1359" s="41" t="s">
        <v>908</v>
      </c>
      <c r="C1359" s="41" t="s">
        <v>424</v>
      </c>
      <c r="D1359" s="41" t="s">
        <v>425</v>
      </c>
      <c r="E1359" s="41" t="s">
        <v>48</v>
      </c>
      <c r="F1359" s="42">
        <v>4</v>
      </c>
      <c r="G1359" s="41" t="s">
        <v>11</v>
      </c>
      <c r="H1359" s="43" t="s">
        <v>426</v>
      </c>
      <c r="I1359" s="44">
        <v>20</v>
      </c>
      <c r="J1359" s="44">
        <v>35.4</v>
      </c>
      <c r="K1359" s="41"/>
      <c r="L1359" s="45">
        <v>52000</v>
      </c>
      <c r="M1359" s="44">
        <v>1</v>
      </c>
      <c r="N1359" s="43" t="s">
        <v>383</v>
      </c>
    </row>
    <row r="1360" spans="1:14" ht="15.75" customHeight="1">
      <c r="A1360" s="41" t="s">
        <v>907</v>
      </c>
      <c r="B1360" s="41" t="s">
        <v>908</v>
      </c>
      <c r="C1360" s="41" t="s">
        <v>424</v>
      </c>
      <c r="D1360" s="41" t="s">
        <v>425</v>
      </c>
      <c r="E1360" s="41" t="s">
        <v>48</v>
      </c>
      <c r="F1360" s="42">
        <v>5</v>
      </c>
      <c r="G1360" s="41" t="s">
        <v>12</v>
      </c>
      <c r="H1360" s="43" t="s">
        <v>427</v>
      </c>
      <c r="I1360" s="44">
        <v>140</v>
      </c>
      <c r="J1360" s="44">
        <v>35.4</v>
      </c>
      <c r="K1360" s="41"/>
      <c r="L1360" s="45">
        <v>52000</v>
      </c>
      <c r="M1360" s="44">
        <v>1</v>
      </c>
      <c r="N1360" s="43" t="s">
        <v>383</v>
      </c>
    </row>
    <row r="1361" spans="1:14" ht="15.75" customHeight="1">
      <c r="A1361" s="41" t="s">
        <v>907</v>
      </c>
      <c r="B1361" s="41" t="s">
        <v>908</v>
      </c>
      <c r="C1361" s="41" t="s">
        <v>424</v>
      </c>
      <c r="D1361" s="41" t="s">
        <v>425</v>
      </c>
      <c r="E1361" s="41" t="s">
        <v>48</v>
      </c>
      <c r="F1361" s="42">
        <v>6</v>
      </c>
      <c r="G1361" s="41" t="s">
        <v>13</v>
      </c>
      <c r="H1361" s="43" t="s">
        <v>427</v>
      </c>
      <c r="I1361" s="44">
        <v>90</v>
      </c>
      <c r="J1361" s="44">
        <v>35.4</v>
      </c>
      <c r="K1361" s="41"/>
      <c r="L1361" s="45">
        <v>52000</v>
      </c>
      <c r="M1361" s="44">
        <v>1</v>
      </c>
      <c r="N1361" s="43" t="s">
        <v>383</v>
      </c>
    </row>
    <row r="1362" spans="1:14" ht="15.75" customHeight="1">
      <c r="A1362" s="41" t="s">
        <v>907</v>
      </c>
      <c r="B1362" s="41" t="s">
        <v>908</v>
      </c>
      <c r="C1362" s="41" t="s">
        <v>431</v>
      </c>
      <c r="D1362" s="41" t="s">
        <v>432</v>
      </c>
      <c r="E1362" s="41" t="s">
        <v>433</v>
      </c>
      <c r="F1362" s="42">
        <v>19</v>
      </c>
      <c r="G1362" s="41" t="s">
        <v>368</v>
      </c>
      <c r="H1362" s="43" t="s">
        <v>434</v>
      </c>
      <c r="I1362" s="44">
        <v>60</v>
      </c>
      <c r="J1362" s="41"/>
      <c r="K1362" s="44">
        <v>1100</v>
      </c>
      <c r="L1362" s="41" t="s">
        <v>435</v>
      </c>
      <c r="M1362" s="44">
        <v>4</v>
      </c>
      <c r="N1362" s="43" t="s">
        <v>436</v>
      </c>
    </row>
    <row r="1363" spans="1:14" ht="15.75" customHeight="1">
      <c r="A1363" s="41" t="s">
        <v>909</v>
      </c>
      <c r="B1363" s="41" t="s">
        <v>910</v>
      </c>
      <c r="C1363" s="41" t="s">
        <v>424</v>
      </c>
      <c r="D1363" s="41" t="s">
        <v>425</v>
      </c>
      <c r="E1363" s="41" t="s">
        <v>48</v>
      </c>
      <c r="F1363" s="42">
        <v>4</v>
      </c>
      <c r="G1363" s="41" t="s">
        <v>11</v>
      </c>
      <c r="H1363" s="43" t="s">
        <v>426</v>
      </c>
      <c r="I1363" s="44">
        <v>20</v>
      </c>
      <c r="J1363" s="44">
        <v>35.4</v>
      </c>
      <c r="K1363" s="41"/>
      <c r="L1363" s="45">
        <v>52000</v>
      </c>
      <c r="M1363" s="44">
        <v>1</v>
      </c>
      <c r="N1363" s="43" t="s">
        <v>383</v>
      </c>
    </row>
    <row r="1364" spans="1:14" ht="15.75" customHeight="1">
      <c r="A1364" s="41" t="s">
        <v>909</v>
      </c>
      <c r="B1364" s="41" t="s">
        <v>910</v>
      </c>
      <c r="C1364" s="41" t="s">
        <v>424</v>
      </c>
      <c r="D1364" s="41" t="s">
        <v>425</v>
      </c>
      <c r="E1364" s="41" t="s">
        <v>48</v>
      </c>
      <c r="F1364" s="42">
        <v>5</v>
      </c>
      <c r="G1364" s="41" t="s">
        <v>12</v>
      </c>
      <c r="H1364" s="43" t="s">
        <v>427</v>
      </c>
      <c r="I1364" s="44">
        <v>140</v>
      </c>
      <c r="J1364" s="44">
        <v>35.4</v>
      </c>
      <c r="K1364" s="41"/>
      <c r="L1364" s="45">
        <v>52000</v>
      </c>
      <c r="M1364" s="44">
        <v>1</v>
      </c>
      <c r="N1364" s="43" t="s">
        <v>383</v>
      </c>
    </row>
    <row r="1365" spans="1:14" ht="15.75" customHeight="1">
      <c r="A1365" s="41" t="s">
        <v>909</v>
      </c>
      <c r="B1365" s="41" t="s">
        <v>910</v>
      </c>
      <c r="C1365" s="41" t="s">
        <v>424</v>
      </c>
      <c r="D1365" s="41" t="s">
        <v>425</v>
      </c>
      <c r="E1365" s="41" t="s">
        <v>48</v>
      </c>
      <c r="F1365" s="42">
        <v>6</v>
      </c>
      <c r="G1365" s="41" t="s">
        <v>13</v>
      </c>
      <c r="H1365" s="43" t="s">
        <v>427</v>
      </c>
      <c r="I1365" s="44">
        <v>90</v>
      </c>
      <c r="J1365" s="44">
        <v>35.4</v>
      </c>
      <c r="K1365" s="41"/>
      <c r="L1365" s="45">
        <v>52000</v>
      </c>
      <c r="M1365" s="44">
        <v>1</v>
      </c>
      <c r="N1365" s="43" t="s">
        <v>383</v>
      </c>
    </row>
    <row r="1366" spans="1:14" ht="15.75" customHeight="1">
      <c r="A1366" s="41" t="s">
        <v>909</v>
      </c>
      <c r="B1366" s="41" t="s">
        <v>910</v>
      </c>
      <c r="C1366" s="41" t="s">
        <v>431</v>
      </c>
      <c r="D1366" s="41" t="s">
        <v>432</v>
      </c>
      <c r="E1366" s="41" t="s">
        <v>433</v>
      </c>
      <c r="F1366" s="42">
        <v>19</v>
      </c>
      <c r="G1366" s="41" t="s">
        <v>368</v>
      </c>
      <c r="H1366" s="43" t="s">
        <v>434</v>
      </c>
      <c r="I1366" s="44">
        <v>60</v>
      </c>
      <c r="J1366" s="41"/>
      <c r="K1366" s="44">
        <v>900</v>
      </c>
      <c r="L1366" s="41" t="s">
        <v>435</v>
      </c>
      <c r="M1366" s="44">
        <v>4</v>
      </c>
      <c r="N1366" s="43" t="s">
        <v>436</v>
      </c>
    </row>
    <row r="1367" spans="1:14" ht="15.75" customHeight="1">
      <c r="A1367" s="41" t="s">
        <v>911</v>
      </c>
      <c r="B1367" s="41" t="s">
        <v>912</v>
      </c>
      <c r="C1367" s="41" t="s">
        <v>431</v>
      </c>
      <c r="D1367" s="41" t="s">
        <v>432</v>
      </c>
      <c r="E1367" s="41" t="s">
        <v>433</v>
      </c>
      <c r="F1367" s="42">
        <v>19</v>
      </c>
      <c r="G1367" s="41" t="s">
        <v>368</v>
      </c>
      <c r="H1367" s="43" t="s">
        <v>434</v>
      </c>
      <c r="I1367" s="44">
        <v>60</v>
      </c>
      <c r="J1367" s="41"/>
      <c r="K1367" s="44">
        <v>500</v>
      </c>
      <c r="L1367" s="41" t="s">
        <v>435</v>
      </c>
      <c r="M1367" s="44">
        <v>3</v>
      </c>
      <c r="N1367" s="43" t="s">
        <v>436</v>
      </c>
    </row>
    <row r="1368" spans="1:14" ht="15.75" customHeight="1">
      <c r="A1368" s="41" t="s">
        <v>913</v>
      </c>
      <c r="B1368" s="41" t="s">
        <v>914</v>
      </c>
      <c r="C1368" s="41" t="s">
        <v>442</v>
      </c>
      <c r="D1368" s="41" t="s">
        <v>443</v>
      </c>
      <c r="E1368" s="41" t="s">
        <v>33</v>
      </c>
      <c r="F1368" s="42">
        <v>10</v>
      </c>
      <c r="G1368" s="41" t="s">
        <v>11</v>
      </c>
      <c r="H1368" s="43" t="s">
        <v>426</v>
      </c>
      <c r="I1368" s="44">
        <v>30</v>
      </c>
      <c r="J1368" s="44">
        <v>206</v>
      </c>
      <c r="K1368" s="41"/>
      <c r="L1368" s="45">
        <v>103000</v>
      </c>
      <c r="M1368" s="44">
        <v>1</v>
      </c>
      <c r="N1368" s="43" t="s">
        <v>383</v>
      </c>
    </row>
    <row r="1369" spans="1:14" ht="15.75" customHeight="1">
      <c r="A1369" s="41" t="s">
        <v>913</v>
      </c>
      <c r="B1369" s="41" t="s">
        <v>914</v>
      </c>
      <c r="C1369" s="41" t="s">
        <v>442</v>
      </c>
      <c r="D1369" s="41" t="s">
        <v>443</v>
      </c>
      <c r="E1369" s="41" t="s">
        <v>33</v>
      </c>
      <c r="F1369" s="42">
        <v>11</v>
      </c>
      <c r="G1369" s="41" t="s">
        <v>12</v>
      </c>
      <c r="H1369" s="43" t="s">
        <v>444</v>
      </c>
      <c r="I1369" s="44">
        <v>110</v>
      </c>
      <c r="J1369" s="44">
        <v>206</v>
      </c>
      <c r="K1369" s="41"/>
      <c r="L1369" s="45">
        <v>103000</v>
      </c>
      <c r="M1369" s="44">
        <v>1</v>
      </c>
      <c r="N1369" s="43" t="s">
        <v>383</v>
      </c>
    </row>
    <row r="1370" spans="1:14" ht="15.75" customHeight="1">
      <c r="A1370" s="41" t="s">
        <v>913</v>
      </c>
      <c r="B1370" s="41" t="s">
        <v>914</v>
      </c>
      <c r="C1370" s="41" t="s">
        <v>442</v>
      </c>
      <c r="D1370" s="41" t="s">
        <v>443</v>
      </c>
      <c r="E1370" s="41" t="s">
        <v>33</v>
      </c>
      <c r="F1370" s="42">
        <v>12</v>
      </c>
      <c r="G1370" s="41" t="s">
        <v>13</v>
      </c>
      <c r="H1370" s="43" t="s">
        <v>444</v>
      </c>
      <c r="I1370" s="44">
        <v>15</v>
      </c>
      <c r="J1370" s="44">
        <v>206</v>
      </c>
      <c r="K1370" s="41"/>
      <c r="L1370" s="45">
        <v>103000</v>
      </c>
      <c r="M1370" s="44">
        <v>1</v>
      </c>
      <c r="N1370" s="43" t="s">
        <v>383</v>
      </c>
    </row>
    <row r="1371" spans="1:14" ht="15.75" customHeight="1">
      <c r="A1371" s="41" t="s">
        <v>913</v>
      </c>
      <c r="B1371" s="41" t="s">
        <v>914</v>
      </c>
      <c r="C1371" s="41" t="s">
        <v>431</v>
      </c>
      <c r="D1371" s="41" t="s">
        <v>432</v>
      </c>
      <c r="E1371" s="41" t="s">
        <v>433</v>
      </c>
      <c r="F1371" s="42">
        <v>19</v>
      </c>
      <c r="G1371" s="41" t="s">
        <v>368</v>
      </c>
      <c r="H1371" s="43" t="s">
        <v>434</v>
      </c>
      <c r="I1371" s="44">
        <v>60</v>
      </c>
      <c r="J1371" s="41"/>
      <c r="K1371" s="44">
        <v>520</v>
      </c>
      <c r="L1371" s="41" t="s">
        <v>435</v>
      </c>
      <c r="M1371" s="44">
        <v>3</v>
      </c>
      <c r="N1371" s="43" t="s">
        <v>436</v>
      </c>
    </row>
    <row r="1372" spans="1:14" ht="15.75" customHeight="1">
      <c r="A1372" s="41" t="s">
        <v>915</v>
      </c>
      <c r="B1372" s="41" t="s">
        <v>916</v>
      </c>
      <c r="C1372" s="41" t="s">
        <v>442</v>
      </c>
      <c r="D1372" s="41" t="s">
        <v>443</v>
      </c>
      <c r="E1372" s="41" t="s">
        <v>33</v>
      </c>
      <c r="F1372" s="42">
        <v>10</v>
      </c>
      <c r="G1372" s="41" t="s">
        <v>11</v>
      </c>
      <c r="H1372" s="43" t="s">
        <v>426</v>
      </c>
      <c r="I1372" s="44">
        <v>30</v>
      </c>
      <c r="J1372" s="44">
        <v>490</v>
      </c>
      <c r="K1372" s="41"/>
      <c r="L1372" s="45">
        <v>103000</v>
      </c>
      <c r="M1372" s="44">
        <v>1</v>
      </c>
      <c r="N1372" s="43" t="s">
        <v>383</v>
      </c>
    </row>
    <row r="1373" spans="1:14" ht="15.75" customHeight="1">
      <c r="A1373" s="41" t="s">
        <v>915</v>
      </c>
      <c r="B1373" s="41" t="s">
        <v>916</v>
      </c>
      <c r="C1373" s="41" t="s">
        <v>442</v>
      </c>
      <c r="D1373" s="41" t="s">
        <v>443</v>
      </c>
      <c r="E1373" s="41" t="s">
        <v>33</v>
      </c>
      <c r="F1373" s="42">
        <v>11</v>
      </c>
      <c r="G1373" s="41" t="s">
        <v>12</v>
      </c>
      <c r="H1373" s="43" t="s">
        <v>444</v>
      </c>
      <c r="I1373" s="44">
        <v>110</v>
      </c>
      <c r="J1373" s="44">
        <v>490</v>
      </c>
      <c r="K1373" s="41"/>
      <c r="L1373" s="45">
        <v>103000</v>
      </c>
      <c r="M1373" s="44">
        <v>1</v>
      </c>
      <c r="N1373" s="43" t="s">
        <v>383</v>
      </c>
    </row>
    <row r="1374" spans="1:14" ht="15.75" customHeight="1">
      <c r="A1374" s="41" t="s">
        <v>915</v>
      </c>
      <c r="B1374" s="41" t="s">
        <v>916</v>
      </c>
      <c r="C1374" s="41" t="s">
        <v>442</v>
      </c>
      <c r="D1374" s="41" t="s">
        <v>443</v>
      </c>
      <c r="E1374" s="41" t="s">
        <v>33</v>
      </c>
      <c r="F1374" s="42">
        <v>12</v>
      </c>
      <c r="G1374" s="41" t="s">
        <v>13</v>
      </c>
      <c r="H1374" s="43" t="s">
        <v>444</v>
      </c>
      <c r="I1374" s="44">
        <v>15</v>
      </c>
      <c r="J1374" s="44">
        <v>490</v>
      </c>
      <c r="K1374" s="41"/>
      <c r="L1374" s="45">
        <v>103000</v>
      </c>
      <c r="M1374" s="44">
        <v>1</v>
      </c>
      <c r="N1374" s="43" t="s">
        <v>383</v>
      </c>
    </row>
    <row r="1375" spans="1:14" ht="15.75" customHeight="1">
      <c r="A1375" s="41" t="s">
        <v>915</v>
      </c>
      <c r="B1375" s="41" t="s">
        <v>916</v>
      </c>
      <c r="C1375" s="41" t="s">
        <v>431</v>
      </c>
      <c r="D1375" s="41" t="s">
        <v>432</v>
      </c>
      <c r="E1375" s="41" t="s">
        <v>433</v>
      </c>
      <c r="F1375" s="42">
        <v>18</v>
      </c>
      <c r="G1375" s="41" t="s">
        <v>439</v>
      </c>
      <c r="H1375" s="43" t="s">
        <v>440</v>
      </c>
      <c r="I1375" s="44">
        <v>60</v>
      </c>
      <c r="J1375" s="41"/>
      <c r="K1375" s="44">
        <v>600</v>
      </c>
      <c r="L1375" s="41" t="s">
        <v>435</v>
      </c>
      <c r="M1375" s="44">
        <v>1</v>
      </c>
      <c r="N1375" s="43" t="s">
        <v>436</v>
      </c>
    </row>
    <row r="1376" spans="1:14" ht="15.75" customHeight="1">
      <c r="A1376" s="41" t="s">
        <v>915</v>
      </c>
      <c r="B1376" s="41" t="s">
        <v>916</v>
      </c>
      <c r="C1376" s="41" t="s">
        <v>431</v>
      </c>
      <c r="D1376" s="41" t="s">
        <v>432</v>
      </c>
      <c r="E1376" s="41" t="s">
        <v>433</v>
      </c>
      <c r="F1376" s="42">
        <v>19</v>
      </c>
      <c r="G1376" s="41" t="s">
        <v>368</v>
      </c>
      <c r="H1376" s="43" t="s">
        <v>434</v>
      </c>
      <c r="I1376" s="44">
        <v>60</v>
      </c>
      <c r="J1376" s="41"/>
      <c r="K1376" s="44">
        <v>200</v>
      </c>
      <c r="L1376" s="41" t="s">
        <v>435</v>
      </c>
      <c r="M1376" s="44">
        <v>3</v>
      </c>
      <c r="N1376" s="43" t="s">
        <v>436</v>
      </c>
    </row>
    <row r="1377" spans="1:14" ht="15.75" customHeight="1">
      <c r="A1377" s="41" t="s">
        <v>917</v>
      </c>
      <c r="B1377" s="41" t="s">
        <v>918</v>
      </c>
      <c r="C1377" s="41" t="s">
        <v>424</v>
      </c>
      <c r="D1377" s="41" t="s">
        <v>425</v>
      </c>
      <c r="E1377" s="41" t="s">
        <v>48</v>
      </c>
      <c r="F1377" s="42">
        <v>4</v>
      </c>
      <c r="G1377" s="41" t="s">
        <v>11</v>
      </c>
      <c r="H1377" s="43" t="s">
        <v>426</v>
      </c>
      <c r="I1377" s="44">
        <v>75</v>
      </c>
      <c r="J1377" s="44">
        <v>108.2</v>
      </c>
      <c r="K1377" s="41"/>
      <c r="L1377" s="45">
        <v>52000</v>
      </c>
      <c r="M1377" s="44">
        <v>1</v>
      </c>
      <c r="N1377" s="43" t="s">
        <v>383</v>
      </c>
    </row>
    <row r="1378" spans="1:14" ht="15.75" customHeight="1">
      <c r="A1378" s="41" t="s">
        <v>917</v>
      </c>
      <c r="B1378" s="41" t="s">
        <v>918</v>
      </c>
      <c r="C1378" s="41" t="s">
        <v>424</v>
      </c>
      <c r="D1378" s="41" t="s">
        <v>425</v>
      </c>
      <c r="E1378" s="41" t="s">
        <v>48</v>
      </c>
      <c r="F1378" s="42">
        <v>5</v>
      </c>
      <c r="G1378" s="41" t="s">
        <v>12</v>
      </c>
      <c r="H1378" s="43" t="s">
        <v>427</v>
      </c>
      <c r="I1378" s="44">
        <v>130</v>
      </c>
      <c r="J1378" s="44">
        <v>108.2</v>
      </c>
      <c r="K1378" s="41"/>
      <c r="L1378" s="45">
        <v>52000</v>
      </c>
      <c r="M1378" s="44">
        <v>1</v>
      </c>
      <c r="N1378" s="43" t="s">
        <v>383</v>
      </c>
    </row>
    <row r="1379" spans="1:14" ht="15.75" customHeight="1">
      <c r="A1379" s="41" t="s">
        <v>917</v>
      </c>
      <c r="B1379" s="41" t="s">
        <v>918</v>
      </c>
      <c r="C1379" s="41" t="s">
        <v>424</v>
      </c>
      <c r="D1379" s="41" t="s">
        <v>425</v>
      </c>
      <c r="E1379" s="41" t="s">
        <v>48</v>
      </c>
      <c r="F1379" s="42">
        <v>6</v>
      </c>
      <c r="G1379" s="41" t="s">
        <v>13</v>
      </c>
      <c r="H1379" s="43" t="s">
        <v>427</v>
      </c>
      <c r="I1379" s="44">
        <v>30</v>
      </c>
      <c r="J1379" s="44">
        <v>108.2</v>
      </c>
      <c r="K1379" s="41"/>
      <c r="L1379" s="45">
        <v>52000</v>
      </c>
      <c r="M1379" s="44">
        <v>1</v>
      </c>
      <c r="N1379" s="43" t="s">
        <v>383</v>
      </c>
    </row>
    <row r="1380" spans="1:14" ht="15.75" customHeight="1">
      <c r="A1380" s="41" t="s">
        <v>917</v>
      </c>
      <c r="B1380" s="41" t="s">
        <v>918</v>
      </c>
      <c r="C1380" s="41" t="s">
        <v>431</v>
      </c>
      <c r="D1380" s="41" t="s">
        <v>432</v>
      </c>
      <c r="E1380" s="41" t="s">
        <v>433</v>
      </c>
      <c r="F1380" s="42">
        <v>19</v>
      </c>
      <c r="G1380" s="41" t="s">
        <v>368</v>
      </c>
      <c r="H1380" s="43" t="s">
        <v>434</v>
      </c>
      <c r="I1380" s="44">
        <v>60</v>
      </c>
      <c r="J1380" s="41"/>
      <c r="K1380" s="44">
        <v>600</v>
      </c>
      <c r="L1380" s="41" t="s">
        <v>435</v>
      </c>
      <c r="M1380" s="44">
        <v>4</v>
      </c>
      <c r="N1380" s="43" t="s">
        <v>436</v>
      </c>
    </row>
    <row r="1381" spans="1:14" ht="15.75" customHeight="1">
      <c r="A1381" s="41" t="s">
        <v>919</v>
      </c>
      <c r="B1381" s="41" t="s">
        <v>920</v>
      </c>
      <c r="C1381" s="41" t="s">
        <v>424</v>
      </c>
      <c r="D1381" s="41" t="s">
        <v>425</v>
      </c>
      <c r="E1381" s="41" t="s">
        <v>48</v>
      </c>
      <c r="F1381" s="42">
        <v>4</v>
      </c>
      <c r="G1381" s="41" t="s">
        <v>11</v>
      </c>
      <c r="H1381" s="43" t="s">
        <v>426</v>
      </c>
      <c r="I1381" s="44">
        <v>30</v>
      </c>
      <c r="J1381" s="44">
        <v>20</v>
      </c>
      <c r="K1381" s="41"/>
      <c r="L1381" s="45">
        <v>52000</v>
      </c>
      <c r="M1381" s="44">
        <v>1</v>
      </c>
      <c r="N1381" s="43" t="s">
        <v>383</v>
      </c>
    </row>
    <row r="1382" spans="1:14" ht="15.75" customHeight="1">
      <c r="A1382" s="41" t="s">
        <v>919</v>
      </c>
      <c r="B1382" s="41" t="s">
        <v>920</v>
      </c>
      <c r="C1382" s="41" t="s">
        <v>424</v>
      </c>
      <c r="D1382" s="41" t="s">
        <v>425</v>
      </c>
      <c r="E1382" s="41" t="s">
        <v>48</v>
      </c>
      <c r="F1382" s="42">
        <v>5</v>
      </c>
      <c r="G1382" s="41" t="s">
        <v>12</v>
      </c>
      <c r="H1382" s="43" t="s">
        <v>427</v>
      </c>
      <c r="I1382" s="44">
        <v>130</v>
      </c>
      <c r="J1382" s="44">
        <v>20</v>
      </c>
      <c r="K1382" s="41"/>
      <c r="L1382" s="45">
        <v>52000</v>
      </c>
      <c r="M1382" s="44">
        <v>1</v>
      </c>
      <c r="N1382" s="43" t="s">
        <v>383</v>
      </c>
    </row>
    <row r="1383" spans="1:14" ht="15.75" customHeight="1">
      <c r="A1383" s="41" t="s">
        <v>919</v>
      </c>
      <c r="B1383" s="41" t="s">
        <v>920</v>
      </c>
      <c r="C1383" s="41" t="s">
        <v>424</v>
      </c>
      <c r="D1383" s="41" t="s">
        <v>425</v>
      </c>
      <c r="E1383" s="41" t="s">
        <v>48</v>
      </c>
      <c r="F1383" s="42">
        <v>6</v>
      </c>
      <c r="G1383" s="41" t="s">
        <v>13</v>
      </c>
      <c r="H1383" s="43" t="s">
        <v>427</v>
      </c>
      <c r="I1383" s="44">
        <v>30</v>
      </c>
      <c r="J1383" s="44">
        <v>20</v>
      </c>
      <c r="K1383" s="41"/>
      <c r="L1383" s="45">
        <v>52000</v>
      </c>
      <c r="M1383" s="44">
        <v>1</v>
      </c>
      <c r="N1383" s="43" t="s">
        <v>383</v>
      </c>
    </row>
    <row r="1384" spans="1:14" ht="15.75" customHeight="1">
      <c r="A1384" s="41" t="s">
        <v>919</v>
      </c>
      <c r="B1384" s="41" t="s">
        <v>920</v>
      </c>
      <c r="C1384" s="41" t="s">
        <v>431</v>
      </c>
      <c r="D1384" s="41" t="s">
        <v>432</v>
      </c>
      <c r="E1384" s="41" t="s">
        <v>433</v>
      </c>
      <c r="F1384" s="42">
        <v>18</v>
      </c>
      <c r="G1384" s="41" t="s">
        <v>439</v>
      </c>
      <c r="H1384" s="43" t="s">
        <v>440</v>
      </c>
      <c r="I1384" s="44">
        <v>60</v>
      </c>
      <c r="J1384" s="41"/>
      <c r="K1384" s="44">
        <v>950</v>
      </c>
      <c r="L1384" s="41" t="s">
        <v>435</v>
      </c>
      <c r="M1384" s="44">
        <v>1</v>
      </c>
      <c r="N1384" s="43" t="s">
        <v>436</v>
      </c>
    </row>
    <row r="1385" spans="1:14" ht="15.75" customHeight="1">
      <c r="A1385" s="41" t="s">
        <v>919</v>
      </c>
      <c r="B1385" s="41" t="s">
        <v>920</v>
      </c>
      <c r="C1385" s="41" t="s">
        <v>431</v>
      </c>
      <c r="D1385" s="41" t="s">
        <v>432</v>
      </c>
      <c r="E1385" s="41" t="s">
        <v>433</v>
      </c>
      <c r="F1385" s="42">
        <v>19</v>
      </c>
      <c r="G1385" s="41" t="s">
        <v>368</v>
      </c>
      <c r="H1385" s="43" t="s">
        <v>434</v>
      </c>
      <c r="I1385" s="44">
        <v>60</v>
      </c>
      <c r="J1385" s="41"/>
      <c r="K1385" s="44">
        <v>700</v>
      </c>
      <c r="L1385" s="41" t="s">
        <v>435</v>
      </c>
      <c r="M1385" s="44">
        <v>4</v>
      </c>
      <c r="N1385" s="43" t="s">
        <v>436</v>
      </c>
    </row>
    <row r="1386" spans="1:14" ht="15.75" customHeight="1">
      <c r="A1386" s="41" t="s">
        <v>921</v>
      </c>
      <c r="B1386" s="41" t="s">
        <v>158</v>
      </c>
      <c r="C1386" s="41" t="s">
        <v>424</v>
      </c>
      <c r="D1386" s="41" t="s">
        <v>425</v>
      </c>
      <c r="E1386" s="41" t="s">
        <v>48</v>
      </c>
      <c r="F1386" s="42">
        <v>4</v>
      </c>
      <c r="G1386" s="41" t="s">
        <v>11</v>
      </c>
      <c r="H1386" s="43" t="s">
        <v>426</v>
      </c>
      <c r="I1386" s="44">
        <v>25</v>
      </c>
      <c r="J1386" s="44">
        <v>62</v>
      </c>
      <c r="K1386" s="41"/>
      <c r="L1386" s="45">
        <v>52000</v>
      </c>
      <c r="M1386" s="44">
        <v>1</v>
      </c>
      <c r="N1386" s="43" t="s">
        <v>383</v>
      </c>
    </row>
    <row r="1387" spans="1:14" ht="15.75" customHeight="1">
      <c r="A1387" s="41" t="s">
        <v>921</v>
      </c>
      <c r="B1387" s="41" t="s">
        <v>158</v>
      </c>
      <c r="C1387" s="41" t="s">
        <v>424</v>
      </c>
      <c r="D1387" s="41" t="s">
        <v>425</v>
      </c>
      <c r="E1387" s="41" t="s">
        <v>48</v>
      </c>
      <c r="F1387" s="42">
        <v>5</v>
      </c>
      <c r="G1387" s="41" t="s">
        <v>12</v>
      </c>
      <c r="H1387" s="43" t="s">
        <v>427</v>
      </c>
      <c r="I1387" s="44">
        <v>125</v>
      </c>
      <c r="J1387" s="44">
        <v>62</v>
      </c>
      <c r="K1387" s="41"/>
      <c r="L1387" s="45">
        <v>52000</v>
      </c>
      <c r="M1387" s="44">
        <v>1</v>
      </c>
      <c r="N1387" s="43" t="s">
        <v>383</v>
      </c>
    </row>
    <row r="1388" spans="1:14" ht="15.75" customHeight="1">
      <c r="A1388" s="41" t="s">
        <v>921</v>
      </c>
      <c r="B1388" s="41" t="s">
        <v>158</v>
      </c>
      <c r="C1388" s="41" t="s">
        <v>424</v>
      </c>
      <c r="D1388" s="41" t="s">
        <v>425</v>
      </c>
      <c r="E1388" s="41" t="s">
        <v>48</v>
      </c>
      <c r="F1388" s="42">
        <v>6</v>
      </c>
      <c r="G1388" s="41" t="s">
        <v>13</v>
      </c>
      <c r="H1388" s="43" t="s">
        <v>427</v>
      </c>
      <c r="I1388" s="44">
        <v>30</v>
      </c>
      <c r="J1388" s="44">
        <v>62</v>
      </c>
      <c r="K1388" s="41"/>
      <c r="L1388" s="45">
        <v>52000</v>
      </c>
      <c r="M1388" s="44">
        <v>1</v>
      </c>
      <c r="N1388" s="43" t="s">
        <v>383</v>
      </c>
    </row>
    <row r="1389" spans="1:14" ht="15.75" customHeight="1">
      <c r="A1389" s="41" t="s">
        <v>922</v>
      </c>
      <c r="B1389" s="41" t="s">
        <v>158</v>
      </c>
      <c r="C1389" s="41" t="s">
        <v>424</v>
      </c>
      <c r="D1389" s="41" t="s">
        <v>425</v>
      </c>
      <c r="E1389" s="41" t="s">
        <v>48</v>
      </c>
      <c r="F1389" s="42">
        <v>4</v>
      </c>
      <c r="G1389" s="41" t="s">
        <v>11</v>
      </c>
      <c r="H1389" s="43" t="s">
        <v>426</v>
      </c>
      <c r="I1389" s="44">
        <v>25</v>
      </c>
      <c r="J1389" s="44">
        <v>62</v>
      </c>
      <c r="K1389" s="41"/>
      <c r="L1389" s="45">
        <v>52000</v>
      </c>
      <c r="M1389" s="44">
        <v>1</v>
      </c>
      <c r="N1389" s="43" t="s">
        <v>383</v>
      </c>
    </row>
    <row r="1390" spans="1:14" ht="15.75" customHeight="1">
      <c r="A1390" s="41" t="s">
        <v>922</v>
      </c>
      <c r="B1390" s="41" t="s">
        <v>158</v>
      </c>
      <c r="C1390" s="41" t="s">
        <v>424</v>
      </c>
      <c r="D1390" s="41" t="s">
        <v>425</v>
      </c>
      <c r="E1390" s="41" t="s">
        <v>48</v>
      </c>
      <c r="F1390" s="42">
        <v>5</v>
      </c>
      <c r="G1390" s="41" t="s">
        <v>12</v>
      </c>
      <c r="H1390" s="43" t="s">
        <v>427</v>
      </c>
      <c r="I1390" s="44">
        <v>125</v>
      </c>
      <c r="J1390" s="44">
        <v>62</v>
      </c>
      <c r="K1390" s="41"/>
      <c r="L1390" s="45">
        <v>52000</v>
      </c>
      <c r="M1390" s="44">
        <v>1</v>
      </c>
      <c r="N1390" s="43" t="s">
        <v>383</v>
      </c>
    </row>
    <row r="1391" spans="1:14" ht="15.75" customHeight="1">
      <c r="A1391" s="41" t="s">
        <v>922</v>
      </c>
      <c r="B1391" s="41" t="s">
        <v>158</v>
      </c>
      <c r="C1391" s="41" t="s">
        <v>424</v>
      </c>
      <c r="D1391" s="41" t="s">
        <v>425</v>
      </c>
      <c r="E1391" s="41" t="s">
        <v>48</v>
      </c>
      <c r="F1391" s="42">
        <v>6</v>
      </c>
      <c r="G1391" s="41" t="s">
        <v>13</v>
      </c>
      <c r="H1391" s="43" t="s">
        <v>427</v>
      </c>
      <c r="I1391" s="44">
        <v>30</v>
      </c>
      <c r="J1391" s="44">
        <v>62</v>
      </c>
      <c r="K1391" s="41"/>
      <c r="L1391" s="45">
        <v>52000</v>
      </c>
      <c r="M1391" s="44">
        <v>1</v>
      </c>
      <c r="N1391" s="43" t="s">
        <v>383</v>
      </c>
    </row>
    <row r="1392" spans="1:14" ht="15.75" customHeight="1">
      <c r="A1392" s="41" t="s">
        <v>921</v>
      </c>
      <c r="B1392" s="41" t="s">
        <v>158</v>
      </c>
      <c r="C1392" s="41" t="s">
        <v>431</v>
      </c>
      <c r="D1392" s="41" t="s">
        <v>432</v>
      </c>
      <c r="E1392" s="41" t="s">
        <v>433</v>
      </c>
      <c r="F1392" s="42">
        <v>18</v>
      </c>
      <c r="G1392" s="41" t="s">
        <v>439</v>
      </c>
      <c r="H1392" s="43" t="s">
        <v>440</v>
      </c>
      <c r="I1392" s="44">
        <v>60</v>
      </c>
      <c r="J1392" s="41"/>
      <c r="K1392" s="44">
        <v>1400</v>
      </c>
      <c r="L1392" s="41" t="s">
        <v>435</v>
      </c>
      <c r="M1392" s="44">
        <v>1</v>
      </c>
      <c r="N1392" s="43" t="s">
        <v>436</v>
      </c>
    </row>
    <row r="1393" spans="1:14" ht="15.75" customHeight="1">
      <c r="A1393" s="41" t="s">
        <v>921</v>
      </c>
      <c r="B1393" s="41" t="s">
        <v>158</v>
      </c>
      <c r="C1393" s="41" t="s">
        <v>431</v>
      </c>
      <c r="D1393" s="41" t="s">
        <v>432</v>
      </c>
      <c r="E1393" s="41" t="s">
        <v>433</v>
      </c>
      <c r="F1393" s="42">
        <v>19</v>
      </c>
      <c r="G1393" s="41" t="s">
        <v>368</v>
      </c>
      <c r="H1393" s="43" t="s">
        <v>434</v>
      </c>
      <c r="I1393" s="44">
        <v>60</v>
      </c>
      <c r="J1393" s="41"/>
      <c r="K1393" s="44">
        <v>870</v>
      </c>
      <c r="L1393" s="41" t="s">
        <v>435</v>
      </c>
      <c r="M1393" s="44">
        <v>3</v>
      </c>
      <c r="N1393" s="43" t="s">
        <v>436</v>
      </c>
    </row>
    <row r="1394" spans="1:14" ht="15.75" customHeight="1">
      <c r="A1394" s="41" t="s">
        <v>922</v>
      </c>
      <c r="B1394" s="41" t="s">
        <v>158</v>
      </c>
      <c r="C1394" s="41" t="s">
        <v>431</v>
      </c>
      <c r="D1394" s="41" t="s">
        <v>432</v>
      </c>
      <c r="E1394" s="41" t="s">
        <v>433</v>
      </c>
      <c r="F1394" s="42">
        <v>18</v>
      </c>
      <c r="G1394" s="41" t="s">
        <v>439</v>
      </c>
      <c r="H1394" s="43" t="s">
        <v>440</v>
      </c>
      <c r="I1394" s="44">
        <v>60</v>
      </c>
      <c r="J1394" s="41"/>
      <c r="K1394" s="44">
        <v>850</v>
      </c>
      <c r="L1394" s="41" t="s">
        <v>435</v>
      </c>
      <c r="M1394" s="44">
        <v>1</v>
      </c>
      <c r="N1394" s="43" t="s">
        <v>436</v>
      </c>
    </row>
    <row r="1395" spans="1:14" ht="15.75" customHeight="1">
      <c r="A1395" s="41" t="s">
        <v>922</v>
      </c>
      <c r="B1395" s="41" t="s">
        <v>158</v>
      </c>
      <c r="C1395" s="41" t="s">
        <v>431</v>
      </c>
      <c r="D1395" s="41" t="s">
        <v>432</v>
      </c>
      <c r="E1395" s="41" t="s">
        <v>433</v>
      </c>
      <c r="F1395" s="42">
        <v>19</v>
      </c>
      <c r="G1395" s="41" t="s">
        <v>368</v>
      </c>
      <c r="H1395" s="43" t="s">
        <v>434</v>
      </c>
      <c r="I1395" s="44">
        <v>60</v>
      </c>
      <c r="J1395" s="41"/>
      <c r="K1395" s="44">
        <v>870</v>
      </c>
      <c r="L1395" s="41" t="s">
        <v>435</v>
      </c>
      <c r="M1395" s="44">
        <v>3</v>
      </c>
      <c r="N1395" s="43" t="s">
        <v>436</v>
      </c>
    </row>
    <row r="1396" spans="1:14" ht="15.75" customHeight="1">
      <c r="A1396" s="41" t="s">
        <v>923</v>
      </c>
      <c r="B1396" s="41" t="s">
        <v>155</v>
      </c>
      <c r="C1396" s="41" t="s">
        <v>424</v>
      </c>
      <c r="D1396" s="41" t="s">
        <v>425</v>
      </c>
      <c r="E1396" s="41" t="s">
        <v>48</v>
      </c>
      <c r="F1396" s="42">
        <v>4</v>
      </c>
      <c r="G1396" s="41" t="s">
        <v>11</v>
      </c>
      <c r="H1396" s="43" t="s">
        <v>426</v>
      </c>
      <c r="I1396" s="44">
        <v>25</v>
      </c>
      <c r="J1396" s="44">
        <v>8</v>
      </c>
      <c r="K1396" s="41"/>
      <c r="L1396" s="45">
        <v>52000</v>
      </c>
      <c r="M1396" s="44">
        <v>1</v>
      </c>
      <c r="N1396" s="43" t="s">
        <v>383</v>
      </c>
    </row>
    <row r="1397" spans="1:14" ht="15.75" customHeight="1">
      <c r="A1397" s="41" t="s">
        <v>923</v>
      </c>
      <c r="B1397" s="41" t="s">
        <v>155</v>
      </c>
      <c r="C1397" s="41" t="s">
        <v>424</v>
      </c>
      <c r="D1397" s="41" t="s">
        <v>425</v>
      </c>
      <c r="E1397" s="41" t="s">
        <v>48</v>
      </c>
      <c r="F1397" s="42">
        <v>5</v>
      </c>
      <c r="G1397" s="41" t="s">
        <v>12</v>
      </c>
      <c r="H1397" s="43" t="s">
        <v>427</v>
      </c>
      <c r="I1397" s="44">
        <v>125</v>
      </c>
      <c r="J1397" s="44">
        <v>8</v>
      </c>
      <c r="K1397" s="41"/>
      <c r="L1397" s="45">
        <v>52000</v>
      </c>
      <c r="M1397" s="44">
        <v>1</v>
      </c>
      <c r="N1397" s="43" t="s">
        <v>383</v>
      </c>
    </row>
    <row r="1398" spans="1:14" ht="15.75" customHeight="1">
      <c r="A1398" s="41" t="s">
        <v>923</v>
      </c>
      <c r="B1398" s="41" t="s">
        <v>155</v>
      </c>
      <c r="C1398" s="41" t="s">
        <v>424</v>
      </c>
      <c r="D1398" s="41" t="s">
        <v>425</v>
      </c>
      <c r="E1398" s="41" t="s">
        <v>48</v>
      </c>
      <c r="F1398" s="42">
        <v>6</v>
      </c>
      <c r="G1398" s="41" t="s">
        <v>13</v>
      </c>
      <c r="H1398" s="43" t="s">
        <v>427</v>
      </c>
      <c r="I1398" s="44">
        <v>30</v>
      </c>
      <c r="J1398" s="44">
        <v>8</v>
      </c>
      <c r="K1398" s="41"/>
      <c r="L1398" s="45">
        <v>52000</v>
      </c>
      <c r="M1398" s="44">
        <v>1</v>
      </c>
      <c r="N1398" s="43" t="s">
        <v>383</v>
      </c>
    </row>
    <row r="1399" spans="1:14" ht="15.75" customHeight="1">
      <c r="A1399" s="41" t="s">
        <v>923</v>
      </c>
      <c r="B1399" s="41" t="s">
        <v>155</v>
      </c>
      <c r="C1399" s="41" t="s">
        <v>431</v>
      </c>
      <c r="D1399" s="41" t="s">
        <v>432</v>
      </c>
      <c r="E1399" s="41" t="s">
        <v>433</v>
      </c>
      <c r="F1399" s="42">
        <v>18</v>
      </c>
      <c r="G1399" s="41" t="s">
        <v>439</v>
      </c>
      <c r="H1399" s="43" t="s">
        <v>440</v>
      </c>
      <c r="I1399" s="44">
        <v>60</v>
      </c>
      <c r="J1399" s="41"/>
      <c r="K1399" s="44">
        <v>1400</v>
      </c>
      <c r="L1399" s="41" t="s">
        <v>435</v>
      </c>
      <c r="M1399" s="44">
        <v>1</v>
      </c>
      <c r="N1399" s="43" t="s">
        <v>436</v>
      </c>
    </row>
    <row r="1400" spans="1:14" ht="15.75" customHeight="1">
      <c r="A1400" s="41" t="s">
        <v>923</v>
      </c>
      <c r="B1400" s="41" t="s">
        <v>155</v>
      </c>
      <c r="C1400" s="41" t="s">
        <v>431</v>
      </c>
      <c r="D1400" s="41" t="s">
        <v>432</v>
      </c>
      <c r="E1400" s="41" t="s">
        <v>433</v>
      </c>
      <c r="F1400" s="42">
        <v>19</v>
      </c>
      <c r="G1400" s="41" t="s">
        <v>368</v>
      </c>
      <c r="H1400" s="43" t="s">
        <v>434</v>
      </c>
      <c r="I1400" s="44">
        <v>60</v>
      </c>
      <c r="J1400" s="41"/>
      <c r="K1400" s="44">
        <v>1000</v>
      </c>
      <c r="L1400" s="41" t="s">
        <v>435</v>
      </c>
      <c r="M1400" s="44">
        <v>4</v>
      </c>
      <c r="N1400" s="43" t="s">
        <v>436</v>
      </c>
    </row>
    <row r="1401" spans="1:14" ht="15.75" customHeight="1">
      <c r="A1401" s="41" t="s">
        <v>924</v>
      </c>
      <c r="B1401" s="41" t="s">
        <v>925</v>
      </c>
      <c r="C1401" s="41" t="s">
        <v>442</v>
      </c>
      <c r="D1401" s="41" t="s">
        <v>443</v>
      </c>
      <c r="E1401" s="41" t="s">
        <v>33</v>
      </c>
      <c r="F1401" s="42">
        <v>10</v>
      </c>
      <c r="G1401" s="41" t="s">
        <v>11</v>
      </c>
      <c r="H1401" s="43" t="s">
        <v>426</v>
      </c>
      <c r="I1401" s="44">
        <v>40</v>
      </c>
      <c r="J1401" s="44">
        <v>2</v>
      </c>
      <c r="K1401" s="41"/>
      <c r="L1401" s="45">
        <v>107000</v>
      </c>
      <c r="M1401" s="44">
        <v>1</v>
      </c>
      <c r="N1401" s="43" t="s">
        <v>383</v>
      </c>
    </row>
    <row r="1402" spans="1:14" ht="15.75" customHeight="1">
      <c r="A1402" s="41" t="s">
        <v>924</v>
      </c>
      <c r="B1402" s="41" t="s">
        <v>925</v>
      </c>
      <c r="C1402" s="41" t="s">
        <v>442</v>
      </c>
      <c r="D1402" s="41" t="s">
        <v>443</v>
      </c>
      <c r="E1402" s="41" t="s">
        <v>33</v>
      </c>
      <c r="F1402" s="42">
        <v>11</v>
      </c>
      <c r="G1402" s="41" t="s">
        <v>12</v>
      </c>
      <c r="H1402" s="43" t="s">
        <v>444</v>
      </c>
      <c r="I1402" s="44">
        <v>50</v>
      </c>
      <c r="J1402" s="44">
        <v>2</v>
      </c>
      <c r="K1402" s="41"/>
      <c r="L1402" s="45">
        <v>107000</v>
      </c>
      <c r="M1402" s="44">
        <v>1</v>
      </c>
      <c r="N1402" s="43" t="s">
        <v>383</v>
      </c>
    </row>
    <row r="1403" spans="1:14" ht="15.75" customHeight="1">
      <c r="A1403" s="41" t="s">
        <v>924</v>
      </c>
      <c r="B1403" s="41" t="s">
        <v>925</v>
      </c>
      <c r="C1403" s="41" t="s">
        <v>442</v>
      </c>
      <c r="D1403" s="41" t="s">
        <v>443</v>
      </c>
      <c r="E1403" s="41" t="s">
        <v>33</v>
      </c>
      <c r="F1403" s="42">
        <v>12</v>
      </c>
      <c r="G1403" s="41" t="s">
        <v>13</v>
      </c>
      <c r="H1403" s="43" t="s">
        <v>444</v>
      </c>
      <c r="I1403" s="44">
        <v>10</v>
      </c>
      <c r="J1403" s="44">
        <v>2</v>
      </c>
      <c r="K1403" s="41"/>
      <c r="L1403" s="45">
        <v>107000</v>
      </c>
      <c r="M1403" s="44">
        <v>1</v>
      </c>
      <c r="N1403" s="43" t="s">
        <v>383</v>
      </c>
    </row>
    <row r="1404" spans="1:14" ht="15.75" customHeight="1">
      <c r="A1404" s="41" t="s">
        <v>924</v>
      </c>
      <c r="B1404" s="41" t="s">
        <v>925</v>
      </c>
      <c r="C1404" s="41" t="s">
        <v>431</v>
      </c>
      <c r="D1404" s="41" t="s">
        <v>432</v>
      </c>
      <c r="E1404" s="41" t="s">
        <v>433</v>
      </c>
      <c r="F1404" s="42">
        <v>19</v>
      </c>
      <c r="G1404" s="41" t="s">
        <v>368</v>
      </c>
      <c r="H1404" s="43" t="s">
        <v>434</v>
      </c>
      <c r="I1404" s="44">
        <v>60</v>
      </c>
      <c r="J1404" s="41"/>
      <c r="K1404" s="44">
        <v>40000</v>
      </c>
      <c r="L1404" s="41" t="s">
        <v>435</v>
      </c>
      <c r="M1404" s="44">
        <v>1</v>
      </c>
      <c r="N1404" s="43" t="s">
        <v>436</v>
      </c>
    </row>
    <row r="1405" spans="1:14" ht="15.75" customHeight="1">
      <c r="A1405" s="41" t="s">
        <v>926</v>
      </c>
      <c r="B1405" s="41" t="s">
        <v>927</v>
      </c>
      <c r="C1405" s="41" t="s">
        <v>424</v>
      </c>
      <c r="D1405" s="41" t="s">
        <v>425</v>
      </c>
      <c r="E1405" s="41" t="s">
        <v>48</v>
      </c>
      <c r="F1405" s="42">
        <v>4</v>
      </c>
      <c r="G1405" s="41" t="s">
        <v>11</v>
      </c>
      <c r="H1405" s="43" t="s">
        <v>426</v>
      </c>
      <c r="I1405" s="44">
        <v>45</v>
      </c>
      <c r="J1405" s="44">
        <v>59.4</v>
      </c>
      <c r="K1405" s="41"/>
      <c r="L1405" s="45">
        <v>52000</v>
      </c>
      <c r="M1405" s="44">
        <v>1</v>
      </c>
      <c r="N1405" s="43" t="s">
        <v>383</v>
      </c>
    </row>
    <row r="1406" spans="1:14" ht="15.75" customHeight="1">
      <c r="A1406" s="41" t="s">
        <v>926</v>
      </c>
      <c r="B1406" s="41" t="s">
        <v>927</v>
      </c>
      <c r="C1406" s="41" t="s">
        <v>424</v>
      </c>
      <c r="D1406" s="41" t="s">
        <v>425</v>
      </c>
      <c r="E1406" s="41" t="s">
        <v>48</v>
      </c>
      <c r="F1406" s="42">
        <v>5</v>
      </c>
      <c r="G1406" s="41" t="s">
        <v>12</v>
      </c>
      <c r="H1406" s="43" t="s">
        <v>427</v>
      </c>
      <c r="I1406" s="44">
        <v>115</v>
      </c>
      <c r="J1406" s="44">
        <v>59.4</v>
      </c>
      <c r="K1406" s="41"/>
      <c r="L1406" s="45">
        <v>52000</v>
      </c>
      <c r="M1406" s="44">
        <v>1</v>
      </c>
      <c r="N1406" s="43" t="s">
        <v>383</v>
      </c>
    </row>
    <row r="1407" spans="1:14" ht="15.75" customHeight="1">
      <c r="A1407" s="41" t="s">
        <v>926</v>
      </c>
      <c r="B1407" s="41" t="s">
        <v>927</v>
      </c>
      <c r="C1407" s="41" t="s">
        <v>424</v>
      </c>
      <c r="D1407" s="41" t="s">
        <v>425</v>
      </c>
      <c r="E1407" s="41" t="s">
        <v>48</v>
      </c>
      <c r="F1407" s="42">
        <v>6</v>
      </c>
      <c r="G1407" s="41" t="s">
        <v>13</v>
      </c>
      <c r="H1407" s="43" t="s">
        <v>427</v>
      </c>
      <c r="I1407" s="44">
        <v>90</v>
      </c>
      <c r="J1407" s="44">
        <v>59.4</v>
      </c>
      <c r="K1407" s="41"/>
      <c r="L1407" s="45">
        <v>52000</v>
      </c>
      <c r="M1407" s="44">
        <v>1</v>
      </c>
      <c r="N1407" s="43" t="s">
        <v>383</v>
      </c>
    </row>
    <row r="1408" spans="1:14" ht="15.75" customHeight="1">
      <c r="A1408" s="41" t="s">
        <v>926</v>
      </c>
      <c r="B1408" s="41" t="s">
        <v>927</v>
      </c>
      <c r="C1408" s="41" t="s">
        <v>431</v>
      </c>
      <c r="D1408" s="41" t="s">
        <v>432</v>
      </c>
      <c r="E1408" s="41" t="s">
        <v>433</v>
      </c>
      <c r="F1408" s="42">
        <v>19</v>
      </c>
      <c r="G1408" s="41" t="s">
        <v>368</v>
      </c>
      <c r="H1408" s="43" t="s">
        <v>434</v>
      </c>
      <c r="I1408" s="44">
        <v>60</v>
      </c>
      <c r="J1408" s="41"/>
      <c r="K1408" s="44">
        <v>700</v>
      </c>
      <c r="L1408" s="41" t="s">
        <v>435</v>
      </c>
      <c r="M1408" s="44">
        <v>4</v>
      </c>
      <c r="N1408" s="43" t="s">
        <v>436</v>
      </c>
    </row>
    <row r="1409" spans="1:14" ht="15.75" customHeight="1">
      <c r="A1409" s="41" t="s">
        <v>928</v>
      </c>
      <c r="B1409" s="41" t="s">
        <v>929</v>
      </c>
      <c r="C1409" s="41" t="s">
        <v>442</v>
      </c>
      <c r="D1409" s="41" t="s">
        <v>443</v>
      </c>
      <c r="E1409" s="41" t="s">
        <v>33</v>
      </c>
      <c r="F1409" s="42">
        <v>10</v>
      </c>
      <c r="G1409" s="41" t="s">
        <v>11</v>
      </c>
      <c r="H1409" s="43" t="s">
        <v>426</v>
      </c>
      <c r="I1409" s="44">
        <v>105</v>
      </c>
      <c r="J1409" s="44">
        <v>2</v>
      </c>
      <c r="K1409" s="41"/>
      <c r="L1409" s="45">
        <v>107000</v>
      </c>
      <c r="M1409" s="44">
        <v>1</v>
      </c>
      <c r="N1409" s="43" t="s">
        <v>383</v>
      </c>
    </row>
    <row r="1410" spans="1:14" ht="15.75" customHeight="1">
      <c r="A1410" s="41" t="s">
        <v>928</v>
      </c>
      <c r="B1410" s="41" t="s">
        <v>929</v>
      </c>
      <c r="C1410" s="41" t="s">
        <v>442</v>
      </c>
      <c r="D1410" s="41" t="s">
        <v>443</v>
      </c>
      <c r="E1410" s="41" t="s">
        <v>33</v>
      </c>
      <c r="F1410" s="42">
        <v>11</v>
      </c>
      <c r="G1410" s="41" t="s">
        <v>12</v>
      </c>
      <c r="H1410" s="43" t="s">
        <v>444</v>
      </c>
      <c r="I1410" s="44">
        <v>50</v>
      </c>
      <c r="J1410" s="44">
        <v>2</v>
      </c>
      <c r="K1410" s="41"/>
      <c r="L1410" s="45">
        <v>107000</v>
      </c>
      <c r="M1410" s="44">
        <v>1</v>
      </c>
      <c r="N1410" s="43" t="s">
        <v>383</v>
      </c>
    </row>
    <row r="1411" spans="1:14" ht="15.75" customHeight="1">
      <c r="A1411" s="41" t="s">
        <v>928</v>
      </c>
      <c r="B1411" s="41" t="s">
        <v>929</v>
      </c>
      <c r="C1411" s="41" t="s">
        <v>442</v>
      </c>
      <c r="D1411" s="41" t="s">
        <v>443</v>
      </c>
      <c r="E1411" s="41" t="s">
        <v>33</v>
      </c>
      <c r="F1411" s="42">
        <v>12</v>
      </c>
      <c r="G1411" s="41" t="s">
        <v>13</v>
      </c>
      <c r="H1411" s="43" t="s">
        <v>444</v>
      </c>
      <c r="I1411" s="44">
        <v>15</v>
      </c>
      <c r="J1411" s="44">
        <v>2</v>
      </c>
      <c r="K1411" s="41"/>
      <c r="L1411" s="45">
        <v>107000</v>
      </c>
      <c r="M1411" s="44">
        <v>1</v>
      </c>
      <c r="N1411" s="43" t="s">
        <v>383</v>
      </c>
    </row>
    <row r="1412" spans="1:14" ht="15.75" customHeight="1">
      <c r="A1412" s="41" t="s">
        <v>928</v>
      </c>
      <c r="B1412" s="41" t="s">
        <v>929</v>
      </c>
      <c r="C1412" s="41" t="s">
        <v>431</v>
      </c>
      <c r="D1412" s="41" t="s">
        <v>432</v>
      </c>
      <c r="E1412" s="41" t="s">
        <v>433</v>
      </c>
      <c r="F1412" s="42">
        <v>19</v>
      </c>
      <c r="G1412" s="41" t="s">
        <v>368</v>
      </c>
      <c r="H1412" s="43" t="s">
        <v>434</v>
      </c>
      <c r="I1412" s="44">
        <v>60</v>
      </c>
      <c r="J1412" s="41"/>
      <c r="K1412" s="44">
        <v>40000</v>
      </c>
      <c r="L1412" s="41" t="s">
        <v>435</v>
      </c>
      <c r="M1412" s="44">
        <v>1</v>
      </c>
      <c r="N1412" s="43" t="s">
        <v>436</v>
      </c>
    </row>
    <row r="1413" spans="1:14" ht="15.75" customHeight="1">
      <c r="A1413" s="41" t="s">
        <v>930</v>
      </c>
      <c r="B1413" s="41" t="s">
        <v>931</v>
      </c>
      <c r="C1413" s="41" t="s">
        <v>442</v>
      </c>
      <c r="D1413" s="41" t="s">
        <v>443</v>
      </c>
      <c r="E1413" s="41" t="s">
        <v>33</v>
      </c>
      <c r="F1413" s="42">
        <v>10</v>
      </c>
      <c r="G1413" s="41" t="s">
        <v>11</v>
      </c>
      <c r="H1413" s="43" t="s">
        <v>426</v>
      </c>
      <c r="I1413" s="44">
        <v>75</v>
      </c>
      <c r="J1413" s="44">
        <v>15</v>
      </c>
      <c r="K1413" s="41"/>
      <c r="L1413" s="45">
        <v>70000</v>
      </c>
      <c r="M1413" s="44">
        <v>1</v>
      </c>
      <c r="N1413" s="43" t="s">
        <v>383</v>
      </c>
    </row>
    <row r="1414" spans="1:14" ht="15.75" customHeight="1">
      <c r="A1414" s="41" t="s">
        <v>930</v>
      </c>
      <c r="B1414" s="41" t="s">
        <v>931</v>
      </c>
      <c r="C1414" s="41" t="s">
        <v>442</v>
      </c>
      <c r="D1414" s="41" t="s">
        <v>443</v>
      </c>
      <c r="E1414" s="41" t="s">
        <v>33</v>
      </c>
      <c r="F1414" s="42">
        <v>11</v>
      </c>
      <c r="G1414" s="41" t="s">
        <v>12</v>
      </c>
      <c r="H1414" s="43" t="s">
        <v>444</v>
      </c>
      <c r="I1414" s="44">
        <v>110</v>
      </c>
      <c r="J1414" s="44">
        <v>15</v>
      </c>
      <c r="K1414" s="41"/>
      <c r="L1414" s="45">
        <v>70000</v>
      </c>
      <c r="M1414" s="44">
        <v>1</v>
      </c>
      <c r="N1414" s="43" t="s">
        <v>383</v>
      </c>
    </row>
    <row r="1415" spans="1:14" ht="15.75" customHeight="1">
      <c r="A1415" s="41" t="s">
        <v>930</v>
      </c>
      <c r="B1415" s="41" t="s">
        <v>931</v>
      </c>
      <c r="C1415" s="41" t="s">
        <v>442</v>
      </c>
      <c r="D1415" s="41" t="s">
        <v>443</v>
      </c>
      <c r="E1415" s="41" t="s">
        <v>33</v>
      </c>
      <c r="F1415" s="42">
        <v>12</v>
      </c>
      <c r="G1415" s="41" t="s">
        <v>13</v>
      </c>
      <c r="H1415" s="43" t="s">
        <v>444</v>
      </c>
      <c r="I1415" s="44">
        <v>15</v>
      </c>
      <c r="J1415" s="44">
        <v>15</v>
      </c>
      <c r="K1415" s="41"/>
      <c r="L1415" s="45">
        <v>70000</v>
      </c>
      <c r="M1415" s="44">
        <v>1</v>
      </c>
      <c r="N1415" s="43" t="s">
        <v>383</v>
      </c>
    </row>
    <row r="1416" spans="1:14" ht="15.75" customHeight="1">
      <c r="A1416" s="41" t="s">
        <v>930</v>
      </c>
      <c r="B1416" s="41" t="s">
        <v>931</v>
      </c>
      <c r="C1416" s="41" t="s">
        <v>431</v>
      </c>
      <c r="D1416" s="41" t="s">
        <v>432</v>
      </c>
      <c r="E1416" s="41" t="s">
        <v>433</v>
      </c>
      <c r="F1416" s="42">
        <v>19</v>
      </c>
      <c r="G1416" s="41" t="s">
        <v>368</v>
      </c>
      <c r="H1416" s="43" t="s">
        <v>434</v>
      </c>
      <c r="I1416" s="44">
        <v>60</v>
      </c>
      <c r="J1416" s="41"/>
      <c r="K1416" s="44">
        <v>800</v>
      </c>
      <c r="L1416" s="41" t="s">
        <v>435</v>
      </c>
      <c r="M1416" s="44">
        <v>4</v>
      </c>
      <c r="N1416" s="43" t="s">
        <v>436</v>
      </c>
    </row>
    <row r="1417" spans="1:14" ht="15.75" customHeight="1">
      <c r="A1417" s="41" t="s">
        <v>932</v>
      </c>
      <c r="B1417" s="41" t="s">
        <v>933</v>
      </c>
      <c r="C1417" s="41" t="s">
        <v>442</v>
      </c>
      <c r="D1417" s="41" t="s">
        <v>443</v>
      </c>
      <c r="E1417" s="41" t="s">
        <v>33</v>
      </c>
      <c r="F1417" s="42">
        <v>11</v>
      </c>
      <c r="G1417" s="41" t="s">
        <v>12</v>
      </c>
      <c r="H1417" s="43" t="s">
        <v>444</v>
      </c>
      <c r="I1417" s="44">
        <v>60</v>
      </c>
      <c r="J1417" s="44">
        <v>30</v>
      </c>
      <c r="K1417" s="41"/>
      <c r="L1417" s="45">
        <v>110000</v>
      </c>
      <c r="M1417" s="44">
        <v>1</v>
      </c>
      <c r="N1417" s="43" t="s">
        <v>383</v>
      </c>
    </row>
    <row r="1418" spans="1:14" ht="15.75" customHeight="1">
      <c r="A1418" s="41" t="s">
        <v>932</v>
      </c>
      <c r="B1418" s="41" t="s">
        <v>933</v>
      </c>
      <c r="C1418" s="41" t="s">
        <v>442</v>
      </c>
      <c r="D1418" s="41" t="s">
        <v>443</v>
      </c>
      <c r="E1418" s="41" t="s">
        <v>33</v>
      </c>
      <c r="F1418" s="42">
        <v>12</v>
      </c>
      <c r="G1418" s="41" t="s">
        <v>13</v>
      </c>
      <c r="H1418" s="43" t="s">
        <v>444</v>
      </c>
      <c r="I1418" s="44">
        <v>15</v>
      </c>
      <c r="J1418" s="44">
        <v>30</v>
      </c>
      <c r="K1418" s="41"/>
      <c r="L1418" s="45">
        <v>110000</v>
      </c>
      <c r="M1418" s="44">
        <v>1</v>
      </c>
      <c r="N1418" s="43" t="s">
        <v>383</v>
      </c>
    </row>
    <row r="1419" spans="1:14" ht="15.75" customHeight="1">
      <c r="A1419" s="41" t="s">
        <v>932</v>
      </c>
      <c r="B1419" s="41" t="s">
        <v>933</v>
      </c>
      <c r="C1419" s="41" t="s">
        <v>431</v>
      </c>
      <c r="D1419" s="41" t="s">
        <v>432</v>
      </c>
      <c r="E1419" s="41" t="s">
        <v>433</v>
      </c>
      <c r="F1419" s="42">
        <v>18</v>
      </c>
      <c r="G1419" s="41" t="s">
        <v>439</v>
      </c>
      <c r="H1419" s="43" t="s">
        <v>440</v>
      </c>
      <c r="I1419" s="44">
        <v>60</v>
      </c>
      <c r="J1419" s="41"/>
      <c r="K1419" s="44">
        <v>2000</v>
      </c>
      <c r="L1419" s="41" t="s">
        <v>435</v>
      </c>
      <c r="M1419" s="44">
        <v>1</v>
      </c>
      <c r="N1419" s="43" t="s">
        <v>436</v>
      </c>
    </row>
    <row r="1420" spans="1:14" ht="15.75" customHeight="1">
      <c r="A1420" s="41" t="s">
        <v>932</v>
      </c>
      <c r="B1420" s="41" t="s">
        <v>933</v>
      </c>
      <c r="C1420" s="41" t="s">
        <v>431</v>
      </c>
      <c r="D1420" s="41" t="s">
        <v>432</v>
      </c>
      <c r="E1420" s="41" t="s">
        <v>433</v>
      </c>
      <c r="F1420" s="42">
        <v>19</v>
      </c>
      <c r="G1420" s="41" t="s">
        <v>368</v>
      </c>
      <c r="H1420" s="43" t="s">
        <v>434</v>
      </c>
      <c r="I1420" s="44">
        <v>60</v>
      </c>
      <c r="J1420" s="41"/>
      <c r="K1420" s="44">
        <v>1200</v>
      </c>
      <c r="L1420" s="41" t="s">
        <v>435</v>
      </c>
      <c r="M1420" s="44">
        <v>4</v>
      </c>
      <c r="N1420" s="43" t="s">
        <v>436</v>
      </c>
    </row>
    <row r="1421" spans="1:14" ht="15.75" customHeight="1">
      <c r="A1421" s="41" t="s">
        <v>934</v>
      </c>
      <c r="B1421" s="41" t="s">
        <v>935</v>
      </c>
      <c r="C1421" s="41" t="s">
        <v>424</v>
      </c>
      <c r="D1421" s="41" t="s">
        <v>425</v>
      </c>
      <c r="E1421" s="41" t="s">
        <v>48</v>
      </c>
      <c r="F1421" s="42">
        <v>4</v>
      </c>
      <c r="G1421" s="41" t="s">
        <v>11</v>
      </c>
      <c r="H1421" s="43" t="s">
        <v>426</v>
      </c>
      <c r="I1421" s="44">
        <v>30</v>
      </c>
      <c r="J1421" s="44">
        <v>15</v>
      </c>
      <c r="K1421" s="41"/>
      <c r="L1421" s="45">
        <v>52000</v>
      </c>
      <c r="M1421" s="44">
        <v>1</v>
      </c>
      <c r="N1421" s="43" t="s">
        <v>383</v>
      </c>
    </row>
    <row r="1422" spans="1:14" ht="15.75" customHeight="1">
      <c r="A1422" s="41" t="s">
        <v>934</v>
      </c>
      <c r="B1422" s="41" t="s">
        <v>935</v>
      </c>
      <c r="C1422" s="41" t="s">
        <v>424</v>
      </c>
      <c r="D1422" s="41" t="s">
        <v>425</v>
      </c>
      <c r="E1422" s="41" t="s">
        <v>48</v>
      </c>
      <c r="F1422" s="42">
        <v>5</v>
      </c>
      <c r="G1422" s="41" t="s">
        <v>12</v>
      </c>
      <c r="H1422" s="43" t="s">
        <v>427</v>
      </c>
      <c r="I1422" s="44">
        <v>125</v>
      </c>
      <c r="J1422" s="44">
        <v>15</v>
      </c>
      <c r="K1422" s="41"/>
      <c r="L1422" s="45">
        <v>50000</v>
      </c>
      <c r="M1422" s="44">
        <v>1</v>
      </c>
      <c r="N1422" s="43" t="s">
        <v>383</v>
      </c>
    </row>
    <row r="1423" spans="1:14" ht="15.75" customHeight="1">
      <c r="A1423" s="41" t="s">
        <v>934</v>
      </c>
      <c r="B1423" s="41" t="s">
        <v>935</v>
      </c>
      <c r="C1423" s="41" t="s">
        <v>424</v>
      </c>
      <c r="D1423" s="41" t="s">
        <v>425</v>
      </c>
      <c r="E1423" s="41" t="s">
        <v>48</v>
      </c>
      <c r="F1423" s="42">
        <v>6</v>
      </c>
      <c r="G1423" s="41" t="s">
        <v>13</v>
      </c>
      <c r="H1423" s="43" t="s">
        <v>427</v>
      </c>
      <c r="I1423" s="44">
        <v>30</v>
      </c>
      <c r="J1423" s="44">
        <v>15</v>
      </c>
      <c r="K1423" s="41"/>
      <c r="L1423" s="45">
        <v>50000</v>
      </c>
      <c r="M1423" s="44">
        <v>1</v>
      </c>
      <c r="N1423" s="43" t="s">
        <v>383</v>
      </c>
    </row>
    <row r="1424" spans="1:14" ht="15.75" customHeight="1">
      <c r="A1424" s="41" t="s">
        <v>934</v>
      </c>
      <c r="B1424" s="41" t="s">
        <v>935</v>
      </c>
      <c r="C1424" s="41" t="s">
        <v>424</v>
      </c>
      <c r="D1424" s="41" t="s">
        <v>429</v>
      </c>
      <c r="E1424" s="41" t="s">
        <v>74</v>
      </c>
      <c r="F1424" s="42">
        <v>7</v>
      </c>
      <c r="G1424" s="41" t="s">
        <v>11</v>
      </c>
      <c r="H1424" s="43" t="s">
        <v>426</v>
      </c>
      <c r="I1424" s="44">
        <v>20</v>
      </c>
      <c r="J1424" s="44">
        <v>15</v>
      </c>
      <c r="K1424" s="41"/>
      <c r="L1424" s="45">
        <v>103000</v>
      </c>
      <c r="M1424" s="44">
        <v>1</v>
      </c>
      <c r="N1424" s="43" t="s">
        <v>383</v>
      </c>
    </row>
    <row r="1425" spans="1:14" ht="15.75" customHeight="1">
      <c r="A1425" s="41" t="s">
        <v>934</v>
      </c>
      <c r="B1425" s="41" t="s">
        <v>935</v>
      </c>
      <c r="C1425" s="41" t="s">
        <v>424</v>
      </c>
      <c r="D1425" s="41" t="s">
        <v>429</v>
      </c>
      <c r="E1425" s="41" t="s">
        <v>74</v>
      </c>
      <c r="F1425" s="42">
        <v>8</v>
      </c>
      <c r="G1425" s="41" t="s">
        <v>12</v>
      </c>
      <c r="H1425" s="43" t="s">
        <v>430</v>
      </c>
      <c r="I1425" s="44">
        <v>180</v>
      </c>
      <c r="J1425" s="44">
        <v>15</v>
      </c>
      <c r="K1425" s="41"/>
      <c r="L1425" s="45">
        <v>103000</v>
      </c>
      <c r="M1425" s="44">
        <v>1</v>
      </c>
      <c r="N1425" s="43" t="s">
        <v>383</v>
      </c>
    </row>
    <row r="1426" spans="1:14" ht="15.75" customHeight="1">
      <c r="A1426" s="41" t="s">
        <v>934</v>
      </c>
      <c r="B1426" s="41" t="s">
        <v>935</v>
      </c>
      <c r="C1426" s="41" t="s">
        <v>424</v>
      </c>
      <c r="D1426" s="41" t="s">
        <v>429</v>
      </c>
      <c r="E1426" s="41" t="s">
        <v>74</v>
      </c>
      <c r="F1426" s="42">
        <v>9</v>
      </c>
      <c r="G1426" s="41" t="s">
        <v>13</v>
      </c>
      <c r="H1426" s="43" t="s">
        <v>430</v>
      </c>
      <c r="I1426" s="44">
        <v>40</v>
      </c>
      <c r="J1426" s="44">
        <v>15</v>
      </c>
      <c r="K1426" s="41"/>
      <c r="L1426" s="45">
        <v>103000</v>
      </c>
      <c r="M1426" s="44">
        <v>1</v>
      </c>
      <c r="N1426" s="43" t="s">
        <v>383</v>
      </c>
    </row>
    <row r="1427" spans="1:14" ht="15.75" customHeight="1">
      <c r="A1427" s="41" t="s">
        <v>934</v>
      </c>
      <c r="B1427" s="41" t="s">
        <v>935</v>
      </c>
      <c r="C1427" s="41" t="s">
        <v>431</v>
      </c>
      <c r="D1427" s="41" t="s">
        <v>432</v>
      </c>
      <c r="E1427" s="41" t="s">
        <v>433</v>
      </c>
      <c r="F1427" s="42">
        <v>18</v>
      </c>
      <c r="G1427" s="41" t="s">
        <v>439</v>
      </c>
      <c r="H1427" s="43" t="s">
        <v>440</v>
      </c>
      <c r="I1427" s="44">
        <v>60</v>
      </c>
      <c r="J1427" s="41"/>
      <c r="K1427" s="44">
        <v>1000</v>
      </c>
      <c r="L1427" s="41" t="s">
        <v>435</v>
      </c>
      <c r="M1427" s="44">
        <v>1</v>
      </c>
      <c r="N1427" s="43" t="s">
        <v>436</v>
      </c>
    </row>
    <row r="1428" spans="1:14" ht="15.75" customHeight="1">
      <c r="A1428" s="41" t="s">
        <v>934</v>
      </c>
      <c r="B1428" s="41" t="s">
        <v>935</v>
      </c>
      <c r="C1428" s="41" t="s">
        <v>431</v>
      </c>
      <c r="D1428" s="41" t="s">
        <v>432</v>
      </c>
      <c r="E1428" s="41" t="s">
        <v>433</v>
      </c>
      <c r="F1428" s="42">
        <v>19</v>
      </c>
      <c r="G1428" s="41" t="s">
        <v>368</v>
      </c>
      <c r="H1428" s="43" t="s">
        <v>434</v>
      </c>
      <c r="I1428" s="44">
        <v>60</v>
      </c>
      <c r="J1428" s="41"/>
      <c r="K1428" s="44">
        <v>900</v>
      </c>
      <c r="L1428" s="41" t="s">
        <v>435</v>
      </c>
      <c r="M1428" s="44">
        <v>4</v>
      </c>
      <c r="N1428" s="43" t="s">
        <v>436</v>
      </c>
    </row>
    <row r="1429" spans="1:14" ht="15.75" customHeight="1">
      <c r="A1429" s="41" t="s">
        <v>936</v>
      </c>
      <c r="B1429" s="41" t="s">
        <v>937</v>
      </c>
      <c r="C1429" s="41" t="s">
        <v>424</v>
      </c>
      <c r="D1429" s="41" t="s">
        <v>425</v>
      </c>
      <c r="E1429" s="41" t="s">
        <v>48</v>
      </c>
      <c r="F1429" s="42">
        <v>4</v>
      </c>
      <c r="G1429" s="41" t="s">
        <v>11</v>
      </c>
      <c r="H1429" s="43" t="s">
        <v>426</v>
      </c>
      <c r="I1429" s="44">
        <v>25</v>
      </c>
      <c r="J1429" s="44">
        <v>47.5</v>
      </c>
      <c r="K1429" s="41"/>
      <c r="L1429" s="45">
        <v>52000</v>
      </c>
      <c r="M1429" s="44">
        <v>1</v>
      </c>
      <c r="N1429" s="43" t="s">
        <v>383</v>
      </c>
    </row>
    <row r="1430" spans="1:14" ht="15.75" customHeight="1">
      <c r="A1430" s="41" t="s">
        <v>936</v>
      </c>
      <c r="B1430" s="41" t="s">
        <v>937</v>
      </c>
      <c r="C1430" s="41" t="s">
        <v>424</v>
      </c>
      <c r="D1430" s="41" t="s">
        <v>425</v>
      </c>
      <c r="E1430" s="41" t="s">
        <v>48</v>
      </c>
      <c r="F1430" s="42">
        <v>5</v>
      </c>
      <c r="G1430" s="41" t="s">
        <v>12</v>
      </c>
      <c r="H1430" s="43" t="s">
        <v>427</v>
      </c>
      <c r="I1430" s="44">
        <v>125</v>
      </c>
      <c r="J1430" s="44">
        <v>47.5</v>
      </c>
      <c r="K1430" s="41"/>
      <c r="L1430" s="45">
        <v>52000</v>
      </c>
      <c r="M1430" s="44">
        <v>1</v>
      </c>
      <c r="N1430" s="43" t="s">
        <v>383</v>
      </c>
    </row>
    <row r="1431" spans="1:14" ht="15.75" customHeight="1">
      <c r="A1431" s="41" t="s">
        <v>936</v>
      </c>
      <c r="B1431" s="41" t="s">
        <v>937</v>
      </c>
      <c r="C1431" s="41" t="s">
        <v>424</v>
      </c>
      <c r="D1431" s="41" t="s">
        <v>425</v>
      </c>
      <c r="E1431" s="41" t="s">
        <v>48</v>
      </c>
      <c r="F1431" s="42">
        <v>6</v>
      </c>
      <c r="G1431" s="41" t="s">
        <v>13</v>
      </c>
      <c r="H1431" s="43" t="s">
        <v>427</v>
      </c>
      <c r="I1431" s="44">
        <v>30</v>
      </c>
      <c r="J1431" s="44">
        <v>47.5</v>
      </c>
      <c r="K1431" s="41"/>
      <c r="L1431" s="45">
        <v>52000</v>
      </c>
      <c r="M1431" s="44">
        <v>1</v>
      </c>
      <c r="N1431" s="43" t="s">
        <v>383</v>
      </c>
    </row>
    <row r="1432" spans="1:14" ht="15.75" customHeight="1">
      <c r="A1432" s="41" t="s">
        <v>936</v>
      </c>
      <c r="B1432" s="41" t="s">
        <v>937</v>
      </c>
      <c r="C1432" s="41" t="s">
        <v>431</v>
      </c>
      <c r="D1432" s="41" t="s">
        <v>432</v>
      </c>
      <c r="E1432" s="41" t="s">
        <v>433</v>
      </c>
      <c r="F1432" s="42">
        <v>18</v>
      </c>
      <c r="G1432" s="41" t="s">
        <v>439</v>
      </c>
      <c r="H1432" s="43" t="s">
        <v>440</v>
      </c>
      <c r="I1432" s="44">
        <v>60</v>
      </c>
      <c r="J1432" s="41"/>
      <c r="K1432" s="44">
        <v>1000</v>
      </c>
      <c r="L1432" s="41" t="s">
        <v>435</v>
      </c>
      <c r="M1432" s="44">
        <v>1</v>
      </c>
      <c r="N1432" s="43" t="s">
        <v>436</v>
      </c>
    </row>
    <row r="1433" spans="1:14" ht="15.75" customHeight="1">
      <c r="A1433" s="41" t="s">
        <v>936</v>
      </c>
      <c r="B1433" s="41" t="s">
        <v>937</v>
      </c>
      <c r="C1433" s="41" t="s">
        <v>431</v>
      </c>
      <c r="D1433" s="41" t="s">
        <v>432</v>
      </c>
      <c r="E1433" s="41" t="s">
        <v>433</v>
      </c>
      <c r="F1433" s="42">
        <v>19</v>
      </c>
      <c r="G1433" s="41" t="s">
        <v>368</v>
      </c>
      <c r="H1433" s="43" t="s">
        <v>434</v>
      </c>
      <c r="I1433" s="44">
        <v>60</v>
      </c>
      <c r="J1433" s="41"/>
      <c r="K1433" s="44">
        <v>600</v>
      </c>
      <c r="L1433" s="41" t="s">
        <v>435</v>
      </c>
      <c r="M1433" s="44">
        <v>3</v>
      </c>
      <c r="N1433" s="43" t="s">
        <v>436</v>
      </c>
    </row>
    <row r="1434" spans="1:14" ht="15.75" customHeight="1">
      <c r="A1434" s="41" t="s">
        <v>938</v>
      </c>
      <c r="B1434" s="41" t="s">
        <v>939</v>
      </c>
      <c r="C1434" s="41" t="s">
        <v>442</v>
      </c>
      <c r="D1434" s="41" t="s">
        <v>443</v>
      </c>
      <c r="E1434" s="41" t="s">
        <v>33</v>
      </c>
      <c r="F1434" s="42">
        <v>11</v>
      </c>
      <c r="G1434" s="41" t="s">
        <v>12</v>
      </c>
      <c r="H1434" s="43" t="s">
        <v>444</v>
      </c>
      <c r="I1434" s="44">
        <v>50</v>
      </c>
      <c r="J1434" s="44">
        <v>1000</v>
      </c>
      <c r="K1434" s="41"/>
      <c r="L1434" s="45">
        <v>6000</v>
      </c>
      <c r="M1434" s="44">
        <v>1</v>
      </c>
      <c r="N1434" s="43" t="s">
        <v>383</v>
      </c>
    </row>
    <row r="1435" spans="1:14" ht="15.75" customHeight="1">
      <c r="A1435" s="41" t="s">
        <v>938</v>
      </c>
      <c r="B1435" s="41" t="s">
        <v>939</v>
      </c>
      <c r="C1435" s="41" t="s">
        <v>442</v>
      </c>
      <c r="D1435" s="41" t="s">
        <v>443</v>
      </c>
      <c r="E1435" s="41" t="s">
        <v>33</v>
      </c>
      <c r="F1435" s="42">
        <v>12</v>
      </c>
      <c r="G1435" s="41" t="s">
        <v>13</v>
      </c>
      <c r="H1435" s="43" t="s">
        <v>444</v>
      </c>
      <c r="I1435" s="44">
        <v>10</v>
      </c>
      <c r="J1435" s="44">
        <v>1000</v>
      </c>
      <c r="K1435" s="41"/>
      <c r="L1435" s="45">
        <v>6000</v>
      </c>
      <c r="M1435" s="44">
        <v>1</v>
      </c>
      <c r="N1435" s="43" t="s">
        <v>383</v>
      </c>
    </row>
    <row r="1436" spans="1:14" ht="15.75" customHeight="1">
      <c r="A1436" s="41" t="s">
        <v>938</v>
      </c>
      <c r="B1436" s="41" t="s">
        <v>939</v>
      </c>
      <c r="C1436" s="41" t="s">
        <v>431</v>
      </c>
      <c r="D1436" s="41" t="s">
        <v>432</v>
      </c>
      <c r="E1436" s="41" t="s">
        <v>433</v>
      </c>
      <c r="F1436" s="42">
        <v>19</v>
      </c>
      <c r="G1436" s="41" t="s">
        <v>368</v>
      </c>
      <c r="H1436" s="43" t="s">
        <v>434</v>
      </c>
      <c r="I1436" s="44">
        <v>60</v>
      </c>
      <c r="J1436" s="41"/>
      <c r="K1436" s="44">
        <v>40000</v>
      </c>
      <c r="L1436" s="41" t="s">
        <v>435</v>
      </c>
      <c r="M1436" s="44">
        <v>1</v>
      </c>
      <c r="N1436" s="43" t="s">
        <v>436</v>
      </c>
    </row>
    <row r="1437" spans="1:14" ht="15.75" customHeight="1">
      <c r="A1437" s="41" t="s">
        <v>940</v>
      </c>
      <c r="B1437" s="41" t="s">
        <v>941</v>
      </c>
      <c r="C1437" s="41" t="s">
        <v>424</v>
      </c>
      <c r="D1437" s="41" t="s">
        <v>425</v>
      </c>
      <c r="E1437" s="41" t="s">
        <v>48</v>
      </c>
      <c r="F1437" s="42">
        <v>4</v>
      </c>
      <c r="G1437" s="41" t="s">
        <v>11</v>
      </c>
      <c r="H1437" s="43" t="s">
        <v>426</v>
      </c>
      <c r="I1437" s="44">
        <v>20</v>
      </c>
      <c r="J1437" s="44">
        <v>47.7</v>
      </c>
      <c r="K1437" s="41"/>
      <c r="L1437" s="45">
        <v>52000</v>
      </c>
      <c r="M1437" s="44">
        <v>1</v>
      </c>
      <c r="N1437" s="43" t="s">
        <v>383</v>
      </c>
    </row>
    <row r="1438" spans="1:14" ht="15.75" customHeight="1">
      <c r="A1438" s="41" t="s">
        <v>940</v>
      </c>
      <c r="B1438" s="41" t="s">
        <v>941</v>
      </c>
      <c r="C1438" s="41" t="s">
        <v>424</v>
      </c>
      <c r="D1438" s="41" t="s">
        <v>425</v>
      </c>
      <c r="E1438" s="41" t="s">
        <v>48</v>
      </c>
      <c r="F1438" s="42">
        <v>5</v>
      </c>
      <c r="G1438" s="41" t="s">
        <v>12</v>
      </c>
      <c r="H1438" s="43" t="s">
        <v>427</v>
      </c>
      <c r="I1438" s="44">
        <v>130</v>
      </c>
      <c r="J1438" s="44">
        <v>47.7</v>
      </c>
      <c r="K1438" s="41"/>
      <c r="L1438" s="45">
        <v>52000</v>
      </c>
      <c r="M1438" s="44">
        <v>1</v>
      </c>
      <c r="N1438" s="43" t="s">
        <v>383</v>
      </c>
    </row>
    <row r="1439" spans="1:14" ht="15.75" customHeight="1">
      <c r="A1439" s="41" t="s">
        <v>940</v>
      </c>
      <c r="B1439" s="41" t="s">
        <v>941</v>
      </c>
      <c r="C1439" s="41" t="s">
        <v>424</v>
      </c>
      <c r="D1439" s="41" t="s">
        <v>425</v>
      </c>
      <c r="E1439" s="41" t="s">
        <v>48</v>
      </c>
      <c r="F1439" s="42">
        <v>6</v>
      </c>
      <c r="G1439" s="41" t="s">
        <v>13</v>
      </c>
      <c r="H1439" s="43" t="s">
        <v>427</v>
      </c>
      <c r="I1439" s="44">
        <v>30</v>
      </c>
      <c r="J1439" s="44">
        <v>47.7</v>
      </c>
      <c r="K1439" s="41"/>
      <c r="L1439" s="45">
        <v>52000</v>
      </c>
      <c r="M1439" s="44">
        <v>1</v>
      </c>
      <c r="N1439" s="43" t="s">
        <v>383</v>
      </c>
    </row>
    <row r="1440" spans="1:14" ht="15.75" customHeight="1">
      <c r="A1440" s="41" t="s">
        <v>940</v>
      </c>
      <c r="B1440" s="41" t="s">
        <v>941</v>
      </c>
      <c r="C1440" s="41" t="s">
        <v>424</v>
      </c>
      <c r="D1440" s="41" t="s">
        <v>429</v>
      </c>
      <c r="E1440" s="41" t="s">
        <v>74</v>
      </c>
      <c r="F1440" s="42">
        <v>7</v>
      </c>
      <c r="G1440" s="41" t="s">
        <v>11</v>
      </c>
      <c r="H1440" s="43" t="s">
        <v>426</v>
      </c>
      <c r="I1440" s="44">
        <v>30</v>
      </c>
      <c r="J1440" s="44">
        <v>47.7</v>
      </c>
      <c r="K1440" s="41"/>
      <c r="L1440" s="45">
        <v>103000</v>
      </c>
      <c r="M1440" s="44">
        <v>1</v>
      </c>
      <c r="N1440" s="43" t="s">
        <v>383</v>
      </c>
    </row>
    <row r="1441" spans="1:14" ht="15.75" customHeight="1">
      <c r="A1441" s="41" t="s">
        <v>940</v>
      </c>
      <c r="B1441" s="41" t="s">
        <v>941</v>
      </c>
      <c r="C1441" s="41" t="s">
        <v>424</v>
      </c>
      <c r="D1441" s="41" t="s">
        <v>429</v>
      </c>
      <c r="E1441" s="41" t="s">
        <v>74</v>
      </c>
      <c r="F1441" s="42">
        <v>8</v>
      </c>
      <c r="G1441" s="41" t="s">
        <v>12</v>
      </c>
      <c r="H1441" s="43" t="s">
        <v>430</v>
      </c>
      <c r="I1441" s="44">
        <v>190</v>
      </c>
      <c r="J1441" s="44">
        <v>47.7</v>
      </c>
      <c r="K1441" s="41"/>
      <c r="L1441" s="45">
        <v>103000</v>
      </c>
      <c r="M1441" s="44">
        <v>1</v>
      </c>
      <c r="N1441" s="43" t="s">
        <v>383</v>
      </c>
    </row>
    <row r="1442" spans="1:14" ht="15.75" customHeight="1">
      <c r="A1442" s="41" t="s">
        <v>940</v>
      </c>
      <c r="B1442" s="41" t="s">
        <v>941</v>
      </c>
      <c r="C1442" s="41" t="s">
        <v>424</v>
      </c>
      <c r="D1442" s="41" t="s">
        <v>429</v>
      </c>
      <c r="E1442" s="41" t="s">
        <v>74</v>
      </c>
      <c r="F1442" s="42">
        <v>9</v>
      </c>
      <c r="G1442" s="41" t="s">
        <v>13</v>
      </c>
      <c r="H1442" s="43" t="s">
        <v>430</v>
      </c>
      <c r="I1442" s="44">
        <v>40</v>
      </c>
      <c r="J1442" s="44">
        <v>47.7</v>
      </c>
      <c r="K1442" s="41"/>
      <c r="L1442" s="45">
        <v>103000</v>
      </c>
      <c r="M1442" s="44">
        <v>1</v>
      </c>
      <c r="N1442" s="43" t="s">
        <v>383</v>
      </c>
    </row>
    <row r="1443" spans="1:14" ht="15.75" customHeight="1">
      <c r="A1443" s="41" t="s">
        <v>940</v>
      </c>
      <c r="B1443" s="41" t="s">
        <v>941</v>
      </c>
      <c r="C1443" s="41" t="s">
        <v>431</v>
      </c>
      <c r="D1443" s="41" t="s">
        <v>432</v>
      </c>
      <c r="E1443" s="41" t="s">
        <v>433</v>
      </c>
      <c r="F1443" s="42">
        <v>19</v>
      </c>
      <c r="G1443" s="41" t="s">
        <v>368</v>
      </c>
      <c r="H1443" s="43" t="s">
        <v>434</v>
      </c>
      <c r="I1443" s="44">
        <v>60</v>
      </c>
      <c r="J1443" s="41"/>
      <c r="K1443" s="44">
        <v>180</v>
      </c>
      <c r="L1443" s="41" t="s">
        <v>435</v>
      </c>
      <c r="M1443" s="44">
        <v>1.5</v>
      </c>
      <c r="N1443" s="43" t="s">
        <v>436</v>
      </c>
    </row>
    <row r="1444" spans="1:14" ht="15.75" customHeight="1">
      <c r="A1444" s="41" t="s">
        <v>942</v>
      </c>
      <c r="B1444" s="41" t="s">
        <v>69</v>
      </c>
      <c r="C1444" s="41" t="s">
        <v>442</v>
      </c>
      <c r="D1444" s="41" t="s">
        <v>448</v>
      </c>
      <c r="E1444" s="41" t="s">
        <v>40</v>
      </c>
      <c r="F1444" s="42">
        <v>1</v>
      </c>
      <c r="G1444" s="41" t="s">
        <v>11</v>
      </c>
      <c r="H1444" s="43" t="s">
        <v>426</v>
      </c>
      <c r="I1444" s="44">
        <v>25</v>
      </c>
      <c r="J1444" s="44">
        <v>31</v>
      </c>
      <c r="K1444" s="41"/>
      <c r="L1444" s="45">
        <v>400000</v>
      </c>
      <c r="M1444" s="44">
        <v>1</v>
      </c>
      <c r="N1444" s="43" t="s">
        <v>383</v>
      </c>
    </row>
    <row r="1445" spans="1:14" ht="15.75" customHeight="1">
      <c r="A1445" s="41" t="s">
        <v>942</v>
      </c>
      <c r="B1445" s="41" t="s">
        <v>69</v>
      </c>
      <c r="C1445" s="41" t="s">
        <v>442</v>
      </c>
      <c r="D1445" s="41" t="s">
        <v>448</v>
      </c>
      <c r="E1445" s="41" t="s">
        <v>40</v>
      </c>
      <c r="F1445" s="42">
        <v>2</v>
      </c>
      <c r="G1445" s="41" t="s">
        <v>12</v>
      </c>
      <c r="H1445" s="43" t="s">
        <v>449</v>
      </c>
      <c r="I1445" s="44">
        <v>120</v>
      </c>
      <c r="J1445" s="44">
        <v>31</v>
      </c>
      <c r="K1445" s="41"/>
      <c r="L1445" s="45">
        <v>400000</v>
      </c>
      <c r="M1445" s="44">
        <v>1</v>
      </c>
      <c r="N1445" s="43" t="s">
        <v>383</v>
      </c>
    </row>
    <row r="1446" spans="1:14" ht="15.75" customHeight="1">
      <c r="A1446" s="41" t="s">
        <v>942</v>
      </c>
      <c r="B1446" s="41" t="s">
        <v>69</v>
      </c>
      <c r="C1446" s="41" t="s">
        <v>442</v>
      </c>
      <c r="D1446" s="41" t="s">
        <v>448</v>
      </c>
      <c r="E1446" s="41" t="s">
        <v>40</v>
      </c>
      <c r="F1446" s="42">
        <v>3</v>
      </c>
      <c r="G1446" s="41" t="s">
        <v>13</v>
      </c>
      <c r="H1446" s="43" t="s">
        <v>449</v>
      </c>
      <c r="I1446" s="44">
        <v>30</v>
      </c>
      <c r="J1446" s="44">
        <v>31</v>
      </c>
      <c r="K1446" s="41"/>
      <c r="L1446" s="45">
        <v>400000</v>
      </c>
      <c r="M1446" s="44">
        <v>1</v>
      </c>
      <c r="N1446" s="43" t="s">
        <v>383</v>
      </c>
    </row>
    <row r="1447" spans="1:14" ht="15.75" customHeight="1">
      <c r="A1447" s="41" t="s">
        <v>942</v>
      </c>
      <c r="B1447" s="41" t="s">
        <v>69</v>
      </c>
      <c r="C1447" s="41" t="s">
        <v>431</v>
      </c>
      <c r="D1447" s="41" t="s">
        <v>432</v>
      </c>
      <c r="E1447" s="41" t="s">
        <v>433</v>
      </c>
      <c r="F1447" s="42">
        <v>18</v>
      </c>
      <c r="G1447" s="41" t="s">
        <v>439</v>
      </c>
      <c r="H1447" s="43" t="s">
        <v>440</v>
      </c>
      <c r="I1447" s="44">
        <v>60</v>
      </c>
      <c r="J1447" s="41"/>
      <c r="K1447" s="44">
        <v>2700</v>
      </c>
      <c r="L1447" s="41" t="s">
        <v>435</v>
      </c>
      <c r="M1447" s="44">
        <v>1</v>
      </c>
      <c r="N1447" s="43" t="s">
        <v>436</v>
      </c>
    </row>
    <row r="1448" spans="1:14" ht="15.75" customHeight="1">
      <c r="A1448" s="41" t="s">
        <v>942</v>
      </c>
      <c r="B1448" s="41" t="s">
        <v>69</v>
      </c>
      <c r="C1448" s="41" t="s">
        <v>431</v>
      </c>
      <c r="D1448" s="41" t="s">
        <v>432</v>
      </c>
      <c r="E1448" s="41" t="s">
        <v>433</v>
      </c>
      <c r="F1448" s="42">
        <v>19</v>
      </c>
      <c r="G1448" s="41" t="s">
        <v>368</v>
      </c>
      <c r="H1448" s="43" t="s">
        <v>434</v>
      </c>
      <c r="I1448" s="44">
        <v>60</v>
      </c>
      <c r="J1448" s="41"/>
      <c r="K1448" s="44">
        <v>1100</v>
      </c>
      <c r="L1448" s="41" t="s">
        <v>435</v>
      </c>
      <c r="M1448" s="44">
        <v>2</v>
      </c>
      <c r="N1448" s="43" t="s">
        <v>436</v>
      </c>
    </row>
    <row r="1449" spans="1:14" ht="15.75" customHeight="1">
      <c r="A1449" s="41" t="s">
        <v>943</v>
      </c>
      <c r="B1449" s="41" t="s">
        <v>944</v>
      </c>
      <c r="C1449" s="41" t="s">
        <v>424</v>
      </c>
      <c r="D1449" s="41" t="s">
        <v>443</v>
      </c>
      <c r="E1449" s="41" t="s">
        <v>33</v>
      </c>
      <c r="F1449" s="42">
        <v>10</v>
      </c>
      <c r="G1449" s="41" t="s">
        <v>11</v>
      </c>
      <c r="H1449" s="43" t="s">
        <v>426</v>
      </c>
      <c r="I1449" s="44">
        <v>25</v>
      </c>
      <c r="J1449" s="44">
        <v>49.5</v>
      </c>
      <c r="K1449" s="41"/>
      <c r="L1449" s="45">
        <v>103000</v>
      </c>
      <c r="M1449" s="44">
        <v>1</v>
      </c>
      <c r="N1449" s="43" t="s">
        <v>383</v>
      </c>
    </row>
    <row r="1450" spans="1:14" ht="15.75" customHeight="1">
      <c r="A1450" s="41" t="s">
        <v>943</v>
      </c>
      <c r="B1450" s="41" t="s">
        <v>944</v>
      </c>
      <c r="C1450" s="41" t="s">
        <v>424</v>
      </c>
      <c r="D1450" s="41" t="s">
        <v>443</v>
      </c>
      <c r="E1450" s="41" t="s">
        <v>33</v>
      </c>
      <c r="F1450" s="42">
        <v>11</v>
      </c>
      <c r="G1450" s="41" t="s">
        <v>12</v>
      </c>
      <c r="H1450" s="43" t="s">
        <v>444</v>
      </c>
      <c r="I1450" s="44">
        <v>110</v>
      </c>
      <c r="J1450" s="44">
        <v>49.5</v>
      </c>
      <c r="K1450" s="41"/>
      <c r="L1450" s="45">
        <v>103000</v>
      </c>
      <c r="M1450" s="44">
        <v>1</v>
      </c>
      <c r="N1450" s="43" t="s">
        <v>383</v>
      </c>
    </row>
    <row r="1451" spans="1:14" ht="15.75" customHeight="1">
      <c r="A1451" s="41" t="s">
        <v>943</v>
      </c>
      <c r="B1451" s="41" t="s">
        <v>944</v>
      </c>
      <c r="C1451" s="41" t="s">
        <v>424</v>
      </c>
      <c r="D1451" s="41" t="s">
        <v>443</v>
      </c>
      <c r="E1451" s="41" t="s">
        <v>33</v>
      </c>
      <c r="F1451" s="42">
        <v>12</v>
      </c>
      <c r="G1451" s="41" t="s">
        <v>13</v>
      </c>
      <c r="H1451" s="43" t="s">
        <v>444</v>
      </c>
      <c r="I1451" s="44">
        <v>20</v>
      </c>
      <c r="J1451" s="44">
        <v>49.5</v>
      </c>
      <c r="K1451" s="41"/>
      <c r="L1451" s="45">
        <v>103000</v>
      </c>
      <c r="M1451" s="44">
        <v>1</v>
      </c>
      <c r="N1451" s="43" t="s">
        <v>383</v>
      </c>
    </row>
    <row r="1452" spans="1:14" ht="15.75" customHeight="1">
      <c r="A1452" s="41" t="s">
        <v>943</v>
      </c>
      <c r="B1452" s="41" t="s">
        <v>944</v>
      </c>
      <c r="C1452" s="41" t="s">
        <v>431</v>
      </c>
      <c r="D1452" s="41" t="s">
        <v>432</v>
      </c>
      <c r="E1452" s="41" t="s">
        <v>433</v>
      </c>
      <c r="F1452" s="42">
        <v>18</v>
      </c>
      <c r="G1452" s="41" t="s">
        <v>439</v>
      </c>
      <c r="H1452" s="43" t="s">
        <v>440</v>
      </c>
      <c r="I1452" s="44">
        <v>60</v>
      </c>
      <c r="J1452" s="41"/>
      <c r="K1452" s="44">
        <v>1000</v>
      </c>
      <c r="L1452" s="41" t="s">
        <v>435</v>
      </c>
      <c r="M1452" s="44">
        <v>1</v>
      </c>
      <c r="N1452" s="43" t="s">
        <v>436</v>
      </c>
    </row>
    <row r="1453" spans="1:14" ht="15.75" customHeight="1">
      <c r="A1453" s="41" t="s">
        <v>943</v>
      </c>
      <c r="B1453" s="41" t="s">
        <v>944</v>
      </c>
      <c r="C1453" s="41" t="s">
        <v>431</v>
      </c>
      <c r="D1453" s="41" t="s">
        <v>432</v>
      </c>
      <c r="E1453" s="41" t="s">
        <v>433</v>
      </c>
      <c r="F1453" s="42">
        <v>19</v>
      </c>
      <c r="G1453" s="41" t="s">
        <v>368</v>
      </c>
      <c r="H1453" s="43" t="s">
        <v>434</v>
      </c>
      <c r="I1453" s="44">
        <v>60</v>
      </c>
      <c r="J1453" s="41"/>
      <c r="K1453" s="44">
        <v>1000</v>
      </c>
      <c r="L1453" s="41" t="s">
        <v>435</v>
      </c>
      <c r="M1453" s="44">
        <v>4</v>
      </c>
      <c r="N1453" s="43" t="s">
        <v>436</v>
      </c>
    </row>
    <row r="1454" spans="1:14" ht="15.75" customHeight="1">
      <c r="A1454" s="41" t="s">
        <v>945</v>
      </c>
      <c r="B1454" s="41" t="s">
        <v>946</v>
      </c>
      <c r="C1454" s="41" t="s">
        <v>424</v>
      </c>
      <c r="D1454" s="41" t="s">
        <v>425</v>
      </c>
      <c r="E1454" s="41" t="s">
        <v>48</v>
      </c>
      <c r="F1454" s="42">
        <v>4</v>
      </c>
      <c r="G1454" s="41" t="s">
        <v>11</v>
      </c>
      <c r="H1454" s="43" t="s">
        <v>426</v>
      </c>
      <c r="I1454" s="44">
        <v>40</v>
      </c>
      <c r="J1454" s="44">
        <v>49.1</v>
      </c>
      <c r="K1454" s="41"/>
      <c r="L1454" s="45">
        <v>52000</v>
      </c>
      <c r="M1454" s="44">
        <v>1</v>
      </c>
      <c r="N1454" s="43" t="s">
        <v>383</v>
      </c>
    </row>
    <row r="1455" spans="1:14" ht="15.75" customHeight="1">
      <c r="A1455" s="41" t="s">
        <v>945</v>
      </c>
      <c r="B1455" s="41" t="s">
        <v>946</v>
      </c>
      <c r="C1455" s="41" t="s">
        <v>424</v>
      </c>
      <c r="D1455" s="41" t="s">
        <v>425</v>
      </c>
      <c r="E1455" s="41" t="s">
        <v>48</v>
      </c>
      <c r="F1455" s="42">
        <v>5</v>
      </c>
      <c r="G1455" s="41" t="s">
        <v>12</v>
      </c>
      <c r="H1455" s="43" t="s">
        <v>427</v>
      </c>
      <c r="I1455" s="44">
        <v>120</v>
      </c>
      <c r="J1455" s="44">
        <v>49.1</v>
      </c>
      <c r="K1455" s="41"/>
      <c r="L1455" s="45">
        <v>52000</v>
      </c>
      <c r="M1455" s="44">
        <v>1</v>
      </c>
      <c r="N1455" s="43" t="s">
        <v>383</v>
      </c>
    </row>
    <row r="1456" spans="1:14" ht="15.75" customHeight="1">
      <c r="A1456" s="41" t="s">
        <v>945</v>
      </c>
      <c r="B1456" s="41" t="s">
        <v>946</v>
      </c>
      <c r="C1456" s="41" t="s">
        <v>424</v>
      </c>
      <c r="D1456" s="41" t="s">
        <v>425</v>
      </c>
      <c r="E1456" s="41" t="s">
        <v>48</v>
      </c>
      <c r="F1456" s="42">
        <v>6</v>
      </c>
      <c r="G1456" s="41" t="s">
        <v>13</v>
      </c>
      <c r="H1456" s="43" t="s">
        <v>427</v>
      </c>
      <c r="I1456" s="44">
        <v>30</v>
      </c>
      <c r="J1456" s="44">
        <v>49.1</v>
      </c>
      <c r="K1456" s="41"/>
      <c r="L1456" s="45">
        <v>52000</v>
      </c>
      <c r="M1456" s="44">
        <v>1</v>
      </c>
      <c r="N1456" s="43" t="s">
        <v>383</v>
      </c>
    </row>
    <row r="1457" spans="1:14" ht="15.75" customHeight="1">
      <c r="A1457" s="41" t="s">
        <v>945</v>
      </c>
      <c r="B1457" s="41" t="s">
        <v>946</v>
      </c>
      <c r="C1457" s="41" t="s">
        <v>431</v>
      </c>
      <c r="D1457" s="41" t="s">
        <v>432</v>
      </c>
      <c r="E1457" s="41" t="s">
        <v>433</v>
      </c>
      <c r="F1457" s="42">
        <v>19</v>
      </c>
      <c r="G1457" s="41" t="s">
        <v>368</v>
      </c>
      <c r="H1457" s="43" t="s">
        <v>434</v>
      </c>
      <c r="I1457" s="44">
        <v>60</v>
      </c>
      <c r="J1457" s="41"/>
      <c r="K1457" s="44">
        <v>800</v>
      </c>
      <c r="L1457" s="41" t="s">
        <v>435</v>
      </c>
      <c r="M1457" s="44">
        <v>3</v>
      </c>
      <c r="N1457" s="43" t="s">
        <v>436</v>
      </c>
    </row>
    <row r="1458" spans="1:14" ht="15.75" customHeight="1">
      <c r="A1458" s="41" t="s">
        <v>947</v>
      </c>
      <c r="B1458" s="41" t="s">
        <v>305</v>
      </c>
      <c r="C1458" s="41" t="s">
        <v>442</v>
      </c>
      <c r="D1458" s="41" t="s">
        <v>443</v>
      </c>
      <c r="E1458" s="41" t="s">
        <v>33</v>
      </c>
      <c r="F1458" s="42">
        <v>10</v>
      </c>
      <c r="G1458" s="41" t="s">
        <v>11</v>
      </c>
      <c r="H1458" s="43" t="s">
        <v>426</v>
      </c>
      <c r="I1458" s="44">
        <v>100</v>
      </c>
      <c r="J1458" s="44">
        <v>35.5</v>
      </c>
      <c r="K1458" s="41"/>
      <c r="L1458" s="45">
        <v>75000</v>
      </c>
      <c r="M1458" s="44">
        <v>1</v>
      </c>
      <c r="N1458" s="43" t="s">
        <v>383</v>
      </c>
    </row>
    <row r="1459" spans="1:14" ht="15.75" customHeight="1">
      <c r="A1459" s="41" t="s">
        <v>947</v>
      </c>
      <c r="B1459" s="41" t="s">
        <v>305</v>
      </c>
      <c r="C1459" s="41" t="s">
        <v>442</v>
      </c>
      <c r="D1459" s="41" t="s">
        <v>443</v>
      </c>
      <c r="E1459" s="41" t="s">
        <v>33</v>
      </c>
      <c r="F1459" s="42">
        <v>11</v>
      </c>
      <c r="G1459" s="41" t="s">
        <v>12</v>
      </c>
      <c r="H1459" s="43" t="s">
        <v>444</v>
      </c>
      <c r="I1459" s="44">
        <v>160</v>
      </c>
      <c r="J1459" s="44">
        <v>35.5</v>
      </c>
      <c r="K1459" s="41"/>
      <c r="L1459" s="45">
        <v>75000</v>
      </c>
      <c r="M1459" s="44">
        <v>1</v>
      </c>
      <c r="N1459" s="43" t="s">
        <v>383</v>
      </c>
    </row>
    <row r="1460" spans="1:14" ht="15.75" customHeight="1">
      <c r="A1460" s="41" t="s">
        <v>947</v>
      </c>
      <c r="B1460" s="41" t="s">
        <v>305</v>
      </c>
      <c r="C1460" s="41" t="s">
        <v>442</v>
      </c>
      <c r="D1460" s="41" t="s">
        <v>443</v>
      </c>
      <c r="E1460" s="41" t="s">
        <v>33</v>
      </c>
      <c r="F1460" s="42">
        <v>12</v>
      </c>
      <c r="G1460" s="41" t="s">
        <v>13</v>
      </c>
      <c r="H1460" s="43" t="s">
        <v>444</v>
      </c>
      <c r="I1460" s="44">
        <v>15</v>
      </c>
      <c r="J1460" s="44">
        <v>35.5</v>
      </c>
      <c r="K1460" s="41"/>
      <c r="L1460" s="45">
        <v>75000</v>
      </c>
      <c r="M1460" s="44">
        <v>1</v>
      </c>
      <c r="N1460" s="43" t="s">
        <v>383</v>
      </c>
    </row>
    <row r="1461" spans="1:14" ht="15.75" customHeight="1">
      <c r="A1461" s="41" t="s">
        <v>947</v>
      </c>
      <c r="B1461" s="41" t="s">
        <v>305</v>
      </c>
      <c r="C1461" s="41" t="s">
        <v>431</v>
      </c>
      <c r="D1461" s="41" t="s">
        <v>432</v>
      </c>
      <c r="E1461" s="41" t="s">
        <v>433</v>
      </c>
      <c r="F1461" s="42">
        <v>18</v>
      </c>
      <c r="G1461" s="41" t="s">
        <v>439</v>
      </c>
      <c r="H1461" s="43" t="s">
        <v>440</v>
      </c>
      <c r="I1461" s="44">
        <v>60</v>
      </c>
      <c r="J1461" s="41"/>
      <c r="K1461" s="44">
        <v>900</v>
      </c>
      <c r="L1461" s="41" t="s">
        <v>435</v>
      </c>
      <c r="M1461" s="44">
        <v>1</v>
      </c>
      <c r="N1461" s="43" t="s">
        <v>436</v>
      </c>
    </row>
    <row r="1462" spans="1:14" ht="15.75" customHeight="1">
      <c r="A1462" s="41" t="s">
        <v>947</v>
      </c>
      <c r="B1462" s="41" t="s">
        <v>305</v>
      </c>
      <c r="C1462" s="41" t="s">
        <v>431</v>
      </c>
      <c r="D1462" s="41" t="s">
        <v>432</v>
      </c>
      <c r="E1462" s="41" t="s">
        <v>433</v>
      </c>
      <c r="F1462" s="42">
        <v>19</v>
      </c>
      <c r="G1462" s="41" t="s">
        <v>368</v>
      </c>
      <c r="H1462" s="43" t="s">
        <v>434</v>
      </c>
      <c r="I1462" s="44">
        <v>60</v>
      </c>
      <c r="J1462" s="41"/>
      <c r="K1462" s="44">
        <v>690</v>
      </c>
      <c r="L1462" s="41" t="s">
        <v>435</v>
      </c>
      <c r="M1462" s="44">
        <v>3</v>
      </c>
      <c r="N1462" s="43" t="s">
        <v>436</v>
      </c>
    </row>
    <row r="1463" spans="1:14" ht="15.75" customHeight="1">
      <c r="A1463" s="41" t="s">
        <v>948</v>
      </c>
      <c r="B1463" s="41" t="s">
        <v>325</v>
      </c>
      <c r="C1463" s="41" t="s">
        <v>424</v>
      </c>
      <c r="D1463" s="41" t="s">
        <v>425</v>
      </c>
      <c r="E1463" s="41" t="s">
        <v>48</v>
      </c>
      <c r="F1463" s="42">
        <v>4</v>
      </c>
      <c r="G1463" s="41" t="s">
        <v>11</v>
      </c>
      <c r="H1463" s="43" t="s">
        <v>426</v>
      </c>
      <c r="I1463" s="44">
        <v>35</v>
      </c>
      <c r="J1463" s="44">
        <v>48.2</v>
      </c>
      <c r="K1463" s="41"/>
      <c r="L1463" s="45">
        <v>52000</v>
      </c>
      <c r="M1463" s="44">
        <v>1</v>
      </c>
      <c r="N1463" s="43" t="s">
        <v>383</v>
      </c>
    </row>
    <row r="1464" spans="1:14" ht="15.75" customHeight="1">
      <c r="A1464" s="41" t="s">
        <v>948</v>
      </c>
      <c r="B1464" s="41" t="s">
        <v>325</v>
      </c>
      <c r="C1464" s="41" t="s">
        <v>424</v>
      </c>
      <c r="D1464" s="41" t="s">
        <v>425</v>
      </c>
      <c r="E1464" s="41" t="s">
        <v>48</v>
      </c>
      <c r="F1464" s="42">
        <v>5</v>
      </c>
      <c r="G1464" s="41" t="s">
        <v>12</v>
      </c>
      <c r="H1464" s="43" t="s">
        <v>427</v>
      </c>
      <c r="I1464" s="44">
        <v>125</v>
      </c>
      <c r="J1464" s="44">
        <v>48.2</v>
      </c>
      <c r="K1464" s="41"/>
      <c r="L1464" s="45">
        <v>52000</v>
      </c>
      <c r="M1464" s="44">
        <v>1</v>
      </c>
      <c r="N1464" s="43" t="s">
        <v>383</v>
      </c>
    </row>
    <row r="1465" spans="1:14" ht="15.75" customHeight="1">
      <c r="A1465" s="41" t="s">
        <v>948</v>
      </c>
      <c r="B1465" s="41" t="s">
        <v>325</v>
      </c>
      <c r="C1465" s="41" t="s">
        <v>424</v>
      </c>
      <c r="D1465" s="41" t="s">
        <v>425</v>
      </c>
      <c r="E1465" s="41" t="s">
        <v>48</v>
      </c>
      <c r="F1465" s="42">
        <v>6</v>
      </c>
      <c r="G1465" s="41" t="s">
        <v>13</v>
      </c>
      <c r="H1465" s="43" t="s">
        <v>427</v>
      </c>
      <c r="I1465" s="44">
        <v>30</v>
      </c>
      <c r="J1465" s="44">
        <v>48.2</v>
      </c>
      <c r="K1465" s="41"/>
      <c r="L1465" s="45">
        <v>52000</v>
      </c>
      <c r="M1465" s="44">
        <v>1</v>
      </c>
      <c r="N1465" s="43" t="s">
        <v>383</v>
      </c>
    </row>
    <row r="1466" spans="1:14" ht="15.75" customHeight="1">
      <c r="A1466" s="41" t="s">
        <v>948</v>
      </c>
      <c r="B1466" s="41" t="s">
        <v>325</v>
      </c>
      <c r="C1466" s="41" t="s">
        <v>431</v>
      </c>
      <c r="D1466" s="41" t="s">
        <v>432</v>
      </c>
      <c r="E1466" s="41" t="s">
        <v>433</v>
      </c>
      <c r="F1466" s="42">
        <v>18</v>
      </c>
      <c r="G1466" s="41" t="s">
        <v>439</v>
      </c>
      <c r="H1466" s="43" t="s">
        <v>440</v>
      </c>
      <c r="I1466" s="44">
        <v>60</v>
      </c>
      <c r="J1466" s="41"/>
      <c r="K1466" s="44">
        <v>780</v>
      </c>
      <c r="L1466" s="41" t="s">
        <v>435</v>
      </c>
      <c r="M1466" s="44">
        <v>1</v>
      </c>
      <c r="N1466" s="43" t="s">
        <v>436</v>
      </c>
    </row>
    <row r="1467" spans="1:14" ht="15.75" customHeight="1">
      <c r="A1467" s="41" t="s">
        <v>948</v>
      </c>
      <c r="B1467" s="41" t="s">
        <v>325</v>
      </c>
      <c r="C1467" s="41" t="s">
        <v>431</v>
      </c>
      <c r="D1467" s="41" t="s">
        <v>432</v>
      </c>
      <c r="E1467" s="41" t="s">
        <v>433</v>
      </c>
      <c r="F1467" s="42">
        <v>19</v>
      </c>
      <c r="G1467" s="41" t="s">
        <v>368</v>
      </c>
      <c r="H1467" s="43" t="s">
        <v>434</v>
      </c>
      <c r="I1467" s="44">
        <v>60</v>
      </c>
      <c r="J1467" s="41"/>
      <c r="K1467" s="44">
        <v>650</v>
      </c>
      <c r="L1467" s="41" t="s">
        <v>435</v>
      </c>
      <c r="M1467" s="44">
        <v>4</v>
      </c>
      <c r="N1467" s="43" t="s">
        <v>436</v>
      </c>
    </row>
    <row r="1468" spans="1:14" ht="15.75" customHeight="1">
      <c r="A1468" s="41" t="s">
        <v>949</v>
      </c>
      <c r="B1468" s="41" t="s">
        <v>950</v>
      </c>
      <c r="C1468" s="41" t="s">
        <v>442</v>
      </c>
      <c r="D1468" s="41" t="s">
        <v>443</v>
      </c>
      <c r="E1468" s="41" t="s">
        <v>33</v>
      </c>
      <c r="F1468" s="42">
        <v>10</v>
      </c>
      <c r="G1468" s="41" t="s">
        <v>11</v>
      </c>
      <c r="H1468" s="43" t="s">
        <v>426</v>
      </c>
      <c r="I1468" s="44">
        <v>20</v>
      </c>
      <c r="J1468" s="44">
        <v>102</v>
      </c>
      <c r="K1468" s="41"/>
      <c r="L1468" s="45">
        <v>100000</v>
      </c>
      <c r="M1468" s="44">
        <v>1</v>
      </c>
      <c r="N1468" s="43" t="s">
        <v>383</v>
      </c>
    </row>
    <row r="1469" spans="1:14" ht="15.75" customHeight="1">
      <c r="A1469" s="41" t="s">
        <v>949</v>
      </c>
      <c r="B1469" s="41" t="s">
        <v>950</v>
      </c>
      <c r="C1469" s="41" t="s">
        <v>442</v>
      </c>
      <c r="D1469" s="41" t="s">
        <v>443</v>
      </c>
      <c r="E1469" s="41" t="s">
        <v>33</v>
      </c>
      <c r="F1469" s="42">
        <v>11</v>
      </c>
      <c r="G1469" s="41" t="s">
        <v>12</v>
      </c>
      <c r="H1469" s="43" t="s">
        <v>444</v>
      </c>
      <c r="I1469" s="44">
        <v>35</v>
      </c>
      <c r="J1469" s="44">
        <v>102</v>
      </c>
      <c r="K1469" s="41"/>
      <c r="L1469" s="45">
        <v>100000</v>
      </c>
      <c r="M1469" s="44">
        <v>1</v>
      </c>
      <c r="N1469" s="43" t="s">
        <v>383</v>
      </c>
    </row>
    <row r="1470" spans="1:14" ht="15.75" customHeight="1">
      <c r="A1470" s="41" t="s">
        <v>949</v>
      </c>
      <c r="B1470" s="41" t="s">
        <v>950</v>
      </c>
      <c r="C1470" s="41" t="s">
        <v>442</v>
      </c>
      <c r="D1470" s="41" t="s">
        <v>443</v>
      </c>
      <c r="E1470" s="41" t="s">
        <v>33</v>
      </c>
      <c r="F1470" s="42">
        <v>12</v>
      </c>
      <c r="G1470" s="41" t="s">
        <v>13</v>
      </c>
      <c r="H1470" s="43" t="s">
        <v>444</v>
      </c>
      <c r="I1470" s="44">
        <v>10</v>
      </c>
      <c r="J1470" s="44">
        <v>102</v>
      </c>
      <c r="K1470" s="41"/>
      <c r="L1470" s="45">
        <v>100000</v>
      </c>
      <c r="M1470" s="44">
        <v>1</v>
      </c>
      <c r="N1470" s="43" t="s">
        <v>383</v>
      </c>
    </row>
    <row r="1471" spans="1:14" ht="15.75" customHeight="1">
      <c r="A1471" s="41" t="s">
        <v>949</v>
      </c>
      <c r="B1471" s="41" t="s">
        <v>950</v>
      </c>
      <c r="C1471" s="41" t="s">
        <v>431</v>
      </c>
      <c r="D1471" s="41" t="s">
        <v>432</v>
      </c>
      <c r="E1471" s="41" t="s">
        <v>433</v>
      </c>
      <c r="F1471" s="42">
        <v>18</v>
      </c>
      <c r="G1471" s="41" t="s">
        <v>439</v>
      </c>
      <c r="H1471" s="43" t="s">
        <v>440</v>
      </c>
      <c r="I1471" s="44">
        <v>60</v>
      </c>
      <c r="J1471" s="41"/>
      <c r="K1471" s="44">
        <v>600</v>
      </c>
      <c r="L1471" s="41" t="s">
        <v>435</v>
      </c>
      <c r="M1471" s="44">
        <v>1</v>
      </c>
      <c r="N1471" s="43" t="s">
        <v>436</v>
      </c>
    </row>
    <row r="1472" spans="1:14" ht="15.75" customHeight="1">
      <c r="A1472" s="41" t="s">
        <v>949</v>
      </c>
      <c r="B1472" s="41" t="s">
        <v>950</v>
      </c>
      <c r="C1472" s="41" t="s">
        <v>431</v>
      </c>
      <c r="D1472" s="41" t="s">
        <v>432</v>
      </c>
      <c r="E1472" s="41" t="s">
        <v>433</v>
      </c>
      <c r="F1472" s="42">
        <v>19</v>
      </c>
      <c r="G1472" s="41" t="s">
        <v>368</v>
      </c>
      <c r="H1472" s="43" t="s">
        <v>434</v>
      </c>
      <c r="I1472" s="44">
        <v>60</v>
      </c>
      <c r="J1472" s="41"/>
      <c r="K1472" s="44">
        <v>800</v>
      </c>
      <c r="L1472" s="41" t="s">
        <v>435</v>
      </c>
      <c r="M1472" s="44">
        <v>4</v>
      </c>
      <c r="N1472" s="43" t="s">
        <v>436</v>
      </c>
    </row>
    <row r="1473" spans="1:14" ht="15.75" customHeight="1">
      <c r="A1473" s="41" t="s">
        <v>951</v>
      </c>
      <c r="B1473" s="41" t="s">
        <v>952</v>
      </c>
      <c r="C1473" s="41" t="s">
        <v>442</v>
      </c>
      <c r="D1473" s="41" t="s">
        <v>448</v>
      </c>
      <c r="E1473" s="41" t="s">
        <v>40</v>
      </c>
      <c r="F1473" s="42">
        <v>1</v>
      </c>
      <c r="G1473" s="41" t="s">
        <v>11</v>
      </c>
      <c r="H1473" s="43" t="s">
        <v>426</v>
      </c>
      <c r="I1473" s="44">
        <v>25</v>
      </c>
      <c r="J1473" s="44">
        <v>31</v>
      </c>
      <c r="K1473" s="41"/>
      <c r="L1473" s="45">
        <v>400000</v>
      </c>
      <c r="M1473" s="44">
        <v>1</v>
      </c>
      <c r="N1473" s="43" t="s">
        <v>383</v>
      </c>
    </row>
    <row r="1474" spans="1:14" ht="15.75" customHeight="1">
      <c r="A1474" s="41" t="s">
        <v>951</v>
      </c>
      <c r="B1474" s="41" t="s">
        <v>952</v>
      </c>
      <c r="C1474" s="41" t="s">
        <v>442</v>
      </c>
      <c r="D1474" s="41" t="s">
        <v>448</v>
      </c>
      <c r="E1474" s="41" t="s">
        <v>40</v>
      </c>
      <c r="F1474" s="42">
        <v>2</v>
      </c>
      <c r="G1474" s="41" t="s">
        <v>12</v>
      </c>
      <c r="H1474" s="43" t="s">
        <v>449</v>
      </c>
      <c r="I1474" s="44">
        <v>120</v>
      </c>
      <c r="J1474" s="44">
        <v>31</v>
      </c>
      <c r="K1474" s="41"/>
      <c r="L1474" s="45">
        <v>400000</v>
      </c>
      <c r="M1474" s="44">
        <v>1</v>
      </c>
      <c r="N1474" s="43" t="s">
        <v>383</v>
      </c>
    </row>
    <row r="1475" spans="1:14" ht="15.75" customHeight="1">
      <c r="A1475" s="41" t="s">
        <v>951</v>
      </c>
      <c r="B1475" s="41" t="s">
        <v>952</v>
      </c>
      <c r="C1475" s="41" t="s">
        <v>442</v>
      </c>
      <c r="D1475" s="41" t="s">
        <v>448</v>
      </c>
      <c r="E1475" s="41" t="s">
        <v>40</v>
      </c>
      <c r="F1475" s="42">
        <v>3</v>
      </c>
      <c r="G1475" s="41" t="s">
        <v>13</v>
      </c>
      <c r="H1475" s="43" t="s">
        <v>449</v>
      </c>
      <c r="I1475" s="44">
        <v>30</v>
      </c>
      <c r="J1475" s="44">
        <v>31</v>
      </c>
      <c r="K1475" s="41"/>
      <c r="L1475" s="45">
        <v>400000</v>
      </c>
      <c r="M1475" s="44">
        <v>1</v>
      </c>
      <c r="N1475" s="43" t="s">
        <v>383</v>
      </c>
    </row>
    <row r="1476" spans="1:14" ht="15.75" customHeight="1">
      <c r="A1476" s="41" t="s">
        <v>951</v>
      </c>
      <c r="B1476" s="41" t="s">
        <v>952</v>
      </c>
      <c r="C1476" s="41" t="s">
        <v>431</v>
      </c>
      <c r="D1476" s="41" t="s">
        <v>432</v>
      </c>
      <c r="E1476" s="41" t="s">
        <v>433</v>
      </c>
      <c r="F1476" s="42">
        <v>18</v>
      </c>
      <c r="G1476" s="41" t="s">
        <v>439</v>
      </c>
      <c r="H1476" s="43" t="s">
        <v>440</v>
      </c>
      <c r="I1476" s="44">
        <v>60</v>
      </c>
      <c r="J1476" s="41"/>
      <c r="K1476" s="44">
        <v>3800</v>
      </c>
      <c r="L1476" s="41" t="s">
        <v>435</v>
      </c>
      <c r="M1476" s="44">
        <v>1</v>
      </c>
      <c r="N1476" s="43" t="s">
        <v>436</v>
      </c>
    </row>
    <row r="1477" spans="1:14" ht="15.75" customHeight="1">
      <c r="A1477" s="41" t="s">
        <v>951</v>
      </c>
      <c r="B1477" s="41" t="s">
        <v>952</v>
      </c>
      <c r="C1477" s="41" t="s">
        <v>431</v>
      </c>
      <c r="D1477" s="41" t="s">
        <v>432</v>
      </c>
      <c r="E1477" s="41" t="s">
        <v>433</v>
      </c>
      <c r="F1477" s="42">
        <v>19</v>
      </c>
      <c r="G1477" s="41" t="s">
        <v>368</v>
      </c>
      <c r="H1477" s="43" t="s">
        <v>434</v>
      </c>
      <c r="I1477" s="44">
        <v>60</v>
      </c>
      <c r="J1477" s="41"/>
      <c r="K1477" s="44">
        <v>1100</v>
      </c>
      <c r="L1477" s="41" t="s">
        <v>435</v>
      </c>
      <c r="M1477" s="44">
        <v>2</v>
      </c>
      <c r="N1477" s="43" t="s">
        <v>436</v>
      </c>
    </row>
    <row r="1478" spans="1:14" ht="15.75" customHeight="1">
      <c r="A1478" s="41" t="s">
        <v>953</v>
      </c>
      <c r="B1478" s="41" t="s">
        <v>242</v>
      </c>
      <c r="C1478" s="41" t="s">
        <v>442</v>
      </c>
      <c r="D1478" s="41" t="s">
        <v>443</v>
      </c>
      <c r="E1478" s="41" t="s">
        <v>33</v>
      </c>
      <c r="F1478" s="42">
        <v>11</v>
      </c>
      <c r="G1478" s="41" t="s">
        <v>12</v>
      </c>
      <c r="H1478" s="43" t="s">
        <v>444</v>
      </c>
      <c r="I1478" s="44">
        <v>30</v>
      </c>
      <c r="J1478" s="44">
        <v>44.5</v>
      </c>
      <c r="K1478" s="41"/>
      <c r="L1478" s="45">
        <v>48000</v>
      </c>
      <c r="M1478" s="44">
        <v>1</v>
      </c>
      <c r="N1478" s="43" t="s">
        <v>383</v>
      </c>
    </row>
    <row r="1479" spans="1:14" ht="15.75" customHeight="1">
      <c r="A1479" s="41" t="s">
        <v>953</v>
      </c>
      <c r="B1479" s="41" t="s">
        <v>242</v>
      </c>
      <c r="C1479" s="41" t="s">
        <v>442</v>
      </c>
      <c r="D1479" s="41" t="s">
        <v>443</v>
      </c>
      <c r="E1479" s="41" t="s">
        <v>33</v>
      </c>
      <c r="F1479" s="42">
        <v>12</v>
      </c>
      <c r="G1479" s="41" t="s">
        <v>13</v>
      </c>
      <c r="H1479" s="43" t="s">
        <v>444</v>
      </c>
      <c r="I1479" s="44">
        <v>15</v>
      </c>
      <c r="J1479" s="44">
        <v>44.5</v>
      </c>
      <c r="K1479" s="41"/>
      <c r="L1479" s="45">
        <v>48000</v>
      </c>
      <c r="M1479" s="44">
        <v>1</v>
      </c>
      <c r="N1479" s="43" t="s">
        <v>383</v>
      </c>
    </row>
    <row r="1480" spans="1:14" ht="15.75" customHeight="1">
      <c r="A1480" s="41" t="s">
        <v>953</v>
      </c>
      <c r="B1480" s="41" t="s">
        <v>242</v>
      </c>
      <c r="C1480" s="41" t="s">
        <v>431</v>
      </c>
      <c r="D1480" s="41" t="s">
        <v>432</v>
      </c>
      <c r="E1480" s="41" t="s">
        <v>433</v>
      </c>
      <c r="F1480" s="42">
        <v>18</v>
      </c>
      <c r="G1480" s="41" t="s">
        <v>439</v>
      </c>
      <c r="H1480" s="43" t="s">
        <v>440</v>
      </c>
      <c r="I1480" s="44">
        <v>60</v>
      </c>
      <c r="J1480" s="41"/>
      <c r="K1480" s="44">
        <v>700</v>
      </c>
      <c r="L1480" s="41" t="s">
        <v>435</v>
      </c>
      <c r="M1480" s="44">
        <v>1</v>
      </c>
      <c r="N1480" s="43" t="s">
        <v>436</v>
      </c>
    </row>
    <row r="1481" spans="1:14" ht="15.75" customHeight="1">
      <c r="A1481" s="41" t="s">
        <v>953</v>
      </c>
      <c r="B1481" s="41" t="s">
        <v>242</v>
      </c>
      <c r="C1481" s="41" t="s">
        <v>431</v>
      </c>
      <c r="D1481" s="41" t="s">
        <v>432</v>
      </c>
      <c r="E1481" s="41" t="s">
        <v>433</v>
      </c>
      <c r="F1481" s="42">
        <v>19</v>
      </c>
      <c r="G1481" s="41" t="s">
        <v>368</v>
      </c>
      <c r="H1481" s="43" t="s">
        <v>434</v>
      </c>
      <c r="I1481" s="44">
        <v>60</v>
      </c>
      <c r="J1481" s="41"/>
      <c r="K1481" s="44">
        <v>700</v>
      </c>
      <c r="L1481" s="41" t="s">
        <v>435</v>
      </c>
      <c r="M1481" s="44">
        <v>4</v>
      </c>
      <c r="N1481" s="43" t="s">
        <v>436</v>
      </c>
    </row>
    <row r="1482" spans="1:14" ht="15.75" customHeight="1">
      <c r="A1482" s="41" t="s">
        <v>954</v>
      </c>
      <c r="B1482" s="41" t="s">
        <v>955</v>
      </c>
      <c r="C1482" s="41" t="s">
        <v>424</v>
      </c>
      <c r="D1482" s="41" t="s">
        <v>425</v>
      </c>
      <c r="E1482" s="41" t="s">
        <v>48</v>
      </c>
      <c r="F1482" s="42">
        <v>4</v>
      </c>
      <c r="G1482" s="41" t="s">
        <v>11</v>
      </c>
      <c r="H1482" s="43" t="s">
        <v>426</v>
      </c>
      <c r="I1482" s="44">
        <v>75</v>
      </c>
      <c r="J1482" s="44">
        <v>47.2</v>
      </c>
      <c r="K1482" s="41"/>
      <c r="L1482" s="45">
        <v>52000</v>
      </c>
      <c r="M1482" s="44">
        <v>1</v>
      </c>
      <c r="N1482" s="43" t="s">
        <v>383</v>
      </c>
    </row>
    <row r="1483" spans="1:14" ht="15.75" customHeight="1">
      <c r="A1483" s="41" t="s">
        <v>954</v>
      </c>
      <c r="B1483" s="41" t="s">
        <v>955</v>
      </c>
      <c r="C1483" s="41" t="s">
        <v>424</v>
      </c>
      <c r="D1483" s="41" t="s">
        <v>425</v>
      </c>
      <c r="E1483" s="41" t="s">
        <v>48</v>
      </c>
      <c r="F1483" s="42">
        <v>5</v>
      </c>
      <c r="G1483" s="41" t="s">
        <v>12</v>
      </c>
      <c r="H1483" s="43" t="s">
        <v>427</v>
      </c>
      <c r="I1483" s="44">
        <v>120</v>
      </c>
      <c r="J1483" s="44">
        <v>47.2</v>
      </c>
      <c r="K1483" s="41"/>
      <c r="L1483" s="45">
        <v>52000</v>
      </c>
      <c r="M1483" s="44">
        <v>1</v>
      </c>
      <c r="N1483" s="43" t="s">
        <v>383</v>
      </c>
    </row>
    <row r="1484" spans="1:14" ht="15.75" customHeight="1">
      <c r="A1484" s="41" t="s">
        <v>954</v>
      </c>
      <c r="B1484" s="41" t="s">
        <v>955</v>
      </c>
      <c r="C1484" s="41" t="s">
        <v>424</v>
      </c>
      <c r="D1484" s="41" t="s">
        <v>425</v>
      </c>
      <c r="E1484" s="41" t="s">
        <v>48</v>
      </c>
      <c r="F1484" s="42">
        <v>6</v>
      </c>
      <c r="G1484" s="41" t="s">
        <v>13</v>
      </c>
      <c r="H1484" s="43" t="s">
        <v>427</v>
      </c>
      <c r="I1484" s="44">
        <v>90</v>
      </c>
      <c r="J1484" s="44">
        <v>47.2</v>
      </c>
      <c r="K1484" s="41"/>
      <c r="L1484" s="45">
        <v>52000</v>
      </c>
      <c r="M1484" s="44">
        <v>1</v>
      </c>
      <c r="N1484" s="43" t="s">
        <v>383</v>
      </c>
    </row>
    <row r="1485" spans="1:14" ht="15.75" customHeight="1">
      <c r="A1485" s="41" t="s">
        <v>954</v>
      </c>
      <c r="B1485" s="41" t="s">
        <v>955</v>
      </c>
      <c r="C1485" s="41" t="s">
        <v>431</v>
      </c>
      <c r="D1485" s="41" t="s">
        <v>432</v>
      </c>
      <c r="E1485" s="41" t="s">
        <v>433</v>
      </c>
      <c r="F1485" s="42">
        <v>19</v>
      </c>
      <c r="G1485" s="41" t="s">
        <v>368</v>
      </c>
      <c r="H1485" s="43" t="s">
        <v>434</v>
      </c>
      <c r="I1485" s="44">
        <v>60</v>
      </c>
      <c r="J1485" s="41"/>
      <c r="K1485" s="44">
        <v>700</v>
      </c>
      <c r="L1485" s="41" t="s">
        <v>435</v>
      </c>
      <c r="M1485" s="44">
        <v>4</v>
      </c>
      <c r="N1485" s="43" t="s">
        <v>436</v>
      </c>
    </row>
    <row r="1486" spans="1:14" ht="15.75" customHeight="1">
      <c r="A1486" s="41" t="s">
        <v>956</v>
      </c>
      <c r="B1486" s="41" t="s">
        <v>957</v>
      </c>
      <c r="C1486" s="41" t="s">
        <v>424</v>
      </c>
      <c r="D1486" s="41" t="s">
        <v>425</v>
      </c>
      <c r="E1486" s="41" t="s">
        <v>48</v>
      </c>
      <c r="F1486" s="42">
        <v>4</v>
      </c>
      <c r="G1486" s="41" t="s">
        <v>11</v>
      </c>
      <c r="H1486" s="43" t="s">
        <v>426</v>
      </c>
      <c r="I1486" s="44">
        <v>40</v>
      </c>
      <c r="J1486" s="44">
        <v>194</v>
      </c>
      <c r="K1486" s="41"/>
      <c r="L1486" s="45">
        <v>52000</v>
      </c>
      <c r="M1486" s="44">
        <v>1</v>
      </c>
      <c r="N1486" s="43" t="s">
        <v>383</v>
      </c>
    </row>
    <row r="1487" spans="1:14" ht="15.75" customHeight="1">
      <c r="A1487" s="41" t="s">
        <v>956</v>
      </c>
      <c r="B1487" s="41" t="s">
        <v>957</v>
      </c>
      <c r="C1487" s="41" t="s">
        <v>424</v>
      </c>
      <c r="D1487" s="41" t="s">
        <v>425</v>
      </c>
      <c r="E1487" s="41" t="s">
        <v>48</v>
      </c>
      <c r="F1487" s="42">
        <v>5</v>
      </c>
      <c r="G1487" s="41" t="s">
        <v>12</v>
      </c>
      <c r="H1487" s="43" t="s">
        <v>427</v>
      </c>
      <c r="I1487" s="44">
        <v>140</v>
      </c>
      <c r="J1487" s="44">
        <v>194</v>
      </c>
      <c r="K1487" s="41"/>
      <c r="L1487" s="45">
        <v>52000</v>
      </c>
      <c r="M1487" s="44">
        <v>1</v>
      </c>
      <c r="N1487" s="43" t="s">
        <v>383</v>
      </c>
    </row>
    <row r="1488" spans="1:14" ht="15.75" customHeight="1">
      <c r="A1488" s="41" t="s">
        <v>956</v>
      </c>
      <c r="B1488" s="41" t="s">
        <v>957</v>
      </c>
      <c r="C1488" s="41" t="s">
        <v>424</v>
      </c>
      <c r="D1488" s="41" t="s">
        <v>425</v>
      </c>
      <c r="E1488" s="41" t="s">
        <v>48</v>
      </c>
      <c r="F1488" s="42">
        <v>6</v>
      </c>
      <c r="G1488" s="41" t="s">
        <v>13</v>
      </c>
      <c r="H1488" s="43" t="s">
        <v>427</v>
      </c>
      <c r="I1488" s="44">
        <v>30</v>
      </c>
      <c r="J1488" s="44">
        <v>194</v>
      </c>
      <c r="K1488" s="41"/>
      <c r="L1488" s="45">
        <v>52000</v>
      </c>
      <c r="M1488" s="44">
        <v>1</v>
      </c>
      <c r="N1488" s="43" t="s">
        <v>383</v>
      </c>
    </row>
    <row r="1489" spans="1:14" ht="15.75" customHeight="1">
      <c r="A1489" s="41" t="s">
        <v>956</v>
      </c>
      <c r="B1489" s="41" t="s">
        <v>957</v>
      </c>
      <c r="C1489" s="41" t="s">
        <v>424</v>
      </c>
      <c r="D1489" s="41" t="s">
        <v>429</v>
      </c>
      <c r="E1489" s="41" t="s">
        <v>74</v>
      </c>
      <c r="F1489" s="42">
        <v>7</v>
      </c>
      <c r="G1489" s="41" t="s">
        <v>11</v>
      </c>
      <c r="H1489" s="43" t="s">
        <v>426</v>
      </c>
      <c r="I1489" s="44">
        <v>40</v>
      </c>
      <c r="J1489" s="44">
        <v>194</v>
      </c>
      <c r="K1489" s="41"/>
      <c r="L1489" s="45">
        <v>103000</v>
      </c>
      <c r="M1489" s="44">
        <v>1</v>
      </c>
      <c r="N1489" s="43" t="s">
        <v>383</v>
      </c>
    </row>
    <row r="1490" spans="1:14" ht="15.75" customHeight="1">
      <c r="A1490" s="41" t="s">
        <v>956</v>
      </c>
      <c r="B1490" s="41" t="s">
        <v>957</v>
      </c>
      <c r="C1490" s="41" t="s">
        <v>424</v>
      </c>
      <c r="D1490" s="41" t="s">
        <v>429</v>
      </c>
      <c r="E1490" s="41" t="s">
        <v>74</v>
      </c>
      <c r="F1490" s="42">
        <v>8</v>
      </c>
      <c r="G1490" s="41" t="s">
        <v>12</v>
      </c>
      <c r="H1490" s="43" t="s">
        <v>430</v>
      </c>
      <c r="I1490" s="44">
        <v>180</v>
      </c>
      <c r="J1490" s="44">
        <v>194</v>
      </c>
      <c r="K1490" s="41"/>
      <c r="L1490" s="45">
        <v>103000</v>
      </c>
      <c r="M1490" s="44">
        <v>1</v>
      </c>
      <c r="N1490" s="43" t="s">
        <v>383</v>
      </c>
    </row>
    <row r="1491" spans="1:14" ht="15.75" customHeight="1">
      <c r="A1491" s="41" t="s">
        <v>956</v>
      </c>
      <c r="B1491" s="41" t="s">
        <v>957</v>
      </c>
      <c r="C1491" s="41" t="s">
        <v>424</v>
      </c>
      <c r="D1491" s="41" t="s">
        <v>429</v>
      </c>
      <c r="E1491" s="41" t="s">
        <v>74</v>
      </c>
      <c r="F1491" s="42">
        <v>9</v>
      </c>
      <c r="G1491" s="41" t="s">
        <v>13</v>
      </c>
      <c r="H1491" s="43" t="s">
        <v>430</v>
      </c>
      <c r="I1491" s="44">
        <v>40</v>
      </c>
      <c r="J1491" s="44">
        <v>194</v>
      </c>
      <c r="K1491" s="41"/>
      <c r="L1491" s="45">
        <v>103000</v>
      </c>
      <c r="M1491" s="44">
        <v>1</v>
      </c>
      <c r="N1491" s="43" t="s">
        <v>383</v>
      </c>
    </row>
    <row r="1492" spans="1:14" ht="15.75" customHeight="1">
      <c r="A1492" s="41" t="s">
        <v>956</v>
      </c>
      <c r="B1492" s="41" t="s">
        <v>957</v>
      </c>
      <c r="C1492" s="41" t="s">
        <v>431</v>
      </c>
      <c r="D1492" s="41" t="s">
        <v>432</v>
      </c>
      <c r="E1492" s="41" t="s">
        <v>433</v>
      </c>
      <c r="F1492" s="42">
        <v>18</v>
      </c>
      <c r="G1492" s="41" t="s">
        <v>439</v>
      </c>
      <c r="H1492" s="43" t="s">
        <v>440</v>
      </c>
      <c r="I1492" s="44">
        <v>60</v>
      </c>
      <c r="J1492" s="41"/>
      <c r="K1492" s="44">
        <v>700</v>
      </c>
      <c r="L1492" s="41" t="s">
        <v>435</v>
      </c>
      <c r="M1492" s="44">
        <v>1</v>
      </c>
      <c r="N1492" s="43" t="s">
        <v>436</v>
      </c>
    </row>
    <row r="1493" spans="1:14" ht="15.75" customHeight="1">
      <c r="A1493" s="41" t="s">
        <v>956</v>
      </c>
      <c r="B1493" s="41" t="s">
        <v>957</v>
      </c>
      <c r="C1493" s="41" t="s">
        <v>431</v>
      </c>
      <c r="D1493" s="41" t="s">
        <v>432</v>
      </c>
      <c r="E1493" s="41" t="s">
        <v>433</v>
      </c>
      <c r="F1493" s="42">
        <v>19</v>
      </c>
      <c r="G1493" s="41" t="s">
        <v>368</v>
      </c>
      <c r="H1493" s="43" t="s">
        <v>434</v>
      </c>
      <c r="I1493" s="44">
        <v>60</v>
      </c>
      <c r="J1493" s="41"/>
      <c r="K1493" s="44">
        <v>500</v>
      </c>
      <c r="L1493" s="41" t="s">
        <v>435</v>
      </c>
      <c r="M1493" s="44">
        <v>3</v>
      </c>
      <c r="N1493" s="43" t="s">
        <v>436</v>
      </c>
    </row>
    <row r="1494" spans="1:14" ht="15.75" customHeight="1">
      <c r="A1494" s="41" t="s">
        <v>958</v>
      </c>
      <c r="B1494" s="41" t="s">
        <v>959</v>
      </c>
      <c r="C1494" s="41" t="s">
        <v>424</v>
      </c>
      <c r="D1494" s="41" t="s">
        <v>429</v>
      </c>
      <c r="E1494" s="41" t="s">
        <v>74</v>
      </c>
      <c r="F1494" s="42">
        <v>7</v>
      </c>
      <c r="G1494" s="41" t="s">
        <v>11</v>
      </c>
      <c r="H1494" s="43" t="s">
        <v>426</v>
      </c>
      <c r="I1494" s="44">
        <v>30</v>
      </c>
      <c r="J1494" s="44">
        <v>30</v>
      </c>
      <c r="K1494" s="41"/>
      <c r="L1494" s="45">
        <v>100000</v>
      </c>
      <c r="M1494" s="44">
        <v>1</v>
      </c>
      <c r="N1494" s="43" t="s">
        <v>383</v>
      </c>
    </row>
    <row r="1495" spans="1:14" ht="15.75" customHeight="1">
      <c r="A1495" s="41" t="s">
        <v>958</v>
      </c>
      <c r="B1495" s="41" t="s">
        <v>959</v>
      </c>
      <c r="C1495" s="41" t="s">
        <v>424</v>
      </c>
      <c r="D1495" s="41" t="s">
        <v>429</v>
      </c>
      <c r="E1495" s="41" t="s">
        <v>74</v>
      </c>
      <c r="F1495" s="42">
        <v>8</v>
      </c>
      <c r="G1495" s="41" t="s">
        <v>12</v>
      </c>
      <c r="H1495" s="43" t="s">
        <v>430</v>
      </c>
      <c r="I1495" s="44">
        <v>190</v>
      </c>
      <c r="J1495" s="44">
        <v>30</v>
      </c>
      <c r="K1495" s="41"/>
      <c r="L1495" s="45">
        <v>100000</v>
      </c>
      <c r="M1495" s="44">
        <v>1</v>
      </c>
      <c r="N1495" s="43" t="s">
        <v>383</v>
      </c>
    </row>
    <row r="1496" spans="1:14" ht="15.75" customHeight="1">
      <c r="A1496" s="41" t="s">
        <v>958</v>
      </c>
      <c r="B1496" s="41" t="s">
        <v>959</v>
      </c>
      <c r="C1496" s="41" t="s">
        <v>424</v>
      </c>
      <c r="D1496" s="41" t="s">
        <v>429</v>
      </c>
      <c r="E1496" s="41" t="s">
        <v>74</v>
      </c>
      <c r="F1496" s="42">
        <v>9</v>
      </c>
      <c r="G1496" s="41" t="s">
        <v>13</v>
      </c>
      <c r="H1496" s="43" t="s">
        <v>430</v>
      </c>
      <c r="I1496" s="44">
        <v>40</v>
      </c>
      <c r="J1496" s="44">
        <v>30</v>
      </c>
      <c r="K1496" s="41"/>
      <c r="L1496" s="45">
        <v>100000</v>
      </c>
      <c r="M1496" s="44">
        <v>1</v>
      </c>
      <c r="N1496" s="43" t="s">
        <v>383</v>
      </c>
    </row>
    <row r="1497" spans="1:14" ht="15.75" customHeight="1">
      <c r="A1497" s="41" t="s">
        <v>958</v>
      </c>
      <c r="B1497" s="41" t="s">
        <v>959</v>
      </c>
      <c r="C1497" s="41" t="s">
        <v>431</v>
      </c>
      <c r="D1497" s="41" t="s">
        <v>432</v>
      </c>
      <c r="E1497" s="41" t="s">
        <v>433</v>
      </c>
      <c r="F1497" s="42">
        <v>19</v>
      </c>
      <c r="G1497" s="41" t="s">
        <v>368</v>
      </c>
      <c r="H1497" s="43" t="s">
        <v>434</v>
      </c>
      <c r="I1497" s="44">
        <v>60</v>
      </c>
      <c r="J1497" s="41"/>
      <c r="K1497" s="44">
        <v>400</v>
      </c>
      <c r="L1497" s="41" t="s">
        <v>435</v>
      </c>
      <c r="M1497" s="44">
        <v>2</v>
      </c>
      <c r="N1497" s="43" t="s">
        <v>436</v>
      </c>
    </row>
    <row r="1498" spans="1:14" ht="15.75" customHeight="1">
      <c r="A1498" s="41" t="s">
        <v>960</v>
      </c>
      <c r="B1498" s="41" t="s">
        <v>961</v>
      </c>
      <c r="C1498" s="41" t="s">
        <v>442</v>
      </c>
      <c r="D1498" s="41" t="s">
        <v>448</v>
      </c>
      <c r="E1498" s="41" t="s">
        <v>40</v>
      </c>
      <c r="F1498" s="42">
        <v>1</v>
      </c>
      <c r="G1498" s="41" t="s">
        <v>11</v>
      </c>
      <c r="H1498" s="43" t="s">
        <v>426</v>
      </c>
      <c r="I1498" s="44">
        <v>20</v>
      </c>
      <c r="J1498" s="44">
        <v>13.5</v>
      </c>
      <c r="K1498" s="41"/>
      <c r="L1498" s="45">
        <v>412000</v>
      </c>
      <c r="M1498" s="44">
        <v>1</v>
      </c>
      <c r="N1498" s="43" t="s">
        <v>383</v>
      </c>
    </row>
    <row r="1499" spans="1:14" ht="15.75" customHeight="1">
      <c r="A1499" s="41" t="s">
        <v>960</v>
      </c>
      <c r="B1499" s="41" t="s">
        <v>961</v>
      </c>
      <c r="C1499" s="41" t="s">
        <v>442</v>
      </c>
      <c r="D1499" s="41" t="s">
        <v>448</v>
      </c>
      <c r="E1499" s="41" t="s">
        <v>40</v>
      </c>
      <c r="F1499" s="42">
        <v>2</v>
      </c>
      <c r="G1499" s="41" t="s">
        <v>12</v>
      </c>
      <c r="H1499" s="43" t="s">
        <v>449</v>
      </c>
      <c r="I1499" s="44">
        <v>115</v>
      </c>
      <c r="J1499" s="44">
        <v>13.5</v>
      </c>
      <c r="K1499" s="41"/>
      <c r="L1499" s="45">
        <v>412000</v>
      </c>
      <c r="M1499" s="44">
        <v>1</v>
      </c>
      <c r="N1499" s="43" t="s">
        <v>383</v>
      </c>
    </row>
    <row r="1500" spans="1:14" ht="15.75" customHeight="1">
      <c r="A1500" s="41" t="s">
        <v>960</v>
      </c>
      <c r="B1500" s="41" t="s">
        <v>961</v>
      </c>
      <c r="C1500" s="41" t="s">
        <v>442</v>
      </c>
      <c r="D1500" s="41" t="s">
        <v>448</v>
      </c>
      <c r="E1500" s="41" t="s">
        <v>40</v>
      </c>
      <c r="F1500" s="42">
        <v>3</v>
      </c>
      <c r="G1500" s="41" t="s">
        <v>13</v>
      </c>
      <c r="H1500" s="43" t="s">
        <v>449</v>
      </c>
      <c r="I1500" s="44">
        <v>30</v>
      </c>
      <c r="J1500" s="44">
        <v>13.5</v>
      </c>
      <c r="K1500" s="41"/>
      <c r="L1500" s="45">
        <v>412000</v>
      </c>
      <c r="M1500" s="44">
        <v>1</v>
      </c>
      <c r="N1500" s="43" t="s">
        <v>383</v>
      </c>
    </row>
    <row r="1501" spans="1:14" ht="15.75" customHeight="1">
      <c r="A1501" s="41" t="s">
        <v>960</v>
      </c>
      <c r="B1501" s="41" t="s">
        <v>961</v>
      </c>
      <c r="C1501" s="41" t="s">
        <v>431</v>
      </c>
      <c r="D1501" s="41" t="s">
        <v>432</v>
      </c>
      <c r="E1501" s="41" t="s">
        <v>433</v>
      </c>
      <c r="F1501" s="42">
        <v>18</v>
      </c>
      <c r="G1501" s="41" t="s">
        <v>439</v>
      </c>
      <c r="H1501" s="43" t="s">
        <v>440</v>
      </c>
      <c r="I1501" s="44">
        <v>60</v>
      </c>
      <c r="J1501" s="41"/>
      <c r="K1501" s="44">
        <v>400</v>
      </c>
      <c r="L1501" s="41" t="s">
        <v>435</v>
      </c>
      <c r="M1501" s="44">
        <v>1</v>
      </c>
      <c r="N1501" s="43" t="s">
        <v>436</v>
      </c>
    </row>
    <row r="1502" spans="1:14" ht="15.75" customHeight="1">
      <c r="A1502" s="41" t="s">
        <v>960</v>
      </c>
      <c r="B1502" s="41" t="s">
        <v>961</v>
      </c>
      <c r="C1502" s="41" t="s">
        <v>431</v>
      </c>
      <c r="D1502" s="41" t="s">
        <v>432</v>
      </c>
      <c r="E1502" s="41" t="s">
        <v>433</v>
      </c>
      <c r="F1502" s="42">
        <v>19</v>
      </c>
      <c r="G1502" s="41" t="s">
        <v>368</v>
      </c>
      <c r="H1502" s="43" t="s">
        <v>434</v>
      </c>
      <c r="I1502" s="44">
        <v>60</v>
      </c>
      <c r="J1502" s="41"/>
      <c r="K1502" s="44">
        <v>1100</v>
      </c>
      <c r="L1502" s="41" t="s">
        <v>435</v>
      </c>
      <c r="M1502" s="44">
        <v>3</v>
      </c>
      <c r="N1502" s="43" t="s">
        <v>436</v>
      </c>
    </row>
    <row r="1503" spans="1:14" ht="15.75" customHeight="1">
      <c r="A1503" s="41" t="s">
        <v>962</v>
      </c>
      <c r="B1503" s="41" t="s">
        <v>245</v>
      </c>
      <c r="C1503" s="41" t="s">
        <v>442</v>
      </c>
      <c r="D1503" s="41" t="s">
        <v>443</v>
      </c>
      <c r="E1503" s="41" t="s">
        <v>33</v>
      </c>
      <c r="F1503" s="42">
        <v>10</v>
      </c>
      <c r="G1503" s="41" t="s">
        <v>11</v>
      </c>
      <c r="H1503" s="43" t="s">
        <v>426</v>
      </c>
      <c r="I1503" s="44">
        <v>35</v>
      </c>
      <c r="J1503" s="44">
        <v>48.5</v>
      </c>
      <c r="K1503" s="41"/>
      <c r="L1503" s="45">
        <v>70000</v>
      </c>
      <c r="M1503" s="44">
        <v>1</v>
      </c>
      <c r="N1503" s="43" t="s">
        <v>383</v>
      </c>
    </row>
    <row r="1504" spans="1:14" ht="15.75" customHeight="1">
      <c r="A1504" s="41" t="s">
        <v>962</v>
      </c>
      <c r="B1504" s="41" t="s">
        <v>245</v>
      </c>
      <c r="C1504" s="41" t="s">
        <v>442</v>
      </c>
      <c r="D1504" s="41" t="s">
        <v>443</v>
      </c>
      <c r="E1504" s="41" t="s">
        <v>33</v>
      </c>
      <c r="F1504" s="42">
        <v>11</v>
      </c>
      <c r="G1504" s="41" t="s">
        <v>12</v>
      </c>
      <c r="H1504" s="43" t="s">
        <v>444</v>
      </c>
      <c r="I1504" s="44">
        <v>125</v>
      </c>
      <c r="J1504" s="44">
        <v>48.5</v>
      </c>
      <c r="K1504" s="41"/>
      <c r="L1504" s="45">
        <v>70000</v>
      </c>
      <c r="M1504" s="44">
        <v>1</v>
      </c>
      <c r="N1504" s="43" t="s">
        <v>383</v>
      </c>
    </row>
    <row r="1505" spans="1:14" ht="15.75" customHeight="1">
      <c r="A1505" s="41" t="s">
        <v>962</v>
      </c>
      <c r="B1505" s="41" t="s">
        <v>245</v>
      </c>
      <c r="C1505" s="41" t="s">
        <v>442</v>
      </c>
      <c r="D1505" s="41" t="s">
        <v>443</v>
      </c>
      <c r="E1505" s="41" t="s">
        <v>33</v>
      </c>
      <c r="F1505" s="42">
        <v>12</v>
      </c>
      <c r="G1505" s="41" t="s">
        <v>13</v>
      </c>
      <c r="H1505" s="43" t="s">
        <v>444</v>
      </c>
      <c r="I1505" s="44">
        <v>15</v>
      </c>
      <c r="J1505" s="44">
        <v>48.5</v>
      </c>
      <c r="K1505" s="41"/>
      <c r="L1505" s="45">
        <v>70000</v>
      </c>
      <c r="M1505" s="44">
        <v>1</v>
      </c>
      <c r="N1505" s="43" t="s">
        <v>383</v>
      </c>
    </row>
    <row r="1506" spans="1:14" ht="15.75" customHeight="1">
      <c r="A1506" s="41" t="s">
        <v>962</v>
      </c>
      <c r="B1506" s="41" t="s">
        <v>245</v>
      </c>
      <c r="C1506" s="41" t="s">
        <v>431</v>
      </c>
      <c r="D1506" s="41" t="s">
        <v>432</v>
      </c>
      <c r="E1506" s="41" t="s">
        <v>433</v>
      </c>
      <c r="F1506" s="42">
        <v>18</v>
      </c>
      <c r="G1506" s="41" t="s">
        <v>439</v>
      </c>
      <c r="H1506" s="43" t="s">
        <v>440</v>
      </c>
      <c r="I1506" s="44">
        <v>60</v>
      </c>
      <c r="J1506" s="41"/>
      <c r="K1506" s="44">
        <v>1300</v>
      </c>
      <c r="L1506" s="41" t="s">
        <v>435</v>
      </c>
      <c r="M1506" s="44">
        <v>1</v>
      </c>
      <c r="N1506" s="43" t="s">
        <v>436</v>
      </c>
    </row>
    <row r="1507" spans="1:14" ht="15.75" customHeight="1">
      <c r="A1507" s="41" t="s">
        <v>962</v>
      </c>
      <c r="B1507" s="41" t="s">
        <v>245</v>
      </c>
      <c r="C1507" s="41" t="s">
        <v>431</v>
      </c>
      <c r="D1507" s="41" t="s">
        <v>432</v>
      </c>
      <c r="E1507" s="41" t="s">
        <v>433</v>
      </c>
      <c r="F1507" s="42">
        <v>19</v>
      </c>
      <c r="G1507" s="41" t="s">
        <v>368</v>
      </c>
      <c r="H1507" s="43" t="s">
        <v>434</v>
      </c>
      <c r="I1507" s="44">
        <v>60</v>
      </c>
      <c r="J1507" s="41"/>
      <c r="K1507" s="44">
        <v>1100</v>
      </c>
      <c r="L1507" s="41" t="s">
        <v>435</v>
      </c>
      <c r="M1507" s="44">
        <v>4</v>
      </c>
      <c r="N1507" s="43" t="s">
        <v>436</v>
      </c>
    </row>
    <row r="1508" spans="1:14" ht="15.75" customHeight="1">
      <c r="A1508" s="41" t="s">
        <v>963</v>
      </c>
      <c r="B1508" s="41" t="s">
        <v>301</v>
      </c>
      <c r="C1508" s="41" t="s">
        <v>442</v>
      </c>
      <c r="D1508" s="41" t="s">
        <v>443</v>
      </c>
      <c r="E1508" s="41" t="s">
        <v>33</v>
      </c>
      <c r="F1508" s="42">
        <v>11</v>
      </c>
      <c r="G1508" s="41" t="s">
        <v>12</v>
      </c>
      <c r="H1508" s="43" t="s">
        <v>444</v>
      </c>
      <c r="I1508" s="44">
        <v>150</v>
      </c>
      <c r="J1508" s="44">
        <v>96.6</v>
      </c>
      <c r="K1508" s="41"/>
      <c r="L1508" s="45">
        <v>99000</v>
      </c>
      <c r="M1508" s="44">
        <v>1</v>
      </c>
      <c r="N1508" s="43" t="s">
        <v>383</v>
      </c>
    </row>
    <row r="1509" spans="1:14" ht="15.75" customHeight="1">
      <c r="A1509" s="41" t="s">
        <v>963</v>
      </c>
      <c r="B1509" s="41" t="s">
        <v>301</v>
      </c>
      <c r="C1509" s="41" t="s">
        <v>442</v>
      </c>
      <c r="D1509" s="41" t="s">
        <v>443</v>
      </c>
      <c r="E1509" s="41" t="s">
        <v>33</v>
      </c>
      <c r="F1509" s="42">
        <v>12</v>
      </c>
      <c r="G1509" s="41" t="s">
        <v>13</v>
      </c>
      <c r="H1509" s="43" t="s">
        <v>444</v>
      </c>
      <c r="I1509" s="44">
        <v>30</v>
      </c>
      <c r="J1509" s="44">
        <v>96.6</v>
      </c>
      <c r="K1509" s="41"/>
      <c r="L1509" s="45">
        <v>99000</v>
      </c>
      <c r="M1509" s="44">
        <v>1</v>
      </c>
      <c r="N1509" s="43" t="s">
        <v>383</v>
      </c>
    </row>
    <row r="1510" spans="1:14" ht="15.75" customHeight="1">
      <c r="A1510" s="41" t="s">
        <v>963</v>
      </c>
      <c r="B1510" s="41" t="s">
        <v>301</v>
      </c>
      <c r="C1510" s="41" t="s">
        <v>431</v>
      </c>
      <c r="D1510" s="41" t="s">
        <v>432</v>
      </c>
      <c r="E1510" s="41" t="s">
        <v>433</v>
      </c>
      <c r="F1510" s="42">
        <v>18</v>
      </c>
      <c r="G1510" s="41" t="s">
        <v>439</v>
      </c>
      <c r="H1510" s="43" t="s">
        <v>440</v>
      </c>
      <c r="I1510" s="44">
        <v>60</v>
      </c>
      <c r="J1510" s="41"/>
      <c r="K1510" s="44">
        <v>1200</v>
      </c>
      <c r="L1510" s="41" t="s">
        <v>435</v>
      </c>
      <c r="M1510" s="44">
        <v>1</v>
      </c>
      <c r="N1510" s="43" t="s">
        <v>436</v>
      </c>
    </row>
    <row r="1511" spans="1:14" ht="15.75" customHeight="1">
      <c r="A1511" s="41" t="s">
        <v>963</v>
      </c>
      <c r="B1511" s="41" t="s">
        <v>301</v>
      </c>
      <c r="C1511" s="41" t="s">
        <v>431</v>
      </c>
      <c r="D1511" s="41" t="s">
        <v>432</v>
      </c>
      <c r="E1511" s="41" t="s">
        <v>433</v>
      </c>
      <c r="F1511" s="42">
        <v>19</v>
      </c>
      <c r="G1511" s="41" t="s">
        <v>368</v>
      </c>
      <c r="H1511" s="43" t="s">
        <v>434</v>
      </c>
      <c r="I1511" s="44">
        <v>60</v>
      </c>
      <c r="J1511" s="41"/>
      <c r="K1511" s="44">
        <v>480</v>
      </c>
      <c r="L1511" s="41" t="s">
        <v>435</v>
      </c>
      <c r="M1511" s="44">
        <v>3</v>
      </c>
      <c r="N1511" s="43" t="s">
        <v>436</v>
      </c>
    </row>
    <row r="1512" spans="1:14" ht="15.75" customHeight="1">
      <c r="A1512" s="41" t="s">
        <v>964</v>
      </c>
      <c r="B1512" s="41" t="s">
        <v>97</v>
      </c>
      <c r="C1512" s="41" t="s">
        <v>442</v>
      </c>
      <c r="D1512" s="41" t="s">
        <v>443</v>
      </c>
      <c r="E1512" s="41" t="s">
        <v>33</v>
      </c>
      <c r="F1512" s="42">
        <v>10</v>
      </c>
      <c r="G1512" s="41" t="s">
        <v>11</v>
      </c>
      <c r="H1512" s="43" t="s">
        <v>426</v>
      </c>
      <c r="I1512" s="44">
        <v>50</v>
      </c>
      <c r="J1512" s="44">
        <v>30.9</v>
      </c>
      <c r="K1512" s="41"/>
      <c r="L1512" s="45">
        <v>96000</v>
      </c>
      <c r="M1512" s="44">
        <v>1</v>
      </c>
      <c r="N1512" s="43" t="s">
        <v>383</v>
      </c>
    </row>
    <row r="1513" spans="1:14" ht="15.75" customHeight="1">
      <c r="A1513" s="41" t="s">
        <v>964</v>
      </c>
      <c r="B1513" s="41" t="s">
        <v>97</v>
      </c>
      <c r="C1513" s="41" t="s">
        <v>442</v>
      </c>
      <c r="D1513" s="41" t="s">
        <v>443</v>
      </c>
      <c r="E1513" s="41" t="s">
        <v>33</v>
      </c>
      <c r="F1513" s="42">
        <v>11</v>
      </c>
      <c r="G1513" s="41" t="s">
        <v>12</v>
      </c>
      <c r="H1513" s="43" t="s">
        <v>444</v>
      </c>
      <c r="I1513" s="44">
        <v>55</v>
      </c>
      <c r="J1513" s="44">
        <v>30.9</v>
      </c>
      <c r="K1513" s="41"/>
      <c r="L1513" s="45">
        <v>96000</v>
      </c>
      <c r="M1513" s="44">
        <v>1</v>
      </c>
      <c r="N1513" s="43" t="s">
        <v>383</v>
      </c>
    </row>
    <row r="1514" spans="1:14" ht="15.75" customHeight="1">
      <c r="A1514" s="41" t="s">
        <v>964</v>
      </c>
      <c r="B1514" s="41" t="s">
        <v>97</v>
      </c>
      <c r="C1514" s="41" t="s">
        <v>442</v>
      </c>
      <c r="D1514" s="41" t="s">
        <v>443</v>
      </c>
      <c r="E1514" s="41" t="s">
        <v>33</v>
      </c>
      <c r="F1514" s="42">
        <v>12</v>
      </c>
      <c r="G1514" s="41" t="s">
        <v>13</v>
      </c>
      <c r="H1514" s="43" t="s">
        <v>444</v>
      </c>
      <c r="I1514" s="44">
        <v>15</v>
      </c>
      <c r="J1514" s="44">
        <v>30.9</v>
      </c>
      <c r="K1514" s="41"/>
      <c r="L1514" s="45">
        <v>96000</v>
      </c>
      <c r="M1514" s="44">
        <v>1</v>
      </c>
      <c r="N1514" s="43" t="s">
        <v>383</v>
      </c>
    </row>
    <row r="1515" spans="1:14" ht="15.75" customHeight="1">
      <c r="A1515" s="41" t="s">
        <v>964</v>
      </c>
      <c r="B1515" s="41" t="s">
        <v>97</v>
      </c>
      <c r="C1515" s="41" t="s">
        <v>431</v>
      </c>
      <c r="D1515" s="41" t="s">
        <v>432</v>
      </c>
      <c r="E1515" s="41" t="s">
        <v>433</v>
      </c>
      <c r="F1515" s="42">
        <v>18</v>
      </c>
      <c r="G1515" s="41" t="s">
        <v>439</v>
      </c>
      <c r="H1515" s="43" t="s">
        <v>440</v>
      </c>
      <c r="I1515" s="44">
        <v>60</v>
      </c>
      <c r="J1515" s="41"/>
      <c r="K1515" s="44">
        <v>1500</v>
      </c>
      <c r="L1515" s="41" t="s">
        <v>435</v>
      </c>
      <c r="M1515" s="44">
        <v>1</v>
      </c>
      <c r="N1515" s="43" t="s">
        <v>436</v>
      </c>
    </row>
    <row r="1516" spans="1:14" ht="15.75" customHeight="1">
      <c r="A1516" s="41" t="s">
        <v>964</v>
      </c>
      <c r="B1516" s="41" t="s">
        <v>97</v>
      </c>
      <c r="C1516" s="41" t="s">
        <v>431</v>
      </c>
      <c r="D1516" s="41" t="s">
        <v>432</v>
      </c>
      <c r="E1516" s="41" t="s">
        <v>433</v>
      </c>
      <c r="F1516" s="42">
        <v>19</v>
      </c>
      <c r="G1516" s="41" t="s">
        <v>368</v>
      </c>
      <c r="H1516" s="43" t="s">
        <v>434</v>
      </c>
      <c r="I1516" s="44">
        <v>60</v>
      </c>
      <c r="J1516" s="41"/>
      <c r="K1516" s="44">
        <v>1200</v>
      </c>
      <c r="L1516" s="41" t="s">
        <v>435</v>
      </c>
      <c r="M1516" s="44">
        <v>4</v>
      </c>
      <c r="N1516" s="43" t="s">
        <v>436</v>
      </c>
    </row>
    <row r="1517" spans="1:14" ht="15.75" customHeight="1">
      <c r="A1517" s="41" t="s">
        <v>965</v>
      </c>
      <c r="B1517" s="41" t="s">
        <v>966</v>
      </c>
      <c r="C1517" s="41" t="s">
        <v>442</v>
      </c>
      <c r="D1517" s="41" t="s">
        <v>443</v>
      </c>
      <c r="E1517" s="41" t="s">
        <v>33</v>
      </c>
      <c r="F1517" s="42">
        <v>10</v>
      </c>
      <c r="G1517" s="41" t="s">
        <v>11</v>
      </c>
      <c r="H1517" s="43" t="s">
        <v>426</v>
      </c>
      <c r="I1517" s="44">
        <v>20</v>
      </c>
      <c r="J1517" s="44">
        <v>31.6</v>
      </c>
      <c r="K1517" s="41"/>
      <c r="L1517" s="45">
        <v>100000</v>
      </c>
      <c r="M1517" s="44">
        <v>1</v>
      </c>
      <c r="N1517" s="43" t="s">
        <v>383</v>
      </c>
    </row>
    <row r="1518" spans="1:14" ht="15.75" customHeight="1">
      <c r="A1518" s="41" t="s">
        <v>965</v>
      </c>
      <c r="B1518" s="41" t="s">
        <v>966</v>
      </c>
      <c r="C1518" s="41" t="s">
        <v>442</v>
      </c>
      <c r="D1518" s="41" t="s">
        <v>443</v>
      </c>
      <c r="E1518" s="41" t="s">
        <v>33</v>
      </c>
      <c r="F1518" s="42">
        <v>11</v>
      </c>
      <c r="G1518" s="41" t="s">
        <v>12</v>
      </c>
      <c r="H1518" s="43" t="s">
        <v>444</v>
      </c>
      <c r="I1518" s="44">
        <v>80</v>
      </c>
      <c r="J1518" s="44">
        <v>31.6</v>
      </c>
      <c r="K1518" s="41"/>
      <c r="L1518" s="45">
        <v>100000</v>
      </c>
      <c r="M1518" s="44">
        <v>1</v>
      </c>
      <c r="N1518" s="43" t="s">
        <v>383</v>
      </c>
    </row>
    <row r="1519" spans="1:14" ht="15.75" customHeight="1">
      <c r="A1519" s="41" t="s">
        <v>965</v>
      </c>
      <c r="B1519" s="41" t="s">
        <v>966</v>
      </c>
      <c r="C1519" s="41" t="s">
        <v>442</v>
      </c>
      <c r="D1519" s="41" t="s">
        <v>443</v>
      </c>
      <c r="E1519" s="41" t="s">
        <v>33</v>
      </c>
      <c r="F1519" s="42">
        <v>12</v>
      </c>
      <c r="G1519" s="41" t="s">
        <v>13</v>
      </c>
      <c r="H1519" s="43" t="s">
        <v>444</v>
      </c>
      <c r="I1519" s="44">
        <v>15</v>
      </c>
      <c r="J1519" s="44">
        <v>31.6</v>
      </c>
      <c r="K1519" s="41"/>
      <c r="L1519" s="45">
        <v>100000</v>
      </c>
      <c r="M1519" s="44">
        <v>1</v>
      </c>
      <c r="N1519" s="43" t="s">
        <v>383</v>
      </c>
    </row>
    <row r="1520" spans="1:14" ht="15.75" customHeight="1">
      <c r="A1520" s="41" t="s">
        <v>965</v>
      </c>
      <c r="B1520" s="41" t="s">
        <v>966</v>
      </c>
      <c r="C1520" s="41" t="s">
        <v>431</v>
      </c>
      <c r="D1520" s="41" t="s">
        <v>432</v>
      </c>
      <c r="E1520" s="41" t="s">
        <v>433</v>
      </c>
      <c r="F1520" s="42">
        <v>18</v>
      </c>
      <c r="G1520" s="41" t="s">
        <v>439</v>
      </c>
      <c r="H1520" s="43" t="s">
        <v>440</v>
      </c>
      <c r="I1520" s="44">
        <v>60</v>
      </c>
      <c r="J1520" s="41"/>
      <c r="K1520" s="44">
        <v>700</v>
      </c>
      <c r="L1520" s="41" t="s">
        <v>435</v>
      </c>
      <c r="M1520" s="44">
        <v>1</v>
      </c>
      <c r="N1520" s="43" t="s">
        <v>436</v>
      </c>
    </row>
    <row r="1521" spans="1:14" ht="15.75" customHeight="1">
      <c r="A1521" s="41" t="s">
        <v>965</v>
      </c>
      <c r="B1521" s="41" t="s">
        <v>966</v>
      </c>
      <c r="C1521" s="41" t="s">
        <v>431</v>
      </c>
      <c r="D1521" s="41" t="s">
        <v>432</v>
      </c>
      <c r="E1521" s="41" t="s">
        <v>433</v>
      </c>
      <c r="F1521" s="42">
        <v>19</v>
      </c>
      <c r="G1521" s="41" t="s">
        <v>368</v>
      </c>
      <c r="H1521" s="43" t="s">
        <v>434</v>
      </c>
      <c r="I1521" s="44">
        <v>60</v>
      </c>
      <c r="J1521" s="41"/>
      <c r="K1521" s="44">
        <v>700</v>
      </c>
      <c r="L1521" s="41" t="s">
        <v>435</v>
      </c>
      <c r="M1521" s="44">
        <v>3</v>
      </c>
      <c r="N1521" s="43" t="s">
        <v>436</v>
      </c>
    </row>
    <row r="1522" spans="1:14" ht="15.75" customHeight="1">
      <c r="A1522" s="41" t="s">
        <v>967</v>
      </c>
      <c r="B1522" s="41" t="s">
        <v>968</v>
      </c>
      <c r="C1522" s="41" t="s">
        <v>424</v>
      </c>
      <c r="D1522" s="41" t="s">
        <v>425</v>
      </c>
      <c r="E1522" s="41" t="s">
        <v>48</v>
      </c>
      <c r="F1522" s="42">
        <v>4</v>
      </c>
      <c r="G1522" s="41" t="s">
        <v>11</v>
      </c>
      <c r="H1522" s="43" t="s">
        <v>426</v>
      </c>
      <c r="I1522" s="44">
        <v>25</v>
      </c>
      <c r="J1522" s="44">
        <v>30</v>
      </c>
      <c r="K1522" s="41"/>
      <c r="L1522" s="45">
        <v>52000</v>
      </c>
      <c r="M1522" s="44">
        <v>1</v>
      </c>
      <c r="N1522" s="43" t="s">
        <v>383</v>
      </c>
    </row>
    <row r="1523" spans="1:14" ht="15.75" customHeight="1">
      <c r="A1523" s="41" t="s">
        <v>967</v>
      </c>
      <c r="B1523" s="41" t="s">
        <v>968</v>
      </c>
      <c r="C1523" s="41" t="s">
        <v>424</v>
      </c>
      <c r="D1523" s="41" t="s">
        <v>425</v>
      </c>
      <c r="E1523" s="41" t="s">
        <v>48</v>
      </c>
      <c r="F1523" s="42">
        <v>5</v>
      </c>
      <c r="G1523" s="41" t="s">
        <v>12</v>
      </c>
      <c r="H1523" s="43" t="s">
        <v>427</v>
      </c>
      <c r="I1523" s="44">
        <v>130</v>
      </c>
      <c r="J1523" s="44">
        <v>30</v>
      </c>
      <c r="K1523" s="41"/>
      <c r="L1523" s="45">
        <v>52000</v>
      </c>
      <c r="M1523" s="44">
        <v>1</v>
      </c>
      <c r="N1523" s="43" t="s">
        <v>383</v>
      </c>
    </row>
    <row r="1524" spans="1:14" ht="15.75" customHeight="1">
      <c r="A1524" s="41" t="s">
        <v>967</v>
      </c>
      <c r="B1524" s="41" t="s">
        <v>968</v>
      </c>
      <c r="C1524" s="41" t="s">
        <v>424</v>
      </c>
      <c r="D1524" s="41" t="s">
        <v>425</v>
      </c>
      <c r="E1524" s="41" t="s">
        <v>48</v>
      </c>
      <c r="F1524" s="42">
        <v>6</v>
      </c>
      <c r="G1524" s="41" t="s">
        <v>13</v>
      </c>
      <c r="H1524" s="43" t="s">
        <v>427</v>
      </c>
      <c r="I1524" s="44">
        <v>30</v>
      </c>
      <c r="J1524" s="44">
        <v>30</v>
      </c>
      <c r="K1524" s="41"/>
      <c r="L1524" s="45">
        <v>52000</v>
      </c>
      <c r="M1524" s="44">
        <v>1</v>
      </c>
      <c r="N1524" s="43" t="s">
        <v>383</v>
      </c>
    </row>
    <row r="1525" spans="1:14" ht="15.75" customHeight="1">
      <c r="A1525" s="41" t="s">
        <v>967</v>
      </c>
      <c r="B1525" s="41" t="s">
        <v>968</v>
      </c>
      <c r="C1525" s="41" t="s">
        <v>431</v>
      </c>
      <c r="D1525" s="41" t="s">
        <v>432</v>
      </c>
      <c r="E1525" s="41" t="s">
        <v>433</v>
      </c>
      <c r="F1525" s="42">
        <v>18</v>
      </c>
      <c r="G1525" s="41" t="s">
        <v>439</v>
      </c>
      <c r="H1525" s="43" t="s">
        <v>440</v>
      </c>
      <c r="I1525" s="44">
        <v>60</v>
      </c>
      <c r="J1525" s="41"/>
      <c r="K1525" s="44">
        <v>800</v>
      </c>
      <c r="L1525" s="41" t="s">
        <v>435</v>
      </c>
      <c r="M1525" s="44">
        <v>1</v>
      </c>
      <c r="N1525" s="43" t="s">
        <v>436</v>
      </c>
    </row>
    <row r="1526" spans="1:14" ht="15.75" customHeight="1">
      <c r="A1526" s="41" t="s">
        <v>967</v>
      </c>
      <c r="B1526" s="41" t="s">
        <v>968</v>
      </c>
      <c r="C1526" s="41" t="s">
        <v>431</v>
      </c>
      <c r="D1526" s="41" t="s">
        <v>432</v>
      </c>
      <c r="E1526" s="41" t="s">
        <v>433</v>
      </c>
      <c r="F1526" s="42">
        <v>19</v>
      </c>
      <c r="G1526" s="41" t="s">
        <v>368</v>
      </c>
      <c r="H1526" s="43" t="s">
        <v>434</v>
      </c>
      <c r="I1526" s="44">
        <v>60</v>
      </c>
      <c r="J1526" s="41"/>
      <c r="K1526" s="44">
        <v>900</v>
      </c>
      <c r="L1526" s="41" t="s">
        <v>435</v>
      </c>
      <c r="M1526" s="44">
        <v>4</v>
      </c>
      <c r="N1526" s="43" t="s">
        <v>436</v>
      </c>
    </row>
    <row r="1527" spans="1:14" ht="15.75" customHeight="1">
      <c r="A1527" s="41" t="s">
        <v>969</v>
      </c>
      <c r="B1527" s="41" t="s">
        <v>970</v>
      </c>
      <c r="C1527" s="41" t="s">
        <v>424</v>
      </c>
      <c r="D1527" s="41" t="s">
        <v>425</v>
      </c>
      <c r="E1527" s="41" t="s">
        <v>48</v>
      </c>
      <c r="F1527" s="42">
        <v>4</v>
      </c>
      <c r="G1527" s="41" t="s">
        <v>11</v>
      </c>
      <c r="H1527" s="43" t="s">
        <v>426</v>
      </c>
      <c r="I1527" s="44">
        <v>30</v>
      </c>
      <c r="J1527" s="44">
        <v>29.7</v>
      </c>
      <c r="K1527" s="41"/>
      <c r="L1527" s="45">
        <v>52000</v>
      </c>
      <c r="M1527" s="44">
        <v>1</v>
      </c>
      <c r="N1527" s="43" t="s">
        <v>383</v>
      </c>
    </row>
    <row r="1528" spans="1:14" ht="15.75" customHeight="1">
      <c r="A1528" s="41" t="s">
        <v>969</v>
      </c>
      <c r="B1528" s="41" t="s">
        <v>970</v>
      </c>
      <c r="C1528" s="41" t="s">
        <v>424</v>
      </c>
      <c r="D1528" s="41" t="s">
        <v>425</v>
      </c>
      <c r="E1528" s="41" t="s">
        <v>48</v>
      </c>
      <c r="F1528" s="42">
        <v>5</v>
      </c>
      <c r="G1528" s="41" t="s">
        <v>12</v>
      </c>
      <c r="H1528" s="43" t="s">
        <v>427</v>
      </c>
      <c r="I1528" s="44">
        <v>140</v>
      </c>
      <c r="J1528" s="44">
        <v>29.7</v>
      </c>
      <c r="K1528" s="41"/>
      <c r="L1528" s="45">
        <v>52000</v>
      </c>
      <c r="M1528" s="44">
        <v>1</v>
      </c>
      <c r="N1528" s="43" t="s">
        <v>383</v>
      </c>
    </row>
    <row r="1529" spans="1:14" ht="15.75" customHeight="1">
      <c r="A1529" s="41" t="s">
        <v>969</v>
      </c>
      <c r="B1529" s="41" t="s">
        <v>970</v>
      </c>
      <c r="C1529" s="41" t="s">
        <v>424</v>
      </c>
      <c r="D1529" s="41" t="s">
        <v>425</v>
      </c>
      <c r="E1529" s="41" t="s">
        <v>48</v>
      </c>
      <c r="F1529" s="42">
        <v>6</v>
      </c>
      <c r="G1529" s="41" t="s">
        <v>13</v>
      </c>
      <c r="H1529" s="43" t="s">
        <v>427</v>
      </c>
      <c r="I1529" s="44">
        <v>30</v>
      </c>
      <c r="J1529" s="44">
        <v>29.7</v>
      </c>
      <c r="K1529" s="41"/>
      <c r="L1529" s="45">
        <v>52000</v>
      </c>
      <c r="M1529" s="44">
        <v>1</v>
      </c>
      <c r="N1529" s="43" t="s">
        <v>383</v>
      </c>
    </row>
    <row r="1530" spans="1:14" ht="15.75" customHeight="1">
      <c r="A1530" s="41" t="s">
        <v>969</v>
      </c>
      <c r="B1530" s="41" t="s">
        <v>970</v>
      </c>
      <c r="C1530" s="41" t="s">
        <v>431</v>
      </c>
      <c r="D1530" s="41" t="s">
        <v>432</v>
      </c>
      <c r="E1530" s="41" t="s">
        <v>433</v>
      </c>
      <c r="F1530" s="42">
        <v>18</v>
      </c>
      <c r="G1530" s="41" t="s">
        <v>439</v>
      </c>
      <c r="H1530" s="43" t="s">
        <v>440</v>
      </c>
      <c r="I1530" s="44">
        <v>60</v>
      </c>
      <c r="J1530" s="41"/>
      <c r="K1530" s="44">
        <v>1300</v>
      </c>
      <c r="L1530" s="41" t="s">
        <v>435</v>
      </c>
      <c r="M1530" s="44">
        <v>1</v>
      </c>
      <c r="N1530" s="43" t="s">
        <v>436</v>
      </c>
    </row>
    <row r="1531" spans="1:14" ht="15.75" customHeight="1">
      <c r="A1531" s="41" t="s">
        <v>969</v>
      </c>
      <c r="B1531" s="41" t="s">
        <v>970</v>
      </c>
      <c r="C1531" s="41" t="s">
        <v>431</v>
      </c>
      <c r="D1531" s="41" t="s">
        <v>432</v>
      </c>
      <c r="E1531" s="41" t="s">
        <v>433</v>
      </c>
      <c r="F1531" s="42">
        <v>19</v>
      </c>
      <c r="G1531" s="41" t="s">
        <v>368</v>
      </c>
      <c r="H1531" s="43" t="s">
        <v>434</v>
      </c>
      <c r="I1531" s="44">
        <v>60</v>
      </c>
      <c r="J1531" s="41"/>
      <c r="K1531" s="44">
        <v>800</v>
      </c>
      <c r="L1531" s="41" t="s">
        <v>435</v>
      </c>
      <c r="M1531" s="44">
        <v>4</v>
      </c>
      <c r="N1531" s="43" t="s">
        <v>436</v>
      </c>
    </row>
    <row r="1532" spans="1:14" ht="15.75" customHeight="1">
      <c r="A1532" s="41" t="s">
        <v>971</v>
      </c>
      <c r="B1532" s="41" t="s">
        <v>972</v>
      </c>
      <c r="C1532" s="41" t="s">
        <v>442</v>
      </c>
      <c r="D1532" s="41" t="s">
        <v>448</v>
      </c>
      <c r="E1532" s="41" t="s">
        <v>40</v>
      </c>
      <c r="F1532" s="42">
        <v>2</v>
      </c>
      <c r="G1532" s="41" t="s">
        <v>12</v>
      </c>
      <c r="H1532" s="43" t="s">
        <v>449</v>
      </c>
      <c r="I1532" s="44">
        <v>315</v>
      </c>
      <c r="J1532" s="44">
        <v>100</v>
      </c>
      <c r="K1532" s="41"/>
      <c r="L1532" s="45">
        <v>412000</v>
      </c>
      <c r="M1532" s="44">
        <v>1</v>
      </c>
      <c r="N1532" s="43" t="s">
        <v>383</v>
      </c>
    </row>
    <row r="1533" spans="1:14" ht="15.75" customHeight="1">
      <c r="A1533" s="41" t="s">
        <v>971</v>
      </c>
      <c r="B1533" s="41" t="s">
        <v>972</v>
      </c>
      <c r="C1533" s="41" t="s">
        <v>442</v>
      </c>
      <c r="D1533" s="41" t="s">
        <v>448</v>
      </c>
      <c r="E1533" s="41" t="s">
        <v>40</v>
      </c>
      <c r="F1533" s="42">
        <v>3</v>
      </c>
      <c r="G1533" s="41" t="s">
        <v>13</v>
      </c>
      <c r="H1533" s="43" t="s">
        <v>449</v>
      </c>
      <c r="I1533" s="44">
        <v>60</v>
      </c>
      <c r="J1533" s="44">
        <v>100</v>
      </c>
      <c r="K1533" s="41"/>
      <c r="L1533" s="45">
        <v>412000</v>
      </c>
      <c r="M1533" s="44">
        <v>1</v>
      </c>
      <c r="N1533" s="43" t="s">
        <v>383</v>
      </c>
    </row>
    <row r="1534" spans="1:14" ht="15.75" customHeight="1">
      <c r="A1534" s="41" t="s">
        <v>971</v>
      </c>
      <c r="B1534" s="41" t="s">
        <v>972</v>
      </c>
      <c r="C1534" s="41" t="s">
        <v>431</v>
      </c>
      <c r="D1534" s="41" t="s">
        <v>432</v>
      </c>
      <c r="E1534" s="41" t="s">
        <v>433</v>
      </c>
      <c r="F1534" s="42">
        <v>19</v>
      </c>
      <c r="G1534" s="41" t="s">
        <v>368</v>
      </c>
      <c r="H1534" s="43" t="s">
        <v>434</v>
      </c>
      <c r="I1534" s="44">
        <v>60</v>
      </c>
      <c r="J1534" s="41"/>
      <c r="K1534" s="44">
        <v>460</v>
      </c>
      <c r="L1534" s="41" t="s">
        <v>435</v>
      </c>
      <c r="M1534" s="44">
        <v>4</v>
      </c>
      <c r="N1534" s="43" t="s">
        <v>436</v>
      </c>
    </row>
    <row r="1535" spans="1:14" ht="15.75" customHeight="1">
      <c r="A1535" s="41" t="s">
        <v>973</v>
      </c>
      <c r="B1535" s="41" t="s">
        <v>974</v>
      </c>
      <c r="C1535" s="41" t="s">
        <v>424</v>
      </c>
      <c r="D1535" s="41" t="s">
        <v>686</v>
      </c>
      <c r="E1535" s="41" t="s">
        <v>687</v>
      </c>
      <c r="F1535" s="42">
        <v>13</v>
      </c>
      <c r="G1535" s="41" t="s">
        <v>11</v>
      </c>
      <c r="H1535" s="43" t="s">
        <v>426</v>
      </c>
      <c r="I1535" s="44">
        <v>15</v>
      </c>
      <c r="J1535" s="44">
        <v>50</v>
      </c>
      <c r="K1535" s="41"/>
      <c r="L1535" s="45">
        <v>18000</v>
      </c>
      <c r="M1535" s="44">
        <v>1</v>
      </c>
      <c r="N1535" s="43" t="s">
        <v>383</v>
      </c>
    </row>
    <row r="1536" spans="1:14" ht="15.75" customHeight="1">
      <c r="A1536" s="41" t="s">
        <v>973</v>
      </c>
      <c r="B1536" s="41" t="s">
        <v>974</v>
      </c>
      <c r="C1536" s="41" t="s">
        <v>424</v>
      </c>
      <c r="D1536" s="41" t="s">
        <v>686</v>
      </c>
      <c r="E1536" s="41" t="s">
        <v>687</v>
      </c>
      <c r="F1536" s="42">
        <v>14</v>
      </c>
      <c r="G1536" s="41" t="s">
        <v>12</v>
      </c>
      <c r="H1536" s="43" t="s">
        <v>688</v>
      </c>
      <c r="I1536" s="44">
        <v>140</v>
      </c>
      <c r="J1536" s="44">
        <v>50</v>
      </c>
      <c r="K1536" s="41"/>
      <c r="L1536" s="45">
        <v>18000</v>
      </c>
      <c r="M1536" s="44">
        <v>1</v>
      </c>
      <c r="N1536" s="43" t="s">
        <v>383</v>
      </c>
    </row>
    <row r="1537" spans="1:14" ht="15.75" customHeight="1">
      <c r="A1537" s="41" t="s">
        <v>973</v>
      </c>
      <c r="B1537" s="41" t="s">
        <v>974</v>
      </c>
      <c r="C1537" s="41" t="s">
        <v>424</v>
      </c>
      <c r="D1537" s="41" t="s">
        <v>686</v>
      </c>
      <c r="E1537" s="41" t="s">
        <v>687</v>
      </c>
      <c r="F1537" s="42">
        <v>15</v>
      </c>
      <c r="G1537" s="41" t="s">
        <v>13</v>
      </c>
      <c r="H1537" s="43" t="s">
        <v>688</v>
      </c>
      <c r="I1537" s="44">
        <v>30</v>
      </c>
      <c r="J1537" s="44">
        <v>50</v>
      </c>
      <c r="K1537" s="41"/>
      <c r="L1537" s="45">
        <v>18000</v>
      </c>
      <c r="M1537" s="44">
        <v>1</v>
      </c>
      <c r="N1537" s="43" t="s">
        <v>383</v>
      </c>
    </row>
    <row r="1538" spans="1:14" ht="15.75" customHeight="1">
      <c r="A1538" s="41" t="s">
        <v>973</v>
      </c>
      <c r="B1538" s="41" t="s">
        <v>974</v>
      </c>
      <c r="C1538" s="41" t="s">
        <v>431</v>
      </c>
      <c r="D1538" s="41" t="s">
        <v>432</v>
      </c>
      <c r="E1538" s="41" t="s">
        <v>433</v>
      </c>
      <c r="F1538" s="42">
        <v>18</v>
      </c>
      <c r="G1538" s="41" t="s">
        <v>439</v>
      </c>
      <c r="H1538" s="43" t="s">
        <v>440</v>
      </c>
      <c r="I1538" s="44">
        <v>60</v>
      </c>
      <c r="J1538" s="41"/>
      <c r="K1538" s="44">
        <v>750</v>
      </c>
      <c r="L1538" s="41" t="s">
        <v>435</v>
      </c>
      <c r="M1538" s="44">
        <v>1</v>
      </c>
      <c r="N1538" s="43" t="s">
        <v>436</v>
      </c>
    </row>
    <row r="1539" spans="1:14" ht="15.75" customHeight="1">
      <c r="A1539" s="41" t="s">
        <v>973</v>
      </c>
      <c r="B1539" s="41" t="s">
        <v>974</v>
      </c>
      <c r="C1539" s="41" t="s">
        <v>431</v>
      </c>
      <c r="D1539" s="41" t="s">
        <v>432</v>
      </c>
      <c r="E1539" s="41" t="s">
        <v>433</v>
      </c>
      <c r="F1539" s="42">
        <v>19</v>
      </c>
      <c r="G1539" s="41" t="s">
        <v>368</v>
      </c>
      <c r="H1539" s="43" t="s">
        <v>434</v>
      </c>
      <c r="I1539" s="44">
        <v>60</v>
      </c>
      <c r="J1539" s="41"/>
      <c r="K1539" s="44">
        <v>700</v>
      </c>
      <c r="L1539" s="41" t="s">
        <v>435</v>
      </c>
      <c r="M1539" s="44">
        <v>4</v>
      </c>
      <c r="N1539" s="43" t="s">
        <v>436</v>
      </c>
    </row>
    <row r="1540" spans="1:14" ht="15.75" customHeight="1">
      <c r="A1540" s="41" t="s">
        <v>975</v>
      </c>
      <c r="B1540" s="41" t="s">
        <v>976</v>
      </c>
      <c r="C1540" s="41" t="s">
        <v>424</v>
      </c>
      <c r="D1540" s="41" t="s">
        <v>425</v>
      </c>
      <c r="E1540" s="41" t="s">
        <v>48</v>
      </c>
      <c r="F1540" s="42">
        <v>4</v>
      </c>
      <c r="G1540" s="41" t="s">
        <v>11</v>
      </c>
      <c r="H1540" s="43" t="s">
        <v>426</v>
      </c>
      <c r="I1540" s="44">
        <v>60</v>
      </c>
      <c r="J1540" s="44">
        <v>30.1</v>
      </c>
      <c r="K1540" s="41"/>
      <c r="L1540" s="45">
        <v>51500</v>
      </c>
      <c r="M1540" s="44">
        <v>1</v>
      </c>
      <c r="N1540" s="43" t="s">
        <v>383</v>
      </c>
    </row>
    <row r="1541" spans="1:14" ht="15.75" customHeight="1">
      <c r="A1541" s="41" t="s">
        <v>975</v>
      </c>
      <c r="B1541" s="41" t="s">
        <v>976</v>
      </c>
      <c r="C1541" s="41" t="s">
        <v>424</v>
      </c>
      <c r="D1541" s="41" t="s">
        <v>425</v>
      </c>
      <c r="E1541" s="41" t="s">
        <v>48</v>
      </c>
      <c r="F1541" s="42">
        <v>5</v>
      </c>
      <c r="G1541" s="41" t="s">
        <v>12</v>
      </c>
      <c r="H1541" s="43" t="s">
        <v>427</v>
      </c>
      <c r="I1541" s="44">
        <v>125</v>
      </c>
      <c r="J1541" s="44">
        <v>30.1</v>
      </c>
      <c r="K1541" s="41"/>
      <c r="L1541" s="45">
        <v>51500</v>
      </c>
      <c r="M1541" s="44">
        <v>1</v>
      </c>
      <c r="N1541" s="43" t="s">
        <v>383</v>
      </c>
    </row>
    <row r="1542" spans="1:14" ht="15.75" customHeight="1">
      <c r="A1542" s="41" t="s">
        <v>975</v>
      </c>
      <c r="B1542" s="41" t="s">
        <v>976</v>
      </c>
      <c r="C1542" s="41" t="s">
        <v>424</v>
      </c>
      <c r="D1542" s="41" t="s">
        <v>425</v>
      </c>
      <c r="E1542" s="41" t="s">
        <v>48</v>
      </c>
      <c r="F1542" s="42">
        <v>6</v>
      </c>
      <c r="G1542" s="41" t="s">
        <v>13</v>
      </c>
      <c r="H1542" s="43" t="s">
        <v>427</v>
      </c>
      <c r="I1542" s="44">
        <v>90</v>
      </c>
      <c r="J1542" s="44">
        <v>30.1</v>
      </c>
      <c r="K1542" s="41"/>
      <c r="L1542" s="45">
        <v>51500</v>
      </c>
      <c r="M1542" s="44">
        <v>1</v>
      </c>
      <c r="N1542" s="43" t="s">
        <v>383</v>
      </c>
    </row>
    <row r="1543" spans="1:14" ht="15.75" customHeight="1">
      <c r="A1543" s="41" t="s">
        <v>975</v>
      </c>
      <c r="B1543" s="41" t="s">
        <v>976</v>
      </c>
      <c r="C1543" s="41" t="s">
        <v>431</v>
      </c>
      <c r="D1543" s="41" t="s">
        <v>432</v>
      </c>
      <c r="E1543" s="41" t="s">
        <v>433</v>
      </c>
      <c r="F1543" s="42">
        <v>19</v>
      </c>
      <c r="G1543" s="41" t="s">
        <v>368</v>
      </c>
      <c r="H1543" s="43" t="s">
        <v>434</v>
      </c>
      <c r="I1543" s="44">
        <v>60</v>
      </c>
      <c r="J1543" s="41"/>
      <c r="K1543" s="44">
        <v>800</v>
      </c>
      <c r="L1543" s="41" t="s">
        <v>435</v>
      </c>
      <c r="M1543" s="44">
        <v>4</v>
      </c>
      <c r="N1543" s="43" t="s">
        <v>436</v>
      </c>
    </row>
    <row r="1544" spans="1:14" ht="15.75" customHeight="1">
      <c r="A1544" s="41" t="s">
        <v>977</v>
      </c>
      <c r="B1544" s="41" t="s">
        <v>978</v>
      </c>
      <c r="C1544" s="41" t="s">
        <v>424</v>
      </c>
      <c r="D1544" s="41" t="s">
        <v>425</v>
      </c>
      <c r="E1544" s="41" t="s">
        <v>48</v>
      </c>
      <c r="F1544" s="42">
        <v>4</v>
      </c>
      <c r="G1544" s="41" t="s">
        <v>11</v>
      </c>
      <c r="H1544" s="43" t="s">
        <v>426</v>
      </c>
      <c r="I1544" s="44">
        <v>70</v>
      </c>
      <c r="J1544" s="44">
        <v>31.6</v>
      </c>
      <c r="K1544" s="41"/>
      <c r="L1544" s="45">
        <v>51500</v>
      </c>
      <c r="M1544" s="44">
        <v>1</v>
      </c>
      <c r="N1544" s="43" t="s">
        <v>383</v>
      </c>
    </row>
    <row r="1545" spans="1:14" ht="15.75" customHeight="1">
      <c r="A1545" s="41" t="s">
        <v>977</v>
      </c>
      <c r="B1545" s="41" t="s">
        <v>978</v>
      </c>
      <c r="C1545" s="41" t="s">
        <v>424</v>
      </c>
      <c r="D1545" s="41" t="s">
        <v>425</v>
      </c>
      <c r="E1545" s="41" t="s">
        <v>48</v>
      </c>
      <c r="F1545" s="42">
        <v>5</v>
      </c>
      <c r="G1545" s="41" t="s">
        <v>12</v>
      </c>
      <c r="H1545" s="43" t="s">
        <v>427</v>
      </c>
      <c r="I1545" s="44">
        <v>150</v>
      </c>
      <c r="J1545" s="44">
        <v>31.6</v>
      </c>
      <c r="K1545" s="41"/>
      <c r="L1545" s="45">
        <v>51500</v>
      </c>
      <c r="M1545" s="44">
        <v>1</v>
      </c>
      <c r="N1545" s="43" t="s">
        <v>383</v>
      </c>
    </row>
    <row r="1546" spans="1:14" ht="15.75" customHeight="1">
      <c r="A1546" s="41" t="s">
        <v>977</v>
      </c>
      <c r="B1546" s="41" t="s">
        <v>978</v>
      </c>
      <c r="C1546" s="41" t="s">
        <v>424</v>
      </c>
      <c r="D1546" s="41" t="s">
        <v>425</v>
      </c>
      <c r="E1546" s="41" t="s">
        <v>48</v>
      </c>
      <c r="F1546" s="42">
        <v>6</v>
      </c>
      <c r="G1546" s="41" t="s">
        <v>13</v>
      </c>
      <c r="H1546" s="43" t="s">
        <v>427</v>
      </c>
      <c r="I1546" s="44">
        <v>90</v>
      </c>
      <c r="J1546" s="44">
        <v>31.6</v>
      </c>
      <c r="K1546" s="41"/>
      <c r="L1546" s="45">
        <v>51500</v>
      </c>
      <c r="M1546" s="44">
        <v>1</v>
      </c>
      <c r="N1546" s="43" t="s">
        <v>383</v>
      </c>
    </row>
    <row r="1547" spans="1:14" ht="15.75" customHeight="1">
      <c r="A1547" s="41" t="s">
        <v>977</v>
      </c>
      <c r="B1547" s="41" t="s">
        <v>978</v>
      </c>
      <c r="C1547" s="41" t="s">
        <v>431</v>
      </c>
      <c r="D1547" s="41" t="s">
        <v>432</v>
      </c>
      <c r="E1547" s="41" t="s">
        <v>433</v>
      </c>
      <c r="F1547" s="42">
        <v>19</v>
      </c>
      <c r="G1547" s="41" t="s">
        <v>368</v>
      </c>
      <c r="H1547" s="43" t="s">
        <v>434</v>
      </c>
      <c r="I1547" s="44">
        <v>60</v>
      </c>
      <c r="J1547" s="41"/>
      <c r="K1547" s="44">
        <v>800</v>
      </c>
      <c r="L1547" s="41" t="s">
        <v>435</v>
      </c>
      <c r="M1547" s="44">
        <v>4</v>
      </c>
      <c r="N1547" s="43" t="s">
        <v>436</v>
      </c>
    </row>
    <row r="1548" spans="1:14" ht="15.75" customHeight="1">
      <c r="A1548" s="41" t="s">
        <v>979</v>
      </c>
      <c r="B1548" s="41" t="s">
        <v>980</v>
      </c>
      <c r="C1548" s="41" t="s">
        <v>424</v>
      </c>
      <c r="D1548" s="41" t="s">
        <v>425</v>
      </c>
      <c r="E1548" s="41" t="s">
        <v>48</v>
      </c>
      <c r="F1548" s="42">
        <v>4</v>
      </c>
      <c r="G1548" s="41" t="s">
        <v>11</v>
      </c>
      <c r="H1548" s="43" t="s">
        <v>426</v>
      </c>
      <c r="I1548" s="44">
        <v>30</v>
      </c>
      <c r="J1548" s="44">
        <v>99</v>
      </c>
      <c r="K1548" s="41"/>
      <c r="L1548" s="45">
        <v>52000</v>
      </c>
      <c r="M1548" s="44">
        <v>1</v>
      </c>
      <c r="N1548" s="43" t="s">
        <v>383</v>
      </c>
    </row>
    <row r="1549" spans="1:14" ht="15.75" customHeight="1">
      <c r="A1549" s="41" t="s">
        <v>979</v>
      </c>
      <c r="B1549" s="41" t="s">
        <v>980</v>
      </c>
      <c r="C1549" s="41" t="s">
        <v>424</v>
      </c>
      <c r="D1549" s="41" t="s">
        <v>425</v>
      </c>
      <c r="E1549" s="41" t="s">
        <v>48</v>
      </c>
      <c r="F1549" s="42">
        <v>5</v>
      </c>
      <c r="G1549" s="41" t="s">
        <v>12</v>
      </c>
      <c r="H1549" s="43" t="s">
        <v>427</v>
      </c>
      <c r="I1549" s="44">
        <v>140</v>
      </c>
      <c r="J1549" s="44">
        <v>99</v>
      </c>
      <c r="K1549" s="41"/>
      <c r="L1549" s="45">
        <v>52000</v>
      </c>
      <c r="M1549" s="44">
        <v>1</v>
      </c>
      <c r="N1549" s="43" t="s">
        <v>383</v>
      </c>
    </row>
    <row r="1550" spans="1:14" ht="15.75" customHeight="1">
      <c r="A1550" s="41" t="s">
        <v>979</v>
      </c>
      <c r="B1550" s="41" t="s">
        <v>980</v>
      </c>
      <c r="C1550" s="41" t="s">
        <v>424</v>
      </c>
      <c r="D1550" s="41" t="s">
        <v>425</v>
      </c>
      <c r="E1550" s="41" t="s">
        <v>48</v>
      </c>
      <c r="F1550" s="42">
        <v>6</v>
      </c>
      <c r="G1550" s="41" t="s">
        <v>13</v>
      </c>
      <c r="H1550" s="43" t="s">
        <v>427</v>
      </c>
      <c r="I1550" s="44">
        <v>30</v>
      </c>
      <c r="J1550" s="44">
        <v>99</v>
      </c>
      <c r="K1550" s="41"/>
      <c r="L1550" s="45">
        <v>52000</v>
      </c>
      <c r="M1550" s="44">
        <v>1</v>
      </c>
      <c r="N1550" s="43" t="s">
        <v>383</v>
      </c>
    </row>
    <row r="1551" spans="1:14" ht="15.75" customHeight="1">
      <c r="A1551" s="41" t="s">
        <v>979</v>
      </c>
      <c r="B1551" s="41" t="s">
        <v>980</v>
      </c>
      <c r="C1551" s="41" t="s">
        <v>431</v>
      </c>
      <c r="D1551" s="41" t="s">
        <v>432</v>
      </c>
      <c r="E1551" s="41" t="s">
        <v>433</v>
      </c>
      <c r="F1551" s="42">
        <v>18</v>
      </c>
      <c r="G1551" s="41" t="s">
        <v>439</v>
      </c>
      <c r="H1551" s="43" t="s">
        <v>440</v>
      </c>
      <c r="I1551" s="44">
        <v>60</v>
      </c>
      <c r="J1551" s="41"/>
      <c r="K1551" s="44">
        <v>850</v>
      </c>
      <c r="L1551" s="41" t="s">
        <v>435</v>
      </c>
      <c r="M1551" s="44">
        <v>1</v>
      </c>
      <c r="N1551" s="43" t="s">
        <v>436</v>
      </c>
    </row>
    <row r="1552" spans="1:14" ht="15.75" customHeight="1">
      <c r="A1552" s="41" t="s">
        <v>979</v>
      </c>
      <c r="B1552" s="41" t="s">
        <v>980</v>
      </c>
      <c r="C1552" s="41" t="s">
        <v>431</v>
      </c>
      <c r="D1552" s="41" t="s">
        <v>432</v>
      </c>
      <c r="E1552" s="41" t="s">
        <v>433</v>
      </c>
      <c r="F1552" s="42">
        <v>19</v>
      </c>
      <c r="G1552" s="41" t="s">
        <v>368</v>
      </c>
      <c r="H1552" s="43" t="s">
        <v>434</v>
      </c>
      <c r="I1552" s="44">
        <v>60</v>
      </c>
      <c r="J1552" s="41"/>
      <c r="K1552" s="44">
        <v>700</v>
      </c>
      <c r="L1552" s="41" t="s">
        <v>435</v>
      </c>
      <c r="M1552" s="44">
        <v>4</v>
      </c>
      <c r="N1552" s="43" t="s">
        <v>436</v>
      </c>
    </row>
    <row r="1553" spans="1:14" ht="15.75" customHeight="1">
      <c r="A1553" s="41" t="s">
        <v>981</v>
      </c>
      <c r="B1553" s="41" t="s">
        <v>982</v>
      </c>
      <c r="C1553" s="41" t="s">
        <v>442</v>
      </c>
      <c r="D1553" s="41" t="s">
        <v>443</v>
      </c>
      <c r="E1553" s="41" t="s">
        <v>33</v>
      </c>
      <c r="F1553" s="42">
        <v>10</v>
      </c>
      <c r="G1553" s="41" t="s">
        <v>11</v>
      </c>
      <c r="H1553" s="43" t="s">
        <v>426</v>
      </c>
      <c r="I1553" s="44">
        <v>20</v>
      </c>
      <c r="J1553" s="44">
        <v>150</v>
      </c>
      <c r="K1553" s="41"/>
      <c r="L1553" s="45">
        <v>100000</v>
      </c>
      <c r="M1553" s="44">
        <v>1</v>
      </c>
      <c r="N1553" s="43" t="s">
        <v>383</v>
      </c>
    </row>
    <row r="1554" spans="1:14" ht="15.75" customHeight="1">
      <c r="A1554" s="41" t="s">
        <v>981</v>
      </c>
      <c r="B1554" s="41" t="s">
        <v>982</v>
      </c>
      <c r="C1554" s="41" t="s">
        <v>442</v>
      </c>
      <c r="D1554" s="41" t="s">
        <v>443</v>
      </c>
      <c r="E1554" s="41" t="s">
        <v>33</v>
      </c>
      <c r="F1554" s="42">
        <v>11</v>
      </c>
      <c r="G1554" s="41" t="s">
        <v>12</v>
      </c>
      <c r="H1554" s="43" t="s">
        <v>444</v>
      </c>
      <c r="I1554" s="44">
        <v>90</v>
      </c>
      <c r="J1554" s="44">
        <v>150</v>
      </c>
      <c r="K1554" s="41"/>
      <c r="L1554" s="45">
        <v>100000</v>
      </c>
      <c r="M1554" s="44">
        <v>1</v>
      </c>
      <c r="N1554" s="43" t="s">
        <v>383</v>
      </c>
    </row>
    <row r="1555" spans="1:14" ht="15.75" customHeight="1">
      <c r="A1555" s="41" t="s">
        <v>981</v>
      </c>
      <c r="B1555" s="41" t="s">
        <v>982</v>
      </c>
      <c r="C1555" s="41" t="s">
        <v>442</v>
      </c>
      <c r="D1555" s="41" t="s">
        <v>443</v>
      </c>
      <c r="E1555" s="41" t="s">
        <v>33</v>
      </c>
      <c r="F1555" s="42">
        <v>12</v>
      </c>
      <c r="G1555" s="41" t="s">
        <v>13</v>
      </c>
      <c r="H1555" s="43" t="s">
        <v>444</v>
      </c>
      <c r="I1555" s="44">
        <v>15</v>
      </c>
      <c r="J1555" s="44">
        <v>150</v>
      </c>
      <c r="K1555" s="41"/>
      <c r="L1555" s="45">
        <v>100000</v>
      </c>
      <c r="M1555" s="44">
        <v>1</v>
      </c>
      <c r="N1555" s="43" t="s">
        <v>383</v>
      </c>
    </row>
    <row r="1556" spans="1:14" ht="15.75" customHeight="1">
      <c r="A1556" s="41" t="s">
        <v>981</v>
      </c>
      <c r="B1556" s="41" t="s">
        <v>982</v>
      </c>
      <c r="C1556" s="41" t="s">
        <v>431</v>
      </c>
      <c r="D1556" s="41" t="s">
        <v>432</v>
      </c>
      <c r="E1556" s="41" t="s">
        <v>433</v>
      </c>
      <c r="F1556" s="42">
        <v>18</v>
      </c>
      <c r="G1556" s="41" t="s">
        <v>439</v>
      </c>
      <c r="H1556" s="43" t="s">
        <v>440</v>
      </c>
      <c r="I1556" s="44">
        <v>60</v>
      </c>
      <c r="J1556" s="41"/>
      <c r="K1556" s="44">
        <v>750</v>
      </c>
      <c r="L1556" s="41" t="s">
        <v>435</v>
      </c>
      <c r="M1556" s="44">
        <v>1</v>
      </c>
      <c r="N1556" s="43" t="s">
        <v>436</v>
      </c>
    </row>
    <row r="1557" spans="1:14" ht="15.75" customHeight="1">
      <c r="A1557" s="41" t="s">
        <v>981</v>
      </c>
      <c r="B1557" s="41" t="s">
        <v>982</v>
      </c>
      <c r="C1557" s="41" t="s">
        <v>431</v>
      </c>
      <c r="D1557" s="41" t="s">
        <v>432</v>
      </c>
      <c r="E1557" s="41" t="s">
        <v>433</v>
      </c>
      <c r="F1557" s="42">
        <v>19</v>
      </c>
      <c r="G1557" s="41" t="s">
        <v>368</v>
      </c>
      <c r="H1557" s="43" t="s">
        <v>434</v>
      </c>
      <c r="I1557" s="44">
        <v>60</v>
      </c>
      <c r="J1557" s="41"/>
      <c r="K1557" s="44">
        <v>700</v>
      </c>
      <c r="L1557" s="41" t="s">
        <v>435</v>
      </c>
      <c r="M1557" s="44">
        <v>4</v>
      </c>
      <c r="N1557" s="43" t="s">
        <v>436</v>
      </c>
    </row>
    <row r="1558" spans="1:14" ht="15.75" customHeight="1">
      <c r="A1558" s="41" t="s">
        <v>983</v>
      </c>
      <c r="B1558" s="41" t="s">
        <v>984</v>
      </c>
      <c r="C1558" s="41" t="s">
        <v>424</v>
      </c>
      <c r="D1558" s="41" t="s">
        <v>425</v>
      </c>
      <c r="E1558" s="41" t="s">
        <v>48</v>
      </c>
      <c r="F1558" s="42">
        <v>4</v>
      </c>
      <c r="G1558" s="41" t="s">
        <v>11</v>
      </c>
      <c r="H1558" s="43" t="s">
        <v>426</v>
      </c>
      <c r="I1558" s="44">
        <v>25</v>
      </c>
      <c r="J1558" s="44">
        <v>50.5</v>
      </c>
      <c r="K1558" s="41"/>
      <c r="L1558" s="45">
        <v>52000</v>
      </c>
      <c r="M1558" s="44">
        <v>1</v>
      </c>
      <c r="N1558" s="43" t="s">
        <v>383</v>
      </c>
    </row>
    <row r="1559" spans="1:14" ht="15.75" customHeight="1">
      <c r="A1559" s="41" t="s">
        <v>983</v>
      </c>
      <c r="B1559" s="41" t="s">
        <v>984</v>
      </c>
      <c r="C1559" s="41" t="s">
        <v>424</v>
      </c>
      <c r="D1559" s="41" t="s">
        <v>425</v>
      </c>
      <c r="E1559" s="41" t="s">
        <v>48</v>
      </c>
      <c r="F1559" s="42">
        <v>5</v>
      </c>
      <c r="G1559" s="41" t="s">
        <v>12</v>
      </c>
      <c r="H1559" s="43" t="s">
        <v>427</v>
      </c>
      <c r="I1559" s="44">
        <v>125</v>
      </c>
      <c r="J1559" s="44">
        <v>50.5</v>
      </c>
      <c r="K1559" s="41"/>
      <c r="L1559" s="45">
        <v>52000</v>
      </c>
      <c r="M1559" s="44">
        <v>1</v>
      </c>
      <c r="N1559" s="43" t="s">
        <v>383</v>
      </c>
    </row>
    <row r="1560" spans="1:14" ht="15.75" customHeight="1">
      <c r="A1560" s="41" t="s">
        <v>983</v>
      </c>
      <c r="B1560" s="41" t="s">
        <v>984</v>
      </c>
      <c r="C1560" s="41" t="s">
        <v>424</v>
      </c>
      <c r="D1560" s="41" t="s">
        <v>425</v>
      </c>
      <c r="E1560" s="41" t="s">
        <v>48</v>
      </c>
      <c r="F1560" s="42">
        <v>6</v>
      </c>
      <c r="G1560" s="41" t="s">
        <v>13</v>
      </c>
      <c r="H1560" s="43" t="s">
        <v>427</v>
      </c>
      <c r="I1560" s="44">
        <v>30</v>
      </c>
      <c r="J1560" s="44">
        <v>50.5</v>
      </c>
      <c r="K1560" s="41"/>
      <c r="L1560" s="45">
        <v>52000</v>
      </c>
      <c r="M1560" s="44">
        <v>1</v>
      </c>
      <c r="N1560" s="43" t="s">
        <v>383</v>
      </c>
    </row>
    <row r="1561" spans="1:14" ht="15.75" customHeight="1">
      <c r="A1561" s="41" t="s">
        <v>983</v>
      </c>
      <c r="B1561" s="41" t="s">
        <v>984</v>
      </c>
      <c r="C1561" s="41" t="s">
        <v>431</v>
      </c>
      <c r="D1561" s="41" t="s">
        <v>432</v>
      </c>
      <c r="E1561" s="41" t="s">
        <v>433</v>
      </c>
      <c r="F1561" s="42">
        <v>18</v>
      </c>
      <c r="G1561" s="41" t="s">
        <v>439</v>
      </c>
      <c r="H1561" s="43" t="s">
        <v>440</v>
      </c>
      <c r="I1561" s="44">
        <v>60</v>
      </c>
      <c r="J1561" s="41"/>
      <c r="K1561" s="44">
        <v>700</v>
      </c>
      <c r="L1561" s="41" t="s">
        <v>435</v>
      </c>
      <c r="M1561" s="44">
        <v>1</v>
      </c>
      <c r="N1561" s="43" t="s">
        <v>436</v>
      </c>
    </row>
    <row r="1562" spans="1:14" ht="15.75" customHeight="1">
      <c r="A1562" s="41" t="s">
        <v>983</v>
      </c>
      <c r="B1562" s="41" t="s">
        <v>984</v>
      </c>
      <c r="C1562" s="41" t="s">
        <v>431</v>
      </c>
      <c r="D1562" s="41" t="s">
        <v>432</v>
      </c>
      <c r="E1562" s="41" t="s">
        <v>433</v>
      </c>
      <c r="F1562" s="42">
        <v>19</v>
      </c>
      <c r="G1562" s="41" t="s">
        <v>368</v>
      </c>
      <c r="H1562" s="43" t="s">
        <v>434</v>
      </c>
      <c r="I1562" s="44">
        <v>60</v>
      </c>
      <c r="J1562" s="41"/>
      <c r="K1562" s="44">
        <v>870</v>
      </c>
      <c r="L1562" s="41" t="s">
        <v>435</v>
      </c>
      <c r="M1562" s="44">
        <v>4</v>
      </c>
      <c r="N1562" s="43" t="s">
        <v>436</v>
      </c>
    </row>
    <row r="1563" spans="1:14" ht="15.75" customHeight="1">
      <c r="A1563" s="41" t="s">
        <v>985</v>
      </c>
      <c r="B1563" s="41" t="s">
        <v>986</v>
      </c>
      <c r="C1563" s="41" t="s">
        <v>442</v>
      </c>
      <c r="D1563" s="41" t="s">
        <v>443</v>
      </c>
      <c r="E1563" s="41" t="s">
        <v>33</v>
      </c>
      <c r="F1563" s="42">
        <v>10</v>
      </c>
      <c r="G1563" s="41" t="s">
        <v>11</v>
      </c>
      <c r="H1563" s="43" t="s">
        <v>426</v>
      </c>
      <c r="I1563" s="44">
        <v>20</v>
      </c>
      <c r="J1563" s="44">
        <v>180</v>
      </c>
      <c r="K1563" s="41"/>
      <c r="L1563" s="45">
        <v>80000</v>
      </c>
      <c r="M1563" s="44">
        <v>1</v>
      </c>
      <c r="N1563" s="43" t="s">
        <v>383</v>
      </c>
    </row>
    <row r="1564" spans="1:14" ht="15.75" customHeight="1">
      <c r="A1564" s="41" t="s">
        <v>985</v>
      </c>
      <c r="B1564" s="41" t="s">
        <v>986</v>
      </c>
      <c r="C1564" s="41" t="s">
        <v>442</v>
      </c>
      <c r="D1564" s="41" t="s">
        <v>443</v>
      </c>
      <c r="E1564" s="41" t="s">
        <v>33</v>
      </c>
      <c r="F1564" s="42">
        <v>11</v>
      </c>
      <c r="G1564" s="41" t="s">
        <v>12</v>
      </c>
      <c r="H1564" s="43" t="s">
        <v>444</v>
      </c>
      <c r="I1564" s="44">
        <v>45</v>
      </c>
      <c r="J1564" s="44">
        <v>180</v>
      </c>
      <c r="K1564" s="41"/>
      <c r="L1564" s="45">
        <v>80000</v>
      </c>
      <c r="M1564" s="44">
        <v>1</v>
      </c>
      <c r="N1564" s="43" t="s">
        <v>383</v>
      </c>
    </row>
    <row r="1565" spans="1:14" ht="15.75" customHeight="1">
      <c r="A1565" s="41" t="s">
        <v>985</v>
      </c>
      <c r="B1565" s="41" t="s">
        <v>986</v>
      </c>
      <c r="C1565" s="41" t="s">
        <v>442</v>
      </c>
      <c r="D1565" s="41" t="s">
        <v>443</v>
      </c>
      <c r="E1565" s="41" t="s">
        <v>33</v>
      </c>
      <c r="F1565" s="42">
        <v>12</v>
      </c>
      <c r="G1565" s="41" t="s">
        <v>13</v>
      </c>
      <c r="H1565" s="43" t="s">
        <v>444</v>
      </c>
      <c r="I1565" s="44">
        <v>15</v>
      </c>
      <c r="J1565" s="44">
        <v>180</v>
      </c>
      <c r="K1565" s="41"/>
      <c r="L1565" s="45">
        <v>80000</v>
      </c>
      <c r="M1565" s="44">
        <v>1</v>
      </c>
      <c r="N1565" s="43" t="s">
        <v>383</v>
      </c>
    </row>
    <row r="1566" spans="1:14" ht="15.75" customHeight="1">
      <c r="A1566" s="41" t="s">
        <v>985</v>
      </c>
      <c r="B1566" s="41" t="s">
        <v>986</v>
      </c>
      <c r="C1566" s="41" t="s">
        <v>431</v>
      </c>
      <c r="D1566" s="41" t="s">
        <v>432</v>
      </c>
      <c r="E1566" s="41" t="s">
        <v>433</v>
      </c>
      <c r="F1566" s="42">
        <v>19</v>
      </c>
      <c r="G1566" s="41" t="s">
        <v>368</v>
      </c>
      <c r="H1566" s="43" t="s">
        <v>434</v>
      </c>
      <c r="I1566" s="44">
        <v>60</v>
      </c>
      <c r="J1566" s="41"/>
      <c r="K1566" s="44">
        <v>40000</v>
      </c>
      <c r="L1566" s="41" t="s">
        <v>435</v>
      </c>
      <c r="M1566" s="44">
        <v>1</v>
      </c>
      <c r="N1566" s="43" t="s">
        <v>436</v>
      </c>
    </row>
    <row r="1567" spans="1:14" ht="15.75" customHeight="1">
      <c r="A1567" s="41" t="s">
        <v>987</v>
      </c>
      <c r="B1567" s="41" t="s">
        <v>988</v>
      </c>
      <c r="C1567" s="41" t="s">
        <v>424</v>
      </c>
      <c r="D1567" s="41" t="s">
        <v>425</v>
      </c>
      <c r="E1567" s="41" t="s">
        <v>48</v>
      </c>
      <c r="F1567" s="42">
        <v>4</v>
      </c>
      <c r="G1567" s="41" t="s">
        <v>11</v>
      </c>
      <c r="H1567" s="43" t="s">
        <v>426</v>
      </c>
      <c r="I1567" s="44">
        <v>105</v>
      </c>
      <c r="J1567" s="44">
        <v>37.4</v>
      </c>
      <c r="K1567" s="41"/>
      <c r="L1567" s="45">
        <v>52000</v>
      </c>
      <c r="M1567" s="44">
        <v>1</v>
      </c>
      <c r="N1567" s="43" t="s">
        <v>383</v>
      </c>
    </row>
    <row r="1568" spans="1:14" ht="15.75" customHeight="1">
      <c r="A1568" s="41" t="s">
        <v>987</v>
      </c>
      <c r="B1568" s="41" t="s">
        <v>988</v>
      </c>
      <c r="C1568" s="41" t="s">
        <v>424</v>
      </c>
      <c r="D1568" s="41" t="s">
        <v>425</v>
      </c>
      <c r="E1568" s="41" t="s">
        <v>48</v>
      </c>
      <c r="F1568" s="42">
        <v>5</v>
      </c>
      <c r="G1568" s="41" t="s">
        <v>12</v>
      </c>
      <c r="H1568" s="43" t="s">
        <v>427</v>
      </c>
      <c r="I1568" s="44">
        <v>115</v>
      </c>
      <c r="J1568" s="44">
        <v>37.4</v>
      </c>
      <c r="K1568" s="41"/>
      <c r="L1568" s="45">
        <v>52000</v>
      </c>
      <c r="M1568" s="44">
        <v>1</v>
      </c>
      <c r="N1568" s="43" t="s">
        <v>383</v>
      </c>
    </row>
    <row r="1569" spans="1:14" ht="15.75" customHeight="1">
      <c r="A1569" s="41" t="s">
        <v>987</v>
      </c>
      <c r="B1569" s="41" t="s">
        <v>988</v>
      </c>
      <c r="C1569" s="41" t="s">
        <v>424</v>
      </c>
      <c r="D1569" s="41" t="s">
        <v>425</v>
      </c>
      <c r="E1569" s="41" t="s">
        <v>48</v>
      </c>
      <c r="F1569" s="42">
        <v>6</v>
      </c>
      <c r="G1569" s="41" t="s">
        <v>13</v>
      </c>
      <c r="H1569" s="43" t="s">
        <v>427</v>
      </c>
      <c r="I1569" s="44">
        <v>90</v>
      </c>
      <c r="J1569" s="44">
        <v>37.4</v>
      </c>
      <c r="K1569" s="41"/>
      <c r="L1569" s="45">
        <v>52000</v>
      </c>
      <c r="M1569" s="44">
        <v>1</v>
      </c>
      <c r="N1569" s="43" t="s">
        <v>383</v>
      </c>
    </row>
    <row r="1570" spans="1:14" ht="15.75" customHeight="1">
      <c r="A1570" s="41" t="s">
        <v>987</v>
      </c>
      <c r="B1570" s="41" t="s">
        <v>988</v>
      </c>
      <c r="C1570" s="41" t="s">
        <v>431</v>
      </c>
      <c r="D1570" s="41" t="s">
        <v>432</v>
      </c>
      <c r="E1570" s="41" t="s">
        <v>433</v>
      </c>
      <c r="F1570" s="42">
        <v>18</v>
      </c>
      <c r="G1570" s="41" t="s">
        <v>439</v>
      </c>
      <c r="H1570" s="43" t="s">
        <v>440</v>
      </c>
      <c r="I1570" s="44">
        <v>60</v>
      </c>
      <c r="J1570" s="41"/>
      <c r="K1570" s="44">
        <v>1000</v>
      </c>
      <c r="L1570" s="41" t="s">
        <v>435</v>
      </c>
      <c r="M1570" s="44">
        <v>1</v>
      </c>
      <c r="N1570" s="43" t="s">
        <v>436</v>
      </c>
    </row>
    <row r="1571" spans="1:14" ht="15.75" customHeight="1">
      <c r="A1571" s="41" t="s">
        <v>987</v>
      </c>
      <c r="B1571" s="41" t="s">
        <v>988</v>
      </c>
      <c r="C1571" s="41" t="s">
        <v>431</v>
      </c>
      <c r="D1571" s="41" t="s">
        <v>432</v>
      </c>
      <c r="E1571" s="41" t="s">
        <v>433</v>
      </c>
      <c r="F1571" s="42">
        <v>19</v>
      </c>
      <c r="G1571" s="41" t="s">
        <v>368</v>
      </c>
      <c r="H1571" s="43" t="s">
        <v>434</v>
      </c>
      <c r="I1571" s="44">
        <v>60</v>
      </c>
      <c r="J1571" s="41"/>
      <c r="K1571" s="44">
        <v>780</v>
      </c>
      <c r="L1571" s="41" t="s">
        <v>435</v>
      </c>
      <c r="M1571" s="44">
        <v>4</v>
      </c>
      <c r="N1571" s="43" t="s">
        <v>436</v>
      </c>
    </row>
    <row r="1572" spans="1:14" ht="15.75" customHeight="1">
      <c r="A1572" s="41" t="s">
        <v>989</v>
      </c>
      <c r="B1572" s="41" t="s">
        <v>990</v>
      </c>
      <c r="C1572" s="41" t="s">
        <v>442</v>
      </c>
      <c r="D1572" s="41" t="s">
        <v>448</v>
      </c>
      <c r="E1572" s="41" t="s">
        <v>40</v>
      </c>
      <c r="F1572" s="42">
        <v>2</v>
      </c>
      <c r="G1572" s="41" t="s">
        <v>12</v>
      </c>
      <c r="H1572" s="43" t="s">
        <v>449</v>
      </c>
      <c r="I1572" s="44">
        <v>315</v>
      </c>
      <c r="J1572" s="44">
        <v>364</v>
      </c>
      <c r="K1572" s="41"/>
      <c r="L1572" s="45">
        <v>412000</v>
      </c>
      <c r="M1572" s="44">
        <v>1</v>
      </c>
      <c r="N1572" s="43" t="s">
        <v>383</v>
      </c>
    </row>
    <row r="1573" spans="1:14" ht="15.75" customHeight="1">
      <c r="A1573" s="41" t="s">
        <v>989</v>
      </c>
      <c r="B1573" s="41" t="s">
        <v>990</v>
      </c>
      <c r="C1573" s="41" t="s">
        <v>442</v>
      </c>
      <c r="D1573" s="41" t="s">
        <v>448</v>
      </c>
      <c r="E1573" s="41" t="s">
        <v>40</v>
      </c>
      <c r="F1573" s="42">
        <v>3</v>
      </c>
      <c r="G1573" s="41" t="s">
        <v>13</v>
      </c>
      <c r="H1573" s="43" t="s">
        <v>449</v>
      </c>
      <c r="I1573" s="44">
        <v>30</v>
      </c>
      <c r="J1573" s="44">
        <v>364</v>
      </c>
      <c r="K1573" s="41"/>
      <c r="L1573" s="45">
        <v>412000</v>
      </c>
      <c r="M1573" s="44">
        <v>1</v>
      </c>
      <c r="N1573" s="43" t="s">
        <v>383</v>
      </c>
    </row>
    <row r="1574" spans="1:14" ht="15.75" customHeight="1">
      <c r="A1574" s="41" t="s">
        <v>989</v>
      </c>
      <c r="B1574" s="41" t="s">
        <v>990</v>
      </c>
      <c r="C1574" s="41" t="s">
        <v>431</v>
      </c>
      <c r="D1574" s="41" t="s">
        <v>432</v>
      </c>
      <c r="E1574" s="41" t="s">
        <v>433</v>
      </c>
      <c r="F1574" s="42">
        <v>18</v>
      </c>
      <c r="G1574" s="41" t="s">
        <v>439</v>
      </c>
      <c r="H1574" s="43" t="s">
        <v>440</v>
      </c>
      <c r="I1574" s="44">
        <v>60</v>
      </c>
      <c r="J1574" s="41"/>
      <c r="K1574" s="44">
        <v>470</v>
      </c>
      <c r="L1574" s="41" t="s">
        <v>435</v>
      </c>
      <c r="M1574" s="44">
        <v>1</v>
      </c>
      <c r="N1574" s="43" t="s">
        <v>436</v>
      </c>
    </row>
    <row r="1575" spans="1:14" ht="15.75" customHeight="1">
      <c r="A1575" s="41" t="s">
        <v>989</v>
      </c>
      <c r="B1575" s="41" t="s">
        <v>990</v>
      </c>
      <c r="C1575" s="41" t="s">
        <v>431</v>
      </c>
      <c r="D1575" s="41" t="s">
        <v>432</v>
      </c>
      <c r="E1575" s="41" t="s">
        <v>433</v>
      </c>
      <c r="F1575" s="42">
        <v>19</v>
      </c>
      <c r="G1575" s="41" t="s">
        <v>368</v>
      </c>
      <c r="H1575" s="43" t="s">
        <v>434</v>
      </c>
      <c r="I1575" s="44">
        <v>60</v>
      </c>
      <c r="J1575" s="41"/>
      <c r="K1575" s="44">
        <v>420</v>
      </c>
      <c r="L1575" s="41" t="s">
        <v>435</v>
      </c>
      <c r="M1575" s="44">
        <v>3</v>
      </c>
      <c r="N1575" s="43" t="s">
        <v>436</v>
      </c>
    </row>
    <row r="1576" spans="1:14" ht="15.75" customHeight="1">
      <c r="A1576" s="41" t="s">
        <v>991</v>
      </c>
      <c r="B1576" s="41" t="s">
        <v>992</v>
      </c>
      <c r="C1576" s="41" t="s">
        <v>424</v>
      </c>
      <c r="D1576" s="41" t="s">
        <v>429</v>
      </c>
      <c r="E1576" s="41" t="s">
        <v>74</v>
      </c>
      <c r="F1576" s="42">
        <v>7</v>
      </c>
      <c r="G1576" s="41" t="s">
        <v>11</v>
      </c>
      <c r="H1576" s="43" t="s">
        <v>426</v>
      </c>
      <c r="I1576" s="44">
        <v>40</v>
      </c>
      <c r="J1576" s="44">
        <v>350</v>
      </c>
      <c r="K1576" s="41"/>
      <c r="L1576" s="45">
        <v>103000</v>
      </c>
      <c r="M1576" s="44">
        <v>1</v>
      </c>
      <c r="N1576" s="43" t="s">
        <v>383</v>
      </c>
    </row>
    <row r="1577" spans="1:14" ht="15.75" customHeight="1">
      <c r="A1577" s="41" t="s">
        <v>991</v>
      </c>
      <c r="B1577" s="41" t="s">
        <v>992</v>
      </c>
      <c r="C1577" s="41" t="s">
        <v>424</v>
      </c>
      <c r="D1577" s="41" t="s">
        <v>429</v>
      </c>
      <c r="E1577" s="41" t="s">
        <v>74</v>
      </c>
      <c r="F1577" s="42">
        <v>8</v>
      </c>
      <c r="G1577" s="41" t="s">
        <v>12</v>
      </c>
      <c r="H1577" s="43" t="s">
        <v>430</v>
      </c>
      <c r="I1577" s="44">
        <v>200</v>
      </c>
      <c r="J1577" s="44">
        <v>350</v>
      </c>
      <c r="K1577" s="41"/>
      <c r="L1577" s="45">
        <v>103000</v>
      </c>
      <c r="M1577" s="44">
        <v>1</v>
      </c>
      <c r="N1577" s="43" t="s">
        <v>383</v>
      </c>
    </row>
    <row r="1578" spans="1:14" ht="15.75" customHeight="1">
      <c r="A1578" s="41" t="s">
        <v>991</v>
      </c>
      <c r="B1578" s="41" t="s">
        <v>992</v>
      </c>
      <c r="C1578" s="41" t="s">
        <v>424</v>
      </c>
      <c r="D1578" s="41" t="s">
        <v>429</v>
      </c>
      <c r="E1578" s="41" t="s">
        <v>74</v>
      </c>
      <c r="F1578" s="42">
        <v>9</v>
      </c>
      <c r="G1578" s="41" t="s">
        <v>13</v>
      </c>
      <c r="H1578" s="43" t="s">
        <v>430</v>
      </c>
      <c r="I1578" s="44">
        <v>40</v>
      </c>
      <c r="J1578" s="44">
        <v>350</v>
      </c>
      <c r="K1578" s="41"/>
      <c r="L1578" s="45">
        <v>103000</v>
      </c>
      <c r="M1578" s="44">
        <v>1</v>
      </c>
      <c r="N1578" s="43" t="s">
        <v>383</v>
      </c>
    </row>
    <row r="1579" spans="1:14" ht="15.75" customHeight="1">
      <c r="A1579" s="41" t="s">
        <v>991</v>
      </c>
      <c r="B1579" s="41" t="s">
        <v>992</v>
      </c>
      <c r="C1579" s="41" t="s">
        <v>431</v>
      </c>
      <c r="D1579" s="41" t="s">
        <v>432</v>
      </c>
      <c r="E1579" s="41" t="s">
        <v>433</v>
      </c>
      <c r="F1579" s="42">
        <v>18</v>
      </c>
      <c r="G1579" s="41" t="s">
        <v>439</v>
      </c>
      <c r="H1579" s="43" t="s">
        <v>440</v>
      </c>
      <c r="I1579" s="44">
        <v>60</v>
      </c>
      <c r="J1579" s="41"/>
      <c r="K1579" s="44">
        <v>450</v>
      </c>
      <c r="L1579" s="41" t="s">
        <v>435</v>
      </c>
      <c r="M1579" s="44">
        <v>1</v>
      </c>
      <c r="N1579" s="43" t="s">
        <v>436</v>
      </c>
    </row>
    <row r="1580" spans="1:14" ht="15.75" customHeight="1">
      <c r="A1580" s="41" t="s">
        <v>991</v>
      </c>
      <c r="B1580" s="41" t="s">
        <v>992</v>
      </c>
      <c r="C1580" s="41" t="s">
        <v>431</v>
      </c>
      <c r="D1580" s="41" t="s">
        <v>432</v>
      </c>
      <c r="E1580" s="41" t="s">
        <v>433</v>
      </c>
      <c r="F1580" s="42">
        <v>19</v>
      </c>
      <c r="G1580" s="41" t="s">
        <v>368</v>
      </c>
      <c r="H1580" s="43" t="s">
        <v>434</v>
      </c>
      <c r="I1580" s="44">
        <v>60</v>
      </c>
      <c r="J1580" s="41"/>
      <c r="K1580" s="44">
        <v>600</v>
      </c>
      <c r="L1580" s="41" t="s">
        <v>435</v>
      </c>
      <c r="M1580" s="44">
        <v>4</v>
      </c>
      <c r="N1580" s="43" t="s">
        <v>436</v>
      </c>
    </row>
    <row r="1581" spans="1:14" ht="15.75" customHeight="1">
      <c r="A1581" s="41" t="s">
        <v>993</v>
      </c>
      <c r="B1581" s="41" t="s">
        <v>994</v>
      </c>
      <c r="C1581" s="41" t="s">
        <v>424</v>
      </c>
      <c r="D1581" s="41" t="s">
        <v>429</v>
      </c>
      <c r="E1581" s="41" t="s">
        <v>74</v>
      </c>
      <c r="F1581" s="42">
        <v>7</v>
      </c>
      <c r="G1581" s="41" t="s">
        <v>11</v>
      </c>
      <c r="H1581" s="43" t="s">
        <v>426</v>
      </c>
      <c r="I1581" s="44">
        <v>25</v>
      </c>
      <c r="J1581" s="44">
        <v>50</v>
      </c>
      <c r="K1581" s="41"/>
      <c r="L1581" s="45">
        <v>103000</v>
      </c>
      <c r="M1581" s="44">
        <v>1</v>
      </c>
      <c r="N1581" s="43" t="s">
        <v>383</v>
      </c>
    </row>
    <row r="1582" spans="1:14" ht="15.75" customHeight="1">
      <c r="A1582" s="41" t="s">
        <v>993</v>
      </c>
      <c r="B1582" s="41" t="s">
        <v>994</v>
      </c>
      <c r="C1582" s="41" t="s">
        <v>424</v>
      </c>
      <c r="D1582" s="41" t="s">
        <v>429</v>
      </c>
      <c r="E1582" s="41" t="s">
        <v>74</v>
      </c>
      <c r="F1582" s="42">
        <v>8</v>
      </c>
      <c r="G1582" s="41" t="s">
        <v>12</v>
      </c>
      <c r="H1582" s="43" t="s">
        <v>430</v>
      </c>
      <c r="I1582" s="44">
        <v>180</v>
      </c>
      <c r="J1582" s="44">
        <v>50</v>
      </c>
      <c r="K1582" s="41"/>
      <c r="L1582" s="45">
        <v>103000</v>
      </c>
      <c r="M1582" s="44">
        <v>1</v>
      </c>
      <c r="N1582" s="43" t="s">
        <v>383</v>
      </c>
    </row>
    <row r="1583" spans="1:14" ht="15.75" customHeight="1">
      <c r="A1583" s="41" t="s">
        <v>993</v>
      </c>
      <c r="B1583" s="41" t="s">
        <v>994</v>
      </c>
      <c r="C1583" s="41" t="s">
        <v>424</v>
      </c>
      <c r="D1583" s="41" t="s">
        <v>429</v>
      </c>
      <c r="E1583" s="41" t="s">
        <v>74</v>
      </c>
      <c r="F1583" s="42">
        <v>9</v>
      </c>
      <c r="G1583" s="41" t="s">
        <v>13</v>
      </c>
      <c r="H1583" s="43" t="s">
        <v>430</v>
      </c>
      <c r="I1583" s="44">
        <v>40</v>
      </c>
      <c r="J1583" s="44">
        <v>50</v>
      </c>
      <c r="K1583" s="41"/>
      <c r="L1583" s="45">
        <v>103000</v>
      </c>
      <c r="M1583" s="44">
        <v>1</v>
      </c>
      <c r="N1583" s="43" t="s">
        <v>383</v>
      </c>
    </row>
    <row r="1584" spans="1:14" ht="15.75" customHeight="1">
      <c r="A1584" s="41" t="s">
        <v>993</v>
      </c>
      <c r="B1584" s="41" t="s">
        <v>994</v>
      </c>
      <c r="C1584" s="41" t="s">
        <v>431</v>
      </c>
      <c r="D1584" s="41" t="s">
        <v>432</v>
      </c>
      <c r="E1584" s="41" t="s">
        <v>433</v>
      </c>
      <c r="F1584" s="42">
        <v>19</v>
      </c>
      <c r="G1584" s="41" t="s">
        <v>368</v>
      </c>
      <c r="H1584" s="43" t="s">
        <v>434</v>
      </c>
      <c r="I1584" s="44">
        <v>60</v>
      </c>
      <c r="J1584" s="41"/>
      <c r="K1584" s="44">
        <v>400</v>
      </c>
      <c r="L1584" s="41" t="s">
        <v>435</v>
      </c>
      <c r="M1584" s="44">
        <v>3</v>
      </c>
      <c r="N1584" s="43" t="s">
        <v>436</v>
      </c>
    </row>
    <row r="1585" spans="1:14" ht="15.75" customHeight="1">
      <c r="A1585" s="41" t="s">
        <v>995</v>
      </c>
      <c r="B1585" s="41" t="s">
        <v>996</v>
      </c>
      <c r="C1585" s="41" t="s">
        <v>442</v>
      </c>
      <c r="D1585" s="41" t="s">
        <v>443</v>
      </c>
      <c r="E1585" s="41" t="s">
        <v>33</v>
      </c>
      <c r="F1585" s="42">
        <v>10</v>
      </c>
      <c r="G1585" s="41" t="s">
        <v>11</v>
      </c>
      <c r="H1585" s="43" t="s">
        <v>426</v>
      </c>
      <c r="I1585" s="44">
        <v>95</v>
      </c>
      <c r="J1585" s="44">
        <v>1000</v>
      </c>
      <c r="K1585" s="41"/>
      <c r="L1585" s="45">
        <v>62000</v>
      </c>
      <c r="M1585" s="44">
        <v>1</v>
      </c>
      <c r="N1585" s="43" t="s">
        <v>383</v>
      </c>
    </row>
    <row r="1586" spans="1:14" ht="15.75" customHeight="1">
      <c r="A1586" s="41" t="s">
        <v>995</v>
      </c>
      <c r="B1586" s="41" t="s">
        <v>996</v>
      </c>
      <c r="C1586" s="41" t="s">
        <v>442</v>
      </c>
      <c r="D1586" s="41" t="s">
        <v>443</v>
      </c>
      <c r="E1586" s="41" t="s">
        <v>33</v>
      </c>
      <c r="F1586" s="42">
        <v>11</v>
      </c>
      <c r="G1586" s="41" t="s">
        <v>12</v>
      </c>
      <c r="H1586" s="43" t="s">
        <v>444</v>
      </c>
      <c r="I1586" s="44">
        <v>80</v>
      </c>
      <c r="J1586" s="44">
        <v>1000</v>
      </c>
      <c r="K1586" s="41"/>
      <c r="L1586" s="45">
        <v>62000</v>
      </c>
      <c r="M1586" s="44">
        <v>1</v>
      </c>
      <c r="N1586" s="43" t="s">
        <v>383</v>
      </c>
    </row>
    <row r="1587" spans="1:14" ht="15.75" customHeight="1">
      <c r="A1587" s="41" t="s">
        <v>995</v>
      </c>
      <c r="B1587" s="41" t="s">
        <v>996</v>
      </c>
      <c r="C1587" s="41" t="s">
        <v>442</v>
      </c>
      <c r="D1587" s="41" t="s">
        <v>443</v>
      </c>
      <c r="E1587" s="41" t="s">
        <v>33</v>
      </c>
      <c r="F1587" s="42">
        <v>12</v>
      </c>
      <c r="G1587" s="41" t="s">
        <v>13</v>
      </c>
      <c r="H1587" s="43" t="s">
        <v>444</v>
      </c>
      <c r="I1587" s="44">
        <v>30</v>
      </c>
      <c r="J1587" s="44">
        <v>1000</v>
      </c>
      <c r="K1587" s="41"/>
      <c r="L1587" s="45">
        <v>62000</v>
      </c>
      <c r="M1587" s="44">
        <v>1</v>
      </c>
      <c r="N1587" s="43" t="s">
        <v>383</v>
      </c>
    </row>
    <row r="1588" spans="1:14" ht="15.75" customHeight="1">
      <c r="A1588" s="41" t="s">
        <v>995</v>
      </c>
      <c r="B1588" s="41" t="s">
        <v>996</v>
      </c>
      <c r="C1588" s="41" t="s">
        <v>431</v>
      </c>
      <c r="D1588" s="41" t="s">
        <v>432</v>
      </c>
      <c r="E1588" s="41" t="s">
        <v>433</v>
      </c>
      <c r="F1588" s="42">
        <v>18</v>
      </c>
      <c r="G1588" s="41" t="s">
        <v>439</v>
      </c>
      <c r="H1588" s="43" t="s">
        <v>440</v>
      </c>
      <c r="I1588" s="44">
        <v>60</v>
      </c>
      <c r="J1588" s="41"/>
      <c r="K1588" s="44">
        <v>500</v>
      </c>
      <c r="L1588" s="41" t="s">
        <v>435</v>
      </c>
      <c r="M1588" s="44">
        <v>1</v>
      </c>
      <c r="N1588" s="43" t="s">
        <v>436</v>
      </c>
    </row>
    <row r="1589" spans="1:14" ht="15.75" customHeight="1">
      <c r="A1589" s="41" t="s">
        <v>995</v>
      </c>
      <c r="B1589" s="41" t="s">
        <v>996</v>
      </c>
      <c r="C1589" s="41" t="s">
        <v>431</v>
      </c>
      <c r="D1589" s="41" t="s">
        <v>432</v>
      </c>
      <c r="E1589" s="41" t="s">
        <v>433</v>
      </c>
      <c r="F1589" s="42">
        <v>19</v>
      </c>
      <c r="G1589" s="41" t="s">
        <v>368</v>
      </c>
      <c r="H1589" s="43" t="s">
        <v>434</v>
      </c>
      <c r="I1589" s="44">
        <v>60</v>
      </c>
      <c r="J1589" s="41"/>
      <c r="K1589" s="44">
        <v>300</v>
      </c>
      <c r="L1589" s="41" t="s">
        <v>435</v>
      </c>
      <c r="M1589" s="44">
        <v>3</v>
      </c>
      <c r="N1589" s="43" t="s">
        <v>436</v>
      </c>
    </row>
  </sheetData>
  <autoFilter ref="A1:O1589" xr:uid="{00000000-0009-0000-0000-000005000000}"/>
  <phoneticPr fontId="42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Z1931"/>
  <sheetViews>
    <sheetView workbookViewId="0">
      <pane ySplit="1" topLeftCell="A2" activePane="bottomLeft" state="frozen"/>
      <selection pane="bottomLeft" activeCell="B3" sqref="B3"/>
    </sheetView>
  </sheetViews>
  <sheetFormatPr defaultColWidth="12.61328125" defaultRowHeight="15" customHeight="1"/>
  <cols>
    <col min="1" max="1" width="12.61328125" customWidth="1"/>
    <col min="2" max="2" width="8.61328125" customWidth="1"/>
    <col min="3" max="4" width="12.61328125" customWidth="1"/>
    <col min="5" max="5" width="8.15234375" customWidth="1"/>
    <col min="6" max="6" width="32.61328125" customWidth="1"/>
    <col min="8" max="8" width="12.61328125" hidden="1" customWidth="1"/>
    <col min="9" max="9" width="17.61328125" hidden="1" customWidth="1"/>
  </cols>
  <sheetData>
    <row r="1" spans="1:26" ht="15.75" customHeight="1">
      <c r="A1" s="33" t="s">
        <v>997</v>
      </c>
      <c r="B1" s="55" t="s">
        <v>998</v>
      </c>
      <c r="C1" s="33" t="s">
        <v>411</v>
      </c>
      <c r="D1" s="33" t="s">
        <v>381</v>
      </c>
      <c r="E1" s="33" t="s">
        <v>999</v>
      </c>
      <c r="F1" s="33" t="s">
        <v>332</v>
      </c>
      <c r="G1" s="33" t="s">
        <v>1000</v>
      </c>
      <c r="H1" s="33" t="s">
        <v>1001</v>
      </c>
      <c r="I1" s="33" t="s">
        <v>1002</v>
      </c>
      <c r="J1" s="33" t="s">
        <v>1003</v>
      </c>
      <c r="K1" s="33" t="s">
        <v>383</v>
      </c>
      <c r="L1" s="33" t="s">
        <v>361</v>
      </c>
      <c r="M1" s="33" t="s">
        <v>1004</v>
      </c>
      <c r="N1" s="16" t="s">
        <v>337</v>
      </c>
      <c r="O1" s="16" t="s">
        <v>338</v>
      </c>
      <c r="P1" s="16" t="s">
        <v>339</v>
      </c>
      <c r="Q1" s="16" t="s">
        <v>340</v>
      </c>
      <c r="R1" s="16" t="s">
        <v>341</v>
      </c>
      <c r="S1" s="16" t="s">
        <v>342</v>
      </c>
      <c r="T1" s="16" t="s">
        <v>343</v>
      </c>
      <c r="U1" s="16" t="s">
        <v>344</v>
      </c>
      <c r="V1" s="16" t="s">
        <v>345</v>
      </c>
      <c r="W1" s="33"/>
      <c r="X1" s="33"/>
      <c r="Y1" s="33"/>
      <c r="Z1" s="33"/>
    </row>
    <row r="2" spans="1:26" ht="15.75" customHeight="1">
      <c r="A2" s="9" t="s">
        <v>123</v>
      </c>
      <c r="B2" s="9" t="s">
        <v>1005</v>
      </c>
      <c r="C2" s="9" t="s">
        <v>1006</v>
      </c>
      <c r="D2" s="9" t="s">
        <v>33</v>
      </c>
      <c r="E2" s="9" t="s">
        <v>11</v>
      </c>
      <c r="F2" s="9" t="s">
        <v>1007</v>
      </c>
      <c r="G2" s="9">
        <v>25</v>
      </c>
      <c r="H2" s="9">
        <v>1</v>
      </c>
      <c r="I2" s="9">
        <v>1.0149999999999999</v>
      </c>
      <c r="J2" s="9">
        <v>48</v>
      </c>
      <c r="K2" s="9" t="s">
        <v>442</v>
      </c>
      <c r="L2" s="9"/>
      <c r="M2" s="9"/>
      <c r="N2" s="9" t="str">
        <f ca="1">IFERROR(__xludf.DUMMYFUNCTION("IFERROR(VALUE(REGEXEXTRACT(TO_TEXT($F2), N$1 &amp; ""x(\d+)"")), """")
"),"")</f>
        <v/>
      </c>
      <c r="O2" s="9">
        <f ca="1">IFERROR(__xludf.DUMMYFUNCTION("IFERROR(VALUE(REGEXEXTRACT(TO_TEXT($F2), O$1 &amp; ""x(\d+)"")), """")"),1)</f>
        <v>1</v>
      </c>
      <c r="P2" s="9" t="str">
        <f ca="1">IFERROR(__xludf.DUMMYFUNCTION("IFERROR(VALUE(REGEXEXTRACT(TO_TEXT($F2), P$1 &amp; ""x(\d+)"")), """")"),"")</f>
        <v/>
      </c>
      <c r="Q2" s="9" t="str">
        <f ca="1">IFERROR(__xludf.DUMMYFUNCTION("IFERROR(VALUE(REGEXEXTRACT(TO_TEXT($F2), Q$1 &amp; ""x(\d+)"")), """")"),"")</f>
        <v/>
      </c>
      <c r="R2" s="9" t="str">
        <f ca="1">IFERROR(__xludf.DUMMYFUNCTION("IFERROR(VALUE(REGEXEXTRACT(TO_TEXT($F2), R$1 &amp; ""x(\d+)"")), """")"),"")</f>
        <v/>
      </c>
      <c r="S2" s="9" t="str">
        <f ca="1">IFERROR(__xludf.DUMMYFUNCTION("IFERROR(VALUE(REGEXEXTRACT(TO_TEXT($F2), S$1 &amp; ""x(\d+)"")), """")"),"")</f>
        <v/>
      </c>
      <c r="T2" s="9" t="str">
        <f ca="1">IFERROR(__xludf.DUMMYFUNCTION("IFERROR(VALUE(REGEXEXTRACT(TO_TEXT($F2), T$1 &amp; ""x(\d+)"")), """")"),"")</f>
        <v/>
      </c>
      <c r="U2" s="9" t="str">
        <f ca="1">IFERROR(__xludf.DUMMYFUNCTION("IFERROR(VALUE(REGEXEXTRACT(TO_TEXT($F2), U$1 &amp; ""x(\d+)"")), """")"),"")</f>
        <v/>
      </c>
      <c r="V2" s="9" t="str">
        <f ca="1">IFERROR(__xludf.DUMMYFUNCTION("IFERROR(VALUE(REGEXEXTRACT(TO_TEXT($F2), V$1 &amp; ""x(\d+)"")), """")"),"")</f>
        <v/>
      </c>
      <c r="W2" s="9"/>
      <c r="X2" s="9"/>
      <c r="Y2" s="9"/>
      <c r="Z2" s="9"/>
    </row>
    <row r="3" spans="1:26" ht="15.75" customHeight="1">
      <c r="A3" s="9" t="s">
        <v>123</v>
      </c>
      <c r="B3" s="9" t="s">
        <v>1005</v>
      </c>
      <c r="C3" s="9" t="s">
        <v>1006</v>
      </c>
      <c r="D3" s="9" t="s">
        <v>33</v>
      </c>
      <c r="E3" s="9" t="s">
        <v>12</v>
      </c>
      <c r="F3" s="9" t="s">
        <v>1008</v>
      </c>
      <c r="G3" s="9">
        <v>80</v>
      </c>
      <c r="H3" s="9">
        <v>1</v>
      </c>
      <c r="I3" s="9">
        <v>1.0149999999999999</v>
      </c>
      <c r="J3" s="9">
        <v>48</v>
      </c>
      <c r="K3" s="9" t="s">
        <v>442</v>
      </c>
      <c r="L3" s="9"/>
      <c r="M3" s="9"/>
      <c r="N3" s="9" t="str">
        <f ca="1">IFERROR(__xludf.DUMMYFUNCTION("IFERROR(VALUE(REGEXEXTRACT(TO_TEXT($F3), N$1 &amp; ""x(\d+)"")), """")
"),"")</f>
        <v/>
      </c>
      <c r="O3" s="9">
        <f ca="1">IFERROR(__xludf.DUMMYFUNCTION("IFERROR(VALUE(REGEXEXTRACT(TO_TEXT($F3), O$1 &amp; ""x(\d+)"")), """")"),1)</f>
        <v>1</v>
      </c>
      <c r="P3" s="9" t="str">
        <f ca="1">IFERROR(__xludf.DUMMYFUNCTION("IFERROR(VALUE(REGEXEXTRACT(TO_TEXT($F3), P$1 &amp; ""x(\d+)"")), """")"),"")</f>
        <v/>
      </c>
      <c r="Q3" s="9" t="str">
        <f ca="1">IFERROR(__xludf.DUMMYFUNCTION("IFERROR(VALUE(REGEXEXTRACT(TO_TEXT($F3), Q$1 &amp; ""x(\d+)"")), """")"),"")</f>
        <v/>
      </c>
      <c r="R3" s="9" t="str">
        <f ca="1">IFERROR(__xludf.DUMMYFUNCTION("IFERROR(VALUE(REGEXEXTRACT(TO_TEXT($F3), R$1 &amp; ""x(\d+)"")), """")"),"")</f>
        <v/>
      </c>
      <c r="S3" s="9" t="str">
        <f ca="1">IFERROR(__xludf.DUMMYFUNCTION("IFERROR(VALUE(REGEXEXTRACT(TO_TEXT($F3), S$1 &amp; ""x(\d+)"")), """")"),"")</f>
        <v/>
      </c>
      <c r="T3" s="9" t="str">
        <f ca="1">IFERROR(__xludf.DUMMYFUNCTION("IFERROR(VALUE(REGEXEXTRACT(TO_TEXT($F3), T$1 &amp; ""x(\d+)"")), """")"),"")</f>
        <v/>
      </c>
      <c r="U3" s="9" t="str">
        <f ca="1">IFERROR(__xludf.DUMMYFUNCTION("IFERROR(VALUE(REGEXEXTRACT(TO_TEXT($F3), U$1 &amp; ""x(\d+)"")), """")"),"")</f>
        <v/>
      </c>
      <c r="V3" s="9" t="str">
        <f ca="1">IFERROR(__xludf.DUMMYFUNCTION("IFERROR(VALUE(REGEXEXTRACT(TO_TEXT($F3), V$1 &amp; ""x(\d+)"")), """")"),"")</f>
        <v/>
      </c>
      <c r="W3" s="9"/>
      <c r="X3" s="9"/>
      <c r="Y3" s="9"/>
      <c r="Z3" s="9"/>
    </row>
    <row r="4" spans="1:26" ht="15.75" customHeight="1">
      <c r="A4" s="9" t="s">
        <v>123</v>
      </c>
      <c r="B4" s="9" t="s">
        <v>1005</v>
      </c>
      <c r="C4" s="9" t="s">
        <v>1006</v>
      </c>
      <c r="D4" s="9" t="s">
        <v>33</v>
      </c>
      <c r="E4" s="9" t="s">
        <v>13</v>
      </c>
      <c r="F4" s="9" t="s">
        <v>1009</v>
      </c>
      <c r="G4" s="9">
        <v>15</v>
      </c>
      <c r="H4" s="9">
        <v>1</v>
      </c>
      <c r="I4" s="9">
        <v>1.0149999999999999</v>
      </c>
      <c r="J4" s="9">
        <v>48</v>
      </c>
      <c r="K4" s="9" t="s">
        <v>442</v>
      </c>
      <c r="L4" s="9"/>
      <c r="M4" s="9"/>
      <c r="N4" s="9" t="str">
        <f ca="1">IFERROR(__xludf.DUMMYFUNCTION("IFERROR(VALUE(REGEXEXTRACT(TO_TEXT($F4), N$1 &amp; ""x(\d+)"")), """")
"),"")</f>
        <v/>
      </c>
      <c r="O4" s="9">
        <f ca="1">IFERROR(__xludf.DUMMYFUNCTION("IFERROR(VALUE(REGEXEXTRACT(TO_TEXT($F4), O$1 &amp; ""x(\d+)"")), """")"),1)</f>
        <v>1</v>
      </c>
      <c r="P4" s="9" t="str">
        <f ca="1">IFERROR(__xludf.DUMMYFUNCTION("IFERROR(VALUE(REGEXEXTRACT(TO_TEXT($F4), P$1 &amp; ""x(\d+)"")), """")"),"")</f>
        <v/>
      </c>
      <c r="Q4" s="9" t="str">
        <f ca="1">IFERROR(__xludf.DUMMYFUNCTION("IFERROR(VALUE(REGEXEXTRACT(TO_TEXT($F4), Q$1 &amp; ""x(\d+)"")), """")"),"")</f>
        <v/>
      </c>
      <c r="R4" s="9" t="str">
        <f ca="1">IFERROR(__xludf.DUMMYFUNCTION("IFERROR(VALUE(REGEXEXTRACT(TO_TEXT($F4), R$1 &amp; ""x(\d+)"")), """")"),"")</f>
        <v/>
      </c>
      <c r="S4" s="9" t="str">
        <f ca="1">IFERROR(__xludf.DUMMYFUNCTION("IFERROR(VALUE(REGEXEXTRACT(TO_TEXT($F4), S$1 &amp; ""x(\d+)"")), """")"),"")</f>
        <v/>
      </c>
      <c r="T4" s="9" t="str">
        <f ca="1">IFERROR(__xludf.DUMMYFUNCTION("IFERROR(VALUE(REGEXEXTRACT(TO_TEXT($F4), T$1 &amp; ""x(\d+)"")), """")"),"")</f>
        <v/>
      </c>
      <c r="U4" s="9" t="str">
        <f ca="1">IFERROR(__xludf.DUMMYFUNCTION("IFERROR(VALUE(REGEXEXTRACT(TO_TEXT($F4), U$1 &amp; ""x(\d+)"")), """")"),"")</f>
        <v/>
      </c>
      <c r="V4" s="9" t="str">
        <f ca="1">IFERROR(__xludf.DUMMYFUNCTION("IFERROR(VALUE(REGEXEXTRACT(TO_TEXT($F4), V$1 &amp; ""x(\d+)"")), """")"),"")</f>
        <v/>
      </c>
      <c r="W4" s="9"/>
      <c r="X4" s="9"/>
      <c r="Y4" s="9"/>
      <c r="Z4" s="9"/>
    </row>
    <row r="5" spans="1:26" ht="15.75" hidden="1" customHeight="1">
      <c r="A5" s="9" t="s">
        <v>1010</v>
      </c>
      <c r="B5" s="9" t="s">
        <v>1011</v>
      </c>
      <c r="C5" s="9" t="s">
        <v>1012</v>
      </c>
      <c r="D5" s="9" t="s">
        <v>40</v>
      </c>
      <c r="E5" s="9" t="s">
        <v>11</v>
      </c>
      <c r="F5" s="9" t="s">
        <v>1013</v>
      </c>
      <c r="G5" s="9">
        <v>50</v>
      </c>
      <c r="H5" s="9">
        <v>3</v>
      </c>
      <c r="I5" s="9">
        <v>1.0149999999999999</v>
      </c>
      <c r="J5" s="9">
        <v>367</v>
      </c>
      <c r="K5" s="9" t="s">
        <v>442</v>
      </c>
      <c r="L5" s="9"/>
      <c r="M5" s="9"/>
      <c r="N5" s="9" t="str">
        <f ca="1">IFERROR(__xludf.DUMMYFUNCTION("IFERROR(VALUE(REGEXEXTRACT(TO_TEXT($F5), N$1 &amp; ""x(\d+)"")), """")
"),"")</f>
        <v/>
      </c>
      <c r="O5" s="9" t="str">
        <f ca="1">IFERROR(__xludf.DUMMYFUNCTION("IFERROR(VALUE(REGEXEXTRACT(TO_TEXT($F5), O$1 &amp; ""x(\d+)"")), """")"),"")</f>
        <v/>
      </c>
      <c r="P5" s="9" t="str">
        <f ca="1">IFERROR(__xludf.DUMMYFUNCTION("IFERROR(VALUE(REGEXEXTRACT(TO_TEXT($F5), P$1 &amp; ""x(\d+)"")), """")"),"")</f>
        <v/>
      </c>
      <c r="Q5" s="9" t="str">
        <f ca="1">IFERROR(__xludf.DUMMYFUNCTION("IFERROR(VALUE(REGEXEXTRACT(TO_TEXT($F5), Q$1 &amp; ""x(\d+)"")), """")"),"")</f>
        <v/>
      </c>
      <c r="R5" s="9" t="str">
        <f ca="1">IFERROR(__xludf.DUMMYFUNCTION("IFERROR(VALUE(REGEXEXTRACT(TO_TEXT($F5), R$1 &amp; ""x(\d+)"")), """")"),"")</f>
        <v/>
      </c>
      <c r="S5" s="9" t="str">
        <f ca="1">IFERROR(__xludf.DUMMYFUNCTION("IFERROR(VALUE(REGEXEXTRACT(TO_TEXT($F5), S$1 &amp; ""x(\d+)"")), """")"),"")</f>
        <v/>
      </c>
      <c r="T5" s="9" t="str">
        <f ca="1">IFERROR(__xludf.DUMMYFUNCTION("IFERROR(VALUE(REGEXEXTRACT(TO_TEXT($F5), T$1 &amp; ""x(\d+)"")), """")"),"")</f>
        <v/>
      </c>
      <c r="U5" s="9" t="str">
        <f ca="1">IFERROR(__xludf.DUMMYFUNCTION("IFERROR(VALUE(REGEXEXTRACT(TO_TEXT($F5), U$1 &amp; ""x(\d+)"")), """")"),"")</f>
        <v/>
      </c>
      <c r="V5" s="9" t="str">
        <f ca="1">IFERROR(__xludf.DUMMYFUNCTION("IFERROR(VALUE(REGEXEXTRACT(TO_TEXT($F5), V$1 &amp; ""x(\d+)"")), """")"),"")</f>
        <v/>
      </c>
      <c r="W5" s="9"/>
      <c r="X5" s="9"/>
      <c r="Y5" s="9"/>
      <c r="Z5" s="9"/>
    </row>
    <row r="6" spans="1:26" ht="15.75" hidden="1" customHeight="1">
      <c r="A6" s="9" t="s">
        <v>1010</v>
      </c>
      <c r="B6" s="9" t="s">
        <v>1011</v>
      </c>
      <c r="C6" s="9" t="s">
        <v>1012</v>
      </c>
      <c r="D6" s="9" t="s">
        <v>40</v>
      </c>
      <c r="E6" s="9" t="s">
        <v>12</v>
      </c>
      <c r="F6" s="9" t="s">
        <v>1014</v>
      </c>
      <c r="G6" s="9">
        <v>90</v>
      </c>
      <c r="H6" s="9">
        <v>3</v>
      </c>
      <c r="I6" s="9">
        <v>1.0149999999999999</v>
      </c>
      <c r="J6" s="9">
        <v>367</v>
      </c>
      <c r="K6" s="9" t="s">
        <v>442</v>
      </c>
      <c r="L6" s="9" t="s">
        <v>1015</v>
      </c>
      <c r="M6" s="9"/>
      <c r="N6" s="9" t="str">
        <f ca="1">IFERROR(__xludf.DUMMYFUNCTION("IFERROR(VALUE(REGEXEXTRACT(TO_TEXT($F6), N$1 &amp; ""x(\d+)"")), """")
"),"")</f>
        <v/>
      </c>
      <c r="O6" s="9" t="str">
        <f ca="1">IFERROR(__xludf.DUMMYFUNCTION("IFERROR(VALUE(REGEXEXTRACT(TO_TEXT($F6), O$1 &amp; ""x(\d+)"")), """")"),"")</f>
        <v/>
      </c>
      <c r="P6" s="9" t="str">
        <f ca="1">IFERROR(__xludf.DUMMYFUNCTION("IFERROR(VALUE(REGEXEXTRACT(TO_TEXT($F6), P$1 &amp; ""x(\d+)"")), """")"),"")</f>
        <v/>
      </c>
      <c r="Q6" s="9" t="str">
        <f ca="1">IFERROR(__xludf.DUMMYFUNCTION("IFERROR(VALUE(REGEXEXTRACT(TO_TEXT($F6), Q$1 &amp; ""x(\d+)"")), """")"),"")</f>
        <v/>
      </c>
      <c r="R6" s="9" t="str">
        <f ca="1">IFERROR(__xludf.DUMMYFUNCTION("IFERROR(VALUE(REGEXEXTRACT(TO_TEXT($F6), R$1 &amp; ""x(\d+)"")), """")"),"")</f>
        <v/>
      </c>
      <c r="S6" s="9">
        <f ca="1">IFERROR(__xludf.DUMMYFUNCTION("IFERROR(VALUE(REGEXEXTRACT(TO_TEXT($F6), S$1 &amp; ""x(\d+)"")), """")"),1)</f>
        <v>1</v>
      </c>
      <c r="T6" s="9" t="str">
        <f ca="1">IFERROR(__xludf.DUMMYFUNCTION("IFERROR(VALUE(REGEXEXTRACT(TO_TEXT($F6), T$1 &amp; ""x(\d+)"")), """")"),"")</f>
        <v/>
      </c>
      <c r="U6" s="9" t="str">
        <f ca="1">IFERROR(__xludf.DUMMYFUNCTION("IFERROR(VALUE(REGEXEXTRACT(TO_TEXT($F6), U$1 &amp; ""x(\d+)"")), """")"),"")</f>
        <v/>
      </c>
      <c r="V6" s="9" t="str">
        <f ca="1">IFERROR(__xludf.DUMMYFUNCTION("IFERROR(VALUE(REGEXEXTRACT(TO_TEXT($F6), V$1 &amp; ""x(\d+)"")), """")"),"")</f>
        <v/>
      </c>
      <c r="W6" s="9"/>
      <c r="X6" s="9"/>
      <c r="Y6" s="9"/>
      <c r="Z6" s="9"/>
    </row>
    <row r="7" spans="1:26" ht="15.75" hidden="1" customHeight="1">
      <c r="A7" s="9" t="s">
        <v>1010</v>
      </c>
      <c r="B7" s="9" t="s">
        <v>1011</v>
      </c>
      <c r="C7" s="9" t="s">
        <v>1012</v>
      </c>
      <c r="D7" s="9" t="s">
        <v>40</v>
      </c>
      <c r="E7" s="9" t="s">
        <v>13</v>
      </c>
      <c r="F7" s="9" t="s">
        <v>1016</v>
      </c>
      <c r="G7" s="9">
        <v>30</v>
      </c>
      <c r="H7" s="9">
        <v>3</v>
      </c>
      <c r="I7" s="9">
        <v>1.0149999999999999</v>
      </c>
      <c r="J7" s="9">
        <v>367</v>
      </c>
      <c r="K7" s="9" t="s">
        <v>442</v>
      </c>
      <c r="L7" s="9"/>
      <c r="M7" s="9"/>
      <c r="N7" s="9" t="str">
        <f ca="1">IFERROR(__xludf.DUMMYFUNCTION("IFERROR(VALUE(REGEXEXTRACT(TO_TEXT($F7), N$1 &amp; ""x(\d+)"")), """")
"),"")</f>
        <v/>
      </c>
      <c r="O7" s="9" t="str">
        <f ca="1">IFERROR(__xludf.DUMMYFUNCTION("IFERROR(VALUE(REGEXEXTRACT(TO_TEXT($F7), O$1 &amp; ""x(\d+)"")), """")"),"")</f>
        <v/>
      </c>
      <c r="P7" s="9" t="str">
        <f ca="1">IFERROR(__xludf.DUMMYFUNCTION("IFERROR(VALUE(REGEXEXTRACT(TO_TEXT($F7), P$1 &amp; ""x(\d+)"")), """")"),"")</f>
        <v/>
      </c>
      <c r="Q7" s="9" t="str">
        <f ca="1">IFERROR(__xludf.DUMMYFUNCTION("IFERROR(VALUE(REGEXEXTRACT(TO_TEXT($F7), Q$1 &amp; ""x(\d+)"")), """")"),"")</f>
        <v/>
      </c>
      <c r="R7" s="9" t="str">
        <f ca="1">IFERROR(__xludf.DUMMYFUNCTION("IFERROR(VALUE(REGEXEXTRACT(TO_TEXT($F7), R$1 &amp; ""x(\d+)"")), """")"),"")</f>
        <v/>
      </c>
      <c r="S7" s="9">
        <f ca="1">IFERROR(__xludf.DUMMYFUNCTION("IFERROR(VALUE(REGEXEXTRACT(TO_TEXT($F7), S$1 &amp; ""x(\d+)"")), """")"),1)</f>
        <v>1</v>
      </c>
      <c r="T7" s="9" t="str">
        <f ca="1">IFERROR(__xludf.DUMMYFUNCTION("IFERROR(VALUE(REGEXEXTRACT(TO_TEXT($F7), T$1 &amp; ""x(\d+)"")), """")"),"")</f>
        <v/>
      </c>
      <c r="U7" s="9" t="str">
        <f ca="1">IFERROR(__xludf.DUMMYFUNCTION("IFERROR(VALUE(REGEXEXTRACT(TO_TEXT($F7), U$1 &amp; ""x(\d+)"")), """")"),"")</f>
        <v/>
      </c>
      <c r="V7" s="9" t="str">
        <f ca="1">IFERROR(__xludf.DUMMYFUNCTION("IFERROR(VALUE(REGEXEXTRACT(TO_TEXT($F7), V$1 &amp; ""x(\d+)"")), """")"),"")</f>
        <v/>
      </c>
      <c r="W7" s="9"/>
      <c r="X7" s="9"/>
      <c r="Y7" s="9"/>
      <c r="Z7" s="9"/>
    </row>
    <row r="8" spans="1:26" ht="15.75" customHeight="1">
      <c r="A8" s="9" t="s">
        <v>1010</v>
      </c>
      <c r="B8" s="9" t="s">
        <v>1011</v>
      </c>
      <c r="C8" s="9" t="s">
        <v>1012</v>
      </c>
      <c r="D8" s="9" t="s">
        <v>33</v>
      </c>
      <c r="E8" s="9" t="s">
        <v>11</v>
      </c>
      <c r="F8" s="9" t="s">
        <v>1017</v>
      </c>
      <c r="G8" s="9">
        <v>50</v>
      </c>
      <c r="H8" s="9">
        <v>2</v>
      </c>
      <c r="I8" s="9">
        <v>1.0149999999999999</v>
      </c>
      <c r="J8" s="9">
        <v>110</v>
      </c>
      <c r="K8" s="9" t="s">
        <v>442</v>
      </c>
      <c r="L8" s="9"/>
      <c r="M8" s="9"/>
      <c r="N8" s="9" t="str">
        <f ca="1">IFERROR(__xludf.DUMMYFUNCTION("IFERROR(VALUE(REGEXEXTRACT(TO_TEXT($F8), N$1 &amp; ""x(\d+)"")), """")
"),"")</f>
        <v/>
      </c>
      <c r="O8" s="9" t="str">
        <f ca="1">IFERROR(__xludf.DUMMYFUNCTION("IFERROR(VALUE(REGEXEXTRACT(TO_TEXT($F8), O$1 &amp; ""x(\d+)"")), """")"),"")</f>
        <v/>
      </c>
      <c r="P8" s="9" t="str">
        <f ca="1">IFERROR(__xludf.DUMMYFUNCTION("IFERROR(VALUE(REGEXEXTRACT(TO_TEXT($F8), P$1 &amp; ""x(\d+)"")), """")"),"")</f>
        <v/>
      </c>
      <c r="Q8" s="9" t="str">
        <f ca="1">IFERROR(__xludf.DUMMYFUNCTION("IFERROR(VALUE(REGEXEXTRACT(TO_TEXT($F8), Q$1 &amp; ""x(\d+)"")), """")"),"")</f>
        <v/>
      </c>
      <c r="R8" s="9" t="str">
        <f ca="1">IFERROR(__xludf.DUMMYFUNCTION("IFERROR(VALUE(REGEXEXTRACT(TO_TEXT($F8), R$1 &amp; ""x(\d+)"")), """")"),"")</f>
        <v/>
      </c>
      <c r="S8" s="9" t="str">
        <f ca="1">IFERROR(__xludf.DUMMYFUNCTION("IFERROR(VALUE(REGEXEXTRACT(TO_TEXT($F8), S$1 &amp; ""x(\d+)"")), """")"),"")</f>
        <v/>
      </c>
      <c r="T8" s="9" t="str">
        <f ca="1">IFERROR(__xludf.DUMMYFUNCTION("IFERROR(VALUE(REGEXEXTRACT(TO_TEXT($F8), T$1 &amp; ""x(\d+)"")), """")"),"")</f>
        <v/>
      </c>
      <c r="U8" s="9" t="str">
        <f ca="1">IFERROR(__xludf.DUMMYFUNCTION("IFERROR(VALUE(REGEXEXTRACT(TO_TEXT($F8), U$1 &amp; ""x(\d+)"")), """")"),"")</f>
        <v/>
      </c>
      <c r="V8" s="9" t="str">
        <f ca="1">IFERROR(__xludf.DUMMYFUNCTION("IFERROR(VALUE(REGEXEXTRACT(TO_TEXT($F8), V$1 &amp; ""x(\d+)"")), """")"),"")</f>
        <v/>
      </c>
      <c r="W8" s="9"/>
      <c r="X8" s="9"/>
      <c r="Y8" s="9"/>
      <c r="Z8" s="9"/>
    </row>
    <row r="9" spans="1:26" ht="15.75" customHeight="1">
      <c r="A9" s="9" t="s">
        <v>1010</v>
      </c>
      <c r="B9" s="9" t="s">
        <v>1011</v>
      </c>
      <c r="C9" s="9" t="s">
        <v>1012</v>
      </c>
      <c r="D9" s="9" t="s">
        <v>33</v>
      </c>
      <c r="E9" s="9" t="s">
        <v>12</v>
      </c>
      <c r="F9" s="9" t="s">
        <v>1018</v>
      </c>
      <c r="G9" s="9">
        <v>90</v>
      </c>
      <c r="H9" s="9">
        <v>2</v>
      </c>
      <c r="I9" s="9">
        <v>1.0149999999999999</v>
      </c>
      <c r="J9" s="9">
        <v>110</v>
      </c>
      <c r="K9" s="9" t="s">
        <v>442</v>
      </c>
      <c r="L9" s="9"/>
      <c r="M9" s="9"/>
      <c r="N9" s="9" t="str">
        <f ca="1">IFERROR(__xludf.DUMMYFUNCTION("IFERROR(VALUE(REGEXEXTRACT(TO_TEXT($F9), N$1 &amp; ""x(\d+)"")), """")
"),"")</f>
        <v/>
      </c>
      <c r="O9" s="9">
        <f ca="1">IFERROR(__xludf.DUMMYFUNCTION("IFERROR(VALUE(REGEXEXTRACT(TO_TEXT($F9), O$1 &amp; ""x(\d+)"")), """")"),1)</f>
        <v>1</v>
      </c>
      <c r="P9" s="9" t="str">
        <f ca="1">IFERROR(__xludf.DUMMYFUNCTION("IFERROR(VALUE(REGEXEXTRACT(TO_TEXT($F9), P$1 &amp; ""x(\d+)"")), """")"),"")</f>
        <v/>
      </c>
      <c r="Q9" s="9" t="str">
        <f ca="1">IFERROR(__xludf.DUMMYFUNCTION("IFERROR(VALUE(REGEXEXTRACT(TO_TEXT($F9), Q$1 &amp; ""x(\d+)"")), """")"),"")</f>
        <v/>
      </c>
      <c r="R9" s="9" t="str">
        <f ca="1">IFERROR(__xludf.DUMMYFUNCTION("IFERROR(VALUE(REGEXEXTRACT(TO_TEXT($F9), R$1 &amp; ""x(\d+)"")), """")"),"")</f>
        <v/>
      </c>
      <c r="S9" s="9" t="str">
        <f ca="1">IFERROR(__xludf.DUMMYFUNCTION("IFERROR(VALUE(REGEXEXTRACT(TO_TEXT($F9), S$1 &amp; ""x(\d+)"")), """")"),"")</f>
        <v/>
      </c>
      <c r="T9" s="9" t="str">
        <f ca="1">IFERROR(__xludf.DUMMYFUNCTION("IFERROR(VALUE(REGEXEXTRACT(TO_TEXT($F9), T$1 &amp; ""x(\d+)"")), """")"),"")</f>
        <v/>
      </c>
      <c r="U9" s="9" t="str">
        <f ca="1">IFERROR(__xludf.DUMMYFUNCTION("IFERROR(VALUE(REGEXEXTRACT(TO_TEXT($F9), U$1 &amp; ""x(\d+)"")), """")"),"")</f>
        <v/>
      </c>
      <c r="V9" s="9" t="str">
        <f ca="1">IFERROR(__xludf.DUMMYFUNCTION("IFERROR(VALUE(REGEXEXTRACT(TO_TEXT($F9), V$1 &amp; ""x(\d+)"")), """")"),"")</f>
        <v/>
      </c>
      <c r="W9" s="9"/>
      <c r="X9" s="9"/>
      <c r="Y9" s="9"/>
      <c r="Z9" s="9"/>
    </row>
    <row r="10" spans="1:26" ht="15.75" customHeight="1">
      <c r="A10" s="9" t="s">
        <v>1010</v>
      </c>
      <c r="B10" s="9" t="s">
        <v>1011</v>
      </c>
      <c r="C10" s="9" t="s">
        <v>1012</v>
      </c>
      <c r="D10" s="9" t="s">
        <v>33</v>
      </c>
      <c r="E10" s="9" t="s">
        <v>13</v>
      </c>
      <c r="F10" s="9" t="s">
        <v>1019</v>
      </c>
      <c r="G10" s="9">
        <v>20</v>
      </c>
      <c r="H10" s="9">
        <v>2</v>
      </c>
      <c r="I10" s="9">
        <v>1.0149999999999999</v>
      </c>
      <c r="J10" s="9">
        <v>110</v>
      </c>
      <c r="K10" s="9" t="s">
        <v>442</v>
      </c>
      <c r="L10" s="9"/>
      <c r="M10" s="9"/>
      <c r="N10" s="9" t="str">
        <f ca="1">IFERROR(__xludf.DUMMYFUNCTION("IFERROR(VALUE(REGEXEXTRACT(TO_TEXT($F10), N$1 &amp; ""x(\d+)"")), """")
"),"")</f>
        <v/>
      </c>
      <c r="O10" s="9">
        <f ca="1">IFERROR(__xludf.DUMMYFUNCTION("IFERROR(VALUE(REGEXEXTRACT(TO_TEXT($F10), O$1 &amp; ""x(\d+)"")), """")"),1)</f>
        <v>1</v>
      </c>
      <c r="P10" s="9" t="str">
        <f ca="1">IFERROR(__xludf.DUMMYFUNCTION("IFERROR(VALUE(REGEXEXTRACT(TO_TEXT($F10), P$1 &amp; ""x(\d+)"")), """")"),"")</f>
        <v/>
      </c>
      <c r="Q10" s="9" t="str">
        <f ca="1">IFERROR(__xludf.DUMMYFUNCTION("IFERROR(VALUE(REGEXEXTRACT(TO_TEXT($F10), Q$1 &amp; ""x(\d+)"")), """")"),"")</f>
        <v/>
      </c>
      <c r="R10" s="9" t="str">
        <f ca="1">IFERROR(__xludf.DUMMYFUNCTION("IFERROR(VALUE(REGEXEXTRACT(TO_TEXT($F10), R$1 &amp; ""x(\d+)"")), """")"),"")</f>
        <v/>
      </c>
      <c r="S10" s="9" t="str">
        <f ca="1">IFERROR(__xludf.DUMMYFUNCTION("IFERROR(VALUE(REGEXEXTRACT(TO_TEXT($F10), S$1 &amp; ""x(\d+)"")), """")"),"")</f>
        <v/>
      </c>
      <c r="T10" s="9" t="str">
        <f ca="1">IFERROR(__xludf.DUMMYFUNCTION("IFERROR(VALUE(REGEXEXTRACT(TO_TEXT($F10), T$1 &amp; ""x(\d+)"")), """")"),"")</f>
        <v/>
      </c>
      <c r="U10" s="9" t="str">
        <f ca="1">IFERROR(__xludf.DUMMYFUNCTION("IFERROR(VALUE(REGEXEXTRACT(TO_TEXT($F10), U$1 &amp; ""x(\d+)"")), """")"),"")</f>
        <v/>
      </c>
      <c r="V10" s="9" t="str">
        <f ca="1">IFERROR(__xludf.DUMMYFUNCTION("IFERROR(VALUE(REGEXEXTRACT(TO_TEXT($F10), V$1 &amp; ""x(\d+)"")), """")"),"")</f>
        <v/>
      </c>
      <c r="W10" s="9"/>
      <c r="X10" s="9"/>
      <c r="Y10" s="9"/>
      <c r="Z10" s="9"/>
    </row>
    <row r="11" spans="1:26" ht="15.75" customHeight="1">
      <c r="A11" s="9" t="s">
        <v>1020</v>
      </c>
      <c r="B11" s="9" t="s">
        <v>1021</v>
      </c>
      <c r="C11" s="9" t="s">
        <v>1022</v>
      </c>
      <c r="D11" s="9" t="s">
        <v>33</v>
      </c>
      <c r="E11" s="9" t="s">
        <v>11</v>
      </c>
      <c r="F11" s="9" t="s">
        <v>1023</v>
      </c>
      <c r="G11" s="9">
        <v>50</v>
      </c>
      <c r="H11" s="9">
        <v>3</v>
      </c>
      <c r="I11" s="9">
        <v>1.0149999999999999</v>
      </c>
      <c r="J11" s="9">
        <v>63.5</v>
      </c>
      <c r="K11" s="9" t="s">
        <v>442</v>
      </c>
      <c r="L11" s="9"/>
      <c r="M11" s="9"/>
      <c r="N11" s="9" t="str">
        <f ca="1">IFERROR(__xludf.DUMMYFUNCTION("IFERROR(VALUE(REGEXEXTRACT(TO_TEXT($F11), N$1 &amp; ""x(\d+)"")), """")
"),"")</f>
        <v/>
      </c>
      <c r="O11" s="9" t="str">
        <f ca="1">IFERROR(__xludf.DUMMYFUNCTION("IFERROR(VALUE(REGEXEXTRACT(TO_TEXT($F11), O$1 &amp; ""x(\d+)"")), """")"),"")</f>
        <v/>
      </c>
      <c r="P11" s="9" t="str">
        <f ca="1">IFERROR(__xludf.DUMMYFUNCTION("IFERROR(VALUE(REGEXEXTRACT(TO_TEXT($F11), P$1 &amp; ""x(\d+)"")), """")"),"")</f>
        <v/>
      </c>
      <c r="Q11" s="9" t="str">
        <f ca="1">IFERROR(__xludf.DUMMYFUNCTION("IFERROR(VALUE(REGEXEXTRACT(TO_TEXT($F11), Q$1 &amp; ""x(\d+)"")), """")"),"")</f>
        <v/>
      </c>
      <c r="R11" s="9" t="str">
        <f ca="1">IFERROR(__xludf.DUMMYFUNCTION("IFERROR(VALUE(REGEXEXTRACT(TO_TEXT($F11), R$1 &amp; ""x(\d+)"")), """")"),"")</f>
        <v/>
      </c>
      <c r="S11" s="9" t="str">
        <f ca="1">IFERROR(__xludf.DUMMYFUNCTION("IFERROR(VALUE(REGEXEXTRACT(TO_TEXT($F11), S$1 &amp; ""x(\d+)"")), """")"),"")</f>
        <v/>
      </c>
      <c r="T11" s="9" t="str">
        <f ca="1">IFERROR(__xludf.DUMMYFUNCTION("IFERROR(VALUE(REGEXEXTRACT(TO_TEXT($F11), T$1 &amp; ""x(\d+)"")), """")"),"")</f>
        <v/>
      </c>
      <c r="U11" s="9" t="str">
        <f ca="1">IFERROR(__xludf.DUMMYFUNCTION("IFERROR(VALUE(REGEXEXTRACT(TO_TEXT($F11), U$1 &amp; ""x(\d+)"")), """")"),"")</f>
        <v/>
      </c>
      <c r="V11" s="9" t="str">
        <f ca="1">IFERROR(__xludf.DUMMYFUNCTION("IFERROR(VALUE(REGEXEXTRACT(TO_TEXT($F11), V$1 &amp; ""x(\d+)"")), """")"),"")</f>
        <v/>
      </c>
      <c r="W11" s="9"/>
      <c r="X11" s="9"/>
      <c r="Y11" s="9"/>
      <c r="Z11" s="9"/>
    </row>
    <row r="12" spans="1:26" ht="15.75" customHeight="1">
      <c r="A12" s="9" t="s">
        <v>1020</v>
      </c>
      <c r="B12" s="9" t="s">
        <v>1021</v>
      </c>
      <c r="C12" s="9" t="s">
        <v>1022</v>
      </c>
      <c r="D12" s="9" t="s">
        <v>33</v>
      </c>
      <c r="E12" s="9" t="s">
        <v>12</v>
      </c>
      <c r="F12" s="9" t="s">
        <v>1024</v>
      </c>
      <c r="G12" s="9">
        <v>95</v>
      </c>
      <c r="H12" s="9">
        <v>3</v>
      </c>
      <c r="I12" s="9">
        <v>1.0149999999999999</v>
      </c>
      <c r="J12" s="9">
        <v>63.5</v>
      </c>
      <c r="K12" s="9" t="s">
        <v>442</v>
      </c>
      <c r="L12" s="9"/>
      <c r="M12" s="9"/>
      <c r="N12" s="9" t="str">
        <f ca="1">IFERROR(__xludf.DUMMYFUNCTION("IFERROR(VALUE(REGEXEXTRACT(TO_TEXT($F12), N$1 &amp; ""x(\d+)"")), """")
"),"")</f>
        <v/>
      </c>
      <c r="O12" s="9">
        <f ca="1">IFERROR(__xludf.DUMMYFUNCTION("IFERROR(VALUE(REGEXEXTRACT(TO_TEXT($F12), O$1 &amp; ""x(\d+)"")), """")"),1)</f>
        <v>1</v>
      </c>
      <c r="P12" s="9" t="str">
        <f ca="1">IFERROR(__xludf.DUMMYFUNCTION("IFERROR(VALUE(REGEXEXTRACT(TO_TEXT($F12), P$1 &amp; ""x(\d+)"")), """")"),"")</f>
        <v/>
      </c>
      <c r="Q12" s="9" t="str">
        <f ca="1">IFERROR(__xludf.DUMMYFUNCTION("IFERROR(VALUE(REGEXEXTRACT(TO_TEXT($F12), Q$1 &amp; ""x(\d+)"")), """")"),"")</f>
        <v/>
      </c>
      <c r="R12" s="9" t="str">
        <f ca="1">IFERROR(__xludf.DUMMYFUNCTION("IFERROR(VALUE(REGEXEXTRACT(TO_TEXT($F12), R$1 &amp; ""x(\d+)"")), """")"),"")</f>
        <v/>
      </c>
      <c r="S12" s="9" t="str">
        <f ca="1">IFERROR(__xludf.DUMMYFUNCTION("IFERROR(VALUE(REGEXEXTRACT(TO_TEXT($F12), S$1 &amp; ""x(\d+)"")), """")"),"")</f>
        <v/>
      </c>
      <c r="T12" s="9" t="str">
        <f ca="1">IFERROR(__xludf.DUMMYFUNCTION("IFERROR(VALUE(REGEXEXTRACT(TO_TEXT($F12), T$1 &amp; ""x(\d+)"")), """")"),"")</f>
        <v/>
      </c>
      <c r="U12" s="9" t="str">
        <f ca="1">IFERROR(__xludf.DUMMYFUNCTION("IFERROR(VALUE(REGEXEXTRACT(TO_TEXT($F12), U$1 &amp; ""x(\d+)"")), """")"),"")</f>
        <v/>
      </c>
      <c r="V12" s="9" t="str">
        <f ca="1">IFERROR(__xludf.DUMMYFUNCTION("IFERROR(VALUE(REGEXEXTRACT(TO_TEXT($F12), V$1 &amp; ""x(\d+)"")), """")"),"")</f>
        <v/>
      </c>
      <c r="W12" s="9"/>
      <c r="X12" s="9"/>
      <c r="Y12" s="9"/>
      <c r="Z12" s="9"/>
    </row>
    <row r="13" spans="1:26" ht="15.75" customHeight="1">
      <c r="A13" s="9" t="s">
        <v>1020</v>
      </c>
      <c r="B13" s="9" t="s">
        <v>1021</v>
      </c>
      <c r="C13" s="9" t="s">
        <v>1022</v>
      </c>
      <c r="D13" s="9" t="s">
        <v>33</v>
      </c>
      <c r="E13" s="9" t="s">
        <v>13</v>
      </c>
      <c r="F13" s="9" t="s">
        <v>1025</v>
      </c>
      <c r="G13" s="9">
        <v>20</v>
      </c>
      <c r="H13" s="9">
        <v>3</v>
      </c>
      <c r="I13" s="9">
        <v>1.0149999999999999</v>
      </c>
      <c r="J13" s="9">
        <v>63.5</v>
      </c>
      <c r="K13" s="9" t="s">
        <v>442</v>
      </c>
      <c r="L13" s="9"/>
      <c r="M13" s="9"/>
      <c r="N13" s="9" t="str">
        <f ca="1">IFERROR(__xludf.DUMMYFUNCTION("IFERROR(VALUE(REGEXEXTRACT(TO_TEXT($F13), N$1 &amp; ""x(\d+)"")), """")
"),"")</f>
        <v/>
      </c>
      <c r="O13" s="9">
        <f ca="1">IFERROR(__xludf.DUMMYFUNCTION("IFERROR(VALUE(REGEXEXTRACT(TO_TEXT($F13), O$1 &amp; ""x(\d+)"")), """")"),1)</f>
        <v>1</v>
      </c>
      <c r="P13" s="9" t="str">
        <f ca="1">IFERROR(__xludf.DUMMYFUNCTION("IFERROR(VALUE(REGEXEXTRACT(TO_TEXT($F13), P$1 &amp; ""x(\d+)"")), """")"),"")</f>
        <v/>
      </c>
      <c r="Q13" s="9" t="str">
        <f ca="1">IFERROR(__xludf.DUMMYFUNCTION("IFERROR(VALUE(REGEXEXTRACT(TO_TEXT($F13), Q$1 &amp; ""x(\d+)"")), """")"),"")</f>
        <v/>
      </c>
      <c r="R13" s="9" t="str">
        <f ca="1">IFERROR(__xludf.DUMMYFUNCTION("IFERROR(VALUE(REGEXEXTRACT(TO_TEXT($F13), R$1 &amp; ""x(\d+)"")), """")"),"")</f>
        <v/>
      </c>
      <c r="S13" s="9" t="str">
        <f ca="1">IFERROR(__xludf.DUMMYFUNCTION("IFERROR(VALUE(REGEXEXTRACT(TO_TEXT($F13), S$1 &amp; ""x(\d+)"")), """")"),"")</f>
        <v/>
      </c>
      <c r="T13" s="9" t="str">
        <f ca="1">IFERROR(__xludf.DUMMYFUNCTION("IFERROR(VALUE(REGEXEXTRACT(TO_TEXT($F13), T$1 &amp; ""x(\d+)"")), """")"),"")</f>
        <v/>
      </c>
      <c r="U13" s="9" t="str">
        <f ca="1">IFERROR(__xludf.DUMMYFUNCTION("IFERROR(VALUE(REGEXEXTRACT(TO_TEXT($F13), U$1 &amp; ""x(\d+)"")), """")"),"")</f>
        <v/>
      </c>
      <c r="V13" s="9" t="str">
        <f ca="1">IFERROR(__xludf.DUMMYFUNCTION("IFERROR(VALUE(REGEXEXTRACT(TO_TEXT($F13), V$1 &amp; ""x(\d+)"")), """")"),"")</f>
        <v/>
      </c>
      <c r="W13" s="9"/>
      <c r="X13" s="9"/>
      <c r="Y13" s="9"/>
      <c r="Z13" s="9"/>
    </row>
    <row r="14" spans="1:26" ht="15.75" hidden="1" customHeight="1">
      <c r="A14" s="9" t="s">
        <v>1026</v>
      </c>
      <c r="B14" s="9" t="s">
        <v>1027</v>
      </c>
      <c r="C14" s="9" t="s">
        <v>1028</v>
      </c>
      <c r="D14" s="9" t="s">
        <v>40</v>
      </c>
      <c r="E14" s="9" t="s">
        <v>11</v>
      </c>
      <c r="F14" s="9" t="s">
        <v>1029</v>
      </c>
      <c r="G14" s="9">
        <v>25</v>
      </c>
      <c r="H14" s="9">
        <v>2</v>
      </c>
      <c r="I14" s="9">
        <v>1.0149999999999999</v>
      </c>
      <c r="J14" s="9">
        <v>382</v>
      </c>
      <c r="K14" s="9" t="s">
        <v>442</v>
      </c>
      <c r="L14" s="9"/>
      <c r="M14" s="9"/>
      <c r="N14" s="9" t="str">
        <f ca="1">IFERROR(__xludf.DUMMYFUNCTION("IFERROR(VALUE(REGEXEXTRACT(TO_TEXT($F14), N$1 &amp; ""x(\d+)"")), """")
"),"")</f>
        <v/>
      </c>
      <c r="O14" s="9" t="str">
        <f ca="1">IFERROR(__xludf.DUMMYFUNCTION("IFERROR(VALUE(REGEXEXTRACT(TO_TEXT($F14), O$1 &amp; ""x(\d+)"")), """")"),"")</f>
        <v/>
      </c>
      <c r="P14" s="9" t="str">
        <f ca="1">IFERROR(__xludf.DUMMYFUNCTION("IFERROR(VALUE(REGEXEXTRACT(TO_TEXT($F14), P$1 &amp; ""x(\d+)"")), """")"),"")</f>
        <v/>
      </c>
      <c r="Q14" s="9" t="str">
        <f ca="1">IFERROR(__xludf.DUMMYFUNCTION("IFERROR(VALUE(REGEXEXTRACT(TO_TEXT($F14), Q$1 &amp; ""x(\d+)"")), """")"),"")</f>
        <v/>
      </c>
      <c r="R14" s="9" t="str">
        <f ca="1">IFERROR(__xludf.DUMMYFUNCTION("IFERROR(VALUE(REGEXEXTRACT(TO_TEXT($F14), R$1 &amp; ""x(\d+)"")), """")"),"")</f>
        <v/>
      </c>
      <c r="S14" s="9" t="str">
        <f ca="1">IFERROR(__xludf.DUMMYFUNCTION("IFERROR(VALUE(REGEXEXTRACT(TO_TEXT($F14), S$1 &amp; ""x(\d+)"")), """")"),"")</f>
        <v/>
      </c>
      <c r="T14" s="9">
        <f ca="1">IFERROR(__xludf.DUMMYFUNCTION("IFERROR(VALUE(REGEXEXTRACT(TO_TEXT($F14), T$1 &amp; ""x(\d+)"")), """")"),1)</f>
        <v>1</v>
      </c>
      <c r="U14" s="9" t="str">
        <f ca="1">IFERROR(__xludf.DUMMYFUNCTION("IFERROR(VALUE(REGEXEXTRACT(TO_TEXT($F14), U$1 &amp; ""x(\d+)"")), """")"),"")</f>
        <v/>
      </c>
      <c r="V14" s="9" t="str">
        <f ca="1">IFERROR(__xludf.DUMMYFUNCTION("IFERROR(VALUE(REGEXEXTRACT(TO_TEXT($F14), V$1 &amp; ""x(\d+)"")), """")"),"")</f>
        <v/>
      </c>
      <c r="W14" s="9"/>
      <c r="X14" s="9"/>
      <c r="Y14" s="9"/>
      <c r="Z14" s="9"/>
    </row>
    <row r="15" spans="1:26" ht="15.75" hidden="1" customHeight="1">
      <c r="A15" s="9" t="s">
        <v>1026</v>
      </c>
      <c r="B15" s="9" t="s">
        <v>1027</v>
      </c>
      <c r="C15" s="9" t="s">
        <v>1028</v>
      </c>
      <c r="D15" s="9" t="s">
        <v>40</v>
      </c>
      <c r="E15" s="9" t="s">
        <v>12</v>
      </c>
      <c r="F15" s="9" t="s">
        <v>1029</v>
      </c>
      <c r="G15" s="9">
        <v>180</v>
      </c>
      <c r="H15" s="9">
        <v>2</v>
      </c>
      <c r="I15" s="9">
        <v>1.0149999999999999</v>
      </c>
      <c r="J15" s="9">
        <v>382</v>
      </c>
      <c r="K15" s="9" t="s">
        <v>442</v>
      </c>
      <c r="L15" s="9" t="s">
        <v>1030</v>
      </c>
      <c r="M15" s="9"/>
      <c r="N15" s="9" t="str">
        <f ca="1">IFERROR(__xludf.DUMMYFUNCTION("IFERROR(VALUE(REGEXEXTRACT(TO_TEXT($F15), N$1 &amp; ""x(\d+)"")), """")
"),"")</f>
        <v/>
      </c>
      <c r="O15" s="9" t="str">
        <f ca="1">IFERROR(__xludf.DUMMYFUNCTION("IFERROR(VALUE(REGEXEXTRACT(TO_TEXT($F15), O$1 &amp; ""x(\d+)"")), """")"),"")</f>
        <v/>
      </c>
      <c r="P15" s="9" t="str">
        <f ca="1">IFERROR(__xludf.DUMMYFUNCTION("IFERROR(VALUE(REGEXEXTRACT(TO_TEXT($F15), P$1 &amp; ""x(\d+)"")), """")"),"")</f>
        <v/>
      </c>
      <c r="Q15" s="9" t="str">
        <f ca="1">IFERROR(__xludf.DUMMYFUNCTION("IFERROR(VALUE(REGEXEXTRACT(TO_TEXT($F15), Q$1 &amp; ""x(\d+)"")), """")"),"")</f>
        <v/>
      </c>
      <c r="R15" s="9" t="str">
        <f ca="1">IFERROR(__xludf.DUMMYFUNCTION("IFERROR(VALUE(REGEXEXTRACT(TO_TEXT($F15), R$1 &amp; ""x(\d+)"")), """")"),"")</f>
        <v/>
      </c>
      <c r="S15" s="9" t="str">
        <f ca="1">IFERROR(__xludf.DUMMYFUNCTION("IFERROR(VALUE(REGEXEXTRACT(TO_TEXT($F15), S$1 &amp; ""x(\d+)"")), """")"),"")</f>
        <v/>
      </c>
      <c r="T15" s="9">
        <f ca="1">IFERROR(__xludf.DUMMYFUNCTION("IFERROR(VALUE(REGEXEXTRACT(TO_TEXT($F15), T$1 &amp; ""x(\d+)"")), """")"),1)</f>
        <v>1</v>
      </c>
      <c r="U15" s="9" t="str">
        <f ca="1">IFERROR(__xludf.DUMMYFUNCTION("IFERROR(VALUE(REGEXEXTRACT(TO_TEXT($F15), U$1 &amp; ""x(\d+)"")), """")"),"")</f>
        <v/>
      </c>
      <c r="V15" s="9" t="str">
        <f ca="1">IFERROR(__xludf.DUMMYFUNCTION("IFERROR(VALUE(REGEXEXTRACT(TO_TEXT($F15), V$1 &amp; ""x(\d+)"")), """")"),"")</f>
        <v/>
      </c>
      <c r="W15" s="9"/>
      <c r="X15" s="9"/>
      <c r="Y15" s="9"/>
      <c r="Z15" s="9"/>
    </row>
    <row r="16" spans="1:26" ht="15.75" hidden="1" customHeight="1">
      <c r="A16" s="9" t="s">
        <v>1026</v>
      </c>
      <c r="B16" s="9" t="s">
        <v>1027</v>
      </c>
      <c r="C16" s="9" t="s">
        <v>1028</v>
      </c>
      <c r="D16" s="9" t="s">
        <v>40</v>
      </c>
      <c r="E16" s="9" t="s">
        <v>13</v>
      </c>
      <c r="F16" s="9" t="s">
        <v>1031</v>
      </c>
      <c r="G16" s="9">
        <v>30</v>
      </c>
      <c r="H16" s="9">
        <v>2</v>
      </c>
      <c r="I16" s="9">
        <v>1.0149999999999999</v>
      </c>
      <c r="J16" s="9">
        <v>382</v>
      </c>
      <c r="K16" s="9" t="s">
        <v>442</v>
      </c>
      <c r="L16" s="9"/>
      <c r="M16" s="9"/>
      <c r="N16" s="9" t="str">
        <f ca="1">IFERROR(__xludf.DUMMYFUNCTION("IFERROR(VALUE(REGEXEXTRACT(TO_TEXT($F16), N$1 &amp; ""x(\d+)"")), """")
"),"")</f>
        <v/>
      </c>
      <c r="O16" s="9" t="str">
        <f ca="1">IFERROR(__xludf.DUMMYFUNCTION("IFERROR(VALUE(REGEXEXTRACT(TO_TEXT($F16), O$1 &amp; ""x(\d+)"")), """")"),"")</f>
        <v/>
      </c>
      <c r="P16" s="9" t="str">
        <f ca="1">IFERROR(__xludf.DUMMYFUNCTION("IFERROR(VALUE(REGEXEXTRACT(TO_TEXT($F16), P$1 &amp; ""x(\d+)"")), """")"),"")</f>
        <v/>
      </c>
      <c r="Q16" s="9" t="str">
        <f ca="1">IFERROR(__xludf.DUMMYFUNCTION("IFERROR(VALUE(REGEXEXTRACT(TO_TEXT($F16), Q$1 &amp; ""x(\d+)"")), """")"),"")</f>
        <v/>
      </c>
      <c r="R16" s="9" t="str">
        <f ca="1">IFERROR(__xludf.DUMMYFUNCTION("IFERROR(VALUE(REGEXEXTRACT(TO_TEXT($F16), R$1 &amp; ""x(\d+)"")), """")"),"")</f>
        <v/>
      </c>
      <c r="S16" s="9" t="str">
        <f ca="1">IFERROR(__xludf.DUMMYFUNCTION("IFERROR(VALUE(REGEXEXTRACT(TO_TEXT($F16), S$1 &amp; ""x(\d+)"")), """")"),"")</f>
        <v/>
      </c>
      <c r="T16" s="9">
        <f ca="1">IFERROR(__xludf.DUMMYFUNCTION("IFERROR(VALUE(REGEXEXTRACT(TO_TEXT($F16), T$1 &amp; ""x(\d+)"")), """")"),1)</f>
        <v>1</v>
      </c>
      <c r="U16" s="9" t="str">
        <f ca="1">IFERROR(__xludf.DUMMYFUNCTION("IFERROR(VALUE(REGEXEXTRACT(TO_TEXT($F16), U$1 &amp; ""x(\d+)"")), """")"),"")</f>
        <v/>
      </c>
      <c r="V16" s="9" t="str">
        <f ca="1">IFERROR(__xludf.DUMMYFUNCTION("IFERROR(VALUE(REGEXEXTRACT(TO_TEXT($F16), V$1 &amp; ""x(\d+)"")), """")"),"")</f>
        <v/>
      </c>
      <c r="W16" s="9"/>
      <c r="X16" s="9"/>
      <c r="Y16" s="9"/>
      <c r="Z16" s="9"/>
    </row>
    <row r="17" spans="1:26" ht="15.75" hidden="1" customHeight="1">
      <c r="A17" s="9" t="s">
        <v>173</v>
      </c>
      <c r="B17" s="9" t="s">
        <v>1032</v>
      </c>
      <c r="C17" s="9" t="s">
        <v>174</v>
      </c>
      <c r="D17" s="9" t="s">
        <v>48</v>
      </c>
      <c r="E17" s="9" t="s">
        <v>11</v>
      </c>
      <c r="F17" s="9" t="s">
        <v>1033</v>
      </c>
      <c r="G17" s="9">
        <v>105</v>
      </c>
      <c r="H17" s="9">
        <v>2</v>
      </c>
      <c r="I17" s="9">
        <v>1.0149999999999999</v>
      </c>
      <c r="J17" s="9">
        <v>52</v>
      </c>
      <c r="K17" s="9" t="s">
        <v>424</v>
      </c>
      <c r="L17" s="9"/>
      <c r="M17" s="9"/>
      <c r="N17" s="9">
        <f ca="1">IFERROR(__xludf.DUMMYFUNCTION("IFERROR(VALUE(REGEXEXTRACT(TO_TEXT($F17), N$1 &amp; ""x(\d+)"")), """")
"),1)</f>
        <v>1</v>
      </c>
      <c r="O17" s="9">
        <f ca="1">IFERROR(__xludf.DUMMYFUNCTION("IFERROR(VALUE(REGEXEXTRACT(TO_TEXT($F17), O$1 &amp; ""x(\d+)"")), """")"),1)</f>
        <v>1</v>
      </c>
      <c r="P17" s="9" t="str">
        <f ca="1">IFERROR(__xludf.DUMMYFUNCTION("IFERROR(VALUE(REGEXEXTRACT(TO_TEXT($F17), P$1 &amp; ""x(\d+)"")), """")"),"")</f>
        <v/>
      </c>
      <c r="Q17" s="9" t="str">
        <f ca="1">IFERROR(__xludf.DUMMYFUNCTION("IFERROR(VALUE(REGEXEXTRACT(TO_TEXT($F17), Q$1 &amp; ""x(\d+)"")), """")"),"")</f>
        <v/>
      </c>
      <c r="R17" s="9" t="str">
        <f ca="1">IFERROR(__xludf.DUMMYFUNCTION("IFERROR(VALUE(REGEXEXTRACT(TO_TEXT($F17), R$1 &amp; ""x(\d+)"")), """")"),"")</f>
        <v/>
      </c>
      <c r="S17" s="9" t="str">
        <f ca="1">IFERROR(__xludf.DUMMYFUNCTION("IFERROR(VALUE(REGEXEXTRACT(TO_TEXT($F17), S$1 &amp; ""x(\d+)"")), """")"),"")</f>
        <v/>
      </c>
      <c r="T17" s="9" t="str">
        <f ca="1">IFERROR(__xludf.DUMMYFUNCTION("IFERROR(VALUE(REGEXEXTRACT(TO_TEXT($F17), T$1 &amp; ""x(\d+)"")), """")"),"")</f>
        <v/>
      </c>
      <c r="U17" s="9" t="str">
        <f ca="1">IFERROR(__xludf.DUMMYFUNCTION("IFERROR(VALUE(REGEXEXTRACT(TO_TEXT($F17), U$1 &amp; ""x(\d+)"")), """")"),"")</f>
        <v/>
      </c>
      <c r="V17" s="9">
        <f ca="1">IFERROR(__xludf.DUMMYFUNCTION("IFERROR(VALUE(REGEXEXTRACT(TO_TEXT($F17), V$1 &amp; ""x(\d+)"")), """")"),1)</f>
        <v>1</v>
      </c>
      <c r="W17" s="9"/>
      <c r="X17" s="9"/>
      <c r="Y17" s="9"/>
      <c r="Z17" s="9"/>
    </row>
    <row r="18" spans="1:26" ht="15.75" hidden="1" customHeight="1">
      <c r="A18" s="9" t="s">
        <v>173</v>
      </c>
      <c r="B18" s="9" t="s">
        <v>1032</v>
      </c>
      <c r="C18" s="9" t="s">
        <v>174</v>
      </c>
      <c r="D18" s="9" t="s">
        <v>48</v>
      </c>
      <c r="E18" s="9" t="s">
        <v>12</v>
      </c>
      <c r="F18" s="9" t="s">
        <v>1034</v>
      </c>
      <c r="G18" s="9">
        <v>120</v>
      </c>
      <c r="H18" s="9">
        <v>2</v>
      </c>
      <c r="I18" s="9">
        <v>1.0149999999999999</v>
      </c>
      <c r="J18" s="9">
        <v>52</v>
      </c>
      <c r="K18" s="9" t="s">
        <v>424</v>
      </c>
      <c r="L18" s="9" t="s">
        <v>1035</v>
      </c>
      <c r="M18" s="9"/>
      <c r="N18" s="9" t="str">
        <f ca="1">IFERROR(__xludf.DUMMYFUNCTION("IFERROR(VALUE(REGEXEXTRACT(TO_TEXT($F18), N$1 &amp; ""x(\d+)"")), """")
"),"")</f>
        <v/>
      </c>
      <c r="O18" s="9">
        <f ca="1">IFERROR(__xludf.DUMMYFUNCTION("IFERROR(VALUE(REGEXEXTRACT(TO_TEXT($F18), O$1 &amp; ""x(\d+)"")), """")"),1)</f>
        <v>1</v>
      </c>
      <c r="P18" s="9">
        <f ca="1">IFERROR(__xludf.DUMMYFUNCTION("IFERROR(VALUE(REGEXEXTRACT(TO_TEXT($F18), P$1 &amp; ""x(\d+)"")), """")"),1)</f>
        <v>1</v>
      </c>
      <c r="Q18" s="9" t="str">
        <f ca="1">IFERROR(__xludf.DUMMYFUNCTION("IFERROR(VALUE(REGEXEXTRACT(TO_TEXT($F18), Q$1 &amp; ""x(\d+)"")), """")"),"")</f>
        <v/>
      </c>
      <c r="R18" s="9" t="str">
        <f ca="1">IFERROR(__xludf.DUMMYFUNCTION("IFERROR(VALUE(REGEXEXTRACT(TO_TEXT($F18), R$1 &amp; ""x(\d+)"")), """")"),"")</f>
        <v/>
      </c>
      <c r="S18" s="9" t="str">
        <f ca="1">IFERROR(__xludf.DUMMYFUNCTION("IFERROR(VALUE(REGEXEXTRACT(TO_TEXT($F18), S$1 &amp; ""x(\d+)"")), """")"),"")</f>
        <v/>
      </c>
      <c r="T18" s="9" t="str">
        <f ca="1">IFERROR(__xludf.DUMMYFUNCTION("IFERROR(VALUE(REGEXEXTRACT(TO_TEXT($F18), T$1 &amp; ""x(\d+)"")), """")"),"")</f>
        <v/>
      </c>
      <c r="U18" s="9" t="str">
        <f ca="1">IFERROR(__xludf.DUMMYFUNCTION("IFERROR(VALUE(REGEXEXTRACT(TO_TEXT($F18), U$1 &amp; ""x(\d+)"")), """")"),"")</f>
        <v/>
      </c>
      <c r="V18" s="9" t="str">
        <f ca="1">IFERROR(__xludf.DUMMYFUNCTION("IFERROR(VALUE(REGEXEXTRACT(TO_TEXT($F18), V$1 &amp; ""x(\d+)"")), """")"),"")</f>
        <v/>
      </c>
      <c r="W18" s="9"/>
      <c r="X18" s="9"/>
      <c r="Y18" s="9"/>
      <c r="Z18" s="9"/>
    </row>
    <row r="19" spans="1:26" ht="15.75" hidden="1" customHeight="1">
      <c r="A19" s="9" t="s">
        <v>173</v>
      </c>
      <c r="B19" s="9" t="s">
        <v>1032</v>
      </c>
      <c r="C19" s="9" t="s">
        <v>174</v>
      </c>
      <c r="D19" s="9" t="s">
        <v>48</v>
      </c>
      <c r="E19" s="9" t="s">
        <v>13</v>
      </c>
      <c r="F19" s="9" t="s">
        <v>1036</v>
      </c>
      <c r="G19" s="9">
        <v>90</v>
      </c>
      <c r="H19" s="9">
        <v>2</v>
      </c>
      <c r="I19" s="9">
        <v>1.0149999999999999</v>
      </c>
      <c r="J19" s="9">
        <v>52</v>
      </c>
      <c r="K19" s="9" t="s">
        <v>424</v>
      </c>
      <c r="L19" s="9"/>
      <c r="M19" s="9"/>
      <c r="N19" s="9" t="str">
        <f ca="1">IFERROR(__xludf.DUMMYFUNCTION("IFERROR(VALUE(REGEXEXTRACT(TO_TEXT($F19), N$1 &amp; ""x(\d+)"")), """")
"),"")</f>
        <v/>
      </c>
      <c r="O19" s="9">
        <f ca="1">IFERROR(__xludf.DUMMYFUNCTION("IFERROR(VALUE(REGEXEXTRACT(TO_TEXT($F19), O$1 &amp; ""x(\d+)"")), """")"),1)</f>
        <v>1</v>
      </c>
      <c r="P19" s="9">
        <f ca="1">IFERROR(__xludf.DUMMYFUNCTION("IFERROR(VALUE(REGEXEXTRACT(TO_TEXT($F19), P$1 &amp; ""x(\d+)"")), """")"),1)</f>
        <v>1</v>
      </c>
      <c r="Q19" s="9" t="str">
        <f ca="1">IFERROR(__xludf.DUMMYFUNCTION("IFERROR(VALUE(REGEXEXTRACT(TO_TEXT($F19), Q$1 &amp; ""x(\d+)"")), """")"),"")</f>
        <v/>
      </c>
      <c r="R19" s="9" t="str">
        <f ca="1">IFERROR(__xludf.DUMMYFUNCTION("IFERROR(VALUE(REGEXEXTRACT(TO_TEXT($F19), R$1 &amp; ""x(\d+)"")), """")"),"")</f>
        <v/>
      </c>
      <c r="S19" s="9" t="str">
        <f ca="1">IFERROR(__xludf.DUMMYFUNCTION("IFERROR(VALUE(REGEXEXTRACT(TO_TEXT($F19), S$1 &amp; ""x(\d+)"")), """")"),"")</f>
        <v/>
      </c>
      <c r="T19" s="9" t="str">
        <f ca="1">IFERROR(__xludf.DUMMYFUNCTION("IFERROR(VALUE(REGEXEXTRACT(TO_TEXT($F19), T$1 &amp; ""x(\d+)"")), """")"),"")</f>
        <v/>
      </c>
      <c r="U19" s="9" t="str">
        <f ca="1">IFERROR(__xludf.DUMMYFUNCTION("IFERROR(VALUE(REGEXEXTRACT(TO_TEXT($F19), U$1 &amp; ""x(\d+)"")), """")"),"")</f>
        <v/>
      </c>
      <c r="V19" s="9" t="str">
        <f ca="1">IFERROR(__xludf.DUMMYFUNCTION("IFERROR(VALUE(REGEXEXTRACT(TO_TEXT($F19), V$1 &amp; ""x(\d+)"")), """")"),"")</f>
        <v/>
      </c>
      <c r="W19" s="9"/>
      <c r="X19" s="9"/>
      <c r="Y19" s="9"/>
      <c r="Z19" s="9"/>
    </row>
    <row r="20" spans="1:26" ht="15.75" hidden="1" customHeight="1">
      <c r="A20" s="9" t="s">
        <v>1037</v>
      </c>
      <c r="B20" s="9" t="s">
        <v>1038</v>
      </c>
      <c r="C20" s="9" t="s">
        <v>955</v>
      </c>
      <c r="D20" s="9" t="s">
        <v>48</v>
      </c>
      <c r="E20" s="9" t="s">
        <v>11</v>
      </c>
      <c r="F20" s="9" t="s">
        <v>1039</v>
      </c>
      <c r="G20" s="9">
        <v>75</v>
      </c>
      <c r="H20" s="9">
        <v>3</v>
      </c>
      <c r="I20" s="9">
        <v>1.0149999999999999</v>
      </c>
      <c r="J20" s="9">
        <v>52</v>
      </c>
      <c r="K20" s="9" t="s">
        <v>424</v>
      </c>
      <c r="L20" s="9"/>
      <c r="M20" s="9"/>
      <c r="N20" s="9">
        <f ca="1">IFERROR(__xludf.DUMMYFUNCTION("IFERROR(VALUE(REGEXEXTRACT(TO_TEXT($F20), N$1 &amp; ""x(\d+)"")), """")
"),1)</f>
        <v>1</v>
      </c>
      <c r="O20" s="9">
        <f ca="1">IFERROR(__xludf.DUMMYFUNCTION("IFERROR(VALUE(REGEXEXTRACT(TO_TEXT($F20), O$1 &amp; ""x(\d+)"")), """")"),1)</f>
        <v>1</v>
      </c>
      <c r="P20" s="9" t="str">
        <f ca="1">IFERROR(__xludf.DUMMYFUNCTION("IFERROR(VALUE(REGEXEXTRACT(TO_TEXT($F20), P$1 &amp; ""x(\d+)"")), """")"),"")</f>
        <v/>
      </c>
      <c r="Q20" s="9" t="str">
        <f ca="1">IFERROR(__xludf.DUMMYFUNCTION("IFERROR(VALUE(REGEXEXTRACT(TO_TEXT($F20), Q$1 &amp; ""x(\d+)"")), """")"),"")</f>
        <v/>
      </c>
      <c r="R20" s="9" t="str">
        <f ca="1">IFERROR(__xludf.DUMMYFUNCTION("IFERROR(VALUE(REGEXEXTRACT(TO_TEXT($F20), R$1 &amp; ""x(\d+)"")), """")"),"")</f>
        <v/>
      </c>
      <c r="S20" s="9" t="str">
        <f ca="1">IFERROR(__xludf.DUMMYFUNCTION("IFERROR(VALUE(REGEXEXTRACT(TO_TEXT($F20), S$1 &amp; ""x(\d+)"")), """")"),"")</f>
        <v/>
      </c>
      <c r="T20" s="9" t="str">
        <f ca="1">IFERROR(__xludf.DUMMYFUNCTION("IFERROR(VALUE(REGEXEXTRACT(TO_TEXT($F20), T$1 &amp; ""x(\d+)"")), """")"),"")</f>
        <v/>
      </c>
      <c r="U20" s="9" t="str">
        <f ca="1">IFERROR(__xludf.DUMMYFUNCTION("IFERROR(VALUE(REGEXEXTRACT(TO_TEXT($F20), U$1 &amp; ""x(\d+)"")), """")"),"")</f>
        <v/>
      </c>
      <c r="V20" s="9">
        <f ca="1">IFERROR(__xludf.DUMMYFUNCTION("IFERROR(VALUE(REGEXEXTRACT(TO_TEXT($F20), V$1 &amp; ""x(\d+)"")), """")"),1)</f>
        <v>1</v>
      </c>
      <c r="W20" s="9"/>
      <c r="X20" s="9"/>
      <c r="Y20" s="9"/>
      <c r="Z20" s="9"/>
    </row>
    <row r="21" spans="1:26" ht="15.75" hidden="1" customHeight="1">
      <c r="A21" s="9" t="s">
        <v>1037</v>
      </c>
      <c r="B21" s="9" t="s">
        <v>1038</v>
      </c>
      <c r="C21" s="9" t="s">
        <v>955</v>
      </c>
      <c r="D21" s="9" t="s">
        <v>48</v>
      </c>
      <c r="E21" s="9" t="s">
        <v>12</v>
      </c>
      <c r="F21" s="9" t="s">
        <v>1040</v>
      </c>
      <c r="G21" s="9">
        <v>120</v>
      </c>
      <c r="H21" s="9">
        <v>3</v>
      </c>
      <c r="I21" s="9">
        <v>1.0149999999999999</v>
      </c>
      <c r="J21" s="9">
        <v>52</v>
      </c>
      <c r="K21" s="9" t="s">
        <v>424</v>
      </c>
      <c r="L21" s="9" t="s">
        <v>1015</v>
      </c>
      <c r="M21" s="9"/>
      <c r="N21" s="9" t="str">
        <f ca="1">IFERROR(__xludf.DUMMYFUNCTION("IFERROR(VALUE(REGEXEXTRACT(TO_TEXT($F21), N$1 &amp; ""x(\d+)"")), """")
"),"")</f>
        <v/>
      </c>
      <c r="O21" s="9">
        <f ca="1">IFERROR(__xludf.DUMMYFUNCTION("IFERROR(VALUE(REGEXEXTRACT(TO_TEXT($F21), O$1 &amp; ""x(\d+)"")), """")"),1)</f>
        <v>1</v>
      </c>
      <c r="P21" s="9">
        <f ca="1">IFERROR(__xludf.DUMMYFUNCTION("IFERROR(VALUE(REGEXEXTRACT(TO_TEXT($F21), P$1 &amp; ""x(\d+)"")), """")"),1)</f>
        <v>1</v>
      </c>
      <c r="Q21" s="9" t="str">
        <f ca="1">IFERROR(__xludf.DUMMYFUNCTION("IFERROR(VALUE(REGEXEXTRACT(TO_TEXT($F21), Q$1 &amp; ""x(\d+)"")), """")"),"")</f>
        <v/>
      </c>
      <c r="R21" s="9" t="str">
        <f ca="1">IFERROR(__xludf.DUMMYFUNCTION("IFERROR(VALUE(REGEXEXTRACT(TO_TEXT($F21), R$1 &amp; ""x(\d+)"")), """")"),"")</f>
        <v/>
      </c>
      <c r="S21" s="9" t="str">
        <f ca="1">IFERROR(__xludf.DUMMYFUNCTION("IFERROR(VALUE(REGEXEXTRACT(TO_TEXT($F21), S$1 &amp; ""x(\d+)"")), """")"),"")</f>
        <v/>
      </c>
      <c r="T21" s="9" t="str">
        <f ca="1">IFERROR(__xludf.DUMMYFUNCTION("IFERROR(VALUE(REGEXEXTRACT(TO_TEXT($F21), T$1 &amp; ""x(\d+)"")), """")"),"")</f>
        <v/>
      </c>
      <c r="U21" s="9" t="str">
        <f ca="1">IFERROR(__xludf.DUMMYFUNCTION("IFERROR(VALUE(REGEXEXTRACT(TO_TEXT($F21), U$1 &amp; ""x(\d+)"")), """")"),"")</f>
        <v/>
      </c>
      <c r="V21" s="9" t="str">
        <f ca="1">IFERROR(__xludf.DUMMYFUNCTION("IFERROR(VALUE(REGEXEXTRACT(TO_TEXT($F21), V$1 &amp; ""x(\d+)"")), """")"),"")</f>
        <v/>
      </c>
      <c r="W21" s="9"/>
      <c r="X21" s="9"/>
      <c r="Y21" s="9"/>
      <c r="Z21" s="9"/>
    </row>
    <row r="22" spans="1:26" ht="15.75" hidden="1" customHeight="1">
      <c r="A22" s="9" t="s">
        <v>1037</v>
      </c>
      <c r="B22" s="9" t="s">
        <v>1038</v>
      </c>
      <c r="C22" s="9" t="s">
        <v>955</v>
      </c>
      <c r="D22" s="9" t="s">
        <v>48</v>
      </c>
      <c r="E22" s="9" t="s">
        <v>13</v>
      </c>
      <c r="F22" s="9" t="s">
        <v>1041</v>
      </c>
      <c r="G22" s="9">
        <v>90</v>
      </c>
      <c r="H22" s="9">
        <v>3</v>
      </c>
      <c r="I22" s="9">
        <v>1.0149999999999999</v>
      </c>
      <c r="J22" s="9">
        <v>52</v>
      </c>
      <c r="K22" s="9" t="s">
        <v>424</v>
      </c>
      <c r="L22" s="9"/>
      <c r="M22" s="9"/>
      <c r="N22" s="9" t="str">
        <f ca="1">IFERROR(__xludf.DUMMYFUNCTION("IFERROR(VALUE(REGEXEXTRACT(TO_TEXT($F22), N$1 &amp; ""x(\d+)"")), """")
"),"")</f>
        <v/>
      </c>
      <c r="O22" s="9">
        <f ca="1">IFERROR(__xludf.DUMMYFUNCTION("IFERROR(VALUE(REGEXEXTRACT(TO_TEXT($F22), O$1 &amp; ""x(\d+)"")), """")"),1)</f>
        <v>1</v>
      </c>
      <c r="P22" s="9">
        <f ca="1">IFERROR(__xludf.DUMMYFUNCTION("IFERROR(VALUE(REGEXEXTRACT(TO_TEXT($F22), P$1 &amp; ""x(\d+)"")), """")"),1)</f>
        <v>1</v>
      </c>
      <c r="Q22" s="9" t="str">
        <f ca="1">IFERROR(__xludf.DUMMYFUNCTION("IFERROR(VALUE(REGEXEXTRACT(TO_TEXT($F22), Q$1 &amp; ""x(\d+)"")), """")"),"")</f>
        <v/>
      </c>
      <c r="R22" s="9" t="str">
        <f ca="1">IFERROR(__xludf.DUMMYFUNCTION("IFERROR(VALUE(REGEXEXTRACT(TO_TEXT($F22), R$1 &amp; ""x(\d+)"")), """")"),"")</f>
        <v/>
      </c>
      <c r="S22" s="9" t="str">
        <f ca="1">IFERROR(__xludf.DUMMYFUNCTION("IFERROR(VALUE(REGEXEXTRACT(TO_TEXT($F22), S$1 &amp; ""x(\d+)"")), """")"),"")</f>
        <v/>
      </c>
      <c r="T22" s="9" t="str">
        <f ca="1">IFERROR(__xludf.DUMMYFUNCTION("IFERROR(VALUE(REGEXEXTRACT(TO_TEXT($F22), T$1 &amp; ""x(\d+)"")), """")"),"")</f>
        <v/>
      </c>
      <c r="U22" s="9" t="str">
        <f ca="1">IFERROR(__xludf.DUMMYFUNCTION("IFERROR(VALUE(REGEXEXTRACT(TO_TEXT($F22), U$1 &amp; ""x(\d+)"")), """")"),"")</f>
        <v/>
      </c>
      <c r="V22" s="9" t="str">
        <f ca="1">IFERROR(__xludf.DUMMYFUNCTION("IFERROR(VALUE(REGEXEXTRACT(TO_TEXT($F22), V$1 &amp; ""x(\d+)"")), """")"),"")</f>
        <v/>
      </c>
      <c r="W22" s="9"/>
      <c r="X22" s="9"/>
      <c r="Y22" s="9"/>
      <c r="Z22" s="9"/>
    </row>
    <row r="23" spans="1:26" ht="15.75" hidden="1" customHeight="1">
      <c r="A23" s="9" t="s">
        <v>1042</v>
      </c>
      <c r="B23" s="9" t="s">
        <v>1043</v>
      </c>
      <c r="C23" s="9" t="s">
        <v>1044</v>
      </c>
      <c r="D23" s="9" t="s">
        <v>40</v>
      </c>
      <c r="E23" s="9" t="s">
        <v>11</v>
      </c>
      <c r="F23" s="9" t="s">
        <v>1045</v>
      </c>
      <c r="G23" s="9">
        <v>50</v>
      </c>
      <c r="H23" s="9">
        <v>3</v>
      </c>
      <c r="I23" s="9">
        <v>1.0149999999999999</v>
      </c>
      <c r="J23" s="9">
        <v>367</v>
      </c>
      <c r="K23" s="9" t="s">
        <v>442</v>
      </c>
      <c r="L23" s="9"/>
      <c r="M23" s="9"/>
      <c r="N23" s="9" t="str">
        <f ca="1">IFERROR(__xludf.DUMMYFUNCTION("IFERROR(VALUE(REGEXEXTRACT(TO_TEXT($F23), N$1 &amp; ""x(\d+)"")), """")
"),"")</f>
        <v/>
      </c>
      <c r="O23" s="9" t="str">
        <f ca="1">IFERROR(__xludf.DUMMYFUNCTION("IFERROR(VALUE(REGEXEXTRACT(TO_TEXT($F23), O$1 &amp; ""x(\d+)"")), """")"),"")</f>
        <v/>
      </c>
      <c r="P23" s="9" t="str">
        <f ca="1">IFERROR(__xludf.DUMMYFUNCTION("IFERROR(VALUE(REGEXEXTRACT(TO_TEXT($F23), P$1 &amp; ""x(\d+)"")), """")"),"")</f>
        <v/>
      </c>
      <c r="Q23" s="9" t="str">
        <f ca="1">IFERROR(__xludf.DUMMYFUNCTION("IFERROR(VALUE(REGEXEXTRACT(TO_TEXT($F23), Q$1 &amp; ""x(\d+)"")), """")"),"")</f>
        <v/>
      </c>
      <c r="R23" s="9" t="str">
        <f ca="1">IFERROR(__xludf.DUMMYFUNCTION("IFERROR(VALUE(REGEXEXTRACT(TO_TEXT($F23), R$1 &amp; ""x(\d+)"")), """")"),"")</f>
        <v/>
      </c>
      <c r="S23" s="9">
        <f ca="1">IFERROR(__xludf.DUMMYFUNCTION("IFERROR(VALUE(REGEXEXTRACT(TO_TEXT($F23), S$1 &amp; ""x(\d+)"")), """")"),1)</f>
        <v>1</v>
      </c>
      <c r="T23" s="9" t="str">
        <f ca="1">IFERROR(__xludf.DUMMYFUNCTION("IFERROR(VALUE(REGEXEXTRACT(TO_TEXT($F23), T$1 &amp; ""x(\d+)"")), """")"),"")</f>
        <v/>
      </c>
      <c r="U23" s="9" t="str">
        <f ca="1">IFERROR(__xludf.DUMMYFUNCTION("IFERROR(VALUE(REGEXEXTRACT(TO_TEXT($F23), U$1 &amp; ""x(\d+)"")), """")"),"")</f>
        <v/>
      </c>
      <c r="V23" s="9" t="str">
        <f ca="1">IFERROR(__xludf.DUMMYFUNCTION("IFERROR(VALUE(REGEXEXTRACT(TO_TEXT($F23), V$1 &amp; ""x(\d+)"")), """")"),"")</f>
        <v/>
      </c>
      <c r="W23" s="9"/>
      <c r="X23" s="9"/>
      <c r="Y23" s="9"/>
      <c r="Z23" s="9"/>
    </row>
    <row r="24" spans="1:26" ht="15.75" hidden="1" customHeight="1">
      <c r="A24" s="9" t="s">
        <v>1042</v>
      </c>
      <c r="B24" s="9" t="s">
        <v>1043</v>
      </c>
      <c r="C24" s="9" t="s">
        <v>1044</v>
      </c>
      <c r="D24" s="9" t="s">
        <v>40</v>
      </c>
      <c r="E24" s="9" t="s">
        <v>12</v>
      </c>
      <c r="F24" s="9" t="s">
        <v>1046</v>
      </c>
      <c r="G24" s="9">
        <v>90</v>
      </c>
      <c r="H24" s="9">
        <v>3</v>
      </c>
      <c r="I24" s="9">
        <v>1.0149999999999999</v>
      </c>
      <c r="J24" s="9">
        <v>367</v>
      </c>
      <c r="K24" s="9" t="s">
        <v>442</v>
      </c>
      <c r="L24" s="9" t="s">
        <v>1015</v>
      </c>
      <c r="M24" s="9"/>
      <c r="N24" s="9" t="str">
        <f ca="1">IFERROR(__xludf.DUMMYFUNCTION("IFERROR(VALUE(REGEXEXTRACT(TO_TEXT($F24), N$1 &amp; ""x(\d+)"")), """")
"),"")</f>
        <v/>
      </c>
      <c r="O24" s="9" t="str">
        <f ca="1">IFERROR(__xludf.DUMMYFUNCTION("IFERROR(VALUE(REGEXEXTRACT(TO_TEXT($F24), O$1 &amp; ""x(\d+)"")), """")"),"")</f>
        <v/>
      </c>
      <c r="P24" s="9" t="str">
        <f ca="1">IFERROR(__xludf.DUMMYFUNCTION("IFERROR(VALUE(REGEXEXTRACT(TO_TEXT($F24), P$1 &amp; ""x(\d+)"")), """")"),"")</f>
        <v/>
      </c>
      <c r="Q24" s="9" t="str">
        <f ca="1">IFERROR(__xludf.DUMMYFUNCTION("IFERROR(VALUE(REGEXEXTRACT(TO_TEXT($F24), Q$1 &amp; ""x(\d+)"")), """")"),"")</f>
        <v/>
      </c>
      <c r="R24" s="9" t="str">
        <f ca="1">IFERROR(__xludf.DUMMYFUNCTION("IFERROR(VALUE(REGEXEXTRACT(TO_TEXT($F24), R$1 &amp; ""x(\d+)"")), """")"),"")</f>
        <v/>
      </c>
      <c r="S24" s="9">
        <f ca="1">IFERROR(__xludf.DUMMYFUNCTION("IFERROR(VALUE(REGEXEXTRACT(TO_TEXT($F24), S$1 &amp; ""x(\d+)"")), """")"),1)</f>
        <v>1</v>
      </c>
      <c r="T24" s="9" t="str">
        <f ca="1">IFERROR(__xludf.DUMMYFUNCTION("IFERROR(VALUE(REGEXEXTRACT(TO_TEXT($F24), T$1 &amp; ""x(\d+)"")), """")"),"")</f>
        <v/>
      </c>
      <c r="U24" s="9" t="str">
        <f ca="1">IFERROR(__xludf.DUMMYFUNCTION("IFERROR(VALUE(REGEXEXTRACT(TO_TEXT($F24), U$1 &amp; ""x(\d+)"")), """")"),"")</f>
        <v/>
      </c>
      <c r="V24" s="9" t="str">
        <f ca="1">IFERROR(__xludf.DUMMYFUNCTION("IFERROR(VALUE(REGEXEXTRACT(TO_TEXT($F24), V$1 &amp; ""x(\d+)"")), """")"),"")</f>
        <v/>
      </c>
      <c r="W24" s="9"/>
      <c r="X24" s="9"/>
      <c r="Y24" s="9"/>
      <c r="Z24" s="9"/>
    </row>
    <row r="25" spans="1:26" ht="15.75" hidden="1" customHeight="1">
      <c r="A25" s="9" t="s">
        <v>1042</v>
      </c>
      <c r="B25" s="9" t="s">
        <v>1043</v>
      </c>
      <c r="C25" s="9" t="s">
        <v>1044</v>
      </c>
      <c r="D25" s="9" t="s">
        <v>40</v>
      </c>
      <c r="E25" s="9" t="s">
        <v>13</v>
      </c>
      <c r="F25" s="9" t="s">
        <v>1047</v>
      </c>
      <c r="G25" s="9">
        <v>30</v>
      </c>
      <c r="H25" s="9">
        <v>3</v>
      </c>
      <c r="I25" s="9">
        <v>1.0149999999999999</v>
      </c>
      <c r="J25" s="9">
        <v>367</v>
      </c>
      <c r="K25" s="9" t="s">
        <v>442</v>
      </c>
      <c r="L25" s="9"/>
      <c r="M25" s="9"/>
      <c r="N25" s="9" t="str">
        <f ca="1">IFERROR(__xludf.DUMMYFUNCTION("IFERROR(VALUE(REGEXEXTRACT(TO_TEXT($F25), N$1 &amp; ""x(\d+)"")), """")
"),"")</f>
        <v/>
      </c>
      <c r="O25" s="9" t="str">
        <f ca="1">IFERROR(__xludf.DUMMYFUNCTION("IFERROR(VALUE(REGEXEXTRACT(TO_TEXT($F25), O$1 &amp; ""x(\d+)"")), """")"),"")</f>
        <v/>
      </c>
      <c r="P25" s="9" t="str">
        <f ca="1">IFERROR(__xludf.DUMMYFUNCTION("IFERROR(VALUE(REGEXEXTRACT(TO_TEXT($F25), P$1 &amp; ""x(\d+)"")), """")"),"")</f>
        <v/>
      </c>
      <c r="Q25" s="9" t="str">
        <f ca="1">IFERROR(__xludf.DUMMYFUNCTION("IFERROR(VALUE(REGEXEXTRACT(TO_TEXT($F25), Q$1 &amp; ""x(\d+)"")), """")"),"")</f>
        <v/>
      </c>
      <c r="R25" s="9" t="str">
        <f ca="1">IFERROR(__xludf.DUMMYFUNCTION("IFERROR(VALUE(REGEXEXTRACT(TO_TEXT($F25), R$1 &amp; ""x(\d+)"")), """")"),"")</f>
        <v/>
      </c>
      <c r="S25" s="9">
        <f ca="1">IFERROR(__xludf.DUMMYFUNCTION("IFERROR(VALUE(REGEXEXTRACT(TO_TEXT($F25), S$1 &amp; ""x(\d+)"")), """")"),1)</f>
        <v>1</v>
      </c>
      <c r="T25" s="9" t="str">
        <f ca="1">IFERROR(__xludf.DUMMYFUNCTION("IFERROR(VALUE(REGEXEXTRACT(TO_TEXT($F25), T$1 &amp; ""x(\d+)"")), """")"),"")</f>
        <v/>
      </c>
      <c r="U25" s="9" t="str">
        <f ca="1">IFERROR(__xludf.DUMMYFUNCTION("IFERROR(VALUE(REGEXEXTRACT(TO_TEXT($F25), U$1 &amp; ""x(\d+)"")), """")"),"")</f>
        <v/>
      </c>
      <c r="V25" s="9" t="str">
        <f ca="1">IFERROR(__xludf.DUMMYFUNCTION("IFERROR(VALUE(REGEXEXTRACT(TO_TEXT($F25), V$1 &amp; ""x(\d+)"")), """")"),"")</f>
        <v/>
      </c>
      <c r="W25" s="9"/>
      <c r="X25" s="9"/>
      <c r="Y25" s="9"/>
      <c r="Z25" s="9"/>
    </row>
    <row r="26" spans="1:26" ht="15.75" customHeight="1">
      <c r="A26" s="9" t="s">
        <v>1042</v>
      </c>
      <c r="B26" s="9" t="s">
        <v>1043</v>
      </c>
      <c r="C26" s="9" t="s">
        <v>1044</v>
      </c>
      <c r="D26" s="9" t="s">
        <v>33</v>
      </c>
      <c r="E26" s="9" t="s">
        <v>11</v>
      </c>
      <c r="F26" s="9" t="s">
        <v>1048</v>
      </c>
      <c r="G26" s="9">
        <v>50</v>
      </c>
      <c r="H26" s="9">
        <v>3</v>
      </c>
      <c r="I26" s="9">
        <v>1.0149999999999999</v>
      </c>
      <c r="J26" s="9">
        <v>63.5</v>
      </c>
      <c r="K26" s="9" t="s">
        <v>442</v>
      </c>
      <c r="L26" s="9"/>
      <c r="M26" s="9"/>
      <c r="N26" s="9" t="str">
        <f ca="1">IFERROR(__xludf.DUMMYFUNCTION("IFERROR(VALUE(REGEXEXTRACT(TO_TEXT($F26), N$1 &amp; ""x(\d+)"")), """")
"),"")</f>
        <v/>
      </c>
      <c r="O26" s="9" t="str">
        <f ca="1">IFERROR(__xludf.DUMMYFUNCTION("IFERROR(VALUE(REGEXEXTRACT(TO_TEXT($F26), O$1 &amp; ""x(\d+)"")), """")"),"")</f>
        <v/>
      </c>
      <c r="P26" s="9" t="str">
        <f ca="1">IFERROR(__xludf.DUMMYFUNCTION("IFERROR(VALUE(REGEXEXTRACT(TO_TEXT($F26), P$1 &amp; ""x(\d+)"")), """")"),"")</f>
        <v/>
      </c>
      <c r="Q26" s="9" t="str">
        <f ca="1">IFERROR(__xludf.DUMMYFUNCTION("IFERROR(VALUE(REGEXEXTRACT(TO_TEXT($F26), Q$1 &amp; ""x(\d+)"")), """")"),"")</f>
        <v/>
      </c>
      <c r="R26" s="9" t="str">
        <f ca="1">IFERROR(__xludf.DUMMYFUNCTION("IFERROR(VALUE(REGEXEXTRACT(TO_TEXT($F26), R$1 &amp; ""x(\d+)"")), """")"),"")</f>
        <v/>
      </c>
      <c r="S26" s="9" t="str">
        <f ca="1">IFERROR(__xludf.DUMMYFUNCTION("IFERROR(VALUE(REGEXEXTRACT(TO_TEXT($F26), S$1 &amp; ""x(\d+)"")), """")"),"")</f>
        <v/>
      </c>
      <c r="T26" s="9" t="str">
        <f ca="1">IFERROR(__xludf.DUMMYFUNCTION("IFERROR(VALUE(REGEXEXTRACT(TO_TEXT($F26), T$1 &amp; ""x(\d+)"")), """")"),"")</f>
        <v/>
      </c>
      <c r="U26" s="9" t="str">
        <f ca="1">IFERROR(__xludf.DUMMYFUNCTION("IFERROR(VALUE(REGEXEXTRACT(TO_TEXT($F26), U$1 &amp; ""x(\d+)"")), """")"),"")</f>
        <v/>
      </c>
      <c r="V26" s="9" t="str">
        <f ca="1">IFERROR(__xludf.DUMMYFUNCTION("IFERROR(VALUE(REGEXEXTRACT(TO_TEXT($F26), V$1 &amp; ""x(\d+)"")), """")"),"")</f>
        <v/>
      </c>
      <c r="W26" s="9"/>
      <c r="X26" s="9"/>
      <c r="Y26" s="9"/>
      <c r="Z26" s="9"/>
    </row>
    <row r="27" spans="1:26" ht="15.75" customHeight="1">
      <c r="A27" s="9" t="s">
        <v>1042</v>
      </c>
      <c r="B27" s="9" t="s">
        <v>1043</v>
      </c>
      <c r="C27" s="9" t="s">
        <v>1044</v>
      </c>
      <c r="D27" s="9" t="s">
        <v>33</v>
      </c>
      <c r="E27" s="9" t="s">
        <v>12</v>
      </c>
      <c r="F27" s="9" t="s">
        <v>1049</v>
      </c>
      <c r="G27" s="9">
        <v>95</v>
      </c>
      <c r="H27" s="9">
        <v>3</v>
      </c>
      <c r="I27" s="9">
        <v>1.0149999999999999</v>
      </c>
      <c r="J27" s="9">
        <v>63.5</v>
      </c>
      <c r="K27" s="9" t="s">
        <v>442</v>
      </c>
      <c r="L27" s="9"/>
      <c r="M27" s="9"/>
      <c r="N27" s="9" t="str">
        <f ca="1">IFERROR(__xludf.DUMMYFUNCTION("IFERROR(VALUE(REGEXEXTRACT(TO_TEXT($F27), N$1 &amp; ""x(\d+)"")), """")
"),"")</f>
        <v/>
      </c>
      <c r="O27" s="9">
        <f ca="1">IFERROR(__xludf.DUMMYFUNCTION("IFERROR(VALUE(REGEXEXTRACT(TO_TEXT($F27), O$1 &amp; ""x(\d+)"")), """")"),1)</f>
        <v>1</v>
      </c>
      <c r="P27" s="9" t="str">
        <f ca="1">IFERROR(__xludf.DUMMYFUNCTION("IFERROR(VALUE(REGEXEXTRACT(TO_TEXT($F27), P$1 &amp; ""x(\d+)"")), """")"),"")</f>
        <v/>
      </c>
      <c r="Q27" s="9" t="str">
        <f ca="1">IFERROR(__xludf.DUMMYFUNCTION("IFERROR(VALUE(REGEXEXTRACT(TO_TEXT($F27), Q$1 &amp; ""x(\d+)"")), """")"),"")</f>
        <v/>
      </c>
      <c r="R27" s="9" t="str">
        <f ca="1">IFERROR(__xludf.DUMMYFUNCTION("IFERROR(VALUE(REGEXEXTRACT(TO_TEXT($F27), R$1 &amp; ""x(\d+)"")), """")"),"")</f>
        <v/>
      </c>
      <c r="S27" s="9" t="str">
        <f ca="1">IFERROR(__xludf.DUMMYFUNCTION("IFERROR(VALUE(REGEXEXTRACT(TO_TEXT($F27), S$1 &amp; ""x(\d+)"")), """")"),"")</f>
        <v/>
      </c>
      <c r="T27" s="9" t="str">
        <f ca="1">IFERROR(__xludf.DUMMYFUNCTION("IFERROR(VALUE(REGEXEXTRACT(TO_TEXT($F27), T$1 &amp; ""x(\d+)"")), """")"),"")</f>
        <v/>
      </c>
      <c r="U27" s="9" t="str">
        <f ca="1">IFERROR(__xludf.DUMMYFUNCTION("IFERROR(VALUE(REGEXEXTRACT(TO_TEXT($F27), U$1 &amp; ""x(\d+)"")), """")"),"")</f>
        <v/>
      </c>
      <c r="V27" s="9" t="str">
        <f ca="1">IFERROR(__xludf.DUMMYFUNCTION("IFERROR(VALUE(REGEXEXTRACT(TO_TEXT($F27), V$1 &amp; ""x(\d+)"")), """")"),"")</f>
        <v/>
      </c>
      <c r="W27" s="9"/>
      <c r="X27" s="9"/>
      <c r="Y27" s="9"/>
      <c r="Z27" s="9"/>
    </row>
    <row r="28" spans="1:26" ht="15.75" customHeight="1">
      <c r="A28" s="9" t="s">
        <v>1042</v>
      </c>
      <c r="B28" s="9" t="s">
        <v>1043</v>
      </c>
      <c r="C28" s="9" t="s">
        <v>1044</v>
      </c>
      <c r="D28" s="9" t="s">
        <v>33</v>
      </c>
      <c r="E28" s="9" t="s">
        <v>13</v>
      </c>
      <c r="F28" s="9" t="s">
        <v>1050</v>
      </c>
      <c r="G28" s="9">
        <v>20</v>
      </c>
      <c r="H28" s="9">
        <v>3</v>
      </c>
      <c r="I28" s="9">
        <v>1.0149999999999999</v>
      </c>
      <c r="J28" s="9">
        <v>63.5</v>
      </c>
      <c r="K28" s="9" t="s">
        <v>442</v>
      </c>
      <c r="L28" s="9"/>
      <c r="M28" s="9"/>
      <c r="N28" s="9" t="str">
        <f ca="1">IFERROR(__xludf.DUMMYFUNCTION("IFERROR(VALUE(REGEXEXTRACT(TO_TEXT($F28), N$1 &amp; ""x(\d+)"")), """")
"),"")</f>
        <v/>
      </c>
      <c r="O28" s="9">
        <f ca="1">IFERROR(__xludf.DUMMYFUNCTION("IFERROR(VALUE(REGEXEXTRACT(TO_TEXT($F28), O$1 &amp; ""x(\d+)"")), """")"),1)</f>
        <v>1</v>
      </c>
      <c r="P28" s="9" t="str">
        <f ca="1">IFERROR(__xludf.DUMMYFUNCTION("IFERROR(VALUE(REGEXEXTRACT(TO_TEXT($F28), P$1 &amp; ""x(\d+)"")), """")"),"")</f>
        <v/>
      </c>
      <c r="Q28" s="9" t="str">
        <f ca="1">IFERROR(__xludf.DUMMYFUNCTION("IFERROR(VALUE(REGEXEXTRACT(TO_TEXT($F28), Q$1 &amp; ""x(\d+)"")), """")"),"")</f>
        <v/>
      </c>
      <c r="R28" s="9" t="str">
        <f ca="1">IFERROR(__xludf.DUMMYFUNCTION("IFERROR(VALUE(REGEXEXTRACT(TO_TEXT($F28), R$1 &amp; ""x(\d+)"")), """")"),"")</f>
        <v/>
      </c>
      <c r="S28" s="9" t="str">
        <f ca="1">IFERROR(__xludf.DUMMYFUNCTION("IFERROR(VALUE(REGEXEXTRACT(TO_TEXT($F28), S$1 &amp; ""x(\d+)"")), """")"),"")</f>
        <v/>
      </c>
      <c r="T28" s="9" t="str">
        <f ca="1">IFERROR(__xludf.DUMMYFUNCTION("IFERROR(VALUE(REGEXEXTRACT(TO_TEXT($F28), T$1 &amp; ""x(\d+)"")), """")"),"")</f>
        <v/>
      </c>
      <c r="U28" s="9" t="str">
        <f ca="1">IFERROR(__xludf.DUMMYFUNCTION("IFERROR(VALUE(REGEXEXTRACT(TO_TEXT($F28), U$1 &amp; ""x(\d+)"")), """")"),"")</f>
        <v/>
      </c>
      <c r="V28" s="9" t="str">
        <f ca="1">IFERROR(__xludf.DUMMYFUNCTION("IFERROR(VALUE(REGEXEXTRACT(TO_TEXT($F28), V$1 &amp; ""x(\d+)"")), """")"),"")</f>
        <v/>
      </c>
      <c r="W28" s="9"/>
      <c r="X28" s="9"/>
      <c r="Y28" s="9"/>
      <c r="Z28" s="9"/>
    </row>
    <row r="29" spans="1:26" ht="15.75" hidden="1" customHeight="1">
      <c r="A29" s="9" t="s">
        <v>136</v>
      </c>
      <c r="B29" s="9" t="s">
        <v>1051</v>
      </c>
      <c r="C29" s="9" t="s">
        <v>137</v>
      </c>
      <c r="D29" s="9" t="s">
        <v>40</v>
      </c>
      <c r="E29" s="9" t="s">
        <v>11</v>
      </c>
      <c r="F29" s="9" t="s">
        <v>1052</v>
      </c>
      <c r="G29" s="9">
        <v>30</v>
      </c>
      <c r="H29" s="9">
        <v>3</v>
      </c>
      <c r="I29" s="9">
        <v>1.0149999999999999</v>
      </c>
      <c r="J29" s="9">
        <v>248</v>
      </c>
      <c r="K29" s="9" t="s">
        <v>442</v>
      </c>
      <c r="L29" s="9"/>
      <c r="M29" s="9"/>
      <c r="N29" s="9" t="str">
        <f ca="1">IFERROR(__xludf.DUMMYFUNCTION("IFERROR(VALUE(REGEXEXTRACT(TO_TEXT($F29), N$1 &amp; ""x(\d+)"")), """")
"),"")</f>
        <v/>
      </c>
      <c r="O29" s="9" t="str">
        <f ca="1">IFERROR(__xludf.DUMMYFUNCTION("IFERROR(VALUE(REGEXEXTRACT(TO_TEXT($F29), O$1 &amp; ""x(\d+)"")), """")"),"")</f>
        <v/>
      </c>
      <c r="P29" s="9" t="str">
        <f ca="1">IFERROR(__xludf.DUMMYFUNCTION("IFERROR(VALUE(REGEXEXTRACT(TO_TEXT($F29), P$1 &amp; ""x(\d+)"")), """")"),"")</f>
        <v/>
      </c>
      <c r="Q29" s="9" t="str">
        <f ca="1">IFERROR(__xludf.DUMMYFUNCTION("IFERROR(VALUE(REGEXEXTRACT(TO_TEXT($F29), Q$1 &amp; ""x(\d+)"")), """")"),"")</f>
        <v/>
      </c>
      <c r="R29" s="9" t="str">
        <f ca="1">IFERROR(__xludf.DUMMYFUNCTION("IFERROR(VALUE(REGEXEXTRACT(TO_TEXT($F29), R$1 &amp; ""x(\d+)"")), """")"),"")</f>
        <v/>
      </c>
      <c r="S29" s="9" t="str">
        <f ca="1">IFERROR(__xludf.DUMMYFUNCTION("IFERROR(VALUE(REGEXEXTRACT(TO_TEXT($F29), S$1 &amp; ""x(\d+)"")), """")"),"")</f>
        <v/>
      </c>
      <c r="T29" s="9" t="str">
        <f ca="1">IFERROR(__xludf.DUMMYFUNCTION("IFERROR(VALUE(REGEXEXTRACT(TO_TEXT($F29), T$1 &amp; ""x(\d+)"")), """")"),"")</f>
        <v/>
      </c>
      <c r="U29" s="9" t="str">
        <f ca="1">IFERROR(__xludf.DUMMYFUNCTION("IFERROR(VALUE(REGEXEXTRACT(TO_TEXT($F29), U$1 &amp; ""x(\d+)"")), """")"),"")</f>
        <v/>
      </c>
      <c r="V29" s="9" t="str">
        <f ca="1">IFERROR(__xludf.DUMMYFUNCTION("IFERROR(VALUE(REGEXEXTRACT(TO_TEXT($F29), V$1 &amp; ""x(\d+)"")), """")"),"")</f>
        <v/>
      </c>
      <c r="W29" s="9"/>
      <c r="X29" s="9"/>
      <c r="Y29" s="9"/>
      <c r="Z29" s="9"/>
    </row>
    <row r="30" spans="1:26" ht="15.75" hidden="1" customHeight="1">
      <c r="A30" s="9" t="s">
        <v>136</v>
      </c>
      <c r="B30" s="9" t="s">
        <v>1051</v>
      </c>
      <c r="C30" s="9" t="s">
        <v>137</v>
      </c>
      <c r="D30" s="9" t="s">
        <v>40</v>
      </c>
      <c r="E30" s="9" t="s">
        <v>12</v>
      </c>
      <c r="F30" s="9" t="s">
        <v>1053</v>
      </c>
      <c r="G30" s="9">
        <v>120</v>
      </c>
      <c r="H30" s="9">
        <v>3</v>
      </c>
      <c r="I30" s="9">
        <v>1.0149999999999999</v>
      </c>
      <c r="J30" s="9">
        <v>248</v>
      </c>
      <c r="K30" s="9" t="s">
        <v>442</v>
      </c>
      <c r="L30" s="9" t="s">
        <v>1030</v>
      </c>
      <c r="M30" s="9"/>
      <c r="N30" s="9" t="str">
        <f ca="1">IFERROR(__xludf.DUMMYFUNCTION("IFERROR(VALUE(REGEXEXTRACT(TO_TEXT($F30), N$1 &amp; ""x(\d+)"")), """")
"),"")</f>
        <v/>
      </c>
      <c r="O30" s="9" t="str">
        <f ca="1">IFERROR(__xludf.DUMMYFUNCTION("IFERROR(VALUE(REGEXEXTRACT(TO_TEXT($F30), O$1 &amp; ""x(\d+)"")), """")"),"")</f>
        <v/>
      </c>
      <c r="P30" s="9" t="str">
        <f ca="1">IFERROR(__xludf.DUMMYFUNCTION("IFERROR(VALUE(REGEXEXTRACT(TO_TEXT($F30), P$1 &amp; ""x(\d+)"")), """")"),"")</f>
        <v/>
      </c>
      <c r="Q30" s="9" t="str">
        <f ca="1">IFERROR(__xludf.DUMMYFUNCTION("IFERROR(VALUE(REGEXEXTRACT(TO_TEXT($F30), Q$1 &amp; ""x(\d+)"")), """")"),"")</f>
        <v/>
      </c>
      <c r="R30" s="9" t="str">
        <f ca="1">IFERROR(__xludf.DUMMYFUNCTION("IFERROR(VALUE(REGEXEXTRACT(TO_TEXT($F30), R$1 &amp; ""x(\d+)"")), """")"),"")</f>
        <v/>
      </c>
      <c r="S30" s="9">
        <f ca="1">IFERROR(__xludf.DUMMYFUNCTION("IFERROR(VALUE(REGEXEXTRACT(TO_TEXT($F30), S$1 &amp; ""x(\d+)"")), """")"),1)</f>
        <v>1</v>
      </c>
      <c r="T30" s="9" t="str">
        <f ca="1">IFERROR(__xludf.DUMMYFUNCTION("IFERROR(VALUE(REGEXEXTRACT(TO_TEXT($F30), T$1 &amp; ""x(\d+)"")), """")"),"")</f>
        <v/>
      </c>
      <c r="U30" s="9" t="str">
        <f ca="1">IFERROR(__xludf.DUMMYFUNCTION("IFERROR(VALUE(REGEXEXTRACT(TO_TEXT($F30), U$1 &amp; ""x(\d+)"")), """")"),"")</f>
        <v/>
      </c>
      <c r="V30" s="9" t="str">
        <f ca="1">IFERROR(__xludf.DUMMYFUNCTION("IFERROR(VALUE(REGEXEXTRACT(TO_TEXT($F30), V$1 &amp; ""x(\d+)"")), """")"),"")</f>
        <v/>
      </c>
      <c r="W30" s="9"/>
      <c r="X30" s="9"/>
      <c r="Y30" s="9"/>
      <c r="Z30" s="9"/>
    </row>
    <row r="31" spans="1:26" ht="15.75" hidden="1" customHeight="1">
      <c r="A31" s="9" t="s">
        <v>136</v>
      </c>
      <c r="B31" s="9" t="s">
        <v>1051</v>
      </c>
      <c r="C31" s="9" t="s">
        <v>137</v>
      </c>
      <c r="D31" s="9" t="s">
        <v>40</v>
      </c>
      <c r="E31" s="9" t="s">
        <v>13</v>
      </c>
      <c r="F31" s="9" t="s">
        <v>1016</v>
      </c>
      <c r="G31" s="9">
        <v>30</v>
      </c>
      <c r="H31" s="9">
        <v>3</v>
      </c>
      <c r="I31" s="9">
        <v>1.0149999999999999</v>
      </c>
      <c r="J31" s="9">
        <v>248</v>
      </c>
      <c r="K31" s="9" t="s">
        <v>442</v>
      </c>
      <c r="L31" s="9"/>
      <c r="M31" s="9"/>
      <c r="N31" s="9" t="str">
        <f ca="1">IFERROR(__xludf.DUMMYFUNCTION("IFERROR(VALUE(REGEXEXTRACT(TO_TEXT($F31), N$1 &amp; ""x(\d+)"")), """")
"),"")</f>
        <v/>
      </c>
      <c r="O31" s="9" t="str">
        <f ca="1">IFERROR(__xludf.DUMMYFUNCTION("IFERROR(VALUE(REGEXEXTRACT(TO_TEXT($F31), O$1 &amp; ""x(\d+)"")), """")"),"")</f>
        <v/>
      </c>
      <c r="P31" s="9" t="str">
        <f ca="1">IFERROR(__xludf.DUMMYFUNCTION("IFERROR(VALUE(REGEXEXTRACT(TO_TEXT($F31), P$1 &amp; ""x(\d+)"")), """")"),"")</f>
        <v/>
      </c>
      <c r="Q31" s="9" t="str">
        <f ca="1">IFERROR(__xludf.DUMMYFUNCTION("IFERROR(VALUE(REGEXEXTRACT(TO_TEXT($F31), Q$1 &amp; ""x(\d+)"")), """")"),"")</f>
        <v/>
      </c>
      <c r="R31" s="9" t="str">
        <f ca="1">IFERROR(__xludf.DUMMYFUNCTION("IFERROR(VALUE(REGEXEXTRACT(TO_TEXT($F31), R$1 &amp; ""x(\d+)"")), """")"),"")</f>
        <v/>
      </c>
      <c r="S31" s="9">
        <f ca="1">IFERROR(__xludf.DUMMYFUNCTION("IFERROR(VALUE(REGEXEXTRACT(TO_TEXT($F31), S$1 &amp; ""x(\d+)"")), """")"),1)</f>
        <v>1</v>
      </c>
      <c r="T31" s="9" t="str">
        <f ca="1">IFERROR(__xludf.DUMMYFUNCTION("IFERROR(VALUE(REGEXEXTRACT(TO_TEXT($F31), T$1 &amp; ""x(\d+)"")), """")"),"")</f>
        <v/>
      </c>
      <c r="U31" s="9" t="str">
        <f ca="1">IFERROR(__xludf.DUMMYFUNCTION("IFERROR(VALUE(REGEXEXTRACT(TO_TEXT($F31), U$1 &amp; ""x(\d+)"")), """")"),"")</f>
        <v/>
      </c>
      <c r="V31" s="9" t="str">
        <f ca="1">IFERROR(__xludf.DUMMYFUNCTION("IFERROR(VALUE(REGEXEXTRACT(TO_TEXT($F31), V$1 &amp; ""x(\d+)"")), """")"),"")</f>
        <v/>
      </c>
      <c r="W31" s="9"/>
      <c r="X31" s="9"/>
      <c r="Y31" s="9"/>
      <c r="Z31" s="9"/>
    </row>
    <row r="32" spans="1:26" ht="15.75" customHeight="1">
      <c r="A32" s="9" t="s">
        <v>1054</v>
      </c>
      <c r="B32" s="9" t="s">
        <v>1055</v>
      </c>
      <c r="C32" s="9" t="s">
        <v>769</v>
      </c>
      <c r="D32" s="9" t="s">
        <v>33</v>
      </c>
      <c r="E32" s="9" t="s">
        <v>11</v>
      </c>
      <c r="F32" s="9" t="s">
        <v>1056</v>
      </c>
      <c r="G32" s="9">
        <v>40</v>
      </c>
      <c r="H32" s="9">
        <v>4</v>
      </c>
      <c r="I32" s="9">
        <v>1.0149999999999999</v>
      </c>
      <c r="J32" s="9">
        <v>100</v>
      </c>
      <c r="K32" s="9" t="s">
        <v>442</v>
      </c>
      <c r="L32" s="9"/>
      <c r="M32" s="9"/>
      <c r="N32" s="9" t="str">
        <f ca="1">IFERROR(__xludf.DUMMYFUNCTION("IFERROR(VALUE(REGEXEXTRACT(TO_TEXT($F32), N$1 &amp; ""x(\d+)"")), """")
"),"")</f>
        <v/>
      </c>
      <c r="O32" s="9">
        <f ca="1">IFERROR(__xludf.DUMMYFUNCTION("IFERROR(VALUE(REGEXEXTRACT(TO_TEXT($F32), O$1 &amp; ""x(\d+)"")), """")"),1)</f>
        <v>1</v>
      </c>
      <c r="P32" s="9" t="str">
        <f ca="1">IFERROR(__xludf.DUMMYFUNCTION("IFERROR(VALUE(REGEXEXTRACT(TO_TEXT($F32), P$1 &amp; ""x(\d+)"")), """")"),"")</f>
        <v/>
      </c>
      <c r="Q32" s="9" t="str">
        <f ca="1">IFERROR(__xludf.DUMMYFUNCTION("IFERROR(VALUE(REGEXEXTRACT(TO_TEXT($F32), Q$1 &amp; ""x(\d+)"")), """")"),"")</f>
        <v/>
      </c>
      <c r="R32" s="9" t="str">
        <f ca="1">IFERROR(__xludf.DUMMYFUNCTION("IFERROR(VALUE(REGEXEXTRACT(TO_TEXT($F32), R$1 &amp; ""x(\d+)"")), """")"),"")</f>
        <v/>
      </c>
      <c r="S32" s="9" t="str">
        <f ca="1">IFERROR(__xludf.DUMMYFUNCTION("IFERROR(VALUE(REGEXEXTRACT(TO_TEXT($F32), S$1 &amp; ""x(\d+)"")), """")"),"")</f>
        <v/>
      </c>
      <c r="T32" s="9" t="str">
        <f ca="1">IFERROR(__xludf.DUMMYFUNCTION("IFERROR(VALUE(REGEXEXTRACT(TO_TEXT($F32), T$1 &amp; ""x(\d+)"")), """")"),"")</f>
        <v/>
      </c>
      <c r="U32" s="9" t="str">
        <f ca="1">IFERROR(__xludf.DUMMYFUNCTION("IFERROR(VALUE(REGEXEXTRACT(TO_TEXT($F32), U$1 &amp; ""x(\d+)"")), """")"),"")</f>
        <v/>
      </c>
      <c r="V32" s="9" t="str">
        <f ca="1">IFERROR(__xludf.DUMMYFUNCTION("IFERROR(VALUE(REGEXEXTRACT(TO_TEXT($F32), V$1 &amp; ""x(\d+)"")), """")"),"")</f>
        <v/>
      </c>
      <c r="W32" s="9"/>
      <c r="X32" s="9"/>
      <c r="Y32" s="9"/>
      <c r="Z32" s="9"/>
    </row>
    <row r="33" spans="1:26" ht="15.75" customHeight="1">
      <c r="A33" s="9" t="s">
        <v>1054</v>
      </c>
      <c r="B33" s="9" t="s">
        <v>1055</v>
      </c>
      <c r="C33" s="9" t="s">
        <v>769</v>
      </c>
      <c r="D33" s="9" t="s">
        <v>33</v>
      </c>
      <c r="E33" s="9" t="s">
        <v>12</v>
      </c>
      <c r="F33" s="9" t="s">
        <v>1057</v>
      </c>
      <c r="G33" s="9">
        <v>110</v>
      </c>
      <c r="H33" s="9">
        <v>4</v>
      </c>
      <c r="I33" s="9">
        <v>1.0149999999999999</v>
      </c>
      <c r="J33" s="9">
        <v>100</v>
      </c>
      <c r="K33" s="9" t="s">
        <v>442</v>
      </c>
      <c r="L33" s="9" t="s">
        <v>1015</v>
      </c>
      <c r="M33" s="9"/>
      <c r="N33" s="9" t="str">
        <f ca="1">IFERROR(__xludf.DUMMYFUNCTION("IFERROR(VALUE(REGEXEXTRACT(TO_TEXT($F33), N$1 &amp; ""x(\d+)"")), """")
"),"")</f>
        <v/>
      </c>
      <c r="O33" s="9">
        <f ca="1">IFERROR(__xludf.DUMMYFUNCTION("IFERROR(VALUE(REGEXEXTRACT(TO_TEXT($F33), O$1 &amp; ""x(\d+)"")), """")"),1)</f>
        <v>1</v>
      </c>
      <c r="P33" s="9" t="str">
        <f ca="1">IFERROR(__xludf.DUMMYFUNCTION("IFERROR(VALUE(REGEXEXTRACT(TO_TEXT($F33), P$1 &amp; ""x(\d+)"")), """")"),"")</f>
        <v/>
      </c>
      <c r="Q33" s="9" t="str">
        <f ca="1">IFERROR(__xludf.DUMMYFUNCTION("IFERROR(VALUE(REGEXEXTRACT(TO_TEXT($F33), Q$1 &amp; ""x(\d+)"")), """")"),"")</f>
        <v/>
      </c>
      <c r="R33" s="9" t="str">
        <f ca="1">IFERROR(__xludf.DUMMYFUNCTION("IFERROR(VALUE(REGEXEXTRACT(TO_TEXT($F33), R$1 &amp; ""x(\d+)"")), """")"),"")</f>
        <v/>
      </c>
      <c r="S33" s="9" t="str">
        <f ca="1">IFERROR(__xludf.DUMMYFUNCTION("IFERROR(VALUE(REGEXEXTRACT(TO_TEXT($F33), S$1 &amp; ""x(\d+)"")), """")"),"")</f>
        <v/>
      </c>
      <c r="T33" s="9" t="str">
        <f ca="1">IFERROR(__xludf.DUMMYFUNCTION("IFERROR(VALUE(REGEXEXTRACT(TO_TEXT($F33), T$1 &amp; ""x(\d+)"")), """")"),"")</f>
        <v/>
      </c>
      <c r="U33" s="9" t="str">
        <f ca="1">IFERROR(__xludf.DUMMYFUNCTION("IFERROR(VALUE(REGEXEXTRACT(TO_TEXT($F33), U$1 &amp; ""x(\d+)"")), """")"),"")</f>
        <v/>
      </c>
      <c r="V33" s="9" t="str">
        <f ca="1">IFERROR(__xludf.DUMMYFUNCTION("IFERROR(VALUE(REGEXEXTRACT(TO_TEXT($F33), V$1 &amp; ""x(\d+)"")), """")"),"")</f>
        <v/>
      </c>
      <c r="W33" s="9"/>
      <c r="X33" s="9"/>
      <c r="Y33" s="9"/>
      <c r="Z33" s="9"/>
    </row>
    <row r="34" spans="1:26" ht="15.75" customHeight="1">
      <c r="A34" s="9" t="s">
        <v>1054</v>
      </c>
      <c r="B34" s="9" t="s">
        <v>1055</v>
      </c>
      <c r="C34" s="9" t="s">
        <v>769</v>
      </c>
      <c r="D34" s="9" t="s">
        <v>33</v>
      </c>
      <c r="E34" s="9" t="s">
        <v>13</v>
      </c>
      <c r="F34" s="9" t="s">
        <v>1058</v>
      </c>
      <c r="G34" s="9">
        <v>15</v>
      </c>
      <c r="H34" s="9">
        <v>4</v>
      </c>
      <c r="I34" s="9">
        <v>1.0149999999999999</v>
      </c>
      <c r="J34" s="9">
        <v>100</v>
      </c>
      <c r="K34" s="9" t="s">
        <v>442</v>
      </c>
      <c r="L34" s="9"/>
      <c r="M34" s="9"/>
      <c r="N34" s="9" t="str">
        <f ca="1">IFERROR(__xludf.DUMMYFUNCTION("IFERROR(VALUE(REGEXEXTRACT(TO_TEXT($F34), N$1 &amp; ""x(\d+)"")), """")
"),"")</f>
        <v/>
      </c>
      <c r="O34" s="9">
        <f ca="1">IFERROR(__xludf.DUMMYFUNCTION("IFERROR(VALUE(REGEXEXTRACT(TO_TEXT($F34), O$1 &amp; ""x(\d+)"")), """")"),1)</f>
        <v>1</v>
      </c>
      <c r="P34" s="9" t="str">
        <f ca="1">IFERROR(__xludf.DUMMYFUNCTION("IFERROR(VALUE(REGEXEXTRACT(TO_TEXT($F34), P$1 &amp; ""x(\d+)"")), """")"),"")</f>
        <v/>
      </c>
      <c r="Q34" s="9" t="str">
        <f ca="1">IFERROR(__xludf.DUMMYFUNCTION("IFERROR(VALUE(REGEXEXTRACT(TO_TEXT($F34), Q$1 &amp; ""x(\d+)"")), """")"),"")</f>
        <v/>
      </c>
      <c r="R34" s="9" t="str">
        <f ca="1">IFERROR(__xludf.DUMMYFUNCTION("IFERROR(VALUE(REGEXEXTRACT(TO_TEXT($F34), R$1 &amp; ""x(\d+)"")), """")"),"")</f>
        <v/>
      </c>
      <c r="S34" s="9" t="str">
        <f ca="1">IFERROR(__xludf.DUMMYFUNCTION("IFERROR(VALUE(REGEXEXTRACT(TO_TEXT($F34), S$1 &amp; ""x(\d+)"")), """")"),"")</f>
        <v/>
      </c>
      <c r="T34" s="9" t="str">
        <f ca="1">IFERROR(__xludf.DUMMYFUNCTION("IFERROR(VALUE(REGEXEXTRACT(TO_TEXT($F34), T$1 &amp; ""x(\d+)"")), """")"),"")</f>
        <v/>
      </c>
      <c r="U34" s="9" t="str">
        <f ca="1">IFERROR(__xludf.DUMMYFUNCTION("IFERROR(VALUE(REGEXEXTRACT(TO_TEXT($F34), U$1 &amp; ""x(\d+)"")), """")"),"")</f>
        <v/>
      </c>
      <c r="V34" s="9" t="str">
        <f ca="1">IFERROR(__xludf.DUMMYFUNCTION("IFERROR(VALUE(REGEXEXTRACT(TO_TEXT($F34), V$1 &amp; ""x(\d+)"")), """")"),"")</f>
        <v/>
      </c>
      <c r="W34" s="9"/>
      <c r="X34" s="9"/>
      <c r="Y34" s="9"/>
      <c r="Z34" s="9"/>
    </row>
    <row r="35" spans="1:26" ht="15.75" hidden="1" customHeight="1">
      <c r="A35" s="9" t="s">
        <v>160</v>
      </c>
      <c r="B35" s="9" t="s">
        <v>1059</v>
      </c>
      <c r="C35" s="9" t="s">
        <v>161</v>
      </c>
      <c r="D35" s="9" t="s">
        <v>48</v>
      </c>
      <c r="E35" s="9" t="s">
        <v>11</v>
      </c>
      <c r="F35" s="9" t="s">
        <v>1060</v>
      </c>
      <c r="G35" s="9">
        <v>90</v>
      </c>
      <c r="H35" s="9">
        <v>3</v>
      </c>
      <c r="I35" s="9">
        <v>1.0149999999999999</v>
      </c>
      <c r="J35" s="9">
        <v>51.5</v>
      </c>
      <c r="K35" s="9" t="s">
        <v>424</v>
      </c>
      <c r="L35" s="9"/>
      <c r="M35" s="9"/>
      <c r="N35" s="9">
        <f ca="1">IFERROR(__xludf.DUMMYFUNCTION("IFERROR(VALUE(REGEXEXTRACT(TO_TEXT($F35), N$1 &amp; ""x(\d+)"")), """")
"),1)</f>
        <v>1</v>
      </c>
      <c r="O35" s="9">
        <f ca="1">IFERROR(__xludf.DUMMYFUNCTION("IFERROR(VALUE(REGEXEXTRACT(TO_TEXT($F35), O$1 &amp; ""x(\d+)"")), """")"),1)</f>
        <v>1</v>
      </c>
      <c r="P35" s="9" t="str">
        <f ca="1">IFERROR(__xludf.DUMMYFUNCTION("IFERROR(VALUE(REGEXEXTRACT(TO_TEXT($F35), P$1 &amp; ""x(\d+)"")), """")"),"")</f>
        <v/>
      </c>
      <c r="Q35" s="9" t="str">
        <f ca="1">IFERROR(__xludf.DUMMYFUNCTION("IFERROR(VALUE(REGEXEXTRACT(TO_TEXT($F35), Q$1 &amp; ""x(\d+)"")), """")"),"")</f>
        <v/>
      </c>
      <c r="R35" s="9" t="str">
        <f ca="1">IFERROR(__xludf.DUMMYFUNCTION("IFERROR(VALUE(REGEXEXTRACT(TO_TEXT($F35), R$1 &amp; ""x(\d+)"")), """")"),"")</f>
        <v/>
      </c>
      <c r="S35" s="9" t="str">
        <f ca="1">IFERROR(__xludf.DUMMYFUNCTION("IFERROR(VALUE(REGEXEXTRACT(TO_TEXT($F35), S$1 &amp; ""x(\d+)"")), """")"),"")</f>
        <v/>
      </c>
      <c r="T35" s="9" t="str">
        <f ca="1">IFERROR(__xludf.DUMMYFUNCTION("IFERROR(VALUE(REGEXEXTRACT(TO_TEXT($F35), T$1 &amp; ""x(\d+)"")), """")"),"")</f>
        <v/>
      </c>
      <c r="U35" s="9" t="str">
        <f ca="1">IFERROR(__xludf.DUMMYFUNCTION("IFERROR(VALUE(REGEXEXTRACT(TO_TEXT($F35), U$1 &amp; ""x(\d+)"")), """")"),"")</f>
        <v/>
      </c>
      <c r="V35" s="9">
        <f ca="1">IFERROR(__xludf.DUMMYFUNCTION("IFERROR(VALUE(REGEXEXTRACT(TO_TEXT($F35), V$1 &amp; ""x(\d+)"")), """")"),1)</f>
        <v>1</v>
      </c>
      <c r="W35" s="9"/>
      <c r="X35" s="9"/>
      <c r="Y35" s="9"/>
      <c r="Z35" s="9"/>
    </row>
    <row r="36" spans="1:26" ht="15.75" hidden="1" customHeight="1">
      <c r="A36" s="9" t="s">
        <v>160</v>
      </c>
      <c r="B36" s="9" t="s">
        <v>1059</v>
      </c>
      <c r="C36" s="9" t="s">
        <v>161</v>
      </c>
      <c r="D36" s="9" t="s">
        <v>48</v>
      </c>
      <c r="E36" s="9" t="s">
        <v>12</v>
      </c>
      <c r="F36" s="9" t="s">
        <v>1061</v>
      </c>
      <c r="G36" s="9">
        <v>150</v>
      </c>
      <c r="H36" s="9">
        <v>3</v>
      </c>
      <c r="I36" s="9">
        <v>1.0149999999999999</v>
      </c>
      <c r="J36" s="9">
        <v>51.5</v>
      </c>
      <c r="K36" s="9" t="s">
        <v>424</v>
      </c>
      <c r="L36" s="9" t="s">
        <v>1062</v>
      </c>
      <c r="M36" s="9"/>
      <c r="N36" s="9" t="str">
        <f ca="1">IFERROR(__xludf.DUMMYFUNCTION("IFERROR(VALUE(REGEXEXTRACT(TO_TEXT($F36), N$1 &amp; ""x(\d+)"")), """")
"),"")</f>
        <v/>
      </c>
      <c r="O36" s="9">
        <f ca="1">IFERROR(__xludf.DUMMYFUNCTION("IFERROR(VALUE(REGEXEXTRACT(TO_TEXT($F36), O$1 &amp; ""x(\d+)"")), """")"),1)</f>
        <v>1</v>
      </c>
      <c r="P36" s="9">
        <f ca="1">IFERROR(__xludf.DUMMYFUNCTION("IFERROR(VALUE(REGEXEXTRACT(TO_TEXT($F36), P$1 &amp; ""x(\d+)"")), """")"),1)</f>
        <v>1</v>
      </c>
      <c r="Q36" s="9" t="str">
        <f ca="1">IFERROR(__xludf.DUMMYFUNCTION("IFERROR(VALUE(REGEXEXTRACT(TO_TEXT($F36), Q$1 &amp; ""x(\d+)"")), """")"),"")</f>
        <v/>
      </c>
      <c r="R36" s="9" t="str">
        <f ca="1">IFERROR(__xludf.DUMMYFUNCTION("IFERROR(VALUE(REGEXEXTRACT(TO_TEXT($F36), R$1 &amp; ""x(\d+)"")), """")"),"")</f>
        <v/>
      </c>
      <c r="S36" s="9" t="str">
        <f ca="1">IFERROR(__xludf.DUMMYFUNCTION("IFERROR(VALUE(REGEXEXTRACT(TO_TEXT($F36), S$1 &amp; ""x(\d+)"")), """")"),"")</f>
        <v/>
      </c>
      <c r="T36" s="9" t="str">
        <f ca="1">IFERROR(__xludf.DUMMYFUNCTION("IFERROR(VALUE(REGEXEXTRACT(TO_TEXT($F36), T$1 &amp; ""x(\d+)"")), """")"),"")</f>
        <v/>
      </c>
      <c r="U36" s="9" t="str">
        <f ca="1">IFERROR(__xludf.DUMMYFUNCTION("IFERROR(VALUE(REGEXEXTRACT(TO_TEXT($F36), U$1 &amp; ""x(\d+)"")), """")"),"")</f>
        <v/>
      </c>
      <c r="V36" s="9" t="str">
        <f ca="1">IFERROR(__xludf.DUMMYFUNCTION("IFERROR(VALUE(REGEXEXTRACT(TO_TEXT($F36), V$1 &amp; ""x(\d+)"")), """")"),"")</f>
        <v/>
      </c>
      <c r="W36" s="9"/>
      <c r="X36" s="9"/>
      <c r="Y36" s="9"/>
      <c r="Z36" s="9"/>
    </row>
    <row r="37" spans="1:26" ht="15.75" hidden="1" customHeight="1">
      <c r="A37" s="9" t="s">
        <v>160</v>
      </c>
      <c r="B37" s="9" t="s">
        <v>1059</v>
      </c>
      <c r="C37" s="9" t="s">
        <v>161</v>
      </c>
      <c r="D37" s="9" t="s">
        <v>48</v>
      </c>
      <c r="E37" s="9" t="s">
        <v>13</v>
      </c>
      <c r="F37" s="9" t="s">
        <v>1063</v>
      </c>
      <c r="G37" s="9">
        <v>90</v>
      </c>
      <c r="H37" s="9">
        <v>3</v>
      </c>
      <c r="I37" s="9">
        <v>1.0149999999999999</v>
      </c>
      <c r="J37" s="9">
        <v>51.5</v>
      </c>
      <c r="K37" s="9" t="s">
        <v>424</v>
      </c>
      <c r="L37" s="9"/>
      <c r="M37" s="9"/>
      <c r="N37" s="9" t="str">
        <f ca="1">IFERROR(__xludf.DUMMYFUNCTION("IFERROR(VALUE(REGEXEXTRACT(TO_TEXT($F37), N$1 &amp; ""x(\d+)"")), """")
"),"")</f>
        <v/>
      </c>
      <c r="O37" s="9">
        <f ca="1">IFERROR(__xludf.DUMMYFUNCTION("IFERROR(VALUE(REGEXEXTRACT(TO_TEXT($F37), O$1 &amp; ""x(\d+)"")), """")"),1)</f>
        <v>1</v>
      </c>
      <c r="P37" s="9">
        <f ca="1">IFERROR(__xludf.DUMMYFUNCTION("IFERROR(VALUE(REGEXEXTRACT(TO_TEXT($F37), P$1 &amp; ""x(\d+)"")), """")"),1)</f>
        <v>1</v>
      </c>
      <c r="Q37" s="9" t="str">
        <f ca="1">IFERROR(__xludf.DUMMYFUNCTION("IFERROR(VALUE(REGEXEXTRACT(TO_TEXT($F37), Q$1 &amp; ""x(\d+)"")), """")"),"")</f>
        <v/>
      </c>
      <c r="R37" s="9" t="str">
        <f ca="1">IFERROR(__xludf.DUMMYFUNCTION("IFERROR(VALUE(REGEXEXTRACT(TO_TEXT($F37), R$1 &amp; ""x(\d+)"")), """")"),"")</f>
        <v/>
      </c>
      <c r="S37" s="9" t="str">
        <f ca="1">IFERROR(__xludf.DUMMYFUNCTION("IFERROR(VALUE(REGEXEXTRACT(TO_TEXT($F37), S$1 &amp; ""x(\d+)"")), """")"),"")</f>
        <v/>
      </c>
      <c r="T37" s="9" t="str">
        <f ca="1">IFERROR(__xludf.DUMMYFUNCTION("IFERROR(VALUE(REGEXEXTRACT(TO_TEXT($F37), T$1 &amp; ""x(\d+)"")), """")"),"")</f>
        <v/>
      </c>
      <c r="U37" s="9" t="str">
        <f ca="1">IFERROR(__xludf.DUMMYFUNCTION("IFERROR(VALUE(REGEXEXTRACT(TO_TEXT($F37), U$1 &amp; ""x(\d+)"")), """")"),"")</f>
        <v/>
      </c>
      <c r="V37" s="9" t="str">
        <f ca="1">IFERROR(__xludf.DUMMYFUNCTION("IFERROR(VALUE(REGEXEXTRACT(TO_TEXT($F37), V$1 &amp; ""x(\d+)"")), """")"),"")</f>
        <v/>
      </c>
      <c r="W37" s="9"/>
      <c r="X37" s="9"/>
      <c r="Y37" s="9"/>
      <c r="Z37" s="9"/>
    </row>
    <row r="38" spans="1:26" ht="15.75" customHeight="1">
      <c r="A38" s="9" t="s">
        <v>195</v>
      </c>
      <c r="B38" s="9" t="s">
        <v>1064</v>
      </c>
      <c r="C38" s="9" t="s">
        <v>196</v>
      </c>
      <c r="D38" s="9" t="s">
        <v>33</v>
      </c>
      <c r="E38" s="9" t="s">
        <v>11</v>
      </c>
      <c r="F38" s="9" t="s">
        <v>1065</v>
      </c>
      <c r="G38" s="9">
        <v>20</v>
      </c>
      <c r="H38" s="9">
        <v>4</v>
      </c>
      <c r="I38" s="9">
        <v>1.0149999999999999</v>
      </c>
      <c r="J38" s="9">
        <v>82.5</v>
      </c>
      <c r="K38" s="9" t="s">
        <v>442</v>
      </c>
      <c r="L38" s="9"/>
      <c r="M38" s="9"/>
      <c r="N38" s="9" t="str">
        <f ca="1">IFERROR(__xludf.DUMMYFUNCTION("IFERROR(VALUE(REGEXEXTRACT(TO_TEXT($F38), N$1 &amp; ""x(\d+)"")), """")
"),"")</f>
        <v/>
      </c>
      <c r="O38" s="9">
        <f ca="1">IFERROR(__xludf.DUMMYFUNCTION("IFERROR(VALUE(REGEXEXTRACT(TO_TEXT($F38), O$1 &amp; ""x(\d+)"")), """")"),1)</f>
        <v>1</v>
      </c>
      <c r="P38" s="9" t="str">
        <f ca="1">IFERROR(__xludf.DUMMYFUNCTION("IFERROR(VALUE(REGEXEXTRACT(TO_TEXT($F38), P$1 &amp; ""x(\d+)"")), """")"),"")</f>
        <v/>
      </c>
      <c r="Q38" s="9" t="str">
        <f ca="1">IFERROR(__xludf.DUMMYFUNCTION("IFERROR(VALUE(REGEXEXTRACT(TO_TEXT($F38), Q$1 &amp; ""x(\d+)"")), """")"),"")</f>
        <v/>
      </c>
      <c r="R38" s="9" t="str">
        <f ca="1">IFERROR(__xludf.DUMMYFUNCTION("IFERROR(VALUE(REGEXEXTRACT(TO_TEXT($F38), R$1 &amp; ""x(\d+)"")), """")"),"")</f>
        <v/>
      </c>
      <c r="S38" s="9" t="str">
        <f ca="1">IFERROR(__xludf.DUMMYFUNCTION("IFERROR(VALUE(REGEXEXTRACT(TO_TEXT($F38), S$1 &amp; ""x(\d+)"")), """")"),"")</f>
        <v/>
      </c>
      <c r="T38" s="9" t="str">
        <f ca="1">IFERROR(__xludf.DUMMYFUNCTION("IFERROR(VALUE(REGEXEXTRACT(TO_TEXT($F38), T$1 &amp; ""x(\d+)"")), """")"),"")</f>
        <v/>
      </c>
      <c r="U38" s="9" t="str">
        <f ca="1">IFERROR(__xludf.DUMMYFUNCTION("IFERROR(VALUE(REGEXEXTRACT(TO_TEXT($F38), U$1 &amp; ""x(\d+)"")), """")"),"")</f>
        <v/>
      </c>
      <c r="V38" s="9" t="str">
        <f ca="1">IFERROR(__xludf.DUMMYFUNCTION("IFERROR(VALUE(REGEXEXTRACT(TO_TEXT($F38), V$1 &amp; ""x(\d+)"")), """")"),"")</f>
        <v/>
      </c>
      <c r="W38" s="9"/>
      <c r="X38" s="9"/>
      <c r="Y38" s="9"/>
      <c r="Z38" s="9"/>
    </row>
    <row r="39" spans="1:26" ht="15.75" customHeight="1">
      <c r="A39" s="9" t="s">
        <v>195</v>
      </c>
      <c r="B39" s="9" t="s">
        <v>1064</v>
      </c>
      <c r="C39" s="9" t="s">
        <v>196</v>
      </c>
      <c r="D39" s="9" t="s">
        <v>33</v>
      </c>
      <c r="E39" s="9" t="s">
        <v>12</v>
      </c>
      <c r="F39" s="9" t="s">
        <v>1066</v>
      </c>
      <c r="G39" s="9">
        <v>105</v>
      </c>
      <c r="H39" s="9">
        <v>4</v>
      </c>
      <c r="I39" s="9">
        <v>1.0149999999999999</v>
      </c>
      <c r="J39" s="9">
        <v>82.5</v>
      </c>
      <c r="K39" s="9" t="s">
        <v>442</v>
      </c>
      <c r="L39" s="9"/>
      <c r="M39" s="9"/>
      <c r="N39" s="9" t="str">
        <f ca="1">IFERROR(__xludf.DUMMYFUNCTION("IFERROR(VALUE(REGEXEXTRACT(TO_TEXT($F39), N$1 &amp; ""x(\d+)"")), """")
"),"")</f>
        <v/>
      </c>
      <c r="O39" s="9">
        <f ca="1">IFERROR(__xludf.DUMMYFUNCTION("IFERROR(VALUE(REGEXEXTRACT(TO_TEXT($F39), O$1 &amp; ""x(\d+)"")), """")"),1)</f>
        <v>1</v>
      </c>
      <c r="P39" s="9" t="str">
        <f ca="1">IFERROR(__xludf.DUMMYFUNCTION("IFERROR(VALUE(REGEXEXTRACT(TO_TEXT($F39), P$1 &amp; ""x(\d+)"")), """")"),"")</f>
        <v/>
      </c>
      <c r="Q39" s="9" t="str">
        <f ca="1">IFERROR(__xludf.DUMMYFUNCTION("IFERROR(VALUE(REGEXEXTRACT(TO_TEXT($F39), Q$1 &amp; ""x(\d+)"")), """")"),"")</f>
        <v/>
      </c>
      <c r="R39" s="9" t="str">
        <f ca="1">IFERROR(__xludf.DUMMYFUNCTION("IFERROR(VALUE(REGEXEXTRACT(TO_TEXT($F39), R$1 &amp; ""x(\d+)"")), """")"),"")</f>
        <v/>
      </c>
      <c r="S39" s="9" t="str">
        <f ca="1">IFERROR(__xludf.DUMMYFUNCTION("IFERROR(VALUE(REGEXEXTRACT(TO_TEXT($F39), S$1 &amp; ""x(\d+)"")), """")"),"")</f>
        <v/>
      </c>
      <c r="T39" s="9" t="str">
        <f ca="1">IFERROR(__xludf.DUMMYFUNCTION("IFERROR(VALUE(REGEXEXTRACT(TO_TEXT($F39), T$1 &amp; ""x(\d+)"")), """")"),"")</f>
        <v/>
      </c>
      <c r="U39" s="9" t="str">
        <f ca="1">IFERROR(__xludf.DUMMYFUNCTION("IFERROR(VALUE(REGEXEXTRACT(TO_TEXT($F39), U$1 &amp; ""x(\d+)"")), """")"),"")</f>
        <v/>
      </c>
      <c r="V39" s="9" t="str">
        <f ca="1">IFERROR(__xludf.DUMMYFUNCTION("IFERROR(VALUE(REGEXEXTRACT(TO_TEXT($F39), V$1 &amp; ""x(\d+)"")), """")"),"")</f>
        <v/>
      </c>
      <c r="W39" s="9"/>
      <c r="X39" s="9"/>
      <c r="Y39" s="9"/>
      <c r="Z39" s="9"/>
    </row>
    <row r="40" spans="1:26" ht="15.75" customHeight="1">
      <c r="A40" s="9" t="s">
        <v>195</v>
      </c>
      <c r="B40" s="9" t="s">
        <v>1064</v>
      </c>
      <c r="C40" s="9" t="s">
        <v>196</v>
      </c>
      <c r="D40" s="9" t="s">
        <v>33</v>
      </c>
      <c r="E40" s="9" t="s">
        <v>13</v>
      </c>
      <c r="F40" s="9" t="s">
        <v>1058</v>
      </c>
      <c r="G40" s="9">
        <v>15</v>
      </c>
      <c r="H40" s="9">
        <v>4</v>
      </c>
      <c r="I40" s="9">
        <v>1.0149999999999999</v>
      </c>
      <c r="J40" s="9">
        <v>82.5</v>
      </c>
      <c r="K40" s="9" t="s">
        <v>442</v>
      </c>
      <c r="L40" s="9"/>
      <c r="M40" s="9"/>
      <c r="N40" s="9" t="str">
        <f ca="1">IFERROR(__xludf.DUMMYFUNCTION("IFERROR(VALUE(REGEXEXTRACT(TO_TEXT($F40), N$1 &amp; ""x(\d+)"")), """")
"),"")</f>
        <v/>
      </c>
      <c r="O40" s="9">
        <f ca="1">IFERROR(__xludf.DUMMYFUNCTION("IFERROR(VALUE(REGEXEXTRACT(TO_TEXT($F40), O$1 &amp; ""x(\d+)"")), """")"),1)</f>
        <v>1</v>
      </c>
      <c r="P40" s="9" t="str">
        <f ca="1">IFERROR(__xludf.DUMMYFUNCTION("IFERROR(VALUE(REGEXEXTRACT(TO_TEXT($F40), P$1 &amp; ""x(\d+)"")), """")"),"")</f>
        <v/>
      </c>
      <c r="Q40" s="9" t="str">
        <f ca="1">IFERROR(__xludf.DUMMYFUNCTION("IFERROR(VALUE(REGEXEXTRACT(TO_TEXT($F40), Q$1 &amp; ""x(\d+)"")), """")"),"")</f>
        <v/>
      </c>
      <c r="R40" s="9" t="str">
        <f ca="1">IFERROR(__xludf.DUMMYFUNCTION("IFERROR(VALUE(REGEXEXTRACT(TO_TEXT($F40), R$1 &amp; ""x(\d+)"")), """")"),"")</f>
        <v/>
      </c>
      <c r="S40" s="9" t="str">
        <f ca="1">IFERROR(__xludf.DUMMYFUNCTION("IFERROR(VALUE(REGEXEXTRACT(TO_TEXT($F40), S$1 &amp; ""x(\d+)"")), """")"),"")</f>
        <v/>
      </c>
      <c r="T40" s="9" t="str">
        <f ca="1">IFERROR(__xludf.DUMMYFUNCTION("IFERROR(VALUE(REGEXEXTRACT(TO_TEXT($F40), T$1 &amp; ""x(\d+)"")), """")"),"")</f>
        <v/>
      </c>
      <c r="U40" s="9" t="str">
        <f ca="1">IFERROR(__xludf.DUMMYFUNCTION("IFERROR(VALUE(REGEXEXTRACT(TO_TEXT($F40), U$1 &amp; ""x(\d+)"")), """")"),"")</f>
        <v/>
      </c>
      <c r="V40" s="9" t="str">
        <f ca="1">IFERROR(__xludf.DUMMYFUNCTION("IFERROR(VALUE(REGEXEXTRACT(TO_TEXT($F40), V$1 &amp; ""x(\d+)"")), """")"),"")</f>
        <v/>
      </c>
      <c r="W40" s="9"/>
      <c r="X40" s="9"/>
      <c r="Y40" s="9"/>
      <c r="Z40" s="9"/>
    </row>
    <row r="41" spans="1:26" ht="15.75" customHeight="1">
      <c r="A41" s="9" t="s">
        <v>1067</v>
      </c>
      <c r="B41" s="9" t="s">
        <v>1068</v>
      </c>
      <c r="C41" s="9" t="s">
        <v>765</v>
      </c>
      <c r="D41" s="9" t="s">
        <v>33</v>
      </c>
      <c r="E41" s="9" t="s">
        <v>11</v>
      </c>
      <c r="F41" s="9" t="s">
        <v>1069</v>
      </c>
      <c r="G41" s="9">
        <v>10</v>
      </c>
      <c r="H41" s="9">
        <v>3</v>
      </c>
      <c r="I41" s="9">
        <v>1.0149999999999999</v>
      </c>
      <c r="J41" s="9">
        <v>82.5</v>
      </c>
      <c r="K41" s="9" t="s">
        <v>442</v>
      </c>
      <c r="L41" s="9"/>
      <c r="M41" s="9"/>
      <c r="N41" s="9" t="str">
        <f ca="1">IFERROR(__xludf.DUMMYFUNCTION("IFERROR(VALUE(REGEXEXTRACT(TO_TEXT($F41), N$1 &amp; ""x(\d+)"")), """")
"),"")</f>
        <v/>
      </c>
      <c r="O41" s="9">
        <f ca="1">IFERROR(__xludf.DUMMYFUNCTION("IFERROR(VALUE(REGEXEXTRACT(TO_TEXT($F41), O$1 &amp; ""x(\d+)"")), """")"),1)</f>
        <v>1</v>
      </c>
      <c r="P41" s="9" t="str">
        <f ca="1">IFERROR(__xludf.DUMMYFUNCTION("IFERROR(VALUE(REGEXEXTRACT(TO_TEXT($F41), P$1 &amp; ""x(\d+)"")), """")"),"")</f>
        <v/>
      </c>
      <c r="Q41" s="9" t="str">
        <f ca="1">IFERROR(__xludf.DUMMYFUNCTION("IFERROR(VALUE(REGEXEXTRACT(TO_TEXT($F41), Q$1 &amp; ""x(\d+)"")), """")"),"")</f>
        <v/>
      </c>
      <c r="R41" s="9" t="str">
        <f ca="1">IFERROR(__xludf.DUMMYFUNCTION("IFERROR(VALUE(REGEXEXTRACT(TO_TEXT($F41), R$1 &amp; ""x(\d+)"")), """")"),"")</f>
        <v/>
      </c>
      <c r="S41" s="9" t="str">
        <f ca="1">IFERROR(__xludf.DUMMYFUNCTION("IFERROR(VALUE(REGEXEXTRACT(TO_TEXT($F41), S$1 &amp; ""x(\d+)"")), """")"),"")</f>
        <v/>
      </c>
      <c r="T41" s="9" t="str">
        <f ca="1">IFERROR(__xludf.DUMMYFUNCTION("IFERROR(VALUE(REGEXEXTRACT(TO_TEXT($F41), T$1 &amp; ""x(\d+)"")), """")"),"")</f>
        <v/>
      </c>
      <c r="U41" s="9" t="str">
        <f ca="1">IFERROR(__xludf.DUMMYFUNCTION("IFERROR(VALUE(REGEXEXTRACT(TO_TEXT($F41), U$1 &amp; ""x(\d+)"")), """")"),"")</f>
        <v/>
      </c>
      <c r="V41" s="9" t="str">
        <f ca="1">IFERROR(__xludf.DUMMYFUNCTION("IFERROR(VALUE(REGEXEXTRACT(TO_TEXT($F41), V$1 &amp; ""x(\d+)"")), """")"),"")</f>
        <v/>
      </c>
      <c r="W41" s="9"/>
      <c r="X41" s="9"/>
      <c r="Y41" s="9"/>
      <c r="Z41" s="9"/>
    </row>
    <row r="42" spans="1:26" ht="15.75" customHeight="1">
      <c r="A42" s="9" t="s">
        <v>1067</v>
      </c>
      <c r="B42" s="9" t="s">
        <v>1068</v>
      </c>
      <c r="C42" s="9" t="s">
        <v>765</v>
      </c>
      <c r="D42" s="9" t="s">
        <v>33</v>
      </c>
      <c r="E42" s="9" t="s">
        <v>12</v>
      </c>
      <c r="F42" s="9" t="s">
        <v>1070</v>
      </c>
      <c r="G42" s="9">
        <v>113</v>
      </c>
      <c r="H42" s="9">
        <v>3</v>
      </c>
      <c r="I42" s="9">
        <v>1.0149999999999999</v>
      </c>
      <c r="J42" s="9">
        <v>82.5</v>
      </c>
      <c r="K42" s="9" t="s">
        <v>442</v>
      </c>
      <c r="L42" s="9"/>
      <c r="M42" s="9"/>
      <c r="N42" s="9" t="str">
        <f ca="1">IFERROR(__xludf.DUMMYFUNCTION("IFERROR(VALUE(REGEXEXTRACT(TO_TEXT($F42), N$1 &amp; ""x(\d+)"")), """")
"),"")</f>
        <v/>
      </c>
      <c r="O42" s="9">
        <f ca="1">IFERROR(__xludf.DUMMYFUNCTION("IFERROR(VALUE(REGEXEXTRACT(TO_TEXT($F42), O$1 &amp; ""x(\d+)"")), """")"),1)</f>
        <v>1</v>
      </c>
      <c r="P42" s="9" t="str">
        <f ca="1">IFERROR(__xludf.DUMMYFUNCTION("IFERROR(VALUE(REGEXEXTRACT(TO_TEXT($F42), P$1 &amp; ""x(\d+)"")), """")"),"")</f>
        <v/>
      </c>
      <c r="Q42" s="9" t="str">
        <f ca="1">IFERROR(__xludf.DUMMYFUNCTION("IFERROR(VALUE(REGEXEXTRACT(TO_TEXT($F42), Q$1 &amp; ""x(\d+)"")), """")"),"")</f>
        <v/>
      </c>
      <c r="R42" s="9" t="str">
        <f ca="1">IFERROR(__xludf.DUMMYFUNCTION("IFERROR(VALUE(REGEXEXTRACT(TO_TEXT($F42), R$1 &amp; ""x(\d+)"")), """")"),"")</f>
        <v/>
      </c>
      <c r="S42" s="9" t="str">
        <f ca="1">IFERROR(__xludf.DUMMYFUNCTION("IFERROR(VALUE(REGEXEXTRACT(TO_TEXT($F42), S$1 &amp; ""x(\d+)"")), """")"),"")</f>
        <v/>
      </c>
      <c r="T42" s="9" t="str">
        <f ca="1">IFERROR(__xludf.DUMMYFUNCTION("IFERROR(VALUE(REGEXEXTRACT(TO_TEXT($F42), T$1 &amp; ""x(\d+)"")), """")"),"")</f>
        <v/>
      </c>
      <c r="U42" s="9" t="str">
        <f ca="1">IFERROR(__xludf.DUMMYFUNCTION("IFERROR(VALUE(REGEXEXTRACT(TO_TEXT($F42), U$1 &amp; ""x(\d+)"")), """")"),"")</f>
        <v/>
      </c>
      <c r="V42" s="9" t="str">
        <f ca="1">IFERROR(__xludf.DUMMYFUNCTION("IFERROR(VALUE(REGEXEXTRACT(TO_TEXT($F42), V$1 &amp; ""x(\d+)"")), """")"),"")</f>
        <v/>
      </c>
      <c r="W42" s="9"/>
      <c r="X42" s="9"/>
      <c r="Y42" s="9"/>
      <c r="Z42" s="9"/>
    </row>
    <row r="43" spans="1:26" ht="15.75" customHeight="1">
      <c r="A43" s="9" t="s">
        <v>1067</v>
      </c>
      <c r="B43" s="9" t="s">
        <v>1068</v>
      </c>
      <c r="C43" s="9" t="s">
        <v>765</v>
      </c>
      <c r="D43" s="9" t="s">
        <v>33</v>
      </c>
      <c r="E43" s="9" t="s">
        <v>13</v>
      </c>
      <c r="F43" s="9" t="s">
        <v>1071</v>
      </c>
      <c r="G43" s="9">
        <v>15</v>
      </c>
      <c r="H43" s="9">
        <v>3</v>
      </c>
      <c r="I43" s="9">
        <v>1.0149999999999999</v>
      </c>
      <c r="J43" s="9">
        <v>82.5</v>
      </c>
      <c r="K43" s="9" t="s">
        <v>442</v>
      </c>
      <c r="L43" s="9"/>
      <c r="M43" s="9"/>
      <c r="N43" s="9" t="str">
        <f ca="1">IFERROR(__xludf.DUMMYFUNCTION("IFERROR(VALUE(REGEXEXTRACT(TO_TEXT($F43), N$1 &amp; ""x(\d+)"")), """")
"),"")</f>
        <v/>
      </c>
      <c r="O43" s="9">
        <f ca="1">IFERROR(__xludf.DUMMYFUNCTION("IFERROR(VALUE(REGEXEXTRACT(TO_TEXT($F43), O$1 &amp; ""x(\d+)"")), """")"),1)</f>
        <v>1</v>
      </c>
      <c r="P43" s="9" t="str">
        <f ca="1">IFERROR(__xludf.DUMMYFUNCTION("IFERROR(VALUE(REGEXEXTRACT(TO_TEXT($F43), P$1 &amp; ""x(\d+)"")), """")"),"")</f>
        <v/>
      </c>
      <c r="Q43" s="9" t="str">
        <f ca="1">IFERROR(__xludf.DUMMYFUNCTION("IFERROR(VALUE(REGEXEXTRACT(TO_TEXT($F43), Q$1 &amp; ""x(\d+)"")), """")"),"")</f>
        <v/>
      </c>
      <c r="R43" s="9" t="str">
        <f ca="1">IFERROR(__xludf.DUMMYFUNCTION("IFERROR(VALUE(REGEXEXTRACT(TO_TEXT($F43), R$1 &amp; ""x(\d+)"")), """")"),"")</f>
        <v/>
      </c>
      <c r="S43" s="9" t="str">
        <f ca="1">IFERROR(__xludf.DUMMYFUNCTION("IFERROR(VALUE(REGEXEXTRACT(TO_TEXT($F43), S$1 &amp; ""x(\d+)"")), """")"),"")</f>
        <v/>
      </c>
      <c r="T43" s="9" t="str">
        <f ca="1">IFERROR(__xludf.DUMMYFUNCTION("IFERROR(VALUE(REGEXEXTRACT(TO_TEXT($F43), T$1 &amp; ""x(\d+)"")), """")"),"")</f>
        <v/>
      </c>
      <c r="U43" s="9" t="str">
        <f ca="1">IFERROR(__xludf.DUMMYFUNCTION("IFERROR(VALUE(REGEXEXTRACT(TO_TEXT($F43), U$1 &amp; ""x(\d+)"")), """")"),"")</f>
        <v/>
      </c>
      <c r="V43" s="9" t="str">
        <f ca="1">IFERROR(__xludf.DUMMYFUNCTION("IFERROR(VALUE(REGEXEXTRACT(TO_TEXT($F43), V$1 &amp; ""x(\d+)"")), """")"),"")</f>
        <v/>
      </c>
      <c r="W43" s="9"/>
      <c r="X43" s="9"/>
      <c r="Y43" s="9"/>
      <c r="Z43" s="9"/>
    </row>
    <row r="44" spans="1:26" ht="15.75" customHeight="1">
      <c r="A44" s="9" t="s">
        <v>1072</v>
      </c>
      <c r="B44" s="9" t="s">
        <v>1073</v>
      </c>
      <c r="C44" s="9" t="s">
        <v>496</v>
      </c>
      <c r="D44" s="9" t="s">
        <v>33</v>
      </c>
      <c r="E44" s="9" t="s">
        <v>11</v>
      </c>
      <c r="F44" s="9" t="s">
        <v>1074</v>
      </c>
      <c r="G44" s="9">
        <v>25</v>
      </c>
      <c r="H44" s="9">
        <v>8</v>
      </c>
      <c r="I44" s="9">
        <v>1.0149999999999999</v>
      </c>
      <c r="J44" s="9">
        <v>100</v>
      </c>
      <c r="K44" s="9" t="s">
        <v>442</v>
      </c>
      <c r="L44" s="9"/>
      <c r="M44" s="9"/>
      <c r="N44" s="9" t="str">
        <f ca="1">IFERROR(__xludf.DUMMYFUNCTION("IFERROR(VALUE(REGEXEXTRACT(TO_TEXT($F44), N$1 &amp; ""x(\d+)"")), """")
"),"")</f>
        <v/>
      </c>
      <c r="O44" s="9">
        <f ca="1">IFERROR(__xludf.DUMMYFUNCTION("IFERROR(VALUE(REGEXEXTRACT(TO_TEXT($F44), O$1 &amp; ""x(\d+)"")), """")"),1)</f>
        <v>1</v>
      </c>
      <c r="P44" s="9" t="str">
        <f ca="1">IFERROR(__xludf.DUMMYFUNCTION("IFERROR(VALUE(REGEXEXTRACT(TO_TEXT($F44), P$1 &amp; ""x(\d+)"")), """")"),"")</f>
        <v/>
      </c>
      <c r="Q44" s="9" t="str">
        <f ca="1">IFERROR(__xludf.DUMMYFUNCTION("IFERROR(VALUE(REGEXEXTRACT(TO_TEXT($F44), Q$1 &amp; ""x(\d+)"")), """")"),"")</f>
        <v/>
      </c>
      <c r="R44" s="9" t="str">
        <f ca="1">IFERROR(__xludf.DUMMYFUNCTION("IFERROR(VALUE(REGEXEXTRACT(TO_TEXT($F44), R$1 &amp; ""x(\d+)"")), """")"),"")</f>
        <v/>
      </c>
      <c r="S44" s="9" t="str">
        <f ca="1">IFERROR(__xludf.DUMMYFUNCTION("IFERROR(VALUE(REGEXEXTRACT(TO_TEXT($F44), S$1 &amp; ""x(\d+)"")), """")"),"")</f>
        <v/>
      </c>
      <c r="T44" s="9" t="str">
        <f ca="1">IFERROR(__xludf.DUMMYFUNCTION("IFERROR(VALUE(REGEXEXTRACT(TO_TEXT($F44), T$1 &amp; ""x(\d+)"")), """")"),"")</f>
        <v/>
      </c>
      <c r="U44" s="9" t="str">
        <f ca="1">IFERROR(__xludf.DUMMYFUNCTION("IFERROR(VALUE(REGEXEXTRACT(TO_TEXT($F44), U$1 &amp; ""x(\d+)"")), """")"),"")</f>
        <v/>
      </c>
      <c r="V44" s="9" t="str">
        <f ca="1">IFERROR(__xludf.DUMMYFUNCTION("IFERROR(VALUE(REGEXEXTRACT(TO_TEXT($F44), V$1 &amp; ""x(\d+)"")), """")"),"")</f>
        <v/>
      </c>
      <c r="W44" s="9"/>
      <c r="X44" s="9"/>
      <c r="Y44" s="9"/>
      <c r="Z44" s="9"/>
    </row>
    <row r="45" spans="1:26" ht="15.75" customHeight="1">
      <c r="A45" s="9" t="s">
        <v>1072</v>
      </c>
      <c r="B45" s="9" t="s">
        <v>1073</v>
      </c>
      <c r="C45" s="9" t="s">
        <v>496</v>
      </c>
      <c r="D45" s="9" t="s">
        <v>33</v>
      </c>
      <c r="E45" s="9" t="s">
        <v>12</v>
      </c>
      <c r="F45" s="9" t="s">
        <v>1075</v>
      </c>
      <c r="G45" s="9">
        <v>60</v>
      </c>
      <c r="H45" s="9">
        <v>8</v>
      </c>
      <c r="I45" s="9">
        <v>1.0149999999999999</v>
      </c>
      <c r="J45" s="9">
        <v>100</v>
      </c>
      <c r="K45" s="9" t="s">
        <v>442</v>
      </c>
      <c r="L45" s="9"/>
      <c r="M45" s="9"/>
      <c r="N45" s="9" t="str">
        <f ca="1">IFERROR(__xludf.DUMMYFUNCTION("IFERROR(VALUE(REGEXEXTRACT(TO_TEXT($F45), N$1 &amp; ""x(\d+)"")), """")
"),"")</f>
        <v/>
      </c>
      <c r="O45" s="9">
        <f ca="1">IFERROR(__xludf.DUMMYFUNCTION("IFERROR(VALUE(REGEXEXTRACT(TO_TEXT($F45), O$1 &amp; ""x(\d+)"")), """")"),1)</f>
        <v>1</v>
      </c>
      <c r="P45" s="9" t="str">
        <f ca="1">IFERROR(__xludf.DUMMYFUNCTION("IFERROR(VALUE(REGEXEXTRACT(TO_TEXT($F45), P$1 &amp; ""x(\d+)"")), """")"),"")</f>
        <v/>
      </c>
      <c r="Q45" s="9" t="str">
        <f ca="1">IFERROR(__xludf.DUMMYFUNCTION("IFERROR(VALUE(REGEXEXTRACT(TO_TEXT($F45), Q$1 &amp; ""x(\d+)"")), """")"),"")</f>
        <v/>
      </c>
      <c r="R45" s="9" t="str">
        <f ca="1">IFERROR(__xludf.DUMMYFUNCTION("IFERROR(VALUE(REGEXEXTRACT(TO_TEXT($F45), R$1 &amp; ""x(\d+)"")), """")"),"")</f>
        <v/>
      </c>
      <c r="S45" s="9" t="str">
        <f ca="1">IFERROR(__xludf.DUMMYFUNCTION("IFERROR(VALUE(REGEXEXTRACT(TO_TEXT($F45), S$1 &amp; ""x(\d+)"")), """")"),"")</f>
        <v/>
      </c>
      <c r="T45" s="9" t="str">
        <f ca="1">IFERROR(__xludf.DUMMYFUNCTION("IFERROR(VALUE(REGEXEXTRACT(TO_TEXT($F45), T$1 &amp; ""x(\d+)"")), """")"),"")</f>
        <v/>
      </c>
      <c r="U45" s="9" t="str">
        <f ca="1">IFERROR(__xludf.DUMMYFUNCTION("IFERROR(VALUE(REGEXEXTRACT(TO_TEXT($F45), U$1 &amp; ""x(\d+)"")), """")"),"")</f>
        <v/>
      </c>
      <c r="V45" s="9" t="str">
        <f ca="1">IFERROR(__xludf.DUMMYFUNCTION("IFERROR(VALUE(REGEXEXTRACT(TO_TEXT($F45), V$1 &amp; ""x(\d+)"")), """")"),"")</f>
        <v/>
      </c>
      <c r="W45" s="9"/>
      <c r="X45" s="9"/>
      <c r="Y45" s="9"/>
      <c r="Z45" s="9"/>
    </row>
    <row r="46" spans="1:26" ht="15.75" customHeight="1">
      <c r="A46" s="9" t="s">
        <v>1072</v>
      </c>
      <c r="B46" s="9" t="s">
        <v>1073</v>
      </c>
      <c r="C46" s="9" t="s">
        <v>496</v>
      </c>
      <c r="D46" s="9" t="s">
        <v>33</v>
      </c>
      <c r="E46" s="9" t="s">
        <v>13</v>
      </c>
      <c r="F46" s="9" t="s">
        <v>1076</v>
      </c>
      <c r="G46" s="9">
        <v>25</v>
      </c>
      <c r="H46" s="9">
        <v>8</v>
      </c>
      <c r="I46" s="9">
        <v>1.0149999999999999</v>
      </c>
      <c r="J46" s="9">
        <v>100</v>
      </c>
      <c r="K46" s="9" t="s">
        <v>442</v>
      </c>
      <c r="L46" s="9"/>
      <c r="M46" s="9"/>
      <c r="N46" s="9" t="str">
        <f ca="1">IFERROR(__xludf.DUMMYFUNCTION("IFERROR(VALUE(REGEXEXTRACT(TO_TEXT($F46), N$1 &amp; ""x(\d+)"")), """")
"),"")</f>
        <v/>
      </c>
      <c r="O46" s="9">
        <f ca="1">IFERROR(__xludf.DUMMYFUNCTION("IFERROR(VALUE(REGEXEXTRACT(TO_TEXT($F46), O$1 &amp; ""x(\d+)"")), """")"),1)</f>
        <v>1</v>
      </c>
      <c r="P46" s="9" t="str">
        <f ca="1">IFERROR(__xludf.DUMMYFUNCTION("IFERROR(VALUE(REGEXEXTRACT(TO_TEXT($F46), P$1 &amp; ""x(\d+)"")), """")"),"")</f>
        <v/>
      </c>
      <c r="Q46" s="9" t="str">
        <f ca="1">IFERROR(__xludf.DUMMYFUNCTION("IFERROR(VALUE(REGEXEXTRACT(TO_TEXT($F46), Q$1 &amp; ""x(\d+)"")), """")"),"")</f>
        <v/>
      </c>
      <c r="R46" s="9" t="str">
        <f ca="1">IFERROR(__xludf.DUMMYFUNCTION("IFERROR(VALUE(REGEXEXTRACT(TO_TEXT($F46), R$1 &amp; ""x(\d+)"")), """")"),"")</f>
        <v/>
      </c>
      <c r="S46" s="9" t="str">
        <f ca="1">IFERROR(__xludf.DUMMYFUNCTION("IFERROR(VALUE(REGEXEXTRACT(TO_TEXT($F46), S$1 &amp; ""x(\d+)"")), """")"),"")</f>
        <v/>
      </c>
      <c r="T46" s="9" t="str">
        <f ca="1">IFERROR(__xludf.DUMMYFUNCTION("IFERROR(VALUE(REGEXEXTRACT(TO_TEXT($F46), T$1 &amp; ""x(\d+)"")), """")"),"")</f>
        <v/>
      </c>
      <c r="U46" s="9" t="str">
        <f ca="1">IFERROR(__xludf.DUMMYFUNCTION("IFERROR(VALUE(REGEXEXTRACT(TO_TEXT($F46), U$1 &amp; ""x(\d+)"")), """")"),"")</f>
        <v/>
      </c>
      <c r="V46" s="9" t="str">
        <f ca="1">IFERROR(__xludf.DUMMYFUNCTION("IFERROR(VALUE(REGEXEXTRACT(TO_TEXT($F46), V$1 &amp; ""x(\d+)"")), """")"),"")</f>
        <v/>
      </c>
      <c r="W46" s="9"/>
      <c r="X46" s="9"/>
      <c r="Y46" s="9"/>
      <c r="Z46" s="9"/>
    </row>
    <row r="47" spans="1:26" ht="15.75" hidden="1" customHeight="1">
      <c r="A47" s="9" t="s">
        <v>1072</v>
      </c>
      <c r="B47" s="9" t="s">
        <v>1073</v>
      </c>
      <c r="C47" s="9" t="s">
        <v>496</v>
      </c>
      <c r="D47" s="9" t="s">
        <v>40</v>
      </c>
      <c r="E47" s="9" t="s">
        <v>11</v>
      </c>
      <c r="F47" s="9" t="s">
        <v>1077</v>
      </c>
      <c r="G47" s="9">
        <v>25</v>
      </c>
      <c r="H47" s="9">
        <v>3</v>
      </c>
      <c r="I47" s="9">
        <v>1.0149999999999999</v>
      </c>
      <c r="J47" s="9">
        <v>400</v>
      </c>
      <c r="K47" s="9" t="s">
        <v>442</v>
      </c>
      <c r="L47" s="9"/>
      <c r="M47" s="9"/>
      <c r="N47" s="9" t="str">
        <f ca="1">IFERROR(__xludf.DUMMYFUNCTION("IFERROR(VALUE(REGEXEXTRACT(TO_TEXT($F47), N$1 &amp; ""x(\d+)"")), """")
"),"")</f>
        <v/>
      </c>
      <c r="O47" s="9" t="str">
        <f ca="1">IFERROR(__xludf.DUMMYFUNCTION("IFERROR(VALUE(REGEXEXTRACT(TO_TEXT($F47), O$1 &amp; ""x(\d+)"")), """")"),"")</f>
        <v/>
      </c>
      <c r="P47" s="9" t="str">
        <f ca="1">IFERROR(__xludf.DUMMYFUNCTION("IFERROR(VALUE(REGEXEXTRACT(TO_TEXT($F47), P$1 &amp; ""x(\d+)"")), """")"),"")</f>
        <v/>
      </c>
      <c r="Q47" s="9" t="str">
        <f ca="1">IFERROR(__xludf.DUMMYFUNCTION("IFERROR(VALUE(REGEXEXTRACT(TO_TEXT($F47), Q$1 &amp; ""x(\d+)"")), """")"),"")</f>
        <v/>
      </c>
      <c r="R47" s="9" t="str">
        <f ca="1">IFERROR(__xludf.DUMMYFUNCTION("IFERROR(VALUE(REGEXEXTRACT(TO_TEXT($F47), R$1 &amp; ""x(\d+)"")), """")"),"")</f>
        <v/>
      </c>
      <c r="S47" s="9">
        <f ca="1">IFERROR(__xludf.DUMMYFUNCTION("IFERROR(VALUE(REGEXEXTRACT(TO_TEXT($F47), S$1 &amp; ""x(\d+)"")), """")"),1)</f>
        <v>1</v>
      </c>
      <c r="T47" s="9" t="str">
        <f ca="1">IFERROR(__xludf.DUMMYFUNCTION("IFERROR(VALUE(REGEXEXTRACT(TO_TEXT($F47), T$1 &amp; ""x(\d+)"")), """")"),"")</f>
        <v/>
      </c>
      <c r="U47" s="9" t="str">
        <f ca="1">IFERROR(__xludf.DUMMYFUNCTION("IFERROR(VALUE(REGEXEXTRACT(TO_TEXT($F47), U$1 &amp; ""x(\d+)"")), """")"),"")</f>
        <v/>
      </c>
      <c r="V47" s="9" t="str">
        <f ca="1">IFERROR(__xludf.DUMMYFUNCTION("IFERROR(VALUE(REGEXEXTRACT(TO_TEXT($F47), V$1 &amp; ""x(\d+)"")), """")"),"")</f>
        <v/>
      </c>
      <c r="W47" s="9"/>
      <c r="X47" s="9"/>
      <c r="Y47" s="9"/>
      <c r="Z47" s="9"/>
    </row>
    <row r="48" spans="1:26" ht="15.75" hidden="1" customHeight="1">
      <c r="A48" s="9" t="s">
        <v>1072</v>
      </c>
      <c r="B48" s="9" t="s">
        <v>1073</v>
      </c>
      <c r="C48" s="9" t="s">
        <v>496</v>
      </c>
      <c r="D48" s="9" t="s">
        <v>40</v>
      </c>
      <c r="E48" s="9" t="s">
        <v>12</v>
      </c>
      <c r="F48" s="9" t="s">
        <v>1078</v>
      </c>
      <c r="G48" s="9">
        <v>80</v>
      </c>
      <c r="H48" s="9">
        <v>3</v>
      </c>
      <c r="I48" s="9">
        <v>1.0149999999999999</v>
      </c>
      <c r="J48" s="9">
        <v>400</v>
      </c>
      <c r="K48" s="9" t="s">
        <v>442</v>
      </c>
      <c r="L48" s="9" t="s">
        <v>1035</v>
      </c>
      <c r="M48" s="9"/>
      <c r="N48" s="9" t="str">
        <f ca="1">IFERROR(__xludf.DUMMYFUNCTION("IFERROR(VALUE(REGEXEXTRACT(TO_TEXT($F48), N$1 &amp; ""x(\d+)"")), """")
"),"")</f>
        <v/>
      </c>
      <c r="O48" s="9" t="str">
        <f ca="1">IFERROR(__xludf.DUMMYFUNCTION("IFERROR(VALUE(REGEXEXTRACT(TO_TEXT($F48), O$1 &amp; ""x(\d+)"")), """")"),"")</f>
        <v/>
      </c>
      <c r="P48" s="9" t="str">
        <f ca="1">IFERROR(__xludf.DUMMYFUNCTION("IFERROR(VALUE(REGEXEXTRACT(TO_TEXT($F48), P$1 &amp; ""x(\d+)"")), """")"),"")</f>
        <v/>
      </c>
      <c r="Q48" s="9" t="str">
        <f ca="1">IFERROR(__xludf.DUMMYFUNCTION("IFERROR(VALUE(REGEXEXTRACT(TO_TEXT($F48), Q$1 &amp; ""x(\d+)"")), """")"),"")</f>
        <v/>
      </c>
      <c r="R48" s="9" t="str">
        <f ca="1">IFERROR(__xludf.DUMMYFUNCTION("IFERROR(VALUE(REGEXEXTRACT(TO_TEXT($F48), R$1 &amp; ""x(\d+)"")), """")"),"")</f>
        <v/>
      </c>
      <c r="S48" s="9">
        <f ca="1">IFERROR(__xludf.DUMMYFUNCTION("IFERROR(VALUE(REGEXEXTRACT(TO_TEXT($F48), S$1 &amp; ""x(\d+)"")), """")"),1)</f>
        <v>1</v>
      </c>
      <c r="T48" s="9" t="str">
        <f ca="1">IFERROR(__xludf.DUMMYFUNCTION("IFERROR(VALUE(REGEXEXTRACT(TO_TEXT($F48), T$1 &amp; ""x(\d+)"")), """")"),"")</f>
        <v/>
      </c>
      <c r="U48" s="9" t="str">
        <f ca="1">IFERROR(__xludf.DUMMYFUNCTION("IFERROR(VALUE(REGEXEXTRACT(TO_TEXT($F48), U$1 &amp; ""x(\d+)"")), """")"),"")</f>
        <v/>
      </c>
      <c r="V48" s="9" t="str">
        <f ca="1">IFERROR(__xludf.DUMMYFUNCTION("IFERROR(VALUE(REGEXEXTRACT(TO_TEXT($F48), V$1 &amp; ""x(\d+)"")), """")"),"")</f>
        <v/>
      </c>
      <c r="W48" s="9"/>
      <c r="X48" s="9"/>
      <c r="Y48" s="9"/>
      <c r="Z48" s="9"/>
    </row>
    <row r="49" spans="1:26" ht="15.75" hidden="1" customHeight="1">
      <c r="A49" s="9" t="s">
        <v>1072</v>
      </c>
      <c r="B49" s="9" t="s">
        <v>1073</v>
      </c>
      <c r="C49" s="9" t="s">
        <v>496</v>
      </c>
      <c r="D49" s="9" t="s">
        <v>40</v>
      </c>
      <c r="E49" s="9" t="s">
        <v>13</v>
      </c>
      <c r="F49" s="9" t="s">
        <v>1079</v>
      </c>
      <c r="G49" s="9">
        <v>45</v>
      </c>
      <c r="H49" s="9">
        <v>3</v>
      </c>
      <c r="I49" s="9">
        <v>1.0149999999999999</v>
      </c>
      <c r="J49" s="9">
        <v>400</v>
      </c>
      <c r="K49" s="9" t="s">
        <v>442</v>
      </c>
      <c r="L49" s="9"/>
      <c r="M49" s="9"/>
      <c r="N49" s="9" t="str">
        <f ca="1">IFERROR(__xludf.DUMMYFUNCTION("IFERROR(VALUE(REGEXEXTRACT(TO_TEXT($F49), N$1 &amp; ""x(\d+)"")), """")
"),"")</f>
        <v/>
      </c>
      <c r="O49" s="9" t="str">
        <f ca="1">IFERROR(__xludf.DUMMYFUNCTION("IFERROR(VALUE(REGEXEXTRACT(TO_TEXT($F49), O$1 &amp; ""x(\d+)"")), """")"),"")</f>
        <v/>
      </c>
      <c r="P49" s="9" t="str">
        <f ca="1">IFERROR(__xludf.DUMMYFUNCTION("IFERROR(VALUE(REGEXEXTRACT(TO_TEXT($F49), P$1 &amp; ""x(\d+)"")), """")"),"")</f>
        <v/>
      </c>
      <c r="Q49" s="9" t="str">
        <f ca="1">IFERROR(__xludf.DUMMYFUNCTION("IFERROR(VALUE(REGEXEXTRACT(TO_TEXT($F49), Q$1 &amp; ""x(\d+)"")), """")"),"")</f>
        <v/>
      </c>
      <c r="R49" s="9" t="str">
        <f ca="1">IFERROR(__xludf.DUMMYFUNCTION("IFERROR(VALUE(REGEXEXTRACT(TO_TEXT($F49), R$1 &amp; ""x(\d+)"")), """")"),"")</f>
        <v/>
      </c>
      <c r="S49" s="9">
        <f ca="1">IFERROR(__xludf.DUMMYFUNCTION("IFERROR(VALUE(REGEXEXTRACT(TO_TEXT($F49), S$1 &amp; ""x(\d+)"")), """")"),1)</f>
        <v>1</v>
      </c>
      <c r="T49" s="9" t="str">
        <f ca="1">IFERROR(__xludf.DUMMYFUNCTION("IFERROR(VALUE(REGEXEXTRACT(TO_TEXT($F49), T$1 &amp; ""x(\d+)"")), """")"),"")</f>
        <v/>
      </c>
      <c r="U49" s="9" t="str">
        <f ca="1">IFERROR(__xludf.DUMMYFUNCTION("IFERROR(VALUE(REGEXEXTRACT(TO_TEXT($F49), U$1 &amp; ""x(\d+)"")), """")"),"")</f>
        <v/>
      </c>
      <c r="V49" s="9" t="str">
        <f ca="1">IFERROR(__xludf.DUMMYFUNCTION("IFERROR(VALUE(REGEXEXTRACT(TO_TEXT($F49), V$1 &amp; ""x(\d+)"")), """")"),"")</f>
        <v/>
      </c>
      <c r="W49" s="9"/>
      <c r="X49" s="9"/>
      <c r="Y49" s="9"/>
      <c r="Z49" s="9"/>
    </row>
    <row r="50" spans="1:26" ht="15.75" customHeight="1">
      <c r="A50" s="9" t="s">
        <v>1080</v>
      </c>
      <c r="B50" s="9" t="s">
        <v>1081</v>
      </c>
      <c r="C50" s="9" t="s">
        <v>1082</v>
      </c>
      <c r="D50" s="9" t="s">
        <v>33</v>
      </c>
      <c r="E50" s="9" t="s">
        <v>11</v>
      </c>
      <c r="F50" s="9" t="s">
        <v>1083</v>
      </c>
      <c r="G50" s="9">
        <v>45</v>
      </c>
      <c r="H50" s="9">
        <v>5</v>
      </c>
      <c r="I50" s="9">
        <v>1.0149999999999999</v>
      </c>
      <c r="J50" s="9">
        <v>105</v>
      </c>
      <c r="K50" s="9" t="s">
        <v>442</v>
      </c>
      <c r="L50" s="9"/>
      <c r="M50" s="9"/>
      <c r="N50" s="9" t="str">
        <f ca="1">IFERROR(__xludf.DUMMYFUNCTION("IFERROR(VALUE(REGEXEXTRACT(TO_TEXT($F50), N$1 &amp; ""x(\d+)"")), """")
"),"")</f>
        <v/>
      </c>
      <c r="O50" s="9">
        <f ca="1">IFERROR(__xludf.DUMMYFUNCTION("IFERROR(VALUE(REGEXEXTRACT(TO_TEXT($F50), O$1 &amp; ""x(\d+)"")), """")"),1)</f>
        <v>1</v>
      </c>
      <c r="P50" s="9" t="str">
        <f ca="1">IFERROR(__xludf.DUMMYFUNCTION("IFERROR(VALUE(REGEXEXTRACT(TO_TEXT($F50), P$1 &amp; ""x(\d+)"")), """")"),"")</f>
        <v/>
      </c>
      <c r="Q50" s="9" t="str">
        <f ca="1">IFERROR(__xludf.DUMMYFUNCTION("IFERROR(VALUE(REGEXEXTRACT(TO_TEXT($F50), Q$1 &amp; ""x(\d+)"")), """")"),"")</f>
        <v/>
      </c>
      <c r="R50" s="9" t="str">
        <f ca="1">IFERROR(__xludf.DUMMYFUNCTION("IFERROR(VALUE(REGEXEXTRACT(TO_TEXT($F50), R$1 &amp; ""x(\d+)"")), """")"),"")</f>
        <v/>
      </c>
      <c r="S50" s="9" t="str">
        <f ca="1">IFERROR(__xludf.DUMMYFUNCTION("IFERROR(VALUE(REGEXEXTRACT(TO_TEXT($F50), S$1 &amp; ""x(\d+)"")), """")"),"")</f>
        <v/>
      </c>
      <c r="T50" s="9" t="str">
        <f ca="1">IFERROR(__xludf.DUMMYFUNCTION("IFERROR(VALUE(REGEXEXTRACT(TO_TEXT($F50), T$1 &amp; ""x(\d+)"")), """")"),"")</f>
        <v/>
      </c>
      <c r="U50" s="9" t="str">
        <f ca="1">IFERROR(__xludf.DUMMYFUNCTION("IFERROR(VALUE(REGEXEXTRACT(TO_TEXT($F50), U$1 &amp; ""x(\d+)"")), """")"),"")</f>
        <v/>
      </c>
      <c r="V50" s="9" t="str">
        <f ca="1">IFERROR(__xludf.DUMMYFUNCTION("IFERROR(VALUE(REGEXEXTRACT(TO_TEXT($F50), V$1 &amp; ""x(\d+)"")), """")"),"")</f>
        <v/>
      </c>
      <c r="W50" s="9"/>
      <c r="X50" s="9"/>
      <c r="Y50" s="9"/>
      <c r="Z50" s="9"/>
    </row>
    <row r="51" spans="1:26" ht="15.75" customHeight="1">
      <c r="A51" s="9" t="s">
        <v>1080</v>
      </c>
      <c r="B51" s="9" t="s">
        <v>1081</v>
      </c>
      <c r="C51" s="9" t="s">
        <v>1082</v>
      </c>
      <c r="D51" s="9" t="s">
        <v>33</v>
      </c>
      <c r="E51" s="9" t="s">
        <v>12</v>
      </c>
      <c r="F51" s="9" t="s">
        <v>1084</v>
      </c>
      <c r="G51" s="9">
        <v>50</v>
      </c>
      <c r="H51" s="9">
        <v>5</v>
      </c>
      <c r="I51" s="9">
        <v>1.0149999999999999</v>
      </c>
      <c r="J51" s="9">
        <v>105</v>
      </c>
      <c r="K51" s="9" t="s">
        <v>442</v>
      </c>
      <c r="L51" s="9"/>
      <c r="M51" s="9"/>
      <c r="N51" s="9" t="str">
        <f ca="1">IFERROR(__xludf.DUMMYFUNCTION("IFERROR(VALUE(REGEXEXTRACT(TO_TEXT($F51), N$1 &amp; ""x(\d+)"")), """")
"),"")</f>
        <v/>
      </c>
      <c r="O51" s="9">
        <f ca="1">IFERROR(__xludf.DUMMYFUNCTION("IFERROR(VALUE(REGEXEXTRACT(TO_TEXT($F51), O$1 &amp; ""x(\d+)"")), """")"),1)</f>
        <v>1</v>
      </c>
      <c r="P51" s="9" t="str">
        <f ca="1">IFERROR(__xludf.DUMMYFUNCTION("IFERROR(VALUE(REGEXEXTRACT(TO_TEXT($F51), P$1 &amp; ""x(\d+)"")), """")"),"")</f>
        <v/>
      </c>
      <c r="Q51" s="9" t="str">
        <f ca="1">IFERROR(__xludf.DUMMYFUNCTION("IFERROR(VALUE(REGEXEXTRACT(TO_TEXT($F51), Q$1 &amp; ""x(\d+)"")), """")"),"")</f>
        <v/>
      </c>
      <c r="R51" s="9" t="str">
        <f ca="1">IFERROR(__xludf.DUMMYFUNCTION("IFERROR(VALUE(REGEXEXTRACT(TO_TEXT($F51), R$1 &amp; ""x(\d+)"")), """")"),"")</f>
        <v/>
      </c>
      <c r="S51" s="9" t="str">
        <f ca="1">IFERROR(__xludf.DUMMYFUNCTION("IFERROR(VALUE(REGEXEXTRACT(TO_TEXT($F51), S$1 &amp; ""x(\d+)"")), """")"),"")</f>
        <v/>
      </c>
      <c r="T51" s="9" t="str">
        <f ca="1">IFERROR(__xludf.DUMMYFUNCTION("IFERROR(VALUE(REGEXEXTRACT(TO_TEXT($F51), T$1 &amp; ""x(\d+)"")), """")"),"")</f>
        <v/>
      </c>
      <c r="U51" s="9" t="str">
        <f ca="1">IFERROR(__xludf.DUMMYFUNCTION("IFERROR(VALUE(REGEXEXTRACT(TO_TEXT($F51), U$1 &amp; ""x(\d+)"")), """")"),"")</f>
        <v/>
      </c>
      <c r="V51" s="9" t="str">
        <f ca="1">IFERROR(__xludf.DUMMYFUNCTION("IFERROR(VALUE(REGEXEXTRACT(TO_TEXT($F51), V$1 &amp; ""x(\d+)"")), """")"),"")</f>
        <v/>
      </c>
      <c r="W51" s="9"/>
      <c r="X51" s="9"/>
      <c r="Y51" s="9"/>
      <c r="Z51" s="9"/>
    </row>
    <row r="52" spans="1:26" ht="15.75" customHeight="1">
      <c r="A52" s="9" t="s">
        <v>1080</v>
      </c>
      <c r="B52" s="9" t="s">
        <v>1081</v>
      </c>
      <c r="C52" s="9" t="s">
        <v>1082</v>
      </c>
      <c r="D52" s="9" t="s">
        <v>33</v>
      </c>
      <c r="E52" s="9" t="s">
        <v>13</v>
      </c>
      <c r="F52" s="9" t="s">
        <v>1085</v>
      </c>
      <c r="G52" s="9">
        <v>20</v>
      </c>
      <c r="H52" s="9">
        <v>5</v>
      </c>
      <c r="I52" s="9">
        <v>1.0149999999999999</v>
      </c>
      <c r="J52" s="9">
        <v>105</v>
      </c>
      <c r="K52" s="9" t="s">
        <v>442</v>
      </c>
      <c r="L52" s="9"/>
      <c r="M52" s="9"/>
      <c r="N52" s="9" t="str">
        <f ca="1">IFERROR(__xludf.DUMMYFUNCTION("IFERROR(VALUE(REGEXEXTRACT(TO_TEXT($F52), N$1 &amp; ""x(\d+)"")), """")
"),"")</f>
        <v/>
      </c>
      <c r="O52" s="9">
        <f ca="1">IFERROR(__xludf.DUMMYFUNCTION("IFERROR(VALUE(REGEXEXTRACT(TO_TEXT($F52), O$1 &amp; ""x(\d+)"")), """")"),1)</f>
        <v>1</v>
      </c>
      <c r="P52" s="9" t="str">
        <f ca="1">IFERROR(__xludf.DUMMYFUNCTION("IFERROR(VALUE(REGEXEXTRACT(TO_TEXT($F52), P$1 &amp; ""x(\d+)"")), """")"),"")</f>
        <v/>
      </c>
      <c r="Q52" s="9" t="str">
        <f ca="1">IFERROR(__xludf.DUMMYFUNCTION("IFERROR(VALUE(REGEXEXTRACT(TO_TEXT($F52), Q$1 &amp; ""x(\d+)"")), """")"),"")</f>
        <v/>
      </c>
      <c r="R52" s="9" t="str">
        <f ca="1">IFERROR(__xludf.DUMMYFUNCTION("IFERROR(VALUE(REGEXEXTRACT(TO_TEXT($F52), R$1 &amp; ""x(\d+)"")), """")"),"")</f>
        <v/>
      </c>
      <c r="S52" s="9" t="str">
        <f ca="1">IFERROR(__xludf.DUMMYFUNCTION("IFERROR(VALUE(REGEXEXTRACT(TO_TEXT($F52), S$1 &amp; ""x(\d+)"")), """")"),"")</f>
        <v/>
      </c>
      <c r="T52" s="9" t="str">
        <f ca="1">IFERROR(__xludf.DUMMYFUNCTION("IFERROR(VALUE(REGEXEXTRACT(TO_TEXT($F52), T$1 &amp; ""x(\d+)"")), """")"),"")</f>
        <v/>
      </c>
      <c r="U52" s="9" t="str">
        <f ca="1">IFERROR(__xludf.DUMMYFUNCTION("IFERROR(VALUE(REGEXEXTRACT(TO_TEXT($F52), U$1 &amp; ""x(\d+)"")), """")"),"")</f>
        <v/>
      </c>
      <c r="V52" s="9" t="str">
        <f ca="1">IFERROR(__xludf.DUMMYFUNCTION("IFERROR(VALUE(REGEXEXTRACT(TO_TEXT($F52), V$1 &amp; ""x(\d+)"")), """")"),"")</f>
        <v/>
      </c>
      <c r="W52" s="9"/>
      <c r="X52" s="9"/>
      <c r="Y52" s="9"/>
      <c r="Z52" s="9"/>
    </row>
    <row r="53" spans="1:26" ht="15.75" customHeight="1">
      <c r="A53" s="9" t="s">
        <v>1086</v>
      </c>
      <c r="B53" s="9" t="s">
        <v>1081</v>
      </c>
      <c r="C53" s="9" t="s">
        <v>715</v>
      </c>
      <c r="D53" s="9" t="s">
        <v>33</v>
      </c>
      <c r="E53" s="9" t="s">
        <v>11</v>
      </c>
      <c r="F53" s="9" t="s">
        <v>1083</v>
      </c>
      <c r="G53" s="9">
        <v>45</v>
      </c>
      <c r="H53" s="9">
        <v>5</v>
      </c>
      <c r="I53" s="9">
        <v>1.0149999999999999</v>
      </c>
      <c r="J53" s="9">
        <v>105</v>
      </c>
      <c r="K53" s="9" t="s">
        <v>442</v>
      </c>
      <c r="L53" s="9"/>
      <c r="M53" s="9"/>
      <c r="N53" s="9" t="str">
        <f ca="1">IFERROR(__xludf.DUMMYFUNCTION("IFERROR(VALUE(REGEXEXTRACT(TO_TEXT($F53), N$1 &amp; ""x(\d+)"")), """")
"),"")</f>
        <v/>
      </c>
      <c r="O53" s="9">
        <f ca="1">IFERROR(__xludf.DUMMYFUNCTION("IFERROR(VALUE(REGEXEXTRACT(TO_TEXT($F53), O$1 &amp; ""x(\d+)"")), """")"),1)</f>
        <v>1</v>
      </c>
      <c r="P53" s="9" t="str">
        <f ca="1">IFERROR(__xludf.DUMMYFUNCTION("IFERROR(VALUE(REGEXEXTRACT(TO_TEXT($F53), P$1 &amp; ""x(\d+)"")), """")"),"")</f>
        <v/>
      </c>
      <c r="Q53" s="9" t="str">
        <f ca="1">IFERROR(__xludf.DUMMYFUNCTION("IFERROR(VALUE(REGEXEXTRACT(TO_TEXT($F53), Q$1 &amp; ""x(\d+)"")), """")"),"")</f>
        <v/>
      </c>
      <c r="R53" s="9" t="str">
        <f ca="1">IFERROR(__xludf.DUMMYFUNCTION("IFERROR(VALUE(REGEXEXTRACT(TO_TEXT($F53), R$1 &amp; ""x(\d+)"")), """")"),"")</f>
        <v/>
      </c>
      <c r="S53" s="9" t="str">
        <f ca="1">IFERROR(__xludf.DUMMYFUNCTION("IFERROR(VALUE(REGEXEXTRACT(TO_TEXT($F53), S$1 &amp; ""x(\d+)"")), """")"),"")</f>
        <v/>
      </c>
      <c r="T53" s="9" t="str">
        <f ca="1">IFERROR(__xludf.DUMMYFUNCTION("IFERROR(VALUE(REGEXEXTRACT(TO_TEXT($F53), T$1 &amp; ""x(\d+)"")), """")"),"")</f>
        <v/>
      </c>
      <c r="U53" s="9" t="str">
        <f ca="1">IFERROR(__xludf.DUMMYFUNCTION("IFERROR(VALUE(REGEXEXTRACT(TO_TEXT($F53), U$1 &amp; ""x(\d+)"")), """")"),"")</f>
        <v/>
      </c>
      <c r="V53" s="9" t="str">
        <f ca="1">IFERROR(__xludf.DUMMYFUNCTION("IFERROR(VALUE(REGEXEXTRACT(TO_TEXT($F53), V$1 &amp; ""x(\d+)"")), """")"),"")</f>
        <v/>
      </c>
      <c r="W53" s="9"/>
      <c r="X53" s="9"/>
      <c r="Y53" s="9"/>
      <c r="Z53" s="9"/>
    </row>
    <row r="54" spans="1:26" ht="15.75" customHeight="1">
      <c r="A54" s="9" t="s">
        <v>1086</v>
      </c>
      <c r="B54" s="9" t="s">
        <v>1081</v>
      </c>
      <c r="C54" s="9" t="s">
        <v>715</v>
      </c>
      <c r="D54" s="9" t="s">
        <v>33</v>
      </c>
      <c r="E54" s="9" t="s">
        <v>12</v>
      </c>
      <c r="F54" s="9" t="s">
        <v>1084</v>
      </c>
      <c r="G54" s="9">
        <v>50</v>
      </c>
      <c r="H54" s="9">
        <v>5</v>
      </c>
      <c r="I54" s="9">
        <v>1.0149999999999999</v>
      </c>
      <c r="J54" s="9">
        <v>105</v>
      </c>
      <c r="K54" s="9" t="s">
        <v>442</v>
      </c>
      <c r="L54" s="9"/>
      <c r="M54" s="9"/>
      <c r="N54" s="9" t="str">
        <f ca="1">IFERROR(__xludf.DUMMYFUNCTION("IFERROR(VALUE(REGEXEXTRACT(TO_TEXT($F54), N$1 &amp; ""x(\d+)"")), """")
"),"")</f>
        <v/>
      </c>
      <c r="O54" s="9">
        <f ca="1">IFERROR(__xludf.DUMMYFUNCTION("IFERROR(VALUE(REGEXEXTRACT(TO_TEXT($F54), O$1 &amp; ""x(\d+)"")), """")"),1)</f>
        <v>1</v>
      </c>
      <c r="P54" s="9" t="str">
        <f ca="1">IFERROR(__xludf.DUMMYFUNCTION("IFERROR(VALUE(REGEXEXTRACT(TO_TEXT($F54), P$1 &amp; ""x(\d+)"")), """")"),"")</f>
        <v/>
      </c>
      <c r="Q54" s="9" t="str">
        <f ca="1">IFERROR(__xludf.DUMMYFUNCTION("IFERROR(VALUE(REGEXEXTRACT(TO_TEXT($F54), Q$1 &amp; ""x(\d+)"")), """")"),"")</f>
        <v/>
      </c>
      <c r="R54" s="9" t="str">
        <f ca="1">IFERROR(__xludf.DUMMYFUNCTION("IFERROR(VALUE(REGEXEXTRACT(TO_TEXT($F54), R$1 &amp; ""x(\d+)"")), """")"),"")</f>
        <v/>
      </c>
      <c r="S54" s="9" t="str">
        <f ca="1">IFERROR(__xludf.DUMMYFUNCTION("IFERROR(VALUE(REGEXEXTRACT(TO_TEXT($F54), S$1 &amp; ""x(\d+)"")), """")"),"")</f>
        <v/>
      </c>
      <c r="T54" s="9" t="str">
        <f ca="1">IFERROR(__xludf.DUMMYFUNCTION("IFERROR(VALUE(REGEXEXTRACT(TO_TEXT($F54), T$1 &amp; ""x(\d+)"")), """")"),"")</f>
        <v/>
      </c>
      <c r="U54" s="9" t="str">
        <f ca="1">IFERROR(__xludf.DUMMYFUNCTION("IFERROR(VALUE(REGEXEXTRACT(TO_TEXT($F54), U$1 &amp; ""x(\d+)"")), """")"),"")</f>
        <v/>
      </c>
      <c r="V54" s="9" t="str">
        <f ca="1">IFERROR(__xludf.DUMMYFUNCTION("IFERROR(VALUE(REGEXEXTRACT(TO_TEXT($F54), V$1 &amp; ""x(\d+)"")), """")"),"")</f>
        <v/>
      </c>
      <c r="W54" s="9"/>
      <c r="X54" s="9"/>
      <c r="Y54" s="9"/>
      <c r="Z54" s="9"/>
    </row>
    <row r="55" spans="1:26" ht="15.75" customHeight="1">
      <c r="A55" s="9" t="s">
        <v>1086</v>
      </c>
      <c r="B55" s="9" t="s">
        <v>1081</v>
      </c>
      <c r="C55" s="9" t="s">
        <v>715</v>
      </c>
      <c r="D55" s="9" t="s">
        <v>33</v>
      </c>
      <c r="E55" s="9" t="s">
        <v>13</v>
      </c>
      <c r="F55" s="9" t="s">
        <v>1085</v>
      </c>
      <c r="G55" s="9">
        <v>20</v>
      </c>
      <c r="H55" s="9">
        <v>5</v>
      </c>
      <c r="I55" s="9">
        <v>1.0149999999999999</v>
      </c>
      <c r="J55" s="9">
        <v>105</v>
      </c>
      <c r="K55" s="9" t="s">
        <v>442</v>
      </c>
      <c r="L55" s="9"/>
      <c r="M55" s="9"/>
      <c r="N55" s="9" t="str">
        <f ca="1">IFERROR(__xludf.DUMMYFUNCTION("IFERROR(VALUE(REGEXEXTRACT(TO_TEXT($F55), N$1 &amp; ""x(\d+)"")), """")
"),"")</f>
        <v/>
      </c>
      <c r="O55" s="9">
        <f ca="1">IFERROR(__xludf.DUMMYFUNCTION("IFERROR(VALUE(REGEXEXTRACT(TO_TEXT($F55), O$1 &amp; ""x(\d+)"")), """")"),1)</f>
        <v>1</v>
      </c>
      <c r="P55" s="9" t="str">
        <f ca="1">IFERROR(__xludf.DUMMYFUNCTION("IFERROR(VALUE(REGEXEXTRACT(TO_TEXT($F55), P$1 &amp; ""x(\d+)"")), """")"),"")</f>
        <v/>
      </c>
      <c r="Q55" s="9" t="str">
        <f ca="1">IFERROR(__xludf.DUMMYFUNCTION("IFERROR(VALUE(REGEXEXTRACT(TO_TEXT($F55), Q$1 &amp; ""x(\d+)"")), """")"),"")</f>
        <v/>
      </c>
      <c r="R55" s="9" t="str">
        <f ca="1">IFERROR(__xludf.DUMMYFUNCTION("IFERROR(VALUE(REGEXEXTRACT(TO_TEXT($F55), R$1 &amp; ""x(\d+)"")), """")"),"")</f>
        <v/>
      </c>
      <c r="S55" s="9" t="str">
        <f ca="1">IFERROR(__xludf.DUMMYFUNCTION("IFERROR(VALUE(REGEXEXTRACT(TO_TEXT($F55), S$1 &amp; ""x(\d+)"")), """")"),"")</f>
        <v/>
      </c>
      <c r="T55" s="9" t="str">
        <f ca="1">IFERROR(__xludf.DUMMYFUNCTION("IFERROR(VALUE(REGEXEXTRACT(TO_TEXT($F55), T$1 &amp; ""x(\d+)"")), """")"),"")</f>
        <v/>
      </c>
      <c r="U55" s="9" t="str">
        <f ca="1">IFERROR(__xludf.DUMMYFUNCTION("IFERROR(VALUE(REGEXEXTRACT(TO_TEXT($F55), U$1 &amp; ""x(\d+)"")), """")"),"")</f>
        <v/>
      </c>
      <c r="V55" s="9" t="str">
        <f ca="1">IFERROR(__xludf.DUMMYFUNCTION("IFERROR(VALUE(REGEXEXTRACT(TO_TEXT($F55), V$1 &amp; ""x(\d+)"")), """")"),"")</f>
        <v/>
      </c>
      <c r="W55" s="9"/>
      <c r="X55" s="9"/>
      <c r="Y55" s="9"/>
      <c r="Z55" s="9"/>
    </row>
    <row r="56" spans="1:26" ht="15.75" customHeight="1">
      <c r="A56" s="9" t="s">
        <v>1087</v>
      </c>
      <c r="B56" s="9" t="s">
        <v>1088</v>
      </c>
      <c r="C56" s="9" t="s">
        <v>925</v>
      </c>
      <c r="D56" s="9" t="s">
        <v>33</v>
      </c>
      <c r="E56" s="9" t="s">
        <v>11</v>
      </c>
      <c r="F56" s="9" t="s">
        <v>1089</v>
      </c>
      <c r="G56" s="9">
        <v>40</v>
      </c>
      <c r="H56" s="9">
        <v>4</v>
      </c>
      <c r="I56" s="9">
        <v>1.0149999999999999</v>
      </c>
      <c r="J56" s="9">
        <v>107</v>
      </c>
      <c r="K56" s="9" t="s">
        <v>442</v>
      </c>
      <c r="L56" s="9"/>
      <c r="M56" s="9"/>
      <c r="N56" s="9" t="str">
        <f ca="1">IFERROR(__xludf.DUMMYFUNCTION("IFERROR(VALUE(REGEXEXTRACT(TO_TEXT($F56), N$1 &amp; ""x(\d+)"")), """")
"),"")</f>
        <v/>
      </c>
      <c r="O56" s="9">
        <f ca="1">IFERROR(__xludf.DUMMYFUNCTION("IFERROR(VALUE(REGEXEXTRACT(TO_TEXT($F56), O$1 &amp; ""x(\d+)"")), """")"),1)</f>
        <v>1</v>
      </c>
      <c r="P56" s="9" t="str">
        <f ca="1">IFERROR(__xludf.DUMMYFUNCTION("IFERROR(VALUE(REGEXEXTRACT(TO_TEXT($F56), P$1 &amp; ""x(\d+)"")), """")"),"")</f>
        <v/>
      </c>
      <c r="Q56" s="9" t="str">
        <f ca="1">IFERROR(__xludf.DUMMYFUNCTION("IFERROR(VALUE(REGEXEXTRACT(TO_TEXT($F56), Q$1 &amp; ""x(\d+)"")), """")"),"")</f>
        <v/>
      </c>
      <c r="R56" s="9" t="str">
        <f ca="1">IFERROR(__xludf.DUMMYFUNCTION("IFERROR(VALUE(REGEXEXTRACT(TO_TEXT($F56), R$1 &amp; ""x(\d+)"")), """")"),"")</f>
        <v/>
      </c>
      <c r="S56" s="9" t="str">
        <f ca="1">IFERROR(__xludf.DUMMYFUNCTION("IFERROR(VALUE(REGEXEXTRACT(TO_TEXT($F56), S$1 &amp; ""x(\d+)"")), """")"),"")</f>
        <v/>
      </c>
      <c r="T56" s="9" t="str">
        <f ca="1">IFERROR(__xludf.DUMMYFUNCTION("IFERROR(VALUE(REGEXEXTRACT(TO_TEXT($F56), T$1 &amp; ""x(\d+)"")), """")"),"")</f>
        <v/>
      </c>
      <c r="U56" s="9" t="str">
        <f ca="1">IFERROR(__xludf.DUMMYFUNCTION("IFERROR(VALUE(REGEXEXTRACT(TO_TEXT($F56), U$1 &amp; ""x(\d+)"")), """")"),"")</f>
        <v/>
      </c>
      <c r="V56" s="9" t="str">
        <f ca="1">IFERROR(__xludf.DUMMYFUNCTION("IFERROR(VALUE(REGEXEXTRACT(TO_TEXT($F56), V$1 &amp; ""x(\d+)"")), """")"),"")</f>
        <v/>
      </c>
      <c r="W56" s="9"/>
      <c r="X56" s="9"/>
      <c r="Y56" s="9"/>
      <c r="Z56" s="9"/>
    </row>
    <row r="57" spans="1:26" ht="15.75" customHeight="1">
      <c r="A57" s="9" t="s">
        <v>1087</v>
      </c>
      <c r="B57" s="9" t="s">
        <v>1088</v>
      </c>
      <c r="C57" s="9" t="s">
        <v>925</v>
      </c>
      <c r="D57" s="9" t="s">
        <v>33</v>
      </c>
      <c r="E57" s="9" t="s">
        <v>12</v>
      </c>
      <c r="F57" s="9" t="s">
        <v>1090</v>
      </c>
      <c r="G57" s="9">
        <v>50</v>
      </c>
      <c r="H57" s="9">
        <v>4</v>
      </c>
      <c r="I57" s="9">
        <v>1.0149999999999999</v>
      </c>
      <c r="J57" s="9">
        <v>107</v>
      </c>
      <c r="K57" s="9" t="s">
        <v>442</v>
      </c>
      <c r="L57" s="9"/>
      <c r="M57" s="9"/>
      <c r="N57" s="9" t="str">
        <f ca="1">IFERROR(__xludf.DUMMYFUNCTION("IFERROR(VALUE(REGEXEXTRACT(TO_TEXT($F57), N$1 &amp; ""x(\d+)"")), """")
"),"")</f>
        <v/>
      </c>
      <c r="O57" s="9">
        <f ca="1">IFERROR(__xludf.DUMMYFUNCTION("IFERROR(VALUE(REGEXEXTRACT(TO_TEXT($F57), O$1 &amp; ""x(\d+)"")), """")"),1)</f>
        <v>1</v>
      </c>
      <c r="P57" s="9" t="str">
        <f ca="1">IFERROR(__xludf.DUMMYFUNCTION("IFERROR(VALUE(REGEXEXTRACT(TO_TEXT($F57), P$1 &amp; ""x(\d+)"")), """")"),"")</f>
        <v/>
      </c>
      <c r="Q57" s="9" t="str">
        <f ca="1">IFERROR(__xludf.DUMMYFUNCTION("IFERROR(VALUE(REGEXEXTRACT(TO_TEXT($F57), Q$1 &amp; ""x(\d+)"")), """")"),"")</f>
        <v/>
      </c>
      <c r="R57" s="9" t="str">
        <f ca="1">IFERROR(__xludf.DUMMYFUNCTION("IFERROR(VALUE(REGEXEXTRACT(TO_TEXT($F57), R$1 &amp; ""x(\d+)"")), """")"),"")</f>
        <v/>
      </c>
      <c r="S57" s="9" t="str">
        <f ca="1">IFERROR(__xludf.DUMMYFUNCTION("IFERROR(VALUE(REGEXEXTRACT(TO_TEXT($F57), S$1 &amp; ""x(\d+)"")), """")"),"")</f>
        <v/>
      </c>
      <c r="T57" s="9" t="str">
        <f ca="1">IFERROR(__xludf.DUMMYFUNCTION("IFERROR(VALUE(REGEXEXTRACT(TO_TEXT($F57), T$1 &amp; ""x(\d+)"")), """")"),"")</f>
        <v/>
      </c>
      <c r="U57" s="9" t="str">
        <f ca="1">IFERROR(__xludf.DUMMYFUNCTION("IFERROR(VALUE(REGEXEXTRACT(TO_TEXT($F57), U$1 &amp; ""x(\d+)"")), """")"),"")</f>
        <v/>
      </c>
      <c r="V57" s="9" t="str">
        <f ca="1">IFERROR(__xludf.DUMMYFUNCTION("IFERROR(VALUE(REGEXEXTRACT(TO_TEXT($F57), V$1 &amp; ""x(\d+)"")), """")"),"")</f>
        <v/>
      </c>
      <c r="W57" s="9"/>
      <c r="X57" s="9"/>
      <c r="Y57" s="9"/>
      <c r="Z57" s="9"/>
    </row>
    <row r="58" spans="1:26" ht="15.75" customHeight="1">
      <c r="A58" s="9" t="s">
        <v>1087</v>
      </c>
      <c r="B58" s="9" t="s">
        <v>1088</v>
      </c>
      <c r="C58" s="9" t="s">
        <v>925</v>
      </c>
      <c r="D58" s="9" t="s">
        <v>33</v>
      </c>
      <c r="E58" s="9" t="s">
        <v>13</v>
      </c>
      <c r="F58" s="9" t="s">
        <v>1091</v>
      </c>
      <c r="G58" s="9">
        <v>10</v>
      </c>
      <c r="H58" s="9">
        <v>4</v>
      </c>
      <c r="I58" s="9">
        <v>1.0149999999999999</v>
      </c>
      <c r="J58" s="9">
        <v>107</v>
      </c>
      <c r="K58" s="9" t="s">
        <v>442</v>
      </c>
      <c r="L58" s="9"/>
      <c r="M58" s="9"/>
      <c r="N58" s="9" t="str">
        <f ca="1">IFERROR(__xludf.DUMMYFUNCTION("IFERROR(VALUE(REGEXEXTRACT(TO_TEXT($F58), N$1 &amp; ""x(\d+)"")), """")
"),"")</f>
        <v/>
      </c>
      <c r="O58" s="9">
        <f ca="1">IFERROR(__xludf.DUMMYFUNCTION("IFERROR(VALUE(REGEXEXTRACT(TO_TEXT($F58), O$1 &amp; ""x(\d+)"")), """")"),1)</f>
        <v>1</v>
      </c>
      <c r="P58" s="9" t="str">
        <f ca="1">IFERROR(__xludf.DUMMYFUNCTION("IFERROR(VALUE(REGEXEXTRACT(TO_TEXT($F58), P$1 &amp; ""x(\d+)"")), """")"),"")</f>
        <v/>
      </c>
      <c r="Q58" s="9" t="str">
        <f ca="1">IFERROR(__xludf.DUMMYFUNCTION("IFERROR(VALUE(REGEXEXTRACT(TO_TEXT($F58), Q$1 &amp; ""x(\d+)"")), """")"),"")</f>
        <v/>
      </c>
      <c r="R58" s="9" t="str">
        <f ca="1">IFERROR(__xludf.DUMMYFUNCTION("IFERROR(VALUE(REGEXEXTRACT(TO_TEXT($F58), R$1 &amp; ""x(\d+)"")), """")"),"")</f>
        <v/>
      </c>
      <c r="S58" s="9" t="str">
        <f ca="1">IFERROR(__xludf.DUMMYFUNCTION("IFERROR(VALUE(REGEXEXTRACT(TO_TEXT($F58), S$1 &amp; ""x(\d+)"")), """")"),"")</f>
        <v/>
      </c>
      <c r="T58" s="9" t="str">
        <f ca="1">IFERROR(__xludf.DUMMYFUNCTION("IFERROR(VALUE(REGEXEXTRACT(TO_TEXT($F58), T$1 &amp; ""x(\d+)"")), """")"),"")</f>
        <v/>
      </c>
      <c r="U58" s="9" t="str">
        <f ca="1">IFERROR(__xludf.DUMMYFUNCTION("IFERROR(VALUE(REGEXEXTRACT(TO_TEXT($F58), U$1 &amp; ""x(\d+)"")), """")"),"")</f>
        <v/>
      </c>
      <c r="V58" s="9" t="str">
        <f ca="1">IFERROR(__xludf.DUMMYFUNCTION("IFERROR(VALUE(REGEXEXTRACT(TO_TEXT($F58), V$1 &amp; ""x(\d+)"")), """")"),"")</f>
        <v/>
      </c>
      <c r="W58" s="9"/>
      <c r="X58" s="9"/>
      <c r="Y58" s="9"/>
      <c r="Z58" s="9"/>
    </row>
    <row r="59" spans="1:26" ht="15.75" customHeight="1">
      <c r="A59" s="9" t="s">
        <v>1092</v>
      </c>
      <c r="B59" s="9" t="s">
        <v>1093</v>
      </c>
      <c r="C59" s="9" t="s">
        <v>763</v>
      </c>
      <c r="D59" s="9" t="s">
        <v>33</v>
      </c>
      <c r="E59" s="9" t="s">
        <v>11</v>
      </c>
      <c r="F59" s="9" t="s">
        <v>1094</v>
      </c>
      <c r="G59" s="9">
        <v>55</v>
      </c>
      <c r="H59" s="9">
        <v>4</v>
      </c>
      <c r="I59" s="9">
        <v>1.0149999999999999</v>
      </c>
      <c r="J59" s="9">
        <v>107</v>
      </c>
      <c r="K59" s="9" t="s">
        <v>442</v>
      </c>
      <c r="L59" s="9"/>
      <c r="M59" s="9"/>
      <c r="N59" s="9" t="str">
        <f ca="1">IFERROR(__xludf.DUMMYFUNCTION("IFERROR(VALUE(REGEXEXTRACT(TO_TEXT($F59), N$1 &amp; ""x(\d+)"")), """")
"),"")</f>
        <v/>
      </c>
      <c r="O59" s="9">
        <f ca="1">IFERROR(__xludf.DUMMYFUNCTION("IFERROR(VALUE(REGEXEXTRACT(TO_TEXT($F59), O$1 &amp; ""x(\d+)"")), """")"),1)</f>
        <v>1</v>
      </c>
      <c r="P59" s="9" t="str">
        <f ca="1">IFERROR(__xludf.DUMMYFUNCTION("IFERROR(VALUE(REGEXEXTRACT(TO_TEXT($F59), P$1 &amp; ""x(\d+)"")), """")"),"")</f>
        <v/>
      </c>
      <c r="Q59" s="9" t="str">
        <f ca="1">IFERROR(__xludf.DUMMYFUNCTION("IFERROR(VALUE(REGEXEXTRACT(TO_TEXT($F59), Q$1 &amp; ""x(\d+)"")), """")"),"")</f>
        <v/>
      </c>
      <c r="R59" s="9" t="str">
        <f ca="1">IFERROR(__xludf.DUMMYFUNCTION("IFERROR(VALUE(REGEXEXTRACT(TO_TEXT($F59), R$1 &amp; ""x(\d+)"")), """")"),"")</f>
        <v/>
      </c>
      <c r="S59" s="9" t="str">
        <f ca="1">IFERROR(__xludf.DUMMYFUNCTION("IFERROR(VALUE(REGEXEXTRACT(TO_TEXT($F59), S$1 &amp; ""x(\d+)"")), """")"),"")</f>
        <v/>
      </c>
      <c r="T59" s="9" t="str">
        <f ca="1">IFERROR(__xludf.DUMMYFUNCTION("IFERROR(VALUE(REGEXEXTRACT(TO_TEXT($F59), T$1 &amp; ""x(\d+)"")), """")"),"")</f>
        <v/>
      </c>
      <c r="U59" s="9" t="str">
        <f ca="1">IFERROR(__xludf.DUMMYFUNCTION("IFERROR(VALUE(REGEXEXTRACT(TO_TEXT($F59), U$1 &amp; ""x(\d+)"")), """")"),"")</f>
        <v/>
      </c>
      <c r="V59" s="9" t="str">
        <f ca="1">IFERROR(__xludf.DUMMYFUNCTION("IFERROR(VALUE(REGEXEXTRACT(TO_TEXT($F59), V$1 &amp; ""x(\d+)"")), """")"),"")</f>
        <v/>
      </c>
      <c r="W59" s="9"/>
      <c r="X59" s="9"/>
      <c r="Y59" s="9"/>
      <c r="Z59" s="9"/>
    </row>
    <row r="60" spans="1:26" ht="15.75" customHeight="1">
      <c r="A60" s="9" t="s">
        <v>1092</v>
      </c>
      <c r="B60" s="9" t="s">
        <v>1093</v>
      </c>
      <c r="C60" s="9" t="s">
        <v>763</v>
      </c>
      <c r="D60" s="9" t="s">
        <v>33</v>
      </c>
      <c r="E60" s="9" t="s">
        <v>12</v>
      </c>
      <c r="F60" s="9" t="s">
        <v>1094</v>
      </c>
      <c r="G60" s="9">
        <v>55</v>
      </c>
      <c r="H60" s="9">
        <v>4</v>
      </c>
      <c r="I60" s="9">
        <v>1.0149999999999999</v>
      </c>
      <c r="J60" s="9">
        <v>107</v>
      </c>
      <c r="K60" s="9" t="s">
        <v>442</v>
      </c>
      <c r="L60" s="9"/>
      <c r="M60" s="9"/>
      <c r="N60" s="9" t="str">
        <f ca="1">IFERROR(__xludf.DUMMYFUNCTION("IFERROR(VALUE(REGEXEXTRACT(TO_TEXT($F60), N$1 &amp; ""x(\d+)"")), """")
"),"")</f>
        <v/>
      </c>
      <c r="O60" s="9">
        <f ca="1">IFERROR(__xludf.DUMMYFUNCTION("IFERROR(VALUE(REGEXEXTRACT(TO_TEXT($F60), O$1 &amp; ""x(\d+)"")), """")"),1)</f>
        <v>1</v>
      </c>
      <c r="P60" s="9" t="str">
        <f ca="1">IFERROR(__xludf.DUMMYFUNCTION("IFERROR(VALUE(REGEXEXTRACT(TO_TEXT($F60), P$1 &amp; ""x(\d+)"")), """")"),"")</f>
        <v/>
      </c>
      <c r="Q60" s="9" t="str">
        <f ca="1">IFERROR(__xludf.DUMMYFUNCTION("IFERROR(VALUE(REGEXEXTRACT(TO_TEXT($F60), Q$1 &amp; ""x(\d+)"")), """")"),"")</f>
        <v/>
      </c>
      <c r="R60" s="9" t="str">
        <f ca="1">IFERROR(__xludf.DUMMYFUNCTION("IFERROR(VALUE(REGEXEXTRACT(TO_TEXT($F60), R$1 &amp; ""x(\d+)"")), """")"),"")</f>
        <v/>
      </c>
      <c r="S60" s="9" t="str">
        <f ca="1">IFERROR(__xludf.DUMMYFUNCTION("IFERROR(VALUE(REGEXEXTRACT(TO_TEXT($F60), S$1 &amp; ""x(\d+)"")), """")"),"")</f>
        <v/>
      </c>
      <c r="T60" s="9" t="str">
        <f ca="1">IFERROR(__xludf.DUMMYFUNCTION("IFERROR(VALUE(REGEXEXTRACT(TO_TEXT($F60), T$1 &amp; ""x(\d+)"")), """")"),"")</f>
        <v/>
      </c>
      <c r="U60" s="9" t="str">
        <f ca="1">IFERROR(__xludf.DUMMYFUNCTION("IFERROR(VALUE(REGEXEXTRACT(TO_TEXT($F60), U$1 &amp; ""x(\d+)"")), """")"),"")</f>
        <v/>
      </c>
      <c r="V60" s="9" t="str">
        <f ca="1">IFERROR(__xludf.DUMMYFUNCTION("IFERROR(VALUE(REGEXEXTRACT(TO_TEXT($F60), V$1 &amp; ""x(\d+)"")), """")"),"")</f>
        <v/>
      </c>
      <c r="W60" s="9"/>
      <c r="X60" s="9"/>
      <c r="Y60" s="9"/>
      <c r="Z60" s="9"/>
    </row>
    <row r="61" spans="1:26" ht="15.75" customHeight="1">
      <c r="A61" s="9" t="s">
        <v>1092</v>
      </c>
      <c r="B61" s="9" t="s">
        <v>1093</v>
      </c>
      <c r="C61" s="9" t="s">
        <v>763</v>
      </c>
      <c r="D61" s="9" t="s">
        <v>33</v>
      </c>
      <c r="E61" s="9" t="s">
        <v>13</v>
      </c>
      <c r="F61" s="9" t="s">
        <v>1095</v>
      </c>
      <c r="G61" s="9">
        <v>10</v>
      </c>
      <c r="H61" s="9">
        <v>4</v>
      </c>
      <c r="I61" s="9">
        <v>1.0149999999999999</v>
      </c>
      <c r="J61" s="9">
        <v>107</v>
      </c>
      <c r="K61" s="9" t="s">
        <v>442</v>
      </c>
      <c r="L61" s="9"/>
      <c r="M61" s="9"/>
      <c r="N61" s="9" t="str">
        <f ca="1">IFERROR(__xludf.DUMMYFUNCTION("IFERROR(VALUE(REGEXEXTRACT(TO_TEXT($F61), N$1 &amp; ""x(\d+)"")), """")
"),"")</f>
        <v/>
      </c>
      <c r="O61" s="9">
        <f ca="1">IFERROR(__xludf.DUMMYFUNCTION("IFERROR(VALUE(REGEXEXTRACT(TO_TEXT($F61), O$1 &amp; ""x(\d+)"")), """")"),1)</f>
        <v>1</v>
      </c>
      <c r="P61" s="9" t="str">
        <f ca="1">IFERROR(__xludf.DUMMYFUNCTION("IFERROR(VALUE(REGEXEXTRACT(TO_TEXT($F61), P$1 &amp; ""x(\d+)"")), """")"),"")</f>
        <v/>
      </c>
      <c r="Q61" s="9" t="str">
        <f ca="1">IFERROR(__xludf.DUMMYFUNCTION("IFERROR(VALUE(REGEXEXTRACT(TO_TEXT($F61), Q$1 &amp; ""x(\d+)"")), """")"),"")</f>
        <v/>
      </c>
      <c r="R61" s="9" t="str">
        <f ca="1">IFERROR(__xludf.DUMMYFUNCTION("IFERROR(VALUE(REGEXEXTRACT(TO_TEXT($F61), R$1 &amp; ""x(\d+)"")), """")"),"")</f>
        <v/>
      </c>
      <c r="S61" s="9" t="str">
        <f ca="1">IFERROR(__xludf.DUMMYFUNCTION("IFERROR(VALUE(REGEXEXTRACT(TO_TEXT($F61), S$1 &amp; ""x(\d+)"")), """")"),"")</f>
        <v/>
      </c>
      <c r="T61" s="9" t="str">
        <f ca="1">IFERROR(__xludf.DUMMYFUNCTION("IFERROR(VALUE(REGEXEXTRACT(TO_TEXT($F61), T$1 &amp; ""x(\d+)"")), """")"),"")</f>
        <v/>
      </c>
      <c r="U61" s="9" t="str">
        <f ca="1">IFERROR(__xludf.DUMMYFUNCTION("IFERROR(VALUE(REGEXEXTRACT(TO_TEXT($F61), U$1 &amp; ""x(\d+)"")), """")"),"")</f>
        <v/>
      </c>
      <c r="V61" s="9" t="str">
        <f ca="1">IFERROR(__xludf.DUMMYFUNCTION("IFERROR(VALUE(REGEXEXTRACT(TO_TEXT($F61), V$1 &amp; ""x(\d+)"")), """")"),"")</f>
        <v/>
      </c>
      <c r="W61" s="9"/>
      <c r="X61" s="9"/>
      <c r="Y61" s="9"/>
      <c r="Z61" s="9"/>
    </row>
    <row r="62" spans="1:26" ht="15.75" customHeight="1">
      <c r="A62" s="9" t="s">
        <v>1096</v>
      </c>
      <c r="B62" s="9" t="s">
        <v>1097</v>
      </c>
      <c r="C62" s="9" t="s">
        <v>929</v>
      </c>
      <c r="D62" s="9" t="s">
        <v>33</v>
      </c>
      <c r="E62" s="9" t="s">
        <v>11</v>
      </c>
      <c r="F62" s="9" t="s">
        <v>1098</v>
      </c>
      <c r="G62" s="9">
        <v>105</v>
      </c>
      <c r="H62" s="9">
        <v>4</v>
      </c>
      <c r="I62" s="9">
        <v>1.0149999999999999</v>
      </c>
      <c r="J62" s="9">
        <v>107</v>
      </c>
      <c r="K62" s="9" t="s">
        <v>442</v>
      </c>
      <c r="L62" s="9"/>
      <c r="M62" s="9"/>
      <c r="N62" s="9" t="str">
        <f ca="1">IFERROR(__xludf.DUMMYFUNCTION("IFERROR(VALUE(REGEXEXTRACT(TO_TEXT($F62), N$1 &amp; ""x(\d+)"")), """")
"),"")</f>
        <v/>
      </c>
      <c r="O62" s="9">
        <f ca="1">IFERROR(__xludf.DUMMYFUNCTION("IFERROR(VALUE(REGEXEXTRACT(TO_TEXT($F62), O$1 &amp; ""x(\d+)"")), """")"),1)</f>
        <v>1</v>
      </c>
      <c r="P62" s="9" t="str">
        <f ca="1">IFERROR(__xludf.DUMMYFUNCTION("IFERROR(VALUE(REGEXEXTRACT(TO_TEXT($F62), P$1 &amp; ""x(\d+)"")), """")"),"")</f>
        <v/>
      </c>
      <c r="Q62" s="9" t="str">
        <f ca="1">IFERROR(__xludf.DUMMYFUNCTION("IFERROR(VALUE(REGEXEXTRACT(TO_TEXT($F62), Q$1 &amp; ""x(\d+)"")), """")"),"")</f>
        <v/>
      </c>
      <c r="R62" s="9" t="str">
        <f ca="1">IFERROR(__xludf.DUMMYFUNCTION("IFERROR(VALUE(REGEXEXTRACT(TO_TEXT($F62), R$1 &amp; ""x(\d+)"")), """")"),"")</f>
        <v/>
      </c>
      <c r="S62" s="9" t="str">
        <f ca="1">IFERROR(__xludf.DUMMYFUNCTION("IFERROR(VALUE(REGEXEXTRACT(TO_TEXT($F62), S$1 &amp; ""x(\d+)"")), """")"),"")</f>
        <v/>
      </c>
      <c r="T62" s="9" t="str">
        <f ca="1">IFERROR(__xludf.DUMMYFUNCTION("IFERROR(VALUE(REGEXEXTRACT(TO_TEXT($F62), T$1 &amp; ""x(\d+)"")), """")"),"")</f>
        <v/>
      </c>
      <c r="U62" s="9" t="str">
        <f ca="1">IFERROR(__xludf.DUMMYFUNCTION("IFERROR(VALUE(REGEXEXTRACT(TO_TEXT($F62), U$1 &amp; ""x(\d+)"")), """")"),"")</f>
        <v/>
      </c>
      <c r="V62" s="9" t="str">
        <f ca="1">IFERROR(__xludf.DUMMYFUNCTION("IFERROR(VALUE(REGEXEXTRACT(TO_TEXT($F62), V$1 &amp; ""x(\d+)"")), """")"),"")</f>
        <v/>
      </c>
      <c r="W62" s="9"/>
      <c r="X62" s="9"/>
      <c r="Y62" s="9"/>
      <c r="Z62" s="9"/>
    </row>
    <row r="63" spans="1:26" ht="15.75" customHeight="1">
      <c r="A63" s="9" t="s">
        <v>1096</v>
      </c>
      <c r="B63" s="9" t="s">
        <v>1097</v>
      </c>
      <c r="C63" s="9" t="s">
        <v>929</v>
      </c>
      <c r="D63" s="9" t="s">
        <v>33</v>
      </c>
      <c r="E63" s="9" t="s">
        <v>12</v>
      </c>
      <c r="F63" s="9" t="s">
        <v>1090</v>
      </c>
      <c r="G63" s="9">
        <v>50</v>
      </c>
      <c r="H63" s="9">
        <v>4</v>
      </c>
      <c r="I63" s="9">
        <v>1.0149999999999999</v>
      </c>
      <c r="J63" s="9">
        <v>107</v>
      </c>
      <c r="K63" s="9" t="s">
        <v>442</v>
      </c>
      <c r="L63" s="9"/>
      <c r="M63" s="9"/>
      <c r="N63" s="9" t="str">
        <f ca="1">IFERROR(__xludf.DUMMYFUNCTION("IFERROR(VALUE(REGEXEXTRACT(TO_TEXT($F63), N$1 &amp; ""x(\d+)"")), """")
"),"")</f>
        <v/>
      </c>
      <c r="O63" s="9">
        <f ca="1">IFERROR(__xludf.DUMMYFUNCTION("IFERROR(VALUE(REGEXEXTRACT(TO_TEXT($F63), O$1 &amp; ""x(\d+)"")), """")"),1)</f>
        <v>1</v>
      </c>
      <c r="P63" s="9" t="str">
        <f ca="1">IFERROR(__xludf.DUMMYFUNCTION("IFERROR(VALUE(REGEXEXTRACT(TO_TEXT($F63), P$1 &amp; ""x(\d+)"")), """")"),"")</f>
        <v/>
      </c>
      <c r="Q63" s="9" t="str">
        <f ca="1">IFERROR(__xludf.DUMMYFUNCTION("IFERROR(VALUE(REGEXEXTRACT(TO_TEXT($F63), Q$1 &amp; ""x(\d+)"")), """")"),"")</f>
        <v/>
      </c>
      <c r="R63" s="9" t="str">
        <f ca="1">IFERROR(__xludf.DUMMYFUNCTION("IFERROR(VALUE(REGEXEXTRACT(TO_TEXT($F63), R$1 &amp; ""x(\d+)"")), """")"),"")</f>
        <v/>
      </c>
      <c r="S63" s="9" t="str">
        <f ca="1">IFERROR(__xludf.DUMMYFUNCTION("IFERROR(VALUE(REGEXEXTRACT(TO_TEXT($F63), S$1 &amp; ""x(\d+)"")), """")"),"")</f>
        <v/>
      </c>
      <c r="T63" s="9" t="str">
        <f ca="1">IFERROR(__xludf.DUMMYFUNCTION("IFERROR(VALUE(REGEXEXTRACT(TO_TEXT($F63), T$1 &amp; ""x(\d+)"")), """")"),"")</f>
        <v/>
      </c>
      <c r="U63" s="9" t="str">
        <f ca="1">IFERROR(__xludf.DUMMYFUNCTION("IFERROR(VALUE(REGEXEXTRACT(TO_TEXT($F63), U$1 &amp; ""x(\d+)"")), """")"),"")</f>
        <v/>
      </c>
      <c r="V63" s="9" t="str">
        <f ca="1">IFERROR(__xludf.DUMMYFUNCTION("IFERROR(VALUE(REGEXEXTRACT(TO_TEXT($F63), V$1 &amp; ""x(\d+)"")), """")"),"")</f>
        <v/>
      </c>
      <c r="W63" s="9"/>
      <c r="X63" s="9"/>
      <c r="Y63" s="9"/>
      <c r="Z63" s="9"/>
    </row>
    <row r="64" spans="1:26" ht="15.75" customHeight="1">
      <c r="A64" s="9" t="s">
        <v>1096</v>
      </c>
      <c r="B64" s="9" t="s">
        <v>1097</v>
      </c>
      <c r="C64" s="9" t="s">
        <v>929</v>
      </c>
      <c r="D64" s="9" t="s">
        <v>33</v>
      </c>
      <c r="E64" s="9" t="s">
        <v>13</v>
      </c>
      <c r="F64" s="9" t="s">
        <v>1099</v>
      </c>
      <c r="G64" s="9">
        <v>15</v>
      </c>
      <c r="H64" s="9">
        <v>4</v>
      </c>
      <c r="I64" s="9">
        <v>1.0149999999999999</v>
      </c>
      <c r="J64" s="9">
        <v>107</v>
      </c>
      <c r="K64" s="9" t="s">
        <v>442</v>
      </c>
      <c r="L64" s="9"/>
      <c r="M64" s="9"/>
      <c r="N64" s="9" t="str">
        <f ca="1">IFERROR(__xludf.DUMMYFUNCTION("IFERROR(VALUE(REGEXEXTRACT(TO_TEXT($F64), N$1 &amp; ""x(\d+)"")), """")
"),"")</f>
        <v/>
      </c>
      <c r="O64" s="9">
        <f ca="1">IFERROR(__xludf.DUMMYFUNCTION("IFERROR(VALUE(REGEXEXTRACT(TO_TEXT($F64), O$1 &amp; ""x(\d+)"")), """")"),1)</f>
        <v>1</v>
      </c>
      <c r="P64" s="9" t="str">
        <f ca="1">IFERROR(__xludf.DUMMYFUNCTION("IFERROR(VALUE(REGEXEXTRACT(TO_TEXT($F64), P$1 &amp; ""x(\d+)"")), """")"),"")</f>
        <v/>
      </c>
      <c r="Q64" s="9" t="str">
        <f ca="1">IFERROR(__xludf.DUMMYFUNCTION("IFERROR(VALUE(REGEXEXTRACT(TO_TEXT($F64), Q$1 &amp; ""x(\d+)"")), """")"),"")</f>
        <v/>
      </c>
      <c r="R64" s="9" t="str">
        <f ca="1">IFERROR(__xludf.DUMMYFUNCTION("IFERROR(VALUE(REGEXEXTRACT(TO_TEXT($F64), R$1 &amp; ""x(\d+)"")), """")"),"")</f>
        <v/>
      </c>
      <c r="S64" s="9" t="str">
        <f ca="1">IFERROR(__xludf.DUMMYFUNCTION("IFERROR(VALUE(REGEXEXTRACT(TO_TEXT($F64), S$1 &amp; ""x(\d+)"")), """")"),"")</f>
        <v/>
      </c>
      <c r="T64" s="9" t="str">
        <f ca="1">IFERROR(__xludf.DUMMYFUNCTION("IFERROR(VALUE(REGEXEXTRACT(TO_TEXT($F64), T$1 &amp; ""x(\d+)"")), """")"),"")</f>
        <v/>
      </c>
      <c r="U64" s="9" t="str">
        <f ca="1">IFERROR(__xludf.DUMMYFUNCTION("IFERROR(VALUE(REGEXEXTRACT(TO_TEXT($F64), U$1 &amp; ""x(\d+)"")), """")"),"")</f>
        <v/>
      </c>
      <c r="V64" s="9" t="str">
        <f ca="1">IFERROR(__xludf.DUMMYFUNCTION("IFERROR(VALUE(REGEXEXTRACT(TO_TEXT($F64), V$1 &amp; ""x(\d+)"")), """")"),"")</f>
        <v/>
      </c>
      <c r="W64" s="9"/>
      <c r="X64" s="9"/>
      <c r="Y64" s="9"/>
      <c r="Z64" s="9"/>
    </row>
    <row r="65" spans="1:26" ht="15.75" customHeight="1">
      <c r="A65" s="9" t="s">
        <v>1100</v>
      </c>
      <c r="B65" s="9" t="s">
        <v>1101</v>
      </c>
      <c r="C65" s="9" t="s">
        <v>931</v>
      </c>
      <c r="D65" s="9" t="s">
        <v>33</v>
      </c>
      <c r="E65" s="9" t="s">
        <v>11</v>
      </c>
      <c r="F65" s="9" t="s">
        <v>1102</v>
      </c>
      <c r="G65" s="9">
        <v>75</v>
      </c>
      <c r="H65" s="9">
        <v>3</v>
      </c>
      <c r="I65" s="9">
        <v>1.0149999999999999</v>
      </c>
      <c r="J65" s="9">
        <v>70</v>
      </c>
      <c r="K65" s="9" t="s">
        <v>442</v>
      </c>
      <c r="L65" s="9"/>
      <c r="M65" s="9"/>
      <c r="N65" s="9" t="str">
        <f ca="1">IFERROR(__xludf.DUMMYFUNCTION("IFERROR(VALUE(REGEXEXTRACT(TO_TEXT($F65), N$1 &amp; ""x(\d+)"")), """")
"),"")</f>
        <v/>
      </c>
      <c r="O65" s="9">
        <f ca="1">IFERROR(__xludf.DUMMYFUNCTION("IFERROR(VALUE(REGEXEXTRACT(TO_TEXT($F65), O$1 &amp; ""x(\d+)"")), """")"),1)</f>
        <v>1</v>
      </c>
      <c r="P65" s="9" t="str">
        <f ca="1">IFERROR(__xludf.DUMMYFUNCTION("IFERROR(VALUE(REGEXEXTRACT(TO_TEXT($F65), P$1 &amp; ""x(\d+)"")), """")"),"")</f>
        <v/>
      </c>
      <c r="Q65" s="9" t="str">
        <f ca="1">IFERROR(__xludf.DUMMYFUNCTION("IFERROR(VALUE(REGEXEXTRACT(TO_TEXT($F65), Q$1 &amp; ""x(\d+)"")), """")"),"")</f>
        <v/>
      </c>
      <c r="R65" s="9" t="str">
        <f ca="1">IFERROR(__xludf.DUMMYFUNCTION("IFERROR(VALUE(REGEXEXTRACT(TO_TEXT($F65), R$1 &amp; ""x(\d+)"")), """")"),"")</f>
        <v/>
      </c>
      <c r="S65" s="9" t="str">
        <f ca="1">IFERROR(__xludf.DUMMYFUNCTION("IFERROR(VALUE(REGEXEXTRACT(TO_TEXT($F65), S$1 &amp; ""x(\d+)"")), """")"),"")</f>
        <v/>
      </c>
      <c r="T65" s="9" t="str">
        <f ca="1">IFERROR(__xludf.DUMMYFUNCTION("IFERROR(VALUE(REGEXEXTRACT(TO_TEXT($F65), T$1 &amp; ""x(\d+)"")), """")"),"")</f>
        <v/>
      </c>
      <c r="U65" s="9" t="str">
        <f ca="1">IFERROR(__xludf.DUMMYFUNCTION("IFERROR(VALUE(REGEXEXTRACT(TO_TEXT($F65), U$1 &amp; ""x(\d+)"")), """")"),"")</f>
        <v/>
      </c>
      <c r="V65" s="9">
        <f ca="1">IFERROR(__xludf.DUMMYFUNCTION("IFERROR(VALUE(REGEXEXTRACT(TO_TEXT($F65), V$1 &amp; ""x(\d+)"")), """")"),1)</f>
        <v>1</v>
      </c>
      <c r="W65" s="9"/>
      <c r="X65" s="9"/>
      <c r="Y65" s="9"/>
      <c r="Z65" s="9"/>
    </row>
    <row r="66" spans="1:26" ht="15.75" customHeight="1">
      <c r="A66" s="9" t="s">
        <v>1100</v>
      </c>
      <c r="B66" s="9" t="s">
        <v>1101</v>
      </c>
      <c r="C66" s="9" t="s">
        <v>931</v>
      </c>
      <c r="D66" s="9" t="s">
        <v>33</v>
      </c>
      <c r="E66" s="9" t="s">
        <v>12</v>
      </c>
      <c r="F66" s="9" t="s">
        <v>1103</v>
      </c>
      <c r="G66" s="9">
        <v>110</v>
      </c>
      <c r="H66" s="9">
        <v>3</v>
      </c>
      <c r="I66" s="9">
        <v>1.0149999999999999</v>
      </c>
      <c r="J66" s="9">
        <v>70</v>
      </c>
      <c r="K66" s="9" t="s">
        <v>442</v>
      </c>
      <c r="L66" s="9" t="s">
        <v>1035</v>
      </c>
      <c r="M66" s="9"/>
      <c r="N66" s="9" t="str">
        <f ca="1">IFERROR(__xludf.DUMMYFUNCTION("IFERROR(VALUE(REGEXEXTRACT(TO_TEXT($F66), N$1 &amp; ""x(\d+)"")), """")
"),"")</f>
        <v/>
      </c>
      <c r="O66" s="9">
        <f ca="1">IFERROR(__xludf.DUMMYFUNCTION("IFERROR(VALUE(REGEXEXTRACT(TO_TEXT($F66), O$1 &amp; ""x(\d+)"")), """")"),1)</f>
        <v>1</v>
      </c>
      <c r="P66" s="9" t="str">
        <f ca="1">IFERROR(__xludf.DUMMYFUNCTION("IFERROR(VALUE(REGEXEXTRACT(TO_TEXT($F66), P$1 &amp; ""x(\d+)"")), """")"),"")</f>
        <v/>
      </c>
      <c r="Q66" s="9" t="str">
        <f ca="1">IFERROR(__xludf.DUMMYFUNCTION("IFERROR(VALUE(REGEXEXTRACT(TO_TEXT($F66), Q$1 &amp; ""x(\d+)"")), """")"),"")</f>
        <v/>
      </c>
      <c r="R66" s="9" t="str">
        <f ca="1">IFERROR(__xludf.DUMMYFUNCTION("IFERROR(VALUE(REGEXEXTRACT(TO_TEXT($F66), R$1 &amp; ""x(\d+)"")), """")"),"")</f>
        <v/>
      </c>
      <c r="S66" s="9" t="str">
        <f ca="1">IFERROR(__xludf.DUMMYFUNCTION("IFERROR(VALUE(REGEXEXTRACT(TO_TEXT($F66), S$1 &amp; ""x(\d+)"")), """")"),"")</f>
        <v/>
      </c>
      <c r="T66" s="9" t="str">
        <f ca="1">IFERROR(__xludf.DUMMYFUNCTION("IFERROR(VALUE(REGEXEXTRACT(TO_TEXT($F66), T$1 &amp; ""x(\d+)"")), """")"),"")</f>
        <v/>
      </c>
      <c r="U66" s="9" t="str">
        <f ca="1">IFERROR(__xludf.DUMMYFUNCTION("IFERROR(VALUE(REGEXEXTRACT(TO_TEXT($F66), U$1 &amp; ""x(\d+)"")), """")"),"")</f>
        <v/>
      </c>
      <c r="V66" s="9" t="str">
        <f ca="1">IFERROR(__xludf.DUMMYFUNCTION("IFERROR(VALUE(REGEXEXTRACT(TO_TEXT($F66), V$1 &amp; ""x(\d+)"")), """")"),"")</f>
        <v/>
      </c>
      <c r="W66" s="9"/>
      <c r="X66" s="9"/>
      <c r="Y66" s="9"/>
      <c r="Z66" s="9"/>
    </row>
    <row r="67" spans="1:26" ht="15.75" customHeight="1">
      <c r="A67" s="9" t="s">
        <v>1100</v>
      </c>
      <c r="B67" s="9" t="s">
        <v>1101</v>
      </c>
      <c r="C67" s="9" t="s">
        <v>931</v>
      </c>
      <c r="D67" s="9" t="s">
        <v>33</v>
      </c>
      <c r="E67" s="9" t="s">
        <v>13</v>
      </c>
      <c r="F67" s="9" t="s">
        <v>1071</v>
      </c>
      <c r="G67" s="9">
        <v>15</v>
      </c>
      <c r="H67" s="9">
        <v>3</v>
      </c>
      <c r="I67" s="9">
        <v>1.0149999999999999</v>
      </c>
      <c r="J67" s="9">
        <v>70</v>
      </c>
      <c r="K67" s="9" t="s">
        <v>442</v>
      </c>
      <c r="L67" s="9"/>
      <c r="M67" s="9"/>
      <c r="N67" s="9" t="str">
        <f ca="1">IFERROR(__xludf.DUMMYFUNCTION("IFERROR(VALUE(REGEXEXTRACT(TO_TEXT($F67), N$1 &amp; ""x(\d+)"")), """")
"),"")</f>
        <v/>
      </c>
      <c r="O67" s="9">
        <f ca="1">IFERROR(__xludf.DUMMYFUNCTION("IFERROR(VALUE(REGEXEXTRACT(TO_TEXT($F67), O$1 &amp; ""x(\d+)"")), """")"),1)</f>
        <v>1</v>
      </c>
      <c r="P67" s="9" t="str">
        <f ca="1">IFERROR(__xludf.DUMMYFUNCTION("IFERROR(VALUE(REGEXEXTRACT(TO_TEXT($F67), P$1 &amp; ""x(\d+)"")), """")"),"")</f>
        <v/>
      </c>
      <c r="Q67" s="9" t="str">
        <f ca="1">IFERROR(__xludf.DUMMYFUNCTION("IFERROR(VALUE(REGEXEXTRACT(TO_TEXT($F67), Q$1 &amp; ""x(\d+)"")), """")"),"")</f>
        <v/>
      </c>
      <c r="R67" s="9" t="str">
        <f ca="1">IFERROR(__xludf.DUMMYFUNCTION("IFERROR(VALUE(REGEXEXTRACT(TO_TEXT($F67), R$1 &amp; ""x(\d+)"")), """")"),"")</f>
        <v/>
      </c>
      <c r="S67" s="9" t="str">
        <f ca="1">IFERROR(__xludf.DUMMYFUNCTION("IFERROR(VALUE(REGEXEXTRACT(TO_TEXT($F67), S$1 &amp; ""x(\d+)"")), """")"),"")</f>
        <v/>
      </c>
      <c r="T67" s="9" t="str">
        <f ca="1">IFERROR(__xludf.DUMMYFUNCTION("IFERROR(VALUE(REGEXEXTRACT(TO_TEXT($F67), T$1 &amp; ""x(\d+)"")), """")"),"")</f>
        <v/>
      </c>
      <c r="U67" s="9" t="str">
        <f ca="1">IFERROR(__xludf.DUMMYFUNCTION("IFERROR(VALUE(REGEXEXTRACT(TO_TEXT($F67), U$1 &amp; ""x(\d+)"")), """")"),"")</f>
        <v/>
      </c>
      <c r="V67" s="9" t="str">
        <f ca="1">IFERROR(__xludf.DUMMYFUNCTION("IFERROR(VALUE(REGEXEXTRACT(TO_TEXT($F67), V$1 &amp; ""x(\d+)"")), """")"),"")</f>
        <v/>
      </c>
      <c r="W67" s="9"/>
      <c r="X67" s="9"/>
      <c r="Y67" s="9"/>
      <c r="Z67" s="9"/>
    </row>
    <row r="68" spans="1:26" ht="15.75" customHeight="1">
      <c r="A68" s="9" t="s">
        <v>1104</v>
      </c>
      <c r="B68" s="9" t="s">
        <v>1105</v>
      </c>
      <c r="C68" s="9" t="s">
        <v>780</v>
      </c>
      <c r="D68" s="9" t="s">
        <v>33</v>
      </c>
      <c r="E68" s="9" t="s">
        <v>11</v>
      </c>
      <c r="F68" s="9" t="s">
        <v>1106</v>
      </c>
      <c r="G68" s="9">
        <v>65</v>
      </c>
      <c r="H68" s="9">
        <v>4</v>
      </c>
      <c r="I68" s="9">
        <v>1.0149999999999999</v>
      </c>
      <c r="J68" s="9">
        <v>107</v>
      </c>
      <c r="K68" s="9" t="s">
        <v>442</v>
      </c>
      <c r="L68" s="9"/>
      <c r="M68" s="9"/>
      <c r="N68" s="9" t="str">
        <f ca="1">IFERROR(__xludf.DUMMYFUNCTION("IFERROR(VALUE(REGEXEXTRACT(TO_TEXT($F68), N$1 &amp; ""x(\d+)"")), """")
"),"")</f>
        <v/>
      </c>
      <c r="O68" s="9">
        <f ca="1">IFERROR(__xludf.DUMMYFUNCTION("IFERROR(VALUE(REGEXEXTRACT(TO_TEXT($F68), O$1 &amp; ""x(\d+)"")), """")"),1)</f>
        <v>1</v>
      </c>
      <c r="P68" s="9" t="str">
        <f ca="1">IFERROR(__xludf.DUMMYFUNCTION("IFERROR(VALUE(REGEXEXTRACT(TO_TEXT($F68), P$1 &amp; ""x(\d+)"")), """")"),"")</f>
        <v/>
      </c>
      <c r="Q68" s="9" t="str">
        <f ca="1">IFERROR(__xludf.DUMMYFUNCTION("IFERROR(VALUE(REGEXEXTRACT(TO_TEXT($F68), Q$1 &amp; ""x(\d+)"")), """")"),"")</f>
        <v/>
      </c>
      <c r="R68" s="9" t="str">
        <f ca="1">IFERROR(__xludf.DUMMYFUNCTION("IFERROR(VALUE(REGEXEXTRACT(TO_TEXT($F68), R$1 &amp; ""x(\d+)"")), """")"),"")</f>
        <v/>
      </c>
      <c r="S68" s="9" t="str">
        <f ca="1">IFERROR(__xludf.DUMMYFUNCTION("IFERROR(VALUE(REGEXEXTRACT(TO_TEXT($F68), S$1 &amp; ""x(\d+)"")), """")"),"")</f>
        <v/>
      </c>
      <c r="T68" s="9" t="str">
        <f ca="1">IFERROR(__xludf.DUMMYFUNCTION("IFERROR(VALUE(REGEXEXTRACT(TO_TEXT($F68), T$1 &amp; ""x(\d+)"")), """")"),"")</f>
        <v/>
      </c>
      <c r="U68" s="9" t="str">
        <f ca="1">IFERROR(__xludf.DUMMYFUNCTION("IFERROR(VALUE(REGEXEXTRACT(TO_TEXT($F68), U$1 &amp; ""x(\d+)"")), """")"),"")</f>
        <v/>
      </c>
      <c r="V68" s="9" t="str">
        <f ca="1">IFERROR(__xludf.DUMMYFUNCTION("IFERROR(VALUE(REGEXEXTRACT(TO_TEXT($F68), V$1 &amp; ""x(\d+)"")), """")"),"")</f>
        <v/>
      </c>
      <c r="W68" s="9"/>
      <c r="X68" s="9"/>
      <c r="Y68" s="9"/>
      <c r="Z68" s="9"/>
    </row>
    <row r="69" spans="1:26" ht="15.75" customHeight="1">
      <c r="A69" s="9" t="s">
        <v>1104</v>
      </c>
      <c r="B69" s="9" t="s">
        <v>1105</v>
      </c>
      <c r="C69" s="9" t="s">
        <v>780</v>
      </c>
      <c r="D69" s="9" t="s">
        <v>33</v>
      </c>
      <c r="E69" s="9" t="s">
        <v>12</v>
      </c>
      <c r="F69" s="9" t="s">
        <v>1107</v>
      </c>
      <c r="G69" s="9">
        <v>95</v>
      </c>
      <c r="H69" s="9">
        <v>4</v>
      </c>
      <c r="I69" s="9">
        <v>1.0149999999999999</v>
      </c>
      <c r="J69" s="9">
        <v>107</v>
      </c>
      <c r="K69" s="9" t="s">
        <v>442</v>
      </c>
      <c r="L69" s="9"/>
      <c r="M69" s="9"/>
      <c r="N69" s="9" t="str">
        <f ca="1">IFERROR(__xludf.DUMMYFUNCTION("IFERROR(VALUE(REGEXEXTRACT(TO_TEXT($F69), N$1 &amp; ""x(\d+)"")), """")
"),"")</f>
        <v/>
      </c>
      <c r="O69" s="9">
        <f ca="1">IFERROR(__xludf.DUMMYFUNCTION("IFERROR(VALUE(REGEXEXTRACT(TO_TEXT($F69), O$1 &amp; ""x(\d+)"")), """")"),1)</f>
        <v>1</v>
      </c>
      <c r="P69" s="9" t="str">
        <f ca="1">IFERROR(__xludf.DUMMYFUNCTION("IFERROR(VALUE(REGEXEXTRACT(TO_TEXT($F69), P$1 &amp; ""x(\d+)"")), """")"),"")</f>
        <v/>
      </c>
      <c r="Q69" s="9" t="str">
        <f ca="1">IFERROR(__xludf.DUMMYFUNCTION("IFERROR(VALUE(REGEXEXTRACT(TO_TEXT($F69), Q$1 &amp; ""x(\d+)"")), """")"),"")</f>
        <v/>
      </c>
      <c r="R69" s="9" t="str">
        <f ca="1">IFERROR(__xludf.DUMMYFUNCTION("IFERROR(VALUE(REGEXEXTRACT(TO_TEXT($F69), R$1 &amp; ""x(\d+)"")), """")"),"")</f>
        <v/>
      </c>
      <c r="S69" s="9" t="str">
        <f ca="1">IFERROR(__xludf.DUMMYFUNCTION("IFERROR(VALUE(REGEXEXTRACT(TO_TEXT($F69), S$1 &amp; ""x(\d+)"")), """")"),"")</f>
        <v/>
      </c>
      <c r="T69" s="9" t="str">
        <f ca="1">IFERROR(__xludf.DUMMYFUNCTION("IFERROR(VALUE(REGEXEXTRACT(TO_TEXT($F69), T$1 &amp; ""x(\d+)"")), """")"),"")</f>
        <v/>
      </c>
      <c r="U69" s="9" t="str">
        <f ca="1">IFERROR(__xludf.DUMMYFUNCTION("IFERROR(VALUE(REGEXEXTRACT(TO_TEXT($F69), U$1 &amp; ""x(\d+)"")), """")"),"")</f>
        <v/>
      </c>
      <c r="V69" s="9" t="str">
        <f ca="1">IFERROR(__xludf.DUMMYFUNCTION("IFERROR(VALUE(REGEXEXTRACT(TO_TEXT($F69), V$1 &amp; ""x(\d+)"")), """")"),"")</f>
        <v/>
      </c>
      <c r="W69" s="9"/>
      <c r="X69" s="9"/>
      <c r="Y69" s="9"/>
      <c r="Z69" s="9"/>
    </row>
    <row r="70" spans="1:26" ht="15.75" customHeight="1">
      <c r="A70" s="9" t="s">
        <v>1104</v>
      </c>
      <c r="B70" s="9" t="s">
        <v>1105</v>
      </c>
      <c r="C70" s="9" t="s">
        <v>780</v>
      </c>
      <c r="D70" s="9" t="s">
        <v>33</v>
      </c>
      <c r="E70" s="9" t="s">
        <v>13</v>
      </c>
      <c r="F70" s="9" t="s">
        <v>1108</v>
      </c>
      <c r="G70" s="9">
        <v>20</v>
      </c>
      <c r="H70" s="9">
        <v>4</v>
      </c>
      <c r="I70" s="9">
        <v>1.0149999999999999</v>
      </c>
      <c r="J70" s="9">
        <v>107</v>
      </c>
      <c r="K70" s="9" t="s">
        <v>442</v>
      </c>
      <c r="L70" s="9"/>
      <c r="M70" s="9"/>
      <c r="N70" s="9" t="str">
        <f ca="1">IFERROR(__xludf.DUMMYFUNCTION("IFERROR(VALUE(REGEXEXTRACT(TO_TEXT($F70), N$1 &amp; ""x(\d+)"")), """")
"),"")</f>
        <v/>
      </c>
      <c r="O70" s="9">
        <f ca="1">IFERROR(__xludf.DUMMYFUNCTION("IFERROR(VALUE(REGEXEXTRACT(TO_TEXT($F70), O$1 &amp; ""x(\d+)"")), """")"),1)</f>
        <v>1</v>
      </c>
      <c r="P70" s="9" t="str">
        <f ca="1">IFERROR(__xludf.DUMMYFUNCTION("IFERROR(VALUE(REGEXEXTRACT(TO_TEXT($F70), P$1 &amp; ""x(\d+)"")), """")"),"")</f>
        <v/>
      </c>
      <c r="Q70" s="9" t="str">
        <f ca="1">IFERROR(__xludf.DUMMYFUNCTION("IFERROR(VALUE(REGEXEXTRACT(TO_TEXT($F70), Q$1 &amp; ""x(\d+)"")), """")"),"")</f>
        <v/>
      </c>
      <c r="R70" s="9" t="str">
        <f ca="1">IFERROR(__xludf.DUMMYFUNCTION("IFERROR(VALUE(REGEXEXTRACT(TO_TEXT($F70), R$1 &amp; ""x(\d+)"")), """")"),"")</f>
        <v/>
      </c>
      <c r="S70" s="9" t="str">
        <f ca="1">IFERROR(__xludf.DUMMYFUNCTION("IFERROR(VALUE(REGEXEXTRACT(TO_TEXT($F70), S$1 &amp; ""x(\d+)"")), """")"),"")</f>
        <v/>
      </c>
      <c r="T70" s="9" t="str">
        <f ca="1">IFERROR(__xludf.DUMMYFUNCTION("IFERROR(VALUE(REGEXEXTRACT(TO_TEXT($F70), T$1 &amp; ""x(\d+)"")), """")"),"")</f>
        <v/>
      </c>
      <c r="U70" s="9" t="str">
        <f ca="1">IFERROR(__xludf.DUMMYFUNCTION("IFERROR(VALUE(REGEXEXTRACT(TO_TEXT($F70), U$1 &amp; ""x(\d+)"")), """")"),"")</f>
        <v/>
      </c>
      <c r="V70" s="9" t="str">
        <f ca="1">IFERROR(__xludf.DUMMYFUNCTION("IFERROR(VALUE(REGEXEXTRACT(TO_TEXT($F70), V$1 &amp; ""x(\d+)"")), """")"),"")</f>
        <v/>
      </c>
      <c r="W70" s="9"/>
      <c r="X70" s="9"/>
      <c r="Y70" s="9"/>
      <c r="Z70" s="9"/>
    </row>
    <row r="71" spans="1:26" ht="15.75" hidden="1" customHeight="1">
      <c r="A71" s="9" t="s">
        <v>1104</v>
      </c>
      <c r="B71" s="9" t="s">
        <v>1105</v>
      </c>
      <c r="C71" s="9" t="s">
        <v>780</v>
      </c>
      <c r="D71" s="9" t="s">
        <v>40</v>
      </c>
      <c r="E71" s="9" t="s">
        <v>11</v>
      </c>
      <c r="F71" s="9" t="s">
        <v>1109</v>
      </c>
      <c r="G71" s="9">
        <v>65</v>
      </c>
      <c r="H71" s="9">
        <v>3</v>
      </c>
      <c r="I71" s="9">
        <v>1.0149999999999999</v>
      </c>
      <c r="J71" s="9">
        <v>264</v>
      </c>
      <c r="K71" s="9" t="s">
        <v>442</v>
      </c>
      <c r="L71" s="9"/>
      <c r="M71" s="9"/>
      <c r="N71" s="9" t="str">
        <f ca="1">IFERROR(__xludf.DUMMYFUNCTION("IFERROR(VALUE(REGEXEXTRACT(TO_TEXT($F71), N$1 &amp; ""x(\d+)"")), """")
"),"")</f>
        <v/>
      </c>
      <c r="O71" s="9">
        <f ca="1">IFERROR(__xludf.DUMMYFUNCTION("IFERROR(VALUE(REGEXEXTRACT(TO_TEXT($F71), O$1 &amp; ""x(\d+)"")), """")"),1)</f>
        <v>1</v>
      </c>
      <c r="P71" s="9" t="str">
        <f ca="1">IFERROR(__xludf.DUMMYFUNCTION("IFERROR(VALUE(REGEXEXTRACT(TO_TEXT($F71), P$1 &amp; ""x(\d+)"")), """")"),"")</f>
        <v/>
      </c>
      <c r="Q71" s="9" t="str">
        <f ca="1">IFERROR(__xludf.DUMMYFUNCTION("IFERROR(VALUE(REGEXEXTRACT(TO_TEXT($F71), Q$1 &amp; ""x(\d+)"")), """")"),"")</f>
        <v/>
      </c>
      <c r="R71" s="9" t="str">
        <f ca="1">IFERROR(__xludf.DUMMYFUNCTION("IFERROR(VALUE(REGEXEXTRACT(TO_TEXT($F71), R$1 &amp; ""x(\d+)"")), """")"),"")</f>
        <v/>
      </c>
      <c r="S71" s="9" t="str">
        <f ca="1">IFERROR(__xludf.DUMMYFUNCTION("IFERROR(VALUE(REGEXEXTRACT(TO_TEXT($F71), S$1 &amp; ""x(\d+)"")), """")"),"")</f>
        <v/>
      </c>
      <c r="T71" s="9" t="str">
        <f ca="1">IFERROR(__xludf.DUMMYFUNCTION("IFERROR(VALUE(REGEXEXTRACT(TO_TEXT($F71), T$1 &amp; ""x(\d+)"")), """")"),"")</f>
        <v/>
      </c>
      <c r="U71" s="9" t="str">
        <f ca="1">IFERROR(__xludf.DUMMYFUNCTION("IFERROR(VALUE(REGEXEXTRACT(TO_TEXT($F71), U$1 &amp; ""x(\d+)"")), """")"),"")</f>
        <v/>
      </c>
      <c r="V71" s="9" t="str">
        <f ca="1">IFERROR(__xludf.DUMMYFUNCTION("IFERROR(VALUE(REGEXEXTRACT(TO_TEXT($F71), V$1 &amp; ""x(\d+)"")), """")"),"")</f>
        <v/>
      </c>
      <c r="W71" s="9"/>
      <c r="X71" s="9"/>
      <c r="Y71" s="9"/>
      <c r="Z71" s="9"/>
    </row>
    <row r="72" spans="1:26" ht="15.75" hidden="1" customHeight="1">
      <c r="A72" s="9" t="s">
        <v>1104</v>
      </c>
      <c r="B72" s="9" t="s">
        <v>1105</v>
      </c>
      <c r="C72" s="9" t="s">
        <v>780</v>
      </c>
      <c r="D72" s="9" t="s">
        <v>40</v>
      </c>
      <c r="E72" s="9" t="s">
        <v>12</v>
      </c>
      <c r="F72" s="9" t="s">
        <v>1110</v>
      </c>
      <c r="G72" s="9">
        <v>130</v>
      </c>
      <c r="H72" s="9">
        <v>3</v>
      </c>
      <c r="I72" s="9">
        <v>1.0149999999999999</v>
      </c>
      <c r="J72" s="9">
        <v>264</v>
      </c>
      <c r="K72" s="9" t="s">
        <v>442</v>
      </c>
      <c r="L72" s="9" t="s">
        <v>1015</v>
      </c>
      <c r="M72" s="9"/>
      <c r="N72" s="9" t="str">
        <f ca="1">IFERROR(__xludf.DUMMYFUNCTION("IFERROR(VALUE(REGEXEXTRACT(TO_TEXT($F72), N$1 &amp; ""x(\d+)"")), """")
"),"")</f>
        <v/>
      </c>
      <c r="O72" s="9" t="str">
        <f ca="1">IFERROR(__xludf.DUMMYFUNCTION("IFERROR(VALUE(REGEXEXTRACT(TO_TEXT($F72), O$1 &amp; ""x(\d+)"")), """")"),"")</f>
        <v/>
      </c>
      <c r="P72" s="9" t="str">
        <f ca="1">IFERROR(__xludf.DUMMYFUNCTION("IFERROR(VALUE(REGEXEXTRACT(TO_TEXT($F72), P$1 &amp; ""x(\d+)"")), """")"),"")</f>
        <v/>
      </c>
      <c r="Q72" s="9" t="str">
        <f ca="1">IFERROR(__xludf.DUMMYFUNCTION("IFERROR(VALUE(REGEXEXTRACT(TO_TEXT($F72), Q$1 &amp; ""x(\d+)"")), """")"),"")</f>
        <v/>
      </c>
      <c r="R72" s="9" t="str">
        <f ca="1">IFERROR(__xludf.DUMMYFUNCTION("IFERROR(VALUE(REGEXEXTRACT(TO_TEXT($F72), R$1 &amp; ""x(\d+)"")), """")"),"")</f>
        <v/>
      </c>
      <c r="S72" s="9">
        <f ca="1">IFERROR(__xludf.DUMMYFUNCTION("IFERROR(VALUE(REGEXEXTRACT(TO_TEXT($F72), S$1 &amp; ""x(\d+)"")), """")"),1)</f>
        <v>1</v>
      </c>
      <c r="T72" s="9" t="str">
        <f ca="1">IFERROR(__xludf.DUMMYFUNCTION("IFERROR(VALUE(REGEXEXTRACT(TO_TEXT($F72), T$1 &amp; ""x(\d+)"")), """")"),"")</f>
        <v/>
      </c>
      <c r="U72" s="9" t="str">
        <f ca="1">IFERROR(__xludf.DUMMYFUNCTION("IFERROR(VALUE(REGEXEXTRACT(TO_TEXT($F72), U$1 &amp; ""x(\d+)"")), """")"),"")</f>
        <v/>
      </c>
      <c r="V72" s="9" t="str">
        <f ca="1">IFERROR(__xludf.DUMMYFUNCTION("IFERROR(VALUE(REGEXEXTRACT(TO_TEXT($F72), V$1 &amp; ""x(\d+)"")), """")"),"")</f>
        <v/>
      </c>
      <c r="W72" s="9"/>
      <c r="X72" s="9"/>
      <c r="Y72" s="9"/>
      <c r="Z72" s="9"/>
    </row>
    <row r="73" spans="1:26" ht="15.75" hidden="1" customHeight="1">
      <c r="A73" s="9" t="s">
        <v>1104</v>
      </c>
      <c r="B73" s="9" t="s">
        <v>1105</v>
      </c>
      <c r="C73" s="9" t="s">
        <v>780</v>
      </c>
      <c r="D73" s="9" t="s">
        <v>40</v>
      </c>
      <c r="E73" s="9" t="s">
        <v>13</v>
      </c>
      <c r="F73" s="9" t="s">
        <v>1111</v>
      </c>
      <c r="G73" s="9">
        <v>30</v>
      </c>
      <c r="H73" s="9">
        <v>3</v>
      </c>
      <c r="I73" s="9">
        <v>1.0149999999999999</v>
      </c>
      <c r="J73" s="9">
        <v>264</v>
      </c>
      <c r="K73" s="9" t="s">
        <v>442</v>
      </c>
      <c r="L73" s="9"/>
      <c r="M73" s="9"/>
      <c r="N73" s="9" t="str">
        <f ca="1">IFERROR(__xludf.DUMMYFUNCTION("IFERROR(VALUE(REGEXEXTRACT(TO_TEXT($F73), N$1 &amp; ""x(\d+)"")), """")
"),"")</f>
        <v/>
      </c>
      <c r="O73" s="9" t="str">
        <f ca="1">IFERROR(__xludf.DUMMYFUNCTION("IFERROR(VALUE(REGEXEXTRACT(TO_TEXT($F73), O$1 &amp; ""x(\d+)"")), """")"),"")</f>
        <v/>
      </c>
      <c r="P73" s="9" t="str">
        <f ca="1">IFERROR(__xludf.DUMMYFUNCTION("IFERROR(VALUE(REGEXEXTRACT(TO_TEXT($F73), P$1 &amp; ""x(\d+)"")), """")"),"")</f>
        <v/>
      </c>
      <c r="Q73" s="9" t="str">
        <f ca="1">IFERROR(__xludf.DUMMYFUNCTION("IFERROR(VALUE(REGEXEXTRACT(TO_TEXT($F73), Q$1 &amp; ""x(\d+)"")), """")"),"")</f>
        <v/>
      </c>
      <c r="R73" s="9" t="str">
        <f ca="1">IFERROR(__xludf.DUMMYFUNCTION("IFERROR(VALUE(REGEXEXTRACT(TO_TEXT($F73), R$1 &amp; ""x(\d+)"")), """")"),"")</f>
        <v/>
      </c>
      <c r="S73" s="9">
        <f ca="1">IFERROR(__xludf.DUMMYFUNCTION("IFERROR(VALUE(REGEXEXTRACT(TO_TEXT($F73), S$1 &amp; ""x(\d+)"")), """")"),1)</f>
        <v>1</v>
      </c>
      <c r="T73" s="9" t="str">
        <f ca="1">IFERROR(__xludf.DUMMYFUNCTION("IFERROR(VALUE(REGEXEXTRACT(TO_TEXT($F73), T$1 &amp; ""x(\d+)"")), """")"),"")</f>
        <v/>
      </c>
      <c r="U73" s="9" t="str">
        <f ca="1">IFERROR(__xludf.DUMMYFUNCTION("IFERROR(VALUE(REGEXEXTRACT(TO_TEXT($F73), U$1 &amp; ""x(\d+)"")), """")"),"")</f>
        <v/>
      </c>
      <c r="V73" s="9" t="str">
        <f ca="1">IFERROR(__xludf.DUMMYFUNCTION("IFERROR(VALUE(REGEXEXTRACT(TO_TEXT($F73), V$1 &amp; ""x(\d+)"")), """")"),"")</f>
        <v/>
      </c>
      <c r="W73" s="9"/>
      <c r="X73" s="9"/>
      <c r="Y73" s="9"/>
      <c r="Z73" s="9"/>
    </row>
    <row r="74" spans="1:26" ht="15.75" customHeight="1">
      <c r="A74" s="9" t="s">
        <v>83</v>
      </c>
      <c r="B74" s="9" t="s">
        <v>1112</v>
      </c>
      <c r="C74" s="9" t="s">
        <v>84</v>
      </c>
      <c r="D74" s="9" t="s">
        <v>33</v>
      </c>
      <c r="E74" s="9" t="s">
        <v>11</v>
      </c>
      <c r="F74" s="9" t="s">
        <v>1113</v>
      </c>
      <c r="G74" s="9">
        <v>55</v>
      </c>
      <c r="H74" s="9">
        <v>4</v>
      </c>
      <c r="I74" s="9">
        <v>1.0149999999999999</v>
      </c>
      <c r="J74" s="9">
        <v>107</v>
      </c>
      <c r="K74" s="9" t="s">
        <v>442</v>
      </c>
      <c r="L74" s="9"/>
      <c r="M74" s="9"/>
      <c r="N74" s="9" t="str">
        <f ca="1">IFERROR(__xludf.DUMMYFUNCTION("IFERROR(VALUE(REGEXEXTRACT(TO_TEXT($F74), N$1 &amp; ""x(\d+)"")), """")
"),"")</f>
        <v/>
      </c>
      <c r="O74" s="9">
        <f ca="1">IFERROR(__xludf.DUMMYFUNCTION("IFERROR(VALUE(REGEXEXTRACT(TO_TEXT($F74), O$1 &amp; ""x(\d+)"")), """")"),1)</f>
        <v>1</v>
      </c>
      <c r="P74" s="9" t="str">
        <f ca="1">IFERROR(__xludf.DUMMYFUNCTION("IFERROR(VALUE(REGEXEXTRACT(TO_TEXT($F74), P$1 &amp; ""x(\d+)"")), """")"),"")</f>
        <v/>
      </c>
      <c r="Q74" s="9" t="str">
        <f ca="1">IFERROR(__xludf.DUMMYFUNCTION("IFERROR(VALUE(REGEXEXTRACT(TO_TEXT($F74), Q$1 &amp; ""x(\d+)"")), """")"),"")</f>
        <v/>
      </c>
      <c r="R74" s="9" t="str">
        <f ca="1">IFERROR(__xludf.DUMMYFUNCTION("IFERROR(VALUE(REGEXEXTRACT(TO_TEXT($F74), R$1 &amp; ""x(\d+)"")), """")"),"")</f>
        <v/>
      </c>
      <c r="S74" s="9" t="str">
        <f ca="1">IFERROR(__xludf.DUMMYFUNCTION("IFERROR(VALUE(REGEXEXTRACT(TO_TEXT($F74), S$1 &amp; ""x(\d+)"")), """")"),"")</f>
        <v/>
      </c>
      <c r="T74" s="9" t="str">
        <f ca="1">IFERROR(__xludf.DUMMYFUNCTION("IFERROR(VALUE(REGEXEXTRACT(TO_TEXT($F74), T$1 &amp; ""x(\d+)"")), """")"),"")</f>
        <v/>
      </c>
      <c r="U74" s="9" t="str">
        <f ca="1">IFERROR(__xludf.DUMMYFUNCTION("IFERROR(VALUE(REGEXEXTRACT(TO_TEXT($F74), U$1 &amp; ""x(\d+)"")), """")"),"")</f>
        <v/>
      </c>
      <c r="V74" s="9" t="str">
        <f ca="1">IFERROR(__xludf.DUMMYFUNCTION("IFERROR(VALUE(REGEXEXTRACT(TO_TEXT($F74), V$1 &amp; ""x(\d+)"")), """")"),"")</f>
        <v/>
      </c>
      <c r="W74" s="9"/>
      <c r="X74" s="9"/>
      <c r="Y74" s="9"/>
      <c r="Z74" s="9"/>
    </row>
    <row r="75" spans="1:26" ht="15.75" customHeight="1">
      <c r="A75" s="9" t="s">
        <v>83</v>
      </c>
      <c r="B75" s="9" t="s">
        <v>1112</v>
      </c>
      <c r="C75" s="9" t="s">
        <v>84</v>
      </c>
      <c r="D75" s="9" t="s">
        <v>33</v>
      </c>
      <c r="E75" s="9" t="s">
        <v>12</v>
      </c>
      <c r="F75" s="9" t="s">
        <v>1114</v>
      </c>
      <c r="G75" s="9">
        <v>130</v>
      </c>
      <c r="H75" s="9">
        <v>4</v>
      </c>
      <c r="I75" s="9">
        <v>1.0149999999999999</v>
      </c>
      <c r="J75" s="9">
        <v>107</v>
      </c>
      <c r="K75" s="9" t="s">
        <v>442</v>
      </c>
      <c r="L75" s="9"/>
      <c r="M75" s="9"/>
      <c r="N75" s="9" t="str">
        <f ca="1">IFERROR(__xludf.DUMMYFUNCTION("IFERROR(VALUE(REGEXEXTRACT(TO_TEXT($F75), N$1 &amp; ""x(\d+)"")), """")
"),"")</f>
        <v/>
      </c>
      <c r="O75" s="9" t="str">
        <f ca="1">IFERROR(__xludf.DUMMYFUNCTION("IFERROR(VALUE(REGEXEXTRACT(TO_TEXT($F75), O$1 &amp; ""x(\d+)"")), """")"),"")</f>
        <v/>
      </c>
      <c r="P75" s="9" t="str">
        <f ca="1">IFERROR(__xludf.DUMMYFUNCTION("IFERROR(VALUE(REGEXEXTRACT(TO_TEXT($F75), P$1 &amp; ""x(\d+)"")), """")"),"")</f>
        <v/>
      </c>
      <c r="Q75" s="9" t="str">
        <f ca="1">IFERROR(__xludf.DUMMYFUNCTION("IFERROR(VALUE(REGEXEXTRACT(TO_TEXT($F75), Q$1 &amp; ""x(\d+)"")), """")"),"")</f>
        <v/>
      </c>
      <c r="R75" s="9" t="str">
        <f ca="1">IFERROR(__xludf.DUMMYFUNCTION("IFERROR(VALUE(REGEXEXTRACT(TO_TEXT($F75), R$1 &amp; ""x(\d+)"")), """")"),"")</f>
        <v/>
      </c>
      <c r="S75" s="9">
        <f ca="1">IFERROR(__xludf.DUMMYFUNCTION("IFERROR(VALUE(REGEXEXTRACT(TO_TEXT($F75), S$1 &amp; ""x(\d+)"")), """")"),1)</f>
        <v>1</v>
      </c>
      <c r="T75" s="9" t="str">
        <f ca="1">IFERROR(__xludf.DUMMYFUNCTION("IFERROR(VALUE(REGEXEXTRACT(TO_TEXT($F75), T$1 &amp; ""x(\d+)"")), """")"),"")</f>
        <v/>
      </c>
      <c r="U75" s="9" t="str">
        <f ca="1">IFERROR(__xludf.DUMMYFUNCTION("IFERROR(VALUE(REGEXEXTRACT(TO_TEXT($F75), U$1 &amp; ""x(\d+)"")), """")"),"")</f>
        <v/>
      </c>
      <c r="V75" s="9" t="str">
        <f ca="1">IFERROR(__xludf.DUMMYFUNCTION("IFERROR(VALUE(REGEXEXTRACT(TO_TEXT($F75), V$1 &amp; ""x(\d+)"")), """")"),"")</f>
        <v/>
      </c>
      <c r="W75" s="9"/>
      <c r="X75" s="9"/>
      <c r="Y75" s="9"/>
      <c r="Z75" s="9"/>
    </row>
    <row r="76" spans="1:26" ht="15.75" customHeight="1">
      <c r="A76" s="9" t="s">
        <v>83</v>
      </c>
      <c r="B76" s="9" t="s">
        <v>1112</v>
      </c>
      <c r="C76" s="9" t="s">
        <v>84</v>
      </c>
      <c r="D76" s="9" t="s">
        <v>33</v>
      </c>
      <c r="E76" s="9" t="s">
        <v>13</v>
      </c>
      <c r="F76" s="9" t="s">
        <v>1115</v>
      </c>
      <c r="G76" s="9">
        <v>30</v>
      </c>
      <c r="H76" s="9">
        <v>4</v>
      </c>
      <c r="I76" s="9">
        <v>1.0149999999999999</v>
      </c>
      <c r="J76" s="9">
        <v>107</v>
      </c>
      <c r="K76" s="9" t="s">
        <v>442</v>
      </c>
      <c r="L76" s="9"/>
      <c r="M76" s="9"/>
      <c r="N76" s="9" t="str">
        <f ca="1">IFERROR(__xludf.DUMMYFUNCTION("IFERROR(VALUE(REGEXEXTRACT(TO_TEXT($F76), N$1 &amp; ""x(\d+)"")), """")
"),"")</f>
        <v/>
      </c>
      <c r="O76" s="9" t="str">
        <f ca="1">IFERROR(__xludf.DUMMYFUNCTION("IFERROR(VALUE(REGEXEXTRACT(TO_TEXT($F76), O$1 &amp; ""x(\d+)"")), """")"),"")</f>
        <v/>
      </c>
      <c r="P76" s="9" t="str">
        <f ca="1">IFERROR(__xludf.DUMMYFUNCTION("IFERROR(VALUE(REGEXEXTRACT(TO_TEXT($F76), P$1 &amp; ""x(\d+)"")), """")"),"")</f>
        <v/>
      </c>
      <c r="Q76" s="9" t="str">
        <f ca="1">IFERROR(__xludf.DUMMYFUNCTION("IFERROR(VALUE(REGEXEXTRACT(TO_TEXT($F76), Q$1 &amp; ""x(\d+)"")), """")"),"")</f>
        <v/>
      </c>
      <c r="R76" s="9" t="str">
        <f ca="1">IFERROR(__xludf.DUMMYFUNCTION("IFERROR(VALUE(REGEXEXTRACT(TO_TEXT($F76), R$1 &amp; ""x(\d+)"")), """")"),"")</f>
        <v/>
      </c>
      <c r="S76" s="9">
        <f ca="1">IFERROR(__xludf.DUMMYFUNCTION("IFERROR(VALUE(REGEXEXTRACT(TO_TEXT($F76), S$1 &amp; ""x(\d+)"")), """")"),1)</f>
        <v>1</v>
      </c>
      <c r="T76" s="9" t="str">
        <f ca="1">IFERROR(__xludf.DUMMYFUNCTION("IFERROR(VALUE(REGEXEXTRACT(TO_TEXT($F76), T$1 &amp; ""x(\d+)"")), """")"),"")</f>
        <v/>
      </c>
      <c r="U76" s="9" t="str">
        <f ca="1">IFERROR(__xludf.DUMMYFUNCTION("IFERROR(VALUE(REGEXEXTRACT(TO_TEXT($F76), U$1 &amp; ""x(\d+)"")), """")"),"")</f>
        <v/>
      </c>
      <c r="V76" s="9" t="str">
        <f ca="1">IFERROR(__xludf.DUMMYFUNCTION("IFERROR(VALUE(REGEXEXTRACT(TO_TEXT($F76), V$1 &amp; ""x(\d+)"")), """")"),"")</f>
        <v/>
      </c>
      <c r="W76" s="9"/>
      <c r="X76" s="9"/>
      <c r="Y76" s="9"/>
      <c r="Z76" s="9"/>
    </row>
    <row r="77" spans="1:26" ht="15.75" hidden="1" customHeight="1">
      <c r="A77" s="9" t="s">
        <v>83</v>
      </c>
      <c r="B77" s="9" t="s">
        <v>1112</v>
      </c>
      <c r="C77" s="9" t="s">
        <v>84</v>
      </c>
      <c r="D77" s="9" t="s">
        <v>40</v>
      </c>
      <c r="E77" s="9" t="s">
        <v>11</v>
      </c>
      <c r="F77" s="9" t="s">
        <v>1116</v>
      </c>
      <c r="G77" s="9">
        <v>55</v>
      </c>
      <c r="H77" s="9">
        <v>3</v>
      </c>
      <c r="I77" s="9">
        <v>1.0149999999999999</v>
      </c>
      <c r="J77" s="9">
        <v>410</v>
      </c>
      <c r="K77" s="9" t="s">
        <v>442</v>
      </c>
      <c r="L77" s="9"/>
      <c r="M77" s="9"/>
      <c r="N77" s="9" t="str">
        <f ca="1">IFERROR(__xludf.DUMMYFUNCTION("IFERROR(VALUE(REGEXEXTRACT(TO_TEXT($F77), N$1 &amp; ""x(\d+)"")), """")
"),"")</f>
        <v/>
      </c>
      <c r="O77" s="9">
        <f ca="1">IFERROR(__xludf.DUMMYFUNCTION("IFERROR(VALUE(REGEXEXTRACT(TO_TEXT($F77), O$1 &amp; ""x(\d+)"")), """")"),1)</f>
        <v>1</v>
      </c>
      <c r="P77" s="9" t="str">
        <f ca="1">IFERROR(__xludf.DUMMYFUNCTION("IFERROR(VALUE(REGEXEXTRACT(TO_TEXT($F77), P$1 &amp; ""x(\d+)"")), """")"),"")</f>
        <v/>
      </c>
      <c r="Q77" s="9" t="str">
        <f ca="1">IFERROR(__xludf.DUMMYFUNCTION("IFERROR(VALUE(REGEXEXTRACT(TO_TEXT($F77), Q$1 &amp; ""x(\d+)"")), """")"),"")</f>
        <v/>
      </c>
      <c r="R77" s="9" t="str">
        <f ca="1">IFERROR(__xludf.DUMMYFUNCTION("IFERROR(VALUE(REGEXEXTRACT(TO_TEXT($F77), R$1 &amp; ""x(\d+)"")), """")"),"")</f>
        <v/>
      </c>
      <c r="S77" s="9" t="str">
        <f ca="1">IFERROR(__xludf.DUMMYFUNCTION("IFERROR(VALUE(REGEXEXTRACT(TO_TEXT($F77), S$1 &amp; ""x(\d+)"")), """")"),"")</f>
        <v/>
      </c>
      <c r="T77" s="9" t="str">
        <f ca="1">IFERROR(__xludf.DUMMYFUNCTION("IFERROR(VALUE(REGEXEXTRACT(TO_TEXT($F77), T$1 &amp; ""x(\d+)"")), """")"),"")</f>
        <v/>
      </c>
      <c r="U77" s="9" t="str">
        <f ca="1">IFERROR(__xludf.DUMMYFUNCTION("IFERROR(VALUE(REGEXEXTRACT(TO_TEXT($F77), U$1 &amp; ""x(\d+)"")), """")"),"")</f>
        <v/>
      </c>
      <c r="V77" s="9" t="str">
        <f ca="1">IFERROR(__xludf.DUMMYFUNCTION("IFERROR(VALUE(REGEXEXTRACT(TO_TEXT($F77), V$1 &amp; ""x(\d+)"")), """")"),"")</f>
        <v/>
      </c>
      <c r="W77" s="9"/>
      <c r="X77" s="9"/>
      <c r="Y77" s="9"/>
      <c r="Z77" s="9"/>
    </row>
    <row r="78" spans="1:26" ht="15.75" hidden="1" customHeight="1">
      <c r="A78" s="9" t="s">
        <v>83</v>
      </c>
      <c r="B78" s="9" t="s">
        <v>1112</v>
      </c>
      <c r="C78" s="9" t="s">
        <v>84</v>
      </c>
      <c r="D78" s="9" t="s">
        <v>40</v>
      </c>
      <c r="E78" s="9" t="s">
        <v>12</v>
      </c>
      <c r="F78" s="9" t="s">
        <v>1110</v>
      </c>
      <c r="G78" s="9">
        <v>130</v>
      </c>
      <c r="H78" s="9">
        <v>3</v>
      </c>
      <c r="I78" s="9">
        <v>1.0149999999999999</v>
      </c>
      <c r="J78" s="9">
        <v>410</v>
      </c>
      <c r="K78" s="9" t="s">
        <v>442</v>
      </c>
      <c r="L78" s="9" t="s">
        <v>1015</v>
      </c>
      <c r="M78" s="9"/>
      <c r="N78" s="9" t="str">
        <f ca="1">IFERROR(__xludf.DUMMYFUNCTION("IFERROR(VALUE(REGEXEXTRACT(TO_TEXT($F78), N$1 &amp; ""x(\d+)"")), """")
"),"")</f>
        <v/>
      </c>
      <c r="O78" s="9" t="str">
        <f ca="1">IFERROR(__xludf.DUMMYFUNCTION("IFERROR(VALUE(REGEXEXTRACT(TO_TEXT($F78), O$1 &amp; ""x(\d+)"")), """")"),"")</f>
        <v/>
      </c>
      <c r="P78" s="9" t="str">
        <f ca="1">IFERROR(__xludf.DUMMYFUNCTION("IFERROR(VALUE(REGEXEXTRACT(TO_TEXT($F78), P$1 &amp; ""x(\d+)"")), """")"),"")</f>
        <v/>
      </c>
      <c r="Q78" s="9" t="str">
        <f ca="1">IFERROR(__xludf.DUMMYFUNCTION("IFERROR(VALUE(REGEXEXTRACT(TO_TEXT($F78), Q$1 &amp; ""x(\d+)"")), """")"),"")</f>
        <v/>
      </c>
      <c r="R78" s="9" t="str">
        <f ca="1">IFERROR(__xludf.DUMMYFUNCTION("IFERROR(VALUE(REGEXEXTRACT(TO_TEXT($F78), R$1 &amp; ""x(\d+)"")), """")"),"")</f>
        <v/>
      </c>
      <c r="S78" s="9">
        <f ca="1">IFERROR(__xludf.DUMMYFUNCTION("IFERROR(VALUE(REGEXEXTRACT(TO_TEXT($F78), S$1 &amp; ""x(\d+)"")), """")"),1)</f>
        <v>1</v>
      </c>
      <c r="T78" s="9" t="str">
        <f ca="1">IFERROR(__xludf.DUMMYFUNCTION("IFERROR(VALUE(REGEXEXTRACT(TO_TEXT($F78), T$1 &amp; ""x(\d+)"")), """")"),"")</f>
        <v/>
      </c>
      <c r="U78" s="9" t="str">
        <f ca="1">IFERROR(__xludf.DUMMYFUNCTION("IFERROR(VALUE(REGEXEXTRACT(TO_TEXT($F78), U$1 &amp; ""x(\d+)"")), """")"),"")</f>
        <v/>
      </c>
      <c r="V78" s="9" t="str">
        <f ca="1">IFERROR(__xludf.DUMMYFUNCTION("IFERROR(VALUE(REGEXEXTRACT(TO_TEXT($F78), V$1 &amp; ""x(\d+)"")), """")"),"")</f>
        <v/>
      </c>
      <c r="W78" s="9"/>
      <c r="X78" s="9"/>
      <c r="Y78" s="9"/>
      <c r="Z78" s="9"/>
    </row>
    <row r="79" spans="1:26" ht="15.75" hidden="1" customHeight="1">
      <c r="A79" s="9" t="s">
        <v>83</v>
      </c>
      <c r="B79" s="9" t="s">
        <v>1112</v>
      </c>
      <c r="C79" s="9" t="s">
        <v>84</v>
      </c>
      <c r="D79" s="9" t="s">
        <v>40</v>
      </c>
      <c r="E79" s="9" t="s">
        <v>13</v>
      </c>
      <c r="F79" s="9" t="s">
        <v>1111</v>
      </c>
      <c r="G79" s="9">
        <v>30</v>
      </c>
      <c r="H79" s="9">
        <v>3</v>
      </c>
      <c r="I79" s="9">
        <v>1.0149999999999999</v>
      </c>
      <c r="J79" s="9">
        <v>410</v>
      </c>
      <c r="K79" s="9" t="s">
        <v>442</v>
      </c>
      <c r="L79" s="9"/>
      <c r="M79" s="9"/>
      <c r="N79" s="9" t="str">
        <f ca="1">IFERROR(__xludf.DUMMYFUNCTION("IFERROR(VALUE(REGEXEXTRACT(TO_TEXT($F79), N$1 &amp; ""x(\d+)"")), """")
"),"")</f>
        <v/>
      </c>
      <c r="O79" s="9" t="str">
        <f ca="1">IFERROR(__xludf.DUMMYFUNCTION("IFERROR(VALUE(REGEXEXTRACT(TO_TEXT($F79), O$1 &amp; ""x(\d+)"")), """")"),"")</f>
        <v/>
      </c>
      <c r="P79" s="9" t="str">
        <f ca="1">IFERROR(__xludf.DUMMYFUNCTION("IFERROR(VALUE(REGEXEXTRACT(TO_TEXT($F79), P$1 &amp; ""x(\d+)"")), """")"),"")</f>
        <v/>
      </c>
      <c r="Q79" s="9" t="str">
        <f ca="1">IFERROR(__xludf.DUMMYFUNCTION("IFERROR(VALUE(REGEXEXTRACT(TO_TEXT($F79), Q$1 &amp; ""x(\d+)"")), """")"),"")</f>
        <v/>
      </c>
      <c r="R79" s="9" t="str">
        <f ca="1">IFERROR(__xludf.DUMMYFUNCTION("IFERROR(VALUE(REGEXEXTRACT(TO_TEXT($F79), R$1 &amp; ""x(\d+)"")), """")"),"")</f>
        <v/>
      </c>
      <c r="S79" s="9">
        <f ca="1">IFERROR(__xludf.DUMMYFUNCTION("IFERROR(VALUE(REGEXEXTRACT(TO_TEXT($F79), S$1 &amp; ""x(\d+)"")), """")"),1)</f>
        <v>1</v>
      </c>
      <c r="T79" s="9" t="str">
        <f ca="1">IFERROR(__xludf.DUMMYFUNCTION("IFERROR(VALUE(REGEXEXTRACT(TO_TEXT($F79), T$1 &amp; ""x(\d+)"")), """")"),"")</f>
        <v/>
      </c>
      <c r="U79" s="9" t="str">
        <f ca="1">IFERROR(__xludf.DUMMYFUNCTION("IFERROR(VALUE(REGEXEXTRACT(TO_TEXT($F79), U$1 &amp; ""x(\d+)"")), """")"),"")</f>
        <v/>
      </c>
      <c r="V79" s="9" t="str">
        <f ca="1">IFERROR(__xludf.DUMMYFUNCTION("IFERROR(VALUE(REGEXEXTRACT(TO_TEXT($F79), V$1 &amp; ""x(\d+)"")), """")"),"")</f>
        <v/>
      </c>
      <c r="W79" s="9"/>
      <c r="X79" s="9"/>
      <c r="Y79" s="9"/>
      <c r="Z79" s="9"/>
    </row>
    <row r="80" spans="1:26" ht="15.75" hidden="1" customHeight="1">
      <c r="A80" s="9" t="s">
        <v>1117</v>
      </c>
      <c r="B80" s="9" t="s">
        <v>1112</v>
      </c>
      <c r="C80" s="9" t="s">
        <v>774</v>
      </c>
      <c r="D80" s="9" t="s">
        <v>40</v>
      </c>
      <c r="E80" s="9" t="s">
        <v>11</v>
      </c>
      <c r="F80" s="9" t="s">
        <v>1116</v>
      </c>
      <c r="G80" s="9">
        <v>55</v>
      </c>
      <c r="H80" s="9">
        <v>3</v>
      </c>
      <c r="I80" s="9">
        <v>1.0149999999999999</v>
      </c>
      <c r="J80" s="9">
        <v>410</v>
      </c>
      <c r="K80" s="9" t="s">
        <v>442</v>
      </c>
      <c r="L80" s="9"/>
      <c r="M80" s="9"/>
      <c r="N80" s="9" t="str">
        <f ca="1">IFERROR(__xludf.DUMMYFUNCTION("IFERROR(VALUE(REGEXEXTRACT(TO_TEXT($F80), N$1 &amp; ""x(\d+)"")), """")
"),"")</f>
        <v/>
      </c>
      <c r="O80" s="9">
        <f ca="1">IFERROR(__xludf.DUMMYFUNCTION("IFERROR(VALUE(REGEXEXTRACT(TO_TEXT($F80), O$1 &amp; ""x(\d+)"")), """")"),1)</f>
        <v>1</v>
      </c>
      <c r="P80" s="9" t="str">
        <f ca="1">IFERROR(__xludf.DUMMYFUNCTION("IFERROR(VALUE(REGEXEXTRACT(TO_TEXT($F80), P$1 &amp; ""x(\d+)"")), """")"),"")</f>
        <v/>
      </c>
      <c r="Q80" s="9" t="str">
        <f ca="1">IFERROR(__xludf.DUMMYFUNCTION("IFERROR(VALUE(REGEXEXTRACT(TO_TEXT($F80), Q$1 &amp; ""x(\d+)"")), """")"),"")</f>
        <v/>
      </c>
      <c r="R80" s="9" t="str">
        <f ca="1">IFERROR(__xludf.DUMMYFUNCTION("IFERROR(VALUE(REGEXEXTRACT(TO_TEXT($F80), R$1 &amp; ""x(\d+)"")), """")"),"")</f>
        <v/>
      </c>
      <c r="S80" s="9" t="str">
        <f ca="1">IFERROR(__xludf.DUMMYFUNCTION("IFERROR(VALUE(REGEXEXTRACT(TO_TEXT($F80), S$1 &amp; ""x(\d+)"")), """")"),"")</f>
        <v/>
      </c>
      <c r="T80" s="9" t="str">
        <f ca="1">IFERROR(__xludf.DUMMYFUNCTION("IFERROR(VALUE(REGEXEXTRACT(TO_TEXT($F80), T$1 &amp; ""x(\d+)"")), """")"),"")</f>
        <v/>
      </c>
      <c r="U80" s="9" t="str">
        <f ca="1">IFERROR(__xludf.DUMMYFUNCTION("IFERROR(VALUE(REGEXEXTRACT(TO_TEXT($F80), U$1 &amp; ""x(\d+)"")), """")"),"")</f>
        <v/>
      </c>
      <c r="V80" s="9" t="str">
        <f ca="1">IFERROR(__xludf.DUMMYFUNCTION("IFERROR(VALUE(REGEXEXTRACT(TO_TEXT($F80), V$1 &amp; ""x(\d+)"")), """")"),"")</f>
        <v/>
      </c>
      <c r="W80" s="9"/>
      <c r="X80" s="9"/>
      <c r="Y80" s="9"/>
      <c r="Z80" s="9"/>
    </row>
    <row r="81" spans="1:26" ht="15.75" hidden="1" customHeight="1">
      <c r="A81" s="9" t="s">
        <v>1117</v>
      </c>
      <c r="B81" s="9" t="s">
        <v>1112</v>
      </c>
      <c r="C81" s="9" t="s">
        <v>774</v>
      </c>
      <c r="D81" s="9" t="s">
        <v>40</v>
      </c>
      <c r="E81" s="9" t="s">
        <v>12</v>
      </c>
      <c r="F81" s="9" t="s">
        <v>1110</v>
      </c>
      <c r="G81" s="9">
        <v>130</v>
      </c>
      <c r="H81" s="9">
        <v>3</v>
      </c>
      <c r="I81" s="9">
        <v>1.0149999999999999</v>
      </c>
      <c r="J81" s="9">
        <v>410</v>
      </c>
      <c r="K81" s="9" t="s">
        <v>442</v>
      </c>
      <c r="L81" s="9" t="s">
        <v>1015</v>
      </c>
      <c r="M81" s="9"/>
      <c r="N81" s="9" t="str">
        <f ca="1">IFERROR(__xludf.DUMMYFUNCTION("IFERROR(VALUE(REGEXEXTRACT(TO_TEXT($F81), N$1 &amp; ""x(\d+)"")), """")
"),"")</f>
        <v/>
      </c>
      <c r="O81" s="9" t="str">
        <f ca="1">IFERROR(__xludf.DUMMYFUNCTION("IFERROR(VALUE(REGEXEXTRACT(TO_TEXT($F81), O$1 &amp; ""x(\d+)"")), """")"),"")</f>
        <v/>
      </c>
      <c r="P81" s="9" t="str">
        <f ca="1">IFERROR(__xludf.DUMMYFUNCTION("IFERROR(VALUE(REGEXEXTRACT(TO_TEXT($F81), P$1 &amp; ""x(\d+)"")), """")"),"")</f>
        <v/>
      </c>
      <c r="Q81" s="9" t="str">
        <f ca="1">IFERROR(__xludf.DUMMYFUNCTION("IFERROR(VALUE(REGEXEXTRACT(TO_TEXT($F81), Q$1 &amp; ""x(\d+)"")), """")"),"")</f>
        <v/>
      </c>
      <c r="R81" s="9" t="str">
        <f ca="1">IFERROR(__xludf.DUMMYFUNCTION("IFERROR(VALUE(REGEXEXTRACT(TO_TEXT($F81), R$1 &amp; ""x(\d+)"")), """")"),"")</f>
        <v/>
      </c>
      <c r="S81" s="9">
        <f ca="1">IFERROR(__xludf.DUMMYFUNCTION("IFERROR(VALUE(REGEXEXTRACT(TO_TEXT($F81), S$1 &amp; ""x(\d+)"")), """")"),1)</f>
        <v>1</v>
      </c>
      <c r="T81" s="9" t="str">
        <f ca="1">IFERROR(__xludf.DUMMYFUNCTION("IFERROR(VALUE(REGEXEXTRACT(TO_TEXT($F81), T$1 &amp; ""x(\d+)"")), """")"),"")</f>
        <v/>
      </c>
      <c r="U81" s="9" t="str">
        <f ca="1">IFERROR(__xludf.DUMMYFUNCTION("IFERROR(VALUE(REGEXEXTRACT(TO_TEXT($F81), U$1 &amp; ""x(\d+)"")), """")"),"")</f>
        <v/>
      </c>
      <c r="V81" s="9" t="str">
        <f ca="1">IFERROR(__xludf.DUMMYFUNCTION("IFERROR(VALUE(REGEXEXTRACT(TO_TEXT($F81), V$1 &amp; ""x(\d+)"")), """")"),"")</f>
        <v/>
      </c>
      <c r="W81" s="9"/>
      <c r="X81" s="9"/>
      <c r="Y81" s="9"/>
      <c r="Z81" s="9"/>
    </row>
    <row r="82" spans="1:26" ht="15.75" hidden="1" customHeight="1">
      <c r="A82" s="9" t="s">
        <v>1117</v>
      </c>
      <c r="B82" s="9" t="s">
        <v>1112</v>
      </c>
      <c r="C82" s="9" t="s">
        <v>774</v>
      </c>
      <c r="D82" s="9" t="s">
        <v>40</v>
      </c>
      <c r="E82" s="9" t="s">
        <v>13</v>
      </c>
      <c r="F82" s="9" t="s">
        <v>1111</v>
      </c>
      <c r="G82" s="9">
        <v>30</v>
      </c>
      <c r="H82" s="9">
        <v>3</v>
      </c>
      <c r="I82" s="9">
        <v>1.0149999999999999</v>
      </c>
      <c r="J82" s="9">
        <v>410</v>
      </c>
      <c r="K82" s="9" t="s">
        <v>442</v>
      </c>
      <c r="L82" s="9"/>
      <c r="M82" s="9"/>
      <c r="N82" s="9" t="str">
        <f ca="1">IFERROR(__xludf.DUMMYFUNCTION("IFERROR(VALUE(REGEXEXTRACT(TO_TEXT($F82), N$1 &amp; ""x(\d+)"")), """")
"),"")</f>
        <v/>
      </c>
      <c r="O82" s="9" t="str">
        <f ca="1">IFERROR(__xludf.DUMMYFUNCTION("IFERROR(VALUE(REGEXEXTRACT(TO_TEXT($F82), O$1 &amp; ""x(\d+)"")), """")"),"")</f>
        <v/>
      </c>
      <c r="P82" s="9" t="str">
        <f ca="1">IFERROR(__xludf.DUMMYFUNCTION("IFERROR(VALUE(REGEXEXTRACT(TO_TEXT($F82), P$1 &amp; ""x(\d+)"")), """")"),"")</f>
        <v/>
      </c>
      <c r="Q82" s="9" t="str">
        <f ca="1">IFERROR(__xludf.DUMMYFUNCTION("IFERROR(VALUE(REGEXEXTRACT(TO_TEXT($F82), Q$1 &amp; ""x(\d+)"")), """")"),"")</f>
        <v/>
      </c>
      <c r="R82" s="9" t="str">
        <f ca="1">IFERROR(__xludf.DUMMYFUNCTION("IFERROR(VALUE(REGEXEXTRACT(TO_TEXT($F82), R$1 &amp; ""x(\d+)"")), """")"),"")</f>
        <v/>
      </c>
      <c r="S82" s="9">
        <f ca="1">IFERROR(__xludf.DUMMYFUNCTION("IFERROR(VALUE(REGEXEXTRACT(TO_TEXT($F82), S$1 &amp; ""x(\d+)"")), """")"),1)</f>
        <v>1</v>
      </c>
      <c r="T82" s="9" t="str">
        <f ca="1">IFERROR(__xludf.DUMMYFUNCTION("IFERROR(VALUE(REGEXEXTRACT(TO_TEXT($F82), T$1 &amp; ""x(\d+)"")), """")"),"")</f>
        <v/>
      </c>
      <c r="U82" s="9" t="str">
        <f ca="1">IFERROR(__xludf.DUMMYFUNCTION("IFERROR(VALUE(REGEXEXTRACT(TO_TEXT($F82), U$1 &amp; ""x(\d+)"")), """")"),"")</f>
        <v/>
      </c>
      <c r="V82" s="9" t="str">
        <f ca="1">IFERROR(__xludf.DUMMYFUNCTION("IFERROR(VALUE(REGEXEXTRACT(TO_TEXT($F82), V$1 &amp; ""x(\d+)"")), """")"),"")</f>
        <v/>
      </c>
      <c r="W82" s="9"/>
      <c r="X82" s="9"/>
      <c r="Y82" s="9"/>
      <c r="Z82" s="9"/>
    </row>
    <row r="83" spans="1:26" ht="15.75" customHeight="1">
      <c r="A83" s="9" t="s">
        <v>1117</v>
      </c>
      <c r="B83" s="9" t="s">
        <v>1112</v>
      </c>
      <c r="C83" s="9" t="s">
        <v>774</v>
      </c>
      <c r="D83" s="9" t="s">
        <v>33</v>
      </c>
      <c r="E83" s="9" t="s">
        <v>11</v>
      </c>
      <c r="F83" s="9" t="s">
        <v>1116</v>
      </c>
      <c r="G83" s="9">
        <v>55</v>
      </c>
      <c r="H83" s="9">
        <v>3</v>
      </c>
      <c r="I83" s="9">
        <v>1.0149999999999999</v>
      </c>
      <c r="J83" s="9">
        <v>110</v>
      </c>
      <c r="K83" s="9" t="s">
        <v>442</v>
      </c>
      <c r="L83" s="9"/>
      <c r="M83" s="9"/>
      <c r="N83" s="9" t="str">
        <f ca="1">IFERROR(__xludf.DUMMYFUNCTION("IFERROR(VALUE(REGEXEXTRACT(TO_TEXT($F83), N$1 &amp; ""x(\d+)"")), """")
"),"")</f>
        <v/>
      </c>
      <c r="O83" s="9">
        <f ca="1">IFERROR(__xludf.DUMMYFUNCTION("IFERROR(VALUE(REGEXEXTRACT(TO_TEXT($F83), O$1 &amp; ""x(\d+)"")), """")"),1)</f>
        <v>1</v>
      </c>
      <c r="P83" s="9" t="str">
        <f ca="1">IFERROR(__xludf.DUMMYFUNCTION("IFERROR(VALUE(REGEXEXTRACT(TO_TEXT($F83), P$1 &amp; ""x(\d+)"")), """")"),"")</f>
        <v/>
      </c>
      <c r="Q83" s="9" t="str">
        <f ca="1">IFERROR(__xludf.DUMMYFUNCTION("IFERROR(VALUE(REGEXEXTRACT(TO_TEXT($F83), Q$1 &amp; ""x(\d+)"")), """")"),"")</f>
        <v/>
      </c>
      <c r="R83" s="9" t="str">
        <f ca="1">IFERROR(__xludf.DUMMYFUNCTION("IFERROR(VALUE(REGEXEXTRACT(TO_TEXT($F83), R$1 &amp; ""x(\d+)"")), """")"),"")</f>
        <v/>
      </c>
      <c r="S83" s="9" t="str">
        <f ca="1">IFERROR(__xludf.DUMMYFUNCTION("IFERROR(VALUE(REGEXEXTRACT(TO_TEXT($F83), S$1 &amp; ""x(\d+)"")), """")"),"")</f>
        <v/>
      </c>
      <c r="T83" s="9" t="str">
        <f ca="1">IFERROR(__xludf.DUMMYFUNCTION("IFERROR(VALUE(REGEXEXTRACT(TO_TEXT($F83), T$1 &amp; ""x(\d+)"")), """")"),"")</f>
        <v/>
      </c>
      <c r="U83" s="9" t="str">
        <f ca="1">IFERROR(__xludf.DUMMYFUNCTION("IFERROR(VALUE(REGEXEXTRACT(TO_TEXT($F83), U$1 &amp; ""x(\d+)"")), """")"),"")</f>
        <v/>
      </c>
      <c r="V83" s="9" t="str">
        <f ca="1">IFERROR(__xludf.DUMMYFUNCTION("IFERROR(VALUE(REGEXEXTRACT(TO_TEXT($F83), V$1 &amp; ""x(\d+)"")), """")"),"")</f>
        <v/>
      </c>
      <c r="W83" s="9"/>
      <c r="X83" s="9"/>
      <c r="Y83" s="9"/>
      <c r="Z83" s="9"/>
    </row>
    <row r="84" spans="1:26" ht="15.75" customHeight="1">
      <c r="A84" s="9" t="s">
        <v>1117</v>
      </c>
      <c r="B84" s="9" t="s">
        <v>1112</v>
      </c>
      <c r="C84" s="9" t="s">
        <v>774</v>
      </c>
      <c r="D84" s="9" t="s">
        <v>33</v>
      </c>
      <c r="E84" s="9" t="s">
        <v>12</v>
      </c>
      <c r="F84" s="9" t="s">
        <v>1118</v>
      </c>
      <c r="G84" s="9">
        <v>130</v>
      </c>
      <c r="H84" s="9">
        <v>3</v>
      </c>
      <c r="I84" s="9">
        <v>1.0149999999999999</v>
      </c>
      <c r="J84" s="9">
        <v>110</v>
      </c>
      <c r="K84" s="9" t="s">
        <v>442</v>
      </c>
      <c r="L84" s="9"/>
      <c r="M84" s="9"/>
      <c r="N84" s="9" t="str">
        <f ca="1">IFERROR(__xludf.DUMMYFUNCTION("IFERROR(VALUE(REGEXEXTRACT(TO_TEXT($F84), N$1 &amp; ""x(\d+)"")), """")
"),"")</f>
        <v/>
      </c>
      <c r="O84" s="9">
        <f ca="1">IFERROR(__xludf.DUMMYFUNCTION("IFERROR(VALUE(REGEXEXTRACT(TO_TEXT($F84), O$1 &amp; ""x(\d+)"")), """")"),1)</f>
        <v>1</v>
      </c>
      <c r="P84" s="9" t="str">
        <f ca="1">IFERROR(__xludf.DUMMYFUNCTION("IFERROR(VALUE(REGEXEXTRACT(TO_TEXT($F84), P$1 &amp; ""x(\d+)"")), """")"),"")</f>
        <v/>
      </c>
      <c r="Q84" s="9" t="str">
        <f ca="1">IFERROR(__xludf.DUMMYFUNCTION("IFERROR(VALUE(REGEXEXTRACT(TO_TEXT($F84), Q$1 &amp; ""x(\d+)"")), """")"),"")</f>
        <v/>
      </c>
      <c r="R84" s="9" t="str">
        <f ca="1">IFERROR(__xludf.DUMMYFUNCTION("IFERROR(VALUE(REGEXEXTRACT(TO_TEXT($F84), R$1 &amp; ""x(\d+)"")), """")"),"")</f>
        <v/>
      </c>
      <c r="S84" s="9" t="str">
        <f ca="1">IFERROR(__xludf.DUMMYFUNCTION("IFERROR(VALUE(REGEXEXTRACT(TO_TEXT($F84), S$1 &amp; ""x(\d+)"")), """")"),"")</f>
        <v/>
      </c>
      <c r="T84" s="9" t="str">
        <f ca="1">IFERROR(__xludf.DUMMYFUNCTION("IFERROR(VALUE(REGEXEXTRACT(TO_TEXT($F84), T$1 &amp; ""x(\d+)"")), """")"),"")</f>
        <v/>
      </c>
      <c r="U84" s="9" t="str">
        <f ca="1">IFERROR(__xludf.DUMMYFUNCTION("IFERROR(VALUE(REGEXEXTRACT(TO_TEXT($F84), U$1 &amp; ""x(\d+)"")), """")"),"")</f>
        <v/>
      </c>
      <c r="V84" s="9" t="str">
        <f ca="1">IFERROR(__xludf.DUMMYFUNCTION("IFERROR(VALUE(REGEXEXTRACT(TO_TEXT($F84), V$1 &amp; ""x(\d+)"")), """")"),"")</f>
        <v/>
      </c>
      <c r="W84" s="9"/>
      <c r="X84" s="9"/>
      <c r="Y84" s="9"/>
      <c r="Z84" s="9"/>
    </row>
    <row r="85" spans="1:26" ht="15.75" customHeight="1">
      <c r="A85" s="9" t="s">
        <v>1117</v>
      </c>
      <c r="B85" s="9" t="s">
        <v>1112</v>
      </c>
      <c r="C85" s="9" t="s">
        <v>774</v>
      </c>
      <c r="D85" s="9" t="s">
        <v>33</v>
      </c>
      <c r="E85" s="9" t="s">
        <v>13</v>
      </c>
      <c r="F85" s="9" t="s">
        <v>1071</v>
      </c>
      <c r="G85" s="9">
        <v>15</v>
      </c>
      <c r="H85" s="9">
        <v>3</v>
      </c>
      <c r="I85" s="9">
        <v>1.0149999999999999</v>
      </c>
      <c r="J85" s="9">
        <v>110</v>
      </c>
      <c r="K85" s="9" t="s">
        <v>442</v>
      </c>
      <c r="L85" s="9"/>
      <c r="M85" s="9"/>
      <c r="N85" s="9" t="str">
        <f ca="1">IFERROR(__xludf.DUMMYFUNCTION("IFERROR(VALUE(REGEXEXTRACT(TO_TEXT($F85), N$1 &amp; ""x(\d+)"")), """")
"),"")</f>
        <v/>
      </c>
      <c r="O85" s="9">
        <f ca="1">IFERROR(__xludf.DUMMYFUNCTION("IFERROR(VALUE(REGEXEXTRACT(TO_TEXT($F85), O$1 &amp; ""x(\d+)"")), """")"),1)</f>
        <v>1</v>
      </c>
      <c r="P85" s="9" t="str">
        <f ca="1">IFERROR(__xludf.DUMMYFUNCTION("IFERROR(VALUE(REGEXEXTRACT(TO_TEXT($F85), P$1 &amp; ""x(\d+)"")), """")"),"")</f>
        <v/>
      </c>
      <c r="Q85" s="9" t="str">
        <f ca="1">IFERROR(__xludf.DUMMYFUNCTION("IFERROR(VALUE(REGEXEXTRACT(TO_TEXT($F85), Q$1 &amp; ""x(\d+)"")), """")"),"")</f>
        <v/>
      </c>
      <c r="R85" s="9" t="str">
        <f ca="1">IFERROR(__xludf.DUMMYFUNCTION("IFERROR(VALUE(REGEXEXTRACT(TO_TEXT($F85), R$1 &amp; ""x(\d+)"")), """")"),"")</f>
        <v/>
      </c>
      <c r="S85" s="9" t="str">
        <f ca="1">IFERROR(__xludf.DUMMYFUNCTION("IFERROR(VALUE(REGEXEXTRACT(TO_TEXT($F85), S$1 &amp; ""x(\d+)"")), """")"),"")</f>
        <v/>
      </c>
      <c r="T85" s="9" t="str">
        <f ca="1">IFERROR(__xludf.DUMMYFUNCTION("IFERROR(VALUE(REGEXEXTRACT(TO_TEXT($F85), T$1 &amp; ""x(\d+)"")), """")"),"")</f>
        <v/>
      </c>
      <c r="U85" s="9" t="str">
        <f ca="1">IFERROR(__xludf.DUMMYFUNCTION("IFERROR(VALUE(REGEXEXTRACT(TO_TEXT($F85), U$1 &amp; ""x(\d+)"")), """")"),"")</f>
        <v/>
      </c>
      <c r="V85" s="9" t="str">
        <f ca="1">IFERROR(__xludf.DUMMYFUNCTION("IFERROR(VALUE(REGEXEXTRACT(TO_TEXT($F85), V$1 &amp; ""x(\d+)"")), """")"),"")</f>
        <v/>
      </c>
      <c r="W85" s="9"/>
      <c r="X85" s="9"/>
      <c r="Y85" s="9"/>
      <c r="Z85" s="9"/>
    </row>
    <row r="86" spans="1:26" ht="15.75" hidden="1" customHeight="1">
      <c r="A86" s="9" t="s">
        <v>79</v>
      </c>
      <c r="B86" s="9" t="s">
        <v>1119</v>
      </c>
      <c r="C86" s="9" t="s">
        <v>80</v>
      </c>
      <c r="D86" s="9" t="s">
        <v>48</v>
      </c>
      <c r="E86" s="9" t="s">
        <v>11</v>
      </c>
      <c r="F86" s="9" t="s">
        <v>1120</v>
      </c>
      <c r="G86" s="9">
        <v>45</v>
      </c>
      <c r="H86" s="9">
        <v>3</v>
      </c>
      <c r="I86" s="9">
        <v>1.0149999999999999</v>
      </c>
      <c r="J86" s="9">
        <v>52</v>
      </c>
      <c r="K86" s="9" t="s">
        <v>424</v>
      </c>
      <c r="L86" s="9"/>
      <c r="M86" s="9"/>
      <c r="N86" s="9" t="str">
        <f ca="1">IFERROR(__xludf.DUMMYFUNCTION("IFERROR(VALUE(REGEXEXTRACT(TO_TEXT($F86), N$1 &amp; ""x(\d+)"")), """")
"),"")</f>
        <v/>
      </c>
      <c r="O86" s="9" t="str">
        <f ca="1">IFERROR(__xludf.DUMMYFUNCTION("IFERROR(VALUE(REGEXEXTRACT(TO_TEXT($F86), O$1 &amp; ""x(\d+)"")), """")"),"")</f>
        <v/>
      </c>
      <c r="P86" s="9" t="str">
        <f ca="1">IFERROR(__xludf.DUMMYFUNCTION("IFERROR(VALUE(REGEXEXTRACT(TO_TEXT($F86), P$1 &amp; ""x(\d+)"")), """")"),"")</f>
        <v/>
      </c>
      <c r="Q86" s="9" t="str">
        <f ca="1">IFERROR(__xludf.DUMMYFUNCTION("IFERROR(VALUE(REGEXEXTRACT(TO_TEXT($F86), Q$1 &amp; ""x(\d+)"")), """")"),"")</f>
        <v/>
      </c>
      <c r="R86" s="9" t="str">
        <f ca="1">IFERROR(__xludf.DUMMYFUNCTION("IFERROR(VALUE(REGEXEXTRACT(TO_TEXT($F86), R$1 &amp; ""x(\d+)"")), """")"),"")</f>
        <v/>
      </c>
      <c r="S86" s="9" t="str">
        <f ca="1">IFERROR(__xludf.DUMMYFUNCTION("IFERROR(VALUE(REGEXEXTRACT(TO_TEXT($F86), S$1 &amp; ""x(\d+)"")), """")"),"")</f>
        <v/>
      </c>
      <c r="T86" s="9" t="str">
        <f ca="1">IFERROR(__xludf.DUMMYFUNCTION("IFERROR(VALUE(REGEXEXTRACT(TO_TEXT($F86), T$1 &amp; ""x(\d+)"")), """")"),"")</f>
        <v/>
      </c>
      <c r="U86" s="9" t="str">
        <f ca="1">IFERROR(__xludf.DUMMYFUNCTION("IFERROR(VALUE(REGEXEXTRACT(TO_TEXT($F86), U$1 &amp; ""x(\d+)"")), """")"),"")</f>
        <v/>
      </c>
      <c r="V86" s="9" t="str">
        <f ca="1">IFERROR(__xludf.DUMMYFUNCTION("IFERROR(VALUE(REGEXEXTRACT(TO_TEXT($F86), V$1 &amp; ""x(\d+)"")), """")"),"")</f>
        <v/>
      </c>
      <c r="W86" s="9"/>
      <c r="X86" s="9"/>
      <c r="Y86" s="9"/>
      <c r="Z86" s="9"/>
    </row>
    <row r="87" spans="1:26" ht="15.75" hidden="1" customHeight="1">
      <c r="A87" s="9" t="s">
        <v>79</v>
      </c>
      <c r="B87" s="9" t="s">
        <v>1119</v>
      </c>
      <c r="C87" s="9" t="s">
        <v>80</v>
      </c>
      <c r="D87" s="9" t="s">
        <v>48</v>
      </c>
      <c r="E87" s="9" t="s">
        <v>12</v>
      </c>
      <c r="F87" s="9" t="s">
        <v>1121</v>
      </c>
      <c r="G87" s="9">
        <v>130</v>
      </c>
      <c r="H87" s="9">
        <v>3</v>
      </c>
      <c r="I87" s="9">
        <v>1.0149999999999999</v>
      </c>
      <c r="J87" s="9">
        <v>52</v>
      </c>
      <c r="K87" s="9" t="s">
        <v>424</v>
      </c>
      <c r="L87" s="9" t="s">
        <v>1015</v>
      </c>
      <c r="M87" s="9"/>
      <c r="N87" s="9" t="str">
        <f ca="1">IFERROR(__xludf.DUMMYFUNCTION("IFERROR(VALUE(REGEXEXTRACT(TO_TEXT($F87), N$1 &amp; ""x(\d+)"")), """")
"),"")</f>
        <v/>
      </c>
      <c r="O87" s="9" t="str">
        <f ca="1">IFERROR(__xludf.DUMMYFUNCTION("IFERROR(VALUE(REGEXEXTRACT(TO_TEXT($F87), O$1 &amp; ""x(\d+)"")), """")"),"")</f>
        <v/>
      </c>
      <c r="P87" s="9">
        <f ca="1">IFERROR(__xludf.DUMMYFUNCTION("IFERROR(VALUE(REGEXEXTRACT(TO_TEXT($F87), P$1 &amp; ""x(\d+)"")), """")"),1)</f>
        <v>1</v>
      </c>
      <c r="Q87" s="9" t="str">
        <f ca="1">IFERROR(__xludf.DUMMYFUNCTION("IFERROR(VALUE(REGEXEXTRACT(TO_TEXT($F87), Q$1 &amp; ""x(\d+)"")), """")"),"")</f>
        <v/>
      </c>
      <c r="R87" s="9" t="str">
        <f ca="1">IFERROR(__xludf.DUMMYFUNCTION("IFERROR(VALUE(REGEXEXTRACT(TO_TEXT($F87), R$1 &amp; ""x(\d+)"")), """")"),"")</f>
        <v/>
      </c>
      <c r="S87" s="9" t="str">
        <f ca="1">IFERROR(__xludf.DUMMYFUNCTION("IFERROR(VALUE(REGEXEXTRACT(TO_TEXT($F87), S$1 &amp; ""x(\d+)"")), """")"),"")</f>
        <v/>
      </c>
      <c r="T87" s="9" t="str">
        <f ca="1">IFERROR(__xludf.DUMMYFUNCTION("IFERROR(VALUE(REGEXEXTRACT(TO_TEXT($F87), T$1 &amp; ""x(\d+)"")), """")"),"")</f>
        <v/>
      </c>
      <c r="U87" s="9" t="str">
        <f ca="1">IFERROR(__xludf.DUMMYFUNCTION("IFERROR(VALUE(REGEXEXTRACT(TO_TEXT($F87), U$1 &amp; ""x(\d+)"")), """")"),"")</f>
        <v/>
      </c>
      <c r="V87" s="9" t="str">
        <f ca="1">IFERROR(__xludf.DUMMYFUNCTION("IFERROR(VALUE(REGEXEXTRACT(TO_TEXT($F87), V$1 &amp; ""x(\d+)"")), """")"),"")</f>
        <v/>
      </c>
      <c r="W87" s="9"/>
      <c r="X87" s="9"/>
      <c r="Y87" s="9"/>
      <c r="Z87" s="9"/>
    </row>
    <row r="88" spans="1:26" ht="15.75" hidden="1" customHeight="1">
      <c r="A88" s="9" t="s">
        <v>79</v>
      </c>
      <c r="B88" s="9" t="s">
        <v>1119</v>
      </c>
      <c r="C88" s="9" t="s">
        <v>80</v>
      </c>
      <c r="D88" s="9" t="s">
        <v>48</v>
      </c>
      <c r="E88" s="9" t="s">
        <v>13</v>
      </c>
      <c r="F88" s="9" t="s">
        <v>1122</v>
      </c>
      <c r="G88" s="9">
        <v>30</v>
      </c>
      <c r="H88" s="9">
        <v>3</v>
      </c>
      <c r="I88" s="9">
        <v>1.0149999999999999</v>
      </c>
      <c r="J88" s="9">
        <v>52</v>
      </c>
      <c r="K88" s="9" t="s">
        <v>424</v>
      </c>
      <c r="L88" s="9"/>
      <c r="M88" s="9"/>
      <c r="N88" s="9" t="str">
        <f ca="1">IFERROR(__xludf.DUMMYFUNCTION("IFERROR(VALUE(REGEXEXTRACT(TO_TEXT($F88), N$1 &amp; ""x(\d+)"")), """")
"),"")</f>
        <v/>
      </c>
      <c r="O88" s="9" t="str">
        <f ca="1">IFERROR(__xludf.DUMMYFUNCTION("IFERROR(VALUE(REGEXEXTRACT(TO_TEXT($F88), O$1 &amp; ""x(\d+)"")), """")"),"")</f>
        <v/>
      </c>
      <c r="P88" s="9">
        <f ca="1">IFERROR(__xludf.DUMMYFUNCTION("IFERROR(VALUE(REGEXEXTRACT(TO_TEXT($F88), P$1 &amp; ""x(\d+)"")), """")"),1)</f>
        <v>1</v>
      </c>
      <c r="Q88" s="9" t="str">
        <f ca="1">IFERROR(__xludf.DUMMYFUNCTION("IFERROR(VALUE(REGEXEXTRACT(TO_TEXT($F88), Q$1 &amp; ""x(\d+)"")), """")"),"")</f>
        <v/>
      </c>
      <c r="R88" s="9" t="str">
        <f ca="1">IFERROR(__xludf.DUMMYFUNCTION("IFERROR(VALUE(REGEXEXTRACT(TO_TEXT($F88), R$1 &amp; ""x(\d+)"")), """")"),"")</f>
        <v/>
      </c>
      <c r="S88" s="9" t="str">
        <f ca="1">IFERROR(__xludf.DUMMYFUNCTION("IFERROR(VALUE(REGEXEXTRACT(TO_TEXT($F88), S$1 &amp; ""x(\d+)"")), """")"),"")</f>
        <v/>
      </c>
      <c r="T88" s="9" t="str">
        <f ca="1">IFERROR(__xludf.DUMMYFUNCTION("IFERROR(VALUE(REGEXEXTRACT(TO_TEXT($F88), T$1 &amp; ""x(\d+)"")), """")"),"")</f>
        <v/>
      </c>
      <c r="U88" s="9" t="str">
        <f ca="1">IFERROR(__xludf.DUMMYFUNCTION("IFERROR(VALUE(REGEXEXTRACT(TO_TEXT($F88), U$1 &amp; ""x(\d+)"")), """")"),"")</f>
        <v/>
      </c>
      <c r="V88" s="9" t="str">
        <f ca="1">IFERROR(__xludf.DUMMYFUNCTION("IFERROR(VALUE(REGEXEXTRACT(TO_TEXT($F88), V$1 &amp; ""x(\d+)"")), """")"),"")</f>
        <v/>
      </c>
      <c r="W88" s="9"/>
      <c r="X88" s="9"/>
      <c r="Y88" s="9"/>
      <c r="Z88" s="9"/>
    </row>
    <row r="89" spans="1:26" ht="15.75" hidden="1" customHeight="1">
      <c r="A89" s="9" t="s">
        <v>79</v>
      </c>
      <c r="B89" s="9" t="s">
        <v>1119</v>
      </c>
      <c r="C89" s="9" t="s">
        <v>80</v>
      </c>
      <c r="D89" s="9" t="s">
        <v>74</v>
      </c>
      <c r="E89" s="9" t="s">
        <v>11</v>
      </c>
      <c r="F89" s="9" t="s">
        <v>1123</v>
      </c>
      <c r="G89" s="9">
        <v>45</v>
      </c>
      <c r="H89" s="9">
        <v>2</v>
      </c>
      <c r="I89" s="9">
        <v>1.0149999999999999</v>
      </c>
      <c r="J89" s="9">
        <v>103</v>
      </c>
      <c r="K89" s="9" t="s">
        <v>424</v>
      </c>
      <c r="L89" s="9"/>
      <c r="M89" s="9"/>
      <c r="N89" s="9" t="str">
        <f ca="1">IFERROR(__xludf.DUMMYFUNCTION("IFERROR(VALUE(REGEXEXTRACT(TO_TEXT($F89), N$1 &amp; ""x(\d+)"")), """")
"),"")</f>
        <v/>
      </c>
      <c r="O89" s="9" t="str">
        <f ca="1">IFERROR(__xludf.DUMMYFUNCTION("IFERROR(VALUE(REGEXEXTRACT(TO_TEXT($F89), O$1 &amp; ""x(\d+)"")), """")"),"")</f>
        <v/>
      </c>
      <c r="P89" s="9" t="str">
        <f ca="1">IFERROR(__xludf.DUMMYFUNCTION("IFERROR(VALUE(REGEXEXTRACT(TO_TEXT($F89), P$1 &amp; ""x(\d+)"")), """")"),"")</f>
        <v/>
      </c>
      <c r="Q89" s="9" t="str">
        <f ca="1">IFERROR(__xludf.DUMMYFUNCTION("IFERROR(VALUE(REGEXEXTRACT(TO_TEXT($F89), Q$1 &amp; ""x(\d+)"")), """")"),"")</f>
        <v/>
      </c>
      <c r="R89" s="9" t="str">
        <f ca="1">IFERROR(__xludf.DUMMYFUNCTION("IFERROR(VALUE(REGEXEXTRACT(TO_TEXT($F89), R$1 &amp; ""x(\d+)"")), """")"),"")</f>
        <v/>
      </c>
      <c r="S89" s="9" t="str">
        <f ca="1">IFERROR(__xludf.DUMMYFUNCTION("IFERROR(VALUE(REGEXEXTRACT(TO_TEXT($F89), S$1 &amp; ""x(\d+)"")), """")"),"")</f>
        <v/>
      </c>
      <c r="T89" s="9" t="str">
        <f ca="1">IFERROR(__xludf.DUMMYFUNCTION("IFERROR(VALUE(REGEXEXTRACT(TO_TEXT($F89), T$1 &amp; ""x(\d+)"")), """")"),"")</f>
        <v/>
      </c>
      <c r="U89" s="9" t="str">
        <f ca="1">IFERROR(__xludf.DUMMYFUNCTION("IFERROR(VALUE(REGEXEXTRACT(TO_TEXT($F89), U$1 &amp; ""x(\d+)"")), """")"),"")</f>
        <v/>
      </c>
      <c r="V89" s="9" t="str">
        <f ca="1">IFERROR(__xludf.DUMMYFUNCTION("IFERROR(VALUE(REGEXEXTRACT(TO_TEXT($F89), V$1 &amp; ""x(\d+)"")), """")"),"")</f>
        <v/>
      </c>
      <c r="W89" s="9"/>
      <c r="X89" s="9"/>
      <c r="Y89" s="9"/>
      <c r="Z89" s="9"/>
    </row>
    <row r="90" spans="1:26" ht="15.75" hidden="1" customHeight="1">
      <c r="A90" s="9" t="s">
        <v>79</v>
      </c>
      <c r="B90" s="9" t="s">
        <v>1119</v>
      </c>
      <c r="C90" s="9" t="s">
        <v>80</v>
      </c>
      <c r="D90" s="9" t="s">
        <v>74</v>
      </c>
      <c r="E90" s="9" t="s">
        <v>12</v>
      </c>
      <c r="F90" s="9" t="s">
        <v>1124</v>
      </c>
      <c r="G90" s="9">
        <v>180</v>
      </c>
      <c r="H90" s="9">
        <v>2</v>
      </c>
      <c r="I90" s="9">
        <v>1.0149999999999999</v>
      </c>
      <c r="J90" s="9">
        <v>103</v>
      </c>
      <c r="K90" s="9" t="s">
        <v>424</v>
      </c>
      <c r="L90" s="9" t="s">
        <v>1015</v>
      </c>
      <c r="M90" s="9"/>
      <c r="N90" s="9" t="str">
        <f ca="1">IFERROR(__xludf.DUMMYFUNCTION("IFERROR(VALUE(REGEXEXTRACT(TO_TEXT($F90), N$1 &amp; ""x(\d+)"")), """")
"),"")</f>
        <v/>
      </c>
      <c r="O90" s="9" t="str">
        <f ca="1">IFERROR(__xludf.DUMMYFUNCTION("IFERROR(VALUE(REGEXEXTRACT(TO_TEXT($F90), O$1 &amp; ""x(\d+)"")), """")"),"")</f>
        <v/>
      </c>
      <c r="P90" s="9" t="str">
        <f ca="1">IFERROR(__xludf.DUMMYFUNCTION("IFERROR(VALUE(REGEXEXTRACT(TO_TEXT($F90), P$1 &amp; ""x(\d+)"")), """")"),"")</f>
        <v/>
      </c>
      <c r="Q90" s="9">
        <f ca="1">IFERROR(__xludf.DUMMYFUNCTION("IFERROR(VALUE(REGEXEXTRACT(TO_TEXT($F90), Q$1 &amp; ""x(\d+)"")), """")"),1)</f>
        <v>1</v>
      </c>
      <c r="R90" s="9" t="str">
        <f ca="1">IFERROR(__xludf.DUMMYFUNCTION("IFERROR(VALUE(REGEXEXTRACT(TO_TEXT($F90), R$1 &amp; ""x(\d+)"")), """")"),"")</f>
        <v/>
      </c>
      <c r="S90" s="9" t="str">
        <f ca="1">IFERROR(__xludf.DUMMYFUNCTION("IFERROR(VALUE(REGEXEXTRACT(TO_TEXT($F90), S$1 &amp; ""x(\d+)"")), """")"),"")</f>
        <v/>
      </c>
      <c r="T90" s="9" t="str">
        <f ca="1">IFERROR(__xludf.DUMMYFUNCTION("IFERROR(VALUE(REGEXEXTRACT(TO_TEXT($F90), T$1 &amp; ""x(\d+)"")), """")"),"")</f>
        <v/>
      </c>
      <c r="U90" s="9" t="str">
        <f ca="1">IFERROR(__xludf.DUMMYFUNCTION("IFERROR(VALUE(REGEXEXTRACT(TO_TEXT($F90), U$1 &amp; ""x(\d+)"")), """")"),"")</f>
        <v/>
      </c>
      <c r="V90" s="9" t="str">
        <f ca="1">IFERROR(__xludf.DUMMYFUNCTION("IFERROR(VALUE(REGEXEXTRACT(TO_TEXT($F90), V$1 &amp; ""x(\d+)"")), """")"),"")</f>
        <v/>
      </c>
      <c r="W90" s="9"/>
      <c r="X90" s="9"/>
      <c r="Y90" s="9"/>
      <c r="Z90" s="9"/>
    </row>
    <row r="91" spans="1:26" ht="15.75" hidden="1" customHeight="1">
      <c r="A91" s="9" t="s">
        <v>79</v>
      </c>
      <c r="B91" s="9" t="s">
        <v>1119</v>
      </c>
      <c r="C91" s="9" t="s">
        <v>80</v>
      </c>
      <c r="D91" s="9" t="s">
        <v>74</v>
      </c>
      <c r="E91" s="9" t="s">
        <v>13</v>
      </c>
      <c r="F91" s="9" t="s">
        <v>1125</v>
      </c>
      <c r="G91" s="9">
        <v>40</v>
      </c>
      <c r="H91" s="9">
        <v>2</v>
      </c>
      <c r="I91" s="9">
        <v>1.0149999999999999</v>
      </c>
      <c r="J91" s="9">
        <v>103</v>
      </c>
      <c r="K91" s="9" t="s">
        <v>424</v>
      </c>
      <c r="L91" s="9"/>
      <c r="M91" s="9"/>
      <c r="N91" s="9" t="str">
        <f ca="1">IFERROR(__xludf.DUMMYFUNCTION("IFERROR(VALUE(REGEXEXTRACT(TO_TEXT($F91), N$1 &amp; ""x(\d+)"")), """")
"),"")</f>
        <v/>
      </c>
      <c r="O91" s="9" t="str">
        <f ca="1">IFERROR(__xludf.DUMMYFUNCTION("IFERROR(VALUE(REGEXEXTRACT(TO_TEXT($F91), O$1 &amp; ""x(\d+)"")), """")"),"")</f>
        <v/>
      </c>
      <c r="P91" s="9" t="str">
        <f ca="1">IFERROR(__xludf.DUMMYFUNCTION("IFERROR(VALUE(REGEXEXTRACT(TO_TEXT($F91), P$1 &amp; ""x(\d+)"")), """")"),"")</f>
        <v/>
      </c>
      <c r="Q91" s="9">
        <f ca="1">IFERROR(__xludf.DUMMYFUNCTION("IFERROR(VALUE(REGEXEXTRACT(TO_TEXT($F91), Q$1 &amp; ""x(\d+)"")), """")"),1)</f>
        <v>1</v>
      </c>
      <c r="R91" s="9" t="str">
        <f ca="1">IFERROR(__xludf.DUMMYFUNCTION("IFERROR(VALUE(REGEXEXTRACT(TO_TEXT($F91), R$1 &amp; ""x(\d+)"")), """")"),"")</f>
        <v/>
      </c>
      <c r="S91" s="9" t="str">
        <f ca="1">IFERROR(__xludf.DUMMYFUNCTION("IFERROR(VALUE(REGEXEXTRACT(TO_TEXT($F91), S$1 &amp; ""x(\d+)"")), """")"),"")</f>
        <v/>
      </c>
      <c r="T91" s="9" t="str">
        <f ca="1">IFERROR(__xludf.DUMMYFUNCTION("IFERROR(VALUE(REGEXEXTRACT(TO_TEXT($F91), T$1 &amp; ""x(\d+)"")), """")"),"")</f>
        <v/>
      </c>
      <c r="U91" s="9" t="str">
        <f ca="1">IFERROR(__xludf.DUMMYFUNCTION("IFERROR(VALUE(REGEXEXTRACT(TO_TEXT($F91), U$1 &amp; ""x(\d+)"")), """")"),"")</f>
        <v/>
      </c>
      <c r="V91" s="9" t="str">
        <f ca="1">IFERROR(__xludf.DUMMYFUNCTION("IFERROR(VALUE(REGEXEXTRACT(TO_TEXT($F91), V$1 &amp; ""x(\d+)"")), """")"),"")</f>
        <v/>
      </c>
      <c r="W91" s="9"/>
      <c r="X91" s="9"/>
      <c r="Y91" s="9"/>
      <c r="Z91" s="9"/>
    </row>
    <row r="92" spans="1:26" ht="15.75" customHeight="1">
      <c r="A92" s="9" t="s">
        <v>1126</v>
      </c>
      <c r="B92" s="9" t="s">
        <v>1127</v>
      </c>
      <c r="C92" s="9" t="s">
        <v>748</v>
      </c>
      <c r="D92" s="9" t="s">
        <v>33</v>
      </c>
      <c r="E92" s="9" t="s">
        <v>11</v>
      </c>
      <c r="F92" s="9" t="s">
        <v>1128</v>
      </c>
      <c r="G92" s="9">
        <v>25</v>
      </c>
      <c r="H92" s="9">
        <v>5</v>
      </c>
      <c r="I92" s="9">
        <v>1.0149999999999999</v>
      </c>
      <c r="J92" s="9">
        <v>105</v>
      </c>
      <c r="K92" s="9" t="s">
        <v>442</v>
      </c>
      <c r="L92" s="9"/>
      <c r="M92" s="9"/>
      <c r="N92" s="9" t="str">
        <f ca="1">IFERROR(__xludf.DUMMYFUNCTION("IFERROR(VALUE(REGEXEXTRACT(TO_TEXT($F92), N$1 &amp; ""x(\d+)"")), """")
"),"")</f>
        <v/>
      </c>
      <c r="O92" s="9" t="str">
        <f ca="1">IFERROR(__xludf.DUMMYFUNCTION("IFERROR(VALUE(REGEXEXTRACT(TO_TEXT($F92), O$1 &amp; ""x(\d+)"")), """")"),"")</f>
        <v/>
      </c>
      <c r="P92" s="9" t="str">
        <f ca="1">IFERROR(__xludf.DUMMYFUNCTION("IFERROR(VALUE(REGEXEXTRACT(TO_TEXT($F92), P$1 &amp; ""x(\d+)"")), """")"),"")</f>
        <v/>
      </c>
      <c r="Q92" s="9" t="str">
        <f ca="1">IFERROR(__xludf.DUMMYFUNCTION("IFERROR(VALUE(REGEXEXTRACT(TO_TEXT($F92), Q$1 &amp; ""x(\d+)"")), """")"),"")</f>
        <v/>
      </c>
      <c r="R92" s="9" t="str">
        <f ca="1">IFERROR(__xludf.DUMMYFUNCTION("IFERROR(VALUE(REGEXEXTRACT(TO_TEXT($F92), R$1 &amp; ""x(\d+)"")), """")"),"")</f>
        <v/>
      </c>
      <c r="S92" s="9" t="str">
        <f ca="1">IFERROR(__xludf.DUMMYFUNCTION("IFERROR(VALUE(REGEXEXTRACT(TO_TEXT($F92), S$1 &amp; ""x(\d+)"")), """")"),"")</f>
        <v/>
      </c>
      <c r="T92" s="9" t="str">
        <f ca="1">IFERROR(__xludf.DUMMYFUNCTION("IFERROR(VALUE(REGEXEXTRACT(TO_TEXT($F92), T$1 &amp; ""x(\d+)"")), """")"),"")</f>
        <v/>
      </c>
      <c r="U92" s="9" t="str">
        <f ca="1">IFERROR(__xludf.DUMMYFUNCTION("IFERROR(VALUE(REGEXEXTRACT(TO_TEXT($F92), U$1 &amp; ""x(\d+)"")), """")"),"")</f>
        <v/>
      </c>
      <c r="V92" s="9" t="str">
        <f ca="1">IFERROR(__xludf.DUMMYFUNCTION("IFERROR(VALUE(REGEXEXTRACT(TO_TEXT($F92), V$1 &amp; ""x(\d+)"")), """")"),"")</f>
        <v/>
      </c>
      <c r="W92" s="9"/>
      <c r="X92" s="9"/>
      <c r="Y92" s="9"/>
      <c r="Z92" s="9"/>
    </row>
    <row r="93" spans="1:26" ht="15.75" customHeight="1">
      <c r="A93" s="9" t="s">
        <v>1126</v>
      </c>
      <c r="B93" s="9" t="s">
        <v>1127</v>
      </c>
      <c r="C93" s="9" t="s">
        <v>748</v>
      </c>
      <c r="D93" s="9" t="s">
        <v>33</v>
      </c>
      <c r="E93" s="9" t="s">
        <v>12</v>
      </c>
      <c r="F93" s="9" t="s">
        <v>1129</v>
      </c>
      <c r="G93" s="9">
        <v>85</v>
      </c>
      <c r="H93" s="9">
        <v>5</v>
      </c>
      <c r="I93" s="9">
        <v>1.0149999999999999</v>
      </c>
      <c r="J93" s="9">
        <v>105</v>
      </c>
      <c r="K93" s="9" t="s">
        <v>442</v>
      </c>
      <c r="L93" s="9"/>
      <c r="M93" s="9"/>
      <c r="N93" s="9" t="str">
        <f ca="1">IFERROR(__xludf.DUMMYFUNCTION("IFERROR(VALUE(REGEXEXTRACT(TO_TEXT($F93), N$1 &amp; ""x(\d+)"")), """")
"),"")</f>
        <v/>
      </c>
      <c r="O93" s="9">
        <f ca="1">IFERROR(__xludf.DUMMYFUNCTION("IFERROR(VALUE(REGEXEXTRACT(TO_TEXT($F93), O$1 &amp; ""x(\d+)"")), """")"),1)</f>
        <v>1</v>
      </c>
      <c r="P93" s="9" t="str">
        <f ca="1">IFERROR(__xludf.DUMMYFUNCTION("IFERROR(VALUE(REGEXEXTRACT(TO_TEXT($F93), P$1 &amp; ""x(\d+)"")), """")"),"")</f>
        <v/>
      </c>
      <c r="Q93" s="9" t="str">
        <f ca="1">IFERROR(__xludf.DUMMYFUNCTION("IFERROR(VALUE(REGEXEXTRACT(TO_TEXT($F93), Q$1 &amp; ""x(\d+)"")), """")"),"")</f>
        <v/>
      </c>
      <c r="R93" s="9" t="str">
        <f ca="1">IFERROR(__xludf.DUMMYFUNCTION("IFERROR(VALUE(REGEXEXTRACT(TO_TEXT($F93), R$1 &amp; ""x(\d+)"")), """")"),"")</f>
        <v/>
      </c>
      <c r="S93" s="9" t="str">
        <f ca="1">IFERROR(__xludf.DUMMYFUNCTION("IFERROR(VALUE(REGEXEXTRACT(TO_TEXT($F93), S$1 &amp; ""x(\d+)"")), """")"),"")</f>
        <v/>
      </c>
      <c r="T93" s="9" t="str">
        <f ca="1">IFERROR(__xludf.DUMMYFUNCTION("IFERROR(VALUE(REGEXEXTRACT(TO_TEXT($F93), T$1 &amp; ""x(\d+)"")), """")"),"")</f>
        <v/>
      </c>
      <c r="U93" s="9" t="str">
        <f ca="1">IFERROR(__xludf.DUMMYFUNCTION("IFERROR(VALUE(REGEXEXTRACT(TO_TEXT($F93), U$1 &amp; ""x(\d+)"")), """")"),"")</f>
        <v/>
      </c>
      <c r="V93" s="9" t="str">
        <f ca="1">IFERROR(__xludf.DUMMYFUNCTION("IFERROR(VALUE(REGEXEXTRACT(TO_TEXT($F93), V$1 &amp; ""x(\d+)"")), """")"),"")</f>
        <v/>
      </c>
      <c r="W93" s="9"/>
      <c r="X93" s="9"/>
      <c r="Y93" s="9"/>
      <c r="Z93" s="9"/>
    </row>
    <row r="94" spans="1:26" ht="15.75" customHeight="1">
      <c r="A94" s="9" t="s">
        <v>1126</v>
      </c>
      <c r="B94" s="9" t="s">
        <v>1127</v>
      </c>
      <c r="C94" s="9" t="s">
        <v>748</v>
      </c>
      <c r="D94" s="9" t="s">
        <v>33</v>
      </c>
      <c r="E94" s="9" t="s">
        <v>13</v>
      </c>
      <c r="F94" s="9" t="s">
        <v>1130</v>
      </c>
      <c r="G94" s="9">
        <v>15</v>
      </c>
      <c r="H94" s="9">
        <v>5</v>
      </c>
      <c r="I94" s="9">
        <v>1.0149999999999999</v>
      </c>
      <c r="J94" s="9">
        <v>105</v>
      </c>
      <c r="K94" s="9" t="s">
        <v>442</v>
      </c>
      <c r="L94" s="9"/>
      <c r="M94" s="9"/>
      <c r="N94" s="9" t="str">
        <f ca="1">IFERROR(__xludf.DUMMYFUNCTION("IFERROR(VALUE(REGEXEXTRACT(TO_TEXT($F94), N$1 &amp; ""x(\d+)"")), """")
"),"")</f>
        <v/>
      </c>
      <c r="O94" s="9">
        <f ca="1">IFERROR(__xludf.DUMMYFUNCTION("IFERROR(VALUE(REGEXEXTRACT(TO_TEXT($F94), O$1 &amp; ""x(\d+)"")), """")"),1)</f>
        <v>1</v>
      </c>
      <c r="P94" s="9" t="str">
        <f ca="1">IFERROR(__xludf.DUMMYFUNCTION("IFERROR(VALUE(REGEXEXTRACT(TO_TEXT($F94), P$1 &amp; ""x(\d+)"")), """")"),"")</f>
        <v/>
      </c>
      <c r="Q94" s="9" t="str">
        <f ca="1">IFERROR(__xludf.DUMMYFUNCTION("IFERROR(VALUE(REGEXEXTRACT(TO_TEXT($F94), Q$1 &amp; ""x(\d+)"")), """")"),"")</f>
        <v/>
      </c>
      <c r="R94" s="9" t="str">
        <f ca="1">IFERROR(__xludf.DUMMYFUNCTION("IFERROR(VALUE(REGEXEXTRACT(TO_TEXT($F94), R$1 &amp; ""x(\d+)"")), """")"),"")</f>
        <v/>
      </c>
      <c r="S94" s="9" t="str">
        <f ca="1">IFERROR(__xludf.DUMMYFUNCTION("IFERROR(VALUE(REGEXEXTRACT(TO_TEXT($F94), S$1 &amp; ""x(\d+)"")), """")"),"")</f>
        <v/>
      </c>
      <c r="T94" s="9" t="str">
        <f ca="1">IFERROR(__xludf.DUMMYFUNCTION("IFERROR(VALUE(REGEXEXTRACT(TO_TEXT($F94), T$1 &amp; ""x(\d+)"")), """")"),"")</f>
        <v/>
      </c>
      <c r="U94" s="9" t="str">
        <f ca="1">IFERROR(__xludf.DUMMYFUNCTION("IFERROR(VALUE(REGEXEXTRACT(TO_TEXT($F94), U$1 &amp; ""x(\d+)"")), """")"),"")</f>
        <v/>
      </c>
      <c r="V94" s="9" t="str">
        <f ca="1">IFERROR(__xludf.DUMMYFUNCTION("IFERROR(VALUE(REGEXEXTRACT(TO_TEXT($F94), V$1 &amp; ""x(\d+)"")), """")"),"")</f>
        <v/>
      </c>
      <c r="W94" s="9"/>
      <c r="X94" s="9"/>
      <c r="Y94" s="9"/>
      <c r="Z94" s="9"/>
    </row>
    <row r="95" spans="1:26" ht="15.75" hidden="1" customHeight="1">
      <c r="A95" s="9" t="s">
        <v>1126</v>
      </c>
      <c r="B95" s="9" t="s">
        <v>1127</v>
      </c>
      <c r="C95" s="9" t="s">
        <v>748</v>
      </c>
      <c r="D95" s="9" t="s">
        <v>40</v>
      </c>
      <c r="E95" s="9" t="s">
        <v>11</v>
      </c>
      <c r="F95" s="9" t="s">
        <v>1131</v>
      </c>
      <c r="G95" s="9">
        <v>25</v>
      </c>
      <c r="H95" s="9">
        <v>4</v>
      </c>
      <c r="I95" s="9">
        <v>1.0149999999999999</v>
      </c>
      <c r="J95" s="9">
        <v>412</v>
      </c>
      <c r="K95" s="9" t="s">
        <v>442</v>
      </c>
      <c r="L95" s="9"/>
      <c r="M95" s="9"/>
      <c r="N95" s="9" t="str">
        <f ca="1">IFERROR(__xludf.DUMMYFUNCTION("IFERROR(VALUE(REGEXEXTRACT(TO_TEXT($F95), N$1 &amp; ""x(\d+)"")), """")
"),"")</f>
        <v/>
      </c>
      <c r="O95" s="9" t="str">
        <f ca="1">IFERROR(__xludf.DUMMYFUNCTION("IFERROR(VALUE(REGEXEXTRACT(TO_TEXT($F95), O$1 &amp; ""x(\d+)"")), """")"),"")</f>
        <v/>
      </c>
      <c r="P95" s="9" t="str">
        <f ca="1">IFERROR(__xludf.DUMMYFUNCTION("IFERROR(VALUE(REGEXEXTRACT(TO_TEXT($F95), P$1 &amp; ""x(\d+)"")), """")"),"")</f>
        <v/>
      </c>
      <c r="Q95" s="9" t="str">
        <f ca="1">IFERROR(__xludf.DUMMYFUNCTION("IFERROR(VALUE(REGEXEXTRACT(TO_TEXT($F95), Q$1 &amp; ""x(\d+)"")), """")"),"")</f>
        <v/>
      </c>
      <c r="R95" s="9" t="str">
        <f ca="1">IFERROR(__xludf.DUMMYFUNCTION("IFERROR(VALUE(REGEXEXTRACT(TO_TEXT($F95), R$1 &amp; ""x(\d+)"")), """")"),"")</f>
        <v/>
      </c>
      <c r="S95" s="9" t="str">
        <f ca="1">IFERROR(__xludf.DUMMYFUNCTION("IFERROR(VALUE(REGEXEXTRACT(TO_TEXT($F95), S$1 &amp; ""x(\d+)"")), """")"),"")</f>
        <v/>
      </c>
      <c r="T95" s="9" t="str">
        <f ca="1">IFERROR(__xludf.DUMMYFUNCTION("IFERROR(VALUE(REGEXEXTRACT(TO_TEXT($F95), T$1 &amp; ""x(\d+)"")), """")"),"")</f>
        <v/>
      </c>
      <c r="U95" s="9" t="str">
        <f ca="1">IFERROR(__xludf.DUMMYFUNCTION("IFERROR(VALUE(REGEXEXTRACT(TO_TEXT($F95), U$1 &amp; ""x(\d+)"")), """")"),"")</f>
        <v/>
      </c>
      <c r="V95" s="9" t="str">
        <f ca="1">IFERROR(__xludf.DUMMYFUNCTION("IFERROR(VALUE(REGEXEXTRACT(TO_TEXT($F95), V$1 &amp; ""x(\d+)"")), """")"),"")</f>
        <v/>
      </c>
      <c r="W95" s="9"/>
      <c r="X95" s="9"/>
      <c r="Y95" s="9"/>
      <c r="Z95" s="9"/>
    </row>
    <row r="96" spans="1:26" ht="15.75" hidden="1" customHeight="1">
      <c r="A96" s="9" t="s">
        <v>1126</v>
      </c>
      <c r="B96" s="9" t="s">
        <v>1127</v>
      </c>
      <c r="C96" s="9" t="s">
        <v>748</v>
      </c>
      <c r="D96" s="9" t="s">
        <v>40</v>
      </c>
      <c r="E96" s="9" t="s">
        <v>12</v>
      </c>
      <c r="F96" s="9" t="s">
        <v>1132</v>
      </c>
      <c r="G96" s="9">
        <v>105</v>
      </c>
      <c r="H96" s="9">
        <v>4</v>
      </c>
      <c r="I96" s="9">
        <v>1.0149999999999999</v>
      </c>
      <c r="J96" s="9">
        <v>412</v>
      </c>
      <c r="K96" s="9" t="s">
        <v>442</v>
      </c>
      <c r="L96" s="9"/>
      <c r="M96" s="9"/>
      <c r="N96" s="9" t="str">
        <f ca="1">IFERROR(__xludf.DUMMYFUNCTION("IFERROR(VALUE(REGEXEXTRACT(TO_TEXT($F96), N$1 &amp; ""x(\d+)"")), """")
"),"")</f>
        <v/>
      </c>
      <c r="O96" s="9" t="str">
        <f ca="1">IFERROR(__xludf.DUMMYFUNCTION("IFERROR(VALUE(REGEXEXTRACT(TO_TEXT($F96), O$1 &amp; ""x(\d+)"")), """")"),"")</f>
        <v/>
      </c>
      <c r="P96" s="9" t="str">
        <f ca="1">IFERROR(__xludf.DUMMYFUNCTION("IFERROR(VALUE(REGEXEXTRACT(TO_TEXT($F96), P$1 &amp; ""x(\d+)"")), """")"),"")</f>
        <v/>
      </c>
      <c r="Q96" s="9" t="str">
        <f ca="1">IFERROR(__xludf.DUMMYFUNCTION("IFERROR(VALUE(REGEXEXTRACT(TO_TEXT($F96), Q$1 &amp; ""x(\d+)"")), """")"),"")</f>
        <v/>
      </c>
      <c r="R96" s="9" t="str">
        <f ca="1">IFERROR(__xludf.DUMMYFUNCTION("IFERROR(VALUE(REGEXEXTRACT(TO_TEXT($F96), R$1 &amp; ""x(\d+)"")), """")"),"")</f>
        <v/>
      </c>
      <c r="S96" s="9">
        <f ca="1">IFERROR(__xludf.DUMMYFUNCTION("IFERROR(VALUE(REGEXEXTRACT(TO_TEXT($F96), S$1 &amp; ""x(\d+)"")), """")"),1)</f>
        <v>1</v>
      </c>
      <c r="T96" s="9" t="str">
        <f ca="1">IFERROR(__xludf.DUMMYFUNCTION("IFERROR(VALUE(REGEXEXTRACT(TO_TEXT($F96), T$1 &amp; ""x(\d+)"")), """")"),"")</f>
        <v/>
      </c>
      <c r="U96" s="9" t="str">
        <f ca="1">IFERROR(__xludf.DUMMYFUNCTION("IFERROR(VALUE(REGEXEXTRACT(TO_TEXT($F96), U$1 &amp; ""x(\d+)"")), """")"),"")</f>
        <v/>
      </c>
      <c r="V96" s="9" t="str">
        <f ca="1">IFERROR(__xludf.DUMMYFUNCTION("IFERROR(VALUE(REGEXEXTRACT(TO_TEXT($F96), V$1 &amp; ""x(\d+)"")), """")"),"")</f>
        <v/>
      </c>
      <c r="W96" s="9"/>
      <c r="X96" s="9"/>
      <c r="Y96" s="9"/>
      <c r="Z96" s="9"/>
    </row>
    <row r="97" spans="1:26" ht="15.75" hidden="1" customHeight="1">
      <c r="A97" s="9" t="s">
        <v>1126</v>
      </c>
      <c r="B97" s="9" t="s">
        <v>1127</v>
      </c>
      <c r="C97" s="9" t="s">
        <v>748</v>
      </c>
      <c r="D97" s="9" t="s">
        <v>40</v>
      </c>
      <c r="E97" s="9" t="s">
        <v>13</v>
      </c>
      <c r="F97" s="9" t="s">
        <v>1133</v>
      </c>
      <c r="G97" s="9">
        <v>30</v>
      </c>
      <c r="H97" s="9">
        <v>4</v>
      </c>
      <c r="I97" s="9">
        <v>1.0149999999999999</v>
      </c>
      <c r="J97" s="9">
        <v>412</v>
      </c>
      <c r="K97" s="9" t="s">
        <v>442</v>
      </c>
      <c r="L97" s="9"/>
      <c r="M97" s="9"/>
      <c r="N97" s="9" t="str">
        <f ca="1">IFERROR(__xludf.DUMMYFUNCTION("IFERROR(VALUE(REGEXEXTRACT(TO_TEXT($F97), N$1 &amp; ""x(\d+)"")), """")
"),"")</f>
        <v/>
      </c>
      <c r="O97" s="9" t="str">
        <f ca="1">IFERROR(__xludf.DUMMYFUNCTION("IFERROR(VALUE(REGEXEXTRACT(TO_TEXT($F97), O$1 &amp; ""x(\d+)"")), """")"),"")</f>
        <v/>
      </c>
      <c r="P97" s="9" t="str">
        <f ca="1">IFERROR(__xludf.DUMMYFUNCTION("IFERROR(VALUE(REGEXEXTRACT(TO_TEXT($F97), P$1 &amp; ""x(\d+)"")), """")"),"")</f>
        <v/>
      </c>
      <c r="Q97" s="9" t="str">
        <f ca="1">IFERROR(__xludf.DUMMYFUNCTION("IFERROR(VALUE(REGEXEXTRACT(TO_TEXT($F97), Q$1 &amp; ""x(\d+)"")), """")"),"")</f>
        <v/>
      </c>
      <c r="R97" s="9" t="str">
        <f ca="1">IFERROR(__xludf.DUMMYFUNCTION("IFERROR(VALUE(REGEXEXTRACT(TO_TEXT($F97), R$1 &amp; ""x(\d+)"")), """")"),"")</f>
        <v/>
      </c>
      <c r="S97" s="9">
        <f ca="1">IFERROR(__xludf.DUMMYFUNCTION("IFERROR(VALUE(REGEXEXTRACT(TO_TEXT($F97), S$1 &amp; ""x(\d+)"")), """")"),1)</f>
        <v>1</v>
      </c>
      <c r="T97" s="9" t="str">
        <f ca="1">IFERROR(__xludf.DUMMYFUNCTION("IFERROR(VALUE(REGEXEXTRACT(TO_TEXT($F97), T$1 &amp; ""x(\d+)"")), """")"),"")</f>
        <v/>
      </c>
      <c r="U97" s="9" t="str">
        <f ca="1">IFERROR(__xludf.DUMMYFUNCTION("IFERROR(VALUE(REGEXEXTRACT(TO_TEXT($F97), U$1 &amp; ""x(\d+)"")), """")"),"")</f>
        <v/>
      </c>
      <c r="V97" s="9" t="str">
        <f ca="1">IFERROR(__xludf.DUMMYFUNCTION("IFERROR(VALUE(REGEXEXTRACT(TO_TEXT($F97), V$1 &amp; ""x(\d+)"")), """")"),"")</f>
        <v/>
      </c>
      <c r="W97" s="9"/>
      <c r="X97" s="9"/>
      <c r="Y97" s="9"/>
      <c r="Z97" s="9"/>
    </row>
    <row r="98" spans="1:26" ht="15.75" hidden="1" customHeight="1">
      <c r="A98" s="9" t="s">
        <v>1134</v>
      </c>
      <c r="B98" s="9" t="s">
        <v>1135</v>
      </c>
      <c r="C98" s="9" t="s">
        <v>521</v>
      </c>
      <c r="D98" s="9" t="s">
        <v>40</v>
      </c>
      <c r="E98" s="9" t="s">
        <v>11</v>
      </c>
      <c r="F98" s="9" t="s">
        <v>1136</v>
      </c>
      <c r="G98" s="9">
        <v>55</v>
      </c>
      <c r="H98" s="9">
        <v>3</v>
      </c>
      <c r="I98" s="9">
        <v>1.0149999999999999</v>
      </c>
      <c r="J98" s="9">
        <v>412</v>
      </c>
      <c r="K98" s="9" t="s">
        <v>442</v>
      </c>
      <c r="L98" s="9"/>
      <c r="M98" s="9"/>
      <c r="N98" s="9" t="str">
        <f ca="1">IFERROR(__xludf.DUMMYFUNCTION("IFERROR(VALUE(REGEXEXTRACT(TO_TEXT($F98), N$1 &amp; ""x(\d+)"")), """")
"),"")</f>
        <v/>
      </c>
      <c r="O98" s="9">
        <f ca="1">IFERROR(__xludf.DUMMYFUNCTION("IFERROR(VALUE(REGEXEXTRACT(TO_TEXT($F98), O$1 &amp; ""x(\d+)"")), """")"),1)</f>
        <v>1</v>
      </c>
      <c r="P98" s="9" t="str">
        <f ca="1">IFERROR(__xludf.DUMMYFUNCTION("IFERROR(VALUE(REGEXEXTRACT(TO_TEXT($F98), P$1 &amp; ""x(\d+)"")), """")"),"")</f>
        <v/>
      </c>
      <c r="Q98" s="9" t="str">
        <f ca="1">IFERROR(__xludf.DUMMYFUNCTION("IFERROR(VALUE(REGEXEXTRACT(TO_TEXT($F98), Q$1 &amp; ""x(\d+)"")), """")"),"")</f>
        <v/>
      </c>
      <c r="R98" s="9" t="str">
        <f ca="1">IFERROR(__xludf.DUMMYFUNCTION("IFERROR(VALUE(REGEXEXTRACT(TO_TEXT($F98), R$1 &amp; ""x(\d+)"")), """")"),"")</f>
        <v/>
      </c>
      <c r="S98" s="9" t="str">
        <f ca="1">IFERROR(__xludf.DUMMYFUNCTION("IFERROR(VALUE(REGEXEXTRACT(TO_TEXT($F98), S$1 &amp; ""x(\d+)"")), """")"),"")</f>
        <v/>
      </c>
      <c r="T98" s="9" t="str">
        <f ca="1">IFERROR(__xludf.DUMMYFUNCTION("IFERROR(VALUE(REGEXEXTRACT(TO_TEXT($F98), T$1 &amp; ""x(\d+)"")), """")"),"")</f>
        <v/>
      </c>
      <c r="U98" s="9" t="str">
        <f ca="1">IFERROR(__xludf.DUMMYFUNCTION("IFERROR(VALUE(REGEXEXTRACT(TO_TEXT($F98), U$1 &amp; ""x(\d+)"")), """")"),"")</f>
        <v/>
      </c>
      <c r="V98" s="9" t="str">
        <f ca="1">IFERROR(__xludf.DUMMYFUNCTION("IFERROR(VALUE(REGEXEXTRACT(TO_TEXT($F98), V$1 &amp; ""x(\d+)"")), """")"),"")</f>
        <v/>
      </c>
      <c r="W98" s="9"/>
      <c r="X98" s="9"/>
      <c r="Y98" s="9"/>
      <c r="Z98" s="9"/>
    </row>
    <row r="99" spans="1:26" ht="15.75" hidden="1" customHeight="1">
      <c r="A99" s="9" t="s">
        <v>1134</v>
      </c>
      <c r="B99" s="9" t="s">
        <v>1135</v>
      </c>
      <c r="C99" s="9" t="s">
        <v>521</v>
      </c>
      <c r="D99" s="9" t="s">
        <v>40</v>
      </c>
      <c r="E99" s="9" t="s">
        <v>12</v>
      </c>
      <c r="F99" s="9" t="s">
        <v>1137</v>
      </c>
      <c r="G99" s="9">
        <v>105</v>
      </c>
      <c r="H99" s="9">
        <v>3</v>
      </c>
      <c r="I99" s="9">
        <v>1.0149999999999999</v>
      </c>
      <c r="J99" s="9">
        <v>412</v>
      </c>
      <c r="K99" s="9" t="s">
        <v>442</v>
      </c>
      <c r="L99" s="9" t="s">
        <v>1015</v>
      </c>
      <c r="M99" s="9"/>
      <c r="N99" s="9" t="str">
        <f ca="1">IFERROR(__xludf.DUMMYFUNCTION("IFERROR(VALUE(REGEXEXTRACT(TO_TEXT($F99), N$1 &amp; ""x(\d+)"")), """")
"),"")</f>
        <v/>
      </c>
      <c r="O99" s="9" t="str">
        <f ca="1">IFERROR(__xludf.DUMMYFUNCTION("IFERROR(VALUE(REGEXEXTRACT(TO_TEXT($F99), O$1 &amp; ""x(\d+)"")), """")"),"")</f>
        <v/>
      </c>
      <c r="P99" s="9" t="str">
        <f ca="1">IFERROR(__xludf.DUMMYFUNCTION("IFERROR(VALUE(REGEXEXTRACT(TO_TEXT($F99), P$1 &amp; ""x(\d+)"")), """")"),"")</f>
        <v/>
      </c>
      <c r="Q99" s="9" t="str">
        <f ca="1">IFERROR(__xludf.DUMMYFUNCTION("IFERROR(VALUE(REGEXEXTRACT(TO_TEXT($F99), Q$1 &amp; ""x(\d+)"")), """")"),"")</f>
        <v/>
      </c>
      <c r="R99" s="9" t="str">
        <f ca="1">IFERROR(__xludf.DUMMYFUNCTION("IFERROR(VALUE(REGEXEXTRACT(TO_TEXT($F99), R$1 &amp; ""x(\d+)"")), """")"),"")</f>
        <v/>
      </c>
      <c r="S99" s="9">
        <f ca="1">IFERROR(__xludf.DUMMYFUNCTION("IFERROR(VALUE(REGEXEXTRACT(TO_TEXT($F99), S$1 &amp; ""x(\d+)"")), """")"),1)</f>
        <v>1</v>
      </c>
      <c r="T99" s="9" t="str">
        <f ca="1">IFERROR(__xludf.DUMMYFUNCTION("IFERROR(VALUE(REGEXEXTRACT(TO_TEXT($F99), T$1 &amp; ""x(\d+)"")), """")"),"")</f>
        <v/>
      </c>
      <c r="U99" s="9" t="str">
        <f ca="1">IFERROR(__xludf.DUMMYFUNCTION("IFERROR(VALUE(REGEXEXTRACT(TO_TEXT($F99), U$1 &amp; ""x(\d+)"")), """")"),"")</f>
        <v/>
      </c>
      <c r="V99" s="9" t="str">
        <f ca="1">IFERROR(__xludf.DUMMYFUNCTION("IFERROR(VALUE(REGEXEXTRACT(TO_TEXT($F99), V$1 &amp; ""x(\d+)"")), """")"),"")</f>
        <v/>
      </c>
      <c r="W99" s="9"/>
      <c r="X99" s="9"/>
      <c r="Y99" s="9"/>
      <c r="Z99" s="9"/>
    </row>
    <row r="100" spans="1:26" ht="15.75" hidden="1" customHeight="1">
      <c r="A100" s="9" t="s">
        <v>1134</v>
      </c>
      <c r="B100" s="9" t="s">
        <v>1135</v>
      </c>
      <c r="C100" s="9" t="s">
        <v>521</v>
      </c>
      <c r="D100" s="9" t="s">
        <v>40</v>
      </c>
      <c r="E100" s="9" t="s">
        <v>13</v>
      </c>
      <c r="F100" s="9" t="s">
        <v>1138</v>
      </c>
      <c r="G100" s="9">
        <v>30</v>
      </c>
      <c r="H100" s="9">
        <v>3</v>
      </c>
      <c r="I100" s="9">
        <v>1.0149999999999999</v>
      </c>
      <c r="J100" s="9">
        <v>412</v>
      </c>
      <c r="K100" s="9" t="s">
        <v>442</v>
      </c>
      <c r="L100" s="9"/>
      <c r="M100" s="9"/>
      <c r="N100" s="9" t="str">
        <f ca="1">IFERROR(__xludf.DUMMYFUNCTION("IFERROR(VALUE(REGEXEXTRACT(TO_TEXT($F100), N$1 &amp; ""x(\d+)"")), """")
"),"")</f>
        <v/>
      </c>
      <c r="O100" s="9" t="str">
        <f ca="1">IFERROR(__xludf.DUMMYFUNCTION("IFERROR(VALUE(REGEXEXTRACT(TO_TEXT($F100), O$1 &amp; ""x(\d+)"")), """")"),"")</f>
        <v/>
      </c>
      <c r="P100" s="9" t="str">
        <f ca="1">IFERROR(__xludf.DUMMYFUNCTION("IFERROR(VALUE(REGEXEXTRACT(TO_TEXT($F100), P$1 &amp; ""x(\d+)"")), """")"),"")</f>
        <v/>
      </c>
      <c r="Q100" s="9" t="str">
        <f ca="1">IFERROR(__xludf.DUMMYFUNCTION("IFERROR(VALUE(REGEXEXTRACT(TO_TEXT($F100), Q$1 &amp; ""x(\d+)"")), """")"),"")</f>
        <v/>
      </c>
      <c r="R100" s="9" t="str">
        <f ca="1">IFERROR(__xludf.DUMMYFUNCTION("IFERROR(VALUE(REGEXEXTRACT(TO_TEXT($F100), R$1 &amp; ""x(\d+)"")), """")"),"")</f>
        <v/>
      </c>
      <c r="S100" s="9">
        <f ca="1">IFERROR(__xludf.DUMMYFUNCTION("IFERROR(VALUE(REGEXEXTRACT(TO_TEXT($F100), S$1 &amp; ""x(\d+)"")), """")"),1)</f>
        <v>1</v>
      </c>
      <c r="T100" s="9" t="str">
        <f ca="1">IFERROR(__xludf.DUMMYFUNCTION("IFERROR(VALUE(REGEXEXTRACT(TO_TEXT($F100), T$1 &amp; ""x(\d+)"")), """")"),"")</f>
        <v/>
      </c>
      <c r="U100" s="9" t="str">
        <f ca="1">IFERROR(__xludf.DUMMYFUNCTION("IFERROR(VALUE(REGEXEXTRACT(TO_TEXT($F100), U$1 &amp; ""x(\d+)"")), """")"),"")</f>
        <v/>
      </c>
      <c r="V100" s="9" t="str">
        <f ca="1">IFERROR(__xludf.DUMMYFUNCTION("IFERROR(VALUE(REGEXEXTRACT(TO_TEXT($F100), V$1 &amp; ""x(\d+)"")), """")"),"")</f>
        <v/>
      </c>
      <c r="W100" s="9"/>
      <c r="X100" s="9"/>
      <c r="Y100" s="9"/>
      <c r="Z100" s="9"/>
    </row>
    <row r="101" spans="1:26" ht="15.75" hidden="1" customHeight="1">
      <c r="A101" s="9" t="s">
        <v>1139</v>
      </c>
      <c r="B101" s="9" t="s">
        <v>1135</v>
      </c>
      <c r="C101" s="9" t="s">
        <v>518</v>
      </c>
      <c r="D101" s="9" t="s">
        <v>40</v>
      </c>
      <c r="E101" s="9" t="s">
        <v>11</v>
      </c>
      <c r="F101" s="9" t="s">
        <v>1136</v>
      </c>
      <c r="G101" s="9">
        <v>55</v>
      </c>
      <c r="H101" s="9">
        <v>3</v>
      </c>
      <c r="I101" s="9">
        <v>1.0149999999999999</v>
      </c>
      <c r="J101" s="9">
        <v>412</v>
      </c>
      <c r="K101" s="9" t="s">
        <v>442</v>
      </c>
      <c r="L101" s="9"/>
      <c r="M101" s="9"/>
      <c r="N101" s="9" t="str">
        <f ca="1">IFERROR(__xludf.DUMMYFUNCTION("IFERROR(VALUE(REGEXEXTRACT(TO_TEXT($F101), N$1 &amp; ""x(\d+)"")), """")
"),"")</f>
        <v/>
      </c>
      <c r="O101" s="9">
        <f ca="1">IFERROR(__xludf.DUMMYFUNCTION("IFERROR(VALUE(REGEXEXTRACT(TO_TEXT($F101), O$1 &amp; ""x(\d+)"")), """")"),1)</f>
        <v>1</v>
      </c>
      <c r="P101" s="9" t="str">
        <f ca="1">IFERROR(__xludf.DUMMYFUNCTION("IFERROR(VALUE(REGEXEXTRACT(TO_TEXT($F101), P$1 &amp; ""x(\d+)"")), """")"),"")</f>
        <v/>
      </c>
      <c r="Q101" s="9" t="str">
        <f ca="1">IFERROR(__xludf.DUMMYFUNCTION("IFERROR(VALUE(REGEXEXTRACT(TO_TEXT($F101), Q$1 &amp; ""x(\d+)"")), """")"),"")</f>
        <v/>
      </c>
      <c r="R101" s="9" t="str">
        <f ca="1">IFERROR(__xludf.DUMMYFUNCTION("IFERROR(VALUE(REGEXEXTRACT(TO_TEXT($F101), R$1 &amp; ""x(\d+)"")), """")"),"")</f>
        <v/>
      </c>
      <c r="S101" s="9" t="str">
        <f ca="1">IFERROR(__xludf.DUMMYFUNCTION("IFERROR(VALUE(REGEXEXTRACT(TO_TEXT($F101), S$1 &amp; ""x(\d+)"")), """")"),"")</f>
        <v/>
      </c>
      <c r="T101" s="9" t="str">
        <f ca="1">IFERROR(__xludf.DUMMYFUNCTION("IFERROR(VALUE(REGEXEXTRACT(TO_TEXT($F101), T$1 &amp; ""x(\d+)"")), """")"),"")</f>
        <v/>
      </c>
      <c r="U101" s="9" t="str">
        <f ca="1">IFERROR(__xludf.DUMMYFUNCTION("IFERROR(VALUE(REGEXEXTRACT(TO_TEXT($F101), U$1 &amp; ""x(\d+)"")), """")"),"")</f>
        <v/>
      </c>
      <c r="V101" s="9" t="str">
        <f ca="1">IFERROR(__xludf.DUMMYFUNCTION("IFERROR(VALUE(REGEXEXTRACT(TO_TEXT($F101), V$1 &amp; ""x(\d+)"")), """")"),"")</f>
        <v/>
      </c>
      <c r="W101" s="9"/>
      <c r="X101" s="9"/>
      <c r="Y101" s="9"/>
      <c r="Z101" s="9"/>
    </row>
    <row r="102" spans="1:26" ht="15.75" hidden="1" customHeight="1">
      <c r="A102" s="9" t="s">
        <v>1139</v>
      </c>
      <c r="B102" s="9" t="s">
        <v>1135</v>
      </c>
      <c r="C102" s="9" t="s">
        <v>518</v>
      </c>
      <c r="D102" s="9" t="s">
        <v>40</v>
      </c>
      <c r="E102" s="9" t="s">
        <v>12</v>
      </c>
      <c r="F102" s="9" t="s">
        <v>1137</v>
      </c>
      <c r="G102" s="9">
        <v>105</v>
      </c>
      <c r="H102" s="9">
        <v>3</v>
      </c>
      <c r="I102" s="9">
        <v>1.0149999999999999</v>
      </c>
      <c r="J102" s="9">
        <v>412</v>
      </c>
      <c r="K102" s="9" t="s">
        <v>442</v>
      </c>
      <c r="L102" s="9" t="s">
        <v>1015</v>
      </c>
      <c r="M102" s="9"/>
      <c r="N102" s="9" t="str">
        <f ca="1">IFERROR(__xludf.DUMMYFUNCTION("IFERROR(VALUE(REGEXEXTRACT(TO_TEXT($F102), N$1 &amp; ""x(\d+)"")), """")
"),"")</f>
        <v/>
      </c>
      <c r="O102" s="9" t="str">
        <f ca="1">IFERROR(__xludf.DUMMYFUNCTION("IFERROR(VALUE(REGEXEXTRACT(TO_TEXT($F102), O$1 &amp; ""x(\d+)"")), """")"),"")</f>
        <v/>
      </c>
      <c r="P102" s="9" t="str">
        <f ca="1">IFERROR(__xludf.DUMMYFUNCTION("IFERROR(VALUE(REGEXEXTRACT(TO_TEXT($F102), P$1 &amp; ""x(\d+)"")), """")"),"")</f>
        <v/>
      </c>
      <c r="Q102" s="9" t="str">
        <f ca="1">IFERROR(__xludf.DUMMYFUNCTION("IFERROR(VALUE(REGEXEXTRACT(TO_TEXT($F102), Q$1 &amp; ""x(\d+)"")), """")"),"")</f>
        <v/>
      </c>
      <c r="R102" s="9" t="str">
        <f ca="1">IFERROR(__xludf.DUMMYFUNCTION("IFERROR(VALUE(REGEXEXTRACT(TO_TEXT($F102), R$1 &amp; ""x(\d+)"")), """")"),"")</f>
        <v/>
      </c>
      <c r="S102" s="9">
        <f ca="1">IFERROR(__xludf.DUMMYFUNCTION("IFERROR(VALUE(REGEXEXTRACT(TO_TEXT($F102), S$1 &amp; ""x(\d+)"")), """")"),1)</f>
        <v>1</v>
      </c>
      <c r="T102" s="9" t="str">
        <f ca="1">IFERROR(__xludf.DUMMYFUNCTION("IFERROR(VALUE(REGEXEXTRACT(TO_TEXT($F102), T$1 &amp; ""x(\d+)"")), """")"),"")</f>
        <v/>
      </c>
      <c r="U102" s="9" t="str">
        <f ca="1">IFERROR(__xludf.DUMMYFUNCTION("IFERROR(VALUE(REGEXEXTRACT(TO_TEXT($F102), U$1 &amp; ""x(\d+)"")), """")"),"")</f>
        <v/>
      </c>
      <c r="V102" s="9" t="str">
        <f ca="1">IFERROR(__xludf.DUMMYFUNCTION("IFERROR(VALUE(REGEXEXTRACT(TO_TEXT($F102), V$1 &amp; ""x(\d+)"")), """")"),"")</f>
        <v/>
      </c>
      <c r="W102" s="9"/>
      <c r="X102" s="9"/>
      <c r="Y102" s="9"/>
      <c r="Z102" s="9"/>
    </row>
    <row r="103" spans="1:26" ht="15.75" hidden="1" customHeight="1">
      <c r="A103" s="9" t="s">
        <v>1139</v>
      </c>
      <c r="B103" s="9" t="s">
        <v>1135</v>
      </c>
      <c r="C103" s="9" t="s">
        <v>518</v>
      </c>
      <c r="D103" s="9" t="s">
        <v>40</v>
      </c>
      <c r="E103" s="9" t="s">
        <v>13</v>
      </c>
      <c r="F103" s="9" t="s">
        <v>1138</v>
      </c>
      <c r="G103" s="9">
        <v>30</v>
      </c>
      <c r="H103" s="9">
        <v>3</v>
      </c>
      <c r="I103" s="9">
        <v>1.0149999999999999</v>
      </c>
      <c r="J103" s="9">
        <v>412</v>
      </c>
      <c r="K103" s="9" t="s">
        <v>442</v>
      </c>
      <c r="L103" s="9"/>
      <c r="M103" s="9"/>
      <c r="N103" s="9" t="str">
        <f ca="1">IFERROR(__xludf.DUMMYFUNCTION("IFERROR(VALUE(REGEXEXTRACT(TO_TEXT($F103), N$1 &amp; ""x(\d+)"")), """")
"),"")</f>
        <v/>
      </c>
      <c r="O103" s="9" t="str">
        <f ca="1">IFERROR(__xludf.DUMMYFUNCTION("IFERROR(VALUE(REGEXEXTRACT(TO_TEXT($F103), O$1 &amp; ""x(\d+)"")), """")"),"")</f>
        <v/>
      </c>
      <c r="P103" s="9" t="str">
        <f ca="1">IFERROR(__xludf.DUMMYFUNCTION("IFERROR(VALUE(REGEXEXTRACT(TO_TEXT($F103), P$1 &amp; ""x(\d+)"")), """")"),"")</f>
        <v/>
      </c>
      <c r="Q103" s="9" t="str">
        <f ca="1">IFERROR(__xludf.DUMMYFUNCTION("IFERROR(VALUE(REGEXEXTRACT(TO_TEXT($F103), Q$1 &amp; ""x(\d+)"")), """")"),"")</f>
        <v/>
      </c>
      <c r="R103" s="9" t="str">
        <f ca="1">IFERROR(__xludf.DUMMYFUNCTION("IFERROR(VALUE(REGEXEXTRACT(TO_TEXT($F103), R$1 &amp; ""x(\d+)"")), """")"),"")</f>
        <v/>
      </c>
      <c r="S103" s="9">
        <f ca="1">IFERROR(__xludf.DUMMYFUNCTION("IFERROR(VALUE(REGEXEXTRACT(TO_TEXT($F103), S$1 &amp; ""x(\d+)"")), """")"),1)</f>
        <v>1</v>
      </c>
      <c r="T103" s="9" t="str">
        <f ca="1">IFERROR(__xludf.DUMMYFUNCTION("IFERROR(VALUE(REGEXEXTRACT(TO_TEXT($F103), T$1 &amp; ""x(\d+)"")), """")"),"")</f>
        <v/>
      </c>
      <c r="U103" s="9" t="str">
        <f ca="1">IFERROR(__xludf.DUMMYFUNCTION("IFERROR(VALUE(REGEXEXTRACT(TO_TEXT($F103), U$1 &amp; ""x(\d+)"")), """")"),"")</f>
        <v/>
      </c>
      <c r="V103" s="9" t="str">
        <f ca="1">IFERROR(__xludf.DUMMYFUNCTION("IFERROR(VALUE(REGEXEXTRACT(TO_TEXT($F103), V$1 &amp; ""x(\d+)"")), """")"),"")</f>
        <v/>
      </c>
      <c r="W103" s="9"/>
      <c r="X103" s="9"/>
      <c r="Y103" s="9"/>
      <c r="Z103" s="9"/>
    </row>
    <row r="104" spans="1:26" ht="15.75" customHeight="1">
      <c r="A104" s="9" t="s">
        <v>1140</v>
      </c>
      <c r="B104" s="9" t="s">
        <v>1141</v>
      </c>
      <c r="C104" s="9" t="s">
        <v>518</v>
      </c>
      <c r="D104" s="9" t="s">
        <v>33</v>
      </c>
      <c r="E104" s="9" t="s">
        <v>11</v>
      </c>
      <c r="F104" s="9" t="s">
        <v>1142</v>
      </c>
      <c r="G104" s="9">
        <v>55</v>
      </c>
      <c r="H104" s="9">
        <v>1</v>
      </c>
      <c r="I104" s="9">
        <v>1.0149999999999999</v>
      </c>
      <c r="J104" s="9">
        <v>15</v>
      </c>
      <c r="K104" s="9" t="s">
        <v>442</v>
      </c>
      <c r="L104" s="9"/>
      <c r="M104" s="9"/>
      <c r="N104" s="9" t="str">
        <f ca="1">IFERROR(__xludf.DUMMYFUNCTION("IFERROR(VALUE(REGEXEXTRACT(TO_TEXT($F104), N$1 &amp; ""x(\d+)"")), """")
"),"")</f>
        <v/>
      </c>
      <c r="O104" s="9" t="str">
        <f ca="1">IFERROR(__xludf.DUMMYFUNCTION("IFERROR(VALUE(REGEXEXTRACT(TO_TEXT($F104), O$1 &amp; ""x(\d+)"")), """")"),"")</f>
        <v/>
      </c>
      <c r="P104" s="9" t="str">
        <f ca="1">IFERROR(__xludf.DUMMYFUNCTION("IFERROR(VALUE(REGEXEXTRACT(TO_TEXT($F104), P$1 &amp; ""x(\d+)"")), """")"),"")</f>
        <v/>
      </c>
      <c r="Q104" s="9" t="str">
        <f ca="1">IFERROR(__xludf.DUMMYFUNCTION("IFERROR(VALUE(REGEXEXTRACT(TO_TEXT($F104), Q$1 &amp; ""x(\d+)"")), """")"),"")</f>
        <v/>
      </c>
      <c r="R104" s="9" t="str">
        <f ca="1">IFERROR(__xludf.DUMMYFUNCTION("IFERROR(VALUE(REGEXEXTRACT(TO_TEXT($F104), R$1 &amp; ""x(\d+)"")), """")"),"")</f>
        <v/>
      </c>
      <c r="S104" s="9" t="str">
        <f ca="1">IFERROR(__xludf.DUMMYFUNCTION("IFERROR(VALUE(REGEXEXTRACT(TO_TEXT($F104), S$1 &amp; ""x(\d+)"")), """")"),"")</f>
        <v/>
      </c>
      <c r="T104" s="9" t="str">
        <f ca="1">IFERROR(__xludf.DUMMYFUNCTION("IFERROR(VALUE(REGEXEXTRACT(TO_TEXT($F104), T$1 &amp; ""x(\d+)"")), """")"),"")</f>
        <v/>
      </c>
      <c r="U104" s="9" t="str">
        <f ca="1">IFERROR(__xludf.DUMMYFUNCTION("IFERROR(VALUE(REGEXEXTRACT(TO_TEXT($F104), U$1 &amp; ""x(\d+)"")), """")"),"")</f>
        <v/>
      </c>
      <c r="V104" s="9" t="str">
        <f ca="1">IFERROR(__xludf.DUMMYFUNCTION("IFERROR(VALUE(REGEXEXTRACT(TO_TEXT($F104), V$1 &amp; ""x(\d+)"")), """")"),"")</f>
        <v/>
      </c>
      <c r="W104" s="9"/>
      <c r="X104" s="9"/>
      <c r="Y104" s="9"/>
      <c r="Z104" s="9"/>
    </row>
    <row r="105" spans="1:26" ht="15.75" customHeight="1">
      <c r="A105" s="9" t="s">
        <v>1140</v>
      </c>
      <c r="B105" s="9" t="s">
        <v>1141</v>
      </c>
      <c r="C105" s="9" t="s">
        <v>518</v>
      </c>
      <c r="D105" s="9" t="s">
        <v>33</v>
      </c>
      <c r="E105" s="9" t="s">
        <v>12</v>
      </c>
      <c r="F105" s="9" t="s">
        <v>1143</v>
      </c>
      <c r="G105" s="9">
        <v>85</v>
      </c>
      <c r="H105" s="9">
        <v>1</v>
      </c>
      <c r="I105" s="9">
        <v>1.0149999999999999</v>
      </c>
      <c r="J105" s="9">
        <v>15</v>
      </c>
      <c r="K105" s="9" t="s">
        <v>442</v>
      </c>
      <c r="L105" s="9"/>
      <c r="M105" s="9"/>
      <c r="N105" s="9" t="str">
        <f ca="1">IFERROR(__xludf.DUMMYFUNCTION("IFERROR(VALUE(REGEXEXTRACT(TO_TEXT($F105), N$1 &amp; ""x(\d+)"")), """")
"),"")</f>
        <v/>
      </c>
      <c r="O105" s="9" t="str">
        <f ca="1">IFERROR(__xludf.DUMMYFUNCTION("IFERROR(VALUE(REGEXEXTRACT(TO_TEXT($F105), O$1 &amp; ""x(\d+)"")), """")"),"")</f>
        <v/>
      </c>
      <c r="P105" s="9" t="str">
        <f ca="1">IFERROR(__xludf.DUMMYFUNCTION("IFERROR(VALUE(REGEXEXTRACT(TO_TEXT($F105), P$1 &amp; ""x(\d+)"")), """")"),"")</f>
        <v/>
      </c>
      <c r="Q105" s="9" t="str">
        <f ca="1">IFERROR(__xludf.DUMMYFUNCTION("IFERROR(VALUE(REGEXEXTRACT(TO_TEXT($F105), Q$1 &amp; ""x(\d+)"")), """")"),"")</f>
        <v/>
      </c>
      <c r="R105" s="9" t="str">
        <f ca="1">IFERROR(__xludf.DUMMYFUNCTION("IFERROR(VALUE(REGEXEXTRACT(TO_TEXT($F105), R$1 &amp; ""x(\d+)"")), """")"),"")</f>
        <v/>
      </c>
      <c r="S105" s="9" t="str">
        <f ca="1">IFERROR(__xludf.DUMMYFUNCTION("IFERROR(VALUE(REGEXEXTRACT(TO_TEXT($F105), S$1 &amp; ""x(\d+)"")), """")"),"")</f>
        <v/>
      </c>
      <c r="T105" s="9" t="str">
        <f ca="1">IFERROR(__xludf.DUMMYFUNCTION("IFERROR(VALUE(REGEXEXTRACT(TO_TEXT($F105), T$1 &amp; ""x(\d+)"")), """")"),"")</f>
        <v/>
      </c>
      <c r="U105" s="9" t="str">
        <f ca="1">IFERROR(__xludf.DUMMYFUNCTION("IFERROR(VALUE(REGEXEXTRACT(TO_TEXT($F105), U$1 &amp; ""x(\d+)"")), """")"),"")</f>
        <v/>
      </c>
      <c r="V105" s="9" t="str">
        <f ca="1">IFERROR(__xludf.DUMMYFUNCTION("IFERROR(VALUE(REGEXEXTRACT(TO_TEXT($F105), V$1 &amp; ""x(\d+)"")), """")"),"")</f>
        <v/>
      </c>
      <c r="W105" s="9"/>
      <c r="X105" s="9"/>
      <c r="Y105" s="9"/>
      <c r="Z105" s="9"/>
    </row>
    <row r="106" spans="1:26" ht="15.75" customHeight="1">
      <c r="A106" s="9" t="s">
        <v>1140</v>
      </c>
      <c r="B106" s="9" t="s">
        <v>1141</v>
      </c>
      <c r="C106" s="9" t="s">
        <v>518</v>
      </c>
      <c r="D106" s="9" t="s">
        <v>33</v>
      </c>
      <c r="E106" s="9" t="s">
        <v>13</v>
      </c>
      <c r="F106" s="9" t="s">
        <v>1144</v>
      </c>
      <c r="G106" s="9">
        <v>10</v>
      </c>
      <c r="H106" s="9">
        <v>1</v>
      </c>
      <c r="I106" s="9">
        <v>1.0149999999999999</v>
      </c>
      <c r="J106" s="9">
        <v>15</v>
      </c>
      <c r="K106" s="9" t="s">
        <v>442</v>
      </c>
      <c r="L106" s="9"/>
      <c r="M106" s="9"/>
      <c r="N106" s="9" t="str">
        <f ca="1">IFERROR(__xludf.DUMMYFUNCTION("IFERROR(VALUE(REGEXEXTRACT(TO_TEXT($F106), N$1 &amp; ""x(\d+)"")), """")
"),"")</f>
        <v/>
      </c>
      <c r="O106" s="9" t="str">
        <f ca="1">IFERROR(__xludf.DUMMYFUNCTION("IFERROR(VALUE(REGEXEXTRACT(TO_TEXT($F106), O$1 &amp; ""x(\d+)"")), """")"),"")</f>
        <v/>
      </c>
      <c r="P106" s="9" t="str">
        <f ca="1">IFERROR(__xludf.DUMMYFUNCTION("IFERROR(VALUE(REGEXEXTRACT(TO_TEXT($F106), P$1 &amp; ""x(\d+)"")), """")"),"")</f>
        <v/>
      </c>
      <c r="Q106" s="9" t="str">
        <f ca="1">IFERROR(__xludf.DUMMYFUNCTION("IFERROR(VALUE(REGEXEXTRACT(TO_TEXT($F106), Q$1 &amp; ""x(\d+)"")), """")"),"")</f>
        <v/>
      </c>
      <c r="R106" s="9" t="str">
        <f ca="1">IFERROR(__xludf.DUMMYFUNCTION("IFERROR(VALUE(REGEXEXTRACT(TO_TEXT($F106), R$1 &amp; ""x(\d+)"")), """")"),"")</f>
        <v/>
      </c>
      <c r="S106" s="9" t="str">
        <f ca="1">IFERROR(__xludf.DUMMYFUNCTION("IFERROR(VALUE(REGEXEXTRACT(TO_TEXT($F106), S$1 &amp; ""x(\d+)"")), """")"),"")</f>
        <v/>
      </c>
      <c r="T106" s="9" t="str">
        <f ca="1">IFERROR(__xludf.DUMMYFUNCTION("IFERROR(VALUE(REGEXEXTRACT(TO_TEXT($F106), T$1 &amp; ""x(\d+)"")), """")"),"")</f>
        <v/>
      </c>
      <c r="U106" s="9" t="str">
        <f ca="1">IFERROR(__xludf.DUMMYFUNCTION("IFERROR(VALUE(REGEXEXTRACT(TO_TEXT($F106), U$1 &amp; ""x(\d+)"")), """")"),"")</f>
        <v/>
      </c>
      <c r="V106" s="9" t="str">
        <f ca="1">IFERROR(__xludf.DUMMYFUNCTION("IFERROR(VALUE(REGEXEXTRACT(TO_TEXT($F106), V$1 &amp; ""x(\d+)"")), """")"),"")</f>
        <v/>
      </c>
      <c r="W106" s="9"/>
      <c r="X106" s="9"/>
      <c r="Y106" s="9"/>
      <c r="Z106" s="9"/>
    </row>
    <row r="107" spans="1:26" ht="15.75" hidden="1" customHeight="1">
      <c r="A107" s="9" t="s">
        <v>1140</v>
      </c>
      <c r="B107" s="9" t="s">
        <v>1141</v>
      </c>
      <c r="C107" s="9" t="s">
        <v>518</v>
      </c>
      <c r="D107" s="9" t="s">
        <v>40</v>
      </c>
      <c r="E107" s="9" t="s">
        <v>11</v>
      </c>
      <c r="F107" s="9" t="s">
        <v>1136</v>
      </c>
      <c r="G107" s="9">
        <v>55</v>
      </c>
      <c r="H107" s="9">
        <v>3</v>
      </c>
      <c r="I107" s="9">
        <v>1.0149999999999999</v>
      </c>
      <c r="J107" s="9">
        <v>412</v>
      </c>
      <c r="K107" s="9" t="s">
        <v>442</v>
      </c>
      <c r="L107" s="9"/>
      <c r="M107" s="9"/>
      <c r="N107" s="9" t="str">
        <f ca="1">IFERROR(__xludf.DUMMYFUNCTION("IFERROR(VALUE(REGEXEXTRACT(TO_TEXT($F107), N$1 &amp; ""x(\d+)"")), """")
"),"")</f>
        <v/>
      </c>
      <c r="O107" s="9">
        <f ca="1">IFERROR(__xludf.DUMMYFUNCTION("IFERROR(VALUE(REGEXEXTRACT(TO_TEXT($F107), O$1 &amp; ""x(\d+)"")), """")"),1)</f>
        <v>1</v>
      </c>
      <c r="P107" s="9" t="str">
        <f ca="1">IFERROR(__xludf.DUMMYFUNCTION("IFERROR(VALUE(REGEXEXTRACT(TO_TEXT($F107), P$1 &amp; ""x(\d+)"")), """")"),"")</f>
        <v/>
      </c>
      <c r="Q107" s="9" t="str">
        <f ca="1">IFERROR(__xludf.DUMMYFUNCTION("IFERROR(VALUE(REGEXEXTRACT(TO_TEXT($F107), Q$1 &amp; ""x(\d+)"")), """")"),"")</f>
        <v/>
      </c>
      <c r="R107" s="9" t="str">
        <f ca="1">IFERROR(__xludf.DUMMYFUNCTION("IFERROR(VALUE(REGEXEXTRACT(TO_TEXT($F107), R$1 &amp; ""x(\d+)"")), """")"),"")</f>
        <v/>
      </c>
      <c r="S107" s="9" t="str">
        <f ca="1">IFERROR(__xludf.DUMMYFUNCTION("IFERROR(VALUE(REGEXEXTRACT(TO_TEXT($F107), S$1 &amp; ""x(\d+)"")), """")"),"")</f>
        <v/>
      </c>
      <c r="T107" s="9" t="str">
        <f ca="1">IFERROR(__xludf.DUMMYFUNCTION("IFERROR(VALUE(REGEXEXTRACT(TO_TEXT($F107), T$1 &amp; ""x(\d+)"")), """")"),"")</f>
        <v/>
      </c>
      <c r="U107" s="9" t="str">
        <f ca="1">IFERROR(__xludf.DUMMYFUNCTION("IFERROR(VALUE(REGEXEXTRACT(TO_TEXT($F107), U$1 &amp; ""x(\d+)"")), """")"),"")</f>
        <v/>
      </c>
      <c r="V107" s="9" t="str">
        <f ca="1">IFERROR(__xludf.DUMMYFUNCTION("IFERROR(VALUE(REGEXEXTRACT(TO_TEXT($F107), V$1 &amp; ""x(\d+)"")), """")"),"")</f>
        <v/>
      </c>
      <c r="W107" s="9"/>
      <c r="X107" s="9"/>
      <c r="Y107" s="9"/>
      <c r="Z107" s="9"/>
    </row>
    <row r="108" spans="1:26" ht="15.75" hidden="1" customHeight="1">
      <c r="A108" s="9" t="s">
        <v>1140</v>
      </c>
      <c r="B108" s="9" t="s">
        <v>1141</v>
      </c>
      <c r="C108" s="9" t="s">
        <v>518</v>
      </c>
      <c r="D108" s="9" t="s">
        <v>40</v>
      </c>
      <c r="E108" s="9" t="s">
        <v>12</v>
      </c>
      <c r="F108" s="9" t="s">
        <v>1137</v>
      </c>
      <c r="G108" s="9">
        <v>105</v>
      </c>
      <c r="H108" s="9">
        <v>3</v>
      </c>
      <c r="I108" s="9">
        <v>1.0149999999999999</v>
      </c>
      <c r="J108" s="9">
        <v>412</v>
      </c>
      <c r="K108" s="9" t="s">
        <v>442</v>
      </c>
      <c r="L108" s="9" t="s">
        <v>1015</v>
      </c>
      <c r="M108" s="9"/>
      <c r="N108" s="9" t="str">
        <f ca="1">IFERROR(__xludf.DUMMYFUNCTION("IFERROR(VALUE(REGEXEXTRACT(TO_TEXT($F108), N$1 &amp; ""x(\d+)"")), """")
"),"")</f>
        <v/>
      </c>
      <c r="O108" s="9" t="str">
        <f ca="1">IFERROR(__xludf.DUMMYFUNCTION("IFERROR(VALUE(REGEXEXTRACT(TO_TEXT($F108), O$1 &amp; ""x(\d+)"")), """")"),"")</f>
        <v/>
      </c>
      <c r="P108" s="9" t="str">
        <f ca="1">IFERROR(__xludf.DUMMYFUNCTION("IFERROR(VALUE(REGEXEXTRACT(TO_TEXT($F108), P$1 &amp; ""x(\d+)"")), """")"),"")</f>
        <v/>
      </c>
      <c r="Q108" s="9" t="str">
        <f ca="1">IFERROR(__xludf.DUMMYFUNCTION("IFERROR(VALUE(REGEXEXTRACT(TO_TEXT($F108), Q$1 &amp; ""x(\d+)"")), """")"),"")</f>
        <v/>
      </c>
      <c r="R108" s="9" t="str">
        <f ca="1">IFERROR(__xludf.DUMMYFUNCTION("IFERROR(VALUE(REGEXEXTRACT(TO_TEXT($F108), R$1 &amp; ""x(\d+)"")), """")"),"")</f>
        <v/>
      </c>
      <c r="S108" s="9">
        <f ca="1">IFERROR(__xludf.DUMMYFUNCTION("IFERROR(VALUE(REGEXEXTRACT(TO_TEXT($F108), S$1 &amp; ""x(\d+)"")), """")"),1)</f>
        <v>1</v>
      </c>
      <c r="T108" s="9" t="str">
        <f ca="1">IFERROR(__xludf.DUMMYFUNCTION("IFERROR(VALUE(REGEXEXTRACT(TO_TEXT($F108), T$1 &amp; ""x(\d+)"")), """")"),"")</f>
        <v/>
      </c>
      <c r="U108" s="9" t="str">
        <f ca="1">IFERROR(__xludf.DUMMYFUNCTION("IFERROR(VALUE(REGEXEXTRACT(TO_TEXT($F108), U$1 &amp; ""x(\d+)"")), """")"),"")</f>
        <v/>
      </c>
      <c r="V108" s="9" t="str">
        <f ca="1">IFERROR(__xludf.DUMMYFUNCTION("IFERROR(VALUE(REGEXEXTRACT(TO_TEXT($F108), V$1 &amp; ""x(\d+)"")), """")"),"")</f>
        <v/>
      </c>
      <c r="W108" s="9"/>
      <c r="X108" s="9"/>
      <c r="Y108" s="9"/>
      <c r="Z108" s="9"/>
    </row>
    <row r="109" spans="1:26" ht="15.75" hidden="1" customHeight="1">
      <c r="A109" s="9" t="s">
        <v>1140</v>
      </c>
      <c r="B109" s="9" t="s">
        <v>1141</v>
      </c>
      <c r="C109" s="9" t="s">
        <v>518</v>
      </c>
      <c r="D109" s="9" t="s">
        <v>40</v>
      </c>
      <c r="E109" s="9" t="s">
        <v>13</v>
      </c>
      <c r="F109" s="9" t="s">
        <v>1138</v>
      </c>
      <c r="G109" s="9">
        <v>30</v>
      </c>
      <c r="H109" s="9">
        <v>3</v>
      </c>
      <c r="I109" s="9">
        <v>1.0149999999999999</v>
      </c>
      <c r="J109" s="9">
        <v>412</v>
      </c>
      <c r="K109" s="9" t="s">
        <v>442</v>
      </c>
      <c r="L109" s="9"/>
      <c r="M109" s="9"/>
      <c r="N109" s="9" t="str">
        <f ca="1">IFERROR(__xludf.DUMMYFUNCTION("IFERROR(VALUE(REGEXEXTRACT(TO_TEXT($F109), N$1 &amp; ""x(\d+)"")), """")
"),"")</f>
        <v/>
      </c>
      <c r="O109" s="9" t="str">
        <f ca="1">IFERROR(__xludf.DUMMYFUNCTION("IFERROR(VALUE(REGEXEXTRACT(TO_TEXT($F109), O$1 &amp; ""x(\d+)"")), """")"),"")</f>
        <v/>
      </c>
      <c r="P109" s="9" t="str">
        <f ca="1">IFERROR(__xludf.DUMMYFUNCTION("IFERROR(VALUE(REGEXEXTRACT(TO_TEXT($F109), P$1 &amp; ""x(\d+)"")), """")"),"")</f>
        <v/>
      </c>
      <c r="Q109" s="9" t="str">
        <f ca="1">IFERROR(__xludf.DUMMYFUNCTION("IFERROR(VALUE(REGEXEXTRACT(TO_TEXT($F109), Q$1 &amp; ""x(\d+)"")), """")"),"")</f>
        <v/>
      </c>
      <c r="R109" s="9" t="str">
        <f ca="1">IFERROR(__xludf.DUMMYFUNCTION("IFERROR(VALUE(REGEXEXTRACT(TO_TEXT($F109), R$1 &amp; ""x(\d+)"")), """")"),"")</f>
        <v/>
      </c>
      <c r="S109" s="9">
        <f ca="1">IFERROR(__xludf.DUMMYFUNCTION("IFERROR(VALUE(REGEXEXTRACT(TO_TEXT($F109), S$1 &amp; ""x(\d+)"")), """")"),1)</f>
        <v>1</v>
      </c>
      <c r="T109" s="9" t="str">
        <f ca="1">IFERROR(__xludf.DUMMYFUNCTION("IFERROR(VALUE(REGEXEXTRACT(TO_TEXT($F109), T$1 &amp; ""x(\d+)"")), """")"),"")</f>
        <v/>
      </c>
      <c r="U109" s="9" t="str">
        <f ca="1">IFERROR(__xludf.DUMMYFUNCTION("IFERROR(VALUE(REGEXEXTRACT(TO_TEXT($F109), U$1 &amp; ""x(\d+)"")), """")"),"")</f>
        <v/>
      </c>
      <c r="V109" s="9" t="str">
        <f ca="1">IFERROR(__xludf.DUMMYFUNCTION("IFERROR(VALUE(REGEXEXTRACT(TO_TEXT($F109), V$1 &amp; ""x(\d+)"")), """")"),"")</f>
        <v/>
      </c>
      <c r="W109" s="9"/>
      <c r="X109" s="9"/>
      <c r="Y109" s="9"/>
      <c r="Z109" s="9"/>
    </row>
    <row r="110" spans="1:26" ht="15.75" customHeight="1">
      <c r="A110" s="9" t="s">
        <v>1145</v>
      </c>
      <c r="B110" s="9" t="s">
        <v>1146</v>
      </c>
      <c r="C110" s="9" t="s">
        <v>812</v>
      </c>
      <c r="D110" s="9" t="s">
        <v>33</v>
      </c>
      <c r="E110" s="9" t="s">
        <v>11</v>
      </c>
      <c r="F110" s="9" t="s">
        <v>1147</v>
      </c>
      <c r="G110" s="9">
        <v>30</v>
      </c>
      <c r="H110" s="9">
        <v>2</v>
      </c>
      <c r="I110" s="9">
        <v>1.0149999999999999</v>
      </c>
      <c r="J110" s="9">
        <v>110</v>
      </c>
      <c r="K110" s="9" t="s">
        <v>442</v>
      </c>
      <c r="L110" s="9"/>
      <c r="M110" s="9"/>
      <c r="N110" s="9" t="str">
        <f ca="1">IFERROR(__xludf.DUMMYFUNCTION("IFERROR(VALUE(REGEXEXTRACT(TO_TEXT($F110), N$1 &amp; ""x(\d+)"")), """")
"),"")</f>
        <v/>
      </c>
      <c r="O110" s="9" t="str">
        <f ca="1">IFERROR(__xludf.DUMMYFUNCTION("IFERROR(VALUE(REGEXEXTRACT(TO_TEXT($F110), O$1 &amp; ""x(\d+)"")), """")"),"")</f>
        <v/>
      </c>
      <c r="P110" s="9" t="str">
        <f ca="1">IFERROR(__xludf.DUMMYFUNCTION("IFERROR(VALUE(REGEXEXTRACT(TO_TEXT($F110), P$1 &amp; ""x(\d+)"")), """")"),"")</f>
        <v/>
      </c>
      <c r="Q110" s="9" t="str">
        <f ca="1">IFERROR(__xludf.DUMMYFUNCTION("IFERROR(VALUE(REGEXEXTRACT(TO_TEXT($F110), Q$1 &amp; ""x(\d+)"")), """")"),"")</f>
        <v/>
      </c>
      <c r="R110" s="9" t="str">
        <f ca="1">IFERROR(__xludf.DUMMYFUNCTION("IFERROR(VALUE(REGEXEXTRACT(TO_TEXT($F110), R$1 &amp; ""x(\d+)"")), """")"),"")</f>
        <v/>
      </c>
      <c r="S110" s="9" t="str">
        <f ca="1">IFERROR(__xludf.DUMMYFUNCTION("IFERROR(VALUE(REGEXEXTRACT(TO_TEXT($F110), S$1 &amp; ""x(\d+)"")), """")"),"")</f>
        <v/>
      </c>
      <c r="T110" s="9" t="str">
        <f ca="1">IFERROR(__xludf.DUMMYFUNCTION("IFERROR(VALUE(REGEXEXTRACT(TO_TEXT($F110), T$1 &amp; ""x(\d+)"")), """")"),"")</f>
        <v/>
      </c>
      <c r="U110" s="9" t="str">
        <f ca="1">IFERROR(__xludf.DUMMYFUNCTION("IFERROR(VALUE(REGEXEXTRACT(TO_TEXT($F110), U$1 &amp; ""x(\d+)"")), """")"),"")</f>
        <v/>
      </c>
      <c r="V110" s="9" t="str">
        <f ca="1">IFERROR(__xludf.DUMMYFUNCTION("IFERROR(VALUE(REGEXEXTRACT(TO_TEXT($F110), V$1 &amp; ""x(\d+)"")), """")"),"")</f>
        <v/>
      </c>
      <c r="W110" s="9"/>
      <c r="X110" s="9"/>
      <c r="Y110" s="9"/>
      <c r="Z110" s="9"/>
    </row>
    <row r="111" spans="1:26" ht="15.75" customHeight="1">
      <c r="A111" s="9" t="s">
        <v>1145</v>
      </c>
      <c r="B111" s="9" t="s">
        <v>1146</v>
      </c>
      <c r="C111" s="9" t="s">
        <v>812</v>
      </c>
      <c r="D111" s="9" t="s">
        <v>33</v>
      </c>
      <c r="E111" s="9" t="s">
        <v>12</v>
      </c>
      <c r="F111" s="9" t="s">
        <v>1148</v>
      </c>
      <c r="G111" s="9">
        <v>60</v>
      </c>
      <c r="H111" s="9">
        <v>2</v>
      </c>
      <c r="I111" s="9">
        <v>1.0149999999999999</v>
      </c>
      <c r="J111" s="9">
        <v>110</v>
      </c>
      <c r="K111" s="9" t="s">
        <v>442</v>
      </c>
      <c r="L111" s="9"/>
      <c r="M111" s="9"/>
      <c r="N111" s="9" t="str">
        <f ca="1">IFERROR(__xludf.DUMMYFUNCTION("IFERROR(VALUE(REGEXEXTRACT(TO_TEXT($F111), N$1 &amp; ""x(\d+)"")), """")
"),"")</f>
        <v/>
      </c>
      <c r="O111" s="9">
        <f ca="1">IFERROR(__xludf.DUMMYFUNCTION("IFERROR(VALUE(REGEXEXTRACT(TO_TEXT($F111), O$1 &amp; ""x(\d+)"")), """")"),1)</f>
        <v>1</v>
      </c>
      <c r="P111" s="9" t="str">
        <f ca="1">IFERROR(__xludf.DUMMYFUNCTION("IFERROR(VALUE(REGEXEXTRACT(TO_TEXT($F111), P$1 &amp; ""x(\d+)"")), """")"),"")</f>
        <v/>
      </c>
      <c r="Q111" s="9" t="str">
        <f ca="1">IFERROR(__xludf.DUMMYFUNCTION("IFERROR(VALUE(REGEXEXTRACT(TO_TEXT($F111), Q$1 &amp; ""x(\d+)"")), """")"),"")</f>
        <v/>
      </c>
      <c r="R111" s="9" t="str">
        <f ca="1">IFERROR(__xludf.DUMMYFUNCTION("IFERROR(VALUE(REGEXEXTRACT(TO_TEXT($F111), R$1 &amp; ""x(\d+)"")), """")"),"")</f>
        <v/>
      </c>
      <c r="S111" s="9" t="str">
        <f ca="1">IFERROR(__xludf.DUMMYFUNCTION("IFERROR(VALUE(REGEXEXTRACT(TO_TEXT($F111), S$1 &amp; ""x(\d+)"")), """")"),"")</f>
        <v/>
      </c>
      <c r="T111" s="9" t="str">
        <f ca="1">IFERROR(__xludf.DUMMYFUNCTION("IFERROR(VALUE(REGEXEXTRACT(TO_TEXT($F111), T$1 &amp; ""x(\d+)"")), """")"),"")</f>
        <v/>
      </c>
      <c r="U111" s="9" t="str">
        <f ca="1">IFERROR(__xludf.DUMMYFUNCTION("IFERROR(VALUE(REGEXEXTRACT(TO_TEXT($F111), U$1 &amp; ""x(\d+)"")), """")"),"")</f>
        <v/>
      </c>
      <c r="V111" s="9" t="str">
        <f ca="1">IFERROR(__xludf.DUMMYFUNCTION("IFERROR(VALUE(REGEXEXTRACT(TO_TEXT($F111), V$1 &amp; ""x(\d+)"")), """")"),"")</f>
        <v/>
      </c>
      <c r="W111" s="9"/>
      <c r="X111" s="9"/>
      <c r="Y111" s="9"/>
      <c r="Z111" s="9"/>
    </row>
    <row r="112" spans="1:26" ht="15.75" customHeight="1">
      <c r="A112" s="9" t="s">
        <v>1145</v>
      </c>
      <c r="B112" s="9" t="s">
        <v>1146</v>
      </c>
      <c r="C112" s="9" t="s">
        <v>812</v>
      </c>
      <c r="D112" s="9" t="s">
        <v>33</v>
      </c>
      <c r="E112" s="9" t="s">
        <v>13</v>
      </c>
      <c r="F112" s="9" t="s">
        <v>1149</v>
      </c>
      <c r="G112" s="9">
        <v>15</v>
      </c>
      <c r="H112" s="9">
        <v>2</v>
      </c>
      <c r="I112" s="9">
        <v>1.0149999999999999</v>
      </c>
      <c r="J112" s="9">
        <v>110</v>
      </c>
      <c r="K112" s="9" t="s">
        <v>442</v>
      </c>
      <c r="L112" s="9"/>
      <c r="M112" s="9"/>
      <c r="N112" s="9" t="str">
        <f ca="1">IFERROR(__xludf.DUMMYFUNCTION("IFERROR(VALUE(REGEXEXTRACT(TO_TEXT($F112), N$1 &amp; ""x(\d+)"")), """")
"),"")</f>
        <v/>
      </c>
      <c r="O112" s="9">
        <f ca="1">IFERROR(__xludf.DUMMYFUNCTION("IFERROR(VALUE(REGEXEXTRACT(TO_TEXT($F112), O$1 &amp; ""x(\d+)"")), """")"),1)</f>
        <v>1</v>
      </c>
      <c r="P112" s="9" t="str">
        <f ca="1">IFERROR(__xludf.DUMMYFUNCTION("IFERROR(VALUE(REGEXEXTRACT(TO_TEXT($F112), P$1 &amp; ""x(\d+)"")), """")"),"")</f>
        <v/>
      </c>
      <c r="Q112" s="9" t="str">
        <f ca="1">IFERROR(__xludf.DUMMYFUNCTION("IFERROR(VALUE(REGEXEXTRACT(TO_TEXT($F112), Q$1 &amp; ""x(\d+)"")), """")"),"")</f>
        <v/>
      </c>
      <c r="R112" s="9" t="str">
        <f ca="1">IFERROR(__xludf.DUMMYFUNCTION("IFERROR(VALUE(REGEXEXTRACT(TO_TEXT($F112), R$1 &amp; ""x(\d+)"")), """")"),"")</f>
        <v/>
      </c>
      <c r="S112" s="9" t="str">
        <f ca="1">IFERROR(__xludf.DUMMYFUNCTION("IFERROR(VALUE(REGEXEXTRACT(TO_TEXT($F112), S$1 &amp; ""x(\d+)"")), """")"),"")</f>
        <v/>
      </c>
      <c r="T112" s="9" t="str">
        <f ca="1">IFERROR(__xludf.DUMMYFUNCTION("IFERROR(VALUE(REGEXEXTRACT(TO_TEXT($F112), T$1 &amp; ""x(\d+)"")), """")"),"")</f>
        <v/>
      </c>
      <c r="U112" s="9" t="str">
        <f ca="1">IFERROR(__xludf.DUMMYFUNCTION("IFERROR(VALUE(REGEXEXTRACT(TO_TEXT($F112), U$1 &amp; ""x(\d+)"")), """")"),"")</f>
        <v/>
      </c>
      <c r="V112" s="9" t="str">
        <f ca="1">IFERROR(__xludf.DUMMYFUNCTION("IFERROR(VALUE(REGEXEXTRACT(TO_TEXT($F112), V$1 &amp; ""x(\d+)"")), """")"),"")</f>
        <v/>
      </c>
      <c r="W112" s="9"/>
      <c r="X112" s="9"/>
      <c r="Y112" s="9"/>
      <c r="Z112" s="9"/>
    </row>
    <row r="113" spans="1:26" ht="15.75" customHeight="1">
      <c r="A113" s="9" t="s">
        <v>1150</v>
      </c>
      <c r="B113" s="9" t="s">
        <v>1151</v>
      </c>
      <c r="C113" s="9" t="s">
        <v>621</v>
      </c>
      <c r="D113" s="9" t="s">
        <v>33</v>
      </c>
      <c r="E113" s="9" t="s">
        <v>11</v>
      </c>
      <c r="F113" s="9" t="s">
        <v>1152</v>
      </c>
      <c r="G113" s="9">
        <v>30</v>
      </c>
      <c r="H113" s="9">
        <v>3</v>
      </c>
      <c r="I113" s="9">
        <v>1.0149999999999999</v>
      </c>
      <c r="J113" s="9">
        <v>110</v>
      </c>
      <c r="K113" s="9" t="s">
        <v>442</v>
      </c>
      <c r="L113" s="9"/>
      <c r="M113" s="9"/>
      <c r="N113" s="9" t="str">
        <f ca="1">IFERROR(__xludf.DUMMYFUNCTION("IFERROR(VALUE(REGEXEXTRACT(TO_TEXT($F113), N$1 &amp; ""x(\d+)"")), """")
"),"")</f>
        <v/>
      </c>
      <c r="O113" s="9" t="str">
        <f ca="1">IFERROR(__xludf.DUMMYFUNCTION("IFERROR(VALUE(REGEXEXTRACT(TO_TEXT($F113), O$1 &amp; ""x(\d+)"")), """")"),"")</f>
        <v/>
      </c>
      <c r="P113" s="9" t="str">
        <f ca="1">IFERROR(__xludf.DUMMYFUNCTION("IFERROR(VALUE(REGEXEXTRACT(TO_TEXT($F113), P$1 &amp; ""x(\d+)"")), """")"),"")</f>
        <v/>
      </c>
      <c r="Q113" s="9" t="str">
        <f ca="1">IFERROR(__xludf.DUMMYFUNCTION("IFERROR(VALUE(REGEXEXTRACT(TO_TEXT($F113), Q$1 &amp; ""x(\d+)"")), """")"),"")</f>
        <v/>
      </c>
      <c r="R113" s="9" t="str">
        <f ca="1">IFERROR(__xludf.DUMMYFUNCTION("IFERROR(VALUE(REGEXEXTRACT(TO_TEXT($F113), R$1 &amp; ""x(\d+)"")), """")"),"")</f>
        <v/>
      </c>
      <c r="S113" s="9" t="str">
        <f ca="1">IFERROR(__xludf.DUMMYFUNCTION("IFERROR(VALUE(REGEXEXTRACT(TO_TEXT($F113), S$1 &amp; ""x(\d+)"")), """")"),"")</f>
        <v/>
      </c>
      <c r="T113" s="9" t="str">
        <f ca="1">IFERROR(__xludf.DUMMYFUNCTION("IFERROR(VALUE(REGEXEXTRACT(TO_TEXT($F113), T$1 &amp; ""x(\d+)"")), """")"),"")</f>
        <v/>
      </c>
      <c r="U113" s="9" t="str">
        <f ca="1">IFERROR(__xludf.DUMMYFUNCTION("IFERROR(VALUE(REGEXEXTRACT(TO_TEXT($F113), U$1 &amp; ""x(\d+)"")), """")"),"")</f>
        <v/>
      </c>
      <c r="V113" s="9" t="str">
        <f ca="1">IFERROR(__xludf.DUMMYFUNCTION("IFERROR(VALUE(REGEXEXTRACT(TO_TEXT($F113), V$1 &amp; ""x(\d+)"")), """")"),"")</f>
        <v/>
      </c>
      <c r="W113" s="9"/>
      <c r="X113" s="9"/>
      <c r="Y113" s="9"/>
      <c r="Z113" s="9"/>
    </row>
    <row r="114" spans="1:26" ht="15.75" customHeight="1">
      <c r="A114" s="9" t="s">
        <v>1150</v>
      </c>
      <c r="B114" s="9" t="s">
        <v>1151</v>
      </c>
      <c r="C114" s="9" t="s">
        <v>621</v>
      </c>
      <c r="D114" s="9" t="s">
        <v>33</v>
      </c>
      <c r="E114" s="9" t="s">
        <v>12</v>
      </c>
      <c r="F114" s="9" t="s">
        <v>1153</v>
      </c>
      <c r="G114" s="9">
        <v>60</v>
      </c>
      <c r="H114" s="9">
        <v>3</v>
      </c>
      <c r="I114" s="9">
        <v>1.0149999999999999</v>
      </c>
      <c r="J114" s="9">
        <v>110</v>
      </c>
      <c r="K114" s="9" t="s">
        <v>442</v>
      </c>
      <c r="L114" s="9"/>
      <c r="M114" s="9"/>
      <c r="N114" s="9" t="str">
        <f ca="1">IFERROR(__xludf.DUMMYFUNCTION("IFERROR(VALUE(REGEXEXTRACT(TO_TEXT($F114), N$1 &amp; ""x(\d+)"")), """")
"),"")</f>
        <v/>
      </c>
      <c r="O114" s="9">
        <f ca="1">IFERROR(__xludf.DUMMYFUNCTION("IFERROR(VALUE(REGEXEXTRACT(TO_TEXT($F114), O$1 &amp; ""x(\d+)"")), """")"),1)</f>
        <v>1</v>
      </c>
      <c r="P114" s="9" t="str">
        <f ca="1">IFERROR(__xludf.DUMMYFUNCTION("IFERROR(VALUE(REGEXEXTRACT(TO_TEXT($F114), P$1 &amp; ""x(\d+)"")), """")"),"")</f>
        <v/>
      </c>
      <c r="Q114" s="9" t="str">
        <f ca="1">IFERROR(__xludf.DUMMYFUNCTION("IFERROR(VALUE(REGEXEXTRACT(TO_TEXT($F114), Q$1 &amp; ""x(\d+)"")), """")"),"")</f>
        <v/>
      </c>
      <c r="R114" s="9" t="str">
        <f ca="1">IFERROR(__xludf.DUMMYFUNCTION("IFERROR(VALUE(REGEXEXTRACT(TO_TEXT($F114), R$1 &amp; ""x(\d+)"")), """")"),"")</f>
        <v/>
      </c>
      <c r="S114" s="9" t="str">
        <f ca="1">IFERROR(__xludf.DUMMYFUNCTION("IFERROR(VALUE(REGEXEXTRACT(TO_TEXT($F114), S$1 &amp; ""x(\d+)"")), """")"),"")</f>
        <v/>
      </c>
      <c r="T114" s="9" t="str">
        <f ca="1">IFERROR(__xludf.DUMMYFUNCTION("IFERROR(VALUE(REGEXEXTRACT(TO_TEXT($F114), T$1 &amp; ""x(\d+)"")), """")"),"")</f>
        <v/>
      </c>
      <c r="U114" s="9" t="str">
        <f ca="1">IFERROR(__xludf.DUMMYFUNCTION("IFERROR(VALUE(REGEXEXTRACT(TO_TEXT($F114), U$1 &amp; ""x(\d+)"")), """")"),"")</f>
        <v/>
      </c>
      <c r="V114" s="9" t="str">
        <f ca="1">IFERROR(__xludf.DUMMYFUNCTION("IFERROR(VALUE(REGEXEXTRACT(TO_TEXT($F114), V$1 &amp; ""x(\d+)"")), """")"),"")</f>
        <v/>
      </c>
      <c r="W114" s="9"/>
      <c r="X114" s="9"/>
      <c r="Y114" s="9"/>
      <c r="Z114" s="9"/>
    </row>
    <row r="115" spans="1:26" ht="15.75" customHeight="1">
      <c r="A115" s="9" t="s">
        <v>1150</v>
      </c>
      <c r="B115" s="9" t="s">
        <v>1151</v>
      </c>
      <c r="C115" s="9" t="s">
        <v>621</v>
      </c>
      <c r="D115" s="9" t="s">
        <v>33</v>
      </c>
      <c r="E115" s="9" t="s">
        <v>13</v>
      </c>
      <c r="F115" s="9" t="s">
        <v>1154</v>
      </c>
      <c r="G115" s="9">
        <v>15</v>
      </c>
      <c r="H115" s="9">
        <v>3</v>
      </c>
      <c r="I115" s="9">
        <v>1.0149999999999999</v>
      </c>
      <c r="J115" s="9">
        <v>110</v>
      </c>
      <c r="K115" s="9" t="s">
        <v>442</v>
      </c>
      <c r="L115" s="9"/>
      <c r="M115" s="9"/>
      <c r="N115" s="9" t="str">
        <f ca="1">IFERROR(__xludf.DUMMYFUNCTION("IFERROR(VALUE(REGEXEXTRACT(TO_TEXT($F115), N$1 &amp; ""x(\d+)"")), """")
"),"")</f>
        <v/>
      </c>
      <c r="O115" s="9">
        <f ca="1">IFERROR(__xludf.DUMMYFUNCTION("IFERROR(VALUE(REGEXEXTRACT(TO_TEXT($F115), O$1 &amp; ""x(\d+)"")), """")"),1)</f>
        <v>1</v>
      </c>
      <c r="P115" s="9" t="str">
        <f ca="1">IFERROR(__xludf.DUMMYFUNCTION("IFERROR(VALUE(REGEXEXTRACT(TO_TEXT($F115), P$1 &amp; ""x(\d+)"")), """")"),"")</f>
        <v/>
      </c>
      <c r="Q115" s="9" t="str">
        <f ca="1">IFERROR(__xludf.DUMMYFUNCTION("IFERROR(VALUE(REGEXEXTRACT(TO_TEXT($F115), Q$1 &amp; ""x(\d+)"")), """")"),"")</f>
        <v/>
      </c>
      <c r="R115" s="9" t="str">
        <f ca="1">IFERROR(__xludf.DUMMYFUNCTION("IFERROR(VALUE(REGEXEXTRACT(TO_TEXT($F115), R$1 &amp; ""x(\d+)"")), """")"),"")</f>
        <v/>
      </c>
      <c r="S115" s="9" t="str">
        <f ca="1">IFERROR(__xludf.DUMMYFUNCTION("IFERROR(VALUE(REGEXEXTRACT(TO_TEXT($F115), S$1 &amp; ""x(\d+)"")), """")"),"")</f>
        <v/>
      </c>
      <c r="T115" s="9" t="str">
        <f ca="1">IFERROR(__xludf.DUMMYFUNCTION("IFERROR(VALUE(REGEXEXTRACT(TO_TEXT($F115), T$1 &amp; ""x(\d+)"")), """")"),"")</f>
        <v/>
      </c>
      <c r="U115" s="9" t="str">
        <f ca="1">IFERROR(__xludf.DUMMYFUNCTION("IFERROR(VALUE(REGEXEXTRACT(TO_TEXT($F115), U$1 &amp; ""x(\d+)"")), """")"),"")</f>
        <v/>
      </c>
      <c r="V115" s="9" t="str">
        <f ca="1">IFERROR(__xludf.DUMMYFUNCTION("IFERROR(VALUE(REGEXEXTRACT(TO_TEXT($F115), V$1 &amp; ""x(\d+)"")), """")"),"")</f>
        <v/>
      </c>
      <c r="W115" s="9"/>
      <c r="X115" s="9"/>
      <c r="Y115" s="9"/>
      <c r="Z115" s="9"/>
    </row>
    <row r="116" spans="1:26" ht="15.75" customHeight="1">
      <c r="A116" s="9" t="s">
        <v>1155</v>
      </c>
      <c r="B116" s="9" t="s">
        <v>1156</v>
      </c>
      <c r="C116" s="9" t="s">
        <v>629</v>
      </c>
      <c r="D116" s="9" t="s">
        <v>33</v>
      </c>
      <c r="E116" s="9" t="s">
        <v>11</v>
      </c>
      <c r="F116" s="9" t="s">
        <v>1157</v>
      </c>
      <c r="G116" s="9">
        <v>30</v>
      </c>
      <c r="H116" s="9">
        <v>2</v>
      </c>
      <c r="I116" s="9">
        <v>1.0149999999999999</v>
      </c>
      <c r="J116" s="9">
        <v>110</v>
      </c>
      <c r="K116" s="9" t="s">
        <v>442</v>
      </c>
      <c r="L116" s="9"/>
      <c r="M116" s="9"/>
      <c r="N116" s="9" t="str">
        <f ca="1">IFERROR(__xludf.DUMMYFUNCTION("IFERROR(VALUE(REGEXEXTRACT(TO_TEXT($F116), N$1 &amp; ""x(\d+)"")), """")
"),"")</f>
        <v/>
      </c>
      <c r="O116" s="9" t="str">
        <f ca="1">IFERROR(__xludf.DUMMYFUNCTION("IFERROR(VALUE(REGEXEXTRACT(TO_TEXT($F116), O$1 &amp; ""x(\d+)"")), """")"),"")</f>
        <v/>
      </c>
      <c r="P116" s="9" t="str">
        <f ca="1">IFERROR(__xludf.DUMMYFUNCTION("IFERROR(VALUE(REGEXEXTRACT(TO_TEXT($F116), P$1 &amp; ""x(\d+)"")), """")"),"")</f>
        <v/>
      </c>
      <c r="Q116" s="9" t="str">
        <f ca="1">IFERROR(__xludf.DUMMYFUNCTION("IFERROR(VALUE(REGEXEXTRACT(TO_TEXT($F116), Q$1 &amp; ""x(\d+)"")), """")"),"")</f>
        <v/>
      </c>
      <c r="R116" s="9" t="str">
        <f ca="1">IFERROR(__xludf.DUMMYFUNCTION("IFERROR(VALUE(REGEXEXTRACT(TO_TEXT($F116), R$1 &amp; ""x(\d+)"")), """")"),"")</f>
        <v/>
      </c>
      <c r="S116" s="9" t="str">
        <f ca="1">IFERROR(__xludf.DUMMYFUNCTION("IFERROR(VALUE(REGEXEXTRACT(TO_TEXT($F116), S$1 &amp; ""x(\d+)"")), """")"),"")</f>
        <v/>
      </c>
      <c r="T116" s="9" t="str">
        <f ca="1">IFERROR(__xludf.DUMMYFUNCTION("IFERROR(VALUE(REGEXEXTRACT(TO_TEXT($F116), T$1 &amp; ""x(\d+)"")), """")"),"")</f>
        <v/>
      </c>
      <c r="U116" s="9" t="str">
        <f ca="1">IFERROR(__xludf.DUMMYFUNCTION("IFERROR(VALUE(REGEXEXTRACT(TO_TEXT($F116), U$1 &amp; ""x(\d+)"")), """")"),"")</f>
        <v/>
      </c>
      <c r="V116" s="9" t="str">
        <f ca="1">IFERROR(__xludf.DUMMYFUNCTION("IFERROR(VALUE(REGEXEXTRACT(TO_TEXT($F116), V$1 &amp; ""x(\d+)"")), """")"),"")</f>
        <v/>
      </c>
      <c r="W116" s="9"/>
      <c r="X116" s="9"/>
      <c r="Y116" s="9"/>
      <c r="Z116" s="9"/>
    </row>
    <row r="117" spans="1:26" ht="15.75" customHeight="1">
      <c r="A117" s="9" t="s">
        <v>1155</v>
      </c>
      <c r="B117" s="9" t="s">
        <v>1156</v>
      </c>
      <c r="C117" s="9" t="s">
        <v>629</v>
      </c>
      <c r="D117" s="9" t="s">
        <v>33</v>
      </c>
      <c r="E117" s="9" t="s">
        <v>12</v>
      </c>
      <c r="F117" s="9" t="s">
        <v>1148</v>
      </c>
      <c r="G117" s="9">
        <v>60</v>
      </c>
      <c r="H117" s="9">
        <v>2</v>
      </c>
      <c r="I117" s="9">
        <v>1.0149999999999999</v>
      </c>
      <c r="J117" s="9">
        <v>110</v>
      </c>
      <c r="K117" s="9" t="s">
        <v>442</v>
      </c>
      <c r="L117" s="9"/>
      <c r="M117" s="9"/>
      <c r="N117" s="9" t="str">
        <f ca="1">IFERROR(__xludf.DUMMYFUNCTION("IFERROR(VALUE(REGEXEXTRACT(TO_TEXT($F117), N$1 &amp; ""x(\d+)"")), """")
"),"")</f>
        <v/>
      </c>
      <c r="O117" s="9">
        <f ca="1">IFERROR(__xludf.DUMMYFUNCTION("IFERROR(VALUE(REGEXEXTRACT(TO_TEXT($F117), O$1 &amp; ""x(\d+)"")), """")"),1)</f>
        <v>1</v>
      </c>
      <c r="P117" s="9" t="str">
        <f ca="1">IFERROR(__xludf.DUMMYFUNCTION("IFERROR(VALUE(REGEXEXTRACT(TO_TEXT($F117), P$1 &amp; ""x(\d+)"")), """")"),"")</f>
        <v/>
      </c>
      <c r="Q117" s="9" t="str">
        <f ca="1">IFERROR(__xludf.DUMMYFUNCTION("IFERROR(VALUE(REGEXEXTRACT(TO_TEXT($F117), Q$1 &amp; ""x(\d+)"")), """")"),"")</f>
        <v/>
      </c>
      <c r="R117" s="9" t="str">
        <f ca="1">IFERROR(__xludf.DUMMYFUNCTION("IFERROR(VALUE(REGEXEXTRACT(TO_TEXT($F117), R$1 &amp; ""x(\d+)"")), """")"),"")</f>
        <v/>
      </c>
      <c r="S117" s="9" t="str">
        <f ca="1">IFERROR(__xludf.DUMMYFUNCTION("IFERROR(VALUE(REGEXEXTRACT(TO_TEXT($F117), S$1 &amp; ""x(\d+)"")), """")"),"")</f>
        <v/>
      </c>
      <c r="T117" s="9" t="str">
        <f ca="1">IFERROR(__xludf.DUMMYFUNCTION("IFERROR(VALUE(REGEXEXTRACT(TO_TEXT($F117), T$1 &amp; ""x(\d+)"")), """")"),"")</f>
        <v/>
      </c>
      <c r="U117" s="9" t="str">
        <f ca="1">IFERROR(__xludf.DUMMYFUNCTION("IFERROR(VALUE(REGEXEXTRACT(TO_TEXT($F117), U$1 &amp; ""x(\d+)"")), """")"),"")</f>
        <v/>
      </c>
      <c r="V117" s="9" t="str">
        <f ca="1">IFERROR(__xludf.DUMMYFUNCTION("IFERROR(VALUE(REGEXEXTRACT(TO_TEXT($F117), V$1 &amp; ""x(\d+)"")), """")"),"")</f>
        <v/>
      </c>
      <c r="W117" s="9"/>
      <c r="X117" s="9"/>
      <c r="Y117" s="9"/>
      <c r="Z117" s="9"/>
    </row>
    <row r="118" spans="1:26" ht="15.75" customHeight="1">
      <c r="A118" s="9" t="s">
        <v>1155</v>
      </c>
      <c r="B118" s="9" t="s">
        <v>1156</v>
      </c>
      <c r="C118" s="9" t="s">
        <v>629</v>
      </c>
      <c r="D118" s="9" t="s">
        <v>33</v>
      </c>
      <c r="E118" s="9" t="s">
        <v>13</v>
      </c>
      <c r="F118" s="9" t="s">
        <v>1149</v>
      </c>
      <c r="G118" s="9">
        <v>15</v>
      </c>
      <c r="H118" s="9">
        <v>2</v>
      </c>
      <c r="I118" s="9">
        <v>1.0149999999999999</v>
      </c>
      <c r="J118" s="9">
        <v>110</v>
      </c>
      <c r="K118" s="9" t="s">
        <v>442</v>
      </c>
      <c r="L118" s="9"/>
      <c r="M118" s="9"/>
      <c r="N118" s="9" t="str">
        <f ca="1">IFERROR(__xludf.DUMMYFUNCTION("IFERROR(VALUE(REGEXEXTRACT(TO_TEXT($F118), N$1 &amp; ""x(\d+)"")), """")
"),"")</f>
        <v/>
      </c>
      <c r="O118" s="9">
        <f ca="1">IFERROR(__xludf.DUMMYFUNCTION("IFERROR(VALUE(REGEXEXTRACT(TO_TEXT($F118), O$1 &amp; ""x(\d+)"")), """")"),1)</f>
        <v>1</v>
      </c>
      <c r="P118" s="9" t="str">
        <f ca="1">IFERROR(__xludf.DUMMYFUNCTION("IFERROR(VALUE(REGEXEXTRACT(TO_TEXT($F118), P$1 &amp; ""x(\d+)"")), """")"),"")</f>
        <v/>
      </c>
      <c r="Q118" s="9" t="str">
        <f ca="1">IFERROR(__xludf.DUMMYFUNCTION("IFERROR(VALUE(REGEXEXTRACT(TO_TEXT($F118), Q$1 &amp; ""x(\d+)"")), """")"),"")</f>
        <v/>
      </c>
      <c r="R118" s="9" t="str">
        <f ca="1">IFERROR(__xludf.DUMMYFUNCTION("IFERROR(VALUE(REGEXEXTRACT(TO_TEXT($F118), R$1 &amp; ""x(\d+)"")), """")"),"")</f>
        <v/>
      </c>
      <c r="S118" s="9" t="str">
        <f ca="1">IFERROR(__xludf.DUMMYFUNCTION("IFERROR(VALUE(REGEXEXTRACT(TO_TEXT($F118), S$1 &amp; ""x(\d+)"")), """")"),"")</f>
        <v/>
      </c>
      <c r="T118" s="9" t="str">
        <f ca="1">IFERROR(__xludf.DUMMYFUNCTION("IFERROR(VALUE(REGEXEXTRACT(TO_TEXT($F118), T$1 &amp; ""x(\d+)"")), """")"),"")</f>
        <v/>
      </c>
      <c r="U118" s="9" t="str">
        <f ca="1">IFERROR(__xludf.DUMMYFUNCTION("IFERROR(VALUE(REGEXEXTRACT(TO_TEXT($F118), U$1 &amp; ""x(\d+)"")), """")"),"")</f>
        <v/>
      </c>
      <c r="V118" s="9" t="str">
        <f ca="1">IFERROR(__xludf.DUMMYFUNCTION("IFERROR(VALUE(REGEXEXTRACT(TO_TEXT($F118), V$1 &amp; ""x(\d+)"")), """")"),"")</f>
        <v/>
      </c>
      <c r="W118" s="9"/>
      <c r="X118" s="9"/>
      <c r="Y118" s="9"/>
      <c r="Z118" s="9"/>
    </row>
    <row r="119" spans="1:26" ht="15.75" customHeight="1">
      <c r="A119" s="9" t="s">
        <v>1158</v>
      </c>
      <c r="B119" s="9" t="s">
        <v>1159</v>
      </c>
      <c r="C119" s="9" t="s">
        <v>667</v>
      </c>
      <c r="D119" s="9" t="s">
        <v>33</v>
      </c>
      <c r="E119" s="9" t="s">
        <v>11</v>
      </c>
      <c r="F119" s="9" t="s">
        <v>1157</v>
      </c>
      <c r="G119" s="9">
        <v>30</v>
      </c>
      <c r="H119" s="9">
        <v>2</v>
      </c>
      <c r="I119" s="9">
        <v>1.0149999999999999</v>
      </c>
      <c r="J119" s="9">
        <v>110</v>
      </c>
      <c r="K119" s="9" t="s">
        <v>442</v>
      </c>
      <c r="L119" s="9"/>
      <c r="M119" s="9"/>
      <c r="N119" s="9" t="str">
        <f ca="1">IFERROR(__xludf.DUMMYFUNCTION("IFERROR(VALUE(REGEXEXTRACT(TO_TEXT($F119), N$1 &amp; ""x(\d+)"")), """")
"),"")</f>
        <v/>
      </c>
      <c r="O119" s="9" t="str">
        <f ca="1">IFERROR(__xludf.DUMMYFUNCTION("IFERROR(VALUE(REGEXEXTRACT(TO_TEXT($F119), O$1 &amp; ""x(\d+)"")), """")"),"")</f>
        <v/>
      </c>
      <c r="P119" s="9" t="str">
        <f ca="1">IFERROR(__xludf.DUMMYFUNCTION("IFERROR(VALUE(REGEXEXTRACT(TO_TEXT($F119), P$1 &amp; ""x(\d+)"")), """")"),"")</f>
        <v/>
      </c>
      <c r="Q119" s="9" t="str">
        <f ca="1">IFERROR(__xludf.DUMMYFUNCTION("IFERROR(VALUE(REGEXEXTRACT(TO_TEXT($F119), Q$1 &amp; ""x(\d+)"")), """")"),"")</f>
        <v/>
      </c>
      <c r="R119" s="9" t="str">
        <f ca="1">IFERROR(__xludf.DUMMYFUNCTION("IFERROR(VALUE(REGEXEXTRACT(TO_TEXT($F119), R$1 &amp; ""x(\d+)"")), """")"),"")</f>
        <v/>
      </c>
      <c r="S119" s="9" t="str">
        <f ca="1">IFERROR(__xludf.DUMMYFUNCTION("IFERROR(VALUE(REGEXEXTRACT(TO_TEXT($F119), S$1 &amp; ""x(\d+)"")), """")"),"")</f>
        <v/>
      </c>
      <c r="T119" s="9" t="str">
        <f ca="1">IFERROR(__xludf.DUMMYFUNCTION("IFERROR(VALUE(REGEXEXTRACT(TO_TEXT($F119), T$1 &amp; ""x(\d+)"")), """")"),"")</f>
        <v/>
      </c>
      <c r="U119" s="9" t="str">
        <f ca="1">IFERROR(__xludf.DUMMYFUNCTION("IFERROR(VALUE(REGEXEXTRACT(TO_TEXT($F119), U$1 &amp; ""x(\d+)"")), """")"),"")</f>
        <v/>
      </c>
      <c r="V119" s="9" t="str">
        <f ca="1">IFERROR(__xludf.DUMMYFUNCTION("IFERROR(VALUE(REGEXEXTRACT(TO_TEXT($F119), V$1 &amp; ""x(\d+)"")), """")"),"")</f>
        <v/>
      </c>
      <c r="W119" s="9"/>
      <c r="X119" s="9"/>
      <c r="Y119" s="9"/>
      <c r="Z119" s="9"/>
    </row>
    <row r="120" spans="1:26" ht="15.75" customHeight="1">
      <c r="A120" s="9" t="s">
        <v>1158</v>
      </c>
      <c r="B120" s="9" t="s">
        <v>1159</v>
      </c>
      <c r="C120" s="9" t="s">
        <v>667</v>
      </c>
      <c r="D120" s="9" t="s">
        <v>33</v>
      </c>
      <c r="E120" s="9" t="s">
        <v>12</v>
      </c>
      <c r="F120" s="9" t="s">
        <v>1148</v>
      </c>
      <c r="G120" s="9">
        <v>60</v>
      </c>
      <c r="H120" s="9">
        <v>2</v>
      </c>
      <c r="I120" s="9">
        <v>1.0149999999999999</v>
      </c>
      <c r="J120" s="9">
        <v>110</v>
      </c>
      <c r="K120" s="9" t="s">
        <v>442</v>
      </c>
      <c r="L120" s="9"/>
      <c r="M120" s="9"/>
      <c r="N120" s="9" t="str">
        <f ca="1">IFERROR(__xludf.DUMMYFUNCTION("IFERROR(VALUE(REGEXEXTRACT(TO_TEXT($F120), N$1 &amp; ""x(\d+)"")), """")
"),"")</f>
        <v/>
      </c>
      <c r="O120" s="9">
        <f ca="1">IFERROR(__xludf.DUMMYFUNCTION("IFERROR(VALUE(REGEXEXTRACT(TO_TEXT($F120), O$1 &amp; ""x(\d+)"")), """")"),1)</f>
        <v>1</v>
      </c>
      <c r="P120" s="9" t="str">
        <f ca="1">IFERROR(__xludf.DUMMYFUNCTION("IFERROR(VALUE(REGEXEXTRACT(TO_TEXT($F120), P$1 &amp; ""x(\d+)"")), """")"),"")</f>
        <v/>
      </c>
      <c r="Q120" s="9" t="str">
        <f ca="1">IFERROR(__xludf.DUMMYFUNCTION("IFERROR(VALUE(REGEXEXTRACT(TO_TEXT($F120), Q$1 &amp; ""x(\d+)"")), """")"),"")</f>
        <v/>
      </c>
      <c r="R120" s="9" t="str">
        <f ca="1">IFERROR(__xludf.DUMMYFUNCTION("IFERROR(VALUE(REGEXEXTRACT(TO_TEXT($F120), R$1 &amp; ""x(\d+)"")), """")"),"")</f>
        <v/>
      </c>
      <c r="S120" s="9" t="str">
        <f ca="1">IFERROR(__xludf.DUMMYFUNCTION("IFERROR(VALUE(REGEXEXTRACT(TO_TEXT($F120), S$1 &amp; ""x(\d+)"")), """")"),"")</f>
        <v/>
      </c>
      <c r="T120" s="9" t="str">
        <f ca="1">IFERROR(__xludf.DUMMYFUNCTION("IFERROR(VALUE(REGEXEXTRACT(TO_TEXT($F120), T$1 &amp; ""x(\d+)"")), """")"),"")</f>
        <v/>
      </c>
      <c r="U120" s="9" t="str">
        <f ca="1">IFERROR(__xludf.DUMMYFUNCTION("IFERROR(VALUE(REGEXEXTRACT(TO_TEXT($F120), U$1 &amp; ""x(\d+)"")), """")"),"")</f>
        <v/>
      </c>
      <c r="V120" s="9" t="str">
        <f ca="1">IFERROR(__xludf.DUMMYFUNCTION("IFERROR(VALUE(REGEXEXTRACT(TO_TEXT($F120), V$1 &amp; ""x(\d+)"")), """")"),"")</f>
        <v/>
      </c>
      <c r="W120" s="9"/>
      <c r="X120" s="9"/>
      <c r="Y120" s="9"/>
      <c r="Z120" s="9"/>
    </row>
    <row r="121" spans="1:26" ht="15.75" customHeight="1">
      <c r="A121" s="9" t="s">
        <v>1158</v>
      </c>
      <c r="B121" s="9" t="s">
        <v>1159</v>
      </c>
      <c r="C121" s="9" t="s">
        <v>667</v>
      </c>
      <c r="D121" s="9" t="s">
        <v>33</v>
      </c>
      <c r="E121" s="9" t="s">
        <v>13</v>
      </c>
      <c r="F121" s="9" t="s">
        <v>1149</v>
      </c>
      <c r="G121" s="9">
        <v>15</v>
      </c>
      <c r="H121" s="9">
        <v>2</v>
      </c>
      <c r="I121" s="9">
        <v>1.0149999999999999</v>
      </c>
      <c r="J121" s="9">
        <v>110</v>
      </c>
      <c r="K121" s="9" t="s">
        <v>442</v>
      </c>
      <c r="L121" s="9"/>
      <c r="M121" s="9"/>
      <c r="N121" s="9" t="str">
        <f ca="1">IFERROR(__xludf.DUMMYFUNCTION("IFERROR(VALUE(REGEXEXTRACT(TO_TEXT($F121), N$1 &amp; ""x(\d+)"")), """")
"),"")</f>
        <v/>
      </c>
      <c r="O121" s="9">
        <f ca="1">IFERROR(__xludf.DUMMYFUNCTION("IFERROR(VALUE(REGEXEXTRACT(TO_TEXT($F121), O$1 &amp; ""x(\d+)"")), """")"),1)</f>
        <v>1</v>
      </c>
      <c r="P121" s="9" t="str">
        <f ca="1">IFERROR(__xludf.DUMMYFUNCTION("IFERROR(VALUE(REGEXEXTRACT(TO_TEXT($F121), P$1 &amp; ""x(\d+)"")), """")"),"")</f>
        <v/>
      </c>
      <c r="Q121" s="9" t="str">
        <f ca="1">IFERROR(__xludf.DUMMYFUNCTION("IFERROR(VALUE(REGEXEXTRACT(TO_TEXT($F121), Q$1 &amp; ""x(\d+)"")), """")"),"")</f>
        <v/>
      </c>
      <c r="R121" s="9" t="str">
        <f ca="1">IFERROR(__xludf.DUMMYFUNCTION("IFERROR(VALUE(REGEXEXTRACT(TO_TEXT($F121), R$1 &amp; ""x(\d+)"")), """")"),"")</f>
        <v/>
      </c>
      <c r="S121" s="9" t="str">
        <f ca="1">IFERROR(__xludf.DUMMYFUNCTION("IFERROR(VALUE(REGEXEXTRACT(TO_TEXT($F121), S$1 &amp; ""x(\d+)"")), """")"),"")</f>
        <v/>
      </c>
      <c r="T121" s="9" t="str">
        <f ca="1">IFERROR(__xludf.DUMMYFUNCTION("IFERROR(VALUE(REGEXEXTRACT(TO_TEXT($F121), T$1 &amp; ""x(\d+)"")), """")"),"")</f>
        <v/>
      </c>
      <c r="U121" s="9" t="str">
        <f ca="1">IFERROR(__xludf.DUMMYFUNCTION("IFERROR(VALUE(REGEXEXTRACT(TO_TEXT($F121), U$1 &amp; ""x(\d+)"")), """")"),"")</f>
        <v/>
      </c>
      <c r="V121" s="9" t="str">
        <f ca="1">IFERROR(__xludf.DUMMYFUNCTION("IFERROR(VALUE(REGEXEXTRACT(TO_TEXT($F121), V$1 &amp; ""x(\d+)"")), """")"),"")</f>
        <v/>
      </c>
      <c r="W121" s="9"/>
      <c r="X121" s="9"/>
      <c r="Y121" s="9"/>
      <c r="Z121" s="9"/>
    </row>
    <row r="122" spans="1:26" ht="15.75" customHeight="1">
      <c r="A122" s="9" t="s">
        <v>1160</v>
      </c>
      <c r="B122" s="9" t="s">
        <v>1161</v>
      </c>
      <c r="C122" s="9" t="s">
        <v>831</v>
      </c>
      <c r="D122" s="9" t="s">
        <v>33</v>
      </c>
      <c r="E122" s="9" t="s">
        <v>11</v>
      </c>
      <c r="F122" s="9" t="s">
        <v>1157</v>
      </c>
      <c r="G122" s="9">
        <v>30</v>
      </c>
      <c r="H122" s="9">
        <v>2</v>
      </c>
      <c r="I122" s="9">
        <v>1.0149999999999999</v>
      </c>
      <c r="J122" s="9">
        <v>110</v>
      </c>
      <c r="K122" s="9" t="s">
        <v>442</v>
      </c>
      <c r="L122" s="9"/>
      <c r="M122" s="9"/>
      <c r="N122" s="9" t="str">
        <f ca="1">IFERROR(__xludf.DUMMYFUNCTION("IFERROR(VALUE(REGEXEXTRACT(TO_TEXT($F122), N$1 &amp; ""x(\d+)"")), """")
"),"")</f>
        <v/>
      </c>
      <c r="O122" s="9" t="str">
        <f ca="1">IFERROR(__xludf.DUMMYFUNCTION("IFERROR(VALUE(REGEXEXTRACT(TO_TEXT($F122), O$1 &amp; ""x(\d+)"")), """")"),"")</f>
        <v/>
      </c>
      <c r="P122" s="9" t="str">
        <f ca="1">IFERROR(__xludf.DUMMYFUNCTION("IFERROR(VALUE(REGEXEXTRACT(TO_TEXT($F122), P$1 &amp; ""x(\d+)"")), """")"),"")</f>
        <v/>
      </c>
      <c r="Q122" s="9" t="str">
        <f ca="1">IFERROR(__xludf.DUMMYFUNCTION("IFERROR(VALUE(REGEXEXTRACT(TO_TEXT($F122), Q$1 &amp; ""x(\d+)"")), """")"),"")</f>
        <v/>
      </c>
      <c r="R122" s="9" t="str">
        <f ca="1">IFERROR(__xludf.DUMMYFUNCTION("IFERROR(VALUE(REGEXEXTRACT(TO_TEXT($F122), R$1 &amp; ""x(\d+)"")), """")"),"")</f>
        <v/>
      </c>
      <c r="S122" s="9" t="str">
        <f ca="1">IFERROR(__xludf.DUMMYFUNCTION("IFERROR(VALUE(REGEXEXTRACT(TO_TEXT($F122), S$1 &amp; ""x(\d+)"")), """")"),"")</f>
        <v/>
      </c>
      <c r="T122" s="9" t="str">
        <f ca="1">IFERROR(__xludf.DUMMYFUNCTION("IFERROR(VALUE(REGEXEXTRACT(TO_TEXT($F122), T$1 &amp; ""x(\d+)"")), """")"),"")</f>
        <v/>
      </c>
      <c r="U122" s="9" t="str">
        <f ca="1">IFERROR(__xludf.DUMMYFUNCTION("IFERROR(VALUE(REGEXEXTRACT(TO_TEXT($F122), U$1 &amp; ""x(\d+)"")), """")"),"")</f>
        <v/>
      </c>
      <c r="V122" s="9" t="str">
        <f ca="1">IFERROR(__xludf.DUMMYFUNCTION("IFERROR(VALUE(REGEXEXTRACT(TO_TEXT($F122), V$1 &amp; ""x(\d+)"")), """")"),"")</f>
        <v/>
      </c>
      <c r="W122" s="9"/>
      <c r="X122" s="9"/>
      <c r="Y122" s="9"/>
      <c r="Z122" s="9"/>
    </row>
    <row r="123" spans="1:26" ht="15.75" customHeight="1">
      <c r="A123" s="9" t="s">
        <v>1160</v>
      </c>
      <c r="B123" s="9" t="s">
        <v>1161</v>
      </c>
      <c r="C123" s="9" t="s">
        <v>831</v>
      </c>
      <c r="D123" s="9" t="s">
        <v>33</v>
      </c>
      <c r="E123" s="9" t="s">
        <v>12</v>
      </c>
      <c r="F123" s="9" t="s">
        <v>1148</v>
      </c>
      <c r="G123" s="9">
        <v>60</v>
      </c>
      <c r="H123" s="9">
        <v>2</v>
      </c>
      <c r="I123" s="9">
        <v>1.0149999999999999</v>
      </c>
      <c r="J123" s="9">
        <v>110</v>
      </c>
      <c r="K123" s="9" t="s">
        <v>442</v>
      </c>
      <c r="L123" s="9"/>
      <c r="M123" s="9"/>
      <c r="N123" s="9" t="str">
        <f ca="1">IFERROR(__xludf.DUMMYFUNCTION("IFERROR(VALUE(REGEXEXTRACT(TO_TEXT($F123), N$1 &amp; ""x(\d+)"")), """")
"),"")</f>
        <v/>
      </c>
      <c r="O123" s="9">
        <f ca="1">IFERROR(__xludf.DUMMYFUNCTION("IFERROR(VALUE(REGEXEXTRACT(TO_TEXT($F123), O$1 &amp; ""x(\d+)"")), """")"),1)</f>
        <v>1</v>
      </c>
      <c r="P123" s="9" t="str">
        <f ca="1">IFERROR(__xludf.DUMMYFUNCTION("IFERROR(VALUE(REGEXEXTRACT(TO_TEXT($F123), P$1 &amp; ""x(\d+)"")), """")"),"")</f>
        <v/>
      </c>
      <c r="Q123" s="9" t="str">
        <f ca="1">IFERROR(__xludf.DUMMYFUNCTION("IFERROR(VALUE(REGEXEXTRACT(TO_TEXT($F123), Q$1 &amp; ""x(\d+)"")), """")"),"")</f>
        <v/>
      </c>
      <c r="R123" s="9" t="str">
        <f ca="1">IFERROR(__xludf.DUMMYFUNCTION("IFERROR(VALUE(REGEXEXTRACT(TO_TEXT($F123), R$1 &amp; ""x(\d+)"")), """")"),"")</f>
        <v/>
      </c>
      <c r="S123" s="9" t="str">
        <f ca="1">IFERROR(__xludf.DUMMYFUNCTION("IFERROR(VALUE(REGEXEXTRACT(TO_TEXT($F123), S$1 &amp; ""x(\d+)"")), """")"),"")</f>
        <v/>
      </c>
      <c r="T123" s="9" t="str">
        <f ca="1">IFERROR(__xludf.DUMMYFUNCTION("IFERROR(VALUE(REGEXEXTRACT(TO_TEXT($F123), T$1 &amp; ""x(\d+)"")), """")"),"")</f>
        <v/>
      </c>
      <c r="U123" s="9" t="str">
        <f ca="1">IFERROR(__xludf.DUMMYFUNCTION("IFERROR(VALUE(REGEXEXTRACT(TO_TEXT($F123), U$1 &amp; ""x(\d+)"")), """")"),"")</f>
        <v/>
      </c>
      <c r="V123" s="9" t="str">
        <f ca="1">IFERROR(__xludf.DUMMYFUNCTION("IFERROR(VALUE(REGEXEXTRACT(TO_TEXT($F123), V$1 &amp; ""x(\d+)"")), """")"),"")</f>
        <v/>
      </c>
      <c r="W123" s="9"/>
      <c r="X123" s="9"/>
      <c r="Y123" s="9"/>
      <c r="Z123" s="9"/>
    </row>
    <row r="124" spans="1:26" ht="15.75" customHeight="1">
      <c r="A124" s="9" t="s">
        <v>1160</v>
      </c>
      <c r="B124" s="9" t="s">
        <v>1161</v>
      </c>
      <c r="C124" s="9" t="s">
        <v>831</v>
      </c>
      <c r="D124" s="9" t="s">
        <v>33</v>
      </c>
      <c r="E124" s="9" t="s">
        <v>13</v>
      </c>
      <c r="F124" s="9" t="s">
        <v>1149</v>
      </c>
      <c r="G124" s="9">
        <v>15</v>
      </c>
      <c r="H124" s="9">
        <v>2</v>
      </c>
      <c r="I124" s="9">
        <v>1.0149999999999999</v>
      </c>
      <c r="J124" s="9">
        <v>110</v>
      </c>
      <c r="K124" s="9" t="s">
        <v>442</v>
      </c>
      <c r="L124" s="9"/>
      <c r="M124" s="9"/>
      <c r="N124" s="9" t="str">
        <f ca="1">IFERROR(__xludf.DUMMYFUNCTION("IFERROR(VALUE(REGEXEXTRACT(TO_TEXT($F124), N$1 &amp; ""x(\d+)"")), """")
"),"")</f>
        <v/>
      </c>
      <c r="O124" s="9">
        <f ca="1">IFERROR(__xludf.DUMMYFUNCTION("IFERROR(VALUE(REGEXEXTRACT(TO_TEXT($F124), O$1 &amp; ""x(\d+)"")), """")"),1)</f>
        <v>1</v>
      </c>
      <c r="P124" s="9" t="str">
        <f ca="1">IFERROR(__xludf.DUMMYFUNCTION("IFERROR(VALUE(REGEXEXTRACT(TO_TEXT($F124), P$1 &amp; ""x(\d+)"")), """")"),"")</f>
        <v/>
      </c>
      <c r="Q124" s="9" t="str">
        <f ca="1">IFERROR(__xludf.DUMMYFUNCTION("IFERROR(VALUE(REGEXEXTRACT(TO_TEXT($F124), Q$1 &amp; ""x(\d+)"")), """")"),"")</f>
        <v/>
      </c>
      <c r="R124" s="9" t="str">
        <f ca="1">IFERROR(__xludf.DUMMYFUNCTION("IFERROR(VALUE(REGEXEXTRACT(TO_TEXT($F124), R$1 &amp; ""x(\d+)"")), """")"),"")</f>
        <v/>
      </c>
      <c r="S124" s="9" t="str">
        <f ca="1">IFERROR(__xludf.DUMMYFUNCTION("IFERROR(VALUE(REGEXEXTRACT(TO_TEXT($F124), S$1 &amp; ""x(\d+)"")), """")"),"")</f>
        <v/>
      </c>
      <c r="T124" s="9" t="str">
        <f ca="1">IFERROR(__xludf.DUMMYFUNCTION("IFERROR(VALUE(REGEXEXTRACT(TO_TEXT($F124), T$1 &amp; ""x(\d+)"")), """")"),"")</f>
        <v/>
      </c>
      <c r="U124" s="9" t="str">
        <f ca="1">IFERROR(__xludf.DUMMYFUNCTION("IFERROR(VALUE(REGEXEXTRACT(TO_TEXT($F124), U$1 &amp; ""x(\d+)"")), """")"),"")</f>
        <v/>
      </c>
      <c r="V124" s="9" t="str">
        <f ca="1">IFERROR(__xludf.DUMMYFUNCTION("IFERROR(VALUE(REGEXEXTRACT(TO_TEXT($F124), V$1 &amp; ""x(\d+)"")), """")"),"")</f>
        <v/>
      </c>
      <c r="W124" s="9"/>
      <c r="X124" s="9"/>
      <c r="Y124" s="9"/>
      <c r="Z124" s="9"/>
    </row>
    <row r="125" spans="1:26" ht="15.75" customHeight="1">
      <c r="A125" s="9" t="s">
        <v>1162</v>
      </c>
      <c r="B125" s="9" t="s">
        <v>1163</v>
      </c>
      <c r="C125" s="9" t="s">
        <v>1164</v>
      </c>
      <c r="D125" s="9" t="s">
        <v>33</v>
      </c>
      <c r="E125" s="9" t="s">
        <v>11</v>
      </c>
      <c r="F125" s="9" t="s">
        <v>1152</v>
      </c>
      <c r="G125" s="9">
        <v>30</v>
      </c>
      <c r="H125" s="9">
        <v>2</v>
      </c>
      <c r="I125" s="9">
        <v>1.0149999999999999</v>
      </c>
      <c r="J125" s="9">
        <v>110</v>
      </c>
      <c r="K125" s="9" t="s">
        <v>442</v>
      </c>
      <c r="L125" s="9"/>
      <c r="M125" s="9"/>
      <c r="N125" s="9" t="str">
        <f ca="1">IFERROR(__xludf.DUMMYFUNCTION("IFERROR(VALUE(REGEXEXTRACT(TO_TEXT($F125), N$1 &amp; ""x(\d+)"")), """")
"),"")</f>
        <v/>
      </c>
      <c r="O125" s="9" t="str">
        <f ca="1">IFERROR(__xludf.DUMMYFUNCTION("IFERROR(VALUE(REGEXEXTRACT(TO_TEXT($F125), O$1 &amp; ""x(\d+)"")), """")"),"")</f>
        <v/>
      </c>
      <c r="P125" s="9" t="str">
        <f ca="1">IFERROR(__xludf.DUMMYFUNCTION("IFERROR(VALUE(REGEXEXTRACT(TO_TEXT($F125), P$1 &amp; ""x(\d+)"")), """")"),"")</f>
        <v/>
      </c>
      <c r="Q125" s="9" t="str">
        <f ca="1">IFERROR(__xludf.DUMMYFUNCTION("IFERROR(VALUE(REGEXEXTRACT(TO_TEXT($F125), Q$1 &amp; ""x(\d+)"")), """")"),"")</f>
        <v/>
      </c>
      <c r="R125" s="9" t="str">
        <f ca="1">IFERROR(__xludf.DUMMYFUNCTION("IFERROR(VALUE(REGEXEXTRACT(TO_TEXT($F125), R$1 &amp; ""x(\d+)"")), """")"),"")</f>
        <v/>
      </c>
      <c r="S125" s="9" t="str">
        <f ca="1">IFERROR(__xludf.DUMMYFUNCTION("IFERROR(VALUE(REGEXEXTRACT(TO_TEXT($F125), S$1 &amp; ""x(\d+)"")), """")"),"")</f>
        <v/>
      </c>
      <c r="T125" s="9" t="str">
        <f ca="1">IFERROR(__xludf.DUMMYFUNCTION("IFERROR(VALUE(REGEXEXTRACT(TO_TEXT($F125), T$1 &amp; ""x(\d+)"")), """")"),"")</f>
        <v/>
      </c>
      <c r="U125" s="9" t="str">
        <f ca="1">IFERROR(__xludf.DUMMYFUNCTION("IFERROR(VALUE(REGEXEXTRACT(TO_TEXT($F125), U$1 &amp; ""x(\d+)"")), """")"),"")</f>
        <v/>
      </c>
      <c r="V125" s="9" t="str">
        <f ca="1">IFERROR(__xludf.DUMMYFUNCTION("IFERROR(VALUE(REGEXEXTRACT(TO_TEXT($F125), V$1 &amp; ""x(\d+)"")), """")"),"")</f>
        <v/>
      </c>
      <c r="W125" s="9"/>
      <c r="X125" s="9"/>
      <c r="Y125" s="9"/>
      <c r="Z125" s="9"/>
    </row>
    <row r="126" spans="1:26" ht="15.75" customHeight="1">
      <c r="A126" s="9" t="s">
        <v>1162</v>
      </c>
      <c r="B126" s="9" t="s">
        <v>1163</v>
      </c>
      <c r="C126" s="9" t="s">
        <v>1164</v>
      </c>
      <c r="D126" s="9" t="s">
        <v>33</v>
      </c>
      <c r="E126" s="9" t="s">
        <v>12</v>
      </c>
      <c r="F126" s="9" t="s">
        <v>1148</v>
      </c>
      <c r="G126" s="9">
        <v>60</v>
      </c>
      <c r="H126" s="9">
        <v>2</v>
      </c>
      <c r="I126" s="9">
        <v>1.0149999999999999</v>
      </c>
      <c r="J126" s="9">
        <v>110</v>
      </c>
      <c r="K126" s="9" t="s">
        <v>442</v>
      </c>
      <c r="L126" s="9"/>
      <c r="M126" s="9"/>
      <c r="N126" s="9" t="str">
        <f ca="1">IFERROR(__xludf.DUMMYFUNCTION("IFERROR(VALUE(REGEXEXTRACT(TO_TEXT($F126), N$1 &amp; ""x(\d+)"")), """")
"),"")</f>
        <v/>
      </c>
      <c r="O126" s="9">
        <f ca="1">IFERROR(__xludf.DUMMYFUNCTION("IFERROR(VALUE(REGEXEXTRACT(TO_TEXT($F126), O$1 &amp; ""x(\d+)"")), """")"),1)</f>
        <v>1</v>
      </c>
      <c r="P126" s="9" t="str">
        <f ca="1">IFERROR(__xludf.DUMMYFUNCTION("IFERROR(VALUE(REGEXEXTRACT(TO_TEXT($F126), P$1 &amp; ""x(\d+)"")), """")"),"")</f>
        <v/>
      </c>
      <c r="Q126" s="9" t="str">
        <f ca="1">IFERROR(__xludf.DUMMYFUNCTION("IFERROR(VALUE(REGEXEXTRACT(TO_TEXT($F126), Q$1 &amp; ""x(\d+)"")), """")"),"")</f>
        <v/>
      </c>
      <c r="R126" s="9" t="str">
        <f ca="1">IFERROR(__xludf.DUMMYFUNCTION("IFERROR(VALUE(REGEXEXTRACT(TO_TEXT($F126), R$1 &amp; ""x(\d+)"")), """")"),"")</f>
        <v/>
      </c>
      <c r="S126" s="9" t="str">
        <f ca="1">IFERROR(__xludf.DUMMYFUNCTION("IFERROR(VALUE(REGEXEXTRACT(TO_TEXT($F126), S$1 &amp; ""x(\d+)"")), """")"),"")</f>
        <v/>
      </c>
      <c r="T126" s="9" t="str">
        <f ca="1">IFERROR(__xludf.DUMMYFUNCTION("IFERROR(VALUE(REGEXEXTRACT(TO_TEXT($F126), T$1 &amp; ""x(\d+)"")), """")"),"")</f>
        <v/>
      </c>
      <c r="U126" s="9" t="str">
        <f ca="1">IFERROR(__xludf.DUMMYFUNCTION("IFERROR(VALUE(REGEXEXTRACT(TO_TEXT($F126), U$1 &amp; ""x(\d+)"")), """")"),"")</f>
        <v/>
      </c>
      <c r="V126" s="9" t="str">
        <f ca="1">IFERROR(__xludf.DUMMYFUNCTION("IFERROR(VALUE(REGEXEXTRACT(TO_TEXT($F126), V$1 &amp; ""x(\d+)"")), """")"),"")</f>
        <v/>
      </c>
      <c r="W126" s="9"/>
      <c r="X126" s="9"/>
      <c r="Y126" s="9"/>
      <c r="Z126" s="9"/>
    </row>
    <row r="127" spans="1:26" ht="15.75" customHeight="1">
      <c r="A127" s="9" t="s">
        <v>1162</v>
      </c>
      <c r="B127" s="9" t="s">
        <v>1163</v>
      </c>
      <c r="C127" s="9" t="s">
        <v>1164</v>
      </c>
      <c r="D127" s="9" t="s">
        <v>33</v>
      </c>
      <c r="E127" s="9" t="s">
        <v>13</v>
      </c>
      <c r="F127" s="9" t="s">
        <v>1149</v>
      </c>
      <c r="G127" s="9">
        <v>15</v>
      </c>
      <c r="H127" s="9">
        <v>2</v>
      </c>
      <c r="I127" s="9">
        <v>1.0149999999999999</v>
      </c>
      <c r="J127" s="9">
        <v>110</v>
      </c>
      <c r="K127" s="9" t="s">
        <v>442</v>
      </c>
      <c r="L127" s="9"/>
      <c r="M127" s="9"/>
      <c r="N127" s="9" t="str">
        <f ca="1">IFERROR(__xludf.DUMMYFUNCTION("IFERROR(VALUE(REGEXEXTRACT(TO_TEXT($F127), N$1 &amp; ""x(\d+)"")), """")
"),"")</f>
        <v/>
      </c>
      <c r="O127" s="9">
        <f ca="1">IFERROR(__xludf.DUMMYFUNCTION("IFERROR(VALUE(REGEXEXTRACT(TO_TEXT($F127), O$1 &amp; ""x(\d+)"")), """")"),1)</f>
        <v>1</v>
      </c>
      <c r="P127" s="9" t="str">
        <f ca="1">IFERROR(__xludf.DUMMYFUNCTION("IFERROR(VALUE(REGEXEXTRACT(TO_TEXT($F127), P$1 &amp; ""x(\d+)"")), """")"),"")</f>
        <v/>
      </c>
      <c r="Q127" s="9" t="str">
        <f ca="1">IFERROR(__xludf.DUMMYFUNCTION("IFERROR(VALUE(REGEXEXTRACT(TO_TEXT($F127), Q$1 &amp; ""x(\d+)"")), """")"),"")</f>
        <v/>
      </c>
      <c r="R127" s="9" t="str">
        <f ca="1">IFERROR(__xludf.DUMMYFUNCTION("IFERROR(VALUE(REGEXEXTRACT(TO_TEXT($F127), R$1 &amp; ""x(\d+)"")), """")"),"")</f>
        <v/>
      </c>
      <c r="S127" s="9" t="str">
        <f ca="1">IFERROR(__xludf.DUMMYFUNCTION("IFERROR(VALUE(REGEXEXTRACT(TO_TEXT($F127), S$1 &amp; ""x(\d+)"")), """")"),"")</f>
        <v/>
      </c>
      <c r="T127" s="9" t="str">
        <f ca="1">IFERROR(__xludf.DUMMYFUNCTION("IFERROR(VALUE(REGEXEXTRACT(TO_TEXT($F127), T$1 &amp; ""x(\d+)"")), """")"),"")</f>
        <v/>
      </c>
      <c r="U127" s="9" t="str">
        <f ca="1">IFERROR(__xludf.DUMMYFUNCTION("IFERROR(VALUE(REGEXEXTRACT(TO_TEXT($F127), U$1 &amp; ""x(\d+)"")), """")"),"")</f>
        <v/>
      </c>
      <c r="V127" s="9" t="str">
        <f ca="1">IFERROR(__xludf.DUMMYFUNCTION("IFERROR(VALUE(REGEXEXTRACT(TO_TEXT($F127), V$1 &amp; ""x(\d+)"")), """")"),"")</f>
        <v/>
      </c>
      <c r="W127" s="9"/>
      <c r="X127" s="9"/>
      <c r="Y127" s="9"/>
      <c r="Z127" s="9"/>
    </row>
    <row r="128" spans="1:26" ht="15.75" customHeight="1">
      <c r="A128" s="9" t="s">
        <v>1165</v>
      </c>
      <c r="B128" s="9" t="s">
        <v>1166</v>
      </c>
      <c r="C128" s="9" t="s">
        <v>627</v>
      </c>
      <c r="D128" s="9" t="s">
        <v>33</v>
      </c>
      <c r="E128" s="9" t="s">
        <v>12</v>
      </c>
      <c r="F128" s="9" t="s">
        <v>1148</v>
      </c>
      <c r="G128" s="9">
        <v>60</v>
      </c>
      <c r="H128" s="9">
        <v>2</v>
      </c>
      <c r="I128" s="9">
        <v>1.0149999999999999</v>
      </c>
      <c r="J128" s="9">
        <v>110</v>
      </c>
      <c r="K128" s="9" t="s">
        <v>442</v>
      </c>
      <c r="L128" s="9"/>
      <c r="M128" s="9"/>
      <c r="N128" s="9" t="str">
        <f ca="1">IFERROR(__xludf.DUMMYFUNCTION("IFERROR(VALUE(REGEXEXTRACT(TO_TEXT($F128), N$1 &amp; ""x(\d+)"")), """")
"),"")</f>
        <v/>
      </c>
      <c r="O128" s="9">
        <f ca="1">IFERROR(__xludf.DUMMYFUNCTION("IFERROR(VALUE(REGEXEXTRACT(TO_TEXT($F128), O$1 &amp; ""x(\d+)"")), """")"),1)</f>
        <v>1</v>
      </c>
      <c r="P128" s="9" t="str">
        <f ca="1">IFERROR(__xludf.DUMMYFUNCTION("IFERROR(VALUE(REGEXEXTRACT(TO_TEXT($F128), P$1 &amp; ""x(\d+)"")), """")"),"")</f>
        <v/>
      </c>
      <c r="Q128" s="9" t="str">
        <f ca="1">IFERROR(__xludf.DUMMYFUNCTION("IFERROR(VALUE(REGEXEXTRACT(TO_TEXT($F128), Q$1 &amp; ""x(\d+)"")), """")"),"")</f>
        <v/>
      </c>
      <c r="R128" s="9" t="str">
        <f ca="1">IFERROR(__xludf.DUMMYFUNCTION("IFERROR(VALUE(REGEXEXTRACT(TO_TEXT($F128), R$1 &amp; ""x(\d+)"")), """")"),"")</f>
        <v/>
      </c>
      <c r="S128" s="9" t="str">
        <f ca="1">IFERROR(__xludf.DUMMYFUNCTION("IFERROR(VALUE(REGEXEXTRACT(TO_TEXT($F128), S$1 &amp; ""x(\d+)"")), """")"),"")</f>
        <v/>
      </c>
      <c r="T128" s="9" t="str">
        <f ca="1">IFERROR(__xludf.DUMMYFUNCTION("IFERROR(VALUE(REGEXEXTRACT(TO_TEXT($F128), T$1 &amp; ""x(\d+)"")), """")"),"")</f>
        <v/>
      </c>
      <c r="U128" s="9" t="str">
        <f ca="1">IFERROR(__xludf.DUMMYFUNCTION("IFERROR(VALUE(REGEXEXTRACT(TO_TEXT($F128), U$1 &amp; ""x(\d+)"")), """")"),"")</f>
        <v/>
      </c>
      <c r="V128" s="9" t="str">
        <f ca="1">IFERROR(__xludf.DUMMYFUNCTION("IFERROR(VALUE(REGEXEXTRACT(TO_TEXT($F128), V$1 &amp; ""x(\d+)"")), """")"),"")</f>
        <v/>
      </c>
      <c r="W128" s="9"/>
      <c r="X128" s="9"/>
      <c r="Y128" s="9"/>
      <c r="Z128" s="9"/>
    </row>
    <row r="129" spans="1:26" ht="15.75" customHeight="1">
      <c r="A129" s="9" t="s">
        <v>1165</v>
      </c>
      <c r="B129" s="9" t="s">
        <v>1166</v>
      </c>
      <c r="C129" s="9" t="s">
        <v>627</v>
      </c>
      <c r="D129" s="9" t="s">
        <v>33</v>
      </c>
      <c r="E129" s="9" t="s">
        <v>13</v>
      </c>
      <c r="F129" s="9" t="s">
        <v>1149</v>
      </c>
      <c r="G129" s="9">
        <v>15</v>
      </c>
      <c r="H129" s="9">
        <v>2</v>
      </c>
      <c r="I129" s="9">
        <v>1.0149999999999999</v>
      </c>
      <c r="J129" s="9">
        <v>110</v>
      </c>
      <c r="K129" s="9" t="s">
        <v>442</v>
      </c>
      <c r="L129" s="9"/>
      <c r="M129" s="9"/>
      <c r="N129" s="9" t="str">
        <f ca="1">IFERROR(__xludf.DUMMYFUNCTION("IFERROR(VALUE(REGEXEXTRACT(TO_TEXT($F129), N$1 &amp; ""x(\d+)"")), """")
"),"")</f>
        <v/>
      </c>
      <c r="O129" s="9">
        <f ca="1">IFERROR(__xludf.DUMMYFUNCTION("IFERROR(VALUE(REGEXEXTRACT(TO_TEXT($F129), O$1 &amp; ""x(\d+)"")), """")"),1)</f>
        <v>1</v>
      </c>
      <c r="P129" s="9" t="str">
        <f ca="1">IFERROR(__xludf.DUMMYFUNCTION("IFERROR(VALUE(REGEXEXTRACT(TO_TEXT($F129), P$1 &amp; ""x(\d+)"")), """")"),"")</f>
        <v/>
      </c>
      <c r="Q129" s="9" t="str">
        <f ca="1">IFERROR(__xludf.DUMMYFUNCTION("IFERROR(VALUE(REGEXEXTRACT(TO_TEXT($F129), Q$1 &amp; ""x(\d+)"")), """")"),"")</f>
        <v/>
      </c>
      <c r="R129" s="9" t="str">
        <f ca="1">IFERROR(__xludf.DUMMYFUNCTION("IFERROR(VALUE(REGEXEXTRACT(TO_TEXT($F129), R$1 &amp; ""x(\d+)"")), """")"),"")</f>
        <v/>
      </c>
      <c r="S129" s="9" t="str">
        <f ca="1">IFERROR(__xludf.DUMMYFUNCTION("IFERROR(VALUE(REGEXEXTRACT(TO_TEXT($F129), S$1 &amp; ""x(\d+)"")), """")"),"")</f>
        <v/>
      </c>
      <c r="T129" s="9" t="str">
        <f ca="1">IFERROR(__xludf.DUMMYFUNCTION("IFERROR(VALUE(REGEXEXTRACT(TO_TEXT($F129), T$1 &amp; ""x(\d+)"")), """")"),"")</f>
        <v/>
      </c>
      <c r="U129" s="9" t="str">
        <f ca="1">IFERROR(__xludf.DUMMYFUNCTION("IFERROR(VALUE(REGEXEXTRACT(TO_TEXT($F129), U$1 &amp; ""x(\d+)"")), """")"),"")</f>
        <v/>
      </c>
      <c r="V129" s="9" t="str">
        <f ca="1">IFERROR(__xludf.DUMMYFUNCTION("IFERROR(VALUE(REGEXEXTRACT(TO_TEXT($F129), V$1 &amp; ""x(\d+)"")), """")"),"")</f>
        <v/>
      </c>
      <c r="W129" s="9"/>
      <c r="X129" s="9"/>
      <c r="Y129" s="9"/>
      <c r="Z129" s="9"/>
    </row>
    <row r="130" spans="1:26" ht="15.75" customHeight="1">
      <c r="A130" s="9" t="s">
        <v>1167</v>
      </c>
      <c r="B130" s="9" t="s">
        <v>1168</v>
      </c>
      <c r="C130" s="9" t="s">
        <v>713</v>
      </c>
      <c r="D130" s="9" t="s">
        <v>33</v>
      </c>
      <c r="E130" s="9" t="s">
        <v>11</v>
      </c>
      <c r="F130" s="9" t="s">
        <v>1147</v>
      </c>
      <c r="G130" s="9">
        <v>30</v>
      </c>
      <c r="H130" s="9">
        <v>2</v>
      </c>
      <c r="I130" s="9">
        <v>1.0149999999999999</v>
      </c>
      <c r="J130" s="9">
        <v>110</v>
      </c>
      <c r="K130" s="9" t="s">
        <v>442</v>
      </c>
      <c r="L130" s="9"/>
      <c r="M130" s="9"/>
      <c r="N130" s="9" t="str">
        <f ca="1">IFERROR(__xludf.DUMMYFUNCTION("IFERROR(VALUE(REGEXEXTRACT(TO_TEXT($F130), N$1 &amp; ""x(\d+)"")), """")
"),"")</f>
        <v/>
      </c>
      <c r="O130" s="9" t="str">
        <f ca="1">IFERROR(__xludf.DUMMYFUNCTION("IFERROR(VALUE(REGEXEXTRACT(TO_TEXT($F130), O$1 &amp; ""x(\d+)"")), """")"),"")</f>
        <v/>
      </c>
      <c r="P130" s="9" t="str">
        <f ca="1">IFERROR(__xludf.DUMMYFUNCTION("IFERROR(VALUE(REGEXEXTRACT(TO_TEXT($F130), P$1 &amp; ""x(\d+)"")), """")"),"")</f>
        <v/>
      </c>
      <c r="Q130" s="9" t="str">
        <f ca="1">IFERROR(__xludf.DUMMYFUNCTION("IFERROR(VALUE(REGEXEXTRACT(TO_TEXT($F130), Q$1 &amp; ""x(\d+)"")), """")"),"")</f>
        <v/>
      </c>
      <c r="R130" s="9" t="str">
        <f ca="1">IFERROR(__xludf.DUMMYFUNCTION("IFERROR(VALUE(REGEXEXTRACT(TO_TEXT($F130), R$1 &amp; ""x(\d+)"")), """")"),"")</f>
        <v/>
      </c>
      <c r="S130" s="9" t="str">
        <f ca="1">IFERROR(__xludf.DUMMYFUNCTION("IFERROR(VALUE(REGEXEXTRACT(TO_TEXT($F130), S$1 &amp; ""x(\d+)"")), """")"),"")</f>
        <v/>
      </c>
      <c r="T130" s="9" t="str">
        <f ca="1">IFERROR(__xludf.DUMMYFUNCTION("IFERROR(VALUE(REGEXEXTRACT(TO_TEXT($F130), T$1 &amp; ""x(\d+)"")), """")"),"")</f>
        <v/>
      </c>
      <c r="U130" s="9" t="str">
        <f ca="1">IFERROR(__xludf.DUMMYFUNCTION("IFERROR(VALUE(REGEXEXTRACT(TO_TEXT($F130), U$1 &amp; ""x(\d+)"")), """")"),"")</f>
        <v/>
      </c>
      <c r="V130" s="9" t="str">
        <f ca="1">IFERROR(__xludf.DUMMYFUNCTION("IFERROR(VALUE(REGEXEXTRACT(TO_TEXT($F130), V$1 &amp; ""x(\d+)"")), """")"),"")</f>
        <v/>
      </c>
      <c r="W130" s="9"/>
      <c r="X130" s="9"/>
      <c r="Y130" s="9"/>
      <c r="Z130" s="9"/>
    </row>
    <row r="131" spans="1:26" ht="15.75" customHeight="1">
      <c r="A131" s="9" t="s">
        <v>1167</v>
      </c>
      <c r="B131" s="9" t="s">
        <v>1168</v>
      </c>
      <c r="C131" s="9" t="s">
        <v>713</v>
      </c>
      <c r="D131" s="9" t="s">
        <v>33</v>
      </c>
      <c r="E131" s="9" t="s">
        <v>12</v>
      </c>
      <c r="F131" s="9" t="s">
        <v>1148</v>
      </c>
      <c r="G131" s="9">
        <v>60</v>
      </c>
      <c r="H131" s="9">
        <v>2</v>
      </c>
      <c r="I131" s="9">
        <v>1.0149999999999999</v>
      </c>
      <c r="J131" s="9">
        <v>110</v>
      </c>
      <c r="K131" s="9" t="s">
        <v>442</v>
      </c>
      <c r="L131" s="9" t="s">
        <v>1169</v>
      </c>
      <c r="M131" s="9"/>
      <c r="N131" s="9" t="str">
        <f ca="1">IFERROR(__xludf.DUMMYFUNCTION("IFERROR(VALUE(REGEXEXTRACT(TO_TEXT($F131), N$1 &amp; ""x(\d+)"")), """")
"),"")</f>
        <v/>
      </c>
      <c r="O131" s="9">
        <f ca="1">IFERROR(__xludf.DUMMYFUNCTION("IFERROR(VALUE(REGEXEXTRACT(TO_TEXT($F131), O$1 &amp; ""x(\d+)"")), """")"),1)</f>
        <v>1</v>
      </c>
      <c r="P131" s="9" t="str">
        <f ca="1">IFERROR(__xludf.DUMMYFUNCTION("IFERROR(VALUE(REGEXEXTRACT(TO_TEXT($F131), P$1 &amp; ""x(\d+)"")), """")"),"")</f>
        <v/>
      </c>
      <c r="Q131" s="9" t="str">
        <f ca="1">IFERROR(__xludf.DUMMYFUNCTION("IFERROR(VALUE(REGEXEXTRACT(TO_TEXT($F131), Q$1 &amp; ""x(\d+)"")), """")"),"")</f>
        <v/>
      </c>
      <c r="R131" s="9" t="str">
        <f ca="1">IFERROR(__xludf.DUMMYFUNCTION("IFERROR(VALUE(REGEXEXTRACT(TO_TEXT($F131), R$1 &amp; ""x(\d+)"")), """")"),"")</f>
        <v/>
      </c>
      <c r="S131" s="9" t="str">
        <f ca="1">IFERROR(__xludf.DUMMYFUNCTION("IFERROR(VALUE(REGEXEXTRACT(TO_TEXT($F131), S$1 &amp; ""x(\d+)"")), """")"),"")</f>
        <v/>
      </c>
      <c r="T131" s="9" t="str">
        <f ca="1">IFERROR(__xludf.DUMMYFUNCTION("IFERROR(VALUE(REGEXEXTRACT(TO_TEXT($F131), T$1 &amp; ""x(\d+)"")), """")"),"")</f>
        <v/>
      </c>
      <c r="U131" s="9" t="str">
        <f ca="1">IFERROR(__xludf.DUMMYFUNCTION("IFERROR(VALUE(REGEXEXTRACT(TO_TEXT($F131), U$1 &amp; ""x(\d+)"")), """")"),"")</f>
        <v/>
      </c>
      <c r="V131" s="9" t="str">
        <f ca="1">IFERROR(__xludf.DUMMYFUNCTION("IFERROR(VALUE(REGEXEXTRACT(TO_TEXT($F131), V$1 &amp; ""x(\d+)"")), """")"),"")</f>
        <v/>
      </c>
      <c r="W131" s="9"/>
      <c r="X131" s="9"/>
      <c r="Y131" s="9"/>
      <c r="Z131" s="9"/>
    </row>
    <row r="132" spans="1:26" ht="15.75" customHeight="1">
      <c r="A132" s="9" t="s">
        <v>1167</v>
      </c>
      <c r="B132" s="9" t="s">
        <v>1168</v>
      </c>
      <c r="C132" s="9" t="s">
        <v>713</v>
      </c>
      <c r="D132" s="9" t="s">
        <v>33</v>
      </c>
      <c r="E132" s="9" t="s">
        <v>13</v>
      </c>
      <c r="F132" s="9" t="s">
        <v>1149</v>
      </c>
      <c r="G132" s="9">
        <v>15</v>
      </c>
      <c r="H132" s="9">
        <v>2</v>
      </c>
      <c r="I132" s="9">
        <v>1.0149999999999999</v>
      </c>
      <c r="J132" s="9">
        <v>110</v>
      </c>
      <c r="K132" s="9" t="s">
        <v>442</v>
      </c>
      <c r="L132" s="9"/>
      <c r="M132" s="9"/>
      <c r="N132" s="9" t="str">
        <f ca="1">IFERROR(__xludf.DUMMYFUNCTION("IFERROR(VALUE(REGEXEXTRACT(TO_TEXT($F132), N$1 &amp; ""x(\d+)"")), """")
"),"")</f>
        <v/>
      </c>
      <c r="O132" s="9">
        <f ca="1">IFERROR(__xludf.DUMMYFUNCTION("IFERROR(VALUE(REGEXEXTRACT(TO_TEXT($F132), O$1 &amp; ""x(\d+)"")), """")"),1)</f>
        <v>1</v>
      </c>
      <c r="P132" s="9" t="str">
        <f ca="1">IFERROR(__xludf.DUMMYFUNCTION("IFERROR(VALUE(REGEXEXTRACT(TO_TEXT($F132), P$1 &amp; ""x(\d+)"")), """")"),"")</f>
        <v/>
      </c>
      <c r="Q132" s="9" t="str">
        <f ca="1">IFERROR(__xludf.DUMMYFUNCTION("IFERROR(VALUE(REGEXEXTRACT(TO_TEXT($F132), Q$1 &amp; ""x(\d+)"")), """")"),"")</f>
        <v/>
      </c>
      <c r="R132" s="9" t="str">
        <f ca="1">IFERROR(__xludf.DUMMYFUNCTION("IFERROR(VALUE(REGEXEXTRACT(TO_TEXT($F132), R$1 &amp; ""x(\d+)"")), """")"),"")</f>
        <v/>
      </c>
      <c r="S132" s="9" t="str">
        <f ca="1">IFERROR(__xludf.DUMMYFUNCTION("IFERROR(VALUE(REGEXEXTRACT(TO_TEXT($F132), S$1 &amp; ""x(\d+)"")), """")"),"")</f>
        <v/>
      </c>
      <c r="T132" s="9" t="str">
        <f ca="1">IFERROR(__xludf.DUMMYFUNCTION("IFERROR(VALUE(REGEXEXTRACT(TO_TEXT($F132), T$1 &amp; ""x(\d+)"")), """")"),"")</f>
        <v/>
      </c>
      <c r="U132" s="9" t="str">
        <f ca="1">IFERROR(__xludf.DUMMYFUNCTION("IFERROR(VALUE(REGEXEXTRACT(TO_TEXT($F132), U$1 &amp; ""x(\d+)"")), """")"),"")</f>
        <v/>
      </c>
      <c r="V132" s="9" t="str">
        <f ca="1">IFERROR(__xludf.DUMMYFUNCTION("IFERROR(VALUE(REGEXEXTRACT(TO_TEXT($F132), V$1 &amp; ""x(\d+)"")), """")"),"")</f>
        <v/>
      </c>
      <c r="W132" s="9"/>
      <c r="X132" s="9"/>
      <c r="Y132" s="9"/>
      <c r="Z132" s="9"/>
    </row>
    <row r="133" spans="1:26" ht="15.75" hidden="1" customHeight="1">
      <c r="A133" s="9" t="s">
        <v>261</v>
      </c>
      <c r="B133" s="9" t="s">
        <v>1170</v>
      </c>
      <c r="C133" s="9" t="s">
        <v>262</v>
      </c>
      <c r="D133" s="9" t="s">
        <v>40</v>
      </c>
      <c r="E133" s="9" t="s">
        <v>11</v>
      </c>
      <c r="F133" s="9" t="s">
        <v>1171</v>
      </c>
      <c r="G133" s="9">
        <v>30</v>
      </c>
      <c r="H133" s="9">
        <v>2</v>
      </c>
      <c r="I133" s="9">
        <v>1.0149999999999999</v>
      </c>
      <c r="J133" s="9">
        <v>102</v>
      </c>
      <c r="K133" s="9" t="s">
        <v>442</v>
      </c>
      <c r="L133" s="9"/>
      <c r="M133" s="9"/>
      <c r="N133" s="9" t="str">
        <f ca="1">IFERROR(__xludf.DUMMYFUNCTION("IFERROR(VALUE(REGEXEXTRACT(TO_TEXT($F133), N$1 &amp; ""x(\d+)"")), """")
"),"")</f>
        <v/>
      </c>
      <c r="O133" s="9" t="str">
        <f ca="1">IFERROR(__xludf.DUMMYFUNCTION("IFERROR(VALUE(REGEXEXTRACT(TO_TEXT($F133), O$1 &amp; ""x(\d+)"")), """")"),"")</f>
        <v/>
      </c>
      <c r="P133" s="9" t="str">
        <f ca="1">IFERROR(__xludf.DUMMYFUNCTION("IFERROR(VALUE(REGEXEXTRACT(TO_TEXT($F133), P$1 &amp; ""x(\d+)"")), """")"),"")</f>
        <v/>
      </c>
      <c r="Q133" s="9" t="str">
        <f ca="1">IFERROR(__xludf.DUMMYFUNCTION("IFERROR(VALUE(REGEXEXTRACT(TO_TEXT($F133), Q$1 &amp; ""x(\d+)"")), """")"),"")</f>
        <v/>
      </c>
      <c r="R133" s="9" t="str">
        <f ca="1">IFERROR(__xludf.DUMMYFUNCTION("IFERROR(VALUE(REGEXEXTRACT(TO_TEXT($F133), R$1 &amp; ""x(\d+)"")), """")"),"")</f>
        <v/>
      </c>
      <c r="S133" s="9" t="str">
        <f ca="1">IFERROR(__xludf.DUMMYFUNCTION("IFERROR(VALUE(REGEXEXTRACT(TO_TEXT($F133), S$1 &amp; ""x(\d+)"")), """")"),"")</f>
        <v/>
      </c>
      <c r="T133" s="9" t="str">
        <f ca="1">IFERROR(__xludf.DUMMYFUNCTION("IFERROR(VALUE(REGEXEXTRACT(TO_TEXT($F133), T$1 &amp; ""x(\d+)"")), """")"),"")</f>
        <v/>
      </c>
      <c r="U133" s="9" t="str">
        <f ca="1">IFERROR(__xludf.DUMMYFUNCTION("IFERROR(VALUE(REGEXEXTRACT(TO_TEXT($F133), U$1 &amp; ""x(\d+)"")), """")"),"")</f>
        <v/>
      </c>
      <c r="V133" s="9" t="str">
        <f ca="1">IFERROR(__xludf.DUMMYFUNCTION("IFERROR(VALUE(REGEXEXTRACT(TO_TEXT($F133), V$1 &amp; ""x(\d+)"")), """")"),"")</f>
        <v/>
      </c>
      <c r="W133" s="9"/>
      <c r="X133" s="9"/>
      <c r="Y133" s="9"/>
      <c r="Z133" s="9"/>
    </row>
    <row r="134" spans="1:26" ht="15.75" hidden="1" customHeight="1">
      <c r="A134" s="9" t="s">
        <v>261</v>
      </c>
      <c r="B134" s="9" t="s">
        <v>1170</v>
      </c>
      <c r="C134" s="9" t="s">
        <v>262</v>
      </c>
      <c r="D134" s="9" t="s">
        <v>40</v>
      </c>
      <c r="E134" s="9" t="s">
        <v>12</v>
      </c>
      <c r="F134" s="9" t="s">
        <v>1172</v>
      </c>
      <c r="G134" s="9">
        <v>130</v>
      </c>
      <c r="H134" s="9">
        <v>2</v>
      </c>
      <c r="I134" s="9">
        <v>1.0149999999999999</v>
      </c>
      <c r="J134" s="9">
        <v>102</v>
      </c>
      <c r="K134" s="9" t="s">
        <v>442</v>
      </c>
      <c r="L134" s="9"/>
      <c r="M134" s="9"/>
      <c r="N134" s="9" t="str">
        <f ca="1">IFERROR(__xludf.DUMMYFUNCTION("IFERROR(VALUE(REGEXEXTRACT(TO_TEXT($F134), N$1 &amp; ""x(\d+)"")), """")
"),"")</f>
        <v/>
      </c>
      <c r="O134" s="9" t="str">
        <f ca="1">IFERROR(__xludf.DUMMYFUNCTION("IFERROR(VALUE(REGEXEXTRACT(TO_TEXT($F134), O$1 &amp; ""x(\d+)"")), """")"),"")</f>
        <v/>
      </c>
      <c r="P134" s="9" t="str">
        <f ca="1">IFERROR(__xludf.DUMMYFUNCTION("IFERROR(VALUE(REGEXEXTRACT(TO_TEXT($F134), P$1 &amp; ""x(\d+)"")), """")"),"")</f>
        <v/>
      </c>
      <c r="Q134" s="9" t="str">
        <f ca="1">IFERROR(__xludf.DUMMYFUNCTION("IFERROR(VALUE(REGEXEXTRACT(TO_TEXT($F134), Q$1 &amp; ""x(\d+)"")), """")"),"")</f>
        <v/>
      </c>
      <c r="R134" s="9" t="str">
        <f ca="1">IFERROR(__xludf.DUMMYFUNCTION("IFERROR(VALUE(REGEXEXTRACT(TO_TEXT($F134), R$1 &amp; ""x(\d+)"")), """")"),"")</f>
        <v/>
      </c>
      <c r="S134" s="9">
        <f ca="1">IFERROR(__xludf.DUMMYFUNCTION("IFERROR(VALUE(REGEXEXTRACT(TO_TEXT($F134), S$1 &amp; ""x(\d+)"")), """")"),1)</f>
        <v>1</v>
      </c>
      <c r="T134" s="9" t="str">
        <f ca="1">IFERROR(__xludf.DUMMYFUNCTION("IFERROR(VALUE(REGEXEXTRACT(TO_TEXT($F134), T$1 &amp; ""x(\d+)"")), """")"),"")</f>
        <v/>
      </c>
      <c r="U134" s="9" t="str">
        <f ca="1">IFERROR(__xludf.DUMMYFUNCTION("IFERROR(VALUE(REGEXEXTRACT(TO_TEXT($F134), U$1 &amp; ""x(\d+)"")), """")"),"")</f>
        <v/>
      </c>
      <c r="V134" s="9" t="str">
        <f ca="1">IFERROR(__xludf.DUMMYFUNCTION("IFERROR(VALUE(REGEXEXTRACT(TO_TEXT($F134), V$1 &amp; ""x(\d+)"")), """")"),"")</f>
        <v/>
      </c>
      <c r="W134" s="9"/>
      <c r="X134" s="9"/>
      <c r="Y134" s="9"/>
      <c r="Z134" s="9"/>
    </row>
    <row r="135" spans="1:26" ht="15.75" hidden="1" customHeight="1">
      <c r="A135" s="9" t="s">
        <v>261</v>
      </c>
      <c r="B135" s="9" t="s">
        <v>1170</v>
      </c>
      <c r="C135" s="9" t="s">
        <v>262</v>
      </c>
      <c r="D135" s="9" t="s">
        <v>40</v>
      </c>
      <c r="E135" s="9" t="s">
        <v>13</v>
      </c>
      <c r="F135" s="9" t="s">
        <v>1173</v>
      </c>
      <c r="G135" s="9">
        <v>30</v>
      </c>
      <c r="H135" s="9">
        <v>2</v>
      </c>
      <c r="I135" s="9">
        <v>1.0149999999999999</v>
      </c>
      <c r="J135" s="9">
        <v>102</v>
      </c>
      <c r="K135" s="9" t="s">
        <v>442</v>
      </c>
      <c r="L135" s="9"/>
      <c r="M135" s="9"/>
      <c r="N135" s="9" t="str">
        <f ca="1">IFERROR(__xludf.DUMMYFUNCTION("IFERROR(VALUE(REGEXEXTRACT(TO_TEXT($F135), N$1 &amp; ""x(\d+)"")), """")
"),"")</f>
        <v/>
      </c>
      <c r="O135" s="9" t="str">
        <f ca="1">IFERROR(__xludf.DUMMYFUNCTION("IFERROR(VALUE(REGEXEXTRACT(TO_TEXT($F135), O$1 &amp; ""x(\d+)"")), """")"),"")</f>
        <v/>
      </c>
      <c r="P135" s="9" t="str">
        <f ca="1">IFERROR(__xludf.DUMMYFUNCTION("IFERROR(VALUE(REGEXEXTRACT(TO_TEXT($F135), P$1 &amp; ""x(\d+)"")), """")"),"")</f>
        <v/>
      </c>
      <c r="Q135" s="9" t="str">
        <f ca="1">IFERROR(__xludf.DUMMYFUNCTION("IFERROR(VALUE(REGEXEXTRACT(TO_TEXT($F135), Q$1 &amp; ""x(\d+)"")), """")"),"")</f>
        <v/>
      </c>
      <c r="R135" s="9" t="str">
        <f ca="1">IFERROR(__xludf.DUMMYFUNCTION("IFERROR(VALUE(REGEXEXTRACT(TO_TEXT($F135), R$1 &amp; ""x(\d+)"")), """")"),"")</f>
        <v/>
      </c>
      <c r="S135" s="9">
        <f ca="1">IFERROR(__xludf.DUMMYFUNCTION("IFERROR(VALUE(REGEXEXTRACT(TO_TEXT($F135), S$1 &amp; ""x(\d+)"")), """")"),1)</f>
        <v>1</v>
      </c>
      <c r="T135" s="9" t="str">
        <f ca="1">IFERROR(__xludf.DUMMYFUNCTION("IFERROR(VALUE(REGEXEXTRACT(TO_TEXT($F135), T$1 &amp; ""x(\d+)"")), """")"),"")</f>
        <v/>
      </c>
      <c r="U135" s="9" t="str">
        <f ca="1">IFERROR(__xludf.DUMMYFUNCTION("IFERROR(VALUE(REGEXEXTRACT(TO_TEXT($F135), U$1 &amp; ""x(\d+)"")), """")"),"")</f>
        <v/>
      </c>
      <c r="V135" s="9" t="str">
        <f ca="1">IFERROR(__xludf.DUMMYFUNCTION("IFERROR(VALUE(REGEXEXTRACT(TO_TEXT($F135), V$1 &amp; ""x(\d+)"")), """")"),"")</f>
        <v/>
      </c>
      <c r="W135" s="9"/>
      <c r="X135" s="9"/>
      <c r="Y135" s="9"/>
      <c r="Z135" s="9"/>
    </row>
    <row r="136" spans="1:26" ht="15.75" customHeight="1">
      <c r="A136" s="9" t="s">
        <v>1174</v>
      </c>
      <c r="B136" s="9" t="s">
        <v>1175</v>
      </c>
      <c r="C136" s="9" t="s">
        <v>1176</v>
      </c>
      <c r="D136" s="9" t="s">
        <v>33</v>
      </c>
      <c r="E136" s="9" t="s">
        <v>12</v>
      </c>
      <c r="F136" s="9" t="s">
        <v>1057</v>
      </c>
      <c r="G136" s="9">
        <v>110</v>
      </c>
      <c r="H136" s="9">
        <v>4</v>
      </c>
      <c r="I136" s="9">
        <v>1.0149999999999999</v>
      </c>
      <c r="J136" s="9">
        <v>60</v>
      </c>
      <c r="K136" s="9" t="s">
        <v>442</v>
      </c>
      <c r="L136" s="9"/>
      <c r="M136" s="9"/>
      <c r="N136" s="9" t="str">
        <f ca="1">IFERROR(__xludf.DUMMYFUNCTION("IFERROR(VALUE(REGEXEXTRACT(TO_TEXT($F136), N$1 &amp; ""x(\d+)"")), """")
"),"")</f>
        <v/>
      </c>
      <c r="O136" s="9">
        <f ca="1">IFERROR(__xludf.DUMMYFUNCTION("IFERROR(VALUE(REGEXEXTRACT(TO_TEXT($F136), O$1 &amp; ""x(\d+)"")), """")"),1)</f>
        <v>1</v>
      </c>
      <c r="P136" s="9" t="str">
        <f ca="1">IFERROR(__xludf.DUMMYFUNCTION("IFERROR(VALUE(REGEXEXTRACT(TO_TEXT($F136), P$1 &amp; ""x(\d+)"")), """")"),"")</f>
        <v/>
      </c>
      <c r="Q136" s="9" t="str">
        <f ca="1">IFERROR(__xludf.DUMMYFUNCTION("IFERROR(VALUE(REGEXEXTRACT(TO_TEXT($F136), Q$1 &amp; ""x(\d+)"")), """")"),"")</f>
        <v/>
      </c>
      <c r="R136" s="9" t="str">
        <f ca="1">IFERROR(__xludf.DUMMYFUNCTION("IFERROR(VALUE(REGEXEXTRACT(TO_TEXT($F136), R$1 &amp; ""x(\d+)"")), """")"),"")</f>
        <v/>
      </c>
      <c r="S136" s="9" t="str">
        <f ca="1">IFERROR(__xludf.DUMMYFUNCTION("IFERROR(VALUE(REGEXEXTRACT(TO_TEXT($F136), S$1 &amp; ""x(\d+)"")), """")"),"")</f>
        <v/>
      </c>
      <c r="T136" s="9" t="str">
        <f ca="1">IFERROR(__xludf.DUMMYFUNCTION("IFERROR(VALUE(REGEXEXTRACT(TO_TEXT($F136), T$1 &amp; ""x(\d+)"")), """")"),"")</f>
        <v/>
      </c>
      <c r="U136" s="9" t="str">
        <f ca="1">IFERROR(__xludf.DUMMYFUNCTION("IFERROR(VALUE(REGEXEXTRACT(TO_TEXT($F136), U$1 &amp; ""x(\d+)"")), """")"),"")</f>
        <v/>
      </c>
      <c r="V136" s="9" t="str">
        <f ca="1">IFERROR(__xludf.DUMMYFUNCTION("IFERROR(VALUE(REGEXEXTRACT(TO_TEXT($F136), V$1 &amp; ""x(\d+)"")), """")"),"")</f>
        <v/>
      </c>
      <c r="W136" s="9"/>
      <c r="X136" s="9"/>
      <c r="Y136" s="9"/>
      <c r="Z136" s="9"/>
    </row>
    <row r="137" spans="1:26" ht="15.75" customHeight="1">
      <c r="A137" s="9" t="s">
        <v>1174</v>
      </c>
      <c r="B137" s="9" t="s">
        <v>1175</v>
      </c>
      <c r="C137" s="9" t="s">
        <v>1176</v>
      </c>
      <c r="D137" s="9" t="s">
        <v>33</v>
      </c>
      <c r="E137" s="9" t="s">
        <v>13</v>
      </c>
      <c r="F137" s="9" t="s">
        <v>1058</v>
      </c>
      <c r="G137" s="9">
        <v>15</v>
      </c>
      <c r="H137" s="9">
        <v>4</v>
      </c>
      <c r="I137" s="9">
        <v>1.0149999999999999</v>
      </c>
      <c r="J137" s="9">
        <v>60</v>
      </c>
      <c r="K137" s="9" t="s">
        <v>442</v>
      </c>
      <c r="L137" s="9"/>
      <c r="M137" s="9"/>
      <c r="N137" s="9" t="str">
        <f ca="1">IFERROR(__xludf.DUMMYFUNCTION("IFERROR(VALUE(REGEXEXTRACT(TO_TEXT($F137), N$1 &amp; ""x(\d+)"")), """")
"),"")</f>
        <v/>
      </c>
      <c r="O137" s="9">
        <f ca="1">IFERROR(__xludf.DUMMYFUNCTION("IFERROR(VALUE(REGEXEXTRACT(TO_TEXT($F137), O$1 &amp; ""x(\d+)"")), """")"),1)</f>
        <v>1</v>
      </c>
      <c r="P137" s="9" t="str">
        <f ca="1">IFERROR(__xludf.DUMMYFUNCTION("IFERROR(VALUE(REGEXEXTRACT(TO_TEXT($F137), P$1 &amp; ""x(\d+)"")), """")"),"")</f>
        <v/>
      </c>
      <c r="Q137" s="9" t="str">
        <f ca="1">IFERROR(__xludf.DUMMYFUNCTION("IFERROR(VALUE(REGEXEXTRACT(TO_TEXT($F137), Q$1 &amp; ""x(\d+)"")), """")"),"")</f>
        <v/>
      </c>
      <c r="R137" s="9" t="str">
        <f ca="1">IFERROR(__xludf.DUMMYFUNCTION("IFERROR(VALUE(REGEXEXTRACT(TO_TEXT($F137), R$1 &amp; ""x(\d+)"")), """")"),"")</f>
        <v/>
      </c>
      <c r="S137" s="9" t="str">
        <f ca="1">IFERROR(__xludf.DUMMYFUNCTION("IFERROR(VALUE(REGEXEXTRACT(TO_TEXT($F137), S$1 &amp; ""x(\d+)"")), """")"),"")</f>
        <v/>
      </c>
      <c r="T137" s="9" t="str">
        <f ca="1">IFERROR(__xludf.DUMMYFUNCTION("IFERROR(VALUE(REGEXEXTRACT(TO_TEXT($F137), T$1 &amp; ""x(\d+)"")), """")"),"")</f>
        <v/>
      </c>
      <c r="U137" s="9" t="str">
        <f ca="1">IFERROR(__xludf.DUMMYFUNCTION("IFERROR(VALUE(REGEXEXTRACT(TO_TEXT($F137), U$1 &amp; ""x(\d+)"")), """")"),"")</f>
        <v/>
      </c>
      <c r="V137" s="9" t="str">
        <f ca="1">IFERROR(__xludf.DUMMYFUNCTION("IFERROR(VALUE(REGEXEXTRACT(TO_TEXT($F137), V$1 &amp; ""x(\d+)"")), """")"),"")</f>
        <v/>
      </c>
      <c r="W137" s="9"/>
      <c r="X137" s="9"/>
      <c r="Y137" s="9"/>
      <c r="Z137" s="9"/>
    </row>
    <row r="138" spans="1:26" ht="15.75" customHeight="1">
      <c r="A138" s="9" t="s">
        <v>1177</v>
      </c>
      <c r="B138" s="9" t="s">
        <v>1175</v>
      </c>
      <c r="C138" s="9" t="s">
        <v>562</v>
      </c>
      <c r="D138" s="9" t="s">
        <v>33</v>
      </c>
      <c r="E138" s="9" t="s">
        <v>12</v>
      </c>
      <c r="F138" s="9" t="s">
        <v>1057</v>
      </c>
      <c r="G138" s="9">
        <v>110</v>
      </c>
      <c r="H138" s="9">
        <v>4</v>
      </c>
      <c r="I138" s="9">
        <v>1.0149999999999999</v>
      </c>
      <c r="J138" s="9">
        <v>60</v>
      </c>
      <c r="K138" s="9" t="s">
        <v>499</v>
      </c>
      <c r="L138" s="9"/>
      <c r="M138" s="9"/>
      <c r="N138" s="9" t="str">
        <f ca="1">IFERROR(__xludf.DUMMYFUNCTION("IFERROR(VALUE(REGEXEXTRACT(TO_TEXT($F138), N$1 &amp; ""x(\d+)"")), """")
"),"")</f>
        <v/>
      </c>
      <c r="O138" s="9">
        <f ca="1">IFERROR(__xludf.DUMMYFUNCTION("IFERROR(VALUE(REGEXEXTRACT(TO_TEXT($F138), O$1 &amp; ""x(\d+)"")), """")"),1)</f>
        <v>1</v>
      </c>
      <c r="P138" s="9" t="str">
        <f ca="1">IFERROR(__xludf.DUMMYFUNCTION("IFERROR(VALUE(REGEXEXTRACT(TO_TEXT($F138), P$1 &amp; ""x(\d+)"")), """")"),"")</f>
        <v/>
      </c>
      <c r="Q138" s="9" t="str">
        <f ca="1">IFERROR(__xludf.DUMMYFUNCTION("IFERROR(VALUE(REGEXEXTRACT(TO_TEXT($F138), Q$1 &amp; ""x(\d+)"")), """")"),"")</f>
        <v/>
      </c>
      <c r="R138" s="9" t="str">
        <f ca="1">IFERROR(__xludf.DUMMYFUNCTION("IFERROR(VALUE(REGEXEXTRACT(TO_TEXT($F138), R$1 &amp; ""x(\d+)"")), """")"),"")</f>
        <v/>
      </c>
      <c r="S138" s="9" t="str">
        <f ca="1">IFERROR(__xludf.DUMMYFUNCTION("IFERROR(VALUE(REGEXEXTRACT(TO_TEXT($F138), S$1 &amp; ""x(\d+)"")), """")"),"")</f>
        <v/>
      </c>
      <c r="T138" s="9" t="str">
        <f ca="1">IFERROR(__xludf.DUMMYFUNCTION("IFERROR(VALUE(REGEXEXTRACT(TO_TEXT($F138), T$1 &amp; ""x(\d+)"")), """")"),"")</f>
        <v/>
      </c>
      <c r="U138" s="9" t="str">
        <f ca="1">IFERROR(__xludf.DUMMYFUNCTION("IFERROR(VALUE(REGEXEXTRACT(TO_TEXT($F138), U$1 &amp; ""x(\d+)"")), """")"),"")</f>
        <v/>
      </c>
      <c r="V138" s="9" t="str">
        <f ca="1">IFERROR(__xludf.DUMMYFUNCTION("IFERROR(VALUE(REGEXEXTRACT(TO_TEXT($F138), V$1 &amp; ""x(\d+)"")), """")"),"")</f>
        <v/>
      </c>
      <c r="W138" s="9"/>
      <c r="X138" s="9"/>
      <c r="Y138" s="9"/>
      <c r="Z138" s="9"/>
    </row>
    <row r="139" spans="1:26" ht="15.75" customHeight="1">
      <c r="A139" s="9" t="s">
        <v>1177</v>
      </c>
      <c r="B139" s="9" t="s">
        <v>1175</v>
      </c>
      <c r="C139" s="9" t="s">
        <v>562</v>
      </c>
      <c r="D139" s="9" t="s">
        <v>33</v>
      </c>
      <c r="E139" s="9" t="s">
        <v>13</v>
      </c>
      <c r="F139" s="9" t="s">
        <v>1058</v>
      </c>
      <c r="G139" s="9">
        <v>15</v>
      </c>
      <c r="H139" s="9">
        <v>4</v>
      </c>
      <c r="I139" s="9">
        <v>1.0149999999999999</v>
      </c>
      <c r="J139" s="9">
        <v>60</v>
      </c>
      <c r="K139" s="9" t="s">
        <v>499</v>
      </c>
      <c r="L139" s="9"/>
      <c r="M139" s="9"/>
      <c r="N139" s="9" t="str">
        <f ca="1">IFERROR(__xludf.DUMMYFUNCTION("IFERROR(VALUE(REGEXEXTRACT(TO_TEXT($F139), N$1 &amp; ""x(\d+)"")), """")
"),"")</f>
        <v/>
      </c>
      <c r="O139" s="9">
        <f ca="1">IFERROR(__xludf.DUMMYFUNCTION("IFERROR(VALUE(REGEXEXTRACT(TO_TEXT($F139), O$1 &amp; ""x(\d+)"")), """")"),1)</f>
        <v>1</v>
      </c>
      <c r="P139" s="9" t="str">
        <f ca="1">IFERROR(__xludf.DUMMYFUNCTION("IFERROR(VALUE(REGEXEXTRACT(TO_TEXT($F139), P$1 &amp; ""x(\d+)"")), """")"),"")</f>
        <v/>
      </c>
      <c r="Q139" s="9" t="str">
        <f ca="1">IFERROR(__xludf.DUMMYFUNCTION("IFERROR(VALUE(REGEXEXTRACT(TO_TEXT($F139), Q$1 &amp; ""x(\d+)"")), """")"),"")</f>
        <v/>
      </c>
      <c r="R139" s="9" t="str">
        <f ca="1">IFERROR(__xludf.DUMMYFUNCTION("IFERROR(VALUE(REGEXEXTRACT(TO_TEXT($F139), R$1 &amp; ""x(\d+)"")), """")"),"")</f>
        <v/>
      </c>
      <c r="S139" s="9" t="str">
        <f ca="1">IFERROR(__xludf.DUMMYFUNCTION("IFERROR(VALUE(REGEXEXTRACT(TO_TEXT($F139), S$1 &amp; ""x(\d+)"")), """")"),"")</f>
        <v/>
      </c>
      <c r="T139" s="9" t="str">
        <f ca="1">IFERROR(__xludf.DUMMYFUNCTION("IFERROR(VALUE(REGEXEXTRACT(TO_TEXT($F139), T$1 &amp; ""x(\d+)"")), """")"),"")</f>
        <v/>
      </c>
      <c r="U139" s="9" t="str">
        <f ca="1">IFERROR(__xludf.DUMMYFUNCTION("IFERROR(VALUE(REGEXEXTRACT(TO_TEXT($F139), U$1 &amp; ""x(\d+)"")), """")"),"")</f>
        <v/>
      </c>
      <c r="V139" s="9" t="str">
        <f ca="1">IFERROR(__xludf.DUMMYFUNCTION("IFERROR(VALUE(REGEXEXTRACT(TO_TEXT($F139), V$1 &amp; ""x(\d+)"")), """")"),"")</f>
        <v/>
      </c>
      <c r="W139" s="9"/>
      <c r="X139" s="9"/>
      <c r="Y139" s="9"/>
      <c r="Z139" s="9"/>
    </row>
    <row r="140" spans="1:26" ht="15.75" hidden="1" customHeight="1">
      <c r="A140" s="9" t="s">
        <v>1178</v>
      </c>
      <c r="B140" s="9" t="s">
        <v>1179</v>
      </c>
      <c r="C140" s="9" t="s">
        <v>952</v>
      </c>
      <c r="D140" s="9" t="s">
        <v>40</v>
      </c>
      <c r="E140" s="9" t="s">
        <v>11</v>
      </c>
      <c r="F140" s="9" t="s">
        <v>1180</v>
      </c>
      <c r="G140" s="9">
        <v>25</v>
      </c>
      <c r="H140" s="9">
        <v>4</v>
      </c>
      <c r="I140" s="9">
        <v>1.0149999999999999</v>
      </c>
      <c r="J140" s="9">
        <v>400</v>
      </c>
      <c r="K140" s="9" t="s">
        <v>442</v>
      </c>
      <c r="L140" s="9"/>
      <c r="M140" s="9"/>
      <c r="N140" s="9" t="str">
        <f ca="1">IFERROR(__xludf.DUMMYFUNCTION("IFERROR(VALUE(REGEXEXTRACT(TO_TEXT($F140), N$1 &amp; ""x(\d+)"")), """")
"),"")</f>
        <v/>
      </c>
      <c r="O140" s="9" t="str">
        <f ca="1">IFERROR(__xludf.DUMMYFUNCTION("IFERROR(VALUE(REGEXEXTRACT(TO_TEXT($F140), O$1 &amp; ""x(\d+)"")), """")"),"")</f>
        <v/>
      </c>
      <c r="P140" s="9" t="str">
        <f ca="1">IFERROR(__xludf.DUMMYFUNCTION("IFERROR(VALUE(REGEXEXTRACT(TO_TEXT($F140), P$1 &amp; ""x(\d+)"")), """")"),"")</f>
        <v/>
      </c>
      <c r="Q140" s="9" t="str">
        <f ca="1">IFERROR(__xludf.DUMMYFUNCTION("IFERROR(VALUE(REGEXEXTRACT(TO_TEXT($F140), Q$1 &amp; ""x(\d+)"")), """")"),"")</f>
        <v/>
      </c>
      <c r="R140" s="9" t="str">
        <f ca="1">IFERROR(__xludf.DUMMYFUNCTION("IFERROR(VALUE(REGEXEXTRACT(TO_TEXT($F140), R$1 &amp; ""x(\d+)"")), """")"),"")</f>
        <v/>
      </c>
      <c r="S140" s="9" t="str">
        <f ca="1">IFERROR(__xludf.DUMMYFUNCTION("IFERROR(VALUE(REGEXEXTRACT(TO_TEXT($F140), S$1 &amp; ""x(\d+)"")), """")"),"")</f>
        <v/>
      </c>
      <c r="T140" s="9" t="str">
        <f ca="1">IFERROR(__xludf.DUMMYFUNCTION("IFERROR(VALUE(REGEXEXTRACT(TO_TEXT($F140), T$1 &amp; ""x(\d+)"")), """")"),"")</f>
        <v/>
      </c>
      <c r="U140" s="9" t="str">
        <f ca="1">IFERROR(__xludf.DUMMYFUNCTION("IFERROR(VALUE(REGEXEXTRACT(TO_TEXT($F140), U$1 &amp; ""x(\d+)"")), """")"),"")</f>
        <v/>
      </c>
      <c r="V140" s="9" t="str">
        <f ca="1">IFERROR(__xludf.DUMMYFUNCTION("IFERROR(VALUE(REGEXEXTRACT(TO_TEXT($F140), V$1 &amp; ""x(\d+)"")), """")"),"")</f>
        <v/>
      </c>
      <c r="W140" s="9"/>
      <c r="X140" s="9"/>
      <c r="Y140" s="9"/>
      <c r="Z140" s="9"/>
    </row>
    <row r="141" spans="1:26" ht="15.75" hidden="1" customHeight="1">
      <c r="A141" s="9" t="s">
        <v>1178</v>
      </c>
      <c r="B141" s="9" t="s">
        <v>1179</v>
      </c>
      <c r="C141" s="9" t="s">
        <v>952</v>
      </c>
      <c r="D141" s="9" t="s">
        <v>40</v>
      </c>
      <c r="E141" s="9" t="s">
        <v>12</v>
      </c>
      <c r="F141" s="9" t="s">
        <v>1181</v>
      </c>
      <c r="G141" s="9">
        <v>120</v>
      </c>
      <c r="H141" s="9">
        <v>4</v>
      </c>
      <c r="I141" s="9">
        <v>1.0149999999999999</v>
      </c>
      <c r="J141" s="9">
        <v>400</v>
      </c>
      <c r="K141" s="9" t="s">
        <v>442</v>
      </c>
      <c r="L141" s="9" t="s">
        <v>1169</v>
      </c>
      <c r="M141" s="9"/>
      <c r="N141" s="9" t="str">
        <f ca="1">IFERROR(__xludf.DUMMYFUNCTION("IFERROR(VALUE(REGEXEXTRACT(TO_TEXT($F141), N$1 &amp; ""x(\d+)"")), """")
"),"")</f>
        <v/>
      </c>
      <c r="O141" s="9">
        <f ca="1">IFERROR(__xludf.DUMMYFUNCTION("IFERROR(VALUE(REGEXEXTRACT(TO_TEXT($F141), O$1 &amp; ""x(\d+)"")), """")"),1)</f>
        <v>1</v>
      </c>
      <c r="P141" s="9" t="str">
        <f ca="1">IFERROR(__xludf.DUMMYFUNCTION("IFERROR(VALUE(REGEXEXTRACT(TO_TEXT($F141), P$1 &amp; ""x(\d+)"")), """")"),"")</f>
        <v/>
      </c>
      <c r="Q141" s="9" t="str">
        <f ca="1">IFERROR(__xludf.DUMMYFUNCTION("IFERROR(VALUE(REGEXEXTRACT(TO_TEXT($F141), Q$1 &amp; ""x(\d+)"")), """")"),"")</f>
        <v/>
      </c>
      <c r="R141" s="9" t="str">
        <f ca="1">IFERROR(__xludf.DUMMYFUNCTION("IFERROR(VALUE(REGEXEXTRACT(TO_TEXT($F141), R$1 &amp; ""x(\d+)"")), """")"),"")</f>
        <v/>
      </c>
      <c r="S141" s="9">
        <f ca="1">IFERROR(__xludf.DUMMYFUNCTION("IFERROR(VALUE(REGEXEXTRACT(TO_TEXT($F141), S$1 &amp; ""x(\d+)"")), """")"),1)</f>
        <v>1</v>
      </c>
      <c r="T141" s="9" t="str">
        <f ca="1">IFERROR(__xludf.DUMMYFUNCTION("IFERROR(VALUE(REGEXEXTRACT(TO_TEXT($F141), T$1 &amp; ""x(\d+)"")), """")"),"")</f>
        <v/>
      </c>
      <c r="U141" s="9" t="str">
        <f ca="1">IFERROR(__xludf.DUMMYFUNCTION("IFERROR(VALUE(REGEXEXTRACT(TO_TEXT($F141), U$1 &amp; ""x(\d+)"")), """")"),"")</f>
        <v/>
      </c>
      <c r="V141" s="9" t="str">
        <f ca="1">IFERROR(__xludf.DUMMYFUNCTION("IFERROR(VALUE(REGEXEXTRACT(TO_TEXT($F141), V$1 &amp; ""x(\d+)"")), """")"),"")</f>
        <v/>
      </c>
      <c r="W141" s="9"/>
      <c r="X141" s="9"/>
      <c r="Y141" s="9"/>
      <c r="Z141" s="9"/>
    </row>
    <row r="142" spans="1:26" ht="15.75" hidden="1" customHeight="1">
      <c r="A142" s="9" t="s">
        <v>1178</v>
      </c>
      <c r="B142" s="9" t="s">
        <v>1179</v>
      </c>
      <c r="C142" s="9" t="s">
        <v>952</v>
      </c>
      <c r="D142" s="9" t="s">
        <v>40</v>
      </c>
      <c r="E142" s="9" t="s">
        <v>13</v>
      </c>
      <c r="F142" s="9" t="s">
        <v>1182</v>
      </c>
      <c r="G142" s="9">
        <v>30</v>
      </c>
      <c r="H142" s="9">
        <v>4</v>
      </c>
      <c r="I142" s="9">
        <v>1.0149999999999999</v>
      </c>
      <c r="J142" s="9">
        <v>400</v>
      </c>
      <c r="K142" s="9" t="s">
        <v>442</v>
      </c>
      <c r="L142" s="9"/>
      <c r="M142" s="9"/>
      <c r="N142" s="9" t="str">
        <f ca="1">IFERROR(__xludf.DUMMYFUNCTION("IFERROR(VALUE(REGEXEXTRACT(TO_TEXT($F142), N$1 &amp; ""x(\d+)"")), """")
"),"")</f>
        <v/>
      </c>
      <c r="O142" s="9">
        <f ca="1">IFERROR(__xludf.DUMMYFUNCTION("IFERROR(VALUE(REGEXEXTRACT(TO_TEXT($F142), O$1 &amp; ""x(\d+)"")), """")"),1)</f>
        <v>1</v>
      </c>
      <c r="P142" s="9" t="str">
        <f ca="1">IFERROR(__xludf.DUMMYFUNCTION("IFERROR(VALUE(REGEXEXTRACT(TO_TEXT($F142), P$1 &amp; ""x(\d+)"")), """")"),"")</f>
        <v/>
      </c>
      <c r="Q142" s="9" t="str">
        <f ca="1">IFERROR(__xludf.DUMMYFUNCTION("IFERROR(VALUE(REGEXEXTRACT(TO_TEXT($F142), Q$1 &amp; ""x(\d+)"")), """")"),"")</f>
        <v/>
      </c>
      <c r="R142" s="9" t="str">
        <f ca="1">IFERROR(__xludf.DUMMYFUNCTION("IFERROR(VALUE(REGEXEXTRACT(TO_TEXT($F142), R$1 &amp; ""x(\d+)"")), """")"),"")</f>
        <v/>
      </c>
      <c r="S142" s="9">
        <f ca="1">IFERROR(__xludf.DUMMYFUNCTION("IFERROR(VALUE(REGEXEXTRACT(TO_TEXT($F142), S$1 &amp; ""x(\d+)"")), """")"),1)</f>
        <v>1</v>
      </c>
      <c r="T142" s="9" t="str">
        <f ca="1">IFERROR(__xludf.DUMMYFUNCTION("IFERROR(VALUE(REGEXEXTRACT(TO_TEXT($F142), T$1 &amp; ""x(\d+)"")), """")"),"")</f>
        <v/>
      </c>
      <c r="U142" s="9" t="str">
        <f ca="1">IFERROR(__xludf.DUMMYFUNCTION("IFERROR(VALUE(REGEXEXTRACT(TO_TEXT($F142), U$1 &amp; ""x(\d+)"")), """")"),"")</f>
        <v/>
      </c>
      <c r="V142" s="9" t="str">
        <f ca="1">IFERROR(__xludf.DUMMYFUNCTION("IFERROR(VALUE(REGEXEXTRACT(TO_TEXT($F142), V$1 &amp; ""x(\d+)"")), """")"),"")</f>
        <v/>
      </c>
      <c r="W142" s="9"/>
      <c r="X142" s="9"/>
      <c r="Y142" s="9"/>
      <c r="Z142" s="9"/>
    </row>
    <row r="143" spans="1:26" ht="15.75" hidden="1" customHeight="1">
      <c r="A143" s="9" t="s">
        <v>68</v>
      </c>
      <c r="B143" s="9" t="s">
        <v>1183</v>
      </c>
      <c r="C143" s="9" t="s">
        <v>69</v>
      </c>
      <c r="D143" s="9" t="s">
        <v>40</v>
      </c>
      <c r="E143" s="9" t="s">
        <v>11</v>
      </c>
      <c r="F143" s="9" t="s">
        <v>1180</v>
      </c>
      <c r="G143" s="9">
        <v>25</v>
      </c>
      <c r="H143" s="9">
        <v>4</v>
      </c>
      <c r="I143" s="9">
        <v>1.0149999999999999</v>
      </c>
      <c r="J143" s="9">
        <v>400</v>
      </c>
      <c r="K143" s="9" t="s">
        <v>442</v>
      </c>
      <c r="L143" s="9"/>
      <c r="M143" s="9"/>
      <c r="N143" s="9" t="str">
        <f ca="1">IFERROR(__xludf.DUMMYFUNCTION("IFERROR(VALUE(REGEXEXTRACT(TO_TEXT($F143), N$1 &amp; ""x(\d+)"")), """")
"),"")</f>
        <v/>
      </c>
      <c r="O143" s="9" t="str">
        <f ca="1">IFERROR(__xludf.DUMMYFUNCTION("IFERROR(VALUE(REGEXEXTRACT(TO_TEXT($F143), O$1 &amp; ""x(\d+)"")), """")"),"")</f>
        <v/>
      </c>
      <c r="P143" s="9" t="str">
        <f ca="1">IFERROR(__xludf.DUMMYFUNCTION("IFERROR(VALUE(REGEXEXTRACT(TO_TEXT($F143), P$1 &amp; ""x(\d+)"")), """")"),"")</f>
        <v/>
      </c>
      <c r="Q143" s="9" t="str">
        <f ca="1">IFERROR(__xludf.DUMMYFUNCTION("IFERROR(VALUE(REGEXEXTRACT(TO_TEXT($F143), Q$1 &amp; ""x(\d+)"")), """")"),"")</f>
        <v/>
      </c>
      <c r="R143" s="9" t="str">
        <f ca="1">IFERROR(__xludf.DUMMYFUNCTION("IFERROR(VALUE(REGEXEXTRACT(TO_TEXT($F143), R$1 &amp; ""x(\d+)"")), """")"),"")</f>
        <v/>
      </c>
      <c r="S143" s="9" t="str">
        <f ca="1">IFERROR(__xludf.DUMMYFUNCTION("IFERROR(VALUE(REGEXEXTRACT(TO_TEXT($F143), S$1 &amp; ""x(\d+)"")), """")"),"")</f>
        <v/>
      </c>
      <c r="T143" s="9" t="str">
        <f ca="1">IFERROR(__xludf.DUMMYFUNCTION("IFERROR(VALUE(REGEXEXTRACT(TO_TEXT($F143), T$1 &amp; ""x(\d+)"")), """")"),"")</f>
        <v/>
      </c>
      <c r="U143" s="9" t="str">
        <f ca="1">IFERROR(__xludf.DUMMYFUNCTION("IFERROR(VALUE(REGEXEXTRACT(TO_TEXT($F143), U$1 &amp; ""x(\d+)"")), """")"),"")</f>
        <v/>
      </c>
      <c r="V143" s="9" t="str">
        <f ca="1">IFERROR(__xludf.DUMMYFUNCTION("IFERROR(VALUE(REGEXEXTRACT(TO_TEXT($F143), V$1 &amp; ""x(\d+)"")), """")"),"")</f>
        <v/>
      </c>
      <c r="W143" s="9"/>
      <c r="X143" s="9"/>
      <c r="Y143" s="9"/>
      <c r="Z143" s="9"/>
    </row>
    <row r="144" spans="1:26" ht="15.75" hidden="1" customHeight="1">
      <c r="A144" s="9" t="s">
        <v>68</v>
      </c>
      <c r="B144" s="9" t="s">
        <v>1183</v>
      </c>
      <c r="C144" s="9" t="s">
        <v>69</v>
      </c>
      <c r="D144" s="9" t="s">
        <v>40</v>
      </c>
      <c r="E144" s="9" t="s">
        <v>12</v>
      </c>
      <c r="F144" s="9" t="s">
        <v>1181</v>
      </c>
      <c r="G144" s="9">
        <v>120</v>
      </c>
      <c r="H144" s="9">
        <v>4</v>
      </c>
      <c r="I144" s="9">
        <v>1.0149999999999999</v>
      </c>
      <c r="J144" s="9">
        <v>400</v>
      </c>
      <c r="K144" s="9" t="s">
        <v>442</v>
      </c>
      <c r="L144" s="9"/>
      <c r="M144" s="9"/>
      <c r="N144" s="9" t="str">
        <f ca="1">IFERROR(__xludf.DUMMYFUNCTION("IFERROR(VALUE(REGEXEXTRACT(TO_TEXT($F144), N$1 &amp; ""x(\d+)"")), """")
"),"")</f>
        <v/>
      </c>
      <c r="O144" s="9">
        <f ca="1">IFERROR(__xludf.DUMMYFUNCTION("IFERROR(VALUE(REGEXEXTRACT(TO_TEXT($F144), O$1 &amp; ""x(\d+)"")), """")"),1)</f>
        <v>1</v>
      </c>
      <c r="P144" s="9" t="str">
        <f ca="1">IFERROR(__xludf.DUMMYFUNCTION("IFERROR(VALUE(REGEXEXTRACT(TO_TEXT($F144), P$1 &amp; ""x(\d+)"")), """")"),"")</f>
        <v/>
      </c>
      <c r="Q144" s="9" t="str">
        <f ca="1">IFERROR(__xludf.DUMMYFUNCTION("IFERROR(VALUE(REGEXEXTRACT(TO_TEXT($F144), Q$1 &amp; ""x(\d+)"")), """")"),"")</f>
        <v/>
      </c>
      <c r="R144" s="9" t="str">
        <f ca="1">IFERROR(__xludf.DUMMYFUNCTION("IFERROR(VALUE(REGEXEXTRACT(TO_TEXT($F144), R$1 &amp; ""x(\d+)"")), """")"),"")</f>
        <v/>
      </c>
      <c r="S144" s="9">
        <f ca="1">IFERROR(__xludf.DUMMYFUNCTION("IFERROR(VALUE(REGEXEXTRACT(TO_TEXT($F144), S$1 &amp; ""x(\d+)"")), """")"),1)</f>
        <v>1</v>
      </c>
      <c r="T144" s="9" t="str">
        <f ca="1">IFERROR(__xludf.DUMMYFUNCTION("IFERROR(VALUE(REGEXEXTRACT(TO_TEXT($F144), T$1 &amp; ""x(\d+)"")), """")"),"")</f>
        <v/>
      </c>
      <c r="U144" s="9" t="str">
        <f ca="1">IFERROR(__xludf.DUMMYFUNCTION("IFERROR(VALUE(REGEXEXTRACT(TO_TEXT($F144), U$1 &amp; ""x(\d+)"")), """")"),"")</f>
        <v/>
      </c>
      <c r="V144" s="9" t="str">
        <f ca="1">IFERROR(__xludf.DUMMYFUNCTION("IFERROR(VALUE(REGEXEXTRACT(TO_TEXT($F144), V$1 &amp; ""x(\d+)"")), """")"),"")</f>
        <v/>
      </c>
      <c r="W144" s="9"/>
      <c r="X144" s="9"/>
      <c r="Y144" s="9"/>
      <c r="Z144" s="9"/>
    </row>
    <row r="145" spans="1:26" ht="15.75" hidden="1" customHeight="1">
      <c r="A145" s="9" t="s">
        <v>68</v>
      </c>
      <c r="B145" s="9" t="s">
        <v>1183</v>
      </c>
      <c r="C145" s="9" t="s">
        <v>69</v>
      </c>
      <c r="D145" s="9" t="s">
        <v>40</v>
      </c>
      <c r="E145" s="9" t="s">
        <v>13</v>
      </c>
      <c r="F145" s="9" t="s">
        <v>1182</v>
      </c>
      <c r="G145" s="9">
        <v>30</v>
      </c>
      <c r="H145" s="9">
        <v>4</v>
      </c>
      <c r="I145" s="9">
        <v>1.0149999999999999</v>
      </c>
      <c r="J145" s="9">
        <v>400</v>
      </c>
      <c r="K145" s="9" t="s">
        <v>442</v>
      </c>
      <c r="L145" s="9"/>
      <c r="M145" s="9"/>
      <c r="N145" s="9" t="str">
        <f ca="1">IFERROR(__xludf.DUMMYFUNCTION("IFERROR(VALUE(REGEXEXTRACT(TO_TEXT($F145), N$1 &amp; ""x(\d+)"")), """")
"),"")</f>
        <v/>
      </c>
      <c r="O145" s="9">
        <f ca="1">IFERROR(__xludf.DUMMYFUNCTION("IFERROR(VALUE(REGEXEXTRACT(TO_TEXT($F145), O$1 &amp; ""x(\d+)"")), """")"),1)</f>
        <v>1</v>
      </c>
      <c r="P145" s="9" t="str">
        <f ca="1">IFERROR(__xludf.DUMMYFUNCTION("IFERROR(VALUE(REGEXEXTRACT(TO_TEXT($F145), P$1 &amp; ""x(\d+)"")), """")"),"")</f>
        <v/>
      </c>
      <c r="Q145" s="9" t="str">
        <f ca="1">IFERROR(__xludf.DUMMYFUNCTION("IFERROR(VALUE(REGEXEXTRACT(TO_TEXT($F145), Q$1 &amp; ""x(\d+)"")), """")"),"")</f>
        <v/>
      </c>
      <c r="R145" s="9" t="str">
        <f ca="1">IFERROR(__xludf.DUMMYFUNCTION("IFERROR(VALUE(REGEXEXTRACT(TO_TEXT($F145), R$1 &amp; ""x(\d+)"")), """")"),"")</f>
        <v/>
      </c>
      <c r="S145" s="9">
        <f ca="1">IFERROR(__xludf.DUMMYFUNCTION("IFERROR(VALUE(REGEXEXTRACT(TO_TEXT($F145), S$1 &amp; ""x(\d+)"")), """")"),1)</f>
        <v>1</v>
      </c>
      <c r="T145" s="9" t="str">
        <f ca="1">IFERROR(__xludf.DUMMYFUNCTION("IFERROR(VALUE(REGEXEXTRACT(TO_TEXT($F145), T$1 &amp; ""x(\d+)"")), """")"),"")</f>
        <v/>
      </c>
      <c r="U145" s="9" t="str">
        <f ca="1">IFERROR(__xludf.DUMMYFUNCTION("IFERROR(VALUE(REGEXEXTRACT(TO_TEXT($F145), U$1 &amp; ""x(\d+)"")), """")"),"")</f>
        <v/>
      </c>
      <c r="V145" s="9" t="str">
        <f ca="1">IFERROR(__xludf.DUMMYFUNCTION("IFERROR(VALUE(REGEXEXTRACT(TO_TEXT($F145), V$1 &amp; ""x(\d+)"")), """")"),"")</f>
        <v/>
      </c>
      <c r="W145" s="9"/>
      <c r="X145" s="9"/>
      <c r="Y145" s="9"/>
      <c r="Z145" s="9"/>
    </row>
    <row r="146" spans="1:26" ht="15.75" customHeight="1">
      <c r="A146" s="9" t="s">
        <v>1184</v>
      </c>
      <c r="B146" s="9" t="s">
        <v>1185</v>
      </c>
      <c r="C146" s="9" t="s">
        <v>996</v>
      </c>
      <c r="D146" s="9" t="s">
        <v>33</v>
      </c>
      <c r="E146" s="9" t="s">
        <v>11</v>
      </c>
      <c r="F146" s="9" t="s">
        <v>1186</v>
      </c>
      <c r="G146" s="9">
        <v>95</v>
      </c>
      <c r="H146" s="9">
        <v>4</v>
      </c>
      <c r="I146" s="9">
        <v>1.0149999999999999</v>
      </c>
      <c r="J146" s="9">
        <v>62</v>
      </c>
      <c r="K146" s="9" t="s">
        <v>442</v>
      </c>
      <c r="L146" s="9"/>
      <c r="M146" s="9"/>
      <c r="N146" s="9">
        <f ca="1">IFERROR(__xludf.DUMMYFUNCTION("IFERROR(VALUE(REGEXEXTRACT(TO_TEXT($F146), N$1 &amp; ""x(\d+)"")), """")
"),1)</f>
        <v>1</v>
      </c>
      <c r="O146" s="9">
        <f ca="1">IFERROR(__xludf.DUMMYFUNCTION("IFERROR(VALUE(REGEXEXTRACT(TO_TEXT($F146), O$1 &amp; ""x(\d+)"")), """")"),1)</f>
        <v>1</v>
      </c>
      <c r="P146" s="9" t="str">
        <f ca="1">IFERROR(__xludf.DUMMYFUNCTION("IFERROR(VALUE(REGEXEXTRACT(TO_TEXT($F146), P$1 &amp; ""x(\d+)"")), """")"),"")</f>
        <v/>
      </c>
      <c r="Q146" s="9" t="str">
        <f ca="1">IFERROR(__xludf.DUMMYFUNCTION("IFERROR(VALUE(REGEXEXTRACT(TO_TEXT($F146), Q$1 &amp; ""x(\d+)"")), """")"),"")</f>
        <v/>
      </c>
      <c r="R146" s="9" t="str">
        <f ca="1">IFERROR(__xludf.DUMMYFUNCTION("IFERROR(VALUE(REGEXEXTRACT(TO_TEXT($F146), R$1 &amp; ""x(\d+)"")), """")"),"")</f>
        <v/>
      </c>
      <c r="S146" s="9" t="str">
        <f ca="1">IFERROR(__xludf.DUMMYFUNCTION("IFERROR(VALUE(REGEXEXTRACT(TO_TEXT($F146), S$1 &amp; ""x(\d+)"")), """")"),"")</f>
        <v/>
      </c>
      <c r="T146" s="9" t="str">
        <f ca="1">IFERROR(__xludf.DUMMYFUNCTION("IFERROR(VALUE(REGEXEXTRACT(TO_TEXT($F146), T$1 &amp; ""x(\d+)"")), """")"),"")</f>
        <v/>
      </c>
      <c r="U146" s="9" t="str">
        <f ca="1">IFERROR(__xludf.DUMMYFUNCTION("IFERROR(VALUE(REGEXEXTRACT(TO_TEXT($F146), U$1 &amp; ""x(\d+)"")), """")"),"")</f>
        <v/>
      </c>
      <c r="V146" s="9" t="str">
        <f ca="1">IFERROR(__xludf.DUMMYFUNCTION("IFERROR(VALUE(REGEXEXTRACT(TO_TEXT($F146), V$1 &amp; ""x(\d+)"")), """")"),"")</f>
        <v/>
      </c>
      <c r="W146" s="9"/>
      <c r="X146" s="9"/>
      <c r="Y146" s="9"/>
      <c r="Z146" s="9"/>
    </row>
    <row r="147" spans="1:26" ht="15.75" customHeight="1">
      <c r="A147" s="9" t="s">
        <v>1184</v>
      </c>
      <c r="B147" s="9" t="s">
        <v>1185</v>
      </c>
      <c r="C147" s="9" t="s">
        <v>996</v>
      </c>
      <c r="D147" s="9" t="s">
        <v>33</v>
      </c>
      <c r="E147" s="9" t="s">
        <v>12</v>
      </c>
      <c r="F147" s="9" t="s">
        <v>1187</v>
      </c>
      <c r="G147" s="9">
        <v>80</v>
      </c>
      <c r="H147" s="9">
        <v>4</v>
      </c>
      <c r="I147" s="9">
        <v>1.0149999999999999</v>
      </c>
      <c r="J147" s="9">
        <v>62</v>
      </c>
      <c r="K147" s="9" t="s">
        <v>442</v>
      </c>
      <c r="L147" s="9"/>
      <c r="M147" s="9"/>
      <c r="N147" s="9" t="str">
        <f ca="1">IFERROR(__xludf.DUMMYFUNCTION("IFERROR(VALUE(REGEXEXTRACT(TO_TEXT($F147), N$1 &amp; ""x(\d+)"")), """")
"),"")</f>
        <v/>
      </c>
      <c r="O147" s="9">
        <f ca="1">IFERROR(__xludf.DUMMYFUNCTION("IFERROR(VALUE(REGEXEXTRACT(TO_TEXT($F147), O$1 &amp; ""x(\d+)"")), """")"),1)</f>
        <v>1</v>
      </c>
      <c r="P147" s="9" t="str">
        <f ca="1">IFERROR(__xludf.DUMMYFUNCTION("IFERROR(VALUE(REGEXEXTRACT(TO_TEXT($F147), P$1 &amp; ""x(\d+)"")), """")"),"")</f>
        <v/>
      </c>
      <c r="Q147" s="9" t="str">
        <f ca="1">IFERROR(__xludf.DUMMYFUNCTION("IFERROR(VALUE(REGEXEXTRACT(TO_TEXT($F147), Q$1 &amp; ""x(\d+)"")), """")"),"")</f>
        <v/>
      </c>
      <c r="R147" s="9" t="str">
        <f ca="1">IFERROR(__xludf.DUMMYFUNCTION("IFERROR(VALUE(REGEXEXTRACT(TO_TEXT($F147), R$1 &amp; ""x(\d+)"")), """")"),"")</f>
        <v/>
      </c>
      <c r="S147" s="9" t="str">
        <f ca="1">IFERROR(__xludf.DUMMYFUNCTION("IFERROR(VALUE(REGEXEXTRACT(TO_TEXT($F147), S$1 &amp; ""x(\d+)"")), """")"),"")</f>
        <v/>
      </c>
      <c r="T147" s="9" t="str">
        <f ca="1">IFERROR(__xludf.DUMMYFUNCTION("IFERROR(VALUE(REGEXEXTRACT(TO_TEXT($F147), T$1 &amp; ""x(\d+)"")), """")"),"")</f>
        <v/>
      </c>
      <c r="U147" s="9" t="str">
        <f ca="1">IFERROR(__xludf.DUMMYFUNCTION("IFERROR(VALUE(REGEXEXTRACT(TO_TEXT($F147), U$1 &amp; ""x(\d+)"")), """")"),"")</f>
        <v/>
      </c>
      <c r="V147" s="9" t="str">
        <f ca="1">IFERROR(__xludf.DUMMYFUNCTION("IFERROR(VALUE(REGEXEXTRACT(TO_TEXT($F147), V$1 &amp; ""x(\d+)"")), """")"),"")</f>
        <v/>
      </c>
      <c r="W147" s="9"/>
      <c r="X147" s="9"/>
      <c r="Y147" s="9"/>
      <c r="Z147" s="9"/>
    </row>
    <row r="148" spans="1:26" ht="15.75" customHeight="1">
      <c r="A148" s="9" t="s">
        <v>1184</v>
      </c>
      <c r="B148" s="9" t="s">
        <v>1185</v>
      </c>
      <c r="C148" s="9" t="s">
        <v>996</v>
      </c>
      <c r="D148" s="9" t="s">
        <v>33</v>
      </c>
      <c r="E148" s="9" t="s">
        <v>13</v>
      </c>
      <c r="F148" s="9" t="s">
        <v>1188</v>
      </c>
      <c r="G148" s="9">
        <v>30</v>
      </c>
      <c r="H148" s="9">
        <v>4</v>
      </c>
      <c r="I148" s="9">
        <v>1.0149999999999999</v>
      </c>
      <c r="J148" s="9">
        <v>62</v>
      </c>
      <c r="K148" s="9" t="s">
        <v>442</v>
      </c>
      <c r="L148" s="9"/>
      <c r="M148" s="9"/>
      <c r="N148" s="9" t="str">
        <f ca="1">IFERROR(__xludf.DUMMYFUNCTION("IFERROR(VALUE(REGEXEXTRACT(TO_TEXT($F148), N$1 &amp; ""x(\d+)"")), """")
"),"")</f>
        <v/>
      </c>
      <c r="O148" s="9">
        <f ca="1">IFERROR(__xludf.DUMMYFUNCTION("IFERROR(VALUE(REGEXEXTRACT(TO_TEXT($F148), O$1 &amp; ""x(\d+)"")), """")"),1)</f>
        <v>1</v>
      </c>
      <c r="P148" s="9" t="str">
        <f ca="1">IFERROR(__xludf.DUMMYFUNCTION("IFERROR(VALUE(REGEXEXTRACT(TO_TEXT($F148), P$1 &amp; ""x(\d+)"")), """")"),"")</f>
        <v/>
      </c>
      <c r="Q148" s="9" t="str">
        <f ca="1">IFERROR(__xludf.DUMMYFUNCTION("IFERROR(VALUE(REGEXEXTRACT(TO_TEXT($F148), Q$1 &amp; ""x(\d+)"")), """")"),"")</f>
        <v/>
      </c>
      <c r="R148" s="9" t="str">
        <f ca="1">IFERROR(__xludf.DUMMYFUNCTION("IFERROR(VALUE(REGEXEXTRACT(TO_TEXT($F148), R$1 &amp; ""x(\d+)"")), """")"),"")</f>
        <v/>
      </c>
      <c r="S148" s="9" t="str">
        <f ca="1">IFERROR(__xludf.DUMMYFUNCTION("IFERROR(VALUE(REGEXEXTRACT(TO_TEXT($F148), S$1 &amp; ""x(\d+)"")), """")"),"")</f>
        <v/>
      </c>
      <c r="T148" s="9" t="str">
        <f ca="1">IFERROR(__xludf.DUMMYFUNCTION("IFERROR(VALUE(REGEXEXTRACT(TO_TEXT($F148), T$1 &amp; ""x(\d+)"")), """")"),"")</f>
        <v/>
      </c>
      <c r="U148" s="9" t="str">
        <f ca="1">IFERROR(__xludf.DUMMYFUNCTION("IFERROR(VALUE(REGEXEXTRACT(TO_TEXT($F148), U$1 &amp; ""x(\d+)"")), """")"),"")</f>
        <v/>
      </c>
      <c r="V148" s="9" t="str">
        <f ca="1">IFERROR(__xludf.DUMMYFUNCTION("IFERROR(VALUE(REGEXEXTRACT(TO_TEXT($F148), V$1 &amp; ""x(\d+)"")), """")"),"")</f>
        <v/>
      </c>
      <c r="W148" s="9"/>
      <c r="X148" s="9"/>
      <c r="Y148" s="9"/>
      <c r="Z148" s="9"/>
    </row>
    <row r="149" spans="1:26" ht="15.75" customHeight="1">
      <c r="A149" s="9" t="s">
        <v>1189</v>
      </c>
      <c r="B149" s="9" t="s">
        <v>1190</v>
      </c>
      <c r="C149" s="9" t="s">
        <v>1191</v>
      </c>
      <c r="D149" s="9" t="s">
        <v>33</v>
      </c>
      <c r="E149" s="9" t="s">
        <v>12</v>
      </c>
      <c r="F149" s="9" t="s">
        <v>1192</v>
      </c>
      <c r="G149" s="9">
        <v>40</v>
      </c>
      <c r="H149" s="9">
        <v>3</v>
      </c>
      <c r="I149" s="9">
        <v>1.0149999999999999</v>
      </c>
      <c r="J149" s="9">
        <v>95</v>
      </c>
      <c r="K149" s="9" t="s">
        <v>499</v>
      </c>
      <c r="L149" s="9"/>
      <c r="M149" s="9"/>
      <c r="N149" s="9" t="str">
        <f ca="1">IFERROR(__xludf.DUMMYFUNCTION("IFERROR(VALUE(REGEXEXTRACT(TO_TEXT($F149), N$1 &amp; ""x(\d+)"")), """")
"),"")</f>
        <v/>
      </c>
      <c r="O149" s="9">
        <f ca="1">IFERROR(__xludf.DUMMYFUNCTION("IFERROR(VALUE(REGEXEXTRACT(TO_TEXT($F149), O$1 &amp; ""x(\d+)"")), """")"),1)</f>
        <v>1</v>
      </c>
      <c r="P149" s="9" t="str">
        <f ca="1">IFERROR(__xludf.DUMMYFUNCTION("IFERROR(VALUE(REGEXEXTRACT(TO_TEXT($F149), P$1 &amp; ""x(\d+)"")), """")"),"")</f>
        <v/>
      </c>
      <c r="Q149" s="9" t="str">
        <f ca="1">IFERROR(__xludf.DUMMYFUNCTION("IFERROR(VALUE(REGEXEXTRACT(TO_TEXT($F149), Q$1 &amp; ""x(\d+)"")), """")"),"")</f>
        <v/>
      </c>
      <c r="R149" s="9" t="str">
        <f ca="1">IFERROR(__xludf.DUMMYFUNCTION("IFERROR(VALUE(REGEXEXTRACT(TO_TEXT($F149), R$1 &amp; ""x(\d+)"")), """")"),"")</f>
        <v/>
      </c>
      <c r="S149" s="9" t="str">
        <f ca="1">IFERROR(__xludf.DUMMYFUNCTION("IFERROR(VALUE(REGEXEXTRACT(TO_TEXT($F149), S$1 &amp; ""x(\d+)"")), """")"),"")</f>
        <v/>
      </c>
      <c r="T149" s="9" t="str">
        <f ca="1">IFERROR(__xludf.DUMMYFUNCTION("IFERROR(VALUE(REGEXEXTRACT(TO_TEXT($F149), T$1 &amp; ""x(\d+)"")), """")"),"")</f>
        <v/>
      </c>
      <c r="U149" s="9" t="str">
        <f ca="1">IFERROR(__xludf.DUMMYFUNCTION("IFERROR(VALUE(REGEXEXTRACT(TO_TEXT($F149), U$1 &amp; ""x(\d+)"")), """")"),"")</f>
        <v/>
      </c>
      <c r="V149" s="9" t="str">
        <f ca="1">IFERROR(__xludf.DUMMYFUNCTION("IFERROR(VALUE(REGEXEXTRACT(TO_TEXT($F149), V$1 &amp; ""x(\d+)"")), """")"),"")</f>
        <v/>
      </c>
      <c r="W149" s="9"/>
      <c r="X149" s="9"/>
      <c r="Y149" s="9"/>
      <c r="Z149" s="9"/>
    </row>
    <row r="150" spans="1:26" ht="15.75" customHeight="1">
      <c r="A150" s="9" t="s">
        <v>1189</v>
      </c>
      <c r="B150" s="9" t="s">
        <v>1190</v>
      </c>
      <c r="C150" s="9" t="s">
        <v>1191</v>
      </c>
      <c r="D150" s="9" t="s">
        <v>33</v>
      </c>
      <c r="E150" s="9" t="s">
        <v>13</v>
      </c>
      <c r="F150" s="9" t="s">
        <v>1193</v>
      </c>
      <c r="G150" s="9">
        <v>10</v>
      </c>
      <c r="H150" s="9">
        <v>3</v>
      </c>
      <c r="I150" s="9">
        <v>1.0149999999999999</v>
      </c>
      <c r="J150" s="9">
        <v>95</v>
      </c>
      <c r="K150" s="9" t="s">
        <v>499</v>
      </c>
      <c r="L150" s="9"/>
      <c r="M150" s="9"/>
      <c r="N150" s="9" t="str">
        <f ca="1">IFERROR(__xludf.DUMMYFUNCTION("IFERROR(VALUE(REGEXEXTRACT(TO_TEXT($F150), N$1 &amp; ""x(\d+)"")), """")
"),"")</f>
        <v/>
      </c>
      <c r="O150" s="9">
        <f ca="1">IFERROR(__xludf.DUMMYFUNCTION("IFERROR(VALUE(REGEXEXTRACT(TO_TEXT($F150), O$1 &amp; ""x(\d+)"")), """")"),1)</f>
        <v>1</v>
      </c>
      <c r="P150" s="9" t="str">
        <f ca="1">IFERROR(__xludf.DUMMYFUNCTION("IFERROR(VALUE(REGEXEXTRACT(TO_TEXT($F150), P$1 &amp; ""x(\d+)"")), """")"),"")</f>
        <v/>
      </c>
      <c r="Q150" s="9" t="str">
        <f ca="1">IFERROR(__xludf.DUMMYFUNCTION("IFERROR(VALUE(REGEXEXTRACT(TO_TEXT($F150), Q$1 &amp; ""x(\d+)"")), """")"),"")</f>
        <v/>
      </c>
      <c r="R150" s="9" t="str">
        <f ca="1">IFERROR(__xludf.DUMMYFUNCTION("IFERROR(VALUE(REGEXEXTRACT(TO_TEXT($F150), R$1 &amp; ""x(\d+)"")), """")"),"")</f>
        <v/>
      </c>
      <c r="S150" s="9" t="str">
        <f ca="1">IFERROR(__xludf.DUMMYFUNCTION("IFERROR(VALUE(REGEXEXTRACT(TO_TEXT($F150), S$1 &amp; ""x(\d+)"")), """")"),"")</f>
        <v/>
      </c>
      <c r="T150" s="9" t="str">
        <f ca="1">IFERROR(__xludf.DUMMYFUNCTION("IFERROR(VALUE(REGEXEXTRACT(TO_TEXT($F150), T$1 &amp; ""x(\d+)"")), """")"),"")</f>
        <v/>
      </c>
      <c r="U150" s="9" t="str">
        <f ca="1">IFERROR(__xludf.DUMMYFUNCTION("IFERROR(VALUE(REGEXEXTRACT(TO_TEXT($F150), U$1 &amp; ""x(\d+)"")), """")"),"")</f>
        <v/>
      </c>
      <c r="V150" s="9" t="str">
        <f ca="1">IFERROR(__xludf.DUMMYFUNCTION("IFERROR(VALUE(REGEXEXTRACT(TO_TEXT($F150), V$1 &amp; ""x(\d+)"")), """")"),"")</f>
        <v/>
      </c>
      <c r="W150" s="9"/>
      <c r="X150" s="9"/>
      <c r="Y150" s="9"/>
      <c r="Z150" s="9"/>
    </row>
    <row r="151" spans="1:26" ht="15.75" customHeight="1">
      <c r="A151" s="9" t="s">
        <v>1194</v>
      </c>
      <c r="B151" s="9" t="s">
        <v>1195</v>
      </c>
      <c r="C151" s="9" t="s">
        <v>221</v>
      </c>
      <c r="D151" s="9" t="s">
        <v>33</v>
      </c>
      <c r="E151" s="9" t="s">
        <v>11</v>
      </c>
      <c r="F151" s="9" t="s">
        <v>1084</v>
      </c>
      <c r="G151" s="9">
        <v>50</v>
      </c>
      <c r="H151" s="9">
        <v>5</v>
      </c>
      <c r="I151" s="9">
        <v>1.0149999999999999</v>
      </c>
      <c r="J151" s="9">
        <v>100</v>
      </c>
      <c r="K151" s="9" t="s">
        <v>442</v>
      </c>
      <c r="L151" s="9"/>
      <c r="M151" s="9"/>
      <c r="N151" s="9" t="str">
        <f ca="1">IFERROR(__xludf.DUMMYFUNCTION("IFERROR(VALUE(REGEXEXTRACT(TO_TEXT($F151), N$1 &amp; ""x(\d+)"")), """")
"),"")</f>
        <v/>
      </c>
      <c r="O151" s="9">
        <f ca="1">IFERROR(__xludf.DUMMYFUNCTION("IFERROR(VALUE(REGEXEXTRACT(TO_TEXT($F151), O$1 &amp; ""x(\d+)"")), """")"),1)</f>
        <v>1</v>
      </c>
      <c r="P151" s="9" t="str">
        <f ca="1">IFERROR(__xludf.DUMMYFUNCTION("IFERROR(VALUE(REGEXEXTRACT(TO_TEXT($F151), P$1 &amp; ""x(\d+)"")), """")"),"")</f>
        <v/>
      </c>
      <c r="Q151" s="9" t="str">
        <f ca="1">IFERROR(__xludf.DUMMYFUNCTION("IFERROR(VALUE(REGEXEXTRACT(TO_TEXT($F151), Q$1 &amp; ""x(\d+)"")), """")"),"")</f>
        <v/>
      </c>
      <c r="R151" s="9" t="str">
        <f ca="1">IFERROR(__xludf.DUMMYFUNCTION("IFERROR(VALUE(REGEXEXTRACT(TO_TEXT($F151), R$1 &amp; ""x(\d+)"")), """")"),"")</f>
        <v/>
      </c>
      <c r="S151" s="9" t="str">
        <f ca="1">IFERROR(__xludf.DUMMYFUNCTION("IFERROR(VALUE(REGEXEXTRACT(TO_TEXT($F151), S$1 &amp; ""x(\d+)"")), """")"),"")</f>
        <v/>
      </c>
      <c r="T151" s="9" t="str">
        <f ca="1">IFERROR(__xludf.DUMMYFUNCTION("IFERROR(VALUE(REGEXEXTRACT(TO_TEXT($F151), T$1 &amp; ""x(\d+)"")), """")"),"")</f>
        <v/>
      </c>
      <c r="U151" s="9" t="str">
        <f ca="1">IFERROR(__xludf.DUMMYFUNCTION("IFERROR(VALUE(REGEXEXTRACT(TO_TEXT($F151), U$1 &amp; ""x(\d+)"")), """")"),"")</f>
        <v/>
      </c>
      <c r="V151" s="9" t="str">
        <f ca="1">IFERROR(__xludf.DUMMYFUNCTION("IFERROR(VALUE(REGEXEXTRACT(TO_TEXT($F151), V$1 &amp; ""x(\d+)"")), """")"),"")</f>
        <v/>
      </c>
      <c r="W151" s="9"/>
      <c r="X151" s="9"/>
      <c r="Y151" s="9"/>
      <c r="Z151" s="9"/>
    </row>
    <row r="152" spans="1:26" ht="15.75" customHeight="1">
      <c r="A152" s="9" t="s">
        <v>1194</v>
      </c>
      <c r="B152" s="9" t="s">
        <v>1195</v>
      </c>
      <c r="C152" s="9" t="s">
        <v>221</v>
      </c>
      <c r="D152" s="9" t="s">
        <v>33</v>
      </c>
      <c r="E152" s="9" t="s">
        <v>12</v>
      </c>
      <c r="F152" s="9" t="s">
        <v>1196</v>
      </c>
      <c r="G152" s="9">
        <v>60</v>
      </c>
      <c r="H152" s="9">
        <v>5</v>
      </c>
      <c r="I152" s="9">
        <v>1.0149999999999999</v>
      </c>
      <c r="J152" s="9">
        <v>100</v>
      </c>
      <c r="K152" s="9" t="s">
        <v>442</v>
      </c>
      <c r="L152" s="9"/>
      <c r="M152" s="9"/>
      <c r="N152" s="9" t="str">
        <f ca="1">IFERROR(__xludf.DUMMYFUNCTION("IFERROR(VALUE(REGEXEXTRACT(TO_TEXT($F152), N$1 &amp; ""x(\d+)"")), """")
"),"")</f>
        <v/>
      </c>
      <c r="O152" s="9">
        <f ca="1">IFERROR(__xludf.DUMMYFUNCTION("IFERROR(VALUE(REGEXEXTRACT(TO_TEXT($F152), O$1 &amp; ""x(\d+)"")), """")"),1)</f>
        <v>1</v>
      </c>
      <c r="P152" s="9" t="str">
        <f ca="1">IFERROR(__xludf.DUMMYFUNCTION("IFERROR(VALUE(REGEXEXTRACT(TO_TEXT($F152), P$1 &amp; ""x(\d+)"")), """")"),"")</f>
        <v/>
      </c>
      <c r="Q152" s="9" t="str">
        <f ca="1">IFERROR(__xludf.DUMMYFUNCTION("IFERROR(VALUE(REGEXEXTRACT(TO_TEXT($F152), Q$1 &amp; ""x(\d+)"")), """")"),"")</f>
        <v/>
      </c>
      <c r="R152" s="9" t="str">
        <f ca="1">IFERROR(__xludf.DUMMYFUNCTION("IFERROR(VALUE(REGEXEXTRACT(TO_TEXT($F152), R$1 &amp; ""x(\d+)"")), """")"),"")</f>
        <v/>
      </c>
      <c r="S152" s="9" t="str">
        <f ca="1">IFERROR(__xludf.DUMMYFUNCTION("IFERROR(VALUE(REGEXEXTRACT(TO_TEXT($F152), S$1 &amp; ""x(\d+)"")), """")"),"")</f>
        <v/>
      </c>
      <c r="T152" s="9" t="str">
        <f ca="1">IFERROR(__xludf.DUMMYFUNCTION("IFERROR(VALUE(REGEXEXTRACT(TO_TEXT($F152), T$1 &amp; ""x(\d+)"")), """")"),"")</f>
        <v/>
      </c>
      <c r="U152" s="9" t="str">
        <f ca="1">IFERROR(__xludf.DUMMYFUNCTION("IFERROR(VALUE(REGEXEXTRACT(TO_TEXT($F152), U$1 &amp; ""x(\d+)"")), """")"),"")</f>
        <v/>
      </c>
      <c r="V152" s="9" t="str">
        <f ca="1">IFERROR(__xludf.DUMMYFUNCTION("IFERROR(VALUE(REGEXEXTRACT(TO_TEXT($F152), V$1 &amp; ""x(\d+)"")), """")"),"")</f>
        <v/>
      </c>
      <c r="W152" s="9"/>
      <c r="X152" s="9"/>
      <c r="Y152" s="9"/>
      <c r="Z152" s="9"/>
    </row>
    <row r="153" spans="1:26" ht="15.75" customHeight="1">
      <c r="A153" s="9" t="s">
        <v>1194</v>
      </c>
      <c r="B153" s="9" t="s">
        <v>1195</v>
      </c>
      <c r="C153" s="9" t="s">
        <v>221</v>
      </c>
      <c r="D153" s="9" t="s">
        <v>33</v>
      </c>
      <c r="E153" s="9" t="s">
        <v>13</v>
      </c>
      <c r="F153" s="9" t="s">
        <v>1197</v>
      </c>
      <c r="G153" s="9">
        <v>10</v>
      </c>
      <c r="H153" s="9">
        <v>5</v>
      </c>
      <c r="I153" s="9">
        <v>1.0149999999999999</v>
      </c>
      <c r="J153" s="9">
        <v>100</v>
      </c>
      <c r="K153" s="9" t="s">
        <v>442</v>
      </c>
      <c r="L153" s="9"/>
      <c r="M153" s="9"/>
      <c r="N153" s="9" t="str">
        <f ca="1">IFERROR(__xludf.DUMMYFUNCTION("IFERROR(VALUE(REGEXEXTRACT(TO_TEXT($F153), N$1 &amp; ""x(\d+)"")), """")
"),"")</f>
        <v/>
      </c>
      <c r="O153" s="9">
        <f ca="1">IFERROR(__xludf.DUMMYFUNCTION("IFERROR(VALUE(REGEXEXTRACT(TO_TEXT($F153), O$1 &amp; ""x(\d+)"")), """")"),1)</f>
        <v>1</v>
      </c>
      <c r="P153" s="9" t="str">
        <f ca="1">IFERROR(__xludf.DUMMYFUNCTION("IFERROR(VALUE(REGEXEXTRACT(TO_TEXT($F153), P$1 &amp; ""x(\d+)"")), """")"),"")</f>
        <v/>
      </c>
      <c r="Q153" s="9" t="str">
        <f ca="1">IFERROR(__xludf.DUMMYFUNCTION("IFERROR(VALUE(REGEXEXTRACT(TO_TEXT($F153), Q$1 &amp; ""x(\d+)"")), """")"),"")</f>
        <v/>
      </c>
      <c r="R153" s="9" t="str">
        <f ca="1">IFERROR(__xludf.DUMMYFUNCTION("IFERROR(VALUE(REGEXEXTRACT(TO_TEXT($F153), R$1 &amp; ""x(\d+)"")), """")"),"")</f>
        <v/>
      </c>
      <c r="S153" s="9" t="str">
        <f ca="1">IFERROR(__xludf.DUMMYFUNCTION("IFERROR(VALUE(REGEXEXTRACT(TO_TEXT($F153), S$1 &amp; ""x(\d+)"")), """")"),"")</f>
        <v/>
      </c>
      <c r="T153" s="9" t="str">
        <f ca="1">IFERROR(__xludf.DUMMYFUNCTION("IFERROR(VALUE(REGEXEXTRACT(TO_TEXT($F153), T$1 &amp; ""x(\d+)"")), """")"),"")</f>
        <v/>
      </c>
      <c r="U153" s="9" t="str">
        <f ca="1">IFERROR(__xludf.DUMMYFUNCTION("IFERROR(VALUE(REGEXEXTRACT(TO_TEXT($F153), U$1 &amp; ""x(\d+)"")), """")"),"")</f>
        <v/>
      </c>
      <c r="V153" s="9" t="str">
        <f ca="1">IFERROR(__xludf.DUMMYFUNCTION("IFERROR(VALUE(REGEXEXTRACT(TO_TEXT($F153), V$1 &amp; ""x(\d+)"")), """")"),"")</f>
        <v/>
      </c>
      <c r="W153" s="9"/>
      <c r="X153" s="9"/>
      <c r="Y153" s="9"/>
      <c r="Z153" s="9"/>
    </row>
    <row r="154" spans="1:26" ht="15.75" hidden="1" customHeight="1">
      <c r="A154" s="9" t="s">
        <v>157</v>
      </c>
      <c r="B154" s="9" t="s">
        <v>1198</v>
      </c>
      <c r="C154" s="9" t="s">
        <v>158</v>
      </c>
      <c r="D154" s="9" t="s">
        <v>48</v>
      </c>
      <c r="E154" s="9" t="s">
        <v>11</v>
      </c>
      <c r="F154" s="9" t="s">
        <v>1199</v>
      </c>
      <c r="G154" s="9">
        <v>25</v>
      </c>
      <c r="H154" s="9">
        <v>5</v>
      </c>
      <c r="I154" s="9">
        <v>1.0149999999999999</v>
      </c>
      <c r="J154" s="9">
        <v>52</v>
      </c>
      <c r="K154" s="9" t="s">
        <v>424</v>
      </c>
      <c r="L154" s="9"/>
      <c r="M154" s="9"/>
      <c r="N154" s="9" t="str">
        <f ca="1">IFERROR(__xludf.DUMMYFUNCTION("IFERROR(VALUE(REGEXEXTRACT(TO_TEXT($F154), N$1 &amp; ""x(\d+)"")), """")
"),"")</f>
        <v/>
      </c>
      <c r="O154" s="9" t="str">
        <f ca="1">IFERROR(__xludf.DUMMYFUNCTION("IFERROR(VALUE(REGEXEXTRACT(TO_TEXT($F154), O$1 &amp; ""x(\d+)"")), """")"),"")</f>
        <v/>
      </c>
      <c r="P154" s="9" t="str">
        <f ca="1">IFERROR(__xludf.DUMMYFUNCTION("IFERROR(VALUE(REGEXEXTRACT(TO_TEXT($F154), P$1 &amp; ""x(\d+)"")), """")"),"")</f>
        <v/>
      </c>
      <c r="Q154" s="9" t="str">
        <f ca="1">IFERROR(__xludf.DUMMYFUNCTION("IFERROR(VALUE(REGEXEXTRACT(TO_TEXT($F154), Q$1 &amp; ""x(\d+)"")), """")"),"")</f>
        <v/>
      </c>
      <c r="R154" s="9" t="str">
        <f ca="1">IFERROR(__xludf.DUMMYFUNCTION("IFERROR(VALUE(REGEXEXTRACT(TO_TEXT($F154), R$1 &amp; ""x(\d+)"")), """")"),"")</f>
        <v/>
      </c>
      <c r="S154" s="9" t="str">
        <f ca="1">IFERROR(__xludf.DUMMYFUNCTION("IFERROR(VALUE(REGEXEXTRACT(TO_TEXT($F154), S$1 &amp; ""x(\d+)"")), """")"),"")</f>
        <v/>
      </c>
      <c r="T154" s="9" t="str">
        <f ca="1">IFERROR(__xludf.DUMMYFUNCTION("IFERROR(VALUE(REGEXEXTRACT(TO_TEXT($F154), T$1 &amp; ""x(\d+)"")), """")"),"")</f>
        <v/>
      </c>
      <c r="U154" s="9" t="str">
        <f ca="1">IFERROR(__xludf.DUMMYFUNCTION("IFERROR(VALUE(REGEXEXTRACT(TO_TEXT($F154), U$1 &amp; ""x(\d+)"")), """")"),"")</f>
        <v/>
      </c>
      <c r="V154" s="9" t="str">
        <f ca="1">IFERROR(__xludf.DUMMYFUNCTION("IFERROR(VALUE(REGEXEXTRACT(TO_TEXT($F154), V$1 &amp; ""x(\d+)"")), """")"),"")</f>
        <v/>
      </c>
      <c r="W154" s="9"/>
      <c r="X154" s="9"/>
      <c r="Y154" s="9"/>
      <c r="Z154" s="9"/>
    </row>
    <row r="155" spans="1:26" ht="15.75" hidden="1" customHeight="1">
      <c r="A155" s="9" t="s">
        <v>157</v>
      </c>
      <c r="B155" s="9" t="s">
        <v>1198</v>
      </c>
      <c r="C155" s="9" t="s">
        <v>158</v>
      </c>
      <c r="D155" s="9" t="s">
        <v>48</v>
      </c>
      <c r="E155" s="9" t="s">
        <v>12</v>
      </c>
      <c r="F155" s="9" t="s">
        <v>1200</v>
      </c>
      <c r="G155" s="9">
        <v>125</v>
      </c>
      <c r="H155" s="9">
        <v>5</v>
      </c>
      <c r="I155" s="9">
        <v>1.0149999999999999</v>
      </c>
      <c r="J155" s="9">
        <v>52</v>
      </c>
      <c r="K155" s="9" t="s">
        <v>424</v>
      </c>
      <c r="L155" s="9" t="s">
        <v>1035</v>
      </c>
      <c r="M155" s="9"/>
      <c r="N155" s="9" t="str">
        <f ca="1">IFERROR(__xludf.DUMMYFUNCTION("IFERROR(VALUE(REGEXEXTRACT(TO_TEXT($F155), N$1 &amp; ""x(\d+)"")), """")
"),"")</f>
        <v/>
      </c>
      <c r="O155" s="9" t="str">
        <f ca="1">IFERROR(__xludf.DUMMYFUNCTION("IFERROR(VALUE(REGEXEXTRACT(TO_TEXT($F155), O$1 &amp; ""x(\d+)"")), """")"),"")</f>
        <v/>
      </c>
      <c r="P155" s="9">
        <f ca="1">IFERROR(__xludf.DUMMYFUNCTION("IFERROR(VALUE(REGEXEXTRACT(TO_TEXT($F155), P$1 &amp; ""x(\d+)"")), """")"),1)</f>
        <v>1</v>
      </c>
      <c r="Q155" s="9" t="str">
        <f ca="1">IFERROR(__xludf.DUMMYFUNCTION("IFERROR(VALUE(REGEXEXTRACT(TO_TEXT($F155), Q$1 &amp; ""x(\d+)"")), """")"),"")</f>
        <v/>
      </c>
      <c r="R155" s="9" t="str">
        <f ca="1">IFERROR(__xludf.DUMMYFUNCTION("IFERROR(VALUE(REGEXEXTRACT(TO_TEXT($F155), R$1 &amp; ""x(\d+)"")), """")"),"")</f>
        <v/>
      </c>
      <c r="S155" s="9" t="str">
        <f ca="1">IFERROR(__xludf.DUMMYFUNCTION("IFERROR(VALUE(REGEXEXTRACT(TO_TEXT($F155), S$1 &amp; ""x(\d+)"")), """")"),"")</f>
        <v/>
      </c>
      <c r="T155" s="9" t="str">
        <f ca="1">IFERROR(__xludf.DUMMYFUNCTION("IFERROR(VALUE(REGEXEXTRACT(TO_TEXT($F155), T$1 &amp; ""x(\d+)"")), """")"),"")</f>
        <v/>
      </c>
      <c r="U155" s="9" t="str">
        <f ca="1">IFERROR(__xludf.DUMMYFUNCTION("IFERROR(VALUE(REGEXEXTRACT(TO_TEXT($F155), U$1 &amp; ""x(\d+)"")), """")"),"")</f>
        <v/>
      </c>
      <c r="V155" s="9" t="str">
        <f ca="1">IFERROR(__xludf.DUMMYFUNCTION("IFERROR(VALUE(REGEXEXTRACT(TO_TEXT($F155), V$1 &amp; ""x(\d+)"")), """")"),"")</f>
        <v/>
      </c>
      <c r="W155" s="9"/>
      <c r="X155" s="9"/>
      <c r="Y155" s="9"/>
      <c r="Z155" s="9"/>
    </row>
    <row r="156" spans="1:26" ht="15.75" hidden="1" customHeight="1">
      <c r="A156" s="9" t="s">
        <v>157</v>
      </c>
      <c r="B156" s="9" t="s">
        <v>1198</v>
      </c>
      <c r="C156" s="9" t="s">
        <v>158</v>
      </c>
      <c r="D156" s="9" t="s">
        <v>48</v>
      </c>
      <c r="E156" s="9" t="s">
        <v>13</v>
      </c>
      <c r="F156" s="9" t="s">
        <v>1201</v>
      </c>
      <c r="G156" s="9">
        <v>30</v>
      </c>
      <c r="H156" s="9">
        <v>5</v>
      </c>
      <c r="I156" s="9">
        <v>1.0149999999999999</v>
      </c>
      <c r="J156" s="9">
        <v>52</v>
      </c>
      <c r="K156" s="9" t="s">
        <v>424</v>
      </c>
      <c r="L156" s="9"/>
      <c r="M156" s="9"/>
      <c r="N156" s="9" t="str">
        <f ca="1">IFERROR(__xludf.DUMMYFUNCTION("IFERROR(VALUE(REGEXEXTRACT(TO_TEXT($F156), N$1 &amp; ""x(\d+)"")), """")
"),"")</f>
        <v/>
      </c>
      <c r="O156" s="9" t="str">
        <f ca="1">IFERROR(__xludf.DUMMYFUNCTION("IFERROR(VALUE(REGEXEXTRACT(TO_TEXT($F156), O$1 &amp; ""x(\d+)"")), """")"),"")</f>
        <v/>
      </c>
      <c r="P156" s="9">
        <f ca="1">IFERROR(__xludf.DUMMYFUNCTION("IFERROR(VALUE(REGEXEXTRACT(TO_TEXT($F156), P$1 &amp; ""x(\d+)"")), """")"),1)</f>
        <v>1</v>
      </c>
      <c r="Q156" s="9" t="str">
        <f ca="1">IFERROR(__xludf.DUMMYFUNCTION("IFERROR(VALUE(REGEXEXTRACT(TO_TEXT($F156), Q$1 &amp; ""x(\d+)"")), """")"),"")</f>
        <v/>
      </c>
      <c r="R156" s="9" t="str">
        <f ca="1">IFERROR(__xludf.DUMMYFUNCTION("IFERROR(VALUE(REGEXEXTRACT(TO_TEXT($F156), R$1 &amp; ""x(\d+)"")), """")"),"")</f>
        <v/>
      </c>
      <c r="S156" s="9" t="str">
        <f ca="1">IFERROR(__xludf.DUMMYFUNCTION("IFERROR(VALUE(REGEXEXTRACT(TO_TEXT($F156), S$1 &amp; ""x(\d+)"")), """")"),"")</f>
        <v/>
      </c>
      <c r="T156" s="9" t="str">
        <f ca="1">IFERROR(__xludf.DUMMYFUNCTION("IFERROR(VALUE(REGEXEXTRACT(TO_TEXT($F156), T$1 &amp; ""x(\d+)"")), """")"),"")</f>
        <v/>
      </c>
      <c r="U156" s="9" t="str">
        <f ca="1">IFERROR(__xludf.DUMMYFUNCTION("IFERROR(VALUE(REGEXEXTRACT(TO_TEXT($F156), U$1 &amp; ""x(\d+)"")), """")"),"")</f>
        <v/>
      </c>
      <c r="V156" s="9" t="str">
        <f ca="1">IFERROR(__xludf.DUMMYFUNCTION("IFERROR(VALUE(REGEXEXTRACT(TO_TEXT($F156), V$1 &amp; ""x(\d+)"")), """")"),"")</f>
        <v/>
      </c>
      <c r="W156" s="9"/>
      <c r="X156" s="9"/>
      <c r="Y156" s="9"/>
      <c r="Z156" s="9"/>
    </row>
    <row r="157" spans="1:26" ht="15.75" hidden="1" customHeight="1">
      <c r="A157" s="9" t="s">
        <v>1202</v>
      </c>
      <c r="B157" s="9" t="s">
        <v>1203</v>
      </c>
      <c r="C157" s="9" t="s">
        <v>920</v>
      </c>
      <c r="D157" s="9" t="s">
        <v>48</v>
      </c>
      <c r="E157" s="9" t="s">
        <v>11</v>
      </c>
      <c r="F157" s="9" t="s">
        <v>1204</v>
      </c>
      <c r="G157" s="9">
        <v>30</v>
      </c>
      <c r="H157" s="9">
        <v>3</v>
      </c>
      <c r="I157" s="9">
        <v>1.0149999999999999</v>
      </c>
      <c r="J157" s="9">
        <v>52</v>
      </c>
      <c r="K157" s="9" t="s">
        <v>424</v>
      </c>
      <c r="L157" s="9"/>
      <c r="M157" s="9"/>
      <c r="N157" s="9" t="str">
        <f ca="1">IFERROR(__xludf.DUMMYFUNCTION("IFERROR(VALUE(REGEXEXTRACT(TO_TEXT($F157), N$1 &amp; ""x(\d+)"")), """")
"),"")</f>
        <v/>
      </c>
      <c r="O157" s="9" t="str">
        <f ca="1">IFERROR(__xludf.DUMMYFUNCTION("IFERROR(VALUE(REGEXEXTRACT(TO_TEXT($F157), O$1 &amp; ""x(\d+)"")), """")"),"")</f>
        <v/>
      </c>
      <c r="P157" s="9" t="str">
        <f ca="1">IFERROR(__xludf.DUMMYFUNCTION("IFERROR(VALUE(REGEXEXTRACT(TO_TEXT($F157), P$1 &amp; ""x(\d+)"")), """")"),"")</f>
        <v/>
      </c>
      <c r="Q157" s="9" t="str">
        <f ca="1">IFERROR(__xludf.DUMMYFUNCTION("IFERROR(VALUE(REGEXEXTRACT(TO_TEXT($F157), Q$1 &amp; ""x(\d+)"")), """")"),"")</f>
        <v/>
      </c>
      <c r="R157" s="9" t="str">
        <f ca="1">IFERROR(__xludf.DUMMYFUNCTION("IFERROR(VALUE(REGEXEXTRACT(TO_TEXT($F157), R$1 &amp; ""x(\d+)"")), """")"),"")</f>
        <v/>
      </c>
      <c r="S157" s="9" t="str">
        <f ca="1">IFERROR(__xludf.DUMMYFUNCTION("IFERROR(VALUE(REGEXEXTRACT(TO_TEXT($F157), S$1 &amp; ""x(\d+)"")), """")"),"")</f>
        <v/>
      </c>
      <c r="T157" s="9" t="str">
        <f ca="1">IFERROR(__xludf.DUMMYFUNCTION("IFERROR(VALUE(REGEXEXTRACT(TO_TEXT($F157), T$1 &amp; ""x(\d+)"")), """")"),"")</f>
        <v/>
      </c>
      <c r="U157" s="9" t="str">
        <f ca="1">IFERROR(__xludf.DUMMYFUNCTION("IFERROR(VALUE(REGEXEXTRACT(TO_TEXT($F157), U$1 &amp; ""x(\d+)"")), """")"),"")</f>
        <v/>
      </c>
      <c r="V157" s="9" t="str">
        <f ca="1">IFERROR(__xludf.DUMMYFUNCTION("IFERROR(VALUE(REGEXEXTRACT(TO_TEXT($F157), V$1 &amp; ""x(\d+)"")), """")"),"")</f>
        <v/>
      </c>
      <c r="W157" s="9"/>
      <c r="X157" s="9"/>
      <c r="Y157" s="9"/>
      <c r="Z157" s="9"/>
    </row>
    <row r="158" spans="1:26" ht="15.75" hidden="1" customHeight="1">
      <c r="A158" s="9" t="s">
        <v>1202</v>
      </c>
      <c r="B158" s="9" t="s">
        <v>1203</v>
      </c>
      <c r="C158" s="9" t="s">
        <v>920</v>
      </c>
      <c r="D158" s="9" t="s">
        <v>48</v>
      </c>
      <c r="E158" s="9" t="s">
        <v>12</v>
      </c>
      <c r="F158" s="9" t="s">
        <v>1205</v>
      </c>
      <c r="G158" s="9">
        <v>130</v>
      </c>
      <c r="H158" s="9">
        <v>3</v>
      </c>
      <c r="I158" s="9">
        <v>1.0149999999999999</v>
      </c>
      <c r="J158" s="9">
        <v>52</v>
      </c>
      <c r="K158" s="9" t="s">
        <v>424</v>
      </c>
      <c r="L158" s="9" t="s">
        <v>1035</v>
      </c>
      <c r="M158" s="9"/>
      <c r="N158" s="9" t="str">
        <f ca="1">IFERROR(__xludf.DUMMYFUNCTION("IFERROR(VALUE(REGEXEXTRACT(TO_TEXT($F158), N$1 &amp; ""x(\d+)"")), """")
"),"")</f>
        <v/>
      </c>
      <c r="O158" s="9" t="str">
        <f ca="1">IFERROR(__xludf.DUMMYFUNCTION("IFERROR(VALUE(REGEXEXTRACT(TO_TEXT($F158), O$1 &amp; ""x(\d+)"")), """")"),"")</f>
        <v/>
      </c>
      <c r="P158" s="9">
        <f ca="1">IFERROR(__xludf.DUMMYFUNCTION("IFERROR(VALUE(REGEXEXTRACT(TO_TEXT($F158), P$1 &amp; ""x(\d+)"")), """")"),1)</f>
        <v>1</v>
      </c>
      <c r="Q158" s="9" t="str">
        <f ca="1">IFERROR(__xludf.DUMMYFUNCTION("IFERROR(VALUE(REGEXEXTRACT(TO_TEXT($F158), Q$1 &amp; ""x(\d+)"")), """")"),"")</f>
        <v/>
      </c>
      <c r="R158" s="9" t="str">
        <f ca="1">IFERROR(__xludf.DUMMYFUNCTION("IFERROR(VALUE(REGEXEXTRACT(TO_TEXT($F158), R$1 &amp; ""x(\d+)"")), """")"),"")</f>
        <v/>
      </c>
      <c r="S158" s="9" t="str">
        <f ca="1">IFERROR(__xludf.DUMMYFUNCTION("IFERROR(VALUE(REGEXEXTRACT(TO_TEXT($F158), S$1 &amp; ""x(\d+)"")), """")"),"")</f>
        <v/>
      </c>
      <c r="T158" s="9" t="str">
        <f ca="1">IFERROR(__xludf.DUMMYFUNCTION("IFERROR(VALUE(REGEXEXTRACT(TO_TEXT($F158), T$1 &amp; ""x(\d+)"")), """")"),"")</f>
        <v/>
      </c>
      <c r="U158" s="9" t="str">
        <f ca="1">IFERROR(__xludf.DUMMYFUNCTION("IFERROR(VALUE(REGEXEXTRACT(TO_TEXT($F158), U$1 &amp; ""x(\d+)"")), """")"),"")</f>
        <v/>
      </c>
      <c r="V158" s="9" t="str">
        <f ca="1">IFERROR(__xludf.DUMMYFUNCTION("IFERROR(VALUE(REGEXEXTRACT(TO_TEXT($F158), V$1 &amp; ""x(\d+)"")), """")"),"")</f>
        <v/>
      </c>
      <c r="W158" s="9"/>
      <c r="X158" s="9"/>
      <c r="Y158" s="9"/>
      <c r="Z158" s="9"/>
    </row>
    <row r="159" spans="1:26" ht="15.75" hidden="1" customHeight="1">
      <c r="A159" s="9" t="s">
        <v>1202</v>
      </c>
      <c r="B159" s="9" t="s">
        <v>1203</v>
      </c>
      <c r="C159" s="9" t="s">
        <v>920</v>
      </c>
      <c r="D159" s="9" t="s">
        <v>48</v>
      </c>
      <c r="E159" s="9" t="s">
        <v>13</v>
      </c>
      <c r="F159" s="9" t="s">
        <v>1206</v>
      </c>
      <c r="G159" s="9">
        <v>30</v>
      </c>
      <c r="H159" s="9">
        <v>3</v>
      </c>
      <c r="I159" s="9">
        <v>1.0149999999999999</v>
      </c>
      <c r="J159" s="9">
        <v>52</v>
      </c>
      <c r="K159" s="9" t="s">
        <v>424</v>
      </c>
      <c r="L159" s="9"/>
      <c r="M159" s="9"/>
      <c r="N159" s="9" t="str">
        <f ca="1">IFERROR(__xludf.DUMMYFUNCTION("IFERROR(VALUE(REGEXEXTRACT(TO_TEXT($F159), N$1 &amp; ""x(\d+)"")), """")
"),"")</f>
        <v/>
      </c>
      <c r="O159" s="9" t="str">
        <f ca="1">IFERROR(__xludf.DUMMYFUNCTION("IFERROR(VALUE(REGEXEXTRACT(TO_TEXT($F159), O$1 &amp; ""x(\d+)"")), """")"),"")</f>
        <v/>
      </c>
      <c r="P159" s="9">
        <f ca="1">IFERROR(__xludf.DUMMYFUNCTION("IFERROR(VALUE(REGEXEXTRACT(TO_TEXT($F159), P$1 &amp; ""x(\d+)"")), """")"),1)</f>
        <v>1</v>
      </c>
      <c r="Q159" s="9" t="str">
        <f ca="1">IFERROR(__xludf.DUMMYFUNCTION("IFERROR(VALUE(REGEXEXTRACT(TO_TEXT($F159), Q$1 &amp; ""x(\d+)"")), """")"),"")</f>
        <v/>
      </c>
      <c r="R159" s="9" t="str">
        <f ca="1">IFERROR(__xludf.DUMMYFUNCTION("IFERROR(VALUE(REGEXEXTRACT(TO_TEXT($F159), R$1 &amp; ""x(\d+)"")), """")"),"")</f>
        <v/>
      </c>
      <c r="S159" s="9" t="str">
        <f ca="1">IFERROR(__xludf.DUMMYFUNCTION("IFERROR(VALUE(REGEXEXTRACT(TO_TEXT($F159), S$1 &amp; ""x(\d+)"")), """")"),"")</f>
        <v/>
      </c>
      <c r="T159" s="9" t="str">
        <f ca="1">IFERROR(__xludf.DUMMYFUNCTION("IFERROR(VALUE(REGEXEXTRACT(TO_TEXT($F159), T$1 &amp; ""x(\d+)"")), """")"),"")</f>
        <v/>
      </c>
      <c r="U159" s="9" t="str">
        <f ca="1">IFERROR(__xludf.DUMMYFUNCTION("IFERROR(VALUE(REGEXEXTRACT(TO_TEXT($F159), U$1 &amp; ""x(\d+)"")), """")"),"")</f>
        <v/>
      </c>
      <c r="V159" s="9" t="str">
        <f ca="1">IFERROR(__xludf.DUMMYFUNCTION("IFERROR(VALUE(REGEXEXTRACT(TO_TEXT($F159), V$1 &amp; ""x(\d+)"")), """")"),"")</f>
        <v/>
      </c>
      <c r="W159" s="9"/>
      <c r="X159" s="9"/>
      <c r="Y159" s="9"/>
      <c r="Z159" s="9"/>
    </row>
    <row r="160" spans="1:26" ht="15.75" hidden="1" customHeight="1">
      <c r="A160" s="9" t="s">
        <v>1207</v>
      </c>
      <c r="B160" s="9" t="s">
        <v>1208</v>
      </c>
      <c r="C160" s="9" t="s">
        <v>799</v>
      </c>
      <c r="D160" s="9" t="s">
        <v>40</v>
      </c>
      <c r="E160" s="9" t="s">
        <v>11</v>
      </c>
      <c r="F160" s="9" t="s">
        <v>1192</v>
      </c>
      <c r="G160" s="9">
        <v>40</v>
      </c>
      <c r="H160" s="9">
        <v>3</v>
      </c>
      <c r="I160" s="9">
        <v>1.0149999999999999</v>
      </c>
      <c r="J160" s="9">
        <v>412</v>
      </c>
      <c r="K160" s="9" t="s">
        <v>442</v>
      </c>
      <c r="L160" s="9"/>
      <c r="M160" s="9"/>
      <c r="N160" s="9" t="str">
        <f ca="1">IFERROR(__xludf.DUMMYFUNCTION("IFERROR(VALUE(REGEXEXTRACT(TO_TEXT($F160), N$1 &amp; ""x(\d+)"")), """")
"),"")</f>
        <v/>
      </c>
      <c r="O160" s="9">
        <f ca="1">IFERROR(__xludf.DUMMYFUNCTION("IFERROR(VALUE(REGEXEXTRACT(TO_TEXT($F160), O$1 &amp; ""x(\d+)"")), """")"),1)</f>
        <v>1</v>
      </c>
      <c r="P160" s="9" t="str">
        <f ca="1">IFERROR(__xludf.DUMMYFUNCTION("IFERROR(VALUE(REGEXEXTRACT(TO_TEXT($F160), P$1 &amp; ""x(\d+)"")), """")"),"")</f>
        <v/>
      </c>
      <c r="Q160" s="9" t="str">
        <f ca="1">IFERROR(__xludf.DUMMYFUNCTION("IFERROR(VALUE(REGEXEXTRACT(TO_TEXT($F160), Q$1 &amp; ""x(\d+)"")), """")"),"")</f>
        <v/>
      </c>
      <c r="R160" s="9" t="str">
        <f ca="1">IFERROR(__xludf.DUMMYFUNCTION("IFERROR(VALUE(REGEXEXTRACT(TO_TEXT($F160), R$1 &amp; ""x(\d+)"")), """")"),"")</f>
        <v/>
      </c>
      <c r="S160" s="9" t="str">
        <f ca="1">IFERROR(__xludf.DUMMYFUNCTION("IFERROR(VALUE(REGEXEXTRACT(TO_TEXT($F160), S$1 &amp; ""x(\d+)"")), """")"),"")</f>
        <v/>
      </c>
      <c r="T160" s="9" t="str">
        <f ca="1">IFERROR(__xludf.DUMMYFUNCTION("IFERROR(VALUE(REGEXEXTRACT(TO_TEXT($F160), T$1 &amp; ""x(\d+)"")), """")"),"")</f>
        <v/>
      </c>
      <c r="U160" s="9" t="str">
        <f ca="1">IFERROR(__xludf.DUMMYFUNCTION("IFERROR(VALUE(REGEXEXTRACT(TO_TEXT($F160), U$1 &amp; ""x(\d+)"")), """")"),"")</f>
        <v/>
      </c>
      <c r="V160" s="9" t="str">
        <f ca="1">IFERROR(__xludf.DUMMYFUNCTION("IFERROR(VALUE(REGEXEXTRACT(TO_TEXT($F160), V$1 &amp; ""x(\d+)"")), """")"),"")</f>
        <v/>
      </c>
      <c r="W160" s="9"/>
      <c r="X160" s="9"/>
      <c r="Y160" s="9"/>
      <c r="Z160" s="9"/>
    </row>
    <row r="161" spans="1:26" ht="15.75" hidden="1" customHeight="1">
      <c r="A161" s="9" t="s">
        <v>1207</v>
      </c>
      <c r="B161" s="9" t="s">
        <v>1208</v>
      </c>
      <c r="C161" s="9" t="s">
        <v>799</v>
      </c>
      <c r="D161" s="9" t="s">
        <v>40</v>
      </c>
      <c r="E161" s="9" t="s">
        <v>12</v>
      </c>
      <c r="F161" s="9" t="s">
        <v>1209</v>
      </c>
      <c r="G161" s="9">
        <v>100</v>
      </c>
      <c r="H161" s="9">
        <v>3</v>
      </c>
      <c r="I161" s="9">
        <v>1.0149999999999999</v>
      </c>
      <c r="J161" s="9">
        <v>412</v>
      </c>
      <c r="K161" s="9" t="s">
        <v>442</v>
      </c>
      <c r="L161" s="9" t="s">
        <v>1210</v>
      </c>
      <c r="M161" s="9"/>
      <c r="N161" s="9" t="str">
        <f ca="1">IFERROR(__xludf.DUMMYFUNCTION("IFERROR(VALUE(REGEXEXTRACT(TO_TEXT($F161), N$1 &amp; ""x(\d+)"")), """")
"),"")</f>
        <v/>
      </c>
      <c r="O161" s="9" t="str">
        <f ca="1">IFERROR(__xludf.DUMMYFUNCTION("IFERROR(VALUE(REGEXEXTRACT(TO_TEXT($F161), O$1 &amp; ""x(\d+)"")), """")"),"")</f>
        <v/>
      </c>
      <c r="P161" s="9" t="str">
        <f ca="1">IFERROR(__xludf.DUMMYFUNCTION("IFERROR(VALUE(REGEXEXTRACT(TO_TEXT($F161), P$1 &amp; ""x(\d+)"")), """")"),"")</f>
        <v/>
      </c>
      <c r="Q161" s="9" t="str">
        <f ca="1">IFERROR(__xludf.DUMMYFUNCTION("IFERROR(VALUE(REGEXEXTRACT(TO_TEXT($F161), Q$1 &amp; ""x(\d+)"")), """")"),"")</f>
        <v/>
      </c>
      <c r="R161" s="9" t="str">
        <f ca="1">IFERROR(__xludf.DUMMYFUNCTION("IFERROR(VALUE(REGEXEXTRACT(TO_TEXT($F161), R$1 &amp; ""x(\d+)"")), """")"),"")</f>
        <v/>
      </c>
      <c r="S161" s="9">
        <f ca="1">IFERROR(__xludf.DUMMYFUNCTION("IFERROR(VALUE(REGEXEXTRACT(TO_TEXT($F161), S$1 &amp; ""x(\d+)"")), """")"),1)</f>
        <v>1</v>
      </c>
      <c r="T161" s="9" t="str">
        <f ca="1">IFERROR(__xludf.DUMMYFUNCTION("IFERROR(VALUE(REGEXEXTRACT(TO_TEXT($F161), T$1 &amp; ""x(\d+)"")), """")"),"")</f>
        <v/>
      </c>
      <c r="U161" s="9" t="str">
        <f ca="1">IFERROR(__xludf.DUMMYFUNCTION("IFERROR(VALUE(REGEXEXTRACT(TO_TEXT($F161), U$1 &amp; ""x(\d+)"")), """")"),"")</f>
        <v/>
      </c>
      <c r="V161" s="9" t="str">
        <f ca="1">IFERROR(__xludf.DUMMYFUNCTION("IFERROR(VALUE(REGEXEXTRACT(TO_TEXT($F161), V$1 &amp; ""x(\d+)"")), """")"),"")</f>
        <v/>
      </c>
      <c r="W161" s="9"/>
      <c r="X161" s="9"/>
      <c r="Y161" s="9"/>
      <c r="Z161" s="9"/>
    </row>
    <row r="162" spans="1:26" ht="15.75" hidden="1" customHeight="1">
      <c r="A162" s="9" t="s">
        <v>1207</v>
      </c>
      <c r="B162" s="9" t="s">
        <v>1208</v>
      </c>
      <c r="C162" s="9" t="s">
        <v>799</v>
      </c>
      <c r="D162" s="9" t="s">
        <v>40</v>
      </c>
      <c r="E162" s="9" t="s">
        <v>13</v>
      </c>
      <c r="F162" s="9" t="s">
        <v>1211</v>
      </c>
      <c r="G162" s="9">
        <v>40</v>
      </c>
      <c r="H162" s="9">
        <v>3</v>
      </c>
      <c r="I162" s="9">
        <v>1.0149999999999999</v>
      </c>
      <c r="J162" s="9">
        <v>412</v>
      </c>
      <c r="K162" s="9" t="s">
        <v>442</v>
      </c>
      <c r="L162" s="9"/>
      <c r="M162" s="9"/>
      <c r="N162" s="9" t="str">
        <f ca="1">IFERROR(__xludf.DUMMYFUNCTION("IFERROR(VALUE(REGEXEXTRACT(TO_TEXT($F162), N$1 &amp; ""x(\d+)"")), """")
"),"")</f>
        <v/>
      </c>
      <c r="O162" s="9" t="str">
        <f ca="1">IFERROR(__xludf.DUMMYFUNCTION("IFERROR(VALUE(REGEXEXTRACT(TO_TEXT($F162), O$1 &amp; ""x(\d+)"")), """")"),"")</f>
        <v/>
      </c>
      <c r="P162" s="9" t="str">
        <f ca="1">IFERROR(__xludf.DUMMYFUNCTION("IFERROR(VALUE(REGEXEXTRACT(TO_TEXT($F162), P$1 &amp; ""x(\d+)"")), """")"),"")</f>
        <v/>
      </c>
      <c r="Q162" s="9" t="str">
        <f ca="1">IFERROR(__xludf.DUMMYFUNCTION("IFERROR(VALUE(REGEXEXTRACT(TO_TEXT($F162), Q$1 &amp; ""x(\d+)"")), """")"),"")</f>
        <v/>
      </c>
      <c r="R162" s="9" t="str">
        <f ca="1">IFERROR(__xludf.DUMMYFUNCTION("IFERROR(VALUE(REGEXEXTRACT(TO_TEXT($F162), R$1 &amp; ""x(\d+)"")), """")"),"")</f>
        <v/>
      </c>
      <c r="S162" s="9">
        <f ca="1">IFERROR(__xludf.DUMMYFUNCTION("IFERROR(VALUE(REGEXEXTRACT(TO_TEXT($F162), S$1 &amp; ""x(\d+)"")), """")"),1)</f>
        <v>1</v>
      </c>
      <c r="T162" s="9" t="str">
        <f ca="1">IFERROR(__xludf.DUMMYFUNCTION("IFERROR(VALUE(REGEXEXTRACT(TO_TEXT($F162), T$1 &amp; ""x(\d+)"")), """")"),"")</f>
        <v/>
      </c>
      <c r="U162" s="9" t="str">
        <f ca="1">IFERROR(__xludf.DUMMYFUNCTION("IFERROR(VALUE(REGEXEXTRACT(TO_TEXT($F162), U$1 &amp; ""x(\d+)"")), """")"),"")</f>
        <v/>
      </c>
      <c r="V162" s="9" t="str">
        <f ca="1">IFERROR(__xludf.DUMMYFUNCTION("IFERROR(VALUE(REGEXEXTRACT(TO_TEXT($F162), V$1 &amp; ""x(\d+)"")), """")"),"")</f>
        <v/>
      </c>
      <c r="W162" s="9"/>
      <c r="X162" s="9"/>
      <c r="Y162" s="9"/>
      <c r="Z162" s="9"/>
    </row>
    <row r="163" spans="1:26" ht="15.75" hidden="1" customHeight="1">
      <c r="A163" s="9" t="s">
        <v>1212</v>
      </c>
      <c r="B163" s="9" t="s">
        <v>1213</v>
      </c>
      <c r="C163" s="9" t="s">
        <v>158</v>
      </c>
      <c r="D163" s="9" t="s">
        <v>48</v>
      </c>
      <c r="E163" s="9" t="s">
        <v>11</v>
      </c>
      <c r="F163" s="9" t="s">
        <v>1214</v>
      </c>
      <c r="G163" s="9">
        <v>25</v>
      </c>
      <c r="H163" s="9">
        <v>5</v>
      </c>
      <c r="I163" s="9">
        <v>1.0149999999999999</v>
      </c>
      <c r="J163" s="9">
        <v>52</v>
      </c>
      <c r="K163" s="9" t="s">
        <v>424</v>
      </c>
      <c r="L163" s="9"/>
      <c r="M163" s="9"/>
      <c r="N163" s="9" t="str">
        <f ca="1">IFERROR(__xludf.DUMMYFUNCTION("IFERROR(VALUE(REGEXEXTRACT(TO_TEXT($F163), N$1 &amp; ""x(\d+)"")), """")
"),"")</f>
        <v/>
      </c>
      <c r="O163" s="9" t="str">
        <f ca="1">IFERROR(__xludf.DUMMYFUNCTION("IFERROR(VALUE(REGEXEXTRACT(TO_TEXT($F163), O$1 &amp; ""x(\d+)"")), """")"),"")</f>
        <v/>
      </c>
      <c r="P163" s="9" t="str">
        <f ca="1">IFERROR(__xludf.DUMMYFUNCTION("IFERROR(VALUE(REGEXEXTRACT(TO_TEXT($F163), P$1 &amp; ""x(\d+)"")), """")"),"")</f>
        <v/>
      </c>
      <c r="Q163" s="9" t="str">
        <f ca="1">IFERROR(__xludf.DUMMYFUNCTION("IFERROR(VALUE(REGEXEXTRACT(TO_TEXT($F163), Q$1 &amp; ""x(\d+)"")), """")"),"")</f>
        <v/>
      </c>
      <c r="R163" s="9" t="str">
        <f ca="1">IFERROR(__xludf.DUMMYFUNCTION("IFERROR(VALUE(REGEXEXTRACT(TO_TEXT($F163), R$1 &amp; ""x(\d+)"")), """")"),"")</f>
        <v/>
      </c>
      <c r="S163" s="9" t="str">
        <f ca="1">IFERROR(__xludf.DUMMYFUNCTION("IFERROR(VALUE(REGEXEXTRACT(TO_TEXT($F163), S$1 &amp; ""x(\d+)"")), """")"),"")</f>
        <v/>
      </c>
      <c r="T163" s="9" t="str">
        <f ca="1">IFERROR(__xludf.DUMMYFUNCTION("IFERROR(VALUE(REGEXEXTRACT(TO_TEXT($F163), T$1 &amp; ""x(\d+)"")), """")"),"")</f>
        <v/>
      </c>
      <c r="U163" s="9" t="str">
        <f ca="1">IFERROR(__xludf.DUMMYFUNCTION("IFERROR(VALUE(REGEXEXTRACT(TO_TEXT($F163), U$1 &amp; ""x(\d+)"")), """")"),"")</f>
        <v/>
      </c>
      <c r="V163" s="9" t="str">
        <f ca="1">IFERROR(__xludf.DUMMYFUNCTION("IFERROR(VALUE(REGEXEXTRACT(TO_TEXT($F163), V$1 &amp; ""x(\d+)"")), """")"),"")</f>
        <v/>
      </c>
      <c r="W163" s="9"/>
      <c r="X163" s="9"/>
      <c r="Y163" s="9"/>
      <c r="Z163" s="9"/>
    </row>
    <row r="164" spans="1:26" ht="15.75" hidden="1" customHeight="1">
      <c r="A164" s="9" t="s">
        <v>1212</v>
      </c>
      <c r="B164" s="9" t="s">
        <v>1213</v>
      </c>
      <c r="C164" s="9" t="s">
        <v>158</v>
      </c>
      <c r="D164" s="9" t="s">
        <v>48</v>
      </c>
      <c r="E164" s="9" t="s">
        <v>12</v>
      </c>
      <c r="F164" s="9" t="s">
        <v>1215</v>
      </c>
      <c r="G164" s="9">
        <v>125</v>
      </c>
      <c r="H164" s="9">
        <v>5</v>
      </c>
      <c r="I164" s="9">
        <v>1.0149999999999999</v>
      </c>
      <c r="J164" s="9">
        <v>52</v>
      </c>
      <c r="K164" s="9" t="s">
        <v>424</v>
      </c>
      <c r="L164" s="9" t="s">
        <v>1035</v>
      </c>
      <c r="M164" s="9"/>
      <c r="N164" s="9" t="str">
        <f ca="1">IFERROR(__xludf.DUMMYFUNCTION("IFERROR(VALUE(REGEXEXTRACT(TO_TEXT($F164), N$1 &amp; ""x(\d+)"")), """")
"),"")</f>
        <v/>
      </c>
      <c r="O164" s="9" t="str">
        <f ca="1">IFERROR(__xludf.DUMMYFUNCTION("IFERROR(VALUE(REGEXEXTRACT(TO_TEXT($F164), O$1 &amp; ""x(\d+)"")), """")"),"")</f>
        <v/>
      </c>
      <c r="P164" s="9">
        <f ca="1">IFERROR(__xludf.DUMMYFUNCTION("IFERROR(VALUE(REGEXEXTRACT(TO_TEXT($F164), P$1 &amp; ""x(\d+)"")), """")"),1)</f>
        <v>1</v>
      </c>
      <c r="Q164" s="9" t="str">
        <f ca="1">IFERROR(__xludf.DUMMYFUNCTION("IFERROR(VALUE(REGEXEXTRACT(TO_TEXT($F164), Q$1 &amp; ""x(\d+)"")), """")"),"")</f>
        <v/>
      </c>
      <c r="R164" s="9" t="str">
        <f ca="1">IFERROR(__xludf.DUMMYFUNCTION("IFERROR(VALUE(REGEXEXTRACT(TO_TEXT($F164), R$1 &amp; ""x(\d+)"")), """")"),"")</f>
        <v/>
      </c>
      <c r="S164" s="9" t="str">
        <f ca="1">IFERROR(__xludf.DUMMYFUNCTION("IFERROR(VALUE(REGEXEXTRACT(TO_TEXT($F164), S$1 &amp; ""x(\d+)"")), """")"),"")</f>
        <v/>
      </c>
      <c r="T164" s="9" t="str">
        <f ca="1">IFERROR(__xludf.DUMMYFUNCTION("IFERROR(VALUE(REGEXEXTRACT(TO_TEXT($F164), T$1 &amp; ""x(\d+)"")), """")"),"")</f>
        <v/>
      </c>
      <c r="U164" s="9" t="str">
        <f ca="1">IFERROR(__xludf.DUMMYFUNCTION("IFERROR(VALUE(REGEXEXTRACT(TO_TEXT($F164), U$1 &amp; ""x(\d+)"")), """")"),"")</f>
        <v/>
      </c>
      <c r="V164" s="9" t="str">
        <f ca="1">IFERROR(__xludf.DUMMYFUNCTION("IFERROR(VALUE(REGEXEXTRACT(TO_TEXT($F164), V$1 &amp; ""x(\d+)"")), """")"),"")</f>
        <v/>
      </c>
      <c r="W164" s="9"/>
      <c r="X164" s="9"/>
      <c r="Y164" s="9"/>
      <c r="Z164" s="9"/>
    </row>
    <row r="165" spans="1:26" ht="15.75" hidden="1" customHeight="1">
      <c r="A165" s="9" t="s">
        <v>1212</v>
      </c>
      <c r="B165" s="9" t="s">
        <v>1213</v>
      </c>
      <c r="C165" s="9" t="s">
        <v>158</v>
      </c>
      <c r="D165" s="9" t="s">
        <v>48</v>
      </c>
      <c r="E165" s="9" t="s">
        <v>13</v>
      </c>
      <c r="F165" s="9" t="s">
        <v>1216</v>
      </c>
      <c r="G165" s="9">
        <v>30</v>
      </c>
      <c r="H165" s="9">
        <v>5</v>
      </c>
      <c r="I165" s="9">
        <v>1.0149999999999999</v>
      </c>
      <c r="J165" s="9">
        <v>52</v>
      </c>
      <c r="K165" s="9" t="s">
        <v>424</v>
      </c>
      <c r="L165" s="9"/>
      <c r="M165" s="9"/>
      <c r="N165" s="9" t="str">
        <f ca="1">IFERROR(__xludf.DUMMYFUNCTION("IFERROR(VALUE(REGEXEXTRACT(TO_TEXT($F165), N$1 &amp; ""x(\d+)"")), """")
"),"")</f>
        <v/>
      </c>
      <c r="O165" s="9" t="str">
        <f ca="1">IFERROR(__xludf.DUMMYFUNCTION("IFERROR(VALUE(REGEXEXTRACT(TO_TEXT($F165), O$1 &amp; ""x(\d+)"")), """")"),"")</f>
        <v/>
      </c>
      <c r="P165" s="9">
        <f ca="1">IFERROR(__xludf.DUMMYFUNCTION("IFERROR(VALUE(REGEXEXTRACT(TO_TEXT($F165), P$1 &amp; ""x(\d+)"")), """")"),1)</f>
        <v>1</v>
      </c>
      <c r="Q165" s="9" t="str">
        <f ca="1">IFERROR(__xludf.DUMMYFUNCTION("IFERROR(VALUE(REGEXEXTRACT(TO_TEXT($F165), Q$1 &amp; ""x(\d+)"")), """")"),"")</f>
        <v/>
      </c>
      <c r="R165" s="9" t="str">
        <f ca="1">IFERROR(__xludf.DUMMYFUNCTION("IFERROR(VALUE(REGEXEXTRACT(TO_TEXT($F165), R$1 &amp; ""x(\d+)"")), """")"),"")</f>
        <v/>
      </c>
      <c r="S165" s="9" t="str">
        <f ca="1">IFERROR(__xludf.DUMMYFUNCTION("IFERROR(VALUE(REGEXEXTRACT(TO_TEXT($F165), S$1 &amp; ""x(\d+)"")), """")"),"")</f>
        <v/>
      </c>
      <c r="T165" s="9" t="str">
        <f ca="1">IFERROR(__xludf.DUMMYFUNCTION("IFERROR(VALUE(REGEXEXTRACT(TO_TEXT($F165), T$1 &amp; ""x(\d+)"")), """")"),"")</f>
        <v/>
      </c>
      <c r="U165" s="9" t="str">
        <f ca="1">IFERROR(__xludf.DUMMYFUNCTION("IFERROR(VALUE(REGEXEXTRACT(TO_TEXT($F165), U$1 &amp; ""x(\d+)"")), """")"),"")</f>
        <v/>
      </c>
      <c r="V165" s="9" t="str">
        <f ca="1">IFERROR(__xludf.DUMMYFUNCTION("IFERROR(VALUE(REGEXEXTRACT(TO_TEXT($F165), V$1 &amp; ""x(\d+)"")), """")"),"")</f>
        <v/>
      </c>
      <c r="W165" s="9"/>
      <c r="X165" s="9"/>
      <c r="Y165" s="9"/>
      <c r="Z165" s="9"/>
    </row>
    <row r="166" spans="1:26" ht="15.75" hidden="1" customHeight="1">
      <c r="A166" s="9" t="s">
        <v>117</v>
      </c>
      <c r="B166" s="9" t="s">
        <v>1217</v>
      </c>
      <c r="C166" s="9" t="s">
        <v>118</v>
      </c>
      <c r="D166" s="9" t="s">
        <v>48</v>
      </c>
      <c r="E166" s="9" t="s">
        <v>11</v>
      </c>
      <c r="F166" s="9" t="s">
        <v>1218</v>
      </c>
      <c r="G166" s="9">
        <v>25</v>
      </c>
      <c r="H166" s="9">
        <v>5</v>
      </c>
      <c r="I166" s="9">
        <v>1.0149999999999999</v>
      </c>
      <c r="J166" s="9">
        <v>52</v>
      </c>
      <c r="K166" s="9" t="s">
        <v>424</v>
      </c>
      <c r="L166" s="9"/>
      <c r="M166" s="9"/>
      <c r="N166" s="9" t="str">
        <f ca="1">IFERROR(__xludf.DUMMYFUNCTION("IFERROR(VALUE(REGEXEXTRACT(TO_TEXT($F166), N$1 &amp; ""x(\d+)"")), """")
"),"")</f>
        <v/>
      </c>
      <c r="O166" s="9" t="str">
        <f ca="1">IFERROR(__xludf.DUMMYFUNCTION("IFERROR(VALUE(REGEXEXTRACT(TO_TEXT($F166), O$1 &amp; ""x(\d+)"")), """")"),"")</f>
        <v/>
      </c>
      <c r="P166" s="9" t="str">
        <f ca="1">IFERROR(__xludf.DUMMYFUNCTION("IFERROR(VALUE(REGEXEXTRACT(TO_TEXT($F166), P$1 &amp; ""x(\d+)"")), """")"),"")</f>
        <v/>
      </c>
      <c r="Q166" s="9" t="str">
        <f ca="1">IFERROR(__xludf.DUMMYFUNCTION("IFERROR(VALUE(REGEXEXTRACT(TO_TEXT($F166), Q$1 &amp; ""x(\d+)"")), """")"),"")</f>
        <v/>
      </c>
      <c r="R166" s="9" t="str">
        <f ca="1">IFERROR(__xludf.DUMMYFUNCTION("IFERROR(VALUE(REGEXEXTRACT(TO_TEXT($F166), R$1 &amp; ""x(\d+)"")), """")"),"")</f>
        <v/>
      </c>
      <c r="S166" s="9" t="str">
        <f ca="1">IFERROR(__xludf.DUMMYFUNCTION("IFERROR(VALUE(REGEXEXTRACT(TO_TEXT($F166), S$1 &amp; ""x(\d+)"")), """")"),"")</f>
        <v/>
      </c>
      <c r="T166" s="9" t="str">
        <f ca="1">IFERROR(__xludf.DUMMYFUNCTION("IFERROR(VALUE(REGEXEXTRACT(TO_TEXT($F166), T$1 &amp; ""x(\d+)"")), """")"),"")</f>
        <v/>
      </c>
      <c r="U166" s="9" t="str">
        <f ca="1">IFERROR(__xludf.DUMMYFUNCTION("IFERROR(VALUE(REGEXEXTRACT(TO_TEXT($F166), U$1 &amp; ""x(\d+)"")), """")"),"")</f>
        <v/>
      </c>
      <c r="V166" s="9" t="str">
        <f ca="1">IFERROR(__xludf.DUMMYFUNCTION("IFERROR(VALUE(REGEXEXTRACT(TO_TEXT($F166), V$1 &amp; ""x(\d+)"")), """")"),"")</f>
        <v/>
      </c>
      <c r="W166" s="9"/>
      <c r="X166" s="9"/>
      <c r="Y166" s="9"/>
      <c r="Z166" s="9"/>
    </row>
    <row r="167" spans="1:26" ht="15.75" hidden="1" customHeight="1">
      <c r="A167" s="9" t="s">
        <v>117</v>
      </c>
      <c r="B167" s="9" t="s">
        <v>1217</v>
      </c>
      <c r="C167" s="9" t="s">
        <v>118</v>
      </c>
      <c r="D167" s="9" t="s">
        <v>48</v>
      </c>
      <c r="E167" s="9" t="s">
        <v>12</v>
      </c>
      <c r="F167" s="9" t="s">
        <v>1219</v>
      </c>
      <c r="G167" s="9">
        <v>165</v>
      </c>
      <c r="H167" s="9">
        <v>5</v>
      </c>
      <c r="I167" s="9">
        <v>1.0149999999999999</v>
      </c>
      <c r="J167" s="9">
        <v>52</v>
      </c>
      <c r="K167" s="9" t="s">
        <v>424</v>
      </c>
      <c r="L167" s="9"/>
      <c r="M167" s="9"/>
      <c r="N167" s="9" t="str">
        <f ca="1">IFERROR(__xludf.DUMMYFUNCTION("IFERROR(VALUE(REGEXEXTRACT(TO_TEXT($F167), N$1 &amp; ""x(\d+)"")), """")
"),"")</f>
        <v/>
      </c>
      <c r="O167" s="9" t="str">
        <f ca="1">IFERROR(__xludf.DUMMYFUNCTION("IFERROR(VALUE(REGEXEXTRACT(TO_TEXT($F167), O$1 &amp; ""x(\d+)"")), """")"),"")</f>
        <v/>
      </c>
      <c r="P167" s="9">
        <f ca="1">IFERROR(__xludf.DUMMYFUNCTION("IFERROR(VALUE(REGEXEXTRACT(TO_TEXT($F167), P$1 &amp; ""x(\d+)"")), """")"),1)</f>
        <v>1</v>
      </c>
      <c r="Q167" s="9" t="str">
        <f ca="1">IFERROR(__xludf.DUMMYFUNCTION("IFERROR(VALUE(REGEXEXTRACT(TO_TEXT($F167), Q$1 &amp; ""x(\d+)"")), """")"),"")</f>
        <v/>
      </c>
      <c r="R167" s="9" t="str">
        <f ca="1">IFERROR(__xludf.DUMMYFUNCTION("IFERROR(VALUE(REGEXEXTRACT(TO_TEXT($F167), R$1 &amp; ""x(\d+)"")), """")"),"")</f>
        <v/>
      </c>
      <c r="S167" s="9" t="str">
        <f ca="1">IFERROR(__xludf.DUMMYFUNCTION("IFERROR(VALUE(REGEXEXTRACT(TO_TEXT($F167), S$1 &amp; ""x(\d+)"")), """")"),"")</f>
        <v/>
      </c>
      <c r="T167" s="9">
        <f ca="1">IFERROR(__xludf.DUMMYFUNCTION("IFERROR(VALUE(REGEXEXTRACT(TO_TEXT($F167), T$1 &amp; ""x(\d+)"")), """")"),1)</f>
        <v>1</v>
      </c>
      <c r="U167" s="9" t="str">
        <f ca="1">IFERROR(__xludf.DUMMYFUNCTION("IFERROR(VALUE(REGEXEXTRACT(TO_TEXT($F167), U$1 &amp; ""x(\d+)"")), """")"),"")</f>
        <v/>
      </c>
      <c r="V167" s="9" t="str">
        <f ca="1">IFERROR(__xludf.DUMMYFUNCTION("IFERROR(VALUE(REGEXEXTRACT(TO_TEXT($F167), V$1 &amp; ""x(\d+)"")), """")"),"")</f>
        <v/>
      </c>
      <c r="W167" s="9"/>
      <c r="X167" s="9"/>
      <c r="Y167" s="9"/>
      <c r="Z167" s="9"/>
    </row>
    <row r="168" spans="1:26" ht="15.75" hidden="1" customHeight="1">
      <c r="A168" s="9" t="s">
        <v>117</v>
      </c>
      <c r="B168" s="9" t="s">
        <v>1217</v>
      </c>
      <c r="C168" s="9" t="s">
        <v>118</v>
      </c>
      <c r="D168" s="9" t="s">
        <v>48</v>
      </c>
      <c r="E168" s="9" t="s">
        <v>13</v>
      </c>
      <c r="F168" s="9" t="s">
        <v>1220</v>
      </c>
      <c r="G168" s="9">
        <v>30</v>
      </c>
      <c r="H168" s="9">
        <v>5</v>
      </c>
      <c r="I168" s="9">
        <v>1.0149999999999999</v>
      </c>
      <c r="J168" s="9">
        <v>52</v>
      </c>
      <c r="K168" s="9" t="s">
        <v>424</v>
      </c>
      <c r="L168" s="9"/>
      <c r="M168" s="9"/>
      <c r="N168" s="9" t="str">
        <f ca="1">IFERROR(__xludf.DUMMYFUNCTION("IFERROR(VALUE(REGEXEXTRACT(TO_TEXT($F168), N$1 &amp; ""x(\d+)"")), """")
"),"")</f>
        <v/>
      </c>
      <c r="O168" s="9" t="str">
        <f ca="1">IFERROR(__xludf.DUMMYFUNCTION("IFERROR(VALUE(REGEXEXTRACT(TO_TEXT($F168), O$1 &amp; ""x(\d+)"")), """")"),"")</f>
        <v/>
      </c>
      <c r="P168" s="9">
        <f ca="1">IFERROR(__xludf.DUMMYFUNCTION("IFERROR(VALUE(REGEXEXTRACT(TO_TEXT($F168), P$1 &amp; ""x(\d+)"")), """")"),1)</f>
        <v>1</v>
      </c>
      <c r="Q168" s="9" t="str">
        <f ca="1">IFERROR(__xludf.DUMMYFUNCTION("IFERROR(VALUE(REGEXEXTRACT(TO_TEXT($F168), Q$1 &amp; ""x(\d+)"")), """")"),"")</f>
        <v/>
      </c>
      <c r="R168" s="9" t="str">
        <f ca="1">IFERROR(__xludf.DUMMYFUNCTION("IFERROR(VALUE(REGEXEXTRACT(TO_TEXT($F168), R$1 &amp; ""x(\d+)"")), """")"),"")</f>
        <v/>
      </c>
      <c r="S168" s="9" t="str">
        <f ca="1">IFERROR(__xludf.DUMMYFUNCTION("IFERROR(VALUE(REGEXEXTRACT(TO_TEXT($F168), S$1 &amp; ""x(\d+)"")), """")"),"")</f>
        <v/>
      </c>
      <c r="T168" s="9" t="str">
        <f ca="1">IFERROR(__xludf.DUMMYFUNCTION("IFERROR(VALUE(REGEXEXTRACT(TO_TEXT($F168), T$1 &amp; ""x(\d+)"")), """")"),"")</f>
        <v/>
      </c>
      <c r="U168" s="9" t="str">
        <f ca="1">IFERROR(__xludf.DUMMYFUNCTION("IFERROR(VALUE(REGEXEXTRACT(TO_TEXT($F168), U$1 &amp; ""x(\d+)"")), """")"),"")</f>
        <v/>
      </c>
      <c r="V168" s="9" t="str">
        <f ca="1">IFERROR(__xludf.DUMMYFUNCTION("IFERROR(VALUE(REGEXEXTRACT(TO_TEXT($F168), V$1 &amp; ""x(\d+)"")), """")"),"")</f>
        <v/>
      </c>
      <c r="W168" s="9"/>
      <c r="X168" s="9"/>
      <c r="Y168" s="9"/>
      <c r="Z168" s="9"/>
    </row>
    <row r="169" spans="1:26" ht="15.75" hidden="1" customHeight="1">
      <c r="A169" s="9" t="s">
        <v>117</v>
      </c>
      <c r="B169" s="9" t="s">
        <v>1217</v>
      </c>
      <c r="C169" s="9" t="s">
        <v>118</v>
      </c>
      <c r="D169" s="9" t="s">
        <v>74</v>
      </c>
      <c r="E169" s="9" t="s">
        <v>11</v>
      </c>
      <c r="F169" s="9" t="s">
        <v>1221</v>
      </c>
      <c r="G169" s="9">
        <v>25</v>
      </c>
      <c r="H169" s="9">
        <v>2</v>
      </c>
      <c r="I169" s="9">
        <v>1.0149999999999999</v>
      </c>
      <c r="J169" s="9">
        <v>103</v>
      </c>
      <c r="K169" s="9" t="s">
        <v>424</v>
      </c>
      <c r="L169" s="9"/>
      <c r="M169" s="9"/>
      <c r="N169" s="9" t="str">
        <f ca="1">IFERROR(__xludf.DUMMYFUNCTION("IFERROR(VALUE(REGEXEXTRACT(TO_TEXT($F169), N$1 &amp; ""x(\d+)"")), """")
"),"")</f>
        <v/>
      </c>
      <c r="O169" s="9" t="str">
        <f ca="1">IFERROR(__xludf.DUMMYFUNCTION("IFERROR(VALUE(REGEXEXTRACT(TO_TEXT($F169), O$1 &amp; ""x(\d+)"")), """")"),"")</f>
        <v/>
      </c>
      <c r="P169" s="9" t="str">
        <f ca="1">IFERROR(__xludf.DUMMYFUNCTION("IFERROR(VALUE(REGEXEXTRACT(TO_TEXT($F169), P$1 &amp; ""x(\d+)"")), """")"),"")</f>
        <v/>
      </c>
      <c r="Q169" s="9" t="str">
        <f ca="1">IFERROR(__xludf.DUMMYFUNCTION("IFERROR(VALUE(REGEXEXTRACT(TO_TEXT($F169), Q$1 &amp; ""x(\d+)"")), """")"),"")</f>
        <v/>
      </c>
      <c r="R169" s="9" t="str">
        <f ca="1">IFERROR(__xludf.DUMMYFUNCTION("IFERROR(VALUE(REGEXEXTRACT(TO_TEXT($F169), R$1 &amp; ""x(\d+)"")), """")"),"")</f>
        <v/>
      </c>
      <c r="S169" s="9" t="str">
        <f ca="1">IFERROR(__xludf.DUMMYFUNCTION("IFERROR(VALUE(REGEXEXTRACT(TO_TEXT($F169), S$1 &amp; ""x(\d+)"")), """")"),"")</f>
        <v/>
      </c>
      <c r="T169" s="9" t="str">
        <f ca="1">IFERROR(__xludf.DUMMYFUNCTION("IFERROR(VALUE(REGEXEXTRACT(TO_TEXT($F169), T$1 &amp; ""x(\d+)"")), """")"),"")</f>
        <v/>
      </c>
      <c r="U169" s="9" t="str">
        <f ca="1">IFERROR(__xludf.DUMMYFUNCTION("IFERROR(VALUE(REGEXEXTRACT(TO_TEXT($F169), U$1 &amp; ""x(\d+)"")), """")"),"")</f>
        <v/>
      </c>
      <c r="V169" s="9" t="str">
        <f ca="1">IFERROR(__xludf.DUMMYFUNCTION("IFERROR(VALUE(REGEXEXTRACT(TO_TEXT($F169), V$1 &amp; ""x(\d+)"")), """")"),"")</f>
        <v/>
      </c>
      <c r="W169" s="9"/>
      <c r="X169" s="9"/>
      <c r="Y169" s="9"/>
      <c r="Z169" s="9"/>
    </row>
    <row r="170" spans="1:26" ht="15.75" hidden="1" customHeight="1">
      <c r="A170" s="9" t="s">
        <v>117</v>
      </c>
      <c r="B170" s="9" t="s">
        <v>1217</v>
      </c>
      <c r="C170" s="9" t="s">
        <v>118</v>
      </c>
      <c r="D170" s="9" t="s">
        <v>74</v>
      </c>
      <c r="E170" s="9" t="s">
        <v>12</v>
      </c>
      <c r="F170" s="9" t="s">
        <v>1124</v>
      </c>
      <c r="G170" s="9">
        <v>180</v>
      </c>
      <c r="H170" s="9">
        <v>2</v>
      </c>
      <c r="I170" s="9">
        <v>1.0149999999999999</v>
      </c>
      <c r="J170" s="9">
        <v>103</v>
      </c>
      <c r="K170" s="9" t="s">
        <v>424</v>
      </c>
      <c r="L170" s="9" t="s">
        <v>1222</v>
      </c>
      <c r="M170" s="9"/>
      <c r="N170" s="9" t="str">
        <f ca="1">IFERROR(__xludf.DUMMYFUNCTION("IFERROR(VALUE(REGEXEXTRACT(TO_TEXT($F170), N$1 &amp; ""x(\d+)"")), """")
"),"")</f>
        <v/>
      </c>
      <c r="O170" s="9" t="str">
        <f ca="1">IFERROR(__xludf.DUMMYFUNCTION("IFERROR(VALUE(REGEXEXTRACT(TO_TEXT($F170), O$1 &amp; ""x(\d+)"")), """")"),"")</f>
        <v/>
      </c>
      <c r="P170" s="9" t="str">
        <f ca="1">IFERROR(__xludf.DUMMYFUNCTION("IFERROR(VALUE(REGEXEXTRACT(TO_TEXT($F170), P$1 &amp; ""x(\d+)"")), """")"),"")</f>
        <v/>
      </c>
      <c r="Q170" s="9">
        <f ca="1">IFERROR(__xludf.DUMMYFUNCTION("IFERROR(VALUE(REGEXEXTRACT(TO_TEXT($F170), Q$1 &amp; ""x(\d+)"")), """")"),1)</f>
        <v>1</v>
      </c>
      <c r="R170" s="9" t="str">
        <f ca="1">IFERROR(__xludf.DUMMYFUNCTION("IFERROR(VALUE(REGEXEXTRACT(TO_TEXT($F170), R$1 &amp; ""x(\d+)"")), """")"),"")</f>
        <v/>
      </c>
      <c r="S170" s="9" t="str">
        <f ca="1">IFERROR(__xludf.DUMMYFUNCTION("IFERROR(VALUE(REGEXEXTRACT(TO_TEXT($F170), S$1 &amp; ""x(\d+)"")), """")"),"")</f>
        <v/>
      </c>
      <c r="T170" s="9" t="str">
        <f ca="1">IFERROR(__xludf.DUMMYFUNCTION("IFERROR(VALUE(REGEXEXTRACT(TO_TEXT($F170), T$1 &amp; ""x(\d+)"")), """")"),"")</f>
        <v/>
      </c>
      <c r="U170" s="9" t="str">
        <f ca="1">IFERROR(__xludf.DUMMYFUNCTION("IFERROR(VALUE(REGEXEXTRACT(TO_TEXT($F170), U$1 &amp; ""x(\d+)"")), """")"),"")</f>
        <v/>
      </c>
      <c r="V170" s="9" t="str">
        <f ca="1">IFERROR(__xludf.DUMMYFUNCTION("IFERROR(VALUE(REGEXEXTRACT(TO_TEXT($F170), V$1 &amp; ""x(\d+)"")), """")"),"")</f>
        <v/>
      </c>
      <c r="W170" s="9"/>
      <c r="X170" s="9"/>
      <c r="Y170" s="9"/>
      <c r="Z170" s="9"/>
    </row>
    <row r="171" spans="1:26" ht="15.75" hidden="1" customHeight="1">
      <c r="A171" s="9" t="s">
        <v>117</v>
      </c>
      <c r="B171" s="9" t="s">
        <v>1217</v>
      </c>
      <c r="C171" s="9" t="s">
        <v>118</v>
      </c>
      <c r="D171" s="9" t="s">
        <v>74</v>
      </c>
      <c r="E171" s="9" t="s">
        <v>13</v>
      </c>
      <c r="F171" s="9" t="s">
        <v>1125</v>
      </c>
      <c r="G171" s="9">
        <v>40</v>
      </c>
      <c r="H171" s="9">
        <v>2</v>
      </c>
      <c r="I171" s="9">
        <v>1.0149999999999999</v>
      </c>
      <c r="J171" s="9">
        <v>103</v>
      </c>
      <c r="K171" s="9" t="s">
        <v>424</v>
      </c>
      <c r="L171" s="9"/>
      <c r="M171" s="9"/>
      <c r="N171" s="9" t="str">
        <f ca="1">IFERROR(__xludf.DUMMYFUNCTION("IFERROR(VALUE(REGEXEXTRACT(TO_TEXT($F171), N$1 &amp; ""x(\d+)"")), """")
"),"")</f>
        <v/>
      </c>
      <c r="O171" s="9" t="str">
        <f ca="1">IFERROR(__xludf.DUMMYFUNCTION("IFERROR(VALUE(REGEXEXTRACT(TO_TEXT($F171), O$1 &amp; ""x(\d+)"")), """")"),"")</f>
        <v/>
      </c>
      <c r="P171" s="9" t="str">
        <f ca="1">IFERROR(__xludf.DUMMYFUNCTION("IFERROR(VALUE(REGEXEXTRACT(TO_TEXT($F171), P$1 &amp; ""x(\d+)"")), """")"),"")</f>
        <v/>
      </c>
      <c r="Q171" s="9">
        <f ca="1">IFERROR(__xludf.DUMMYFUNCTION("IFERROR(VALUE(REGEXEXTRACT(TO_TEXT($F171), Q$1 &amp; ""x(\d+)"")), """")"),1)</f>
        <v>1</v>
      </c>
      <c r="R171" s="9" t="str">
        <f ca="1">IFERROR(__xludf.DUMMYFUNCTION("IFERROR(VALUE(REGEXEXTRACT(TO_TEXT($F171), R$1 &amp; ""x(\d+)"")), """")"),"")</f>
        <v/>
      </c>
      <c r="S171" s="9" t="str">
        <f ca="1">IFERROR(__xludf.DUMMYFUNCTION("IFERROR(VALUE(REGEXEXTRACT(TO_TEXT($F171), S$1 &amp; ""x(\d+)"")), """")"),"")</f>
        <v/>
      </c>
      <c r="T171" s="9" t="str">
        <f ca="1">IFERROR(__xludf.DUMMYFUNCTION("IFERROR(VALUE(REGEXEXTRACT(TO_TEXT($F171), T$1 &amp; ""x(\d+)"")), """")"),"")</f>
        <v/>
      </c>
      <c r="U171" s="9" t="str">
        <f ca="1">IFERROR(__xludf.DUMMYFUNCTION("IFERROR(VALUE(REGEXEXTRACT(TO_TEXT($F171), U$1 &amp; ""x(\d+)"")), """")"),"")</f>
        <v/>
      </c>
      <c r="V171" s="9" t="str">
        <f ca="1">IFERROR(__xludf.DUMMYFUNCTION("IFERROR(VALUE(REGEXEXTRACT(TO_TEXT($F171), V$1 &amp; ""x(\d+)"")), """")"),"")</f>
        <v/>
      </c>
      <c r="W171" s="9"/>
      <c r="X171" s="9"/>
      <c r="Y171" s="9"/>
      <c r="Z171" s="9"/>
    </row>
    <row r="172" spans="1:26" ht="15.75" hidden="1" customHeight="1">
      <c r="A172" s="9" t="s">
        <v>120</v>
      </c>
      <c r="B172" s="9" t="s">
        <v>1223</v>
      </c>
      <c r="C172" s="9" t="s">
        <v>121</v>
      </c>
      <c r="D172" s="9" t="s">
        <v>48</v>
      </c>
      <c r="E172" s="9" t="s">
        <v>11</v>
      </c>
      <c r="F172" s="9" t="s">
        <v>1224</v>
      </c>
      <c r="G172" s="9">
        <v>25</v>
      </c>
      <c r="H172" s="9">
        <v>3</v>
      </c>
      <c r="I172" s="9">
        <v>1.0149999999999999</v>
      </c>
      <c r="J172" s="9">
        <v>52</v>
      </c>
      <c r="K172" s="9" t="s">
        <v>424</v>
      </c>
      <c r="L172" s="9"/>
      <c r="M172" s="9"/>
      <c r="N172" s="9" t="str">
        <f ca="1">IFERROR(__xludf.DUMMYFUNCTION("IFERROR(VALUE(REGEXEXTRACT(TO_TEXT($F172), N$1 &amp; ""x(\d+)"")), """")
"),"")</f>
        <v/>
      </c>
      <c r="O172" s="9" t="str">
        <f ca="1">IFERROR(__xludf.DUMMYFUNCTION("IFERROR(VALUE(REGEXEXTRACT(TO_TEXT($F172), O$1 &amp; ""x(\d+)"")), """")"),"")</f>
        <v/>
      </c>
      <c r="P172" s="9" t="str">
        <f ca="1">IFERROR(__xludf.DUMMYFUNCTION("IFERROR(VALUE(REGEXEXTRACT(TO_TEXT($F172), P$1 &amp; ""x(\d+)"")), """")"),"")</f>
        <v/>
      </c>
      <c r="Q172" s="9" t="str">
        <f ca="1">IFERROR(__xludf.DUMMYFUNCTION("IFERROR(VALUE(REGEXEXTRACT(TO_TEXT($F172), Q$1 &amp; ""x(\d+)"")), """")"),"")</f>
        <v/>
      </c>
      <c r="R172" s="9" t="str">
        <f ca="1">IFERROR(__xludf.DUMMYFUNCTION("IFERROR(VALUE(REGEXEXTRACT(TO_TEXT($F172), R$1 &amp; ""x(\d+)"")), """")"),"")</f>
        <v/>
      </c>
      <c r="S172" s="9" t="str">
        <f ca="1">IFERROR(__xludf.DUMMYFUNCTION("IFERROR(VALUE(REGEXEXTRACT(TO_TEXT($F172), S$1 &amp; ""x(\d+)"")), """")"),"")</f>
        <v/>
      </c>
      <c r="T172" s="9" t="str">
        <f ca="1">IFERROR(__xludf.DUMMYFUNCTION("IFERROR(VALUE(REGEXEXTRACT(TO_TEXT($F172), T$1 &amp; ""x(\d+)"")), """")"),"")</f>
        <v/>
      </c>
      <c r="U172" s="9" t="str">
        <f ca="1">IFERROR(__xludf.DUMMYFUNCTION("IFERROR(VALUE(REGEXEXTRACT(TO_TEXT($F172), U$1 &amp; ""x(\d+)"")), """")"),"")</f>
        <v/>
      </c>
      <c r="V172" s="9" t="str">
        <f ca="1">IFERROR(__xludf.DUMMYFUNCTION("IFERROR(VALUE(REGEXEXTRACT(TO_TEXT($F172), V$1 &amp; ""x(\d+)"")), """")"),"")</f>
        <v/>
      </c>
      <c r="W172" s="9"/>
      <c r="X172" s="9"/>
      <c r="Y172" s="9"/>
      <c r="Z172" s="9"/>
    </row>
    <row r="173" spans="1:26" ht="15.75" hidden="1" customHeight="1">
      <c r="A173" s="9" t="s">
        <v>120</v>
      </c>
      <c r="B173" s="9" t="s">
        <v>1223</v>
      </c>
      <c r="C173" s="9" t="s">
        <v>121</v>
      </c>
      <c r="D173" s="9" t="s">
        <v>48</v>
      </c>
      <c r="E173" s="9" t="s">
        <v>12</v>
      </c>
      <c r="F173" s="9" t="s">
        <v>1225</v>
      </c>
      <c r="G173" s="9">
        <v>160</v>
      </c>
      <c r="H173" s="9">
        <v>3</v>
      </c>
      <c r="I173" s="9">
        <v>1.0149999999999999</v>
      </c>
      <c r="J173" s="9">
        <v>52</v>
      </c>
      <c r="K173" s="9" t="s">
        <v>424</v>
      </c>
      <c r="L173" s="9" t="s">
        <v>1030</v>
      </c>
      <c r="M173" s="9"/>
      <c r="N173" s="9" t="str">
        <f ca="1">IFERROR(__xludf.DUMMYFUNCTION("IFERROR(VALUE(REGEXEXTRACT(TO_TEXT($F173), N$1 &amp; ""x(\d+)"")), """")
"),"")</f>
        <v/>
      </c>
      <c r="O173" s="9" t="str">
        <f ca="1">IFERROR(__xludf.DUMMYFUNCTION("IFERROR(VALUE(REGEXEXTRACT(TO_TEXT($F173), O$1 &amp; ""x(\d+)"")), """")"),"")</f>
        <v/>
      </c>
      <c r="P173" s="9">
        <f ca="1">IFERROR(__xludf.DUMMYFUNCTION("IFERROR(VALUE(REGEXEXTRACT(TO_TEXT($F173), P$1 &amp; ""x(\d+)"")), """")"),1)</f>
        <v>1</v>
      </c>
      <c r="Q173" s="9" t="str">
        <f ca="1">IFERROR(__xludf.DUMMYFUNCTION("IFERROR(VALUE(REGEXEXTRACT(TO_TEXT($F173), Q$1 &amp; ""x(\d+)"")), """")"),"")</f>
        <v/>
      </c>
      <c r="R173" s="9" t="str">
        <f ca="1">IFERROR(__xludf.DUMMYFUNCTION("IFERROR(VALUE(REGEXEXTRACT(TO_TEXT($F173), R$1 &amp; ""x(\d+)"")), """")"),"")</f>
        <v/>
      </c>
      <c r="S173" s="9" t="str">
        <f ca="1">IFERROR(__xludf.DUMMYFUNCTION("IFERROR(VALUE(REGEXEXTRACT(TO_TEXT($F173), S$1 &amp; ""x(\d+)"")), """")"),"")</f>
        <v/>
      </c>
      <c r="T173" s="9" t="str">
        <f ca="1">IFERROR(__xludf.DUMMYFUNCTION("IFERROR(VALUE(REGEXEXTRACT(TO_TEXT($F173), T$1 &amp; ""x(\d+)"")), """")"),"")</f>
        <v/>
      </c>
      <c r="U173" s="9" t="str">
        <f ca="1">IFERROR(__xludf.DUMMYFUNCTION("IFERROR(VALUE(REGEXEXTRACT(TO_TEXT($F173), U$1 &amp; ""x(\d+)"")), """")"),"")</f>
        <v/>
      </c>
      <c r="V173" s="9" t="str">
        <f ca="1">IFERROR(__xludf.DUMMYFUNCTION("IFERROR(VALUE(REGEXEXTRACT(TO_TEXT($F173), V$1 &amp; ""x(\d+)"")), """")"),"")</f>
        <v/>
      </c>
      <c r="W173" s="9"/>
      <c r="X173" s="9"/>
      <c r="Y173" s="9"/>
      <c r="Z173" s="9"/>
    </row>
    <row r="174" spans="1:26" ht="15.75" hidden="1" customHeight="1">
      <c r="A174" s="9" t="s">
        <v>120</v>
      </c>
      <c r="B174" s="9" t="s">
        <v>1223</v>
      </c>
      <c r="C174" s="9" t="s">
        <v>121</v>
      </c>
      <c r="D174" s="9" t="s">
        <v>48</v>
      </c>
      <c r="E174" s="9" t="s">
        <v>13</v>
      </c>
      <c r="F174" s="9" t="s">
        <v>1226</v>
      </c>
      <c r="G174" s="9">
        <v>40</v>
      </c>
      <c r="H174" s="9">
        <v>3</v>
      </c>
      <c r="I174" s="9">
        <v>1.0149999999999999</v>
      </c>
      <c r="J174" s="9">
        <v>52</v>
      </c>
      <c r="K174" s="9" t="s">
        <v>424</v>
      </c>
      <c r="L174" s="9"/>
      <c r="M174" s="9"/>
      <c r="N174" s="9" t="str">
        <f ca="1">IFERROR(__xludf.DUMMYFUNCTION("IFERROR(VALUE(REGEXEXTRACT(TO_TEXT($F174), N$1 &amp; ""x(\d+)"")), """")
"),"")</f>
        <v/>
      </c>
      <c r="O174" s="9" t="str">
        <f ca="1">IFERROR(__xludf.DUMMYFUNCTION("IFERROR(VALUE(REGEXEXTRACT(TO_TEXT($F174), O$1 &amp; ""x(\d+)"")), """")"),"")</f>
        <v/>
      </c>
      <c r="P174" s="9">
        <f ca="1">IFERROR(__xludf.DUMMYFUNCTION("IFERROR(VALUE(REGEXEXTRACT(TO_TEXT($F174), P$1 &amp; ""x(\d+)"")), """")"),1)</f>
        <v>1</v>
      </c>
      <c r="Q174" s="9" t="str">
        <f ca="1">IFERROR(__xludf.DUMMYFUNCTION("IFERROR(VALUE(REGEXEXTRACT(TO_TEXT($F174), Q$1 &amp; ""x(\d+)"")), """")"),"")</f>
        <v/>
      </c>
      <c r="R174" s="9" t="str">
        <f ca="1">IFERROR(__xludf.DUMMYFUNCTION("IFERROR(VALUE(REGEXEXTRACT(TO_TEXT($F174), R$1 &amp; ""x(\d+)"")), """")"),"")</f>
        <v/>
      </c>
      <c r="S174" s="9" t="str">
        <f ca="1">IFERROR(__xludf.DUMMYFUNCTION("IFERROR(VALUE(REGEXEXTRACT(TO_TEXT($F174), S$1 &amp; ""x(\d+)"")), """")"),"")</f>
        <v/>
      </c>
      <c r="T174" s="9" t="str">
        <f ca="1">IFERROR(__xludf.DUMMYFUNCTION("IFERROR(VALUE(REGEXEXTRACT(TO_TEXT($F174), T$1 &amp; ""x(\d+)"")), """")"),"")</f>
        <v/>
      </c>
      <c r="U174" s="9" t="str">
        <f ca="1">IFERROR(__xludf.DUMMYFUNCTION("IFERROR(VALUE(REGEXEXTRACT(TO_TEXT($F174), U$1 &amp; ""x(\d+)"")), """")"),"")</f>
        <v/>
      </c>
      <c r="V174" s="9" t="str">
        <f ca="1">IFERROR(__xludf.DUMMYFUNCTION("IFERROR(VALUE(REGEXEXTRACT(TO_TEXT($F174), V$1 &amp; ""x(\d+)"")), """")"),"")</f>
        <v/>
      </c>
      <c r="W174" s="9"/>
      <c r="X174" s="9"/>
      <c r="Y174" s="9"/>
      <c r="Z174" s="9"/>
    </row>
    <row r="175" spans="1:26" ht="15.75" hidden="1" customHeight="1">
      <c r="A175" s="9" t="s">
        <v>1227</v>
      </c>
      <c r="B175" s="9" t="s">
        <v>1228</v>
      </c>
      <c r="C175" s="9" t="s">
        <v>473</v>
      </c>
      <c r="D175" s="9" t="s">
        <v>48</v>
      </c>
      <c r="E175" s="9" t="s">
        <v>11</v>
      </c>
      <c r="F175" s="9" t="s">
        <v>1188</v>
      </c>
      <c r="G175" s="9">
        <v>30</v>
      </c>
      <c r="H175" s="9">
        <v>5</v>
      </c>
      <c r="I175" s="9">
        <v>1.0149999999999999</v>
      </c>
      <c r="J175" s="9">
        <v>52</v>
      </c>
      <c r="K175" s="9" t="s">
        <v>424</v>
      </c>
      <c r="L175" s="9"/>
      <c r="M175" s="9"/>
      <c r="N175" s="9" t="str">
        <f ca="1">IFERROR(__xludf.DUMMYFUNCTION("IFERROR(VALUE(REGEXEXTRACT(TO_TEXT($F175), N$1 &amp; ""x(\d+)"")), """")
"),"")</f>
        <v/>
      </c>
      <c r="O175" s="9">
        <f ca="1">IFERROR(__xludf.DUMMYFUNCTION("IFERROR(VALUE(REGEXEXTRACT(TO_TEXT($F175), O$1 &amp; ""x(\d+)"")), """")"),1)</f>
        <v>1</v>
      </c>
      <c r="P175" s="9" t="str">
        <f ca="1">IFERROR(__xludf.DUMMYFUNCTION("IFERROR(VALUE(REGEXEXTRACT(TO_TEXT($F175), P$1 &amp; ""x(\d+)"")), """")"),"")</f>
        <v/>
      </c>
      <c r="Q175" s="9" t="str">
        <f ca="1">IFERROR(__xludf.DUMMYFUNCTION("IFERROR(VALUE(REGEXEXTRACT(TO_TEXT($F175), Q$1 &amp; ""x(\d+)"")), """")"),"")</f>
        <v/>
      </c>
      <c r="R175" s="9" t="str">
        <f ca="1">IFERROR(__xludf.DUMMYFUNCTION("IFERROR(VALUE(REGEXEXTRACT(TO_TEXT($F175), R$1 &amp; ""x(\d+)"")), """")"),"")</f>
        <v/>
      </c>
      <c r="S175" s="9" t="str">
        <f ca="1">IFERROR(__xludf.DUMMYFUNCTION("IFERROR(VALUE(REGEXEXTRACT(TO_TEXT($F175), S$1 &amp; ""x(\d+)"")), """")"),"")</f>
        <v/>
      </c>
      <c r="T175" s="9" t="str">
        <f ca="1">IFERROR(__xludf.DUMMYFUNCTION("IFERROR(VALUE(REGEXEXTRACT(TO_TEXT($F175), T$1 &amp; ""x(\d+)"")), """")"),"")</f>
        <v/>
      </c>
      <c r="U175" s="9" t="str">
        <f ca="1">IFERROR(__xludf.DUMMYFUNCTION("IFERROR(VALUE(REGEXEXTRACT(TO_TEXT($F175), U$1 &amp; ""x(\d+)"")), """")"),"")</f>
        <v/>
      </c>
      <c r="V175" s="9" t="str">
        <f ca="1">IFERROR(__xludf.DUMMYFUNCTION("IFERROR(VALUE(REGEXEXTRACT(TO_TEXT($F175), V$1 &amp; ""x(\d+)"")), """")"),"")</f>
        <v/>
      </c>
      <c r="W175" s="9"/>
      <c r="X175" s="9"/>
      <c r="Y175" s="9"/>
      <c r="Z175" s="9"/>
    </row>
    <row r="176" spans="1:26" ht="15.75" hidden="1" customHeight="1">
      <c r="A176" s="9" t="s">
        <v>1227</v>
      </c>
      <c r="B176" s="9" t="s">
        <v>1228</v>
      </c>
      <c r="C176" s="9" t="s">
        <v>473</v>
      </c>
      <c r="D176" s="9" t="s">
        <v>48</v>
      </c>
      <c r="E176" s="9" t="s">
        <v>12</v>
      </c>
      <c r="F176" s="9" t="s">
        <v>1229</v>
      </c>
      <c r="G176" s="9">
        <v>140</v>
      </c>
      <c r="H176" s="9">
        <v>5</v>
      </c>
      <c r="I176" s="9">
        <v>1.0149999999999999</v>
      </c>
      <c r="J176" s="9">
        <v>52</v>
      </c>
      <c r="K176" s="9" t="s">
        <v>424</v>
      </c>
      <c r="L176" s="9" t="s">
        <v>1015</v>
      </c>
      <c r="M176" s="9"/>
      <c r="N176" s="9" t="str">
        <f ca="1">IFERROR(__xludf.DUMMYFUNCTION("IFERROR(VALUE(REGEXEXTRACT(TO_TEXT($F176), N$1 &amp; ""x(\d+)"")), """")
"),"")</f>
        <v/>
      </c>
      <c r="O176" s="9" t="str">
        <f ca="1">IFERROR(__xludf.DUMMYFUNCTION("IFERROR(VALUE(REGEXEXTRACT(TO_TEXT($F176), O$1 &amp; ""x(\d+)"")), """")"),"")</f>
        <v/>
      </c>
      <c r="P176" s="9">
        <f ca="1">IFERROR(__xludf.DUMMYFUNCTION("IFERROR(VALUE(REGEXEXTRACT(TO_TEXT($F176), P$1 &amp; ""x(\d+)"")), """")"),1)</f>
        <v>1</v>
      </c>
      <c r="Q176" s="9" t="str">
        <f ca="1">IFERROR(__xludf.DUMMYFUNCTION("IFERROR(VALUE(REGEXEXTRACT(TO_TEXT($F176), Q$1 &amp; ""x(\d+)"")), """")"),"")</f>
        <v/>
      </c>
      <c r="R176" s="9" t="str">
        <f ca="1">IFERROR(__xludf.DUMMYFUNCTION("IFERROR(VALUE(REGEXEXTRACT(TO_TEXT($F176), R$1 &amp; ""x(\d+)"")), """")"),"")</f>
        <v/>
      </c>
      <c r="S176" s="9" t="str">
        <f ca="1">IFERROR(__xludf.DUMMYFUNCTION("IFERROR(VALUE(REGEXEXTRACT(TO_TEXT($F176), S$1 &amp; ""x(\d+)"")), """")"),"")</f>
        <v/>
      </c>
      <c r="T176" s="9">
        <f ca="1">IFERROR(__xludf.DUMMYFUNCTION("IFERROR(VALUE(REGEXEXTRACT(TO_TEXT($F176), T$1 &amp; ""x(\d+)"")), """")"),1)</f>
        <v>1</v>
      </c>
      <c r="U176" s="9" t="str">
        <f ca="1">IFERROR(__xludf.DUMMYFUNCTION("IFERROR(VALUE(REGEXEXTRACT(TO_TEXT($F176), U$1 &amp; ""x(\d+)"")), """")"),"")</f>
        <v/>
      </c>
      <c r="V176" s="9" t="str">
        <f ca="1">IFERROR(__xludf.DUMMYFUNCTION("IFERROR(VALUE(REGEXEXTRACT(TO_TEXT($F176), V$1 &amp; ""x(\d+)"")), """")"),"")</f>
        <v/>
      </c>
      <c r="W176" s="9"/>
      <c r="X176" s="9"/>
      <c r="Y176" s="9"/>
      <c r="Z176" s="9"/>
    </row>
    <row r="177" spans="1:26" ht="15.75" hidden="1" customHeight="1">
      <c r="A177" s="9" t="s">
        <v>1227</v>
      </c>
      <c r="B177" s="9" t="s">
        <v>1228</v>
      </c>
      <c r="C177" s="9" t="s">
        <v>473</v>
      </c>
      <c r="D177" s="9" t="s">
        <v>48</v>
      </c>
      <c r="E177" s="9" t="s">
        <v>13</v>
      </c>
      <c r="F177" s="9" t="s">
        <v>1230</v>
      </c>
      <c r="G177" s="9">
        <v>40</v>
      </c>
      <c r="H177" s="9">
        <v>5</v>
      </c>
      <c r="I177" s="9">
        <v>1.0149999999999999</v>
      </c>
      <c r="J177" s="9">
        <v>52</v>
      </c>
      <c r="K177" s="9" t="s">
        <v>424</v>
      </c>
      <c r="L177" s="9"/>
      <c r="M177" s="9"/>
      <c r="N177" s="9" t="str">
        <f ca="1">IFERROR(__xludf.DUMMYFUNCTION("IFERROR(VALUE(REGEXEXTRACT(TO_TEXT($F177), N$1 &amp; ""x(\d+)"")), """")
"),"")</f>
        <v/>
      </c>
      <c r="O177" s="9" t="str">
        <f ca="1">IFERROR(__xludf.DUMMYFUNCTION("IFERROR(VALUE(REGEXEXTRACT(TO_TEXT($F177), O$1 &amp; ""x(\d+)"")), """")"),"")</f>
        <v/>
      </c>
      <c r="P177" s="9">
        <f ca="1">IFERROR(__xludf.DUMMYFUNCTION("IFERROR(VALUE(REGEXEXTRACT(TO_TEXT($F177), P$1 &amp; ""x(\d+)"")), """")"),1)</f>
        <v>1</v>
      </c>
      <c r="Q177" s="9" t="str">
        <f ca="1">IFERROR(__xludf.DUMMYFUNCTION("IFERROR(VALUE(REGEXEXTRACT(TO_TEXT($F177), Q$1 &amp; ""x(\d+)"")), """")"),"")</f>
        <v/>
      </c>
      <c r="R177" s="9" t="str">
        <f ca="1">IFERROR(__xludf.DUMMYFUNCTION("IFERROR(VALUE(REGEXEXTRACT(TO_TEXT($F177), R$1 &amp; ""x(\d+)"")), """")"),"")</f>
        <v/>
      </c>
      <c r="S177" s="9" t="str">
        <f ca="1">IFERROR(__xludf.DUMMYFUNCTION("IFERROR(VALUE(REGEXEXTRACT(TO_TEXT($F177), S$1 &amp; ""x(\d+)"")), """")"),"")</f>
        <v/>
      </c>
      <c r="T177" s="9">
        <f ca="1">IFERROR(__xludf.DUMMYFUNCTION("IFERROR(VALUE(REGEXEXTRACT(TO_TEXT($F177), T$1 &amp; ""x(\d+)"")), """")"),1)</f>
        <v>1</v>
      </c>
      <c r="U177" s="9" t="str">
        <f ca="1">IFERROR(__xludf.DUMMYFUNCTION("IFERROR(VALUE(REGEXEXTRACT(TO_TEXT($F177), U$1 &amp; ""x(\d+)"")), """")"),"")</f>
        <v/>
      </c>
      <c r="V177" s="9" t="str">
        <f ca="1">IFERROR(__xludf.DUMMYFUNCTION("IFERROR(VALUE(REGEXEXTRACT(TO_TEXT($F177), V$1 &amp; ""x(\d+)"")), """")"),"")</f>
        <v/>
      </c>
      <c r="W177" s="9"/>
      <c r="X177" s="9"/>
      <c r="Y177" s="9"/>
      <c r="Z177" s="9"/>
    </row>
    <row r="178" spans="1:26" ht="15.75" hidden="1" customHeight="1">
      <c r="A178" s="9" t="s">
        <v>1227</v>
      </c>
      <c r="B178" s="9" t="s">
        <v>1228</v>
      </c>
      <c r="C178" s="9" t="s">
        <v>473</v>
      </c>
      <c r="D178" s="9" t="s">
        <v>74</v>
      </c>
      <c r="E178" s="9" t="s">
        <v>11</v>
      </c>
      <c r="F178" s="9" t="s">
        <v>1231</v>
      </c>
      <c r="G178" s="9">
        <v>30</v>
      </c>
      <c r="H178" s="9">
        <v>3</v>
      </c>
      <c r="I178" s="9">
        <v>1.0149999999999999</v>
      </c>
      <c r="J178" s="9">
        <v>103</v>
      </c>
      <c r="K178" s="9" t="s">
        <v>424</v>
      </c>
      <c r="L178" s="9"/>
      <c r="M178" s="9"/>
      <c r="N178" s="9" t="str">
        <f ca="1">IFERROR(__xludf.DUMMYFUNCTION("IFERROR(VALUE(REGEXEXTRACT(TO_TEXT($F178), N$1 &amp; ""x(\d+)"")), """")
"),"")</f>
        <v/>
      </c>
      <c r="O178" s="9">
        <f ca="1">IFERROR(__xludf.DUMMYFUNCTION("IFERROR(VALUE(REGEXEXTRACT(TO_TEXT($F178), O$1 &amp; ""x(\d+)"")), """")"),1)</f>
        <v>1</v>
      </c>
      <c r="P178" s="9" t="str">
        <f ca="1">IFERROR(__xludf.DUMMYFUNCTION("IFERROR(VALUE(REGEXEXTRACT(TO_TEXT($F178), P$1 &amp; ""x(\d+)"")), """")"),"")</f>
        <v/>
      </c>
      <c r="Q178" s="9" t="str">
        <f ca="1">IFERROR(__xludf.DUMMYFUNCTION("IFERROR(VALUE(REGEXEXTRACT(TO_TEXT($F178), Q$1 &amp; ""x(\d+)"")), """")"),"")</f>
        <v/>
      </c>
      <c r="R178" s="9" t="str">
        <f ca="1">IFERROR(__xludf.DUMMYFUNCTION("IFERROR(VALUE(REGEXEXTRACT(TO_TEXT($F178), R$1 &amp; ""x(\d+)"")), """")"),"")</f>
        <v/>
      </c>
      <c r="S178" s="9" t="str">
        <f ca="1">IFERROR(__xludf.DUMMYFUNCTION("IFERROR(VALUE(REGEXEXTRACT(TO_TEXT($F178), S$1 &amp; ""x(\d+)"")), """")"),"")</f>
        <v/>
      </c>
      <c r="T178" s="9" t="str">
        <f ca="1">IFERROR(__xludf.DUMMYFUNCTION("IFERROR(VALUE(REGEXEXTRACT(TO_TEXT($F178), T$1 &amp; ""x(\d+)"")), """")"),"")</f>
        <v/>
      </c>
      <c r="U178" s="9" t="str">
        <f ca="1">IFERROR(__xludf.DUMMYFUNCTION("IFERROR(VALUE(REGEXEXTRACT(TO_TEXT($F178), U$1 &amp; ""x(\d+)"")), """")"),"")</f>
        <v/>
      </c>
      <c r="V178" s="9" t="str">
        <f ca="1">IFERROR(__xludf.DUMMYFUNCTION("IFERROR(VALUE(REGEXEXTRACT(TO_TEXT($F178), V$1 &amp; ""x(\d+)"")), """")"),"")</f>
        <v/>
      </c>
      <c r="W178" s="9"/>
      <c r="X178" s="9"/>
      <c r="Y178" s="9"/>
      <c r="Z178" s="9"/>
    </row>
    <row r="179" spans="1:26" ht="15.75" hidden="1" customHeight="1">
      <c r="A179" s="9" t="s">
        <v>1227</v>
      </c>
      <c r="B179" s="9" t="s">
        <v>1228</v>
      </c>
      <c r="C179" s="9" t="s">
        <v>473</v>
      </c>
      <c r="D179" s="9" t="s">
        <v>74</v>
      </c>
      <c r="E179" s="9" t="s">
        <v>12</v>
      </c>
      <c r="F179" s="9" t="s">
        <v>1232</v>
      </c>
      <c r="G179" s="9">
        <v>190</v>
      </c>
      <c r="H179" s="9">
        <v>3</v>
      </c>
      <c r="I179" s="9">
        <v>1.0149999999999999</v>
      </c>
      <c r="J179" s="9">
        <v>103</v>
      </c>
      <c r="K179" s="9" t="s">
        <v>424</v>
      </c>
      <c r="L179" s="9" t="s">
        <v>1015</v>
      </c>
      <c r="M179" s="9"/>
      <c r="N179" s="9" t="str">
        <f ca="1">IFERROR(__xludf.DUMMYFUNCTION("IFERROR(VALUE(REGEXEXTRACT(TO_TEXT($F179), N$1 &amp; ""x(\d+)"")), """")
"),"")</f>
        <v/>
      </c>
      <c r="O179" s="9" t="str">
        <f ca="1">IFERROR(__xludf.DUMMYFUNCTION("IFERROR(VALUE(REGEXEXTRACT(TO_TEXT($F179), O$1 &amp; ""x(\d+)"")), """")"),"")</f>
        <v/>
      </c>
      <c r="P179" s="9" t="str">
        <f ca="1">IFERROR(__xludf.DUMMYFUNCTION("IFERROR(VALUE(REGEXEXTRACT(TO_TEXT($F179), P$1 &amp; ""x(\d+)"")), """")"),"")</f>
        <v/>
      </c>
      <c r="Q179" s="9">
        <f ca="1">IFERROR(__xludf.DUMMYFUNCTION("IFERROR(VALUE(REGEXEXTRACT(TO_TEXT($F179), Q$1 &amp; ""x(\d+)"")), """")"),1)</f>
        <v>1</v>
      </c>
      <c r="R179" s="9" t="str">
        <f ca="1">IFERROR(__xludf.DUMMYFUNCTION("IFERROR(VALUE(REGEXEXTRACT(TO_TEXT($F179), R$1 &amp; ""x(\d+)"")), """")"),"")</f>
        <v/>
      </c>
      <c r="S179" s="9" t="str">
        <f ca="1">IFERROR(__xludf.DUMMYFUNCTION("IFERROR(VALUE(REGEXEXTRACT(TO_TEXT($F179), S$1 &amp; ""x(\d+)"")), """")"),"")</f>
        <v/>
      </c>
      <c r="T179" s="9" t="str">
        <f ca="1">IFERROR(__xludf.DUMMYFUNCTION("IFERROR(VALUE(REGEXEXTRACT(TO_TEXT($F179), T$1 &amp; ""x(\d+)"")), """")"),"")</f>
        <v/>
      </c>
      <c r="U179" s="9" t="str">
        <f ca="1">IFERROR(__xludf.DUMMYFUNCTION("IFERROR(VALUE(REGEXEXTRACT(TO_TEXT($F179), U$1 &amp; ""x(\d+)"")), """")"),"")</f>
        <v/>
      </c>
      <c r="V179" s="9" t="str">
        <f ca="1">IFERROR(__xludf.DUMMYFUNCTION("IFERROR(VALUE(REGEXEXTRACT(TO_TEXT($F179), V$1 &amp; ""x(\d+)"")), """")"),"")</f>
        <v/>
      </c>
      <c r="W179" s="9"/>
      <c r="X179" s="9"/>
      <c r="Y179" s="9"/>
      <c r="Z179" s="9"/>
    </row>
    <row r="180" spans="1:26" ht="15.75" hidden="1" customHeight="1">
      <c r="A180" s="9" t="s">
        <v>1227</v>
      </c>
      <c r="B180" s="9" t="s">
        <v>1228</v>
      </c>
      <c r="C180" s="9" t="s">
        <v>473</v>
      </c>
      <c r="D180" s="9" t="s">
        <v>74</v>
      </c>
      <c r="E180" s="9" t="s">
        <v>13</v>
      </c>
      <c r="F180" s="9" t="s">
        <v>1233</v>
      </c>
      <c r="G180" s="9">
        <v>40</v>
      </c>
      <c r="H180" s="9">
        <v>3</v>
      </c>
      <c r="I180" s="9">
        <v>1.0149999999999999</v>
      </c>
      <c r="J180" s="9">
        <v>103</v>
      </c>
      <c r="K180" s="9" t="s">
        <v>424</v>
      </c>
      <c r="L180" s="9"/>
      <c r="M180" s="9"/>
      <c r="N180" s="9" t="str">
        <f ca="1">IFERROR(__xludf.DUMMYFUNCTION("IFERROR(VALUE(REGEXEXTRACT(TO_TEXT($F180), N$1 &amp; ""x(\d+)"")), """")
"),"")</f>
        <v/>
      </c>
      <c r="O180" s="9" t="str">
        <f ca="1">IFERROR(__xludf.DUMMYFUNCTION("IFERROR(VALUE(REGEXEXTRACT(TO_TEXT($F180), O$1 &amp; ""x(\d+)"")), """")"),"")</f>
        <v/>
      </c>
      <c r="P180" s="9" t="str">
        <f ca="1">IFERROR(__xludf.DUMMYFUNCTION("IFERROR(VALUE(REGEXEXTRACT(TO_TEXT($F180), P$1 &amp; ""x(\d+)"")), """")"),"")</f>
        <v/>
      </c>
      <c r="Q180" s="9">
        <f ca="1">IFERROR(__xludf.DUMMYFUNCTION("IFERROR(VALUE(REGEXEXTRACT(TO_TEXT($F180), Q$1 &amp; ""x(\d+)"")), """")"),1)</f>
        <v>1</v>
      </c>
      <c r="R180" s="9" t="str">
        <f ca="1">IFERROR(__xludf.DUMMYFUNCTION("IFERROR(VALUE(REGEXEXTRACT(TO_TEXT($F180), R$1 &amp; ""x(\d+)"")), """")"),"")</f>
        <v/>
      </c>
      <c r="S180" s="9" t="str">
        <f ca="1">IFERROR(__xludf.DUMMYFUNCTION("IFERROR(VALUE(REGEXEXTRACT(TO_TEXT($F180), S$1 &amp; ""x(\d+)"")), """")"),"")</f>
        <v/>
      </c>
      <c r="T180" s="9" t="str">
        <f ca="1">IFERROR(__xludf.DUMMYFUNCTION("IFERROR(VALUE(REGEXEXTRACT(TO_TEXT($F180), T$1 &amp; ""x(\d+)"")), """")"),"")</f>
        <v/>
      </c>
      <c r="U180" s="9" t="str">
        <f ca="1">IFERROR(__xludf.DUMMYFUNCTION("IFERROR(VALUE(REGEXEXTRACT(TO_TEXT($F180), U$1 &amp; ""x(\d+)"")), """")"),"")</f>
        <v/>
      </c>
      <c r="V180" s="9" t="str">
        <f ca="1">IFERROR(__xludf.DUMMYFUNCTION("IFERROR(VALUE(REGEXEXTRACT(TO_TEXT($F180), V$1 &amp; ""x(\d+)"")), """")"),"")</f>
        <v/>
      </c>
      <c r="W180" s="9"/>
      <c r="X180" s="9"/>
      <c r="Y180" s="9"/>
      <c r="Z180" s="9"/>
    </row>
    <row r="181" spans="1:26" ht="15.75" customHeight="1">
      <c r="A181" s="9" t="s">
        <v>247</v>
      </c>
      <c r="B181" s="9" t="s">
        <v>1234</v>
      </c>
      <c r="C181" s="9" t="s">
        <v>248</v>
      </c>
      <c r="D181" s="9" t="s">
        <v>33</v>
      </c>
      <c r="E181" s="9" t="s">
        <v>11</v>
      </c>
      <c r="F181" s="9" t="s">
        <v>1235</v>
      </c>
      <c r="G181" s="9">
        <v>70</v>
      </c>
      <c r="H181" s="9">
        <v>4</v>
      </c>
      <c r="I181" s="9">
        <v>1.0149999999999999</v>
      </c>
      <c r="J181" s="9">
        <v>100</v>
      </c>
      <c r="K181" s="9" t="s">
        <v>442</v>
      </c>
      <c r="L181" s="9"/>
      <c r="M181" s="9"/>
      <c r="N181" s="9" t="str">
        <f ca="1">IFERROR(__xludf.DUMMYFUNCTION("IFERROR(VALUE(REGEXEXTRACT(TO_TEXT($F181), N$1 &amp; ""x(\d+)"")), """")
"),"")</f>
        <v/>
      </c>
      <c r="O181" s="9">
        <f ca="1">IFERROR(__xludf.DUMMYFUNCTION("IFERROR(VALUE(REGEXEXTRACT(TO_TEXT($F181), O$1 &amp; ""x(\d+)"")), """")"),1)</f>
        <v>1</v>
      </c>
      <c r="P181" s="9" t="str">
        <f ca="1">IFERROR(__xludf.DUMMYFUNCTION("IFERROR(VALUE(REGEXEXTRACT(TO_TEXT($F181), P$1 &amp; ""x(\d+)"")), """")"),"")</f>
        <v/>
      </c>
      <c r="Q181" s="9" t="str">
        <f ca="1">IFERROR(__xludf.DUMMYFUNCTION("IFERROR(VALUE(REGEXEXTRACT(TO_TEXT($F181), Q$1 &amp; ""x(\d+)"")), """")"),"")</f>
        <v/>
      </c>
      <c r="R181" s="9" t="str">
        <f ca="1">IFERROR(__xludf.DUMMYFUNCTION("IFERROR(VALUE(REGEXEXTRACT(TO_TEXT($F181), R$1 &amp; ""x(\d+)"")), """")"),"")</f>
        <v/>
      </c>
      <c r="S181" s="9" t="str">
        <f ca="1">IFERROR(__xludf.DUMMYFUNCTION("IFERROR(VALUE(REGEXEXTRACT(TO_TEXT($F181), S$1 &amp; ""x(\d+)"")), """")"),"")</f>
        <v/>
      </c>
      <c r="T181" s="9" t="str">
        <f ca="1">IFERROR(__xludf.DUMMYFUNCTION("IFERROR(VALUE(REGEXEXTRACT(TO_TEXT($F181), T$1 &amp; ""x(\d+)"")), """")"),"")</f>
        <v/>
      </c>
      <c r="U181" s="9" t="str">
        <f ca="1">IFERROR(__xludf.DUMMYFUNCTION("IFERROR(VALUE(REGEXEXTRACT(TO_TEXT($F181), U$1 &amp; ""x(\d+)"")), """")"),"")</f>
        <v/>
      </c>
      <c r="V181" s="9" t="str">
        <f ca="1">IFERROR(__xludf.DUMMYFUNCTION("IFERROR(VALUE(REGEXEXTRACT(TO_TEXT($F181), V$1 &amp; ""x(\d+)"")), """")"),"")</f>
        <v/>
      </c>
      <c r="W181" s="9"/>
      <c r="X181" s="9"/>
      <c r="Y181" s="9"/>
      <c r="Z181" s="9"/>
    </row>
    <row r="182" spans="1:26" ht="15.75" customHeight="1">
      <c r="A182" s="9" t="s">
        <v>247</v>
      </c>
      <c r="B182" s="9" t="s">
        <v>1234</v>
      </c>
      <c r="C182" s="9" t="s">
        <v>248</v>
      </c>
      <c r="D182" s="9" t="s">
        <v>33</v>
      </c>
      <c r="E182" s="9" t="s">
        <v>12</v>
      </c>
      <c r="F182" s="9" t="s">
        <v>1236</v>
      </c>
      <c r="G182" s="9">
        <v>40</v>
      </c>
      <c r="H182" s="9">
        <v>4</v>
      </c>
      <c r="I182" s="9">
        <v>1.0149999999999999</v>
      </c>
      <c r="J182" s="9">
        <v>100</v>
      </c>
      <c r="K182" s="9" t="s">
        <v>442</v>
      </c>
      <c r="L182" s="9"/>
      <c r="M182" s="9"/>
      <c r="N182" s="9" t="str">
        <f ca="1">IFERROR(__xludf.DUMMYFUNCTION("IFERROR(VALUE(REGEXEXTRACT(TO_TEXT($F182), N$1 &amp; ""x(\d+)"")), """")
"),"")</f>
        <v/>
      </c>
      <c r="O182" s="9">
        <f ca="1">IFERROR(__xludf.DUMMYFUNCTION("IFERROR(VALUE(REGEXEXTRACT(TO_TEXT($F182), O$1 &amp; ""x(\d+)"")), """")"),1)</f>
        <v>1</v>
      </c>
      <c r="P182" s="9" t="str">
        <f ca="1">IFERROR(__xludf.DUMMYFUNCTION("IFERROR(VALUE(REGEXEXTRACT(TO_TEXT($F182), P$1 &amp; ""x(\d+)"")), """")"),"")</f>
        <v/>
      </c>
      <c r="Q182" s="9" t="str">
        <f ca="1">IFERROR(__xludf.DUMMYFUNCTION("IFERROR(VALUE(REGEXEXTRACT(TO_TEXT($F182), Q$1 &amp; ""x(\d+)"")), """")"),"")</f>
        <v/>
      </c>
      <c r="R182" s="9" t="str">
        <f ca="1">IFERROR(__xludf.DUMMYFUNCTION("IFERROR(VALUE(REGEXEXTRACT(TO_TEXT($F182), R$1 &amp; ""x(\d+)"")), """")"),"")</f>
        <v/>
      </c>
      <c r="S182" s="9" t="str">
        <f ca="1">IFERROR(__xludf.DUMMYFUNCTION("IFERROR(VALUE(REGEXEXTRACT(TO_TEXT($F182), S$1 &amp; ""x(\d+)"")), """")"),"")</f>
        <v/>
      </c>
      <c r="T182" s="9" t="str">
        <f ca="1">IFERROR(__xludf.DUMMYFUNCTION("IFERROR(VALUE(REGEXEXTRACT(TO_TEXT($F182), T$1 &amp; ""x(\d+)"")), """")"),"")</f>
        <v/>
      </c>
      <c r="U182" s="9" t="str">
        <f ca="1">IFERROR(__xludf.DUMMYFUNCTION("IFERROR(VALUE(REGEXEXTRACT(TO_TEXT($F182), U$1 &amp; ""x(\d+)"")), """")"),"")</f>
        <v/>
      </c>
      <c r="V182" s="9" t="str">
        <f ca="1">IFERROR(__xludf.DUMMYFUNCTION("IFERROR(VALUE(REGEXEXTRACT(TO_TEXT($F182), V$1 &amp; ""x(\d+)"")), """")"),"")</f>
        <v/>
      </c>
      <c r="W182" s="9"/>
      <c r="X182" s="9"/>
      <c r="Y182" s="9"/>
      <c r="Z182" s="9"/>
    </row>
    <row r="183" spans="1:26" ht="15.75" customHeight="1">
      <c r="A183" s="9" t="s">
        <v>247</v>
      </c>
      <c r="B183" s="9" t="s">
        <v>1234</v>
      </c>
      <c r="C183" s="9" t="s">
        <v>248</v>
      </c>
      <c r="D183" s="9" t="s">
        <v>33</v>
      </c>
      <c r="E183" s="9" t="s">
        <v>13</v>
      </c>
      <c r="F183" s="9" t="s">
        <v>1095</v>
      </c>
      <c r="G183" s="9">
        <v>10</v>
      </c>
      <c r="H183" s="9">
        <v>4</v>
      </c>
      <c r="I183" s="9">
        <v>1.0149999999999999</v>
      </c>
      <c r="J183" s="9">
        <v>100</v>
      </c>
      <c r="K183" s="9" t="s">
        <v>442</v>
      </c>
      <c r="L183" s="9"/>
      <c r="M183" s="9"/>
      <c r="N183" s="9" t="str">
        <f ca="1">IFERROR(__xludf.DUMMYFUNCTION("IFERROR(VALUE(REGEXEXTRACT(TO_TEXT($F183), N$1 &amp; ""x(\d+)"")), """")
"),"")</f>
        <v/>
      </c>
      <c r="O183" s="9">
        <f ca="1">IFERROR(__xludf.DUMMYFUNCTION("IFERROR(VALUE(REGEXEXTRACT(TO_TEXT($F183), O$1 &amp; ""x(\d+)"")), """")"),1)</f>
        <v>1</v>
      </c>
      <c r="P183" s="9" t="str">
        <f ca="1">IFERROR(__xludf.DUMMYFUNCTION("IFERROR(VALUE(REGEXEXTRACT(TO_TEXT($F183), P$1 &amp; ""x(\d+)"")), """")"),"")</f>
        <v/>
      </c>
      <c r="Q183" s="9" t="str">
        <f ca="1">IFERROR(__xludf.DUMMYFUNCTION("IFERROR(VALUE(REGEXEXTRACT(TO_TEXT($F183), Q$1 &amp; ""x(\d+)"")), """")"),"")</f>
        <v/>
      </c>
      <c r="R183" s="9" t="str">
        <f ca="1">IFERROR(__xludf.DUMMYFUNCTION("IFERROR(VALUE(REGEXEXTRACT(TO_TEXT($F183), R$1 &amp; ""x(\d+)"")), """")"),"")</f>
        <v/>
      </c>
      <c r="S183" s="9" t="str">
        <f ca="1">IFERROR(__xludf.DUMMYFUNCTION("IFERROR(VALUE(REGEXEXTRACT(TO_TEXT($F183), S$1 &amp; ""x(\d+)"")), """")"),"")</f>
        <v/>
      </c>
      <c r="T183" s="9" t="str">
        <f ca="1">IFERROR(__xludf.DUMMYFUNCTION("IFERROR(VALUE(REGEXEXTRACT(TO_TEXT($F183), T$1 &amp; ""x(\d+)"")), """")"),"")</f>
        <v/>
      </c>
      <c r="U183" s="9" t="str">
        <f ca="1">IFERROR(__xludf.DUMMYFUNCTION("IFERROR(VALUE(REGEXEXTRACT(TO_TEXT($F183), U$1 &amp; ""x(\d+)"")), """")"),"")</f>
        <v/>
      </c>
      <c r="V183" s="9" t="str">
        <f ca="1">IFERROR(__xludf.DUMMYFUNCTION("IFERROR(VALUE(REGEXEXTRACT(TO_TEXT($F183), V$1 &amp; ""x(\d+)"")), """")"),"")</f>
        <v/>
      </c>
      <c r="W183" s="9"/>
      <c r="X183" s="9"/>
      <c r="Y183" s="9"/>
      <c r="Z183" s="9"/>
    </row>
    <row r="184" spans="1:26" ht="15.75" customHeight="1">
      <c r="A184" s="9" t="s">
        <v>1237</v>
      </c>
      <c r="B184" s="9" t="s">
        <v>1238</v>
      </c>
      <c r="C184" s="9" t="s">
        <v>462</v>
      </c>
      <c r="D184" s="9" t="s">
        <v>33</v>
      </c>
      <c r="E184" s="9" t="s">
        <v>11</v>
      </c>
      <c r="F184" s="9" t="s">
        <v>1239</v>
      </c>
      <c r="G184" s="9">
        <v>50</v>
      </c>
      <c r="H184" s="9">
        <v>5</v>
      </c>
      <c r="I184" s="9">
        <v>1.0149999999999999</v>
      </c>
      <c r="J184" s="9">
        <v>95</v>
      </c>
      <c r="K184" s="9" t="s">
        <v>442</v>
      </c>
      <c r="L184" s="9"/>
      <c r="M184" s="9"/>
      <c r="N184" s="9" t="str">
        <f ca="1">IFERROR(__xludf.DUMMYFUNCTION("IFERROR(VALUE(REGEXEXTRACT(TO_TEXT($F184), N$1 &amp; ""x(\d+)"")), """")
"),"")</f>
        <v/>
      </c>
      <c r="O184" s="9" t="str">
        <f ca="1">IFERROR(__xludf.DUMMYFUNCTION("IFERROR(VALUE(REGEXEXTRACT(TO_TEXT($F184), O$1 &amp; ""x(\d+)"")), """")"),"")</f>
        <v/>
      </c>
      <c r="P184" s="9" t="str">
        <f ca="1">IFERROR(__xludf.DUMMYFUNCTION("IFERROR(VALUE(REGEXEXTRACT(TO_TEXT($F184), P$1 &amp; ""x(\d+)"")), """")"),"")</f>
        <v/>
      </c>
      <c r="Q184" s="9" t="str">
        <f ca="1">IFERROR(__xludf.DUMMYFUNCTION("IFERROR(VALUE(REGEXEXTRACT(TO_TEXT($F184), Q$1 &amp; ""x(\d+)"")), """")"),"")</f>
        <v/>
      </c>
      <c r="R184" s="9" t="str">
        <f ca="1">IFERROR(__xludf.DUMMYFUNCTION("IFERROR(VALUE(REGEXEXTRACT(TO_TEXT($F184), R$1 &amp; ""x(\d+)"")), """")"),"")</f>
        <v/>
      </c>
      <c r="S184" s="9" t="str">
        <f ca="1">IFERROR(__xludf.DUMMYFUNCTION("IFERROR(VALUE(REGEXEXTRACT(TO_TEXT($F184), S$1 &amp; ""x(\d+)"")), """")"),"")</f>
        <v/>
      </c>
      <c r="T184" s="9" t="str">
        <f ca="1">IFERROR(__xludf.DUMMYFUNCTION("IFERROR(VALUE(REGEXEXTRACT(TO_TEXT($F184), T$1 &amp; ""x(\d+)"")), """")"),"")</f>
        <v/>
      </c>
      <c r="U184" s="9" t="str">
        <f ca="1">IFERROR(__xludf.DUMMYFUNCTION("IFERROR(VALUE(REGEXEXTRACT(TO_TEXT($F184), U$1 &amp; ""x(\d+)"")), """")"),"")</f>
        <v/>
      </c>
      <c r="V184" s="9" t="str">
        <f ca="1">IFERROR(__xludf.DUMMYFUNCTION("IFERROR(VALUE(REGEXEXTRACT(TO_TEXT($F184), V$1 &amp; ""x(\d+)"")), """")"),"")</f>
        <v/>
      </c>
      <c r="W184" s="9"/>
      <c r="X184" s="9"/>
      <c r="Y184" s="9"/>
      <c r="Z184" s="9"/>
    </row>
    <row r="185" spans="1:26" ht="15.75" customHeight="1">
      <c r="A185" s="9" t="s">
        <v>1237</v>
      </c>
      <c r="B185" s="9" t="s">
        <v>1238</v>
      </c>
      <c r="C185" s="9" t="s">
        <v>462</v>
      </c>
      <c r="D185" s="9" t="s">
        <v>33</v>
      </c>
      <c r="E185" s="9" t="s">
        <v>12</v>
      </c>
      <c r="F185" s="9" t="s">
        <v>1240</v>
      </c>
      <c r="G185" s="9">
        <v>55</v>
      </c>
      <c r="H185" s="9">
        <v>5</v>
      </c>
      <c r="I185" s="9">
        <v>1.0149999999999999</v>
      </c>
      <c r="J185" s="9">
        <v>95</v>
      </c>
      <c r="K185" s="9" t="s">
        <v>442</v>
      </c>
      <c r="L185" s="9"/>
      <c r="M185" s="9"/>
      <c r="N185" s="9" t="str">
        <f ca="1">IFERROR(__xludf.DUMMYFUNCTION("IFERROR(VALUE(REGEXEXTRACT(TO_TEXT($F185), N$1 &amp; ""x(\d+)"")), """")
"),"")</f>
        <v/>
      </c>
      <c r="O185" s="9">
        <f ca="1">IFERROR(__xludf.DUMMYFUNCTION("IFERROR(VALUE(REGEXEXTRACT(TO_TEXT($F185), O$1 &amp; ""x(\d+)"")), """")"),1)</f>
        <v>1</v>
      </c>
      <c r="P185" s="9" t="str">
        <f ca="1">IFERROR(__xludf.DUMMYFUNCTION("IFERROR(VALUE(REGEXEXTRACT(TO_TEXT($F185), P$1 &amp; ""x(\d+)"")), """")"),"")</f>
        <v/>
      </c>
      <c r="Q185" s="9" t="str">
        <f ca="1">IFERROR(__xludf.DUMMYFUNCTION("IFERROR(VALUE(REGEXEXTRACT(TO_TEXT($F185), Q$1 &amp; ""x(\d+)"")), """")"),"")</f>
        <v/>
      </c>
      <c r="R185" s="9" t="str">
        <f ca="1">IFERROR(__xludf.DUMMYFUNCTION("IFERROR(VALUE(REGEXEXTRACT(TO_TEXT($F185), R$1 &amp; ""x(\d+)"")), """")"),"")</f>
        <v/>
      </c>
      <c r="S185" s="9" t="str">
        <f ca="1">IFERROR(__xludf.DUMMYFUNCTION("IFERROR(VALUE(REGEXEXTRACT(TO_TEXT($F185), S$1 &amp; ""x(\d+)"")), """")"),"")</f>
        <v/>
      </c>
      <c r="T185" s="9" t="str">
        <f ca="1">IFERROR(__xludf.DUMMYFUNCTION("IFERROR(VALUE(REGEXEXTRACT(TO_TEXT($F185), T$1 &amp; ""x(\d+)"")), """")"),"")</f>
        <v/>
      </c>
      <c r="U185" s="9" t="str">
        <f ca="1">IFERROR(__xludf.DUMMYFUNCTION("IFERROR(VALUE(REGEXEXTRACT(TO_TEXT($F185), U$1 &amp; ""x(\d+)"")), """")"),"")</f>
        <v/>
      </c>
      <c r="V185" s="9" t="str">
        <f ca="1">IFERROR(__xludf.DUMMYFUNCTION("IFERROR(VALUE(REGEXEXTRACT(TO_TEXT($F185), V$1 &amp; ""x(\d+)"")), """")"),"")</f>
        <v/>
      </c>
      <c r="W185" s="9"/>
      <c r="X185" s="9"/>
      <c r="Y185" s="9"/>
      <c r="Z185" s="9"/>
    </row>
    <row r="186" spans="1:26" ht="15.75" customHeight="1">
      <c r="A186" s="9" t="s">
        <v>1237</v>
      </c>
      <c r="B186" s="9" t="s">
        <v>1238</v>
      </c>
      <c r="C186" s="9" t="s">
        <v>462</v>
      </c>
      <c r="D186" s="9" t="s">
        <v>33</v>
      </c>
      <c r="E186" s="9" t="s">
        <v>13</v>
      </c>
      <c r="F186" s="9" t="s">
        <v>1197</v>
      </c>
      <c r="G186" s="9">
        <v>10</v>
      </c>
      <c r="H186" s="9">
        <v>5</v>
      </c>
      <c r="I186" s="9">
        <v>1.0149999999999999</v>
      </c>
      <c r="J186" s="9">
        <v>95</v>
      </c>
      <c r="K186" s="9" t="s">
        <v>442</v>
      </c>
      <c r="L186" s="9"/>
      <c r="M186" s="9"/>
      <c r="N186" s="9" t="str">
        <f ca="1">IFERROR(__xludf.DUMMYFUNCTION("IFERROR(VALUE(REGEXEXTRACT(TO_TEXT($F186), N$1 &amp; ""x(\d+)"")), """")
"),"")</f>
        <v/>
      </c>
      <c r="O186" s="9">
        <f ca="1">IFERROR(__xludf.DUMMYFUNCTION("IFERROR(VALUE(REGEXEXTRACT(TO_TEXT($F186), O$1 &amp; ""x(\d+)"")), """")"),1)</f>
        <v>1</v>
      </c>
      <c r="P186" s="9" t="str">
        <f ca="1">IFERROR(__xludf.DUMMYFUNCTION("IFERROR(VALUE(REGEXEXTRACT(TO_TEXT($F186), P$1 &amp; ""x(\d+)"")), """")"),"")</f>
        <v/>
      </c>
      <c r="Q186" s="9" t="str">
        <f ca="1">IFERROR(__xludf.DUMMYFUNCTION("IFERROR(VALUE(REGEXEXTRACT(TO_TEXT($F186), Q$1 &amp; ""x(\d+)"")), """")"),"")</f>
        <v/>
      </c>
      <c r="R186" s="9" t="str">
        <f ca="1">IFERROR(__xludf.DUMMYFUNCTION("IFERROR(VALUE(REGEXEXTRACT(TO_TEXT($F186), R$1 &amp; ""x(\d+)"")), """")"),"")</f>
        <v/>
      </c>
      <c r="S186" s="9" t="str">
        <f ca="1">IFERROR(__xludf.DUMMYFUNCTION("IFERROR(VALUE(REGEXEXTRACT(TO_TEXT($F186), S$1 &amp; ""x(\d+)"")), """")"),"")</f>
        <v/>
      </c>
      <c r="T186" s="9" t="str">
        <f ca="1">IFERROR(__xludf.DUMMYFUNCTION("IFERROR(VALUE(REGEXEXTRACT(TO_TEXT($F186), T$1 &amp; ""x(\d+)"")), """")"),"")</f>
        <v/>
      </c>
      <c r="U186" s="9" t="str">
        <f ca="1">IFERROR(__xludf.DUMMYFUNCTION("IFERROR(VALUE(REGEXEXTRACT(TO_TEXT($F186), U$1 &amp; ""x(\d+)"")), """")"),"")</f>
        <v/>
      </c>
      <c r="V186" s="9" t="str">
        <f ca="1">IFERROR(__xludf.DUMMYFUNCTION("IFERROR(VALUE(REGEXEXTRACT(TO_TEXT($F186), V$1 &amp; ""x(\d+)"")), """")"),"")</f>
        <v/>
      </c>
      <c r="W186" s="9"/>
      <c r="X186" s="9"/>
      <c r="Y186" s="9"/>
      <c r="Z186" s="9"/>
    </row>
    <row r="187" spans="1:26" ht="15.75" customHeight="1">
      <c r="A187" s="9" t="s">
        <v>99</v>
      </c>
      <c r="B187" s="9" t="s">
        <v>1241</v>
      </c>
      <c r="C187" s="9" t="s">
        <v>100</v>
      </c>
      <c r="D187" s="9" t="s">
        <v>33</v>
      </c>
      <c r="E187" s="9" t="s">
        <v>12</v>
      </c>
      <c r="F187" s="9" t="s">
        <v>1242</v>
      </c>
      <c r="G187" s="9">
        <v>160</v>
      </c>
      <c r="H187" s="9">
        <v>2</v>
      </c>
      <c r="I187" s="9">
        <v>1.0149999999999999</v>
      </c>
      <c r="J187" s="9">
        <v>100</v>
      </c>
      <c r="K187" s="9" t="s">
        <v>442</v>
      </c>
      <c r="L187" s="9" t="s">
        <v>1243</v>
      </c>
      <c r="M187" s="9"/>
      <c r="N187" s="9" t="str">
        <f ca="1">IFERROR(__xludf.DUMMYFUNCTION("IFERROR(VALUE(REGEXEXTRACT(TO_TEXT($F187), N$1 &amp; ""x(\d+)"")), """")
"),"")</f>
        <v/>
      </c>
      <c r="O187" s="9" t="str">
        <f ca="1">IFERROR(__xludf.DUMMYFUNCTION("IFERROR(VALUE(REGEXEXTRACT(TO_TEXT($F187), O$1 &amp; ""x(\d+)"")), """")"),"")</f>
        <v/>
      </c>
      <c r="P187" s="9" t="str">
        <f ca="1">IFERROR(__xludf.DUMMYFUNCTION("IFERROR(VALUE(REGEXEXTRACT(TO_TEXT($F187), P$1 &amp; ""x(\d+)"")), """")"),"")</f>
        <v/>
      </c>
      <c r="Q187" s="9" t="str">
        <f ca="1">IFERROR(__xludf.DUMMYFUNCTION("IFERROR(VALUE(REGEXEXTRACT(TO_TEXT($F187), Q$1 &amp; ""x(\d+)"")), """")"),"")</f>
        <v/>
      </c>
      <c r="R187" s="9">
        <f ca="1">IFERROR(__xludf.DUMMYFUNCTION("IFERROR(VALUE(REGEXEXTRACT(TO_TEXT($F187), R$1 &amp; ""x(\d+)"")), """")"),1)</f>
        <v>1</v>
      </c>
      <c r="S187" s="9" t="str">
        <f ca="1">IFERROR(__xludf.DUMMYFUNCTION("IFERROR(VALUE(REGEXEXTRACT(TO_TEXT($F187), S$1 &amp; ""x(\d+)"")), """")"),"")</f>
        <v/>
      </c>
      <c r="T187" s="9" t="str">
        <f ca="1">IFERROR(__xludf.DUMMYFUNCTION("IFERROR(VALUE(REGEXEXTRACT(TO_TEXT($F187), T$1 &amp; ""x(\d+)"")), """")"),"")</f>
        <v/>
      </c>
      <c r="U187" s="9" t="str">
        <f ca="1">IFERROR(__xludf.DUMMYFUNCTION("IFERROR(VALUE(REGEXEXTRACT(TO_TEXT($F187), U$1 &amp; ""x(\d+)"")), """")"),"")</f>
        <v/>
      </c>
      <c r="V187" s="9" t="str">
        <f ca="1">IFERROR(__xludf.DUMMYFUNCTION("IFERROR(VALUE(REGEXEXTRACT(TO_TEXT($F187), V$1 &amp; ""x(\d+)"")), """")"),"")</f>
        <v/>
      </c>
      <c r="W187" s="9"/>
      <c r="X187" s="9"/>
      <c r="Y187" s="9"/>
      <c r="Z187" s="9"/>
    </row>
    <row r="188" spans="1:26" ht="15.75" customHeight="1">
      <c r="A188" s="9" t="s">
        <v>99</v>
      </c>
      <c r="B188" s="9" t="s">
        <v>1241</v>
      </c>
      <c r="C188" s="9" t="s">
        <v>100</v>
      </c>
      <c r="D188" s="9" t="s">
        <v>33</v>
      </c>
      <c r="E188" s="9" t="s">
        <v>13</v>
      </c>
      <c r="F188" s="9" t="s">
        <v>1244</v>
      </c>
      <c r="G188" s="9">
        <v>30</v>
      </c>
      <c r="H188" s="9">
        <v>2</v>
      </c>
      <c r="I188" s="9">
        <v>1.0149999999999999</v>
      </c>
      <c r="J188" s="9">
        <v>100</v>
      </c>
      <c r="K188" s="9" t="s">
        <v>442</v>
      </c>
      <c r="L188" s="9"/>
      <c r="M188" s="9"/>
      <c r="N188" s="9" t="str">
        <f ca="1">IFERROR(__xludf.DUMMYFUNCTION("IFERROR(VALUE(REGEXEXTRACT(TO_TEXT($F188), N$1 &amp; ""x(\d+)"")), """")
"),"")</f>
        <v/>
      </c>
      <c r="O188" s="9" t="str">
        <f ca="1">IFERROR(__xludf.DUMMYFUNCTION("IFERROR(VALUE(REGEXEXTRACT(TO_TEXT($F188), O$1 &amp; ""x(\d+)"")), """")"),"")</f>
        <v/>
      </c>
      <c r="P188" s="9" t="str">
        <f ca="1">IFERROR(__xludf.DUMMYFUNCTION("IFERROR(VALUE(REGEXEXTRACT(TO_TEXT($F188), P$1 &amp; ""x(\d+)"")), """")"),"")</f>
        <v/>
      </c>
      <c r="Q188" s="9" t="str">
        <f ca="1">IFERROR(__xludf.DUMMYFUNCTION("IFERROR(VALUE(REGEXEXTRACT(TO_TEXT($F188), Q$1 &amp; ""x(\d+)"")), """")"),"")</f>
        <v/>
      </c>
      <c r="R188" s="9">
        <f ca="1">IFERROR(__xludf.DUMMYFUNCTION("IFERROR(VALUE(REGEXEXTRACT(TO_TEXT($F188), R$1 &amp; ""x(\d+)"")), """")"),1)</f>
        <v>1</v>
      </c>
      <c r="S188" s="9" t="str">
        <f ca="1">IFERROR(__xludf.DUMMYFUNCTION("IFERROR(VALUE(REGEXEXTRACT(TO_TEXT($F188), S$1 &amp; ""x(\d+)"")), """")"),"")</f>
        <v/>
      </c>
      <c r="T188" s="9" t="str">
        <f ca="1">IFERROR(__xludf.DUMMYFUNCTION("IFERROR(VALUE(REGEXEXTRACT(TO_TEXT($F188), T$1 &amp; ""x(\d+)"")), """")"),"")</f>
        <v/>
      </c>
      <c r="U188" s="9" t="str">
        <f ca="1">IFERROR(__xludf.DUMMYFUNCTION("IFERROR(VALUE(REGEXEXTRACT(TO_TEXT($F188), U$1 &amp; ""x(\d+)"")), """")"),"")</f>
        <v/>
      </c>
      <c r="V188" s="9" t="str">
        <f ca="1">IFERROR(__xludf.DUMMYFUNCTION("IFERROR(VALUE(REGEXEXTRACT(TO_TEXT($F188), V$1 &amp; ""x(\d+)"")), """")"),"")</f>
        <v/>
      </c>
      <c r="W188" s="9"/>
      <c r="X188" s="9"/>
      <c r="Y188" s="9"/>
      <c r="Z188" s="9"/>
    </row>
    <row r="189" spans="1:26" ht="15.75" customHeight="1">
      <c r="A189" s="9" t="s">
        <v>316</v>
      </c>
      <c r="B189" s="9" t="s">
        <v>1245</v>
      </c>
      <c r="C189" s="9" t="s">
        <v>317</v>
      </c>
      <c r="D189" s="9" t="s">
        <v>33</v>
      </c>
      <c r="E189" s="9" t="s">
        <v>11</v>
      </c>
      <c r="F189" s="9" t="s">
        <v>1065</v>
      </c>
      <c r="G189" s="9">
        <v>20</v>
      </c>
      <c r="H189" s="9">
        <v>4</v>
      </c>
      <c r="I189" s="9">
        <v>1.0149999999999999</v>
      </c>
      <c r="J189" s="9">
        <v>100</v>
      </c>
      <c r="K189" s="9" t="s">
        <v>442</v>
      </c>
      <c r="L189" s="9"/>
      <c r="M189" s="9"/>
      <c r="N189" s="9" t="str">
        <f ca="1">IFERROR(__xludf.DUMMYFUNCTION("IFERROR(VALUE(REGEXEXTRACT(TO_TEXT($F189), N$1 &amp; ""x(\d+)"")), """")
"),"")</f>
        <v/>
      </c>
      <c r="O189" s="9">
        <f ca="1">IFERROR(__xludf.DUMMYFUNCTION("IFERROR(VALUE(REGEXEXTRACT(TO_TEXT($F189), O$1 &amp; ""x(\d+)"")), """")"),1)</f>
        <v>1</v>
      </c>
      <c r="P189" s="9" t="str">
        <f ca="1">IFERROR(__xludf.DUMMYFUNCTION("IFERROR(VALUE(REGEXEXTRACT(TO_TEXT($F189), P$1 &amp; ""x(\d+)"")), """")"),"")</f>
        <v/>
      </c>
      <c r="Q189" s="9" t="str">
        <f ca="1">IFERROR(__xludf.DUMMYFUNCTION("IFERROR(VALUE(REGEXEXTRACT(TO_TEXT($F189), Q$1 &amp; ""x(\d+)"")), """")"),"")</f>
        <v/>
      </c>
      <c r="R189" s="9" t="str">
        <f ca="1">IFERROR(__xludf.DUMMYFUNCTION("IFERROR(VALUE(REGEXEXTRACT(TO_TEXT($F189), R$1 &amp; ""x(\d+)"")), """")"),"")</f>
        <v/>
      </c>
      <c r="S189" s="9" t="str">
        <f ca="1">IFERROR(__xludf.DUMMYFUNCTION("IFERROR(VALUE(REGEXEXTRACT(TO_TEXT($F189), S$1 &amp; ""x(\d+)"")), """")"),"")</f>
        <v/>
      </c>
      <c r="T189" s="9" t="str">
        <f ca="1">IFERROR(__xludf.DUMMYFUNCTION("IFERROR(VALUE(REGEXEXTRACT(TO_TEXT($F189), T$1 &amp; ""x(\d+)"")), """")"),"")</f>
        <v/>
      </c>
      <c r="U189" s="9" t="str">
        <f ca="1">IFERROR(__xludf.DUMMYFUNCTION("IFERROR(VALUE(REGEXEXTRACT(TO_TEXT($F189), U$1 &amp; ""x(\d+)"")), """")"),"")</f>
        <v/>
      </c>
      <c r="V189" s="9" t="str">
        <f ca="1">IFERROR(__xludf.DUMMYFUNCTION("IFERROR(VALUE(REGEXEXTRACT(TO_TEXT($F189), V$1 &amp; ""x(\d+)"")), """")"),"")</f>
        <v/>
      </c>
      <c r="W189" s="9"/>
      <c r="X189" s="9"/>
      <c r="Y189" s="9"/>
      <c r="Z189" s="9"/>
    </row>
    <row r="190" spans="1:26" ht="15.75" customHeight="1">
      <c r="A190" s="9" t="s">
        <v>316</v>
      </c>
      <c r="B190" s="9" t="s">
        <v>1245</v>
      </c>
      <c r="C190" s="9" t="s">
        <v>317</v>
      </c>
      <c r="D190" s="9" t="s">
        <v>33</v>
      </c>
      <c r="E190" s="9" t="s">
        <v>12</v>
      </c>
      <c r="F190" s="9" t="s">
        <v>1246</v>
      </c>
      <c r="G190" s="9">
        <v>85</v>
      </c>
      <c r="H190" s="9">
        <v>4</v>
      </c>
      <c r="I190" s="9">
        <v>1.0149999999999999</v>
      </c>
      <c r="J190" s="9">
        <v>100</v>
      </c>
      <c r="K190" s="9" t="s">
        <v>442</v>
      </c>
      <c r="L190" s="9"/>
      <c r="M190" s="9"/>
      <c r="N190" s="9" t="str">
        <f ca="1">IFERROR(__xludf.DUMMYFUNCTION("IFERROR(VALUE(REGEXEXTRACT(TO_TEXT($F190), N$1 &amp; ""x(\d+)"")), """")
"),"")</f>
        <v/>
      </c>
      <c r="O190" s="9">
        <f ca="1">IFERROR(__xludf.DUMMYFUNCTION("IFERROR(VALUE(REGEXEXTRACT(TO_TEXT($F190), O$1 &amp; ""x(\d+)"")), """")"),1)</f>
        <v>1</v>
      </c>
      <c r="P190" s="9" t="str">
        <f ca="1">IFERROR(__xludf.DUMMYFUNCTION("IFERROR(VALUE(REGEXEXTRACT(TO_TEXT($F190), P$1 &amp; ""x(\d+)"")), """")"),"")</f>
        <v/>
      </c>
      <c r="Q190" s="9" t="str">
        <f ca="1">IFERROR(__xludf.DUMMYFUNCTION("IFERROR(VALUE(REGEXEXTRACT(TO_TEXT($F190), Q$1 &amp; ""x(\d+)"")), """")"),"")</f>
        <v/>
      </c>
      <c r="R190" s="9" t="str">
        <f ca="1">IFERROR(__xludf.DUMMYFUNCTION("IFERROR(VALUE(REGEXEXTRACT(TO_TEXT($F190), R$1 &amp; ""x(\d+)"")), """")"),"")</f>
        <v/>
      </c>
      <c r="S190" s="9" t="str">
        <f ca="1">IFERROR(__xludf.DUMMYFUNCTION("IFERROR(VALUE(REGEXEXTRACT(TO_TEXT($F190), S$1 &amp; ""x(\d+)"")), """")"),"")</f>
        <v/>
      </c>
      <c r="T190" s="9" t="str">
        <f ca="1">IFERROR(__xludf.DUMMYFUNCTION("IFERROR(VALUE(REGEXEXTRACT(TO_TEXT($F190), T$1 &amp; ""x(\d+)"")), """")"),"")</f>
        <v/>
      </c>
      <c r="U190" s="9" t="str">
        <f ca="1">IFERROR(__xludf.DUMMYFUNCTION("IFERROR(VALUE(REGEXEXTRACT(TO_TEXT($F190), U$1 &amp; ""x(\d+)"")), """")"),"")</f>
        <v/>
      </c>
      <c r="V190" s="9" t="str">
        <f ca="1">IFERROR(__xludf.DUMMYFUNCTION("IFERROR(VALUE(REGEXEXTRACT(TO_TEXT($F190), V$1 &amp; ""x(\d+)"")), """")"),"")</f>
        <v/>
      </c>
      <c r="W190" s="9"/>
      <c r="X190" s="9"/>
      <c r="Y190" s="9"/>
      <c r="Z190" s="9"/>
    </row>
    <row r="191" spans="1:26" ht="15.75" customHeight="1">
      <c r="A191" s="9" t="s">
        <v>316</v>
      </c>
      <c r="B191" s="9" t="s">
        <v>1245</v>
      </c>
      <c r="C191" s="9" t="s">
        <v>317</v>
      </c>
      <c r="D191" s="9" t="s">
        <v>33</v>
      </c>
      <c r="E191" s="9" t="s">
        <v>13</v>
      </c>
      <c r="F191" s="9" t="s">
        <v>1058</v>
      </c>
      <c r="G191" s="9">
        <v>15</v>
      </c>
      <c r="H191" s="9">
        <v>4</v>
      </c>
      <c r="I191" s="9">
        <v>1.0149999999999999</v>
      </c>
      <c r="J191" s="9">
        <v>100</v>
      </c>
      <c r="K191" s="9" t="s">
        <v>442</v>
      </c>
      <c r="L191" s="9"/>
      <c r="M191" s="9"/>
      <c r="N191" s="9" t="str">
        <f ca="1">IFERROR(__xludf.DUMMYFUNCTION("IFERROR(VALUE(REGEXEXTRACT(TO_TEXT($F191), N$1 &amp; ""x(\d+)"")), """")
"),"")</f>
        <v/>
      </c>
      <c r="O191" s="9">
        <f ca="1">IFERROR(__xludf.DUMMYFUNCTION("IFERROR(VALUE(REGEXEXTRACT(TO_TEXT($F191), O$1 &amp; ""x(\d+)"")), """")"),1)</f>
        <v>1</v>
      </c>
      <c r="P191" s="9" t="str">
        <f ca="1">IFERROR(__xludf.DUMMYFUNCTION("IFERROR(VALUE(REGEXEXTRACT(TO_TEXT($F191), P$1 &amp; ""x(\d+)"")), """")"),"")</f>
        <v/>
      </c>
      <c r="Q191" s="9" t="str">
        <f ca="1">IFERROR(__xludf.DUMMYFUNCTION("IFERROR(VALUE(REGEXEXTRACT(TO_TEXT($F191), Q$1 &amp; ""x(\d+)"")), """")"),"")</f>
        <v/>
      </c>
      <c r="R191" s="9" t="str">
        <f ca="1">IFERROR(__xludf.DUMMYFUNCTION("IFERROR(VALUE(REGEXEXTRACT(TO_TEXT($F191), R$1 &amp; ""x(\d+)"")), """")"),"")</f>
        <v/>
      </c>
      <c r="S191" s="9" t="str">
        <f ca="1">IFERROR(__xludf.DUMMYFUNCTION("IFERROR(VALUE(REGEXEXTRACT(TO_TEXT($F191), S$1 &amp; ""x(\d+)"")), """")"),"")</f>
        <v/>
      </c>
      <c r="T191" s="9" t="str">
        <f ca="1">IFERROR(__xludf.DUMMYFUNCTION("IFERROR(VALUE(REGEXEXTRACT(TO_TEXT($F191), T$1 &amp; ""x(\d+)"")), """")"),"")</f>
        <v/>
      </c>
      <c r="U191" s="9" t="str">
        <f ca="1">IFERROR(__xludf.DUMMYFUNCTION("IFERROR(VALUE(REGEXEXTRACT(TO_TEXT($F191), U$1 &amp; ""x(\d+)"")), """")"),"")</f>
        <v/>
      </c>
      <c r="V191" s="9" t="str">
        <f ca="1">IFERROR(__xludf.DUMMYFUNCTION("IFERROR(VALUE(REGEXEXTRACT(TO_TEXT($F191), V$1 &amp; ""x(\d+)"")), """")"),"")</f>
        <v/>
      </c>
      <c r="W191" s="9"/>
      <c r="X191" s="9"/>
      <c r="Y191" s="9"/>
      <c r="Z191" s="9"/>
    </row>
    <row r="192" spans="1:26" ht="15.75" customHeight="1">
      <c r="A192" s="9" t="s">
        <v>1247</v>
      </c>
      <c r="B192" s="9" t="s">
        <v>1248</v>
      </c>
      <c r="C192" s="9" t="s">
        <v>580</v>
      </c>
      <c r="D192" s="9" t="s">
        <v>33</v>
      </c>
      <c r="E192" s="9" t="s">
        <v>12</v>
      </c>
      <c r="F192" s="9" t="s">
        <v>1242</v>
      </c>
      <c r="G192" s="9">
        <v>160</v>
      </c>
      <c r="H192" s="9">
        <v>2</v>
      </c>
      <c r="I192" s="9">
        <v>1.0149999999999999</v>
      </c>
      <c r="J192" s="9">
        <v>95</v>
      </c>
      <c r="K192" s="9" t="s">
        <v>442</v>
      </c>
      <c r="L192" s="9" t="s">
        <v>1243</v>
      </c>
      <c r="M192" s="9"/>
      <c r="N192" s="9" t="str">
        <f ca="1">IFERROR(__xludf.DUMMYFUNCTION("IFERROR(VALUE(REGEXEXTRACT(TO_TEXT($F192), N$1 &amp; ""x(\d+)"")), """")
"),"")</f>
        <v/>
      </c>
      <c r="O192" s="9" t="str">
        <f ca="1">IFERROR(__xludf.DUMMYFUNCTION("IFERROR(VALUE(REGEXEXTRACT(TO_TEXT($F192), O$1 &amp; ""x(\d+)"")), """")"),"")</f>
        <v/>
      </c>
      <c r="P192" s="9" t="str">
        <f ca="1">IFERROR(__xludf.DUMMYFUNCTION("IFERROR(VALUE(REGEXEXTRACT(TO_TEXT($F192), P$1 &amp; ""x(\d+)"")), """")"),"")</f>
        <v/>
      </c>
      <c r="Q192" s="9" t="str">
        <f ca="1">IFERROR(__xludf.DUMMYFUNCTION("IFERROR(VALUE(REGEXEXTRACT(TO_TEXT($F192), Q$1 &amp; ""x(\d+)"")), """")"),"")</f>
        <v/>
      </c>
      <c r="R192" s="9">
        <f ca="1">IFERROR(__xludf.DUMMYFUNCTION("IFERROR(VALUE(REGEXEXTRACT(TO_TEXT($F192), R$1 &amp; ""x(\d+)"")), """")"),1)</f>
        <v>1</v>
      </c>
      <c r="S192" s="9" t="str">
        <f ca="1">IFERROR(__xludf.DUMMYFUNCTION("IFERROR(VALUE(REGEXEXTRACT(TO_TEXT($F192), S$1 &amp; ""x(\d+)"")), """")"),"")</f>
        <v/>
      </c>
      <c r="T192" s="9" t="str">
        <f ca="1">IFERROR(__xludf.DUMMYFUNCTION("IFERROR(VALUE(REGEXEXTRACT(TO_TEXT($F192), T$1 &amp; ""x(\d+)"")), """")"),"")</f>
        <v/>
      </c>
      <c r="U192" s="9" t="str">
        <f ca="1">IFERROR(__xludf.DUMMYFUNCTION("IFERROR(VALUE(REGEXEXTRACT(TO_TEXT($F192), U$1 &amp; ""x(\d+)"")), """")"),"")</f>
        <v/>
      </c>
      <c r="V192" s="9" t="str">
        <f ca="1">IFERROR(__xludf.DUMMYFUNCTION("IFERROR(VALUE(REGEXEXTRACT(TO_TEXT($F192), V$1 &amp; ""x(\d+)"")), """")"),"")</f>
        <v/>
      </c>
      <c r="W192" s="9"/>
      <c r="X192" s="9"/>
      <c r="Y192" s="9"/>
      <c r="Z192" s="9"/>
    </row>
    <row r="193" spans="1:26" ht="15.75" customHeight="1">
      <c r="A193" s="9" t="s">
        <v>1247</v>
      </c>
      <c r="B193" s="9" t="s">
        <v>1248</v>
      </c>
      <c r="C193" s="9" t="s">
        <v>580</v>
      </c>
      <c r="D193" s="9" t="s">
        <v>33</v>
      </c>
      <c r="E193" s="9" t="s">
        <v>13</v>
      </c>
      <c r="F193" s="9" t="s">
        <v>1244</v>
      </c>
      <c r="G193" s="9">
        <v>30</v>
      </c>
      <c r="H193" s="9">
        <v>2</v>
      </c>
      <c r="I193" s="9">
        <v>1.0149999999999999</v>
      </c>
      <c r="J193" s="9">
        <v>95</v>
      </c>
      <c r="K193" s="9" t="s">
        <v>442</v>
      </c>
      <c r="L193" s="9"/>
      <c r="M193" s="9"/>
      <c r="N193" s="9" t="str">
        <f ca="1">IFERROR(__xludf.DUMMYFUNCTION("IFERROR(VALUE(REGEXEXTRACT(TO_TEXT($F193), N$1 &amp; ""x(\d+)"")), """")
"),"")</f>
        <v/>
      </c>
      <c r="O193" s="9" t="str">
        <f ca="1">IFERROR(__xludf.DUMMYFUNCTION("IFERROR(VALUE(REGEXEXTRACT(TO_TEXT($F193), O$1 &amp; ""x(\d+)"")), """")"),"")</f>
        <v/>
      </c>
      <c r="P193" s="9" t="str">
        <f ca="1">IFERROR(__xludf.DUMMYFUNCTION("IFERROR(VALUE(REGEXEXTRACT(TO_TEXT($F193), P$1 &amp; ""x(\d+)"")), """")"),"")</f>
        <v/>
      </c>
      <c r="Q193" s="9" t="str">
        <f ca="1">IFERROR(__xludf.DUMMYFUNCTION("IFERROR(VALUE(REGEXEXTRACT(TO_TEXT($F193), Q$1 &amp; ""x(\d+)"")), """")"),"")</f>
        <v/>
      </c>
      <c r="R193" s="9">
        <f ca="1">IFERROR(__xludf.DUMMYFUNCTION("IFERROR(VALUE(REGEXEXTRACT(TO_TEXT($F193), R$1 &amp; ""x(\d+)"")), """")"),1)</f>
        <v>1</v>
      </c>
      <c r="S193" s="9" t="str">
        <f ca="1">IFERROR(__xludf.DUMMYFUNCTION("IFERROR(VALUE(REGEXEXTRACT(TO_TEXT($F193), S$1 &amp; ""x(\d+)"")), """")"),"")</f>
        <v/>
      </c>
      <c r="T193" s="9" t="str">
        <f ca="1">IFERROR(__xludf.DUMMYFUNCTION("IFERROR(VALUE(REGEXEXTRACT(TO_TEXT($F193), T$1 &amp; ""x(\d+)"")), """")"),"")</f>
        <v/>
      </c>
      <c r="U193" s="9" t="str">
        <f ca="1">IFERROR(__xludf.DUMMYFUNCTION("IFERROR(VALUE(REGEXEXTRACT(TO_TEXT($F193), U$1 &amp; ""x(\d+)"")), """")"),"")</f>
        <v/>
      </c>
      <c r="V193" s="9" t="str">
        <f ca="1">IFERROR(__xludf.DUMMYFUNCTION("IFERROR(VALUE(REGEXEXTRACT(TO_TEXT($F193), V$1 &amp; ""x(\d+)"")), """")"),"")</f>
        <v/>
      </c>
      <c r="W193" s="9"/>
      <c r="X193" s="9"/>
      <c r="Y193" s="9"/>
      <c r="Z193" s="9"/>
    </row>
    <row r="194" spans="1:26" ht="15.75" hidden="1" customHeight="1">
      <c r="A194" s="9" t="s">
        <v>1249</v>
      </c>
      <c r="B194" s="9" t="s">
        <v>1250</v>
      </c>
      <c r="C194" s="9" t="s">
        <v>898</v>
      </c>
      <c r="D194" s="9" t="s">
        <v>48</v>
      </c>
      <c r="E194" s="9" t="s">
        <v>11</v>
      </c>
      <c r="F194" s="9" t="s">
        <v>1251</v>
      </c>
      <c r="G194" s="9">
        <v>30</v>
      </c>
      <c r="H194" s="9">
        <v>5</v>
      </c>
      <c r="I194" s="9">
        <v>1.0149999999999999</v>
      </c>
      <c r="J194" s="9">
        <v>52</v>
      </c>
      <c r="K194" s="9" t="s">
        <v>424</v>
      </c>
      <c r="L194" s="9"/>
      <c r="M194" s="9"/>
      <c r="N194" s="9" t="str">
        <f ca="1">IFERROR(__xludf.DUMMYFUNCTION("IFERROR(VALUE(REGEXEXTRACT(TO_TEXT($F194), N$1 &amp; ""x(\d+)"")), """")
"),"")</f>
        <v/>
      </c>
      <c r="O194" s="9" t="str">
        <f ca="1">IFERROR(__xludf.DUMMYFUNCTION("IFERROR(VALUE(REGEXEXTRACT(TO_TEXT($F194), O$1 &amp; ""x(\d+)"")), """")"),"")</f>
        <v/>
      </c>
      <c r="P194" s="9" t="str">
        <f ca="1">IFERROR(__xludf.DUMMYFUNCTION("IFERROR(VALUE(REGEXEXTRACT(TO_TEXT($F194), P$1 &amp; ""x(\d+)"")), """")"),"")</f>
        <v/>
      </c>
      <c r="Q194" s="9" t="str">
        <f ca="1">IFERROR(__xludf.DUMMYFUNCTION("IFERROR(VALUE(REGEXEXTRACT(TO_TEXT($F194), Q$1 &amp; ""x(\d+)"")), """")"),"")</f>
        <v/>
      </c>
      <c r="R194" s="9" t="str">
        <f ca="1">IFERROR(__xludf.DUMMYFUNCTION("IFERROR(VALUE(REGEXEXTRACT(TO_TEXT($F194), R$1 &amp; ""x(\d+)"")), """")"),"")</f>
        <v/>
      </c>
      <c r="S194" s="9" t="str">
        <f ca="1">IFERROR(__xludf.DUMMYFUNCTION("IFERROR(VALUE(REGEXEXTRACT(TO_TEXT($F194), S$1 &amp; ""x(\d+)"")), """")"),"")</f>
        <v/>
      </c>
      <c r="T194" s="9" t="str">
        <f ca="1">IFERROR(__xludf.DUMMYFUNCTION("IFERROR(VALUE(REGEXEXTRACT(TO_TEXT($F194), T$1 &amp; ""x(\d+)"")), """")"),"")</f>
        <v/>
      </c>
      <c r="U194" s="9" t="str">
        <f ca="1">IFERROR(__xludf.DUMMYFUNCTION("IFERROR(VALUE(REGEXEXTRACT(TO_TEXT($F194), U$1 &amp; ""x(\d+)"")), """")"),"")</f>
        <v/>
      </c>
      <c r="V194" s="9" t="str">
        <f ca="1">IFERROR(__xludf.DUMMYFUNCTION("IFERROR(VALUE(REGEXEXTRACT(TO_TEXT($F194), V$1 &amp; ""x(\d+)"")), """")"),"")</f>
        <v/>
      </c>
      <c r="W194" s="9"/>
      <c r="X194" s="9"/>
      <c r="Y194" s="9"/>
      <c r="Z194" s="9"/>
    </row>
    <row r="195" spans="1:26" ht="15.75" hidden="1" customHeight="1">
      <c r="A195" s="9" t="s">
        <v>1249</v>
      </c>
      <c r="B195" s="9" t="s">
        <v>1250</v>
      </c>
      <c r="C195" s="9" t="s">
        <v>898</v>
      </c>
      <c r="D195" s="9" t="s">
        <v>48</v>
      </c>
      <c r="E195" s="9" t="s">
        <v>12</v>
      </c>
      <c r="F195" s="9" t="s">
        <v>1252</v>
      </c>
      <c r="G195" s="9">
        <v>130</v>
      </c>
      <c r="H195" s="9">
        <v>5</v>
      </c>
      <c r="I195" s="9">
        <v>1.0149999999999999</v>
      </c>
      <c r="J195" s="9">
        <v>52</v>
      </c>
      <c r="K195" s="9" t="s">
        <v>424</v>
      </c>
      <c r="L195" s="9" t="s">
        <v>1169</v>
      </c>
      <c r="M195" s="9"/>
      <c r="N195" s="9" t="str">
        <f ca="1">IFERROR(__xludf.DUMMYFUNCTION("IFERROR(VALUE(REGEXEXTRACT(TO_TEXT($F195), N$1 &amp; ""x(\d+)"")), """")
"),"")</f>
        <v/>
      </c>
      <c r="O195" s="9" t="str">
        <f ca="1">IFERROR(__xludf.DUMMYFUNCTION("IFERROR(VALUE(REGEXEXTRACT(TO_TEXT($F195), O$1 &amp; ""x(\d+)"")), """")"),"")</f>
        <v/>
      </c>
      <c r="P195" s="9">
        <f ca="1">IFERROR(__xludf.DUMMYFUNCTION("IFERROR(VALUE(REGEXEXTRACT(TO_TEXT($F195), P$1 &amp; ""x(\d+)"")), """")"),1)</f>
        <v>1</v>
      </c>
      <c r="Q195" s="9" t="str">
        <f ca="1">IFERROR(__xludf.DUMMYFUNCTION("IFERROR(VALUE(REGEXEXTRACT(TO_TEXT($F195), Q$1 &amp; ""x(\d+)"")), """")"),"")</f>
        <v/>
      </c>
      <c r="R195" s="9" t="str">
        <f ca="1">IFERROR(__xludf.DUMMYFUNCTION("IFERROR(VALUE(REGEXEXTRACT(TO_TEXT($F195), R$1 &amp; ""x(\d+)"")), """")"),"")</f>
        <v/>
      </c>
      <c r="S195" s="9" t="str">
        <f ca="1">IFERROR(__xludf.DUMMYFUNCTION("IFERROR(VALUE(REGEXEXTRACT(TO_TEXT($F195), S$1 &amp; ""x(\d+)"")), """")"),"")</f>
        <v/>
      </c>
      <c r="T195" s="9" t="str">
        <f ca="1">IFERROR(__xludf.DUMMYFUNCTION("IFERROR(VALUE(REGEXEXTRACT(TO_TEXT($F195), T$1 &amp; ""x(\d+)"")), """")"),"")</f>
        <v/>
      </c>
      <c r="U195" s="9" t="str">
        <f ca="1">IFERROR(__xludf.DUMMYFUNCTION("IFERROR(VALUE(REGEXEXTRACT(TO_TEXT($F195), U$1 &amp; ""x(\d+)"")), """")"),"")</f>
        <v/>
      </c>
      <c r="V195" s="9" t="str">
        <f ca="1">IFERROR(__xludf.DUMMYFUNCTION("IFERROR(VALUE(REGEXEXTRACT(TO_TEXT($F195), V$1 &amp; ""x(\d+)"")), """")"),"")</f>
        <v/>
      </c>
      <c r="W195" s="9"/>
      <c r="X195" s="9"/>
      <c r="Y195" s="9"/>
      <c r="Z195" s="9"/>
    </row>
    <row r="196" spans="1:26" ht="15.75" hidden="1" customHeight="1">
      <c r="A196" s="9" t="s">
        <v>1249</v>
      </c>
      <c r="B196" s="9" t="s">
        <v>1250</v>
      </c>
      <c r="C196" s="9" t="s">
        <v>898</v>
      </c>
      <c r="D196" s="9" t="s">
        <v>48</v>
      </c>
      <c r="E196" s="9" t="s">
        <v>13</v>
      </c>
      <c r="F196" s="9" t="s">
        <v>1253</v>
      </c>
      <c r="G196" s="9">
        <v>30</v>
      </c>
      <c r="H196" s="9">
        <v>5</v>
      </c>
      <c r="I196" s="9">
        <v>1.0149999999999999</v>
      </c>
      <c r="J196" s="9">
        <v>52</v>
      </c>
      <c r="K196" s="9" t="s">
        <v>424</v>
      </c>
      <c r="L196" s="9"/>
      <c r="M196" s="9"/>
      <c r="N196" s="9" t="str">
        <f ca="1">IFERROR(__xludf.DUMMYFUNCTION("IFERROR(VALUE(REGEXEXTRACT(TO_TEXT($F196), N$1 &amp; ""x(\d+)"")), """")
"),"")</f>
        <v/>
      </c>
      <c r="O196" s="9" t="str">
        <f ca="1">IFERROR(__xludf.DUMMYFUNCTION("IFERROR(VALUE(REGEXEXTRACT(TO_TEXT($F196), O$1 &amp; ""x(\d+)"")), """")"),"")</f>
        <v/>
      </c>
      <c r="P196" s="9">
        <f ca="1">IFERROR(__xludf.DUMMYFUNCTION("IFERROR(VALUE(REGEXEXTRACT(TO_TEXT($F196), P$1 &amp; ""x(\d+)"")), """")"),1)</f>
        <v>1</v>
      </c>
      <c r="Q196" s="9" t="str">
        <f ca="1">IFERROR(__xludf.DUMMYFUNCTION("IFERROR(VALUE(REGEXEXTRACT(TO_TEXT($F196), Q$1 &amp; ""x(\d+)"")), """")"),"")</f>
        <v/>
      </c>
      <c r="R196" s="9" t="str">
        <f ca="1">IFERROR(__xludf.DUMMYFUNCTION("IFERROR(VALUE(REGEXEXTRACT(TO_TEXT($F196), R$1 &amp; ""x(\d+)"")), """")"),"")</f>
        <v/>
      </c>
      <c r="S196" s="9" t="str">
        <f ca="1">IFERROR(__xludf.DUMMYFUNCTION("IFERROR(VALUE(REGEXEXTRACT(TO_TEXT($F196), S$1 &amp; ""x(\d+)"")), """")"),"")</f>
        <v/>
      </c>
      <c r="T196" s="9" t="str">
        <f ca="1">IFERROR(__xludf.DUMMYFUNCTION("IFERROR(VALUE(REGEXEXTRACT(TO_TEXT($F196), T$1 &amp; ""x(\d+)"")), """")"),"")</f>
        <v/>
      </c>
      <c r="U196" s="9" t="str">
        <f ca="1">IFERROR(__xludf.DUMMYFUNCTION("IFERROR(VALUE(REGEXEXTRACT(TO_TEXT($F196), U$1 &amp; ""x(\d+)"")), """")"),"")</f>
        <v/>
      </c>
      <c r="V196" s="9" t="str">
        <f ca="1">IFERROR(__xludf.DUMMYFUNCTION("IFERROR(VALUE(REGEXEXTRACT(TO_TEXT($F196), V$1 &amp; ""x(\d+)"")), """")"),"")</f>
        <v/>
      </c>
      <c r="W196" s="9"/>
      <c r="X196" s="9"/>
      <c r="Y196" s="9"/>
      <c r="Z196" s="9"/>
    </row>
    <row r="197" spans="1:26" ht="15.75" hidden="1" customHeight="1">
      <c r="A197" s="9" t="s">
        <v>1249</v>
      </c>
      <c r="B197" s="9" t="s">
        <v>1250</v>
      </c>
      <c r="C197" s="9" t="s">
        <v>898</v>
      </c>
      <c r="D197" s="9" t="s">
        <v>74</v>
      </c>
      <c r="E197" s="9" t="s">
        <v>11</v>
      </c>
      <c r="F197" s="9" t="s">
        <v>1254</v>
      </c>
      <c r="G197" s="9">
        <v>30</v>
      </c>
      <c r="H197" s="9">
        <v>2</v>
      </c>
      <c r="I197" s="9">
        <v>1.0149999999999999</v>
      </c>
      <c r="J197" s="9">
        <v>103</v>
      </c>
      <c r="K197" s="9" t="s">
        <v>424</v>
      </c>
      <c r="L197" s="9"/>
      <c r="M197" s="9"/>
      <c r="N197" s="9" t="str">
        <f ca="1">IFERROR(__xludf.DUMMYFUNCTION("IFERROR(VALUE(REGEXEXTRACT(TO_TEXT($F197), N$1 &amp; ""x(\d+)"")), """")
"),"")</f>
        <v/>
      </c>
      <c r="O197" s="9" t="str">
        <f ca="1">IFERROR(__xludf.DUMMYFUNCTION("IFERROR(VALUE(REGEXEXTRACT(TO_TEXT($F197), O$1 &amp; ""x(\d+)"")), """")"),"")</f>
        <v/>
      </c>
      <c r="P197" s="9" t="str">
        <f ca="1">IFERROR(__xludf.DUMMYFUNCTION("IFERROR(VALUE(REGEXEXTRACT(TO_TEXT($F197), P$1 &amp; ""x(\d+)"")), """")"),"")</f>
        <v/>
      </c>
      <c r="Q197" s="9" t="str">
        <f ca="1">IFERROR(__xludf.DUMMYFUNCTION("IFERROR(VALUE(REGEXEXTRACT(TO_TEXT($F197), Q$1 &amp; ""x(\d+)"")), """")"),"")</f>
        <v/>
      </c>
      <c r="R197" s="9" t="str">
        <f ca="1">IFERROR(__xludf.DUMMYFUNCTION("IFERROR(VALUE(REGEXEXTRACT(TO_TEXT($F197), R$1 &amp; ""x(\d+)"")), """")"),"")</f>
        <v/>
      </c>
      <c r="S197" s="9" t="str">
        <f ca="1">IFERROR(__xludf.DUMMYFUNCTION("IFERROR(VALUE(REGEXEXTRACT(TO_TEXT($F197), S$1 &amp; ""x(\d+)"")), """")"),"")</f>
        <v/>
      </c>
      <c r="T197" s="9" t="str">
        <f ca="1">IFERROR(__xludf.DUMMYFUNCTION("IFERROR(VALUE(REGEXEXTRACT(TO_TEXT($F197), T$1 &amp; ""x(\d+)"")), """")"),"")</f>
        <v/>
      </c>
      <c r="U197" s="9" t="str">
        <f ca="1">IFERROR(__xludf.DUMMYFUNCTION("IFERROR(VALUE(REGEXEXTRACT(TO_TEXT($F197), U$1 &amp; ""x(\d+)"")), """")"),"")</f>
        <v/>
      </c>
      <c r="V197" s="9" t="str">
        <f ca="1">IFERROR(__xludf.DUMMYFUNCTION("IFERROR(VALUE(REGEXEXTRACT(TO_TEXT($F197), V$1 &amp; ""x(\d+)"")), """")"),"")</f>
        <v/>
      </c>
      <c r="W197" s="9"/>
      <c r="X197" s="9"/>
      <c r="Y197" s="9"/>
      <c r="Z197" s="9"/>
    </row>
    <row r="198" spans="1:26" ht="15.75" hidden="1" customHeight="1">
      <c r="A198" s="9" t="s">
        <v>1249</v>
      </c>
      <c r="B198" s="9" t="s">
        <v>1250</v>
      </c>
      <c r="C198" s="9" t="s">
        <v>898</v>
      </c>
      <c r="D198" s="9" t="s">
        <v>74</v>
      </c>
      <c r="E198" s="9" t="s">
        <v>12</v>
      </c>
      <c r="F198" s="9" t="s">
        <v>1124</v>
      </c>
      <c r="G198" s="9">
        <v>180</v>
      </c>
      <c r="H198" s="9">
        <v>2</v>
      </c>
      <c r="I198" s="9">
        <v>1.0149999999999999</v>
      </c>
      <c r="J198" s="9">
        <v>103</v>
      </c>
      <c r="K198" s="9" t="s">
        <v>424</v>
      </c>
      <c r="L198" s="9" t="s">
        <v>1210</v>
      </c>
      <c r="M198" s="9"/>
      <c r="N198" s="9" t="str">
        <f ca="1">IFERROR(__xludf.DUMMYFUNCTION("IFERROR(VALUE(REGEXEXTRACT(TO_TEXT($F198), N$1 &amp; ""x(\d+)"")), """")
"),"")</f>
        <v/>
      </c>
      <c r="O198" s="9" t="str">
        <f ca="1">IFERROR(__xludf.DUMMYFUNCTION("IFERROR(VALUE(REGEXEXTRACT(TO_TEXT($F198), O$1 &amp; ""x(\d+)"")), """")"),"")</f>
        <v/>
      </c>
      <c r="P198" s="9" t="str">
        <f ca="1">IFERROR(__xludf.DUMMYFUNCTION("IFERROR(VALUE(REGEXEXTRACT(TO_TEXT($F198), P$1 &amp; ""x(\d+)"")), """")"),"")</f>
        <v/>
      </c>
      <c r="Q198" s="9">
        <f ca="1">IFERROR(__xludf.DUMMYFUNCTION("IFERROR(VALUE(REGEXEXTRACT(TO_TEXT($F198), Q$1 &amp; ""x(\d+)"")), """")"),1)</f>
        <v>1</v>
      </c>
      <c r="R198" s="9" t="str">
        <f ca="1">IFERROR(__xludf.DUMMYFUNCTION("IFERROR(VALUE(REGEXEXTRACT(TO_TEXT($F198), R$1 &amp; ""x(\d+)"")), """")"),"")</f>
        <v/>
      </c>
      <c r="S198" s="9" t="str">
        <f ca="1">IFERROR(__xludf.DUMMYFUNCTION("IFERROR(VALUE(REGEXEXTRACT(TO_TEXT($F198), S$1 &amp; ""x(\d+)"")), """")"),"")</f>
        <v/>
      </c>
      <c r="T198" s="9" t="str">
        <f ca="1">IFERROR(__xludf.DUMMYFUNCTION("IFERROR(VALUE(REGEXEXTRACT(TO_TEXT($F198), T$1 &amp; ""x(\d+)"")), """")"),"")</f>
        <v/>
      </c>
      <c r="U198" s="9" t="str">
        <f ca="1">IFERROR(__xludf.DUMMYFUNCTION("IFERROR(VALUE(REGEXEXTRACT(TO_TEXT($F198), U$1 &amp; ""x(\d+)"")), """")"),"")</f>
        <v/>
      </c>
      <c r="V198" s="9" t="str">
        <f ca="1">IFERROR(__xludf.DUMMYFUNCTION("IFERROR(VALUE(REGEXEXTRACT(TO_TEXT($F198), V$1 &amp; ""x(\d+)"")), """")"),"")</f>
        <v/>
      </c>
      <c r="W198" s="9"/>
      <c r="X198" s="9"/>
      <c r="Y198" s="9"/>
      <c r="Z198" s="9"/>
    </row>
    <row r="199" spans="1:26" ht="15.75" hidden="1" customHeight="1">
      <c r="A199" s="9" t="s">
        <v>1249</v>
      </c>
      <c r="B199" s="9" t="s">
        <v>1250</v>
      </c>
      <c r="C199" s="9" t="s">
        <v>898</v>
      </c>
      <c r="D199" s="9" t="s">
        <v>74</v>
      </c>
      <c r="E199" s="9" t="s">
        <v>13</v>
      </c>
      <c r="F199" s="9" t="s">
        <v>1125</v>
      </c>
      <c r="G199" s="9">
        <v>40</v>
      </c>
      <c r="H199" s="9">
        <v>2</v>
      </c>
      <c r="I199" s="9">
        <v>1.0149999999999999</v>
      </c>
      <c r="J199" s="9">
        <v>103</v>
      </c>
      <c r="K199" s="9" t="s">
        <v>424</v>
      </c>
      <c r="L199" s="9"/>
      <c r="M199" s="9"/>
      <c r="N199" s="9" t="str">
        <f ca="1">IFERROR(__xludf.DUMMYFUNCTION("IFERROR(VALUE(REGEXEXTRACT(TO_TEXT($F199), N$1 &amp; ""x(\d+)"")), """")
"),"")</f>
        <v/>
      </c>
      <c r="O199" s="9" t="str">
        <f ca="1">IFERROR(__xludf.DUMMYFUNCTION("IFERROR(VALUE(REGEXEXTRACT(TO_TEXT($F199), O$1 &amp; ""x(\d+)"")), """")"),"")</f>
        <v/>
      </c>
      <c r="P199" s="9" t="str">
        <f ca="1">IFERROR(__xludf.DUMMYFUNCTION("IFERROR(VALUE(REGEXEXTRACT(TO_TEXT($F199), P$1 &amp; ""x(\d+)"")), """")"),"")</f>
        <v/>
      </c>
      <c r="Q199" s="9">
        <f ca="1">IFERROR(__xludf.DUMMYFUNCTION("IFERROR(VALUE(REGEXEXTRACT(TO_TEXT($F199), Q$1 &amp; ""x(\d+)"")), """")"),1)</f>
        <v>1</v>
      </c>
      <c r="R199" s="9" t="str">
        <f ca="1">IFERROR(__xludf.DUMMYFUNCTION("IFERROR(VALUE(REGEXEXTRACT(TO_TEXT($F199), R$1 &amp; ""x(\d+)"")), """")"),"")</f>
        <v/>
      </c>
      <c r="S199" s="9" t="str">
        <f ca="1">IFERROR(__xludf.DUMMYFUNCTION("IFERROR(VALUE(REGEXEXTRACT(TO_TEXT($F199), S$1 &amp; ""x(\d+)"")), """")"),"")</f>
        <v/>
      </c>
      <c r="T199" s="9" t="str">
        <f ca="1">IFERROR(__xludf.DUMMYFUNCTION("IFERROR(VALUE(REGEXEXTRACT(TO_TEXT($F199), T$1 &amp; ""x(\d+)"")), """")"),"")</f>
        <v/>
      </c>
      <c r="U199" s="9" t="str">
        <f ca="1">IFERROR(__xludf.DUMMYFUNCTION("IFERROR(VALUE(REGEXEXTRACT(TO_TEXT($F199), U$1 &amp; ""x(\d+)"")), """")"),"")</f>
        <v/>
      </c>
      <c r="V199" s="9" t="str">
        <f ca="1">IFERROR(__xludf.DUMMYFUNCTION("IFERROR(VALUE(REGEXEXTRACT(TO_TEXT($F199), V$1 &amp; ""x(\d+)"")), """")"),"")</f>
        <v/>
      </c>
      <c r="W199" s="9"/>
      <c r="X199" s="9"/>
      <c r="Y199" s="9"/>
      <c r="Z199" s="9"/>
    </row>
    <row r="200" spans="1:26" ht="15.75" customHeight="1">
      <c r="A200" s="9" t="s">
        <v>96</v>
      </c>
      <c r="B200" s="9" t="s">
        <v>1255</v>
      </c>
      <c r="C200" s="9" t="s">
        <v>97</v>
      </c>
      <c r="D200" s="9" t="s">
        <v>33</v>
      </c>
      <c r="E200" s="9" t="s">
        <v>11</v>
      </c>
      <c r="F200" s="9" t="s">
        <v>1239</v>
      </c>
      <c r="G200" s="9">
        <v>50</v>
      </c>
      <c r="H200" s="9">
        <v>5</v>
      </c>
      <c r="I200" s="9">
        <v>1.0149999999999999</v>
      </c>
      <c r="J200" s="9">
        <v>96</v>
      </c>
      <c r="K200" s="9" t="s">
        <v>442</v>
      </c>
      <c r="L200" s="9"/>
      <c r="M200" s="9"/>
      <c r="N200" s="9" t="str">
        <f ca="1">IFERROR(__xludf.DUMMYFUNCTION("IFERROR(VALUE(REGEXEXTRACT(TO_TEXT($F200), N$1 &amp; ""x(\d+)"")), """")
"),"")</f>
        <v/>
      </c>
      <c r="O200" s="9" t="str">
        <f ca="1">IFERROR(__xludf.DUMMYFUNCTION("IFERROR(VALUE(REGEXEXTRACT(TO_TEXT($F200), O$1 &amp; ""x(\d+)"")), """")"),"")</f>
        <v/>
      </c>
      <c r="P200" s="9" t="str">
        <f ca="1">IFERROR(__xludf.DUMMYFUNCTION("IFERROR(VALUE(REGEXEXTRACT(TO_TEXT($F200), P$1 &amp; ""x(\d+)"")), """")"),"")</f>
        <v/>
      </c>
      <c r="Q200" s="9" t="str">
        <f ca="1">IFERROR(__xludf.DUMMYFUNCTION("IFERROR(VALUE(REGEXEXTRACT(TO_TEXT($F200), Q$1 &amp; ""x(\d+)"")), """")"),"")</f>
        <v/>
      </c>
      <c r="R200" s="9" t="str">
        <f ca="1">IFERROR(__xludf.DUMMYFUNCTION("IFERROR(VALUE(REGEXEXTRACT(TO_TEXT($F200), R$1 &amp; ""x(\d+)"")), """")"),"")</f>
        <v/>
      </c>
      <c r="S200" s="9" t="str">
        <f ca="1">IFERROR(__xludf.DUMMYFUNCTION("IFERROR(VALUE(REGEXEXTRACT(TO_TEXT($F200), S$1 &amp; ""x(\d+)"")), """")"),"")</f>
        <v/>
      </c>
      <c r="T200" s="9" t="str">
        <f ca="1">IFERROR(__xludf.DUMMYFUNCTION("IFERROR(VALUE(REGEXEXTRACT(TO_TEXT($F200), T$1 &amp; ""x(\d+)"")), """")"),"")</f>
        <v/>
      </c>
      <c r="U200" s="9" t="str">
        <f ca="1">IFERROR(__xludf.DUMMYFUNCTION("IFERROR(VALUE(REGEXEXTRACT(TO_TEXT($F200), U$1 &amp; ""x(\d+)"")), """")"),"")</f>
        <v/>
      </c>
      <c r="V200" s="9" t="str">
        <f ca="1">IFERROR(__xludf.DUMMYFUNCTION("IFERROR(VALUE(REGEXEXTRACT(TO_TEXT($F200), V$1 &amp; ""x(\d+)"")), """")"),"")</f>
        <v/>
      </c>
      <c r="W200" s="9"/>
      <c r="X200" s="9"/>
      <c r="Y200" s="9"/>
      <c r="Z200" s="9"/>
    </row>
    <row r="201" spans="1:26" ht="15.75" customHeight="1">
      <c r="A201" s="9" t="s">
        <v>96</v>
      </c>
      <c r="B201" s="9" t="s">
        <v>1255</v>
      </c>
      <c r="C201" s="9" t="s">
        <v>97</v>
      </c>
      <c r="D201" s="9" t="s">
        <v>33</v>
      </c>
      <c r="E201" s="9" t="s">
        <v>12</v>
      </c>
      <c r="F201" s="9" t="s">
        <v>1240</v>
      </c>
      <c r="G201" s="9">
        <v>55</v>
      </c>
      <c r="H201" s="9">
        <v>5</v>
      </c>
      <c r="I201" s="9">
        <v>1.0149999999999999</v>
      </c>
      <c r="J201" s="9">
        <v>96</v>
      </c>
      <c r="K201" s="9" t="s">
        <v>442</v>
      </c>
      <c r="L201" s="9"/>
      <c r="M201" s="9"/>
      <c r="N201" s="9" t="str">
        <f ca="1">IFERROR(__xludf.DUMMYFUNCTION("IFERROR(VALUE(REGEXEXTRACT(TO_TEXT($F201), N$1 &amp; ""x(\d+)"")), """")
"),"")</f>
        <v/>
      </c>
      <c r="O201" s="9">
        <f ca="1">IFERROR(__xludf.DUMMYFUNCTION("IFERROR(VALUE(REGEXEXTRACT(TO_TEXT($F201), O$1 &amp; ""x(\d+)"")), """")"),1)</f>
        <v>1</v>
      </c>
      <c r="P201" s="9" t="str">
        <f ca="1">IFERROR(__xludf.DUMMYFUNCTION("IFERROR(VALUE(REGEXEXTRACT(TO_TEXT($F201), P$1 &amp; ""x(\d+)"")), """")"),"")</f>
        <v/>
      </c>
      <c r="Q201" s="9" t="str">
        <f ca="1">IFERROR(__xludf.DUMMYFUNCTION("IFERROR(VALUE(REGEXEXTRACT(TO_TEXT($F201), Q$1 &amp; ""x(\d+)"")), """")"),"")</f>
        <v/>
      </c>
      <c r="R201" s="9" t="str">
        <f ca="1">IFERROR(__xludf.DUMMYFUNCTION("IFERROR(VALUE(REGEXEXTRACT(TO_TEXT($F201), R$1 &amp; ""x(\d+)"")), """")"),"")</f>
        <v/>
      </c>
      <c r="S201" s="9" t="str">
        <f ca="1">IFERROR(__xludf.DUMMYFUNCTION("IFERROR(VALUE(REGEXEXTRACT(TO_TEXT($F201), S$1 &amp; ""x(\d+)"")), """")"),"")</f>
        <v/>
      </c>
      <c r="T201" s="9" t="str">
        <f ca="1">IFERROR(__xludf.DUMMYFUNCTION("IFERROR(VALUE(REGEXEXTRACT(TO_TEXT($F201), T$1 &amp; ""x(\d+)"")), """")"),"")</f>
        <v/>
      </c>
      <c r="U201" s="9" t="str">
        <f ca="1">IFERROR(__xludf.DUMMYFUNCTION("IFERROR(VALUE(REGEXEXTRACT(TO_TEXT($F201), U$1 &amp; ""x(\d+)"")), """")"),"")</f>
        <v/>
      </c>
      <c r="V201" s="9" t="str">
        <f ca="1">IFERROR(__xludf.DUMMYFUNCTION("IFERROR(VALUE(REGEXEXTRACT(TO_TEXT($F201), V$1 &amp; ""x(\d+)"")), """")"),"")</f>
        <v/>
      </c>
      <c r="W201" s="9"/>
      <c r="X201" s="9"/>
      <c r="Y201" s="9"/>
      <c r="Z201" s="9"/>
    </row>
    <row r="202" spans="1:26" ht="15.75" customHeight="1">
      <c r="A202" s="9" t="s">
        <v>96</v>
      </c>
      <c r="B202" s="9" t="s">
        <v>1255</v>
      </c>
      <c r="C202" s="9" t="s">
        <v>97</v>
      </c>
      <c r="D202" s="9" t="s">
        <v>33</v>
      </c>
      <c r="E202" s="9" t="s">
        <v>13</v>
      </c>
      <c r="F202" s="9" t="s">
        <v>1130</v>
      </c>
      <c r="G202" s="9">
        <v>15</v>
      </c>
      <c r="H202" s="9">
        <v>5</v>
      </c>
      <c r="I202" s="9">
        <v>1.0149999999999999</v>
      </c>
      <c r="J202" s="9">
        <v>96</v>
      </c>
      <c r="K202" s="9" t="s">
        <v>442</v>
      </c>
      <c r="L202" s="9"/>
      <c r="M202" s="9"/>
      <c r="N202" s="9" t="str">
        <f ca="1">IFERROR(__xludf.DUMMYFUNCTION("IFERROR(VALUE(REGEXEXTRACT(TO_TEXT($F202), N$1 &amp; ""x(\d+)"")), """")
"),"")</f>
        <v/>
      </c>
      <c r="O202" s="9">
        <f ca="1">IFERROR(__xludf.DUMMYFUNCTION("IFERROR(VALUE(REGEXEXTRACT(TO_TEXT($F202), O$1 &amp; ""x(\d+)"")), """")"),1)</f>
        <v>1</v>
      </c>
      <c r="P202" s="9" t="str">
        <f ca="1">IFERROR(__xludf.DUMMYFUNCTION("IFERROR(VALUE(REGEXEXTRACT(TO_TEXT($F202), P$1 &amp; ""x(\d+)"")), """")"),"")</f>
        <v/>
      </c>
      <c r="Q202" s="9" t="str">
        <f ca="1">IFERROR(__xludf.DUMMYFUNCTION("IFERROR(VALUE(REGEXEXTRACT(TO_TEXT($F202), Q$1 &amp; ""x(\d+)"")), """")"),"")</f>
        <v/>
      </c>
      <c r="R202" s="9" t="str">
        <f ca="1">IFERROR(__xludf.DUMMYFUNCTION("IFERROR(VALUE(REGEXEXTRACT(TO_TEXT($F202), R$1 &amp; ""x(\d+)"")), """")"),"")</f>
        <v/>
      </c>
      <c r="S202" s="9" t="str">
        <f ca="1">IFERROR(__xludf.DUMMYFUNCTION("IFERROR(VALUE(REGEXEXTRACT(TO_TEXT($F202), S$1 &amp; ""x(\d+)"")), """")"),"")</f>
        <v/>
      </c>
      <c r="T202" s="9" t="str">
        <f ca="1">IFERROR(__xludf.DUMMYFUNCTION("IFERROR(VALUE(REGEXEXTRACT(TO_TEXT($F202), T$1 &amp; ""x(\d+)"")), """")"),"")</f>
        <v/>
      </c>
      <c r="U202" s="9" t="str">
        <f ca="1">IFERROR(__xludf.DUMMYFUNCTION("IFERROR(VALUE(REGEXEXTRACT(TO_TEXT($F202), U$1 &amp; ""x(\d+)"")), """")"),"")</f>
        <v/>
      </c>
      <c r="V202" s="9" t="str">
        <f ca="1">IFERROR(__xludf.DUMMYFUNCTION("IFERROR(VALUE(REGEXEXTRACT(TO_TEXT($F202), V$1 &amp; ""x(\d+)"")), """")"),"")</f>
        <v/>
      </c>
      <c r="W202" s="9"/>
      <c r="X202" s="9"/>
      <c r="Y202" s="9"/>
      <c r="Z202" s="9"/>
    </row>
    <row r="203" spans="1:26" ht="15.75" hidden="1" customHeight="1">
      <c r="A203" s="9" t="s">
        <v>1256</v>
      </c>
      <c r="B203" s="9" t="s">
        <v>1257</v>
      </c>
      <c r="C203" s="9" t="s">
        <v>935</v>
      </c>
      <c r="D203" s="9" t="s">
        <v>48</v>
      </c>
      <c r="E203" s="9" t="s">
        <v>11</v>
      </c>
      <c r="F203" s="9" t="s">
        <v>1258</v>
      </c>
      <c r="G203" s="9">
        <v>30</v>
      </c>
      <c r="H203" s="9">
        <v>5</v>
      </c>
      <c r="I203" s="9">
        <v>1.0149999999999999</v>
      </c>
      <c r="J203" s="9">
        <v>52</v>
      </c>
      <c r="K203" s="9" t="s">
        <v>424</v>
      </c>
      <c r="L203" s="9"/>
      <c r="M203" s="9"/>
      <c r="N203" s="9" t="str">
        <f ca="1">IFERROR(__xludf.DUMMYFUNCTION("IFERROR(VALUE(REGEXEXTRACT(TO_TEXT($F203), N$1 &amp; ""x(\d+)"")), """")
"),"")</f>
        <v/>
      </c>
      <c r="O203" s="9" t="str">
        <f ca="1">IFERROR(__xludf.DUMMYFUNCTION("IFERROR(VALUE(REGEXEXTRACT(TO_TEXT($F203), O$1 &amp; ""x(\d+)"")), """")"),"")</f>
        <v/>
      </c>
      <c r="P203" s="9" t="str">
        <f ca="1">IFERROR(__xludf.DUMMYFUNCTION("IFERROR(VALUE(REGEXEXTRACT(TO_TEXT($F203), P$1 &amp; ""x(\d+)"")), """")"),"")</f>
        <v/>
      </c>
      <c r="Q203" s="9" t="str">
        <f ca="1">IFERROR(__xludf.DUMMYFUNCTION("IFERROR(VALUE(REGEXEXTRACT(TO_TEXT($F203), Q$1 &amp; ""x(\d+)"")), """")"),"")</f>
        <v/>
      </c>
      <c r="R203" s="9" t="str">
        <f ca="1">IFERROR(__xludf.DUMMYFUNCTION("IFERROR(VALUE(REGEXEXTRACT(TO_TEXT($F203), R$1 &amp; ""x(\d+)"")), """")"),"")</f>
        <v/>
      </c>
      <c r="S203" s="9" t="str">
        <f ca="1">IFERROR(__xludf.DUMMYFUNCTION("IFERROR(VALUE(REGEXEXTRACT(TO_TEXT($F203), S$1 &amp; ""x(\d+)"")), """")"),"")</f>
        <v/>
      </c>
      <c r="T203" s="9" t="str">
        <f ca="1">IFERROR(__xludf.DUMMYFUNCTION("IFERROR(VALUE(REGEXEXTRACT(TO_TEXT($F203), T$1 &amp; ""x(\d+)"")), """")"),"")</f>
        <v/>
      </c>
      <c r="U203" s="9" t="str">
        <f ca="1">IFERROR(__xludf.DUMMYFUNCTION("IFERROR(VALUE(REGEXEXTRACT(TO_TEXT($F203), U$1 &amp; ""x(\d+)"")), """")"),"")</f>
        <v/>
      </c>
      <c r="V203" s="9" t="str">
        <f ca="1">IFERROR(__xludf.DUMMYFUNCTION("IFERROR(VALUE(REGEXEXTRACT(TO_TEXT($F203), V$1 &amp; ""x(\d+)"")), """")"),"")</f>
        <v/>
      </c>
      <c r="W203" s="9"/>
      <c r="X203" s="9"/>
      <c r="Y203" s="9"/>
      <c r="Z203" s="9"/>
    </row>
    <row r="204" spans="1:26" ht="15.75" hidden="1" customHeight="1">
      <c r="A204" s="9" t="s">
        <v>1256</v>
      </c>
      <c r="B204" s="9" t="s">
        <v>1257</v>
      </c>
      <c r="C204" s="9" t="s">
        <v>935</v>
      </c>
      <c r="D204" s="9" t="s">
        <v>48</v>
      </c>
      <c r="E204" s="9" t="s">
        <v>12</v>
      </c>
      <c r="F204" s="9" t="s">
        <v>1259</v>
      </c>
      <c r="G204" s="9">
        <v>125</v>
      </c>
      <c r="H204" s="9">
        <v>5</v>
      </c>
      <c r="I204" s="9">
        <v>1.0149999999999999</v>
      </c>
      <c r="J204" s="9">
        <v>50</v>
      </c>
      <c r="K204" s="9" t="s">
        <v>424</v>
      </c>
      <c r="L204" s="9" t="s">
        <v>1243</v>
      </c>
      <c r="M204" s="9"/>
      <c r="N204" s="9" t="str">
        <f ca="1">IFERROR(__xludf.DUMMYFUNCTION("IFERROR(VALUE(REGEXEXTRACT(TO_TEXT($F204), N$1 &amp; ""x(\d+)"")), """")
"),"")</f>
        <v/>
      </c>
      <c r="O204" s="9" t="str">
        <f ca="1">IFERROR(__xludf.DUMMYFUNCTION("IFERROR(VALUE(REGEXEXTRACT(TO_TEXT($F204), O$1 &amp; ""x(\d+)"")), """")"),"")</f>
        <v/>
      </c>
      <c r="P204" s="9">
        <f ca="1">IFERROR(__xludf.DUMMYFUNCTION("IFERROR(VALUE(REGEXEXTRACT(TO_TEXT($F204), P$1 &amp; ""x(\d+)"")), """")"),1)</f>
        <v>1</v>
      </c>
      <c r="Q204" s="9" t="str">
        <f ca="1">IFERROR(__xludf.DUMMYFUNCTION("IFERROR(VALUE(REGEXEXTRACT(TO_TEXT($F204), Q$1 &amp; ""x(\d+)"")), """")"),"")</f>
        <v/>
      </c>
      <c r="R204" s="9" t="str">
        <f ca="1">IFERROR(__xludf.DUMMYFUNCTION("IFERROR(VALUE(REGEXEXTRACT(TO_TEXT($F204), R$1 &amp; ""x(\d+)"")), """")"),"")</f>
        <v/>
      </c>
      <c r="S204" s="9" t="str">
        <f ca="1">IFERROR(__xludf.DUMMYFUNCTION("IFERROR(VALUE(REGEXEXTRACT(TO_TEXT($F204), S$1 &amp; ""x(\d+)"")), """")"),"")</f>
        <v/>
      </c>
      <c r="T204" s="9" t="str">
        <f ca="1">IFERROR(__xludf.DUMMYFUNCTION("IFERROR(VALUE(REGEXEXTRACT(TO_TEXT($F204), T$1 &amp; ""x(\d+)"")), """")"),"")</f>
        <v/>
      </c>
      <c r="U204" s="9" t="str">
        <f ca="1">IFERROR(__xludf.DUMMYFUNCTION("IFERROR(VALUE(REGEXEXTRACT(TO_TEXT($F204), U$1 &amp; ""x(\d+)"")), """")"),"")</f>
        <v/>
      </c>
      <c r="V204" s="9" t="str">
        <f ca="1">IFERROR(__xludf.DUMMYFUNCTION("IFERROR(VALUE(REGEXEXTRACT(TO_TEXT($F204), V$1 &amp; ""x(\d+)"")), """")"),"")</f>
        <v/>
      </c>
      <c r="W204" s="9"/>
      <c r="X204" s="9"/>
      <c r="Y204" s="9"/>
      <c r="Z204" s="9"/>
    </row>
    <row r="205" spans="1:26" ht="15.75" hidden="1" customHeight="1">
      <c r="A205" s="9" t="s">
        <v>1256</v>
      </c>
      <c r="B205" s="9" t="s">
        <v>1257</v>
      </c>
      <c r="C205" s="9" t="s">
        <v>935</v>
      </c>
      <c r="D205" s="9" t="s">
        <v>48</v>
      </c>
      <c r="E205" s="9" t="s">
        <v>13</v>
      </c>
      <c r="F205" s="9" t="s">
        <v>1253</v>
      </c>
      <c r="G205" s="9">
        <v>30</v>
      </c>
      <c r="H205" s="9">
        <v>5</v>
      </c>
      <c r="I205" s="9">
        <v>1.0149999999999999</v>
      </c>
      <c r="J205" s="9">
        <v>50</v>
      </c>
      <c r="K205" s="9" t="s">
        <v>424</v>
      </c>
      <c r="L205" s="9"/>
      <c r="M205" s="9"/>
      <c r="N205" s="9" t="str">
        <f ca="1">IFERROR(__xludf.DUMMYFUNCTION("IFERROR(VALUE(REGEXEXTRACT(TO_TEXT($F205), N$1 &amp; ""x(\d+)"")), """")
"),"")</f>
        <v/>
      </c>
      <c r="O205" s="9" t="str">
        <f ca="1">IFERROR(__xludf.DUMMYFUNCTION("IFERROR(VALUE(REGEXEXTRACT(TO_TEXT($F205), O$1 &amp; ""x(\d+)"")), """")"),"")</f>
        <v/>
      </c>
      <c r="P205" s="9">
        <f ca="1">IFERROR(__xludf.DUMMYFUNCTION("IFERROR(VALUE(REGEXEXTRACT(TO_TEXT($F205), P$1 &amp; ""x(\d+)"")), """")"),1)</f>
        <v>1</v>
      </c>
      <c r="Q205" s="9" t="str">
        <f ca="1">IFERROR(__xludf.DUMMYFUNCTION("IFERROR(VALUE(REGEXEXTRACT(TO_TEXT($F205), Q$1 &amp; ""x(\d+)"")), """")"),"")</f>
        <v/>
      </c>
      <c r="R205" s="9" t="str">
        <f ca="1">IFERROR(__xludf.DUMMYFUNCTION("IFERROR(VALUE(REGEXEXTRACT(TO_TEXT($F205), R$1 &amp; ""x(\d+)"")), """")"),"")</f>
        <v/>
      </c>
      <c r="S205" s="9" t="str">
        <f ca="1">IFERROR(__xludf.DUMMYFUNCTION("IFERROR(VALUE(REGEXEXTRACT(TO_TEXT($F205), S$1 &amp; ""x(\d+)"")), """")"),"")</f>
        <v/>
      </c>
      <c r="T205" s="9" t="str">
        <f ca="1">IFERROR(__xludf.DUMMYFUNCTION("IFERROR(VALUE(REGEXEXTRACT(TO_TEXT($F205), T$1 &amp; ""x(\d+)"")), """")"),"")</f>
        <v/>
      </c>
      <c r="U205" s="9" t="str">
        <f ca="1">IFERROR(__xludf.DUMMYFUNCTION("IFERROR(VALUE(REGEXEXTRACT(TO_TEXT($F205), U$1 &amp; ""x(\d+)"")), """")"),"")</f>
        <v/>
      </c>
      <c r="V205" s="9" t="str">
        <f ca="1">IFERROR(__xludf.DUMMYFUNCTION("IFERROR(VALUE(REGEXEXTRACT(TO_TEXT($F205), V$1 &amp; ""x(\d+)"")), """")"),"")</f>
        <v/>
      </c>
      <c r="W205" s="9"/>
      <c r="X205" s="9"/>
      <c r="Y205" s="9"/>
      <c r="Z205" s="9"/>
    </row>
    <row r="206" spans="1:26" ht="15.75" hidden="1" customHeight="1">
      <c r="A206" s="9" t="s">
        <v>1256</v>
      </c>
      <c r="B206" s="9" t="s">
        <v>1257</v>
      </c>
      <c r="C206" s="9" t="s">
        <v>935</v>
      </c>
      <c r="D206" s="9" t="s">
        <v>74</v>
      </c>
      <c r="E206" s="9" t="s">
        <v>11</v>
      </c>
      <c r="F206" s="9" t="s">
        <v>1260</v>
      </c>
      <c r="G206" s="9">
        <v>20</v>
      </c>
      <c r="H206" s="9">
        <v>2</v>
      </c>
      <c r="I206" s="9">
        <v>1.0149999999999999</v>
      </c>
      <c r="J206" s="9">
        <v>103</v>
      </c>
      <c r="K206" s="9" t="s">
        <v>424</v>
      </c>
      <c r="L206" s="9"/>
      <c r="M206" s="9"/>
      <c r="N206" s="9" t="str">
        <f ca="1">IFERROR(__xludf.DUMMYFUNCTION("IFERROR(VALUE(REGEXEXTRACT(TO_TEXT($F206), N$1 &amp; ""x(\d+)"")), """")
"),"")</f>
        <v/>
      </c>
      <c r="O206" s="9" t="str">
        <f ca="1">IFERROR(__xludf.DUMMYFUNCTION("IFERROR(VALUE(REGEXEXTRACT(TO_TEXT($F206), O$1 &amp; ""x(\d+)"")), """")"),"")</f>
        <v/>
      </c>
      <c r="P206" s="9" t="str">
        <f ca="1">IFERROR(__xludf.DUMMYFUNCTION("IFERROR(VALUE(REGEXEXTRACT(TO_TEXT($F206), P$1 &amp; ""x(\d+)"")), """")"),"")</f>
        <v/>
      </c>
      <c r="Q206" s="9" t="str">
        <f ca="1">IFERROR(__xludf.DUMMYFUNCTION("IFERROR(VALUE(REGEXEXTRACT(TO_TEXT($F206), Q$1 &amp; ""x(\d+)"")), """")"),"")</f>
        <v/>
      </c>
      <c r="R206" s="9" t="str">
        <f ca="1">IFERROR(__xludf.DUMMYFUNCTION("IFERROR(VALUE(REGEXEXTRACT(TO_TEXT($F206), R$1 &amp; ""x(\d+)"")), """")"),"")</f>
        <v/>
      </c>
      <c r="S206" s="9" t="str">
        <f ca="1">IFERROR(__xludf.DUMMYFUNCTION("IFERROR(VALUE(REGEXEXTRACT(TO_TEXT($F206), S$1 &amp; ""x(\d+)"")), """")"),"")</f>
        <v/>
      </c>
      <c r="T206" s="9" t="str">
        <f ca="1">IFERROR(__xludf.DUMMYFUNCTION("IFERROR(VALUE(REGEXEXTRACT(TO_TEXT($F206), T$1 &amp; ""x(\d+)"")), """")"),"")</f>
        <v/>
      </c>
      <c r="U206" s="9" t="str">
        <f ca="1">IFERROR(__xludf.DUMMYFUNCTION("IFERROR(VALUE(REGEXEXTRACT(TO_TEXT($F206), U$1 &amp; ""x(\d+)"")), """")"),"")</f>
        <v/>
      </c>
      <c r="V206" s="9" t="str">
        <f ca="1">IFERROR(__xludf.DUMMYFUNCTION("IFERROR(VALUE(REGEXEXTRACT(TO_TEXT($F206), V$1 &amp; ""x(\d+)"")), """")"),"")</f>
        <v/>
      </c>
      <c r="W206" s="9"/>
      <c r="X206" s="9"/>
      <c r="Y206" s="9"/>
      <c r="Z206" s="9"/>
    </row>
    <row r="207" spans="1:26" ht="15.75" hidden="1" customHeight="1">
      <c r="A207" s="9" t="s">
        <v>1256</v>
      </c>
      <c r="B207" s="9" t="s">
        <v>1257</v>
      </c>
      <c r="C207" s="9" t="s">
        <v>935</v>
      </c>
      <c r="D207" s="9" t="s">
        <v>74</v>
      </c>
      <c r="E207" s="9" t="s">
        <v>12</v>
      </c>
      <c r="F207" s="9" t="s">
        <v>1124</v>
      </c>
      <c r="G207" s="9">
        <v>180</v>
      </c>
      <c r="H207" s="9">
        <v>2</v>
      </c>
      <c r="I207" s="9">
        <v>1.0149999999999999</v>
      </c>
      <c r="J207" s="9">
        <v>103</v>
      </c>
      <c r="K207" s="9" t="s">
        <v>424</v>
      </c>
      <c r="L207" s="9" t="s">
        <v>1210</v>
      </c>
      <c r="M207" s="9"/>
      <c r="N207" s="9" t="str">
        <f ca="1">IFERROR(__xludf.DUMMYFUNCTION("IFERROR(VALUE(REGEXEXTRACT(TO_TEXT($F207), N$1 &amp; ""x(\d+)"")), """")
"),"")</f>
        <v/>
      </c>
      <c r="O207" s="9" t="str">
        <f ca="1">IFERROR(__xludf.DUMMYFUNCTION("IFERROR(VALUE(REGEXEXTRACT(TO_TEXT($F207), O$1 &amp; ""x(\d+)"")), """")"),"")</f>
        <v/>
      </c>
      <c r="P207" s="9" t="str">
        <f ca="1">IFERROR(__xludf.DUMMYFUNCTION("IFERROR(VALUE(REGEXEXTRACT(TO_TEXT($F207), P$1 &amp; ""x(\d+)"")), """")"),"")</f>
        <v/>
      </c>
      <c r="Q207" s="9">
        <f ca="1">IFERROR(__xludf.DUMMYFUNCTION("IFERROR(VALUE(REGEXEXTRACT(TO_TEXT($F207), Q$1 &amp; ""x(\d+)"")), """")"),1)</f>
        <v>1</v>
      </c>
      <c r="R207" s="9" t="str">
        <f ca="1">IFERROR(__xludf.DUMMYFUNCTION("IFERROR(VALUE(REGEXEXTRACT(TO_TEXT($F207), R$1 &amp; ""x(\d+)"")), """")"),"")</f>
        <v/>
      </c>
      <c r="S207" s="9" t="str">
        <f ca="1">IFERROR(__xludf.DUMMYFUNCTION("IFERROR(VALUE(REGEXEXTRACT(TO_TEXT($F207), S$1 &amp; ""x(\d+)"")), """")"),"")</f>
        <v/>
      </c>
      <c r="T207" s="9" t="str">
        <f ca="1">IFERROR(__xludf.DUMMYFUNCTION("IFERROR(VALUE(REGEXEXTRACT(TO_TEXT($F207), T$1 &amp; ""x(\d+)"")), """")"),"")</f>
        <v/>
      </c>
      <c r="U207" s="9" t="str">
        <f ca="1">IFERROR(__xludf.DUMMYFUNCTION("IFERROR(VALUE(REGEXEXTRACT(TO_TEXT($F207), U$1 &amp; ""x(\d+)"")), """")"),"")</f>
        <v/>
      </c>
      <c r="V207" s="9" t="str">
        <f ca="1">IFERROR(__xludf.DUMMYFUNCTION("IFERROR(VALUE(REGEXEXTRACT(TO_TEXT($F207), V$1 &amp; ""x(\d+)"")), """")"),"")</f>
        <v/>
      </c>
      <c r="W207" s="9"/>
      <c r="X207" s="9"/>
      <c r="Y207" s="9"/>
      <c r="Z207" s="9"/>
    </row>
    <row r="208" spans="1:26" ht="15.75" hidden="1" customHeight="1">
      <c r="A208" s="9" t="s">
        <v>1256</v>
      </c>
      <c r="B208" s="9" t="s">
        <v>1257</v>
      </c>
      <c r="C208" s="9" t="s">
        <v>935</v>
      </c>
      <c r="D208" s="9" t="s">
        <v>74</v>
      </c>
      <c r="E208" s="9" t="s">
        <v>13</v>
      </c>
      <c r="F208" s="9" t="s">
        <v>1125</v>
      </c>
      <c r="G208" s="9">
        <v>40</v>
      </c>
      <c r="H208" s="9">
        <v>2</v>
      </c>
      <c r="I208" s="9">
        <v>1.0149999999999999</v>
      </c>
      <c r="J208" s="9">
        <v>103</v>
      </c>
      <c r="K208" s="9" t="s">
        <v>424</v>
      </c>
      <c r="L208" s="9"/>
      <c r="M208" s="9"/>
      <c r="N208" s="9" t="str">
        <f ca="1">IFERROR(__xludf.DUMMYFUNCTION("IFERROR(VALUE(REGEXEXTRACT(TO_TEXT($F208), N$1 &amp; ""x(\d+)"")), """")
"),"")</f>
        <v/>
      </c>
      <c r="O208" s="9" t="str">
        <f ca="1">IFERROR(__xludf.DUMMYFUNCTION("IFERROR(VALUE(REGEXEXTRACT(TO_TEXT($F208), O$1 &amp; ""x(\d+)"")), """")"),"")</f>
        <v/>
      </c>
      <c r="P208" s="9" t="str">
        <f ca="1">IFERROR(__xludf.DUMMYFUNCTION("IFERROR(VALUE(REGEXEXTRACT(TO_TEXT($F208), P$1 &amp; ""x(\d+)"")), """")"),"")</f>
        <v/>
      </c>
      <c r="Q208" s="9">
        <f ca="1">IFERROR(__xludf.DUMMYFUNCTION("IFERROR(VALUE(REGEXEXTRACT(TO_TEXT($F208), Q$1 &amp; ""x(\d+)"")), """")"),1)</f>
        <v>1</v>
      </c>
      <c r="R208" s="9" t="str">
        <f ca="1">IFERROR(__xludf.DUMMYFUNCTION("IFERROR(VALUE(REGEXEXTRACT(TO_TEXT($F208), R$1 &amp; ""x(\d+)"")), """")"),"")</f>
        <v/>
      </c>
      <c r="S208" s="9" t="str">
        <f ca="1">IFERROR(__xludf.DUMMYFUNCTION("IFERROR(VALUE(REGEXEXTRACT(TO_TEXT($F208), S$1 &amp; ""x(\d+)"")), """")"),"")</f>
        <v/>
      </c>
      <c r="T208" s="9" t="str">
        <f ca="1">IFERROR(__xludf.DUMMYFUNCTION("IFERROR(VALUE(REGEXEXTRACT(TO_TEXT($F208), T$1 &amp; ""x(\d+)"")), """")"),"")</f>
        <v/>
      </c>
      <c r="U208" s="9" t="str">
        <f ca="1">IFERROR(__xludf.DUMMYFUNCTION("IFERROR(VALUE(REGEXEXTRACT(TO_TEXT($F208), U$1 &amp; ""x(\d+)"")), """")"),"")</f>
        <v/>
      </c>
      <c r="V208" s="9" t="str">
        <f ca="1">IFERROR(__xludf.DUMMYFUNCTION("IFERROR(VALUE(REGEXEXTRACT(TO_TEXT($F208), V$1 &amp; ""x(\d+)"")), """")"),"")</f>
        <v/>
      </c>
      <c r="W208" s="9"/>
      <c r="X208" s="9"/>
      <c r="Y208" s="9"/>
      <c r="Z208" s="9"/>
    </row>
    <row r="209" spans="1:26" ht="15.75" customHeight="1">
      <c r="A209" s="9" t="s">
        <v>1261</v>
      </c>
      <c r="B209" s="9" t="s">
        <v>1262</v>
      </c>
      <c r="C209" s="9" t="s">
        <v>586</v>
      </c>
      <c r="D209" s="9" t="s">
        <v>33</v>
      </c>
      <c r="E209" s="9" t="s">
        <v>11</v>
      </c>
      <c r="F209" s="9" t="s">
        <v>1263</v>
      </c>
      <c r="G209" s="9">
        <v>35</v>
      </c>
      <c r="H209" s="9">
        <v>4</v>
      </c>
      <c r="I209" s="9">
        <v>1.0149999999999999</v>
      </c>
      <c r="J209" s="9">
        <v>78</v>
      </c>
      <c r="K209" s="9" t="s">
        <v>442</v>
      </c>
      <c r="L209" s="9"/>
      <c r="M209" s="9"/>
      <c r="N209" s="9" t="str">
        <f ca="1">IFERROR(__xludf.DUMMYFUNCTION("IFERROR(VALUE(REGEXEXTRACT(TO_TEXT($F209), N$1 &amp; ""x(\d+)"")), """")
"),"")</f>
        <v/>
      </c>
      <c r="O209" s="9" t="str">
        <f ca="1">IFERROR(__xludf.DUMMYFUNCTION("IFERROR(VALUE(REGEXEXTRACT(TO_TEXT($F209), O$1 &amp; ""x(\d+)"")), """")"),"")</f>
        <v/>
      </c>
      <c r="P209" s="9" t="str">
        <f ca="1">IFERROR(__xludf.DUMMYFUNCTION("IFERROR(VALUE(REGEXEXTRACT(TO_TEXT($F209), P$1 &amp; ""x(\d+)"")), """")"),"")</f>
        <v/>
      </c>
      <c r="Q209" s="9" t="str">
        <f ca="1">IFERROR(__xludf.DUMMYFUNCTION("IFERROR(VALUE(REGEXEXTRACT(TO_TEXT($F209), Q$1 &amp; ""x(\d+)"")), """")"),"")</f>
        <v/>
      </c>
      <c r="R209" s="9" t="str">
        <f ca="1">IFERROR(__xludf.DUMMYFUNCTION("IFERROR(VALUE(REGEXEXTRACT(TO_TEXT($F209), R$1 &amp; ""x(\d+)"")), """")"),"")</f>
        <v/>
      </c>
      <c r="S209" s="9" t="str">
        <f ca="1">IFERROR(__xludf.DUMMYFUNCTION("IFERROR(VALUE(REGEXEXTRACT(TO_TEXT($F209), S$1 &amp; ""x(\d+)"")), """")"),"")</f>
        <v/>
      </c>
      <c r="T209" s="9" t="str">
        <f ca="1">IFERROR(__xludf.DUMMYFUNCTION("IFERROR(VALUE(REGEXEXTRACT(TO_TEXT($F209), T$1 &amp; ""x(\d+)"")), """")"),"")</f>
        <v/>
      </c>
      <c r="U209" s="9" t="str">
        <f ca="1">IFERROR(__xludf.DUMMYFUNCTION("IFERROR(VALUE(REGEXEXTRACT(TO_TEXT($F209), U$1 &amp; ""x(\d+)"")), """")"),"")</f>
        <v/>
      </c>
      <c r="V209" s="9" t="str">
        <f ca="1">IFERROR(__xludf.DUMMYFUNCTION("IFERROR(VALUE(REGEXEXTRACT(TO_TEXT($F209), V$1 &amp; ""x(\d+)"")), """")"),"")</f>
        <v/>
      </c>
      <c r="W209" s="9"/>
      <c r="X209" s="9"/>
      <c r="Y209" s="9"/>
      <c r="Z209" s="9"/>
    </row>
    <row r="210" spans="1:26" ht="15.75" customHeight="1">
      <c r="A210" s="9" t="s">
        <v>1261</v>
      </c>
      <c r="B210" s="9" t="s">
        <v>1262</v>
      </c>
      <c r="C210" s="9" t="s">
        <v>586</v>
      </c>
      <c r="D210" s="9" t="s">
        <v>33</v>
      </c>
      <c r="E210" s="9" t="s">
        <v>12</v>
      </c>
      <c r="F210" s="9" t="s">
        <v>1264</v>
      </c>
      <c r="G210" s="9">
        <v>125</v>
      </c>
      <c r="H210" s="9">
        <v>4</v>
      </c>
      <c r="I210" s="9">
        <v>1.0149999999999999</v>
      </c>
      <c r="J210" s="9">
        <v>78</v>
      </c>
      <c r="K210" s="9" t="s">
        <v>442</v>
      </c>
      <c r="L210" s="9" t="s">
        <v>1265</v>
      </c>
      <c r="M210" s="9"/>
      <c r="N210" s="9" t="str">
        <f ca="1">IFERROR(__xludf.DUMMYFUNCTION("IFERROR(VALUE(REGEXEXTRACT(TO_TEXT($F210), N$1 &amp; ""x(\d+)"")), """")
"),"")</f>
        <v/>
      </c>
      <c r="O210" s="9">
        <f ca="1">IFERROR(__xludf.DUMMYFUNCTION("IFERROR(VALUE(REGEXEXTRACT(TO_TEXT($F210), O$1 &amp; ""x(\d+)"")), """")"),1)</f>
        <v>1</v>
      </c>
      <c r="P210" s="9" t="str">
        <f ca="1">IFERROR(__xludf.DUMMYFUNCTION("IFERROR(VALUE(REGEXEXTRACT(TO_TEXT($F210), P$1 &amp; ""x(\d+)"")), """")"),"")</f>
        <v/>
      </c>
      <c r="Q210" s="9" t="str">
        <f ca="1">IFERROR(__xludf.DUMMYFUNCTION("IFERROR(VALUE(REGEXEXTRACT(TO_TEXT($F210), Q$1 &amp; ""x(\d+)"")), """")"),"")</f>
        <v/>
      </c>
      <c r="R210" s="9" t="str">
        <f ca="1">IFERROR(__xludf.DUMMYFUNCTION("IFERROR(VALUE(REGEXEXTRACT(TO_TEXT($F210), R$1 &amp; ""x(\d+)"")), """")"),"")</f>
        <v/>
      </c>
      <c r="S210" s="9" t="str">
        <f ca="1">IFERROR(__xludf.DUMMYFUNCTION("IFERROR(VALUE(REGEXEXTRACT(TO_TEXT($F210), S$1 &amp; ""x(\d+)"")), """")"),"")</f>
        <v/>
      </c>
      <c r="T210" s="9" t="str">
        <f ca="1">IFERROR(__xludf.DUMMYFUNCTION("IFERROR(VALUE(REGEXEXTRACT(TO_TEXT($F210), T$1 &amp; ""x(\d+)"")), """")"),"")</f>
        <v/>
      </c>
      <c r="U210" s="9" t="str">
        <f ca="1">IFERROR(__xludf.DUMMYFUNCTION("IFERROR(VALUE(REGEXEXTRACT(TO_TEXT($F210), U$1 &amp; ""x(\d+)"")), """")"),"")</f>
        <v/>
      </c>
      <c r="V210" s="9" t="str">
        <f ca="1">IFERROR(__xludf.DUMMYFUNCTION("IFERROR(VALUE(REGEXEXTRACT(TO_TEXT($F210), V$1 &amp; ""x(\d+)"")), """")"),"")</f>
        <v/>
      </c>
      <c r="W210" s="9"/>
      <c r="X210" s="9"/>
      <c r="Y210" s="9"/>
      <c r="Z210" s="9"/>
    </row>
    <row r="211" spans="1:26" ht="15.75" customHeight="1">
      <c r="A211" s="9" t="s">
        <v>1261</v>
      </c>
      <c r="B211" s="9" t="s">
        <v>1262</v>
      </c>
      <c r="C211" s="9" t="s">
        <v>586</v>
      </c>
      <c r="D211" s="9" t="s">
        <v>33</v>
      </c>
      <c r="E211" s="9" t="s">
        <v>13</v>
      </c>
      <c r="F211" s="9" t="s">
        <v>1058</v>
      </c>
      <c r="G211" s="9">
        <v>15</v>
      </c>
      <c r="H211" s="9">
        <v>4</v>
      </c>
      <c r="I211" s="9">
        <v>1.0149999999999999</v>
      </c>
      <c r="J211" s="9">
        <v>78</v>
      </c>
      <c r="K211" s="9" t="s">
        <v>442</v>
      </c>
      <c r="L211" s="9"/>
      <c r="M211" s="9"/>
      <c r="N211" s="9" t="str">
        <f ca="1">IFERROR(__xludf.DUMMYFUNCTION("IFERROR(VALUE(REGEXEXTRACT(TO_TEXT($F211), N$1 &amp; ""x(\d+)"")), """")
"),"")</f>
        <v/>
      </c>
      <c r="O211" s="9">
        <f ca="1">IFERROR(__xludf.DUMMYFUNCTION("IFERROR(VALUE(REGEXEXTRACT(TO_TEXT($F211), O$1 &amp; ""x(\d+)"")), """")"),1)</f>
        <v>1</v>
      </c>
      <c r="P211" s="9" t="str">
        <f ca="1">IFERROR(__xludf.DUMMYFUNCTION("IFERROR(VALUE(REGEXEXTRACT(TO_TEXT($F211), P$1 &amp; ""x(\d+)"")), """")"),"")</f>
        <v/>
      </c>
      <c r="Q211" s="9" t="str">
        <f ca="1">IFERROR(__xludf.DUMMYFUNCTION("IFERROR(VALUE(REGEXEXTRACT(TO_TEXT($F211), Q$1 &amp; ""x(\d+)"")), """")"),"")</f>
        <v/>
      </c>
      <c r="R211" s="9" t="str">
        <f ca="1">IFERROR(__xludf.DUMMYFUNCTION("IFERROR(VALUE(REGEXEXTRACT(TO_TEXT($F211), R$1 &amp; ""x(\d+)"")), """")"),"")</f>
        <v/>
      </c>
      <c r="S211" s="9" t="str">
        <f ca="1">IFERROR(__xludf.DUMMYFUNCTION("IFERROR(VALUE(REGEXEXTRACT(TO_TEXT($F211), S$1 &amp; ""x(\d+)"")), """")"),"")</f>
        <v/>
      </c>
      <c r="T211" s="9" t="str">
        <f ca="1">IFERROR(__xludf.DUMMYFUNCTION("IFERROR(VALUE(REGEXEXTRACT(TO_TEXT($F211), T$1 &amp; ""x(\d+)"")), """")"),"")</f>
        <v/>
      </c>
      <c r="U211" s="9" t="str">
        <f ca="1">IFERROR(__xludf.DUMMYFUNCTION("IFERROR(VALUE(REGEXEXTRACT(TO_TEXT($F211), U$1 &amp; ""x(\d+)"")), """")"),"")</f>
        <v/>
      </c>
      <c r="V211" s="9" t="str">
        <f ca="1">IFERROR(__xludf.DUMMYFUNCTION("IFERROR(VALUE(REGEXEXTRACT(TO_TEXT($F211), V$1 &amp; ""x(\d+)"")), """")"),"")</f>
        <v/>
      </c>
      <c r="W211" s="9"/>
      <c r="X211" s="9"/>
      <c r="Y211" s="9"/>
      <c r="Z211" s="9"/>
    </row>
    <row r="212" spans="1:26" ht="15.75" hidden="1" customHeight="1">
      <c r="A212" s="9" t="s">
        <v>1266</v>
      </c>
      <c r="B212" s="9" t="s">
        <v>1267</v>
      </c>
      <c r="C212" s="9" t="s">
        <v>968</v>
      </c>
      <c r="D212" s="9" t="s">
        <v>48</v>
      </c>
      <c r="E212" s="9" t="s">
        <v>11</v>
      </c>
      <c r="F212" s="9" t="s">
        <v>1180</v>
      </c>
      <c r="G212" s="9">
        <v>25</v>
      </c>
      <c r="H212" s="9">
        <v>4</v>
      </c>
      <c r="I212" s="9">
        <v>1.0149999999999999</v>
      </c>
      <c r="J212" s="9">
        <v>52</v>
      </c>
      <c r="K212" s="9" t="s">
        <v>424</v>
      </c>
      <c r="L212" s="9"/>
      <c r="M212" s="9"/>
      <c r="N212" s="9" t="str">
        <f ca="1">IFERROR(__xludf.DUMMYFUNCTION("IFERROR(VALUE(REGEXEXTRACT(TO_TEXT($F212), N$1 &amp; ""x(\d+)"")), """")
"),"")</f>
        <v/>
      </c>
      <c r="O212" s="9" t="str">
        <f ca="1">IFERROR(__xludf.DUMMYFUNCTION("IFERROR(VALUE(REGEXEXTRACT(TO_TEXT($F212), O$1 &amp; ""x(\d+)"")), """")"),"")</f>
        <v/>
      </c>
      <c r="P212" s="9" t="str">
        <f ca="1">IFERROR(__xludf.DUMMYFUNCTION("IFERROR(VALUE(REGEXEXTRACT(TO_TEXT($F212), P$1 &amp; ""x(\d+)"")), """")"),"")</f>
        <v/>
      </c>
      <c r="Q212" s="9" t="str">
        <f ca="1">IFERROR(__xludf.DUMMYFUNCTION("IFERROR(VALUE(REGEXEXTRACT(TO_TEXT($F212), Q$1 &amp; ""x(\d+)"")), """")"),"")</f>
        <v/>
      </c>
      <c r="R212" s="9" t="str">
        <f ca="1">IFERROR(__xludf.DUMMYFUNCTION("IFERROR(VALUE(REGEXEXTRACT(TO_TEXT($F212), R$1 &amp; ""x(\d+)"")), """")"),"")</f>
        <v/>
      </c>
      <c r="S212" s="9" t="str">
        <f ca="1">IFERROR(__xludf.DUMMYFUNCTION("IFERROR(VALUE(REGEXEXTRACT(TO_TEXT($F212), S$1 &amp; ""x(\d+)"")), """")"),"")</f>
        <v/>
      </c>
      <c r="T212" s="9" t="str">
        <f ca="1">IFERROR(__xludf.DUMMYFUNCTION("IFERROR(VALUE(REGEXEXTRACT(TO_TEXT($F212), T$1 &amp; ""x(\d+)"")), """")"),"")</f>
        <v/>
      </c>
      <c r="U212" s="9" t="str">
        <f ca="1">IFERROR(__xludf.DUMMYFUNCTION("IFERROR(VALUE(REGEXEXTRACT(TO_TEXT($F212), U$1 &amp; ""x(\d+)"")), """")"),"")</f>
        <v/>
      </c>
      <c r="V212" s="9" t="str">
        <f ca="1">IFERROR(__xludf.DUMMYFUNCTION("IFERROR(VALUE(REGEXEXTRACT(TO_TEXT($F212), V$1 &amp; ""x(\d+)"")), """")"),"")</f>
        <v/>
      </c>
      <c r="W212" s="9"/>
      <c r="X212" s="9"/>
      <c r="Y212" s="9"/>
      <c r="Z212" s="9"/>
    </row>
    <row r="213" spans="1:26" ht="15.75" hidden="1" customHeight="1">
      <c r="A213" s="9" t="s">
        <v>1266</v>
      </c>
      <c r="B213" s="9" t="s">
        <v>1267</v>
      </c>
      <c r="C213" s="9" t="s">
        <v>968</v>
      </c>
      <c r="D213" s="9" t="s">
        <v>48</v>
      </c>
      <c r="E213" s="9" t="s">
        <v>12</v>
      </c>
      <c r="F213" s="9" t="s">
        <v>1268</v>
      </c>
      <c r="G213" s="9">
        <v>130</v>
      </c>
      <c r="H213" s="9">
        <v>4</v>
      </c>
      <c r="I213" s="9">
        <v>1.0149999999999999</v>
      </c>
      <c r="J213" s="9">
        <v>52</v>
      </c>
      <c r="K213" s="9" t="s">
        <v>424</v>
      </c>
      <c r="L213" s="9" t="s">
        <v>1210</v>
      </c>
      <c r="M213" s="9"/>
      <c r="N213" s="9" t="str">
        <f ca="1">IFERROR(__xludf.DUMMYFUNCTION("IFERROR(VALUE(REGEXEXTRACT(TO_TEXT($F213), N$1 &amp; ""x(\d+)"")), """")
"),"")</f>
        <v/>
      </c>
      <c r="O213" s="9" t="str">
        <f ca="1">IFERROR(__xludf.DUMMYFUNCTION("IFERROR(VALUE(REGEXEXTRACT(TO_TEXT($F213), O$1 &amp; ""x(\d+)"")), """")"),"")</f>
        <v/>
      </c>
      <c r="P213" s="9">
        <f ca="1">IFERROR(__xludf.DUMMYFUNCTION("IFERROR(VALUE(REGEXEXTRACT(TO_TEXT($F213), P$1 &amp; ""x(\d+)"")), """")"),1)</f>
        <v>1</v>
      </c>
      <c r="Q213" s="9" t="str">
        <f ca="1">IFERROR(__xludf.DUMMYFUNCTION("IFERROR(VALUE(REGEXEXTRACT(TO_TEXT($F213), Q$1 &amp; ""x(\d+)"")), """")"),"")</f>
        <v/>
      </c>
      <c r="R213" s="9" t="str">
        <f ca="1">IFERROR(__xludf.DUMMYFUNCTION("IFERROR(VALUE(REGEXEXTRACT(TO_TEXT($F213), R$1 &amp; ""x(\d+)"")), """")"),"")</f>
        <v/>
      </c>
      <c r="S213" s="9" t="str">
        <f ca="1">IFERROR(__xludf.DUMMYFUNCTION("IFERROR(VALUE(REGEXEXTRACT(TO_TEXT($F213), S$1 &amp; ""x(\d+)"")), """")"),"")</f>
        <v/>
      </c>
      <c r="T213" s="9" t="str">
        <f ca="1">IFERROR(__xludf.DUMMYFUNCTION("IFERROR(VALUE(REGEXEXTRACT(TO_TEXT($F213), T$1 &amp; ""x(\d+)"")), """")"),"")</f>
        <v/>
      </c>
      <c r="U213" s="9" t="str">
        <f ca="1">IFERROR(__xludf.DUMMYFUNCTION("IFERROR(VALUE(REGEXEXTRACT(TO_TEXT($F213), U$1 &amp; ""x(\d+)"")), """")"),"")</f>
        <v/>
      </c>
      <c r="V213" s="9" t="str">
        <f ca="1">IFERROR(__xludf.DUMMYFUNCTION("IFERROR(VALUE(REGEXEXTRACT(TO_TEXT($F213), V$1 &amp; ""x(\d+)"")), """")"),"")</f>
        <v/>
      </c>
      <c r="W213" s="9"/>
      <c r="X213" s="9"/>
      <c r="Y213" s="9"/>
      <c r="Z213" s="9"/>
    </row>
    <row r="214" spans="1:26" ht="15.75" hidden="1" customHeight="1">
      <c r="A214" s="9" t="s">
        <v>1266</v>
      </c>
      <c r="B214" s="9" t="s">
        <v>1267</v>
      </c>
      <c r="C214" s="9" t="s">
        <v>968</v>
      </c>
      <c r="D214" s="9" t="s">
        <v>48</v>
      </c>
      <c r="E214" s="9" t="s">
        <v>13</v>
      </c>
      <c r="F214" s="9" t="s">
        <v>1269</v>
      </c>
      <c r="G214" s="9">
        <v>30</v>
      </c>
      <c r="H214" s="9">
        <v>4</v>
      </c>
      <c r="I214" s="9">
        <v>1.0149999999999999</v>
      </c>
      <c r="J214" s="9">
        <v>52</v>
      </c>
      <c r="K214" s="9" t="s">
        <v>424</v>
      </c>
      <c r="L214" s="9"/>
      <c r="M214" s="9"/>
      <c r="N214" s="9" t="str">
        <f ca="1">IFERROR(__xludf.DUMMYFUNCTION("IFERROR(VALUE(REGEXEXTRACT(TO_TEXT($F214), N$1 &amp; ""x(\d+)"")), """")
"),"")</f>
        <v/>
      </c>
      <c r="O214" s="9" t="str">
        <f ca="1">IFERROR(__xludf.DUMMYFUNCTION("IFERROR(VALUE(REGEXEXTRACT(TO_TEXT($F214), O$1 &amp; ""x(\d+)"")), """")"),"")</f>
        <v/>
      </c>
      <c r="P214" s="9">
        <f ca="1">IFERROR(__xludf.DUMMYFUNCTION("IFERROR(VALUE(REGEXEXTRACT(TO_TEXT($F214), P$1 &amp; ""x(\d+)"")), """")"),1)</f>
        <v>1</v>
      </c>
      <c r="Q214" s="9" t="str">
        <f ca="1">IFERROR(__xludf.DUMMYFUNCTION("IFERROR(VALUE(REGEXEXTRACT(TO_TEXT($F214), Q$1 &amp; ""x(\d+)"")), """")"),"")</f>
        <v/>
      </c>
      <c r="R214" s="9" t="str">
        <f ca="1">IFERROR(__xludf.DUMMYFUNCTION("IFERROR(VALUE(REGEXEXTRACT(TO_TEXT($F214), R$1 &amp; ""x(\d+)"")), """")"),"")</f>
        <v/>
      </c>
      <c r="S214" s="9" t="str">
        <f ca="1">IFERROR(__xludf.DUMMYFUNCTION("IFERROR(VALUE(REGEXEXTRACT(TO_TEXT($F214), S$1 &amp; ""x(\d+)"")), """")"),"")</f>
        <v/>
      </c>
      <c r="T214" s="9" t="str">
        <f ca="1">IFERROR(__xludf.DUMMYFUNCTION("IFERROR(VALUE(REGEXEXTRACT(TO_TEXT($F214), T$1 &amp; ""x(\d+)"")), """")"),"")</f>
        <v/>
      </c>
      <c r="U214" s="9" t="str">
        <f ca="1">IFERROR(__xludf.DUMMYFUNCTION("IFERROR(VALUE(REGEXEXTRACT(TO_TEXT($F214), U$1 &amp; ""x(\d+)"")), """")"),"")</f>
        <v/>
      </c>
      <c r="V214" s="9" t="str">
        <f ca="1">IFERROR(__xludf.DUMMYFUNCTION("IFERROR(VALUE(REGEXEXTRACT(TO_TEXT($F214), V$1 &amp; ""x(\d+)"")), """")"),"")</f>
        <v/>
      </c>
      <c r="W214" s="9"/>
      <c r="X214" s="9"/>
      <c r="Y214" s="9"/>
      <c r="Z214" s="9"/>
    </row>
    <row r="215" spans="1:26" ht="15.75" hidden="1" customHeight="1">
      <c r="A215" s="9" t="s">
        <v>1270</v>
      </c>
      <c r="B215" s="9" t="s">
        <v>1271</v>
      </c>
      <c r="C215" s="9" t="s">
        <v>904</v>
      </c>
      <c r="D215" s="9" t="s">
        <v>48</v>
      </c>
      <c r="E215" s="9" t="s">
        <v>11</v>
      </c>
      <c r="F215" s="9" t="s">
        <v>1180</v>
      </c>
      <c r="G215" s="9">
        <v>25</v>
      </c>
      <c r="H215" s="9">
        <v>4</v>
      </c>
      <c r="I215" s="9">
        <v>1.0149999999999999</v>
      </c>
      <c r="J215" s="9">
        <v>52</v>
      </c>
      <c r="K215" s="9" t="s">
        <v>424</v>
      </c>
      <c r="L215" s="9"/>
      <c r="M215" s="9"/>
      <c r="N215" s="9" t="str">
        <f ca="1">IFERROR(__xludf.DUMMYFUNCTION("IFERROR(VALUE(REGEXEXTRACT(TO_TEXT($F215), N$1 &amp; ""x(\d+)"")), """")
"),"")</f>
        <v/>
      </c>
      <c r="O215" s="9" t="str">
        <f ca="1">IFERROR(__xludf.DUMMYFUNCTION("IFERROR(VALUE(REGEXEXTRACT(TO_TEXT($F215), O$1 &amp; ""x(\d+)"")), """")"),"")</f>
        <v/>
      </c>
      <c r="P215" s="9" t="str">
        <f ca="1">IFERROR(__xludf.DUMMYFUNCTION("IFERROR(VALUE(REGEXEXTRACT(TO_TEXT($F215), P$1 &amp; ""x(\d+)"")), """")"),"")</f>
        <v/>
      </c>
      <c r="Q215" s="9" t="str">
        <f ca="1">IFERROR(__xludf.DUMMYFUNCTION("IFERROR(VALUE(REGEXEXTRACT(TO_TEXT($F215), Q$1 &amp; ""x(\d+)"")), """")"),"")</f>
        <v/>
      </c>
      <c r="R215" s="9" t="str">
        <f ca="1">IFERROR(__xludf.DUMMYFUNCTION("IFERROR(VALUE(REGEXEXTRACT(TO_TEXT($F215), R$1 &amp; ""x(\d+)"")), """")"),"")</f>
        <v/>
      </c>
      <c r="S215" s="9" t="str">
        <f ca="1">IFERROR(__xludf.DUMMYFUNCTION("IFERROR(VALUE(REGEXEXTRACT(TO_TEXT($F215), S$1 &amp; ""x(\d+)"")), """")"),"")</f>
        <v/>
      </c>
      <c r="T215" s="9" t="str">
        <f ca="1">IFERROR(__xludf.DUMMYFUNCTION("IFERROR(VALUE(REGEXEXTRACT(TO_TEXT($F215), T$1 &amp; ""x(\d+)"")), """")"),"")</f>
        <v/>
      </c>
      <c r="U215" s="9" t="str">
        <f ca="1">IFERROR(__xludf.DUMMYFUNCTION("IFERROR(VALUE(REGEXEXTRACT(TO_TEXT($F215), U$1 &amp; ""x(\d+)"")), """")"),"")</f>
        <v/>
      </c>
      <c r="V215" s="9" t="str">
        <f ca="1">IFERROR(__xludf.DUMMYFUNCTION("IFERROR(VALUE(REGEXEXTRACT(TO_TEXT($F215), V$1 &amp; ""x(\d+)"")), """")"),"")</f>
        <v/>
      </c>
      <c r="W215" s="9"/>
      <c r="X215" s="9"/>
      <c r="Y215" s="9"/>
      <c r="Z215" s="9"/>
    </row>
    <row r="216" spans="1:26" ht="15.75" hidden="1" customHeight="1">
      <c r="A216" s="9" t="s">
        <v>1270</v>
      </c>
      <c r="B216" s="9" t="s">
        <v>1271</v>
      </c>
      <c r="C216" s="9" t="s">
        <v>904</v>
      </c>
      <c r="D216" s="9" t="s">
        <v>48</v>
      </c>
      <c r="E216" s="9" t="s">
        <v>12</v>
      </c>
      <c r="F216" s="9" t="s">
        <v>1268</v>
      </c>
      <c r="G216" s="9">
        <v>130</v>
      </c>
      <c r="H216" s="9">
        <v>4</v>
      </c>
      <c r="I216" s="9">
        <v>1.0149999999999999</v>
      </c>
      <c r="J216" s="9">
        <v>52</v>
      </c>
      <c r="K216" s="9" t="s">
        <v>424</v>
      </c>
      <c r="L216" s="9" t="s">
        <v>1210</v>
      </c>
      <c r="M216" s="9"/>
      <c r="N216" s="9" t="str">
        <f ca="1">IFERROR(__xludf.DUMMYFUNCTION("IFERROR(VALUE(REGEXEXTRACT(TO_TEXT($F216), N$1 &amp; ""x(\d+)"")), """")
"),"")</f>
        <v/>
      </c>
      <c r="O216" s="9" t="str">
        <f ca="1">IFERROR(__xludf.DUMMYFUNCTION("IFERROR(VALUE(REGEXEXTRACT(TO_TEXT($F216), O$1 &amp; ""x(\d+)"")), """")"),"")</f>
        <v/>
      </c>
      <c r="P216" s="9">
        <f ca="1">IFERROR(__xludf.DUMMYFUNCTION("IFERROR(VALUE(REGEXEXTRACT(TO_TEXT($F216), P$1 &amp; ""x(\d+)"")), """")"),1)</f>
        <v>1</v>
      </c>
      <c r="Q216" s="9" t="str">
        <f ca="1">IFERROR(__xludf.DUMMYFUNCTION("IFERROR(VALUE(REGEXEXTRACT(TO_TEXT($F216), Q$1 &amp; ""x(\d+)"")), """")"),"")</f>
        <v/>
      </c>
      <c r="R216" s="9" t="str">
        <f ca="1">IFERROR(__xludf.DUMMYFUNCTION("IFERROR(VALUE(REGEXEXTRACT(TO_TEXT($F216), R$1 &amp; ""x(\d+)"")), """")"),"")</f>
        <v/>
      </c>
      <c r="S216" s="9" t="str">
        <f ca="1">IFERROR(__xludf.DUMMYFUNCTION("IFERROR(VALUE(REGEXEXTRACT(TO_TEXT($F216), S$1 &amp; ""x(\d+)"")), """")"),"")</f>
        <v/>
      </c>
      <c r="T216" s="9" t="str">
        <f ca="1">IFERROR(__xludf.DUMMYFUNCTION("IFERROR(VALUE(REGEXEXTRACT(TO_TEXT($F216), T$1 &amp; ""x(\d+)"")), """")"),"")</f>
        <v/>
      </c>
      <c r="U216" s="9" t="str">
        <f ca="1">IFERROR(__xludf.DUMMYFUNCTION("IFERROR(VALUE(REGEXEXTRACT(TO_TEXT($F216), U$1 &amp; ""x(\d+)"")), """")"),"")</f>
        <v/>
      </c>
      <c r="V216" s="9" t="str">
        <f ca="1">IFERROR(__xludf.DUMMYFUNCTION("IFERROR(VALUE(REGEXEXTRACT(TO_TEXT($F216), V$1 &amp; ""x(\d+)"")), """")"),"")</f>
        <v/>
      </c>
      <c r="W216" s="9"/>
      <c r="X216" s="9"/>
      <c r="Y216" s="9"/>
      <c r="Z216" s="9"/>
    </row>
    <row r="217" spans="1:26" ht="15.75" hidden="1" customHeight="1">
      <c r="A217" s="9" t="s">
        <v>1270</v>
      </c>
      <c r="B217" s="9" t="s">
        <v>1271</v>
      </c>
      <c r="C217" s="9" t="s">
        <v>904</v>
      </c>
      <c r="D217" s="9" t="s">
        <v>48</v>
      </c>
      <c r="E217" s="9" t="s">
        <v>13</v>
      </c>
      <c r="F217" s="9" t="s">
        <v>1269</v>
      </c>
      <c r="G217" s="9">
        <v>30</v>
      </c>
      <c r="H217" s="9">
        <v>4</v>
      </c>
      <c r="I217" s="9">
        <v>1.0149999999999999</v>
      </c>
      <c r="J217" s="9">
        <v>52</v>
      </c>
      <c r="K217" s="9" t="s">
        <v>424</v>
      </c>
      <c r="L217" s="9"/>
      <c r="M217" s="9"/>
      <c r="N217" s="9" t="str">
        <f ca="1">IFERROR(__xludf.DUMMYFUNCTION("IFERROR(VALUE(REGEXEXTRACT(TO_TEXT($F217), N$1 &amp; ""x(\d+)"")), """")
"),"")</f>
        <v/>
      </c>
      <c r="O217" s="9" t="str">
        <f ca="1">IFERROR(__xludf.DUMMYFUNCTION("IFERROR(VALUE(REGEXEXTRACT(TO_TEXT($F217), O$1 &amp; ""x(\d+)"")), """")"),"")</f>
        <v/>
      </c>
      <c r="P217" s="9">
        <f ca="1">IFERROR(__xludf.DUMMYFUNCTION("IFERROR(VALUE(REGEXEXTRACT(TO_TEXT($F217), P$1 &amp; ""x(\d+)"")), """")"),1)</f>
        <v>1</v>
      </c>
      <c r="Q217" s="9" t="str">
        <f ca="1">IFERROR(__xludf.DUMMYFUNCTION("IFERROR(VALUE(REGEXEXTRACT(TO_TEXT($F217), Q$1 &amp; ""x(\d+)"")), """")"),"")</f>
        <v/>
      </c>
      <c r="R217" s="9" t="str">
        <f ca="1">IFERROR(__xludf.DUMMYFUNCTION("IFERROR(VALUE(REGEXEXTRACT(TO_TEXT($F217), R$1 &amp; ""x(\d+)"")), """")"),"")</f>
        <v/>
      </c>
      <c r="S217" s="9" t="str">
        <f ca="1">IFERROR(__xludf.DUMMYFUNCTION("IFERROR(VALUE(REGEXEXTRACT(TO_TEXT($F217), S$1 &amp; ""x(\d+)"")), """")"),"")</f>
        <v/>
      </c>
      <c r="T217" s="9" t="str">
        <f ca="1">IFERROR(__xludf.DUMMYFUNCTION("IFERROR(VALUE(REGEXEXTRACT(TO_TEXT($F217), T$1 &amp; ""x(\d+)"")), """")"),"")</f>
        <v/>
      </c>
      <c r="U217" s="9" t="str">
        <f ca="1">IFERROR(__xludf.DUMMYFUNCTION("IFERROR(VALUE(REGEXEXTRACT(TO_TEXT($F217), U$1 &amp; ""x(\d+)"")), """")"),"")</f>
        <v/>
      </c>
      <c r="V217" s="9" t="str">
        <f ca="1">IFERROR(__xludf.DUMMYFUNCTION("IFERROR(VALUE(REGEXEXTRACT(TO_TEXT($F217), V$1 &amp; ""x(\d+)"")), """")"),"")</f>
        <v/>
      </c>
      <c r="W217" s="9"/>
      <c r="X217" s="9"/>
      <c r="Y217" s="9"/>
      <c r="Z217" s="9"/>
    </row>
    <row r="218" spans="1:26" ht="15.75" hidden="1" customHeight="1">
      <c r="A218" s="9" t="s">
        <v>1272</v>
      </c>
      <c r="B218" s="9" t="s">
        <v>1273</v>
      </c>
      <c r="C218" s="9" t="s">
        <v>988</v>
      </c>
      <c r="D218" s="9" t="s">
        <v>48</v>
      </c>
      <c r="E218" s="9" t="s">
        <v>11</v>
      </c>
      <c r="F218" s="9" t="s">
        <v>1274</v>
      </c>
      <c r="G218" s="9">
        <v>105</v>
      </c>
      <c r="H218" s="9">
        <v>2</v>
      </c>
      <c r="I218" s="9">
        <v>1.0149999999999999</v>
      </c>
      <c r="J218" s="9">
        <v>52</v>
      </c>
      <c r="K218" s="9" t="s">
        <v>424</v>
      </c>
      <c r="L218" s="9"/>
      <c r="M218" s="9"/>
      <c r="N218" s="9">
        <f ca="1">IFERROR(__xludf.DUMMYFUNCTION("IFERROR(VALUE(REGEXEXTRACT(TO_TEXT($F218), N$1 &amp; ""x(\d+)"")), """")
"),1)</f>
        <v>1</v>
      </c>
      <c r="O218" s="9">
        <f ca="1">IFERROR(__xludf.DUMMYFUNCTION("IFERROR(VALUE(REGEXEXTRACT(TO_TEXT($F218), O$1 &amp; ""x(\d+)"")), """")"),1)</f>
        <v>1</v>
      </c>
      <c r="P218" s="9" t="str">
        <f ca="1">IFERROR(__xludf.DUMMYFUNCTION("IFERROR(VALUE(REGEXEXTRACT(TO_TEXT($F218), P$1 &amp; ""x(\d+)"")), """")"),"")</f>
        <v/>
      </c>
      <c r="Q218" s="9" t="str">
        <f ca="1">IFERROR(__xludf.DUMMYFUNCTION("IFERROR(VALUE(REGEXEXTRACT(TO_TEXT($F218), Q$1 &amp; ""x(\d+)"")), """")"),"")</f>
        <v/>
      </c>
      <c r="R218" s="9" t="str">
        <f ca="1">IFERROR(__xludf.DUMMYFUNCTION("IFERROR(VALUE(REGEXEXTRACT(TO_TEXT($F218), R$1 &amp; ""x(\d+)"")), """")"),"")</f>
        <v/>
      </c>
      <c r="S218" s="9" t="str">
        <f ca="1">IFERROR(__xludf.DUMMYFUNCTION("IFERROR(VALUE(REGEXEXTRACT(TO_TEXT($F218), S$1 &amp; ""x(\d+)"")), """")"),"")</f>
        <v/>
      </c>
      <c r="T218" s="9" t="str">
        <f ca="1">IFERROR(__xludf.DUMMYFUNCTION("IFERROR(VALUE(REGEXEXTRACT(TO_TEXT($F218), T$1 &amp; ""x(\d+)"")), """")"),"")</f>
        <v/>
      </c>
      <c r="U218" s="9" t="str">
        <f ca="1">IFERROR(__xludf.DUMMYFUNCTION("IFERROR(VALUE(REGEXEXTRACT(TO_TEXT($F218), U$1 &amp; ""x(\d+)"")), """")"),"")</f>
        <v/>
      </c>
      <c r="V218" s="9">
        <f ca="1">IFERROR(__xludf.DUMMYFUNCTION("IFERROR(VALUE(REGEXEXTRACT(TO_TEXT($F218), V$1 &amp; ""x(\d+)"")), """")"),1)</f>
        <v>1</v>
      </c>
      <c r="W218" s="9"/>
      <c r="X218" s="9"/>
      <c r="Y218" s="9"/>
      <c r="Z218" s="9"/>
    </row>
    <row r="219" spans="1:26" ht="15.75" hidden="1" customHeight="1">
      <c r="A219" s="9" t="s">
        <v>1272</v>
      </c>
      <c r="B219" s="9" t="s">
        <v>1273</v>
      </c>
      <c r="C219" s="9" t="s">
        <v>988</v>
      </c>
      <c r="D219" s="9" t="s">
        <v>48</v>
      </c>
      <c r="E219" s="9" t="s">
        <v>12</v>
      </c>
      <c r="F219" s="9" t="s">
        <v>1275</v>
      </c>
      <c r="G219" s="9">
        <v>115</v>
      </c>
      <c r="H219" s="9">
        <v>2</v>
      </c>
      <c r="I219" s="9">
        <v>1.0149999999999999</v>
      </c>
      <c r="J219" s="9">
        <v>52</v>
      </c>
      <c r="K219" s="9" t="s">
        <v>424</v>
      </c>
      <c r="L219" s="9" t="s">
        <v>1210</v>
      </c>
      <c r="M219" s="9"/>
      <c r="N219" s="9" t="str">
        <f ca="1">IFERROR(__xludf.DUMMYFUNCTION("IFERROR(VALUE(REGEXEXTRACT(TO_TEXT($F219), N$1 &amp; ""x(\d+)"")), """")
"),"")</f>
        <v/>
      </c>
      <c r="O219" s="9">
        <f ca="1">IFERROR(__xludf.DUMMYFUNCTION("IFERROR(VALUE(REGEXEXTRACT(TO_TEXT($F219), O$1 &amp; ""x(\d+)"")), """")"),1)</f>
        <v>1</v>
      </c>
      <c r="P219" s="9">
        <f ca="1">IFERROR(__xludf.DUMMYFUNCTION("IFERROR(VALUE(REGEXEXTRACT(TO_TEXT($F219), P$1 &amp; ""x(\d+)"")), """")"),1)</f>
        <v>1</v>
      </c>
      <c r="Q219" s="9" t="str">
        <f ca="1">IFERROR(__xludf.DUMMYFUNCTION("IFERROR(VALUE(REGEXEXTRACT(TO_TEXT($F219), Q$1 &amp; ""x(\d+)"")), """")"),"")</f>
        <v/>
      </c>
      <c r="R219" s="9" t="str">
        <f ca="1">IFERROR(__xludf.DUMMYFUNCTION("IFERROR(VALUE(REGEXEXTRACT(TO_TEXT($F219), R$1 &amp; ""x(\d+)"")), """")"),"")</f>
        <v/>
      </c>
      <c r="S219" s="9" t="str">
        <f ca="1">IFERROR(__xludf.DUMMYFUNCTION("IFERROR(VALUE(REGEXEXTRACT(TO_TEXT($F219), S$1 &amp; ""x(\d+)"")), """")"),"")</f>
        <v/>
      </c>
      <c r="T219" s="9" t="str">
        <f ca="1">IFERROR(__xludf.DUMMYFUNCTION("IFERROR(VALUE(REGEXEXTRACT(TO_TEXT($F219), T$1 &amp; ""x(\d+)"")), """")"),"")</f>
        <v/>
      </c>
      <c r="U219" s="9" t="str">
        <f ca="1">IFERROR(__xludf.DUMMYFUNCTION("IFERROR(VALUE(REGEXEXTRACT(TO_TEXT($F219), U$1 &amp; ""x(\d+)"")), """")"),"")</f>
        <v/>
      </c>
      <c r="V219" s="9" t="str">
        <f ca="1">IFERROR(__xludf.DUMMYFUNCTION("IFERROR(VALUE(REGEXEXTRACT(TO_TEXT($F219), V$1 &amp; ""x(\d+)"")), """")"),"")</f>
        <v/>
      </c>
      <c r="W219" s="9"/>
      <c r="X219" s="9"/>
      <c r="Y219" s="9"/>
      <c r="Z219" s="9"/>
    </row>
    <row r="220" spans="1:26" ht="15.75" hidden="1" customHeight="1">
      <c r="A220" s="9" t="s">
        <v>1272</v>
      </c>
      <c r="B220" s="9" t="s">
        <v>1273</v>
      </c>
      <c r="C220" s="9" t="s">
        <v>988</v>
      </c>
      <c r="D220" s="9" t="s">
        <v>48</v>
      </c>
      <c r="E220" s="9" t="s">
        <v>13</v>
      </c>
      <c r="F220" s="9" t="s">
        <v>1036</v>
      </c>
      <c r="G220" s="9">
        <v>90</v>
      </c>
      <c r="H220" s="9">
        <v>2</v>
      </c>
      <c r="I220" s="9">
        <v>1.0149999999999999</v>
      </c>
      <c r="J220" s="9">
        <v>52</v>
      </c>
      <c r="K220" s="9" t="s">
        <v>424</v>
      </c>
      <c r="L220" s="9"/>
      <c r="M220" s="9"/>
      <c r="N220" s="9" t="str">
        <f ca="1">IFERROR(__xludf.DUMMYFUNCTION("IFERROR(VALUE(REGEXEXTRACT(TO_TEXT($F220), N$1 &amp; ""x(\d+)"")), """")
"),"")</f>
        <v/>
      </c>
      <c r="O220" s="9">
        <f ca="1">IFERROR(__xludf.DUMMYFUNCTION("IFERROR(VALUE(REGEXEXTRACT(TO_TEXT($F220), O$1 &amp; ""x(\d+)"")), """")"),1)</f>
        <v>1</v>
      </c>
      <c r="P220" s="9">
        <f ca="1">IFERROR(__xludf.DUMMYFUNCTION("IFERROR(VALUE(REGEXEXTRACT(TO_TEXT($F220), P$1 &amp; ""x(\d+)"")), """")"),1)</f>
        <v>1</v>
      </c>
      <c r="Q220" s="9" t="str">
        <f ca="1">IFERROR(__xludf.DUMMYFUNCTION("IFERROR(VALUE(REGEXEXTRACT(TO_TEXT($F220), Q$1 &amp; ""x(\d+)"")), """")"),"")</f>
        <v/>
      </c>
      <c r="R220" s="9" t="str">
        <f ca="1">IFERROR(__xludf.DUMMYFUNCTION("IFERROR(VALUE(REGEXEXTRACT(TO_TEXT($F220), R$1 &amp; ""x(\d+)"")), """")"),"")</f>
        <v/>
      </c>
      <c r="S220" s="9" t="str">
        <f ca="1">IFERROR(__xludf.DUMMYFUNCTION("IFERROR(VALUE(REGEXEXTRACT(TO_TEXT($F220), S$1 &amp; ""x(\d+)"")), """")"),"")</f>
        <v/>
      </c>
      <c r="T220" s="9" t="str">
        <f ca="1">IFERROR(__xludf.DUMMYFUNCTION("IFERROR(VALUE(REGEXEXTRACT(TO_TEXT($F220), T$1 &amp; ""x(\d+)"")), """")"),"")</f>
        <v/>
      </c>
      <c r="U220" s="9" t="str">
        <f ca="1">IFERROR(__xludf.DUMMYFUNCTION("IFERROR(VALUE(REGEXEXTRACT(TO_TEXT($F220), U$1 &amp; ""x(\d+)"")), """")"),"")</f>
        <v/>
      </c>
      <c r="V220" s="9" t="str">
        <f ca="1">IFERROR(__xludf.DUMMYFUNCTION("IFERROR(VALUE(REGEXEXTRACT(TO_TEXT($F220), V$1 &amp; ""x(\d+)"")), """")"),"")</f>
        <v/>
      </c>
      <c r="W220" s="9"/>
      <c r="X220" s="9"/>
      <c r="Y220" s="9"/>
      <c r="Z220" s="9"/>
    </row>
    <row r="221" spans="1:26" ht="15.75" customHeight="1">
      <c r="A221" s="9" t="s">
        <v>1276</v>
      </c>
      <c r="B221" s="9" t="s">
        <v>1277</v>
      </c>
      <c r="C221" s="9" t="s">
        <v>902</v>
      </c>
      <c r="D221" s="9" t="s">
        <v>33</v>
      </c>
      <c r="E221" s="9" t="s">
        <v>11</v>
      </c>
      <c r="F221" s="9" t="s">
        <v>1180</v>
      </c>
      <c r="G221" s="9">
        <v>25</v>
      </c>
      <c r="H221" s="9">
        <v>4</v>
      </c>
      <c r="I221" s="9">
        <v>1.0149999999999999</v>
      </c>
      <c r="J221" s="9">
        <v>103</v>
      </c>
      <c r="K221" s="9" t="s">
        <v>442</v>
      </c>
      <c r="L221" s="9"/>
      <c r="M221" s="9"/>
      <c r="N221" s="9" t="str">
        <f ca="1">IFERROR(__xludf.DUMMYFUNCTION("IFERROR(VALUE(REGEXEXTRACT(TO_TEXT($F221), N$1 &amp; ""x(\d+)"")), """")
"),"")</f>
        <v/>
      </c>
      <c r="O221" s="9" t="str">
        <f ca="1">IFERROR(__xludf.DUMMYFUNCTION("IFERROR(VALUE(REGEXEXTRACT(TO_TEXT($F221), O$1 &amp; ""x(\d+)"")), """")"),"")</f>
        <v/>
      </c>
      <c r="P221" s="9" t="str">
        <f ca="1">IFERROR(__xludf.DUMMYFUNCTION("IFERROR(VALUE(REGEXEXTRACT(TO_TEXT($F221), P$1 &amp; ""x(\d+)"")), """")"),"")</f>
        <v/>
      </c>
      <c r="Q221" s="9" t="str">
        <f ca="1">IFERROR(__xludf.DUMMYFUNCTION("IFERROR(VALUE(REGEXEXTRACT(TO_TEXT($F221), Q$1 &amp; ""x(\d+)"")), """")"),"")</f>
        <v/>
      </c>
      <c r="R221" s="9" t="str">
        <f ca="1">IFERROR(__xludf.DUMMYFUNCTION("IFERROR(VALUE(REGEXEXTRACT(TO_TEXT($F221), R$1 &amp; ""x(\d+)"")), """")"),"")</f>
        <v/>
      </c>
      <c r="S221" s="9" t="str">
        <f ca="1">IFERROR(__xludf.DUMMYFUNCTION("IFERROR(VALUE(REGEXEXTRACT(TO_TEXT($F221), S$1 &amp; ""x(\d+)"")), """")"),"")</f>
        <v/>
      </c>
      <c r="T221" s="9" t="str">
        <f ca="1">IFERROR(__xludf.DUMMYFUNCTION("IFERROR(VALUE(REGEXEXTRACT(TO_TEXT($F221), T$1 &amp; ""x(\d+)"")), """")"),"")</f>
        <v/>
      </c>
      <c r="U221" s="9" t="str">
        <f ca="1">IFERROR(__xludf.DUMMYFUNCTION("IFERROR(VALUE(REGEXEXTRACT(TO_TEXT($F221), U$1 &amp; ""x(\d+)"")), """")"),"")</f>
        <v/>
      </c>
      <c r="V221" s="9" t="str">
        <f ca="1">IFERROR(__xludf.DUMMYFUNCTION("IFERROR(VALUE(REGEXEXTRACT(TO_TEXT($F221), V$1 &amp; ""x(\d+)"")), """")"),"")</f>
        <v/>
      </c>
      <c r="W221" s="9"/>
      <c r="X221" s="9"/>
      <c r="Y221" s="9"/>
      <c r="Z221" s="9"/>
    </row>
    <row r="222" spans="1:26" ht="15.75" customHeight="1">
      <c r="A222" s="9" t="s">
        <v>1276</v>
      </c>
      <c r="B222" s="9" t="s">
        <v>1277</v>
      </c>
      <c r="C222" s="9" t="s">
        <v>902</v>
      </c>
      <c r="D222" s="9" t="s">
        <v>33</v>
      </c>
      <c r="E222" s="9" t="s">
        <v>12</v>
      </c>
      <c r="F222" s="9" t="s">
        <v>1066</v>
      </c>
      <c r="G222" s="9">
        <v>105</v>
      </c>
      <c r="H222" s="9">
        <v>4</v>
      </c>
      <c r="I222" s="9">
        <v>1.0149999999999999</v>
      </c>
      <c r="J222" s="9">
        <v>103</v>
      </c>
      <c r="K222" s="9" t="s">
        <v>442</v>
      </c>
      <c r="L222" s="9"/>
      <c r="M222" s="9"/>
      <c r="N222" s="9" t="str">
        <f ca="1">IFERROR(__xludf.DUMMYFUNCTION("IFERROR(VALUE(REGEXEXTRACT(TO_TEXT($F222), N$1 &amp; ""x(\d+)"")), """")
"),"")</f>
        <v/>
      </c>
      <c r="O222" s="9">
        <f ca="1">IFERROR(__xludf.DUMMYFUNCTION("IFERROR(VALUE(REGEXEXTRACT(TO_TEXT($F222), O$1 &amp; ""x(\d+)"")), """")"),1)</f>
        <v>1</v>
      </c>
      <c r="P222" s="9" t="str">
        <f ca="1">IFERROR(__xludf.DUMMYFUNCTION("IFERROR(VALUE(REGEXEXTRACT(TO_TEXT($F222), P$1 &amp; ""x(\d+)"")), """")"),"")</f>
        <v/>
      </c>
      <c r="Q222" s="9" t="str">
        <f ca="1">IFERROR(__xludf.DUMMYFUNCTION("IFERROR(VALUE(REGEXEXTRACT(TO_TEXT($F222), Q$1 &amp; ""x(\d+)"")), """")"),"")</f>
        <v/>
      </c>
      <c r="R222" s="9" t="str">
        <f ca="1">IFERROR(__xludf.DUMMYFUNCTION("IFERROR(VALUE(REGEXEXTRACT(TO_TEXT($F222), R$1 &amp; ""x(\d+)"")), """")"),"")</f>
        <v/>
      </c>
      <c r="S222" s="9" t="str">
        <f ca="1">IFERROR(__xludf.DUMMYFUNCTION("IFERROR(VALUE(REGEXEXTRACT(TO_TEXT($F222), S$1 &amp; ""x(\d+)"")), """")"),"")</f>
        <v/>
      </c>
      <c r="T222" s="9" t="str">
        <f ca="1">IFERROR(__xludf.DUMMYFUNCTION("IFERROR(VALUE(REGEXEXTRACT(TO_TEXT($F222), T$1 &amp; ""x(\d+)"")), """")"),"")</f>
        <v/>
      </c>
      <c r="U222" s="9" t="str">
        <f ca="1">IFERROR(__xludf.DUMMYFUNCTION("IFERROR(VALUE(REGEXEXTRACT(TO_TEXT($F222), U$1 &amp; ""x(\d+)"")), """")"),"")</f>
        <v/>
      </c>
      <c r="V222" s="9" t="str">
        <f ca="1">IFERROR(__xludf.DUMMYFUNCTION("IFERROR(VALUE(REGEXEXTRACT(TO_TEXT($F222), V$1 &amp; ""x(\d+)"")), """")"),"")</f>
        <v/>
      </c>
      <c r="W222" s="9"/>
      <c r="X222" s="9"/>
      <c r="Y222" s="9"/>
      <c r="Z222" s="9"/>
    </row>
    <row r="223" spans="1:26" ht="15.75" customHeight="1">
      <c r="A223" s="9" t="s">
        <v>1276</v>
      </c>
      <c r="B223" s="9" t="s">
        <v>1277</v>
      </c>
      <c r="C223" s="9" t="s">
        <v>902</v>
      </c>
      <c r="D223" s="9" t="s">
        <v>33</v>
      </c>
      <c r="E223" s="9" t="s">
        <v>13</v>
      </c>
      <c r="F223" s="9" t="s">
        <v>1058</v>
      </c>
      <c r="G223" s="9">
        <v>15</v>
      </c>
      <c r="H223" s="9">
        <v>4</v>
      </c>
      <c r="I223" s="9">
        <v>1.0149999999999999</v>
      </c>
      <c r="J223" s="9">
        <v>103</v>
      </c>
      <c r="K223" s="9" t="s">
        <v>442</v>
      </c>
      <c r="L223" s="9"/>
      <c r="M223" s="9"/>
      <c r="N223" s="9" t="str">
        <f ca="1">IFERROR(__xludf.DUMMYFUNCTION("IFERROR(VALUE(REGEXEXTRACT(TO_TEXT($F223), N$1 &amp; ""x(\d+)"")), """")
"),"")</f>
        <v/>
      </c>
      <c r="O223" s="9">
        <f ca="1">IFERROR(__xludf.DUMMYFUNCTION("IFERROR(VALUE(REGEXEXTRACT(TO_TEXT($F223), O$1 &amp; ""x(\d+)"")), """")"),1)</f>
        <v>1</v>
      </c>
      <c r="P223" s="9" t="str">
        <f ca="1">IFERROR(__xludf.DUMMYFUNCTION("IFERROR(VALUE(REGEXEXTRACT(TO_TEXT($F223), P$1 &amp; ""x(\d+)"")), """")"),"")</f>
        <v/>
      </c>
      <c r="Q223" s="9" t="str">
        <f ca="1">IFERROR(__xludf.DUMMYFUNCTION("IFERROR(VALUE(REGEXEXTRACT(TO_TEXT($F223), Q$1 &amp; ""x(\d+)"")), """")"),"")</f>
        <v/>
      </c>
      <c r="R223" s="9" t="str">
        <f ca="1">IFERROR(__xludf.DUMMYFUNCTION("IFERROR(VALUE(REGEXEXTRACT(TO_TEXT($F223), R$1 &amp; ""x(\d+)"")), """")"),"")</f>
        <v/>
      </c>
      <c r="S223" s="9" t="str">
        <f ca="1">IFERROR(__xludf.DUMMYFUNCTION("IFERROR(VALUE(REGEXEXTRACT(TO_TEXT($F223), S$1 &amp; ""x(\d+)"")), """")"),"")</f>
        <v/>
      </c>
      <c r="T223" s="9" t="str">
        <f ca="1">IFERROR(__xludf.DUMMYFUNCTION("IFERROR(VALUE(REGEXEXTRACT(TO_TEXT($F223), T$1 &amp; ""x(\d+)"")), """")"),"")</f>
        <v/>
      </c>
      <c r="U223" s="9" t="str">
        <f ca="1">IFERROR(__xludf.DUMMYFUNCTION("IFERROR(VALUE(REGEXEXTRACT(TO_TEXT($F223), U$1 &amp; ""x(\d+)"")), """")"),"")</f>
        <v/>
      </c>
      <c r="V223" s="9" t="str">
        <f ca="1">IFERROR(__xludf.DUMMYFUNCTION("IFERROR(VALUE(REGEXEXTRACT(TO_TEXT($F223), V$1 &amp; ""x(\d+)"")), """")"),"")</f>
        <v/>
      </c>
      <c r="W223" s="9"/>
      <c r="X223" s="9"/>
      <c r="Y223" s="9"/>
      <c r="Z223" s="9"/>
    </row>
    <row r="224" spans="1:26" ht="15.75" customHeight="1">
      <c r="A224" s="9" t="s">
        <v>1278</v>
      </c>
      <c r="B224" s="9" t="s">
        <v>1279</v>
      </c>
      <c r="C224" s="9" t="s">
        <v>584</v>
      </c>
      <c r="D224" s="9" t="s">
        <v>33</v>
      </c>
      <c r="E224" s="9" t="s">
        <v>11</v>
      </c>
      <c r="F224" s="9" t="s">
        <v>1180</v>
      </c>
      <c r="G224" s="9">
        <v>25</v>
      </c>
      <c r="H224" s="9">
        <v>4</v>
      </c>
      <c r="I224" s="9">
        <v>1.0149999999999999</v>
      </c>
      <c r="J224" s="9">
        <v>103</v>
      </c>
      <c r="K224" s="9" t="s">
        <v>442</v>
      </c>
      <c r="L224" s="9"/>
      <c r="M224" s="9"/>
      <c r="N224" s="9" t="str">
        <f ca="1">IFERROR(__xludf.DUMMYFUNCTION("IFERROR(VALUE(REGEXEXTRACT(TO_TEXT($F224), N$1 &amp; ""x(\d+)"")), """")
"),"")</f>
        <v/>
      </c>
      <c r="O224" s="9" t="str">
        <f ca="1">IFERROR(__xludf.DUMMYFUNCTION("IFERROR(VALUE(REGEXEXTRACT(TO_TEXT($F224), O$1 &amp; ""x(\d+)"")), """")"),"")</f>
        <v/>
      </c>
      <c r="P224" s="9" t="str">
        <f ca="1">IFERROR(__xludf.DUMMYFUNCTION("IFERROR(VALUE(REGEXEXTRACT(TO_TEXT($F224), P$1 &amp; ""x(\d+)"")), """")"),"")</f>
        <v/>
      </c>
      <c r="Q224" s="9" t="str">
        <f ca="1">IFERROR(__xludf.DUMMYFUNCTION("IFERROR(VALUE(REGEXEXTRACT(TO_TEXT($F224), Q$1 &amp; ""x(\d+)"")), """")"),"")</f>
        <v/>
      </c>
      <c r="R224" s="9" t="str">
        <f ca="1">IFERROR(__xludf.DUMMYFUNCTION("IFERROR(VALUE(REGEXEXTRACT(TO_TEXT($F224), R$1 &amp; ""x(\d+)"")), """")"),"")</f>
        <v/>
      </c>
      <c r="S224" s="9" t="str">
        <f ca="1">IFERROR(__xludf.DUMMYFUNCTION("IFERROR(VALUE(REGEXEXTRACT(TO_TEXT($F224), S$1 &amp; ""x(\d+)"")), """")"),"")</f>
        <v/>
      </c>
      <c r="T224" s="9" t="str">
        <f ca="1">IFERROR(__xludf.DUMMYFUNCTION("IFERROR(VALUE(REGEXEXTRACT(TO_TEXT($F224), T$1 &amp; ""x(\d+)"")), """")"),"")</f>
        <v/>
      </c>
      <c r="U224" s="9" t="str">
        <f ca="1">IFERROR(__xludf.DUMMYFUNCTION("IFERROR(VALUE(REGEXEXTRACT(TO_TEXT($F224), U$1 &amp; ""x(\d+)"")), """")"),"")</f>
        <v/>
      </c>
      <c r="V224" s="9" t="str">
        <f ca="1">IFERROR(__xludf.DUMMYFUNCTION("IFERROR(VALUE(REGEXEXTRACT(TO_TEXT($F224), V$1 &amp; ""x(\d+)"")), """")"),"")</f>
        <v/>
      </c>
      <c r="W224" s="9"/>
      <c r="X224" s="9"/>
      <c r="Y224" s="9"/>
      <c r="Z224" s="9"/>
    </row>
    <row r="225" spans="1:26" ht="15.75" customHeight="1">
      <c r="A225" s="9" t="s">
        <v>1278</v>
      </c>
      <c r="B225" s="9" t="s">
        <v>1279</v>
      </c>
      <c r="C225" s="9" t="s">
        <v>584</v>
      </c>
      <c r="D225" s="9" t="s">
        <v>33</v>
      </c>
      <c r="E225" s="9" t="s">
        <v>12</v>
      </c>
      <c r="F225" s="9" t="s">
        <v>1280</v>
      </c>
      <c r="G225" s="9">
        <v>90</v>
      </c>
      <c r="H225" s="9">
        <v>4</v>
      </c>
      <c r="I225" s="9">
        <v>1.0149999999999999</v>
      </c>
      <c r="J225" s="9">
        <v>103</v>
      </c>
      <c r="K225" s="9" t="s">
        <v>442</v>
      </c>
      <c r="L225" s="9"/>
      <c r="M225" s="9"/>
      <c r="N225" s="9" t="str">
        <f ca="1">IFERROR(__xludf.DUMMYFUNCTION("IFERROR(VALUE(REGEXEXTRACT(TO_TEXT($F225), N$1 &amp; ""x(\d+)"")), """")
"),"")</f>
        <v/>
      </c>
      <c r="O225" s="9">
        <f ca="1">IFERROR(__xludf.DUMMYFUNCTION("IFERROR(VALUE(REGEXEXTRACT(TO_TEXT($F225), O$1 &amp; ""x(\d+)"")), """")"),1)</f>
        <v>1</v>
      </c>
      <c r="P225" s="9" t="str">
        <f ca="1">IFERROR(__xludf.DUMMYFUNCTION("IFERROR(VALUE(REGEXEXTRACT(TO_TEXT($F225), P$1 &amp; ""x(\d+)"")), """")"),"")</f>
        <v/>
      </c>
      <c r="Q225" s="9" t="str">
        <f ca="1">IFERROR(__xludf.DUMMYFUNCTION("IFERROR(VALUE(REGEXEXTRACT(TO_TEXT($F225), Q$1 &amp; ""x(\d+)"")), """")"),"")</f>
        <v/>
      </c>
      <c r="R225" s="9" t="str">
        <f ca="1">IFERROR(__xludf.DUMMYFUNCTION("IFERROR(VALUE(REGEXEXTRACT(TO_TEXT($F225), R$1 &amp; ""x(\d+)"")), """")"),"")</f>
        <v/>
      </c>
      <c r="S225" s="9" t="str">
        <f ca="1">IFERROR(__xludf.DUMMYFUNCTION("IFERROR(VALUE(REGEXEXTRACT(TO_TEXT($F225), S$1 &amp; ""x(\d+)"")), """")"),"")</f>
        <v/>
      </c>
      <c r="T225" s="9" t="str">
        <f ca="1">IFERROR(__xludf.DUMMYFUNCTION("IFERROR(VALUE(REGEXEXTRACT(TO_TEXT($F225), T$1 &amp; ""x(\d+)"")), """")"),"")</f>
        <v/>
      </c>
      <c r="U225" s="9" t="str">
        <f ca="1">IFERROR(__xludf.DUMMYFUNCTION("IFERROR(VALUE(REGEXEXTRACT(TO_TEXT($F225), U$1 &amp; ""x(\d+)"")), """")"),"")</f>
        <v/>
      </c>
      <c r="V225" s="9" t="str">
        <f ca="1">IFERROR(__xludf.DUMMYFUNCTION("IFERROR(VALUE(REGEXEXTRACT(TO_TEXT($F225), V$1 &amp; ""x(\d+)"")), """")"),"")</f>
        <v/>
      </c>
      <c r="W225" s="9"/>
      <c r="X225" s="9"/>
      <c r="Y225" s="9"/>
      <c r="Z225" s="9"/>
    </row>
    <row r="226" spans="1:26" ht="15.75" customHeight="1">
      <c r="A226" s="9" t="s">
        <v>1278</v>
      </c>
      <c r="B226" s="9" t="s">
        <v>1279</v>
      </c>
      <c r="C226" s="9" t="s">
        <v>584</v>
      </c>
      <c r="D226" s="9" t="s">
        <v>33</v>
      </c>
      <c r="E226" s="9" t="s">
        <v>13</v>
      </c>
      <c r="F226" s="9" t="s">
        <v>1058</v>
      </c>
      <c r="G226" s="9">
        <v>15</v>
      </c>
      <c r="H226" s="9">
        <v>4</v>
      </c>
      <c r="I226" s="9">
        <v>1.0149999999999999</v>
      </c>
      <c r="J226" s="9">
        <v>103</v>
      </c>
      <c r="K226" s="9" t="s">
        <v>442</v>
      </c>
      <c r="L226" s="9"/>
      <c r="M226" s="9"/>
      <c r="N226" s="9" t="str">
        <f ca="1">IFERROR(__xludf.DUMMYFUNCTION("IFERROR(VALUE(REGEXEXTRACT(TO_TEXT($F226), N$1 &amp; ""x(\d+)"")), """")
"),"")</f>
        <v/>
      </c>
      <c r="O226" s="9">
        <f ca="1">IFERROR(__xludf.DUMMYFUNCTION("IFERROR(VALUE(REGEXEXTRACT(TO_TEXT($F226), O$1 &amp; ""x(\d+)"")), """")"),1)</f>
        <v>1</v>
      </c>
      <c r="P226" s="9" t="str">
        <f ca="1">IFERROR(__xludf.DUMMYFUNCTION("IFERROR(VALUE(REGEXEXTRACT(TO_TEXT($F226), P$1 &amp; ""x(\d+)"")), """")"),"")</f>
        <v/>
      </c>
      <c r="Q226" s="9" t="str">
        <f ca="1">IFERROR(__xludf.DUMMYFUNCTION("IFERROR(VALUE(REGEXEXTRACT(TO_TEXT($F226), Q$1 &amp; ""x(\d+)"")), """")"),"")</f>
        <v/>
      </c>
      <c r="R226" s="9" t="str">
        <f ca="1">IFERROR(__xludf.DUMMYFUNCTION("IFERROR(VALUE(REGEXEXTRACT(TO_TEXT($F226), R$1 &amp; ""x(\d+)"")), """")"),"")</f>
        <v/>
      </c>
      <c r="S226" s="9" t="str">
        <f ca="1">IFERROR(__xludf.DUMMYFUNCTION("IFERROR(VALUE(REGEXEXTRACT(TO_TEXT($F226), S$1 &amp; ""x(\d+)"")), """")"),"")</f>
        <v/>
      </c>
      <c r="T226" s="9" t="str">
        <f ca="1">IFERROR(__xludf.DUMMYFUNCTION("IFERROR(VALUE(REGEXEXTRACT(TO_TEXT($F226), T$1 &amp; ""x(\d+)"")), """")"),"")</f>
        <v/>
      </c>
      <c r="U226" s="9" t="str">
        <f ca="1">IFERROR(__xludf.DUMMYFUNCTION("IFERROR(VALUE(REGEXEXTRACT(TO_TEXT($F226), U$1 &amp; ""x(\d+)"")), """")"),"")</f>
        <v/>
      </c>
      <c r="V226" s="9" t="str">
        <f ca="1">IFERROR(__xludf.DUMMYFUNCTION("IFERROR(VALUE(REGEXEXTRACT(TO_TEXT($F226), V$1 &amp; ""x(\d+)"")), """")"),"")</f>
        <v/>
      </c>
      <c r="W226" s="9"/>
      <c r="X226" s="9"/>
      <c r="Y226" s="9"/>
      <c r="Z226" s="9"/>
    </row>
    <row r="227" spans="1:26" ht="15.75" hidden="1" customHeight="1">
      <c r="A227" s="9" t="s">
        <v>1281</v>
      </c>
      <c r="B227" s="9" t="s">
        <v>1282</v>
      </c>
      <c r="C227" s="9" t="s">
        <v>1283</v>
      </c>
      <c r="D227" s="9" t="s">
        <v>40</v>
      </c>
      <c r="E227" s="9" t="s">
        <v>12</v>
      </c>
      <c r="F227" s="9" t="s">
        <v>1284</v>
      </c>
      <c r="G227" s="9">
        <v>315</v>
      </c>
      <c r="H227" s="9">
        <v>1</v>
      </c>
      <c r="I227" s="9">
        <v>1.0149999999999999</v>
      </c>
      <c r="J227" s="9">
        <v>412</v>
      </c>
      <c r="K227" s="9" t="s">
        <v>442</v>
      </c>
      <c r="L227" s="9"/>
      <c r="M227" s="9"/>
      <c r="N227" s="9" t="str">
        <f ca="1">IFERROR(__xludf.DUMMYFUNCTION("IFERROR(VALUE(REGEXEXTRACT(TO_TEXT($F227), N$1 &amp; ""x(\d+)"")), """")
"),"")</f>
        <v/>
      </c>
      <c r="O227" s="9" t="str">
        <f ca="1">IFERROR(__xludf.DUMMYFUNCTION("IFERROR(VALUE(REGEXEXTRACT(TO_TEXT($F227), O$1 &amp; ""x(\d+)"")), """")"),"")</f>
        <v/>
      </c>
      <c r="P227" s="9" t="str">
        <f ca="1">IFERROR(__xludf.DUMMYFUNCTION("IFERROR(VALUE(REGEXEXTRACT(TO_TEXT($F227), P$1 &amp; ""x(\d+)"")), """")"),"")</f>
        <v/>
      </c>
      <c r="Q227" s="9" t="str">
        <f ca="1">IFERROR(__xludf.DUMMYFUNCTION("IFERROR(VALUE(REGEXEXTRACT(TO_TEXT($F227), Q$1 &amp; ""x(\d+)"")), """")"),"")</f>
        <v/>
      </c>
      <c r="R227" s="9" t="str">
        <f ca="1">IFERROR(__xludf.DUMMYFUNCTION("IFERROR(VALUE(REGEXEXTRACT(TO_TEXT($F227), R$1 &amp; ""x(\d+)"")), """")"),"")</f>
        <v/>
      </c>
      <c r="S227" s="9" t="str">
        <f ca="1">IFERROR(__xludf.DUMMYFUNCTION("IFERROR(VALUE(REGEXEXTRACT(TO_TEXT($F227), S$1 &amp; ""x(\d+)"")), """")"),"")</f>
        <v/>
      </c>
      <c r="T227" s="9">
        <f ca="1">IFERROR(__xludf.DUMMYFUNCTION("IFERROR(VALUE(REGEXEXTRACT(TO_TEXT($F227), T$1 &amp; ""x(\d+)"")), """")"),1)</f>
        <v>1</v>
      </c>
      <c r="U227" s="9" t="str">
        <f ca="1">IFERROR(__xludf.DUMMYFUNCTION("IFERROR(VALUE(REGEXEXTRACT(TO_TEXT($F227), U$1 &amp; ""x(\d+)"")), """")"),"")</f>
        <v/>
      </c>
      <c r="V227" s="9" t="str">
        <f ca="1">IFERROR(__xludf.DUMMYFUNCTION("IFERROR(VALUE(REGEXEXTRACT(TO_TEXT($F227), V$1 &amp; ""x(\d+)"")), """")"),"")</f>
        <v/>
      </c>
      <c r="W227" s="9"/>
      <c r="X227" s="9"/>
      <c r="Y227" s="9"/>
      <c r="Z227" s="9"/>
    </row>
    <row r="228" spans="1:26" ht="15.75" hidden="1" customHeight="1">
      <c r="A228" s="9" t="s">
        <v>1281</v>
      </c>
      <c r="B228" s="9" t="s">
        <v>1282</v>
      </c>
      <c r="C228" s="9" t="s">
        <v>1283</v>
      </c>
      <c r="D228" s="9" t="s">
        <v>40</v>
      </c>
      <c r="E228" s="9" t="s">
        <v>13</v>
      </c>
      <c r="F228" s="9" t="s">
        <v>1285</v>
      </c>
      <c r="G228" s="9">
        <v>60</v>
      </c>
      <c r="H228" s="9">
        <v>1</v>
      </c>
      <c r="I228" s="9">
        <v>1.0149999999999999</v>
      </c>
      <c r="J228" s="9">
        <v>412</v>
      </c>
      <c r="K228" s="9" t="s">
        <v>442</v>
      </c>
      <c r="L228" s="9"/>
      <c r="M228" s="9"/>
      <c r="N228" s="9" t="str">
        <f ca="1">IFERROR(__xludf.DUMMYFUNCTION("IFERROR(VALUE(REGEXEXTRACT(TO_TEXT($F228), N$1 &amp; ""x(\d+)"")), """")
"),"")</f>
        <v/>
      </c>
      <c r="O228" s="9" t="str">
        <f ca="1">IFERROR(__xludf.DUMMYFUNCTION("IFERROR(VALUE(REGEXEXTRACT(TO_TEXT($F228), O$1 &amp; ""x(\d+)"")), """")"),"")</f>
        <v/>
      </c>
      <c r="P228" s="9" t="str">
        <f ca="1">IFERROR(__xludf.DUMMYFUNCTION("IFERROR(VALUE(REGEXEXTRACT(TO_TEXT($F228), P$1 &amp; ""x(\d+)"")), """")"),"")</f>
        <v/>
      </c>
      <c r="Q228" s="9" t="str">
        <f ca="1">IFERROR(__xludf.DUMMYFUNCTION("IFERROR(VALUE(REGEXEXTRACT(TO_TEXT($F228), Q$1 &amp; ""x(\d+)"")), """")"),"")</f>
        <v/>
      </c>
      <c r="R228" s="9" t="str">
        <f ca="1">IFERROR(__xludf.DUMMYFUNCTION("IFERROR(VALUE(REGEXEXTRACT(TO_TEXT($F228), R$1 &amp; ""x(\d+)"")), """")"),"")</f>
        <v/>
      </c>
      <c r="S228" s="9" t="str">
        <f ca="1">IFERROR(__xludf.DUMMYFUNCTION("IFERROR(VALUE(REGEXEXTRACT(TO_TEXT($F228), S$1 &amp; ""x(\d+)"")), """")"),"")</f>
        <v/>
      </c>
      <c r="T228" s="9">
        <f ca="1">IFERROR(__xludf.DUMMYFUNCTION("IFERROR(VALUE(REGEXEXTRACT(TO_TEXT($F228), T$1 &amp; ""x(\d+)"")), """")"),1)</f>
        <v>1</v>
      </c>
      <c r="U228" s="9" t="str">
        <f ca="1">IFERROR(__xludf.DUMMYFUNCTION("IFERROR(VALUE(REGEXEXTRACT(TO_TEXT($F228), U$1 &amp; ""x(\d+)"")), """")"),"")</f>
        <v/>
      </c>
      <c r="V228" s="9" t="str">
        <f ca="1">IFERROR(__xludf.DUMMYFUNCTION("IFERROR(VALUE(REGEXEXTRACT(TO_TEXT($F228), V$1 &amp; ""x(\d+)"")), """")"),"")</f>
        <v/>
      </c>
      <c r="W228" s="9"/>
      <c r="X228" s="9"/>
      <c r="Y228" s="9"/>
      <c r="Z228" s="9"/>
    </row>
    <row r="229" spans="1:26" ht="15.75" customHeight="1">
      <c r="A229" s="9" t="s">
        <v>1286</v>
      </c>
      <c r="B229" s="9" t="s">
        <v>1287</v>
      </c>
      <c r="C229" s="9" t="s">
        <v>891</v>
      </c>
      <c r="D229" s="9" t="s">
        <v>33</v>
      </c>
      <c r="E229" s="9" t="s">
        <v>12</v>
      </c>
      <c r="F229" s="9" t="s">
        <v>1288</v>
      </c>
      <c r="G229" s="9">
        <v>60</v>
      </c>
      <c r="H229" s="9">
        <v>7</v>
      </c>
      <c r="I229" s="9">
        <v>1.0149999999999999</v>
      </c>
      <c r="J229" s="9">
        <v>110</v>
      </c>
      <c r="K229" s="9" t="s">
        <v>442</v>
      </c>
      <c r="L229" s="9"/>
      <c r="M229" s="9"/>
      <c r="N229" s="9" t="str">
        <f ca="1">IFERROR(__xludf.DUMMYFUNCTION("IFERROR(VALUE(REGEXEXTRACT(TO_TEXT($F229), N$1 &amp; ""x(\d+)"")), """")
"),"")</f>
        <v/>
      </c>
      <c r="O229" s="9">
        <f ca="1">IFERROR(__xludf.DUMMYFUNCTION("IFERROR(VALUE(REGEXEXTRACT(TO_TEXT($F229), O$1 &amp; ""x(\d+)"")), """")"),1)</f>
        <v>1</v>
      </c>
      <c r="P229" s="9" t="str">
        <f ca="1">IFERROR(__xludf.DUMMYFUNCTION("IFERROR(VALUE(REGEXEXTRACT(TO_TEXT($F229), P$1 &amp; ""x(\d+)"")), """")"),"")</f>
        <v/>
      </c>
      <c r="Q229" s="9" t="str">
        <f ca="1">IFERROR(__xludf.DUMMYFUNCTION("IFERROR(VALUE(REGEXEXTRACT(TO_TEXT($F229), Q$1 &amp; ""x(\d+)"")), """")"),"")</f>
        <v/>
      </c>
      <c r="R229" s="9" t="str">
        <f ca="1">IFERROR(__xludf.DUMMYFUNCTION("IFERROR(VALUE(REGEXEXTRACT(TO_TEXT($F229), R$1 &amp; ""x(\d+)"")), """")"),"")</f>
        <v/>
      </c>
      <c r="S229" s="9" t="str">
        <f ca="1">IFERROR(__xludf.DUMMYFUNCTION("IFERROR(VALUE(REGEXEXTRACT(TO_TEXT($F229), S$1 &amp; ""x(\d+)"")), """")"),"")</f>
        <v/>
      </c>
      <c r="T229" s="9" t="str">
        <f ca="1">IFERROR(__xludf.DUMMYFUNCTION("IFERROR(VALUE(REGEXEXTRACT(TO_TEXT($F229), T$1 &amp; ""x(\d+)"")), """")"),"")</f>
        <v/>
      </c>
      <c r="U229" s="9" t="str">
        <f ca="1">IFERROR(__xludf.DUMMYFUNCTION("IFERROR(VALUE(REGEXEXTRACT(TO_TEXT($F229), U$1 &amp; ""x(\d+)"")), """")"),"")</f>
        <v/>
      </c>
      <c r="V229" s="9" t="str">
        <f ca="1">IFERROR(__xludf.DUMMYFUNCTION("IFERROR(VALUE(REGEXEXTRACT(TO_TEXT($F229), V$1 &amp; ""x(\d+)"")), """")"),"")</f>
        <v/>
      </c>
      <c r="W229" s="9"/>
      <c r="X229" s="9"/>
      <c r="Y229" s="9"/>
      <c r="Z229" s="9"/>
    </row>
    <row r="230" spans="1:26" ht="15.75" customHeight="1">
      <c r="A230" s="9" t="s">
        <v>1286</v>
      </c>
      <c r="B230" s="9" t="s">
        <v>1287</v>
      </c>
      <c r="C230" s="9" t="s">
        <v>891</v>
      </c>
      <c r="D230" s="9" t="s">
        <v>33</v>
      </c>
      <c r="E230" s="9" t="s">
        <v>13</v>
      </c>
      <c r="F230" s="9" t="s">
        <v>1289</v>
      </c>
      <c r="G230" s="9">
        <v>15</v>
      </c>
      <c r="H230" s="9">
        <v>7</v>
      </c>
      <c r="I230" s="9">
        <v>1.0149999999999999</v>
      </c>
      <c r="J230" s="9">
        <v>110</v>
      </c>
      <c r="K230" s="9" t="s">
        <v>442</v>
      </c>
      <c r="L230" s="9"/>
      <c r="M230" s="9"/>
      <c r="N230" s="9" t="str">
        <f ca="1">IFERROR(__xludf.DUMMYFUNCTION("IFERROR(VALUE(REGEXEXTRACT(TO_TEXT($F230), N$1 &amp; ""x(\d+)"")), """")
"),"")</f>
        <v/>
      </c>
      <c r="O230" s="9">
        <f ca="1">IFERROR(__xludf.DUMMYFUNCTION("IFERROR(VALUE(REGEXEXTRACT(TO_TEXT($F230), O$1 &amp; ""x(\d+)"")), """")"),1)</f>
        <v>1</v>
      </c>
      <c r="P230" s="9" t="str">
        <f ca="1">IFERROR(__xludf.DUMMYFUNCTION("IFERROR(VALUE(REGEXEXTRACT(TO_TEXT($F230), P$1 &amp; ""x(\d+)"")), """")"),"")</f>
        <v/>
      </c>
      <c r="Q230" s="9" t="str">
        <f ca="1">IFERROR(__xludf.DUMMYFUNCTION("IFERROR(VALUE(REGEXEXTRACT(TO_TEXT($F230), Q$1 &amp; ""x(\d+)"")), """")"),"")</f>
        <v/>
      </c>
      <c r="R230" s="9" t="str">
        <f ca="1">IFERROR(__xludf.DUMMYFUNCTION("IFERROR(VALUE(REGEXEXTRACT(TO_TEXT($F230), R$1 &amp; ""x(\d+)"")), """")"),"")</f>
        <v/>
      </c>
      <c r="S230" s="9" t="str">
        <f ca="1">IFERROR(__xludf.DUMMYFUNCTION("IFERROR(VALUE(REGEXEXTRACT(TO_TEXT($F230), S$1 &amp; ""x(\d+)"")), """")"),"")</f>
        <v/>
      </c>
      <c r="T230" s="9" t="str">
        <f ca="1">IFERROR(__xludf.DUMMYFUNCTION("IFERROR(VALUE(REGEXEXTRACT(TO_TEXT($F230), T$1 &amp; ""x(\d+)"")), """")"),"")</f>
        <v/>
      </c>
      <c r="U230" s="9" t="str">
        <f ca="1">IFERROR(__xludf.DUMMYFUNCTION("IFERROR(VALUE(REGEXEXTRACT(TO_TEXT($F230), U$1 &amp; ""x(\d+)"")), """")"),"")</f>
        <v/>
      </c>
      <c r="V230" s="9" t="str">
        <f ca="1">IFERROR(__xludf.DUMMYFUNCTION("IFERROR(VALUE(REGEXEXTRACT(TO_TEXT($F230), V$1 &amp; ""x(\d+)"")), """")"),"")</f>
        <v/>
      </c>
      <c r="W230" s="9"/>
      <c r="X230" s="9"/>
      <c r="Y230" s="9"/>
      <c r="Z230" s="9"/>
    </row>
    <row r="231" spans="1:26" ht="15.75" customHeight="1">
      <c r="A231" s="9" t="s">
        <v>1290</v>
      </c>
      <c r="B231" s="9" t="s">
        <v>1291</v>
      </c>
      <c r="C231" s="9" t="s">
        <v>455</v>
      </c>
      <c r="D231" s="9" t="s">
        <v>33</v>
      </c>
      <c r="E231" s="9" t="s">
        <v>11</v>
      </c>
      <c r="F231" s="9" t="s">
        <v>1292</v>
      </c>
      <c r="G231" s="9">
        <v>20</v>
      </c>
      <c r="H231" s="9">
        <v>5</v>
      </c>
      <c r="I231" s="9">
        <v>1.0149999999999999</v>
      </c>
      <c r="J231" s="9">
        <v>100</v>
      </c>
      <c r="K231" s="9" t="s">
        <v>442</v>
      </c>
      <c r="L231" s="9"/>
      <c r="M231" s="9"/>
      <c r="N231" s="9" t="str">
        <f ca="1">IFERROR(__xludf.DUMMYFUNCTION("IFERROR(VALUE(REGEXEXTRACT(TO_TEXT($F231), N$1 &amp; ""x(\d+)"")), """")
"),"")</f>
        <v/>
      </c>
      <c r="O231" s="9" t="str">
        <f ca="1">IFERROR(__xludf.DUMMYFUNCTION("IFERROR(VALUE(REGEXEXTRACT(TO_TEXT($F231), O$1 &amp; ""x(\d+)"")), """")"),"")</f>
        <v/>
      </c>
      <c r="P231" s="9" t="str">
        <f ca="1">IFERROR(__xludf.DUMMYFUNCTION("IFERROR(VALUE(REGEXEXTRACT(TO_TEXT($F231), P$1 &amp; ""x(\d+)"")), """")"),"")</f>
        <v/>
      </c>
      <c r="Q231" s="9" t="str">
        <f ca="1">IFERROR(__xludf.DUMMYFUNCTION("IFERROR(VALUE(REGEXEXTRACT(TO_TEXT($F231), Q$1 &amp; ""x(\d+)"")), """")"),"")</f>
        <v/>
      </c>
      <c r="R231" s="9" t="str">
        <f ca="1">IFERROR(__xludf.DUMMYFUNCTION("IFERROR(VALUE(REGEXEXTRACT(TO_TEXT($F231), R$1 &amp; ""x(\d+)"")), """")"),"")</f>
        <v/>
      </c>
      <c r="S231" s="9" t="str">
        <f ca="1">IFERROR(__xludf.DUMMYFUNCTION("IFERROR(VALUE(REGEXEXTRACT(TO_TEXT($F231), S$1 &amp; ""x(\d+)"")), """")"),"")</f>
        <v/>
      </c>
      <c r="T231" s="9" t="str">
        <f ca="1">IFERROR(__xludf.DUMMYFUNCTION("IFERROR(VALUE(REGEXEXTRACT(TO_TEXT($F231), T$1 &amp; ""x(\d+)"")), """")"),"")</f>
        <v/>
      </c>
      <c r="U231" s="9" t="str">
        <f ca="1">IFERROR(__xludf.DUMMYFUNCTION("IFERROR(VALUE(REGEXEXTRACT(TO_TEXT($F231), U$1 &amp; ""x(\d+)"")), """")"),"")</f>
        <v/>
      </c>
      <c r="V231" s="9" t="str">
        <f ca="1">IFERROR(__xludf.DUMMYFUNCTION("IFERROR(VALUE(REGEXEXTRACT(TO_TEXT($F231), V$1 &amp; ""x(\d+)"")), """")"),"")</f>
        <v/>
      </c>
      <c r="W231" s="9"/>
      <c r="X231" s="9"/>
      <c r="Y231" s="9"/>
      <c r="Z231" s="9"/>
    </row>
    <row r="232" spans="1:26" ht="15.75" customHeight="1">
      <c r="A232" s="9" t="s">
        <v>1290</v>
      </c>
      <c r="B232" s="9" t="s">
        <v>1291</v>
      </c>
      <c r="C232" s="9" t="s">
        <v>455</v>
      </c>
      <c r="D232" s="9" t="s">
        <v>33</v>
      </c>
      <c r="E232" s="9" t="s">
        <v>12</v>
      </c>
      <c r="F232" s="9" t="s">
        <v>1293</v>
      </c>
      <c r="G232" s="9">
        <v>80</v>
      </c>
      <c r="H232" s="9">
        <v>5</v>
      </c>
      <c r="I232" s="9">
        <v>1.0149999999999999</v>
      </c>
      <c r="J232" s="9">
        <v>100</v>
      </c>
      <c r="K232" s="9" t="s">
        <v>442</v>
      </c>
      <c r="L232" s="9"/>
      <c r="M232" s="9"/>
      <c r="N232" s="9" t="str">
        <f ca="1">IFERROR(__xludf.DUMMYFUNCTION("IFERROR(VALUE(REGEXEXTRACT(TO_TEXT($F232), N$1 &amp; ""x(\d+)"")), """")
"),"")</f>
        <v/>
      </c>
      <c r="O232" s="9">
        <f ca="1">IFERROR(__xludf.DUMMYFUNCTION("IFERROR(VALUE(REGEXEXTRACT(TO_TEXT($F232), O$1 &amp; ""x(\d+)"")), """")"),1)</f>
        <v>1</v>
      </c>
      <c r="P232" s="9" t="str">
        <f ca="1">IFERROR(__xludf.DUMMYFUNCTION("IFERROR(VALUE(REGEXEXTRACT(TO_TEXT($F232), P$1 &amp; ""x(\d+)"")), """")"),"")</f>
        <v/>
      </c>
      <c r="Q232" s="9" t="str">
        <f ca="1">IFERROR(__xludf.DUMMYFUNCTION("IFERROR(VALUE(REGEXEXTRACT(TO_TEXT($F232), Q$1 &amp; ""x(\d+)"")), """")"),"")</f>
        <v/>
      </c>
      <c r="R232" s="9" t="str">
        <f ca="1">IFERROR(__xludf.DUMMYFUNCTION("IFERROR(VALUE(REGEXEXTRACT(TO_TEXT($F232), R$1 &amp; ""x(\d+)"")), """")"),"")</f>
        <v/>
      </c>
      <c r="S232" s="9" t="str">
        <f ca="1">IFERROR(__xludf.DUMMYFUNCTION("IFERROR(VALUE(REGEXEXTRACT(TO_TEXT($F232), S$1 &amp; ""x(\d+)"")), """")"),"")</f>
        <v/>
      </c>
      <c r="T232" s="9" t="str">
        <f ca="1">IFERROR(__xludf.DUMMYFUNCTION("IFERROR(VALUE(REGEXEXTRACT(TO_TEXT($F232), T$1 &amp; ""x(\d+)"")), """")"),"")</f>
        <v/>
      </c>
      <c r="U232" s="9" t="str">
        <f ca="1">IFERROR(__xludf.DUMMYFUNCTION("IFERROR(VALUE(REGEXEXTRACT(TO_TEXT($F232), U$1 &amp; ""x(\d+)"")), """")"),"")</f>
        <v/>
      </c>
      <c r="V232" s="9" t="str">
        <f ca="1">IFERROR(__xludf.DUMMYFUNCTION("IFERROR(VALUE(REGEXEXTRACT(TO_TEXT($F232), V$1 &amp; ""x(\d+)"")), """")"),"")</f>
        <v/>
      </c>
      <c r="W232" s="9"/>
      <c r="X232" s="9"/>
      <c r="Y232" s="9"/>
      <c r="Z232" s="9"/>
    </row>
    <row r="233" spans="1:26" ht="15.75" customHeight="1">
      <c r="A233" s="9" t="s">
        <v>1290</v>
      </c>
      <c r="B233" s="9" t="s">
        <v>1291</v>
      </c>
      <c r="C233" s="9" t="s">
        <v>455</v>
      </c>
      <c r="D233" s="9" t="s">
        <v>33</v>
      </c>
      <c r="E233" s="9" t="s">
        <v>13</v>
      </c>
      <c r="F233" s="9" t="s">
        <v>1130</v>
      </c>
      <c r="G233" s="9">
        <v>15</v>
      </c>
      <c r="H233" s="9">
        <v>5</v>
      </c>
      <c r="I233" s="9">
        <v>1.0149999999999999</v>
      </c>
      <c r="J233" s="9">
        <v>100</v>
      </c>
      <c r="K233" s="9" t="s">
        <v>442</v>
      </c>
      <c r="L233" s="9"/>
      <c r="M233" s="9"/>
      <c r="N233" s="9" t="str">
        <f ca="1">IFERROR(__xludf.DUMMYFUNCTION("IFERROR(VALUE(REGEXEXTRACT(TO_TEXT($F233), N$1 &amp; ""x(\d+)"")), """")
"),"")</f>
        <v/>
      </c>
      <c r="O233" s="9">
        <f ca="1">IFERROR(__xludf.DUMMYFUNCTION("IFERROR(VALUE(REGEXEXTRACT(TO_TEXT($F233), O$1 &amp; ""x(\d+)"")), """")"),1)</f>
        <v>1</v>
      </c>
      <c r="P233" s="9" t="str">
        <f ca="1">IFERROR(__xludf.DUMMYFUNCTION("IFERROR(VALUE(REGEXEXTRACT(TO_TEXT($F233), P$1 &amp; ""x(\d+)"")), """")"),"")</f>
        <v/>
      </c>
      <c r="Q233" s="9" t="str">
        <f ca="1">IFERROR(__xludf.DUMMYFUNCTION("IFERROR(VALUE(REGEXEXTRACT(TO_TEXT($F233), Q$1 &amp; ""x(\d+)"")), """")"),"")</f>
        <v/>
      </c>
      <c r="R233" s="9" t="str">
        <f ca="1">IFERROR(__xludf.DUMMYFUNCTION("IFERROR(VALUE(REGEXEXTRACT(TO_TEXT($F233), R$1 &amp; ""x(\d+)"")), """")"),"")</f>
        <v/>
      </c>
      <c r="S233" s="9" t="str">
        <f ca="1">IFERROR(__xludf.DUMMYFUNCTION("IFERROR(VALUE(REGEXEXTRACT(TO_TEXT($F233), S$1 &amp; ""x(\d+)"")), """")"),"")</f>
        <v/>
      </c>
      <c r="T233" s="9" t="str">
        <f ca="1">IFERROR(__xludf.DUMMYFUNCTION("IFERROR(VALUE(REGEXEXTRACT(TO_TEXT($F233), T$1 &amp; ""x(\d+)"")), """")"),"")</f>
        <v/>
      </c>
      <c r="U233" s="9" t="str">
        <f ca="1">IFERROR(__xludf.DUMMYFUNCTION("IFERROR(VALUE(REGEXEXTRACT(TO_TEXT($F233), U$1 &amp; ""x(\d+)"")), """")"),"")</f>
        <v/>
      </c>
      <c r="V233" s="9" t="str">
        <f ca="1">IFERROR(__xludf.DUMMYFUNCTION("IFERROR(VALUE(REGEXEXTRACT(TO_TEXT($F233), V$1 &amp; ""x(\d+)"")), """")"),"")</f>
        <v/>
      </c>
      <c r="W233" s="9"/>
      <c r="X233" s="9"/>
      <c r="Y233" s="9"/>
      <c r="Z233" s="9"/>
    </row>
    <row r="234" spans="1:26" ht="15.75" hidden="1" customHeight="1">
      <c r="A234" s="9" t="s">
        <v>1294</v>
      </c>
      <c r="B234" s="9" t="s">
        <v>1295</v>
      </c>
      <c r="C234" s="9" t="s">
        <v>900</v>
      </c>
      <c r="D234" s="9" t="s">
        <v>48</v>
      </c>
      <c r="E234" s="9" t="s">
        <v>11</v>
      </c>
      <c r="F234" s="9" t="s">
        <v>1296</v>
      </c>
      <c r="G234" s="9">
        <v>25</v>
      </c>
      <c r="H234" s="9">
        <v>4</v>
      </c>
      <c r="I234" s="9">
        <v>1.0149999999999999</v>
      </c>
      <c r="J234" s="9">
        <v>52</v>
      </c>
      <c r="K234" s="9" t="s">
        <v>424</v>
      </c>
      <c r="L234" s="9"/>
      <c r="M234" s="9"/>
      <c r="N234" s="9" t="str">
        <f ca="1">IFERROR(__xludf.DUMMYFUNCTION("IFERROR(VALUE(REGEXEXTRACT(TO_TEXT($F234), N$1 &amp; ""x(\d+)"")), """")
"),"")</f>
        <v/>
      </c>
      <c r="O234" s="9" t="str">
        <f ca="1">IFERROR(__xludf.DUMMYFUNCTION("IFERROR(VALUE(REGEXEXTRACT(TO_TEXT($F234), O$1 &amp; ""x(\d+)"")), """")"),"")</f>
        <v/>
      </c>
      <c r="P234" s="9" t="str">
        <f ca="1">IFERROR(__xludf.DUMMYFUNCTION("IFERROR(VALUE(REGEXEXTRACT(TO_TEXT($F234), P$1 &amp; ""x(\d+)"")), """")"),"")</f>
        <v/>
      </c>
      <c r="Q234" s="9" t="str">
        <f ca="1">IFERROR(__xludf.DUMMYFUNCTION("IFERROR(VALUE(REGEXEXTRACT(TO_TEXT($F234), Q$1 &amp; ""x(\d+)"")), """")"),"")</f>
        <v/>
      </c>
      <c r="R234" s="9" t="str">
        <f ca="1">IFERROR(__xludf.DUMMYFUNCTION("IFERROR(VALUE(REGEXEXTRACT(TO_TEXT($F234), R$1 &amp; ""x(\d+)"")), """")"),"")</f>
        <v/>
      </c>
      <c r="S234" s="9" t="str">
        <f ca="1">IFERROR(__xludf.DUMMYFUNCTION("IFERROR(VALUE(REGEXEXTRACT(TO_TEXT($F234), S$1 &amp; ""x(\d+)"")), """")"),"")</f>
        <v/>
      </c>
      <c r="T234" s="9" t="str">
        <f ca="1">IFERROR(__xludf.DUMMYFUNCTION("IFERROR(VALUE(REGEXEXTRACT(TO_TEXT($F234), T$1 &amp; ""x(\d+)"")), """")"),"")</f>
        <v/>
      </c>
      <c r="U234" s="9" t="str">
        <f ca="1">IFERROR(__xludf.DUMMYFUNCTION("IFERROR(VALUE(REGEXEXTRACT(TO_TEXT($F234), U$1 &amp; ""x(\d+)"")), """")"),"")</f>
        <v/>
      </c>
      <c r="V234" s="9" t="str">
        <f ca="1">IFERROR(__xludf.DUMMYFUNCTION("IFERROR(VALUE(REGEXEXTRACT(TO_TEXT($F234), V$1 &amp; ""x(\d+)"")), """")"),"")</f>
        <v/>
      </c>
      <c r="W234" s="9"/>
      <c r="X234" s="9"/>
      <c r="Y234" s="9"/>
      <c r="Z234" s="9"/>
    </row>
    <row r="235" spans="1:26" ht="15.75" hidden="1" customHeight="1">
      <c r="A235" s="9" t="s">
        <v>1294</v>
      </c>
      <c r="B235" s="9" t="s">
        <v>1295</v>
      </c>
      <c r="C235" s="9" t="s">
        <v>900</v>
      </c>
      <c r="D235" s="9" t="s">
        <v>48</v>
      </c>
      <c r="E235" s="9" t="s">
        <v>12</v>
      </c>
      <c r="F235" s="9" t="s">
        <v>1297</v>
      </c>
      <c r="G235" s="9">
        <v>90</v>
      </c>
      <c r="H235" s="9">
        <v>4</v>
      </c>
      <c r="I235" s="9">
        <v>1.0149999999999999</v>
      </c>
      <c r="J235" s="9">
        <v>52</v>
      </c>
      <c r="K235" s="9" t="s">
        <v>424</v>
      </c>
      <c r="L235" s="9" t="s">
        <v>1015</v>
      </c>
      <c r="M235" s="9"/>
      <c r="N235" s="9" t="str">
        <f ca="1">IFERROR(__xludf.DUMMYFUNCTION("IFERROR(VALUE(REGEXEXTRACT(TO_TEXT($F235), N$1 &amp; ""x(\d+)"")), """")
"),"")</f>
        <v/>
      </c>
      <c r="O235" s="9">
        <f ca="1">IFERROR(__xludf.DUMMYFUNCTION("IFERROR(VALUE(REGEXEXTRACT(TO_TEXT($F235), O$1 &amp; ""x(\d+)"")), """")"),1)</f>
        <v>1</v>
      </c>
      <c r="P235" s="9">
        <f ca="1">IFERROR(__xludf.DUMMYFUNCTION("IFERROR(VALUE(REGEXEXTRACT(TO_TEXT($F235), P$1 &amp; ""x(\d+)"")), """")"),1)</f>
        <v>1</v>
      </c>
      <c r="Q235" s="9" t="str">
        <f ca="1">IFERROR(__xludf.DUMMYFUNCTION("IFERROR(VALUE(REGEXEXTRACT(TO_TEXT($F235), Q$1 &amp; ""x(\d+)"")), """")"),"")</f>
        <v/>
      </c>
      <c r="R235" s="9" t="str">
        <f ca="1">IFERROR(__xludf.DUMMYFUNCTION("IFERROR(VALUE(REGEXEXTRACT(TO_TEXT($F235), R$1 &amp; ""x(\d+)"")), """")"),"")</f>
        <v/>
      </c>
      <c r="S235" s="9" t="str">
        <f ca="1">IFERROR(__xludf.DUMMYFUNCTION("IFERROR(VALUE(REGEXEXTRACT(TO_TEXT($F235), S$1 &amp; ""x(\d+)"")), """")"),"")</f>
        <v/>
      </c>
      <c r="T235" s="9" t="str">
        <f ca="1">IFERROR(__xludf.DUMMYFUNCTION("IFERROR(VALUE(REGEXEXTRACT(TO_TEXT($F235), T$1 &amp; ""x(\d+)"")), """")"),"")</f>
        <v/>
      </c>
      <c r="U235" s="9" t="str">
        <f ca="1">IFERROR(__xludf.DUMMYFUNCTION("IFERROR(VALUE(REGEXEXTRACT(TO_TEXT($F235), U$1 &amp; ""x(\d+)"")), """")"),"")</f>
        <v/>
      </c>
      <c r="V235" s="9" t="str">
        <f ca="1">IFERROR(__xludf.DUMMYFUNCTION("IFERROR(VALUE(REGEXEXTRACT(TO_TEXT($F235), V$1 &amp; ""x(\d+)"")), """")"),"")</f>
        <v/>
      </c>
      <c r="W235" s="9"/>
      <c r="X235" s="9"/>
      <c r="Y235" s="9"/>
      <c r="Z235" s="9"/>
    </row>
    <row r="236" spans="1:26" ht="15.75" hidden="1" customHeight="1">
      <c r="A236" s="9" t="s">
        <v>1294</v>
      </c>
      <c r="B236" s="9" t="s">
        <v>1295</v>
      </c>
      <c r="C236" s="9" t="s">
        <v>900</v>
      </c>
      <c r="D236" s="9" t="s">
        <v>48</v>
      </c>
      <c r="E236" s="9" t="s">
        <v>13</v>
      </c>
      <c r="F236" s="9" t="s">
        <v>1298</v>
      </c>
      <c r="G236" s="9">
        <v>20</v>
      </c>
      <c r="H236" s="9">
        <v>4</v>
      </c>
      <c r="I236" s="9">
        <v>1.0149999999999999</v>
      </c>
      <c r="J236" s="9">
        <v>52</v>
      </c>
      <c r="K236" s="9" t="s">
        <v>424</v>
      </c>
      <c r="L236" s="9"/>
      <c r="M236" s="9"/>
      <c r="N236" s="9" t="str">
        <f ca="1">IFERROR(__xludf.DUMMYFUNCTION("IFERROR(VALUE(REGEXEXTRACT(TO_TEXT($F236), N$1 &amp; ""x(\d+)"")), """")
"),"")</f>
        <v/>
      </c>
      <c r="O236" s="9">
        <f ca="1">IFERROR(__xludf.DUMMYFUNCTION("IFERROR(VALUE(REGEXEXTRACT(TO_TEXT($F236), O$1 &amp; ""x(\d+)"")), """")"),1)</f>
        <v>1</v>
      </c>
      <c r="P236" s="9">
        <f ca="1">IFERROR(__xludf.DUMMYFUNCTION("IFERROR(VALUE(REGEXEXTRACT(TO_TEXT($F236), P$1 &amp; ""x(\d+)"")), """")"),1)</f>
        <v>1</v>
      </c>
      <c r="Q236" s="9" t="str">
        <f ca="1">IFERROR(__xludf.DUMMYFUNCTION("IFERROR(VALUE(REGEXEXTRACT(TO_TEXT($F236), Q$1 &amp; ""x(\d+)"")), """")"),"")</f>
        <v/>
      </c>
      <c r="R236" s="9" t="str">
        <f ca="1">IFERROR(__xludf.DUMMYFUNCTION("IFERROR(VALUE(REGEXEXTRACT(TO_TEXT($F236), R$1 &amp; ""x(\d+)"")), """")"),"")</f>
        <v/>
      </c>
      <c r="S236" s="9" t="str">
        <f ca="1">IFERROR(__xludf.DUMMYFUNCTION("IFERROR(VALUE(REGEXEXTRACT(TO_TEXT($F236), S$1 &amp; ""x(\d+)"")), """")"),"")</f>
        <v/>
      </c>
      <c r="T236" s="9" t="str">
        <f ca="1">IFERROR(__xludf.DUMMYFUNCTION("IFERROR(VALUE(REGEXEXTRACT(TO_TEXT($F236), T$1 &amp; ""x(\d+)"")), """")"),"")</f>
        <v/>
      </c>
      <c r="U236" s="9" t="str">
        <f ca="1">IFERROR(__xludf.DUMMYFUNCTION("IFERROR(VALUE(REGEXEXTRACT(TO_TEXT($F236), U$1 &amp; ""x(\d+)"")), """")"),"")</f>
        <v/>
      </c>
      <c r="V236" s="9" t="str">
        <f ca="1">IFERROR(__xludf.DUMMYFUNCTION("IFERROR(VALUE(REGEXEXTRACT(TO_TEXT($F236), V$1 &amp; ""x(\d+)"")), """")"),"")</f>
        <v/>
      </c>
      <c r="W236" s="9"/>
      <c r="X236" s="9"/>
      <c r="Y236" s="9"/>
      <c r="Z236" s="9"/>
    </row>
    <row r="237" spans="1:26" ht="15.75" hidden="1" customHeight="1">
      <c r="A237" s="9" t="s">
        <v>1299</v>
      </c>
      <c r="B237" s="9" t="s">
        <v>1300</v>
      </c>
      <c r="C237" s="9" t="s">
        <v>970</v>
      </c>
      <c r="D237" s="9" t="s">
        <v>48</v>
      </c>
      <c r="E237" s="9" t="s">
        <v>11</v>
      </c>
      <c r="F237" s="9" t="s">
        <v>1301</v>
      </c>
      <c r="G237" s="9">
        <v>30</v>
      </c>
      <c r="H237" s="9">
        <v>5</v>
      </c>
      <c r="I237" s="9">
        <v>1.0149999999999999</v>
      </c>
      <c r="J237" s="9">
        <v>52</v>
      </c>
      <c r="K237" s="9" t="s">
        <v>424</v>
      </c>
      <c r="L237" s="9"/>
      <c r="M237" s="9"/>
      <c r="N237" s="9" t="str">
        <f ca="1">IFERROR(__xludf.DUMMYFUNCTION("IFERROR(VALUE(REGEXEXTRACT(TO_TEXT($F237), N$1 &amp; ""x(\d+)"")), """")
"),"")</f>
        <v/>
      </c>
      <c r="O237" s="9" t="str">
        <f ca="1">IFERROR(__xludf.DUMMYFUNCTION("IFERROR(VALUE(REGEXEXTRACT(TO_TEXT($F237), O$1 &amp; ""x(\d+)"")), """")"),"")</f>
        <v/>
      </c>
      <c r="P237" s="9" t="str">
        <f ca="1">IFERROR(__xludf.DUMMYFUNCTION("IFERROR(VALUE(REGEXEXTRACT(TO_TEXT($F237), P$1 &amp; ""x(\d+)"")), """")"),"")</f>
        <v/>
      </c>
      <c r="Q237" s="9" t="str">
        <f ca="1">IFERROR(__xludf.DUMMYFUNCTION("IFERROR(VALUE(REGEXEXTRACT(TO_TEXT($F237), Q$1 &amp; ""x(\d+)"")), """")"),"")</f>
        <v/>
      </c>
      <c r="R237" s="9" t="str">
        <f ca="1">IFERROR(__xludf.DUMMYFUNCTION("IFERROR(VALUE(REGEXEXTRACT(TO_TEXT($F237), R$1 &amp; ""x(\d+)"")), """")"),"")</f>
        <v/>
      </c>
      <c r="S237" s="9" t="str">
        <f ca="1">IFERROR(__xludf.DUMMYFUNCTION("IFERROR(VALUE(REGEXEXTRACT(TO_TEXT($F237), S$1 &amp; ""x(\d+)"")), """")"),"")</f>
        <v/>
      </c>
      <c r="T237" s="9" t="str">
        <f ca="1">IFERROR(__xludf.DUMMYFUNCTION("IFERROR(VALUE(REGEXEXTRACT(TO_TEXT($F237), T$1 &amp; ""x(\d+)"")), """")"),"")</f>
        <v/>
      </c>
      <c r="U237" s="9" t="str">
        <f ca="1">IFERROR(__xludf.DUMMYFUNCTION("IFERROR(VALUE(REGEXEXTRACT(TO_TEXT($F237), U$1 &amp; ""x(\d+)"")), """")"),"")</f>
        <v/>
      </c>
      <c r="V237" s="9" t="str">
        <f ca="1">IFERROR(__xludf.DUMMYFUNCTION("IFERROR(VALUE(REGEXEXTRACT(TO_TEXT($F237), V$1 &amp; ""x(\d+)"")), """")"),"")</f>
        <v/>
      </c>
      <c r="W237" s="9"/>
      <c r="X237" s="9"/>
      <c r="Y237" s="9"/>
      <c r="Z237" s="9"/>
    </row>
    <row r="238" spans="1:26" ht="15.75" hidden="1" customHeight="1">
      <c r="A238" s="9" t="s">
        <v>1299</v>
      </c>
      <c r="B238" s="9" t="s">
        <v>1300</v>
      </c>
      <c r="C238" s="9" t="s">
        <v>970</v>
      </c>
      <c r="D238" s="9" t="s">
        <v>48</v>
      </c>
      <c r="E238" s="9" t="s">
        <v>12</v>
      </c>
      <c r="F238" s="9" t="s">
        <v>1302</v>
      </c>
      <c r="G238" s="9">
        <v>140</v>
      </c>
      <c r="H238" s="9">
        <v>5</v>
      </c>
      <c r="I238" s="9">
        <v>1.0149999999999999</v>
      </c>
      <c r="J238" s="9">
        <v>52</v>
      </c>
      <c r="K238" s="9" t="s">
        <v>424</v>
      </c>
      <c r="L238" s="9"/>
      <c r="M238" s="9"/>
      <c r="N238" s="9" t="str">
        <f ca="1">IFERROR(__xludf.DUMMYFUNCTION("IFERROR(VALUE(REGEXEXTRACT(TO_TEXT($F238), N$1 &amp; ""x(\d+)"")), """")
"),"")</f>
        <v/>
      </c>
      <c r="O238" s="9" t="str">
        <f ca="1">IFERROR(__xludf.DUMMYFUNCTION("IFERROR(VALUE(REGEXEXTRACT(TO_TEXT($F238), O$1 &amp; ""x(\d+)"")), """")"),"")</f>
        <v/>
      </c>
      <c r="P238" s="9">
        <f ca="1">IFERROR(__xludf.DUMMYFUNCTION("IFERROR(VALUE(REGEXEXTRACT(TO_TEXT($F238), P$1 &amp; ""x(\d+)"")), """")"),1)</f>
        <v>1</v>
      </c>
      <c r="Q238" s="9" t="str">
        <f ca="1">IFERROR(__xludf.DUMMYFUNCTION("IFERROR(VALUE(REGEXEXTRACT(TO_TEXT($F238), Q$1 &amp; ""x(\d+)"")), """")"),"")</f>
        <v/>
      </c>
      <c r="R238" s="9" t="str">
        <f ca="1">IFERROR(__xludf.DUMMYFUNCTION("IFERROR(VALUE(REGEXEXTRACT(TO_TEXT($F238), R$1 &amp; ""x(\d+)"")), """")"),"")</f>
        <v/>
      </c>
      <c r="S238" s="9" t="str">
        <f ca="1">IFERROR(__xludf.DUMMYFUNCTION("IFERROR(VALUE(REGEXEXTRACT(TO_TEXT($F238), S$1 &amp; ""x(\d+)"")), """")"),"")</f>
        <v/>
      </c>
      <c r="T238" s="9" t="str">
        <f ca="1">IFERROR(__xludf.DUMMYFUNCTION("IFERROR(VALUE(REGEXEXTRACT(TO_TEXT($F238), T$1 &amp; ""x(\d+)"")), """")"),"")</f>
        <v/>
      </c>
      <c r="U238" s="9" t="str">
        <f ca="1">IFERROR(__xludf.DUMMYFUNCTION("IFERROR(VALUE(REGEXEXTRACT(TO_TEXT($F238), U$1 &amp; ""x(\d+)"")), """")"),"")</f>
        <v/>
      </c>
      <c r="V238" s="9" t="str">
        <f ca="1">IFERROR(__xludf.DUMMYFUNCTION("IFERROR(VALUE(REGEXEXTRACT(TO_TEXT($F238), V$1 &amp; ""x(\d+)"")), """")"),"")</f>
        <v/>
      </c>
      <c r="W238" s="9"/>
      <c r="X238" s="9"/>
      <c r="Y238" s="9"/>
      <c r="Z238" s="9"/>
    </row>
    <row r="239" spans="1:26" ht="15.75" hidden="1" customHeight="1">
      <c r="A239" s="9" t="s">
        <v>1299</v>
      </c>
      <c r="B239" s="9" t="s">
        <v>1300</v>
      </c>
      <c r="C239" s="9" t="s">
        <v>970</v>
      </c>
      <c r="D239" s="9" t="s">
        <v>48</v>
      </c>
      <c r="E239" s="9" t="s">
        <v>13</v>
      </c>
      <c r="F239" s="9" t="s">
        <v>1201</v>
      </c>
      <c r="G239" s="9">
        <v>30</v>
      </c>
      <c r="H239" s="9">
        <v>5</v>
      </c>
      <c r="I239" s="9">
        <v>1.0149999999999999</v>
      </c>
      <c r="J239" s="9">
        <v>52</v>
      </c>
      <c r="K239" s="9" t="s">
        <v>424</v>
      </c>
      <c r="L239" s="9"/>
      <c r="M239" s="9"/>
      <c r="N239" s="9" t="str">
        <f ca="1">IFERROR(__xludf.DUMMYFUNCTION("IFERROR(VALUE(REGEXEXTRACT(TO_TEXT($F239), N$1 &amp; ""x(\d+)"")), """")
"),"")</f>
        <v/>
      </c>
      <c r="O239" s="9" t="str">
        <f ca="1">IFERROR(__xludf.DUMMYFUNCTION("IFERROR(VALUE(REGEXEXTRACT(TO_TEXT($F239), O$1 &amp; ""x(\d+)"")), """")"),"")</f>
        <v/>
      </c>
      <c r="P239" s="9">
        <f ca="1">IFERROR(__xludf.DUMMYFUNCTION("IFERROR(VALUE(REGEXEXTRACT(TO_TEXT($F239), P$1 &amp; ""x(\d+)"")), """")"),1)</f>
        <v>1</v>
      </c>
      <c r="Q239" s="9" t="str">
        <f ca="1">IFERROR(__xludf.DUMMYFUNCTION("IFERROR(VALUE(REGEXEXTRACT(TO_TEXT($F239), Q$1 &amp; ""x(\d+)"")), """")"),"")</f>
        <v/>
      </c>
      <c r="R239" s="9" t="str">
        <f ca="1">IFERROR(__xludf.DUMMYFUNCTION("IFERROR(VALUE(REGEXEXTRACT(TO_TEXT($F239), R$1 &amp; ""x(\d+)"")), """")"),"")</f>
        <v/>
      </c>
      <c r="S239" s="9" t="str">
        <f ca="1">IFERROR(__xludf.DUMMYFUNCTION("IFERROR(VALUE(REGEXEXTRACT(TO_TEXT($F239), S$1 &amp; ""x(\d+)"")), """")"),"")</f>
        <v/>
      </c>
      <c r="T239" s="9" t="str">
        <f ca="1">IFERROR(__xludf.DUMMYFUNCTION("IFERROR(VALUE(REGEXEXTRACT(TO_TEXT($F239), T$1 &amp; ""x(\d+)"")), """")"),"")</f>
        <v/>
      </c>
      <c r="U239" s="9" t="str">
        <f ca="1">IFERROR(__xludf.DUMMYFUNCTION("IFERROR(VALUE(REGEXEXTRACT(TO_TEXT($F239), U$1 &amp; ""x(\d+)"")), """")"),"")</f>
        <v/>
      </c>
      <c r="V239" s="9" t="str">
        <f ca="1">IFERROR(__xludf.DUMMYFUNCTION("IFERROR(VALUE(REGEXEXTRACT(TO_TEXT($F239), V$1 &amp; ""x(\d+)"")), """")"),"")</f>
        <v/>
      </c>
      <c r="W239" s="9"/>
      <c r="X239" s="9"/>
      <c r="Y239" s="9"/>
      <c r="Z239" s="9"/>
    </row>
    <row r="240" spans="1:26" ht="15.75" customHeight="1">
      <c r="A240" s="9" t="s">
        <v>1303</v>
      </c>
      <c r="B240" s="9" t="s">
        <v>1304</v>
      </c>
      <c r="C240" s="9" t="s">
        <v>906</v>
      </c>
      <c r="D240" s="9" t="s">
        <v>33</v>
      </c>
      <c r="E240" s="9" t="s">
        <v>12</v>
      </c>
      <c r="F240" s="9" t="s">
        <v>1305</v>
      </c>
      <c r="G240" s="9">
        <v>75</v>
      </c>
      <c r="H240" s="9">
        <v>5</v>
      </c>
      <c r="I240" s="9">
        <v>1.0149999999999999</v>
      </c>
      <c r="J240" s="9">
        <v>56</v>
      </c>
      <c r="K240" s="9" t="s">
        <v>499</v>
      </c>
      <c r="L240" s="9"/>
      <c r="M240" s="9"/>
      <c r="N240" s="9" t="str">
        <f ca="1">IFERROR(__xludf.DUMMYFUNCTION("IFERROR(VALUE(REGEXEXTRACT(TO_TEXT($F240), N$1 &amp; ""x(\d+)"")), """")
"),"")</f>
        <v/>
      </c>
      <c r="O240" s="9">
        <f ca="1">IFERROR(__xludf.DUMMYFUNCTION("IFERROR(VALUE(REGEXEXTRACT(TO_TEXT($F240), O$1 &amp; ""x(\d+)"")), """")"),2)</f>
        <v>2</v>
      </c>
      <c r="P240" s="9" t="str">
        <f ca="1">IFERROR(__xludf.DUMMYFUNCTION("IFERROR(VALUE(REGEXEXTRACT(TO_TEXT($F240), P$1 &amp; ""x(\d+)"")), """")"),"")</f>
        <v/>
      </c>
      <c r="Q240" s="9" t="str">
        <f ca="1">IFERROR(__xludf.DUMMYFUNCTION("IFERROR(VALUE(REGEXEXTRACT(TO_TEXT($F240), Q$1 &amp; ""x(\d+)"")), """")"),"")</f>
        <v/>
      </c>
      <c r="R240" s="9" t="str">
        <f ca="1">IFERROR(__xludf.DUMMYFUNCTION("IFERROR(VALUE(REGEXEXTRACT(TO_TEXT($F240), R$1 &amp; ""x(\d+)"")), """")"),"")</f>
        <v/>
      </c>
      <c r="S240" s="9" t="str">
        <f ca="1">IFERROR(__xludf.DUMMYFUNCTION("IFERROR(VALUE(REGEXEXTRACT(TO_TEXT($F240), S$1 &amp; ""x(\d+)"")), """")"),"")</f>
        <v/>
      </c>
      <c r="T240" s="9" t="str">
        <f ca="1">IFERROR(__xludf.DUMMYFUNCTION("IFERROR(VALUE(REGEXEXTRACT(TO_TEXT($F240), T$1 &amp; ""x(\d+)"")), """")"),"")</f>
        <v/>
      </c>
      <c r="U240" s="9" t="str">
        <f ca="1">IFERROR(__xludf.DUMMYFUNCTION("IFERROR(VALUE(REGEXEXTRACT(TO_TEXT($F240), U$1 &amp; ""x(\d+)"")), """")"),"")</f>
        <v/>
      </c>
      <c r="V240" s="9" t="str">
        <f ca="1">IFERROR(__xludf.DUMMYFUNCTION("IFERROR(VALUE(REGEXEXTRACT(TO_TEXT($F240), V$1 &amp; ""x(\d+)"")), """")"),"")</f>
        <v/>
      </c>
      <c r="W240" s="9"/>
      <c r="X240" s="9"/>
      <c r="Y240" s="9"/>
      <c r="Z240" s="9"/>
    </row>
    <row r="241" spans="1:26" ht="15.75" customHeight="1">
      <c r="A241" s="9" t="s">
        <v>1303</v>
      </c>
      <c r="B241" s="9" t="s">
        <v>1304</v>
      </c>
      <c r="C241" s="9" t="s">
        <v>906</v>
      </c>
      <c r="D241" s="9" t="s">
        <v>33</v>
      </c>
      <c r="E241" s="9" t="s">
        <v>13</v>
      </c>
      <c r="F241" s="9" t="s">
        <v>1306</v>
      </c>
      <c r="G241" s="9">
        <v>15</v>
      </c>
      <c r="H241" s="9">
        <v>5</v>
      </c>
      <c r="I241" s="9">
        <v>1.0149999999999999</v>
      </c>
      <c r="J241" s="9">
        <v>56</v>
      </c>
      <c r="K241" s="9" t="s">
        <v>499</v>
      </c>
      <c r="L241" s="9"/>
      <c r="M241" s="9"/>
      <c r="N241" s="9" t="str">
        <f ca="1">IFERROR(__xludf.DUMMYFUNCTION("IFERROR(VALUE(REGEXEXTRACT(TO_TEXT($F241), N$1 &amp; ""x(\d+)"")), """")
"),"")</f>
        <v/>
      </c>
      <c r="O241" s="9">
        <f ca="1">IFERROR(__xludf.DUMMYFUNCTION("IFERROR(VALUE(REGEXEXTRACT(TO_TEXT($F241), O$1 &amp; ""x(\d+)"")), """")"),2)</f>
        <v>2</v>
      </c>
      <c r="P241" s="9" t="str">
        <f ca="1">IFERROR(__xludf.DUMMYFUNCTION("IFERROR(VALUE(REGEXEXTRACT(TO_TEXT($F241), P$1 &amp; ""x(\d+)"")), """")"),"")</f>
        <v/>
      </c>
      <c r="Q241" s="9" t="str">
        <f ca="1">IFERROR(__xludf.DUMMYFUNCTION("IFERROR(VALUE(REGEXEXTRACT(TO_TEXT($F241), Q$1 &amp; ""x(\d+)"")), """")"),"")</f>
        <v/>
      </c>
      <c r="R241" s="9" t="str">
        <f ca="1">IFERROR(__xludf.DUMMYFUNCTION("IFERROR(VALUE(REGEXEXTRACT(TO_TEXT($F241), R$1 &amp; ""x(\d+)"")), """")"),"")</f>
        <v/>
      </c>
      <c r="S241" s="9" t="str">
        <f ca="1">IFERROR(__xludf.DUMMYFUNCTION("IFERROR(VALUE(REGEXEXTRACT(TO_TEXT($F241), S$1 &amp; ""x(\d+)"")), """")"),"")</f>
        <v/>
      </c>
      <c r="T241" s="9" t="str">
        <f ca="1">IFERROR(__xludf.DUMMYFUNCTION("IFERROR(VALUE(REGEXEXTRACT(TO_TEXT($F241), T$1 &amp; ""x(\d+)"")), """")"),"")</f>
        <v/>
      </c>
      <c r="U241" s="9" t="str">
        <f ca="1">IFERROR(__xludf.DUMMYFUNCTION("IFERROR(VALUE(REGEXEXTRACT(TO_TEXT($F241), U$1 &amp; ""x(\d+)"")), """")"),"")</f>
        <v/>
      </c>
      <c r="V241" s="9" t="str">
        <f ca="1">IFERROR(__xludf.DUMMYFUNCTION("IFERROR(VALUE(REGEXEXTRACT(TO_TEXT($F241), V$1 &amp; ""x(\d+)"")), """")"),"")</f>
        <v/>
      </c>
      <c r="W241" s="9"/>
      <c r="X241" s="9"/>
      <c r="Y241" s="9"/>
      <c r="Z241" s="9"/>
    </row>
    <row r="242" spans="1:26" ht="15.75" customHeight="1">
      <c r="A242" s="9" t="s">
        <v>1303</v>
      </c>
      <c r="B242" s="9" t="s">
        <v>1304</v>
      </c>
      <c r="C242" s="9" t="s">
        <v>906</v>
      </c>
      <c r="D242" s="9" t="s">
        <v>33</v>
      </c>
      <c r="E242" s="9" t="s">
        <v>12</v>
      </c>
      <c r="F242" s="9" t="s">
        <v>1307</v>
      </c>
      <c r="G242" s="9">
        <v>335</v>
      </c>
      <c r="H242" s="9">
        <v>1</v>
      </c>
      <c r="I242" s="9">
        <v>1.0149999999999999</v>
      </c>
      <c r="J242" s="9">
        <v>56</v>
      </c>
      <c r="K242" s="9" t="s">
        <v>708</v>
      </c>
      <c r="L242" s="9"/>
      <c r="M242" s="9"/>
      <c r="N242" s="9" t="str">
        <f ca="1">IFERROR(__xludf.DUMMYFUNCTION("IFERROR(VALUE(REGEXEXTRACT(TO_TEXT($F242), N$1 &amp; ""x(\d+)"")), """")
"),"")</f>
        <v/>
      </c>
      <c r="O242" s="9" t="str">
        <f ca="1">IFERROR(__xludf.DUMMYFUNCTION("IFERROR(VALUE(REGEXEXTRACT(TO_TEXT($F242), O$1 &amp; ""x(\d+)"")), """")"),"")</f>
        <v/>
      </c>
      <c r="P242" s="9" t="str">
        <f ca="1">IFERROR(__xludf.DUMMYFUNCTION("IFERROR(VALUE(REGEXEXTRACT(TO_TEXT($F242), P$1 &amp; ""x(\d+)"")), """")"),"")</f>
        <v/>
      </c>
      <c r="Q242" s="9" t="str">
        <f ca="1">IFERROR(__xludf.DUMMYFUNCTION("IFERROR(VALUE(REGEXEXTRACT(TO_TEXT($F242), Q$1 &amp; ""x(\d+)"")), """")"),"")</f>
        <v/>
      </c>
      <c r="R242" s="9">
        <f ca="1">IFERROR(__xludf.DUMMYFUNCTION("IFERROR(VALUE(REGEXEXTRACT(TO_TEXT($F242), R$1 &amp; ""x(\d+)"")), """")"),1)</f>
        <v>1</v>
      </c>
      <c r="S242" s="9" t="str">
        <f ca="1">IFERROR(__xludf.DUMMYFUNCTION("IFERROR(VALUE(REGEXEXTRACT(TO_TEXT($F242), S$1 &amp; ""x(\d+)"")), """")"),"")</f>
        <v/>
      </c>
      <c r="T242" s="9" t="str">
        <f ca="1">IFERROR(__xludf.DUMMYFUNCTION("IFERROR(VALUE(REGEXEXTRACT(TO_TEXT($F242), T$1 &amp; ""x(\d+)"")), """")"),"")</f>
        <v/>
      </c>
      <c r="U242" s="9" t="str">
        <f ca="1">IFERROR(__xludf.DUMMYFUNCTION("IFERROR(VALUE(REGEXEXTRACT(TO_TEXT($F242), U$1 &amp; ""x(\d+)"")), """")"),"")</f>
        <v/>
      </c>
      <c r="V242" s="9" t="str">
        <f ca="1">IFERROR(__xludf.DUMMYFUNCTION("IFERROR(VALUE(REGEXEXTRACT(TO_TEXT($F242), V$1 &amp; ""x(\d+)"")), """")"),"")</f>
        <v/>
      </c>
      <c r="W242" s="9"/>
      <c r="X242" s="9"/>
      <c r="Y242" s="9"/>
      <c r="Z242" s="9"/>
    </row>
    <row r="243" spans="1:26" ht="15.75" customHeight="1">
      <c r="A243" s="9" t="s">
        <v>1303</v>
      </c>
      <c r="B243" s="9" t="s">
        <v>1304</v>
      </c>
      <c r="C243" s="9" t="s">
        <v>906</v>
      </c>
      <c r="D243" s="9" t="s">
        <v>33</v>
      </c>
      <c r="E243" s="9" t="s">
        <v>13</v>
      </c>
      <c r="F243" s="9" t="s">
        <v>1308</v>
      </c>
      <c r="G243" s="9">
        <v>30</v>
      </c>
      <c r="H243" s="9">
        <v>1</v>
      </c>
      <c r="I243" s="9">
        <v>1.0149999999999999</v>
      </c>
      <c r="J243" s="9">
        <v>56</v>
      </c>
      <c r="K243" s="9" t="s">
        <v>708</v>
      </c>
      <c r="L243" s="9"/>
      <c r="M243" s="9"/>
      <c r="N243" s="9" t="str">
        <f ca="1">IFERROR(__xludf.DUMMYFUNCTION("IFERROR(VALUE(REGEXEXTRACT(TO_TEXT($F243), N$1 &amp; ""x(\d+)"")), """")
"),"")</f>
        <v/>
      </c>
      <c r="O243" s="9" t="str">
        <f ca="1">IFERROR(__xludf.DUMMYFUNCTION("IFERROR(VALUE(REGEXEXTRACT(TO_TEXT($F243), O$1 &amp; ""x(\d+)"")), """")"),"")</f>
        <v/>
      </c>
      <c r="P243" s="9" t="str">
        <f ca="1">IFERROR(__xludf.DUMMYFUNCTION("IFERROR(VALUE(REGEXEXTRACT(TO_TEXT($F243), P$1 &amp; ""x(\d+)"")), """")"),"")</f>
        <v/>
      </c>
      <c r="Q243" s="9" t="str">
        <f ca="1">IFERROR(__xludf.DUMMYFUNCTION("IFERROR(VALUE(REGEXEXTRACT(TO_TEXT($F243), Q$1 &amp; ""x(\d+)"")), """")"),"")</f>
        <v/>
      </c>
      <c r="R243" s="9">
        <f ca="1">IFERROR(__xludf.DUMMYFUNCTION("IFERROR(VALUE(REGEXEXTRACT(TO_TEXT($F243), R$1 &amp; ""x(\d+)"")), """")"),1)</f>
        <v>1</v>
      </c>
      <c r="S243" s="9" t="str">
        <f ca="1">IFERROR(__xludf.DUMMYFUNCTION("IFERROR(VALUE(REGEXEXTRACT(TO_TEXT($F243), S$1 &amp; ""x(\d+)"")), """")"),"")</f>
        <v/>
      </c>
      <c r="T243" s="9" t="str">
        <f ca="1">IFERROR(__xludf.DUMMYFUNCTION("IFERROR(VALUE(REGEXEXTRACT(TO_TEXT($F243), T$1 &amp; ""x(\d+)"")), """")"),"")</f>
        <v/>
      </c>
      <c r="U243" s="9" t="str">
        <f ca="1">IFERROR(__xludf.DUMMYFUNCTION("IFERROR(VALUE(REGEXEXTRACT(TO_TEXT($F243), U$1 &amp; ""x(\d+)"")), """")"),"")</f>
        <v/>
      </c>
      <c r="V243" s="9" t="str">
        <f ca="1">IFERROR(__xludf.DUMMYFUNCTION("IFERROR(VALUE(REGEXEXTRACT(TO_TEXT($F243), V$1 &amp; ""x(\d+)"")), """")"),"")</f>
        <v/>
      </c>
      <c r="W243" s="9"/>
      <c r="X243" s="9"/>
      <c r="Y243" s="9"/>
      <c r="Z243" s="9"/>
    </row>
    <row r="244" spans="1:26" ht="15.75" customHeight="1">
      <c r="A244" s="9" t="s">
        <v>1309</v>
      </c>
      <c r="B244" s="9" t="s">
        <v>1310</v>
      </c>
      <c r="C244" s="9" t="s">
        <v>885</v>
      </c>
      <c r="D244" s="9" t="s">
        <v>33</v>
      </c>
      <c r="E244" s="9" t="s">
        <v>12</v>
      </c>
      <c r="F244" s="9" t="s">
        <v>1311</v>
      </c>
      <c r="G244" s="9">
        <v>40</v>
      </c>
      <c r="H244" s="9">
        <v>3</v>
      </c>
      <c r="I244" s="9">
        <v>1.0149999999999999</v>
      </c>
      <c r="J244" s="9">
        <v>95</v>
      </c>
      <c r="K244" s="9" t="s">
        <v>499</v>
      </c>
      <c r="L244" s="9"/>
      <c r="M244" s="9"/>
      <c r="N244" s="9" t="str">
        <f ca="1">IFERROR(__xludf.DUMMYFUNCTION("IFERROR(VALUE(REGEXEXTRACT(TO_TEXT($F244), N$1 &amp; ""x(\d+)"")), """")
"),"")</f>
        <v/>
      </c>
      <c r="O244" s="9">
        <f ca="1">IFERROR(__xludf.DUMMYFUNCTION("IFERROR(VALUE(REGEXEXTRACT(TO_TEXT($F244), O$1 &amp; ""x(\d+)"")), """")"),1)</f>
        <v>1</v>
      </c>
      <c r="P244" s="9" t="str">
        <f ca="1">IFERROR(__xludf.DUMMYFUNCTION("IFERROR(VALUE(REGEXEXTRACT(TO_TEXT($F244), P$1 &amp; ""x(\d+)"")), """")"),"")</f>
        <v/>
      </c>
      <c r="Q244" s="9" t="str">
        <f ca="1">IFERROR(__xludf.DUMMYFUNCTION("IFERROR(VALUE(REGEXEXTRACT(TO_TEXT($F244), Q$1 &amp; ""x(\d+)"")), """")"),"")</f>
        <v/>
      </c>
      <c r="R244" s="9" t="str">
        <f ca="1">IFERROR(__xludf.DUMMYFUNCTION("IFERROR(VALUE(REGEXEXTRACT(TO_TEXT($F244), R$1 &amp; ""x(\d+)"")), """")"),"")</f>
        <v/>
      </c>
      <c r="S244" s="9" t="str">
        <f ca="1">IFERROR(__xludf.DUMMYFUNCTION("IFERROR(VALUE(REGEXEXTRACT(TO_TEXT($F244), S$1 &amp; ""x(\d+)"")), """")"),"")</f>
        <v/>
      </c>
      <c r="T244" s="9" t="str">
        <f ca="1">IFERROR(__xludf.DUMMYFUNCTION("IFERROR(VALUE(REGEXEXTRACT(TO_TEXT($F244), T$1 &amp; ""x(\d+)"")), """")"),"")</f>
        <v/>
      </c>
      <c r="U244" s="9" t="str">
        <f ca="1">IFERROR(__xludf.DUMMYFUNCTION("IFERROR(VALUE(REGEXEXTRACT(TO_TEXT($F244), U$1 &amp; ""x(\d+)"")), """")"),"")</f>
        <v/>
      </c>
      <c r="V244" s="9" t="str">
        <f ca="1">IFERROR(__xludf.DUMMYFUNCTION("IFERROR(VALUE(REGEXEXTRACT(TO_TEXT($F244), V$1 &amp; ""x(\d+)"")), """")"),"")</f>
        <v/>
      </c>
      <c r="W244" s="9"/>
      <c r="X244" s="9"/>
      <c r="Y244" s="9"/>
      <c r="Z244" s="9"/>
    </row>
    <row r="245" spans="1:26" ht="15.75" customHeight="1">
      <c r="A245" s="9" t="s">
        <v>1309</v>
      </c>
      <c r="B245" s="9" t="s">
        <v>1310</v>
      </c>
      <c r="C245" s="9" t="s">
        <v>885</v>
      </c>
      <c r="D245" s="9" t="s">
        <v>33</v>
      </c>
      <c r="E245" s="9" t="s">
        <v>13</v>
      </c>
      <c r="F245" s="9" t="s">
        <v>1312</v>
      </c>
      <c r="G245" s="9">
        <v>10</v>
      </c>
      <c r="H245" s="9">
        <v>3</v>
      </c>
      <c r="I245" s="9">
        <v>1.0149999999999999</v>
      </c>
      <c r="J245" s="9">
        <v>95</v>
      </c>
      <c r="K245" s="9" t="s">
        <v>499</v>
      </c>
      <c r="L245" s="9"/>
      <c r="M245" s="9"/>
      <c r="N245" s="9" t="str">
        <f ca="1">IFERROR(__xludf.DUMMYFUNCTION("IFERROR(VALUE(REGEXEXTRACT(TO_TEXT($F245), N$1 &amp; ""x(\d+)"")), """")
"),"")</f>
        <v/>
      </c>
      <c r="O245" s="9">
        <f ca="1">IFERROR(__xludf.DUMMYFUNCTION("IFERROR(VALUE(REGEXEXTRACT(TO_TEXT($F245), O$1 &amp; ""x(\d+)"")), """")"),1)</f>
        <v>1</v>
      </c>
      <c r="P245" s="9" t="str">
        <f ca="1">IFERROR(__xludf.DUMMYFUNCTION("IFERROR(VALUE(REGEXEXTRACT(TO_TEXT($F245), P$1 &amp; ""x(\d+)"")), """")"),"")</f>
        <v/>
      </c>
      <c r="Q245" s="9" t="str">
        <f ca="1">IFERROR(__xludf.DUMMYFUNCTION("IFERROR(VALUE(REGEXEXTRACT(TO_TEXT($F245), Q$1 &amp; ""x(\d+)"")), """")"),"")</f>
        <v/>
      </c>
      <c r="R245" s="9" t="str">
        <f ca="1">IFERROR(__xludf.DUMMYFUNCTION("IFERROR(VALUE(REGEXEXTRACT(TO_TEXT($F245), R$1 &amp; ""x(\d+)"")), """")"),"")</f>
        <v/>
      </c>
      <c r="S245" s="9" t="str">
        <f ca="1">IFERROR(__xludf.DUMMYFUNCTION("IFERROR(VALUE(REGEXEXTRACT(TO_TEXT($F245), S$1 &amp; ""x(\d+)"")), """")"),"")</f>
        <v/>
      </c>
      <c r="T245" s="9" t="str">
        <f ca="1">IFERROR(__xludf.DUMMYFUNCTION("IFERROR(VALUE(REGEXEXTRACT(TO_TEXT($F245), T$1 &amp; ""x(\d+)"")), """")"),"")</f>
        <v/>
      </c>
      <c r="U245" s="9" t="str">
        <f ca="1">IFERROR(__xludf.DUMMYFUNCTION("IFERROR(VALUE(REGEXEXTRACT(TO_TEXT($F245), U$1 &amp; ""x(\d+)"")), """")"),"")</f>
        <v/>
      </c>
      <c r="V245" s="9" t="str">
        <f ca="1">IFERROR(__xludf.DUMMYFUNCTION("IFERROR(VALUE(REGEXEXTRACT(TO_TEXT($F245), V$1 &amp; ""x(\d+)"")), """")"),"")</f>
        <v/>
      </c>
      <c r="W245" s="9"/>
      <c r="X245" s="9"/>
      <c r="Y245" s="9"/>
      <c r="Z245" s="9"/>
    </row>
    <row r="246" spans="1:26" ht="15.75" hidden="1" customHeight="1">
      <c r="A246" s="9" t="s">
        <v>1313</v>
      </c>
      <c r="B246" s="9" t="s">
        <v>1314</v>
      </c>
      <c r="C246" s="9" t="s">
        <v>895</v>
      </c>
      <c r="D246" s="9" t="s">
        <v>74</v>
      </c>
      <c r="E246" s="9" t="s">
        <v>11</v>
      </c>
      <c r="F246" s="9" t="s">
        <v>1315</v>
      </c>
      <c r="G246" s="9">
        <v>25</v>
      </c>
      <c r="H246" s="9">
        <v>2</v>
      </c>
      <c r="I246" s="9">
        <v>1.0149999999999999</v>
      </c>
      <c r="J246" s="9">
        <v>103</v>
      </c>
      <c r="K246" s="9" t="s">
        <v>424</v>
      </c>
      <c r="L246" s="9"/>
      <c r="M246" s="9"/>
      <c r="N246" s="9" t="str">
        <f ca="1">IFERROR(__xludf.DUMMYFUNCTION("IFERROR(VALUE(REGEXEXTRACT(TO_TEXT($F246), N$1 &amp; ""x(\d+)"")), """")
"),"")</f>
        <v/>
      </c>
      <c r="O246" s="9" t="str">
        <f ca="1">IFERROR(__xludf.DUMMYFUNCTION("IFERROR(VALUE(REGEXEXTRACT(TO_TEXT($F246), O$1 &amp; ""x(\d+)"")), """")"),"")</f>
        <v/>
      </c>
      <c r="P246" s="9" t="str">
        <f ca="1">IFERROR(__xludf.DUMMYFUNCTION("IFERROR(VALUE(REGEXEXTRACT(TO_TEXT($F246), P$1 &amp; ""x(\d+)"")), """")"),"")</f>
        <v/>
      </c>
      <c r="Q246" s="9" t="str">
        <f ca="1">IFERROR(__xludf.DUMMYFUNCTION("IFERROR(VALUE(REGEXEXTRACT(TO_TEXT($F246), Q$1 &amp; ""x(\d+)"")), """")"),"")</f>
        <v/>
      </c>
      <c r="R246" s="9" t="str">
        <f ca="1">IFERROR(__xludf.DUMMYFUNCTION("IFERROR(VALUE(REGEXEXTRACT(TO_TEXT($F246), R$1 &amp; ""x(\d+)"")), """")"),"")</f>
        <v/>
      </c>
      <c r="S246" s="9" t="str">
        <f ca="1">IFERROR(__xludf.DUMMYFUNCTION("IFERROR(VALUE(REGEXEXTRACT(TO_TEXT($F246), S$1 &amp; ""x(\d+)"")), """")"),"")</f>
        <v/>
      </c>
      <c r="T246" s="9" t="str">
        <f ca="1">IFERROR(__xludf.DUMMYFUNCTION("IFERROR(VALUE(REGEXEXTRACT(TO_TEXT($F246), T$1 &amp; ""x(\d+)"")), """")"),"")</f>
        <v/>
      </c>
      <c r="U246" s="9" t="str">
        <f ca="1">IFERROR(__xludf.DUMMYFUNCTION("IFERROR(VALUE(REGEXEXTRACT(TO_TEXT($F246), U$1 &amp; ""x(\d+)"")), """")"),"")</f>
        <v/>
      </c>
      <c r="V246" s="9" t="str">
        <f ca="1">IFERROR(__xludf.DUMMYFUNCTION("IFERROR(VALUE(REGEXEXTRACT(TO_TEXT($F246), V$1 &amp; ""x(\d+)"")), """")"),"")</f>
        <v/>
      </c>
      <c r="W246" s="9"/>
      <c r="X246" s="9"/>
      <c r="Y246" s="9"/>
      <c r="Z246" s="9"/>
    </row>
    <row r="247" spans="1:26" ht="15.75" hidden="1" customHeight="1">
      <c r="A247" s="9" t="s">
        <v>1313</v>
      </c>
      <c r="B247" s="9" t="s">
        <v>1314</v>
      </c>
      <c r="C247" s="9" t="s">
        <v>895</v>
      </c>
      <c r="D247" s="9" t="s">
        <v>74</v>
      </c>
      <c r="E247" s="9" t="s">
        <v>12</v>
      </c>
      <c r="F247" s="9" t="s">
        <v>1316</v>
      </c>
      <c r="G247" s="9">
        <v>190</v>
      </c>
      <c r="H247" s="9">
        <v>2</v>
      </c>
      <c r="I247" s="9">
        <v>1.0149999999999999</v>
      </c>
      <c r="J247" s="9">
        <v>103</v>
      </c>
      <c r="K247" s="9" t="s">
        <v>424</v>
      </c>
      <c r="L247" s="9" t="s">
        <v>1210</v>
      </c>
      <c r="M247" s="9"/>
      <c r="N247" s="9" t="str">
        <f ca="1">IFERROR(__xludf.DUMMYFUNCTION("IFERROR(VALUE(REGEXEXTRACT(TO_TEXT($F247), N$1 &amp; ""x(\d+)"")), """")
"),"")</f>
        <v/>
      </c>
      <c r="O247" s="9" t="str">
        <f ca="1">IFERROR(__xludf.DUMMYFUNCTION("IFERROR(VALUE(REGEXEXTRACT(TO_TEXT($F247), O$1 &amp; ""x(\d+)"")), """")"),"")</f>
        <v/>
      </c>
      <c r="P247" s="9" t="str">
        <f ca="1">IFERROR(__xludf.DUMMYFUNCTION("IFERROR(VALUE(REGEXEXTRACT(TO_TEXT($F247), P$1 &amp; ""x(\d+)"")), """")"),"")</f>
        <v/>
      </c>
      <c r="Q247" s="9">
        <f ca="1">IFERROR(__xludf.DUMMYFUNCTION("IFERROR(VALUE(REGEXEXTRACT(TO_TEXT($F247), Q$1 &amp; ""x(\d+)"")), """")"),1)</f>
        <v>1</v>
      </c>
      <c r="R247" s="9" t="str">
        <f ca="1">IFERROR(__xludf.DUMMYFUNCTION("IFERROR(VALUE(REGEXEXTRACT(TO_TEXT($F247), R$1 &amp; ""x(\d+)"")), """")"),"")</f>
        <v/>
      </c>
      <c r="S247" s="9" t="str">
        <f ca="1">IFERROR(__xludf.DUMMYFUNCTION("IFERROR(VALUE(REGEXEXTRACT(TO_TEXT($F247), S$1 &amp; ""x(\d+)"")), """")"),"")</f>
        <v/>
      </c>
      <c r="T247" s="9" t="str">
        <f ca="1">IFERROR(__xludf.DUMMYFUNCTION("IFERROR(VALUE(REGEXEXTRACT(TO_TEXT($F247), T$1 &amp; ""x(\d+)"")), """")"),"")</f>
        <v/>
      </c>
      <c r="U247" s="9" t="str">
        <f ca="1">IFERROR(__xludf.DUMMYFUNCTION("IFERROR(VALUE(REGEXEXTRACT(TO_TEXT($F247), U$1 &amp; ""x(\d+)"")), """")"),"")</f>
        <v/>
      </c>
      <c r="V247" s="9" t="str">
        <f ca="1">IFERROR(__xludf.DUMMYFUNCTION("IFERROR(VALUE(REGEXEXTRACT(TO_TEXT($F247), V$1 &amp; ""x(\d+)"")), """")"),"")</f>
        <v/>
      </c>
      <c r="W247" s="9"/>
      <c r="X247" s="9"/>
      <c r="Y247" s="9"/>
      <c r="Z247" s="9"/>
    </row>
    <row r="248" spans="1:26" ht="15.75" hidden="1" customHeight="1">
      <c r="A248" s="9" t="s">
        <v>1313</v>
      </c>
      <c r="B248" s="9" t="s">
        <v>1314</v>
      </c>
      <c r="C248" s="9" t="s">
        <v>895</v>
      </c>
      <c r="D248" s="9" t="s">
        <v>74</v>
      </c>
      <c r="E248" s="9" t="s">
        <v>13</v>
      </c>
      <c r="F248" s="9" t="s">
        <v>1125</v>
      </c>
      <c r="G248" s="9">
        <v>40</v>
      </c>
      <c r="H248" s="9">
        <v>2</v>
      </c>
      <c r="I248" s="9">
        <v>1.0149999999999999</v>
      </c>
      <c r="J248" s="9">
        <v>103</v>
      </c>
      <c r="K248" s="9" t="s">
        <v>424</v>
      </c>
      <c r="L248" s="9"/>
      <c r="M248" s="9"/>
      <c r="N248" s="9" t="str">
        <f ca="1">IFERROR(__xludf.DUMMYFUNCTION("IFERROR(VALUE(REGEXEXTRACT(TO_TEXT($F248), N$1 &amp; ""x(\d+)"")), """")
"),"")</f>
        <v/>
      </c>
      <c r="O248" s="9" t="str">
        <f ca="1">IFERROR(__xludf.DUMMYFUNCTION("IFERROR(VALUE(REGEXEXTRACT(TO_TEXT($F248), O$1 &amp; ""x(\d+)"")), """")"),"")</f>
        <v/>
      </c>
      <c r="P248" s="9" t="str">
        <f ca="1">IFERROR(__xludf.DUMMYFUNCTION("IFERROR(VALUE(REGEXEXTRACT(TO_TEXT($F248), P$1 &amp; ""x(\d+)"")), """")"),"")</f>
        <v/>
      </c>
      <c r="Q248" s="9">
        <f ca="1">IFERROR(__xludf.DUMMYFUNCTION("IFERROR(VALUE(REGEXEXTRACT(TO_TEXT($F248), Q$1 &amp; ""x(\d+)"")), """")"),1)</f>
        <v>1</v>
      </c>
      <c r="R248" s="9" t="str">
        <f ca="1">IFERROR(__xludf.DUMMYFUNCTION("IFERROR(VALUE(REGEXEXTRACT(TO_TEXT($F248), R$1 &amp; ""x(\d+)"")), """")"),"")</f>
        <v/>
      </c>
      <c r="S248" s="9" t="str">
        <f ca="1">IFERROR(__xludf.DUMMYFUNCTION("IFERROR(VALUE(REGEXEXTRACT(TO_TEXT($F248), S$1 &amp; ""x(\d+)"")), """")"),"")</f>
        <v/>
      </c>
      <c r="T248" s="9" t="str">
        <f ca="1">IFERROR(__xludf.DUMMYFUNCTION("IFERROR(VALUE(REGEXEXTRACT(TO_TEXT($F248), T$1 &amp; ""x(\d+)"")), """")"),"")</f>
        <v/>
      </c>
      <c r="U248" s="9" t="str">
        <f ca="1">IFERROR(__xludf.DUMMYFUNCTION("IFERROR(VALUE(REGEXEXTRACT(TO_TEXT($F248), U$1 &amp; ""x(\d+)"")), """")"),"")</f>
        <v/>
      </c>
      <c r="V248" s="9" t="str">
        <f ca="1">IFERROR(__xludf.DUMMYFUNCTION("IFERROR(VALUE(REGEXEXTRACT(TO_TEXT($F248), V$1 &amp; ""x(\d+)"")), """")"),"")</f>
        <v/>
      </c>
      <c r="W248" s="9"/>
      <c r="X248" s="9"/>
      <c r="Y248" s="9"/>
      <c r="Z248" s="9"/>
    </row>
    <row r="249" spans="1:26" ht="15.75" hidden="1" customHeight="1">
      <c r="A249" s="9" t="s">
        <v>1317</v>
      </c>
      <c r="B249" s="9" t="s">
        <v>1318</v>
      </c>
      <c r="C249" s="9" t="s">
        <v>883</v>
      </c>
      <c r="D249" s="9" t="s">
        <v>48</v>
      </c>
      <c r="E249" s="9" t="s">
        <v>11</v>
      </c>
      <c r="F249" s="9" t="s">
        <v>1319</v>
      </c>
      <c r="G249" s="9">
        <v>25</v>
      </c>
      <c r="H249" s="9">
        <v>5</v>
      </c>
      <c r="I249" s="9">
        <v>1.0149999999999999</v>
      </c>
      <c r="J249" s="9">
        <v>52</v>
      </c>
      <c r="K249" s="9" t="s">
        <v>424</v>
      </c>
      <c r="L249" s="9"/>
      <c r="M249" s="9"/>
      <c r="N249" s="9" t="str">
        <f ca="1">IFERROR(__xludf.DUMMYFUNCTION("IFERROR(VALUE(REGEXEXTRACT(TO_TEXT($F249), N$1 &amp; ""x(\d+)"")), """")
"),"")</f>
        <v/>
      </c>
      <c r="O249" s="9" t="str">
        <f ca="1">IFERROR(__xludf.DUMMYFUNCTION("IFERROR(VALUE(REGEXEXTRACT(TO_TEXT($F249), O$1 &amp; ""x(\d+)"")), """")"),"")</f>
        <v/>
      </c>
      <c r="P249" s="9" t="str">
        <f ca="1">IFERROR(__xludf.DUMMYFUNCTION("IFERROR(VALUE(REGEXEXTRACT(TO_TEXT($F249), P$1 &amp; ""x(\d+)"")), """")"),"")</f>
        <v/>
      </c>
      <c r="Q249" s="9" t="str">
        <f ca="1">IFERROR(__xludf.DUMMYFUNCTION("IFERROR(VALUE(REGEXEXTRACT(TO_TEXT($F249), Q$1 &amp; ""x(\d+)"")), """")"),"")</f>
        <v/>
      </c>
      <c r="R249" s="9" t="str">
        <f ca="1">IFERROR(__xludf.DUMMYFUNCTION("IFERROR(VALUE(REGEXEXTRACT(TO_TEXT($F249), R$1 &amp; ""x(\d+)"")), """")"),"")</f>
        <v/>
      </c>
      <c r="S249" s="9" t="str">
        <f ca="1">IFERROR(__xludf.DUMMYFUNCTION("IFERROR(VALUE(REGEXEXTRACT(TO_TEXT($F249), S$1 &amp; ""x(\d+)"")), """")"),"")</f>
        <v/>
      </c>
      <c r="T249" s="9" t="str">
        <f ca="1">IFERROR(__xludf.DUMMYFUNCTION("IFERROR(VALUE(REGEXEXTRACT(TO_TEXT($F249), T$1 &amp; ""x(\d+)"")), """")"),"")</f>
        <v/>
      </c>
      <c r="U249" s="9" t="str">
        <f ca="1">IFERROR(__xludf.DUMMYFUNCTION("IFERROR(VALUE(REGEXEXTRACT(TO_TEXT($F249), U$1 &amp; ""x(\d+)"")), """")"),"")</f>
        <v/>
      </c>
      <c r="V249" s="9" t="str">
        <f ca="1">IFERROR(__xludf.DUMMYFUNCTION("IFERROR(VALUE(REGEXEXTRACT(TO_TEXT($F249), V$1 &amp; ""x(\d+)"")), """")"),"")</f>
        <v/>
      </c>
      <c r="W249" s="9"/>
      <c r="X249" s="9"/>
      <c r="Y249" s="9"/>
      <c r="Z249" s="9"/>
    </row>
    <row r="250" spans="1:26" ht="15.75" hidden="1" customHeight="1">
      <c r="A250" s="9" t="s">
        <v>1317</v>
      </c>
      <c r="B250" s="9" t="s">
        <v>1318</v>
      </c>
      <c r="C250" s="9" t="s">
        <v>883</v>
      </c>
      <c r="D250" s="9" t="s">
        <v>48</v>
      </c>
      <c r="E250" s="9" t="s">
        <v>12</v>
      </c>
      <c r="F250" s="9" t="s">
        <v>1320</v>
      </c>
      <c r="G250" s="9">
        <v>130</v>
      </c>
      <c r="H250" s="9">
        <v>5</v>
      </c>
      <c r="I250" s="9">
        <v>1.0149999999999999</v>
      </c>
      <c r="J250" s="9">
        <v>52</v>
      </c>
      <c r="K250" s="9" t="s">
        <v>424</v>
      </c>
      <c r="L250" s="9"/>
      <c r="M250" s="9"/>
      <c r="N250" s="9" t="str">
        <f ca="1">IFERROR(__xludf.DUMMYFUNCTION("IFERROR(VALUE(REGEXEXTRACT(TO_TEXT($F250), N$1 &amp; ""x(\d+)"")), """")
"),"")</f>
        <v/>
      </c>
      <c r="O250" s="9" t="str">
        <f ca="1">IFERROR(__xludf.DUMMYFUNCTION("IFERROR(VALUE(REGEXEXTRACT(TO_TEXT($F250), O$1 &amp; ""x(\d+)"")), """")"),"")</f>
        <v/>
      </c>
      <c r="P250" s="9">
        <f ca="1">IFERROR(__xludf.DUMMYFUNCTION("IFERROR(VALUE(REGEXEXTRACT(TO_TEXT($F250), P$1 &amp; ""x(\d+)"")), """")"),1)</f>
        <v>1</v>
      </c>
      <c r="Q250" s="9" t="str">
        <f ca="1">IFERROR(__xludf.DUMMYFUNCTION("IFERROR(VALUE(REGEXEXTRACT(TO_TEXT($F250), Q$1 &amp; ""x(\d+)"")), """")"),"")</f>
        <v/>
      </c>
      <c r="R250" s="9" t="str">
        <f ca="1">IFERROR(__xludf.DUMMYFUNCTION("IFERROR(VALUE(REGEXEXTRACT(TO_TEXT($F250), R$1 &amp; ""x(\d+)"")), """")"),"")</f>
        <v/>
      </c>
      <c r="S250" s="9" t="str">
        <f ca="1">IFERROR(__xludf.DUMMYFUNCTION("IFERROR(VALUE(REGEXEXTRACT(TO_TEXT($F250), S$1 &amp; ""x(\d+)"")), """")"),"")</f>
        <v/>
      </c>
      <c r="T250" s="9" t="str">
        <f ca="1">IFERROR(__xludf.DUMMYFUNCTION("IFERROR(VALUE(REGEXEXTRACT(TO_TEXT($F250), T$1 &amp; ""x(\d+)"")), """")"),"")</f>
        <v/>
      </c>
      <c r="U250" s="9" t="str">
        <f ca="1">IFERROR(__xludf.DUMMYFUNCTION("IFERROR(VALUE(REGEXEXTRACT(TO_TEXT($F250), U$1 &amp; ""x(\d+)"")), """")"),"")</f>
        <v/>
      </c>
      <c r="V250" s="9" t="str">
        <f ca="1">IFERROR(__xludf.DUMMYFUNCTION("IFERROR(VALUE(REGEXEXTRACT(TO_TEXT($F250), V$1 &amp; ""x(\d+)"")), """")"),"")</f>
        <v/>
      </c>
      <c r="W250" s="9"/>
      <c r="X250" s="9"/>
      <c r="Y250" s="9"/>
      <c r="Z250" s="9"/>
    </row>
    <row r="251" spans="1:26" ht="15.75" hidden="1" customHeight="1">
      <c r="A251" s="9" t="s">
        <v>1317</v>
      </c>
      <c r="B251" s="9" t="s">
        <v>1318</v>
      </c>
      <c r="C251" s="9" t="s">
        <v>883</v>
      </c>
      <c r="D251" s="9" t="s">
        <v>48</v>
      </c>
      <c r="E251" s="9" t="s">
        <v>13</v>
      </c>
      <c r="F251" s="9" t="s">
        <v>1201</v>
      </c>
      <c r="G251" s="9">
        <v>30</v>
      </c>
      <c r="H251" s="9">
        <v>5</v>
      </c>
      <c r="I251" s="9">
        <v>1.0149999999999999</v>
      </c>
      <c r="J251" s="9">
        <v>52</v>
      </c>
      <c r="K251" s="9" t="s">
        <v>424</v>
      </c>
      <c r="L251" s="9"/>
      <c r="M251" s="9"/>
      <c r="N251" s="9" t="str">
        <f ca="1">IFERROR(__xludf.DUMMYFUNCTION("IFERROR(VALUE(REGEXEXTRACT(TO_TEXT($F251), N$1 &amp; ""x(\d+)"")), """")
"),"")</f>
        <v/>
      </c>
      <c r="O251" s="9" t="str">
        <f ca="1">IFERROR(__xludf.DUMMYFUNCTION("IFERROR(VALUE(REGEXEXTRACT(TO_TEXT($F251), O$1 &amp; ""x(\d+)"")), """")"),"")</f>
        <v/>
      </c>
      <c r="P251" s="9">
        <f ca="1">IFERROR(__xludf.DUMMYFUNCTION("IFERROR(VALUE(REGEXEXTRACT(TO_TEXT($F251), P$1 &amp; ""x(\d+)"")), """")"),1)</f>
        <v>1</v>
      </c>
      <c r="Q251" s="9" t="str">
        <f ca="1">IFERROR(__xludf.DUMMYFUNCTION("IFERROR(VALUE(REGEXEXTRACT(TO_TEXT($F251), Q$1 &amp; ""x(\d+)"")), """")"),"")</f>
        <v/>
      </c>
      <c r="R251" s="9" t="str">
        <f ca="1">IFERROR(__xludf.DUMMYFUNCTION("IFERROR(VALUE(REGEXEXTRACT(TO_TEXT($F251), R$1 &amp; ""x(\d+)"")), """")"),"")</f>
        <v/>
      </c>
      <c r="S251" s="9" t="str">
        <f ca="1">IFERROR(__xludf.DUMMYFUNCTION("IFERROR(VALUE(REGEXEXTRACT(TO_TEXT($F251), S$1 &amp; ""x(\d+)"")), """")"),"")</f>
        <v/>
      </c>
      <c r="T251" s="9" t="str">
        <f ca="1">IFERROR(__xludf.DUMMYFUNCTION("IFERROR(VALUE(REGEXEXTRACT(TO_TEXT($F251), T$1 &amp; ""x(\d+)"")), """")"),"")</f>
        <v/>
      </c>
      <c r="U251" s="9" t="str">
        <f ca="1">IFERROR(__xludf.DUMMYFUNCTION("IFERROR(VALUE(REGEXEXTRACT(TO_TEXT($F251), U$1 &amp; ""x(\d+)"")), """")"),"")</f>
        <v/>
      </c>
      <c r="V251" s="9" t="str">
        <f ca="1">IFERROR(__xludf.DUMMYFUNCTION("IFERROR(VALUE(REGEXEXTRACT(TO_TEXT($F251), V$1 &amp; ""x(\d+)"")), """")"),"")</f>
        <v/>
      </c>
      <c r="W251" s="9"/>
      <c r="X251" s="9"/>
      <c r="Y251" s="9"/>
      <c r="Z251" s="9"/>
    </row>
    <row r="252" spans="1:26" ht="15.75" hidden="1" customHeight="1">
      <c r="A252" s="9" t="s">
        <v>1317</v>
      </c>
      <c r="B252" s="9" t="s">
        <v>1318</v>
      </c>
      <c r="C252" s="9" t="s">
        <v>883</v>
      </c>
      <c r="D252" s="9" t="s">
        <v>74</v>
      </c>
      <c r="E252" s="9" t="s">
        <v>11</v>
      </c>
      <c r="F252" s="9" t="s">
        <v>1315</v>
      </c>
      <c r="G252" s="9">
        <v>25</v>
      </c>
      <c r="H252" s="9">
        <v>2</v>
      </c>
      <c r="I252" s="9">
        <v>1.0149999999999999</v>
      </c>
      <c r="J252" s="9">
        <v>103</v>
      </c>
      <c r="K252" s="9" t="s">
        <v>424</v>
      </c>
      <c r="L252" s="9"/>
      <c r="M252" s="9"/>
      <c r="N252" s="9" t="str">
        <f ca="1">IFERROR(__xludf.DUMMYFUNCTION("IFERROR(VALUE(REGEXEXTRACT(TO_TEXT($F252), N$1 &amp; ""x(\d+)"")), """")
"),"")</f>
        <v/>
      </c>
      <c r="O252" s="9" t="str">
        <f ca="1">IFERROR(__xludf.DUMMYFUNCTION("IFERROR(VALUE(REGEXEXTRACT(TO_TEXT($F252), O$1 &amp; ""x(\d+)"")), """")"),"")</f>
        <v/>
      </c>
      <c r="P252" s="9" t="str">
        <f ca="1">IFERROR(__xludf.DUMMYFUNCTION("IFERROR(VALUE(REGEXEXTRACT(TO_TEXT($F252), P$1 &amp; ""x(\d+)"")), """")"),"")</f>
        <v/>
      </c>
      <c r="Q252" s="9" t="str">
        <f ca="1">IFERROR(__xludf.DUMMYFUNCTION("IFERROR(VALUE(REGEXEXTRACT(TO_TEXT($F252), Q$1 &amp; ""x(\d+)"")), """")"),"")</f>
        <v/>
      </c>
      <c r="R252" s="9" t="str">
        <f ca="1">IFERROR(__xludf.DUMMYFUNCTION("IFERROR(VALUE(REGEXEXTRACT(TO_TEXT($F252), R$1 &amp; ""x(\d+)"")), """")"),"")</f>
        <v/>
      </c>
      <c r="S252" s="9" t="str">
        <f ca="1">IFERROR(__xludf.DUMMYFUNCTION("IFERROR(VALUE(REGEXEXTRACT(TO_TEXT($F252), S$1 &amp; ""x(\d+)"")), """")"),"")</f>
        <v/>
      </c>
      <c r="T252" s="9" t="str">
        <f ca="1">IFERROR(__xludf.DUMMYFUNCTION("IFERROR(VALUE(REGEXEXTRACT(TO_TEXT($F252), T$1 &amp; ""x(\d+)"")), """")"),"")</f>
        <v/>
      </c>
      <c r="U252" s="9" t="str">
        <f ca="1">IFERROR(__xludf.DUMMYFUNCTION("IFERROR(VALUE(REGEXEXTRACT(TO_TEXT($F252), U$1 &amp; ""x(\d+)"")), """")"),"")</f>
        <v/>
      </c>
      <c r="V252" s="9" t="str">
        <f ca="1">IFERROR(__xludf.DUMMYFUNCTION("IFERROR(VALUE(REGEXEXTRACT(TO_TEXT($F252), V$1 &amp; ""x(\d+)"")), """")"),"")</f>
        <v/>
      </c>
      <c r="W252" s="9"/>
      <c r="X252" s="9"/>
      <c r="Y252" s="9"/>
      <c r="Z252" s="9"/>
    </row>
    <row r="253" spans="1:26" ht="15.75" hidden="1" customHeight="1">
      <c r="A253" s="9" t="s">
        <v>1317</v>
      </c>
      <c r="B253" s="9" t="s">
        <v>1318</v>
      </c>
      <c r="C253" s="9" t="s">
        <v>883</v>
      </c>
      <c r="D253" s="9" t="s">
        <v>74</v>
      </c>
      <c r="E253" s="9" t="s">
        <v>12</v>
      </c>
      <c r="F253" s="9" t="s">
        <v>1124</v>
      </c>
      <c r="G253" s="9">
        <v>180</v>
      </c>
      <c r="H253" s="9">
        <v>2</v>
      </c>
      <c r="I253" s="9">
        <v>1.0149999999999999</v>
      </c>
      <c r="J253" s="9">
        <v>103</v>
      </c>
      <c r="K253" s="9" t="s">
        <v>424</v>
      </c>
      <c r="L253" s="9"/>
      <c r="M253" s="9"/>
      <c r="N253" s="9" t="str">
        <f ca="1">IFERROR(__xludf.DUMMYFUNCTION("IFERROR(VALUE(REGEXEXTRACT(TO_TEXT($F253), N$1 &amp; ""x(\d+)"")), """")
"),"")</f>
        <v/>
      </c>
      <c r="O253" s="9" t="str">
        <f ca="1">IFERROR(__xludf.DUMMYFUNCTION("IFERROR(VALUE(REGEXEXTRACT(TO_TEXT($F253), O$1 &amp; ""x(\d+)"")), """")"),"")</f>
        <v/>
      </c>
      <c r="P253" s="9" t="str">
        <f ca="1">IFERROR(__xludf.DUMMYFUNCTION("IFERROR(VALUE(REGEXEXTRACT(TO_TEXT($F253), P$1 &amp; ""x(\d+)"")), """")"),"")</f>
        <v/>
      </c>
      <c r="Q253" s="9">
        <f ca="1">IFERROR(__xludf.DUMMYFUNCTION("IFERROR(VALUE(REGEXEXTRACT(TO_TEXT($F253), Q$1 &amp; ""x(\d+)"")), """")"),1)</f>
        <v>1</v>
      </c>
      <c r="R253" s="9" t="str">
        <f ca="1">IFERROR(__xludf.DUMMYFUNCTION("IFERROR(VALUE(REGEXEXTRACT(TO_TEXT($F253), R$1 &amp; ""x(\d+)"")), """")"),"")</f>
        <v/>
      </c>
      <c r="S253" s="9" t="str">
        <f ca="1">IFERROR(__xludf.DUMMYFUNCTION("IFERROR(VALUE(REGEXEXTRACT(TO_TEXT($F253), S$1 &amp; ""x(\d+)"")), """")"),"")</f>
        <v/>
      </c>
      <c r="T253" s="9" t="str">
        <f ca="1">IFERROR(__xludf.DUMMYFUNCTION("IFERROR(VALUE(REGEXEXTRACT(TO_TEXT($F253), T$1 &amp; ""x(\d+)"")), """")"),"")</f>
        <v/>
      </c>
      <c r="U253" s="9" t="str">
        <f ca="1">IFERROR(__xludf.DUMMYFUNCTION("IFERROR(VALUE(REGEXEXTRACT(TO_TEXT($F253), U$1 &amp; ""x(\d+)"")), """")"),"")</f>
        <v/>
      </c>
      <c r="V253" s="9" t="str">
        <f ca="1">IFERROR(__xludf.DUMMYFUNCTION("IFERROR(VALUE(REGEXEXTRACT(TO_TEXT($F253), V$1 &amp; ""x(\d+)"")), """")"),"")</f>
        <v/>
      </c>
      <c r="W253" s="9"/>
      <c r="X253" s="9"/>
      <c r="Y253" s="9"/>
      <c r="Z253" s="9"/>
    </row>
    <row r="254" spans="1:26" ht="15.75" hidden="1" customHeight="1">
      <c r="A254" s="9" t="s">
        <v>1317</v>
      </c>
      <c r="B254" s="9" t="s">
        <v>1318</v>
      </c>
      <c r="C254" s="9" t="s">
        <v>883</v>
      </c>
      <c r="D254" s="9" t="s">
        <v>74</v>
      </c>
      <c r="E254" s="9" t="s">
        <v>13</v>
      </c>
      <c r="F254" s="9" t="s">
        <v>1125</v>
      </c>
      <c r="G254" s="9">
        <v>40</v>
      </c>
      <c r="H254" s="9">
        <v>2</v>
      </c>
      <c r="I254" s="9">
        <v>1.0149999999999999</v>
      </c>
      <c r="J254" s="9">
        <v>103</v>
      </c>
      <c r="K254" s="9" t="s">
        <v>424</v>
      </c>
      <c r="L254" s="9"/>
      <c r="M254" s="9"/>
      <c r="N254" s="9" t="str">
        <f ca="1">IFERROR(__xludf.DUMMYFUNCTION("IFERROR(VALUE(REGEXEXTRACT(TO_TEXT($F254), N$1 &amp; ""x(\d+)"")), """")
"),"")</f>
        <v/>
      </c>
      <c r="O254" s="9" t="str">
        <f ca="1">IFERROR(__xludf.DUMMYFUNCTION("IFERROR(VALUE(REGEXEXTRACT(TO_TEXT($F254), O$1 &amp; ""x(\d+)"")), """")"),"")</f>
        <v/>
      </c>
      <c r="P254" s="9" t="str">
        <f ca="1">IFERROR(__xludf.DUMMYFUNCTION("IFERROR(VALUE(REGEXEXTRACT(TO_TEXT($F254), P$1 &amp; ""x(\d+)"")), """")"),"")</f>
        <v/>
      </c>
      <c r="Q254" s="9">
        <f ca="1">IFERROR(__xludf.DUMMYFUNCTION("IFERROR(VALUE(REGEXEXTRACT(TO_TEXT($F254), Q$1 &amp; ""x(\d+)"")), """")"),1)</f>
        <v>1</v>
      </c>
      <c r="R254" s="9" t="str">
        <f ca="1">IFERROR(__xludf.DUMMYFUNCTION("IFERROR(VALUE(REGEXEXTRACT(TO_TEXT($F254), R$1 &amp; ""x(\d+)"")), """")"),"")</f>
        <v/>
      </c>
      <c r="S254" s="9" t="str">
        <f ca="1">IFERROR(__xludf.DUMMYFUNCTION("IFERROR(VALUE(REGEXEXTRACT(TO_TEXT($F254), S$1 &amp; ""x(\d+)"")), """")"),"")</f>
        <v/>
      </c>
      <c r="T254" s="9" t="str">
        <f ca="1">IFERROR(__xludf.DUMMYFUNCTION("IFERROR(VALUE(REGEXEXTRACT(TO_TEXT($F254), T$1 &amp; ""x(\d+)"")), """")"),"")</f>
        <v/>
      </c>
      <c r="U254" s="9" t="str">
        <f ca="1">IFERROR(__xludf.DUMMYFUNCTION("IFERROR(VALUE(REGEXEXTRACT(TO_TEXT($F254), U$1 &amp; ""x(\d+)"")), """")"),"")</f>
        <v/>
      </c>
      <c r="V254" s="9" t="str">
        <f ca="1">IFERROR(__xludf.DUMMYFUNCTION("IFERROR(VALUE(REGEXEXTRACT(TO_TEXT($F254), V$1 &amp; ""x(\d+)"")), """")"),"")</f>
        <v/>
      </c>
      <c r="W254" s="9"/>
      <c r="X254" s="9"/>
      <c r="Y254" s="9"/>
      <c r="Z254" s="9"/>
    </row>
    <row r="255" spans="1:26" ht="15.75" hidden="1" customHeight="1">
      <c r="A255" s="9" t="s">
        <v>1321</v>
      </c>
      <c r="B255" s="9" t="s">
        <v>1322</v>
      </c>
      <c r="C255" s="9" t="s">
        <v>797</v>
      </c>
      <c r="D255" s="9" t="s">
        <v>48</v>
      </c>
      <c r="E255" s="9" t="s">
        <v>11</v>
      </c>
      <c r="F255" s="9" t="s">
        <v>1323</v>
      </c>
      <c r="G255" s="9">
        <v>105</v>
      </c>
      <c r="H255" s="9">
        <v>2</v>
      </c>
      <c r="I255" s="9">
        <v>1.0149999999999999</v>
      </c>
      <c r="J255" s="9">
        <v>52</v>
      </c>
      <c r="K255" s="9" t="s">
        <v>424</v>
      </c>
      <c r="L255" s="9"/>
      <c r="M255" s="9"/>
      <c r="N255" s="9">
        <f ca="1">IFERROR(__xludf.DUMMYFUNCTION("IFERROR(VALUE(REGEXEXTRACT(TO_TEXT($F255), N$1 &amp; ""x(\d+)"")), """")
"),1)</f>
        <v>1</v>
      </c>
      <c r="O255" s="9">
        <f ca="1">IFERROR(__xludf.DUMMYFUNCTION("IFERROR(VALUE(REGEXEXTRACT(TO_TEXT($F255), O$1 &amp; ""x(\d+)"")), """")"),1)</f>
        <v>1</v>
      </c>
      <c r="P255" s="9" t="str">
        <f ca="1">IFERROR(__xludf.DUMMYFUNCTION("IFERROR(VALUE(REGEXEXTRACT(TO_TEXT($F255), P$1 &amp; ""x(\d+)"")), """")"),"")</f>
        <v/>
      </c>
      <c r="Q255" s="9" t="str">
        <f ca="1">IFERROR(__xludf.DUMMYFUNCTION("IFERROR(VALUE(REGEXEXTRACT(TO_TEXT($F255), Q$1 &amp; ""x(\d+)"")), """")"),"")</f>
        <v/>
      </c>
      <c r="R255" s="9" t="str">
        <f ca="1">IFERROR(__xludf.DUMMYFUNCTION("IFERROR(VALUE(REGEXEXTRACT(TO_TEXT($F255), R$1 &amp; ""x(\d+)"")), """")"),"")</f>
        <v/>
      </c>
      <c r="S255" s="9" t="str">
        <f ca="1">IFERROR(__xludf.DUMMYFUNCTION("IFERROR(VALUE(REGEXEXTRACT(TO_TEXT($F255), S$1 &amp; ""x(\d+)"")), """")"),"")</f>
        <v/>
      </c>
      <c r="T255" s="9" t="str">
        <f ca="1">IFERROR(__xludf.DUMMYFUNCTION("IFERROR(VALUE(REGEXEXTRACT(TO_TEXT($F255), T$1 &amp; ""x(\d+)"")), """")"),"")</f>
        <v/>
      </c>
      <c r="U255" s="9" t="str">
        <f ca="1">IFERROR(__xludf.DUMMYFUNCTION("IFERROR(VALUE(REGEXEXTRACT(TO_TEXT($F255), U$1 &amp; ""x(\d+)"")), """")"),"")</f>
        <v/>
      </c>
      <c r="V255" s="9">
        <f ca="1">IFERROR(__xludf.DUMMYFUNCTION("IFERROR(VALUE(REGEXEXTRACT(TO_TEXT($F255), V$1 &amp; ""x(\d+)"")), """")"),1)</f>
        <v>1</v>
      </c>
      <c r="W255" s="9"/>
      <c r="X255" s="9"/>
      <c r="Y255" s="9"/>
      <c r="Z255" s="9"/>
    </row>
    <row r="256" spans="1:26" ht="15.75" hidden="1" customHeight="1">
      <c r="A256" s="9" t="s">
        <v>1321</v>
      </c>
      <c r="B256" s="9" t="s">
        <v>1322</v>
      </c>
      <c r="C256" s="9" t="s">
        <v>797</v>
      </c>
      <c r="D256" s="9" t="s">
        <v>48</v>
      </c>
      <c r="E256" s="9" t="s">
        <v>12</v>
      </c>
      <c r="F256" s="9" t="s">
        <v>1275</v>
      </c>
      <c r="G256" s="9">
        <v>115</v>
      </c>
      <c r="H256" s="9">
        <v>2</v>
      </c>
      <c r="I256" s="9">
        <v>1.0149999999999999</v>
      </c>
      <c r="J256" s="9">
        <v>52</v>
      </c>
      <c r="K256" s="9" t="s">
        <v>424</v>
      </c>
      <c r="L256" s="9" t="s">
        <v>1210</v>
      </c>
      <c r="M256" s="9"/>
      <c r="N256" s="9" t="str">
        <f ca="1">IFERROR(__xludf.DUMMYFUNCTION("IFERROR(VALUE(REGEXEXTRACT(TO_TEXT($F256), N$1 &amp; ""x(\d+)"")), """")
"),"")</f>
        <v/>
      </c>
      <c r="O256" s="9">
        <f ca="1">IFERROR(__xludf.DUMMYFUNCTION("IFERROR(VALUE(REGEXEXTRACT(TO_TEXT($F256), O$1 &amp; ""x(\d+)"")), """")"),1)</f>
        <v>1</v>
      </c>
      <c r="P256" s="9">
        <f ca="1">IFERROR(__xludf.DUMMYFUNCTION("IFERROR(VALUE(REGEXEXTRACT(TO_TEXT($F256), P$1 &amp; ""x(\d+)"")), """")"),1)</f>
        <v>1</v>
      </c>
      <c r="Q256" s="9" t="str">
        <f ca="1">IFERROR(__xludf.DUMMYFUNCTION("IFERROR(VALUE(REGEXEXTRACT(TO_TEXT($F256), Q$1 &amp; ""x(\d+)"")), """")"),"")</f>
        <v/>
      </c>
      <c r="R256" s="9" t="str">
        <f ca="1">IFERROR(__xludf.DUMMYFUNCTION("IFERROR(VALUE(REGEXEXTRACT(TO_TEXT($F256), R$1 &amp; ""x(\d+)"")), """")"),"")</f>
        <v/>
      </c>
      <c r="S256" s="9" t="str">
        <f ca="1">IFERROR(__xludf.DUMMYFUNCTION("IFERROR(VALUE(REGEXEXTRACT(TO_TEXT($F256), S$1 &amp; ""x(\d+)"")), """")"),"")</f>
        <v/>
      </c>
      <c r="T256" s="9" t="str">
        <f ca="1">IFERROR(__xludf.DUMMYFUNCTION("IFERROR(VALUE(REGEXEXTRACT(TO_TEXT($F256), T$1 &amp; ""x(\d+)"")), """")"),"")</f>
        <v/>
      </c>
      <c r="U256" s="9" t="str">
        <f ca="1">IFERROR(__xludf.DUMMYFUNCTION("IFERROR(VALUE(REGEXEXTRACT(TO_TEXT($F256), U$1 &amp; ""x(\d+)"")), """")"),"")</f>
        <v/>
      </c>
      <c r="V256" s="9" t="str">
        <f ca="1">IFERROR(__xludf.DUMMYFUNCTION("IFERROR(VALUE(REGEXEXTRACT(TO_TEXT($F256), V$1 &amp; ""x(\d+)"")), """")"),"")</f>
        <v/>
      </c>
      <c r="W256" s="9"/>
      <c r="X256" s="9"/>
      <c r="Y256" s="9"/>
      <c r="Z256" s="9"/>
    </row>
    <row r="257" spans="1:26" ht="15.75" hidden="1" customHeight="1">
      <c r="A257" s="9" t="s">
        <v>1321</v>
      </c>
      <c r="B257" s="9" t="s">
        <v>1322</v>
      </c>
      <c r="C257" s="9" t="s">
        <v>797</v>
      </c>
      <c r="D257" s="9" t="s">
        <v>48</v>
      </c>
      <c r="E257" s="9" t="s">
        <v>13</v>
      </c>
      <c r="F257" s="9" t="s">
        <v>1036</v>
      </c>
      <c r="G257" s="9">
        <v>90</v>
      </c>
      <c r="H257" s="9">
        <v>2</v>
      </c>
      <c r="I257" s="9">
        <v>1.0149999999999999</v>
      </c>
      <c r="J257" s="9">
        <v>52</v>
      </c>
      <c r="K257" s="9" t="s">
        <v>424</v>
      </c>
      <c r="L257" s="9"/>
      <c r="M257" s="9"/>
      <c r="N257" s="9" t="str">
        <f ca="1">IFERROR(__xludf.DUMMYFUNCTION("IFERROR(VALUE(REGEXEXTRACT(TO_TEXT($F257), N$1 &amp; ""x(\d+)"")), """")
"),"")</f>
        <v/>
      </c>
      <c r="O257" s="9">
        <f ca="1">IFERROR(__xludf.DUMMYFUNCTION("IFERROR(VALUE(REGEXEXTRACT(TO_TEXT($F257), O$1 &amp; ""x(\d+)"")), """")"),1)</f>
        <v>1</v>
      </c>
      <c r="P257" s="9">
        <f ca="1">IFERROR(__xludf.DUMMYFUNCTION("IFERROR(VALUE(REGEXEXTRACT(TO_TEXT($F257), P$1 &amp; ""x(\d+)"")), """")"),1)</f>
        <v>1</v>
      </c>
      <c r="Q257" s="9" t="str">
        <f ca="1">IFERROR(__xludf.DUMMYFUNCTION("IFERROR(VALUE(REGEXEXTRACT(TO_TEXT($F257), Q$1 &amp; ""x(\d+)"")), """")"),"")</f>
        <v/>
      </c>
      <c r="R257" s="9" t="str">
        <f ca="1">IFERROR(__xludf.DUMMYFUNCTION("IFERROR(VALUE(REGEXEXTRACT(TO_TEXT($F257), R$1 &amp; ""x(\d+)"")), """")"),"")</f>
        <v/>
      </c>
      <c r="S257" s="9" t="str">
        <f ca="1">IFERROR(__xludf.DUMMYFUNCTION("IFERROR(VALUE(REGEXEXTRACT(TO_TEXT($F257), S$1 &amp; ""x(\d+)"")), """")"),"")</f>
        <v/>
      </c>
      <c r="T257" s="9" t="str">
        <f ca="1">IFERROR(__xludf.DUMMYFUNCTION("IFERROR(VALUE(REGEXEXTRACT(TO_TEXT($F257), T$1 &amp; ""x(\d+)"")), """")"),"")</f>
        <v/>
      </c>
      <c r="U257" s="9" t="str">
        <f ca="1">IFERROR(__xludf.DUMMYFUNCTION("IFERROR(VALUE(REGEXEXTRACT(TO_TEXT($F257), U$1 &amp; ""x(\d+)"")), """")"),"")</f>
        <v/>
      </c>
      <c r="V257" s="9" t="str">
        <f ca="1">IFERROR(__xludf.DUMMYFUNCTION("IFERROR(VALUE(REGEXEXTRACT(TO_TEXT($F257), V$1 &amp; ""x(\d+)"")), """")"),"")</f>
        <v/>
      </c>
      <c r="W257" s="9"/>
      <c r="X257" s="9"/>
      <c r="Y257" s="9"/>
      <c r="Z257" s="9"/>
    </row>
    <row r="258" spans="1:26" ht="15.75" customHeight="1">
      <c r="A258" s="9" t="s">
        <v>1324</v>
      </c>
      <c r="B258" s="9" t="s">
        <v>1325</v>
      </c>
      <c r="C258" s="9" t="s">
        <v>582</v>
      </c>
      <c r="D258" s="9" t="s">
        <v>33</v>
      </c>
      <c r="E258" s="9" t="s">
        <v>11</v>
      </c>
      <c r="F258" s="9" t="s">
        <v>1292</v>
      </c>
      <c r="G258" s="9">
        <v>20</v>
      </c>
      <c r="H258" s="9">
        <v>5</v>
      </c>
      <c r="I258" s="9">
        <v>1.0149999999999999</v>
      </c>
      <c r="J258" s="9">
        <v>100</v>
      </c>
      <c r="K258" s="9" t="s">
        <v>442</v>
      </c>
      <c r="L258" s="9"/>
      <c r="M258" s="9"/>
      <c r="N258" s="9" t="str">
        <f ca="1">IFERROR(__xludf.DUMMYFUNCTION("IFERROR(VALUE(REGEXEXTRACT(TO_TEXT($F258), N$1 &amp; ""x(\d+)"")), """")
"),"")</f>
        <v/>
      </c>
      <c r="O258" s="9" t="str">
        <f ca="1">IFERROR(__xludf.DUMMYFUNCTION("IFERROR(VALUE(REGEXEXTRACT(TO_TEXT($F258), O$1 &amp; ""x(\d+)"")), """")"),"")</f>
        <v/>
      </c>
      <c r="P258" s="9" t="str">
        <f ca="1">IFERROR(__xludf.DUMMYFUNCTION("IFERROR(VALUE(REGEXEXTRACT(TO_TEXT($F258), P$1 &amp; ""x(\d+)"")), """")"),"")</f>
        <v/>
      </c>
      <c r="Q258" s="9" t="str">
        <f ca="1">IFERROR(__xludf.DUMMYFUNCTION("IFERROR(VALUE(REGEXEXTRACT(TO_TEXT($F258), Q$1 &amp; ""x(\d+)"")), """")"),"")</f>
        <v/>
      </c>
      <c r="R258" s="9" t="str">
        <f ca="1">IFERROR(__xludf.DUMMYFUNCTION("IFERROR(VALUE(REGEXEXTRACT(TO_TEXT($F258), R$1 &amp; ""x(\d+)"")), """")"),"")</f>
        <v/>
      </c>
      <c r="S258" s="9" t="str">
        <f ca="1">IFERROR(__xludf.DUMMYFUNCTION("IFERROR(VALUE(REGEXEXTRACT(TO_TEXT($F258), S$1 &amp; ""x(\d+)"")), """")"),"")</f>
        <v/>
      </c>
      <c r="T258" s="9" t="str">
        <f ca="1">IFERROR(__xludf.DUMMYFUNCTION("IFERROR(VALUE(REGEXEXTRACT(TO_TEXT($F258), T$1 &amp; ""x(\d+)"")), """")"),"")</f>
        <v/>
      </c>
      <c r="U258" s="9" t="str">
        <f ca="1">IFERROR(__xludf.DUMMYFUNCTION("IFERROR(VALUE(REGEXEXTRACT(TO_TEXT($F258), U$1 &amp; ""x(\d+)"")), """")"),"")</f>
        <v/>
      </c>
      <c r="V258" s="9" t="str">
        <f ca="1">IFERROR(__xludf.DUMMYFUNCTION("IFERROR(VALUE(REGEXEXTRACT(TO_TEXT($F258), V$1 &amp; ""x(\d+)"")), """")"),"")</f>
        <v/>
      </c>
      <c r="W258" s="9"/>
      <c r="X258" s="9"/>
      <c r="Y258" s="9"/>
      <c r="Z258" s="9"/>
    </row>
    <row r="259" spans="1:26" ht="15.75" customHeight="1">
      <c r="A259" s="9" t="s">
        <v>1324</v>
      </c>
      <c r="B259" s="9" t="s">
        <v>1325</v>
      </c>
      <c r="C259" s="9" t="s">
        <v>582</v>
      </c>
      <c r="D259" s="9" t="s">
        <v>33</v>
      </c>
      <c r="E259" s="9" t="s">
        <v>12</v>
      </c>
      <c r="F259" s="9" t="s">
        <v>1293</v>
      </c>
      <c r="G259" s="9">
        <v>80</v>
      </c>
      <c r="H259" s="9">
        <v>5</v>
      </c>
      <c r="I259" s="9">
        <v>1.0149999999999999</v>
      </c>
      <c r="J259" s="9">
        <v>100</v>
      </c>
      <c r="K259" s="9" t="s">
        <v>442</v>
      </c>
      <c r="L259" s="9"/>
      <c r="M259" s="9"/>
      <c r="N259" s="9" t="str">
        <f ca="1">IFERROR(__xludf.DUMMYFUNCTION("IFERROR(VALUE(REGEXEXTRACT(TO_TEXT($F259), N$1 &amp; ""x(\d+)"")), """")
"),"")</f>
        <v/>
      </c>
      <c r="O259" s="9">
        <f ca="1">IFERROR(__xludf.DUMMYFUNCTION("IFERROR(VALUE(REGEXEXTRACT(TO_TEXT($F259), O$1 &amp; ""x(\d+)"")), """")"),1)</f>
        <v>1</v>
      </c>
      <c r="P259" s="9" t="str">
        <f ca="1">IFERROR(__xludf.DUMMYFUNCTION("IFERROR(VALUE(REGEXEXTRACT(TO_TEXT($F259), P$1 &amp; ""x(\d+)"")), """")"),"")</f>
        <v/>
      </c>
      <c r="Q259" s="9" t="str">
        <f ca="1">IFERROR(__xludf.DUMMYFUNCTION("IFERROR(VALUE(REGEXEXTRACT(TO_TEXT($F259), Q$1 &amp; ""x(\d+)"")), """")"),"")</f>
        <v/>
      </c>
      <c r="R259" s="9" t="str">
        <f ca="1">IFERROR(__xludf.DUMMYFUNCTION("IFERROR(VALUE(REGEXEXTRACT(TO_TEXT($F259), R$1 &amp; ""x(\d+)"")), """")"),"")</f>
        <v/>
      </c>
      <c r="S259" s="9" t="str">
        <f ca="1">IFERROR(__xludf.DUMMYFUNCTION("IFERROR(VALUE(REGEXEXTRACT(TO_TEXT($F259), S$1 &amp; ""x(\d+)"")), """")"),"")</f>
        <v/>
      </c>
      <c r="T259" s="9" t="str">
        <f ca="1">IFERROR(__xludf.DUMMYFUNCTION("IFERROR(VALUE(REGEXEXTRACT(TO_TEXT($F259), T$1 &amp; ""x(\d+)"")), """")"),"")</f>
        <v/>
      </c>
      <c r="U259" s="9" t="str">
        <f ca="1">IFERROR(__xludf.DUMMYFUNCTION("IFERROR(VALUE(REGEXEXTRACT(TO_TEXT($F259), U$1 &amp; ""x(\d+)"")), """")"),"")</f>
        <v/>
      </c>
      <c r="V259" s="9" t="str">
        <f ca="1">IFERROR(__xludf.DUMMYFUNCTION("IFERROR(VALUE(REGEXEXTRACT(TO_TEXT($F259), V$1 &amp; ""x(\d+)"")), """")"),"")</f>
        <v/>
      </c>
      <c r="W259" s="9"/>
      <c r="X259" s="9"/>
      <c r="Y259" s="9"/>
      <c r="Z259" s="9"/>
    </row>
    <row r="260" spans="1:26" ht="15.75" customHeight="1">
      <c r="A260" s="9" t="s">
        <v>1324</v>
      </c>
      <c r="B260" s="9" t="s">
        <v>1325</v>
      </c>
      <c r="C260" s="9" t="s">
        <v>582</v>
      </c>
      <c r="D260" s="9" t="s">
        <v>33</v>
      </c>
      <c r="E260" s="9" t="s">
        <v>13</v>
      </c>
      <c r="F260" s="9" t="s">
        <v>1130</v>
      </c>
      <c r="G260" s="9">
        <v>15</v>
      </c>
      <c r="H260" s="9">
        <v>5</v>
      </c>
      <c r="I260" s="9">
        <v>1.0149999999999999</v>
      </c>
      <c r="J260" s="9">
        <v>100</v>
      </c>
      <c r="K260" s="9" t="s">
        <v>442</v>
      </c>
      <c r="L260" s="9"/>
      <c r="M260" s="9"/>
      <c r="N260" s="9" t="str">
        <f ca="1">IFERROR(__xludf.DUMMYFUNCTION("IFERROR(VALUE(REGEXEXTRACT(TO_TEXT($F260), N$1 &amp; ""x(\d+)"")), """")
"),"")</f>
        <v/>
      </c>
      <c r="O260" s="9">
        <f ca="1">IFERROR(__xludf.DUMMYFUNCTION("IFERROR(VALUE(REGEXEXTRACT(TO_TEXT($F260), O$1 &amp; ""x(\d+)"")), """")"),1)</f>
        <v>1</v>
      </c>
      <c r="P260" s="9" t="str">
        <f ca="1">IFERROR(__xludf.DUMMYFUNCTION("IFERROR(VALUE(REGEXEXTRACT(TO_TEXT($F260), P$1 &amp; ""x(\d+)"")), """")"),"")</f>
        <v/>
      </c>
      <c r="Q260" s="9" t="str">
        <f ca="1">IFERROR(__xludf.DUMMYFUNCTION("IFERROR(VALUE(REGEXEXTRACT(TO_TEXT($F260), Q$1 &amp; ""x(\d+)"")), """")"),"")</f>
        <v/>
      </c>
      <c r="R260" s="9" t="str">
        <f ca="1">IFERROR(__xludf.DUMMYFUNCTION("IFERROR(VALUE(REGEXEXTRACT(TO_TEXT($F260), R$1 &amp; ""x(\d+)"")), """")"),"")</f>
        <v/>
      </c>
      <c r="S260" s="9" t="str">
        <f ca="1">IFERROR(__xludf.DUMMYFUNCTION("IFERROR(VALUE(REGEXEXTRACT(TO_TEXT($F260), S$1 &amp; ""x(\d+)"")), """")"),"")</f>
        <v/>
      </c>
      <c r="T260" s="9" t="str">
        <f ca="1">IFERROR(__xludf.DUMMYFUNCTION("IFERROR(VALUE(REGEXEXTRACT(TO_TEXT($F260), T$1 &amp; ""x(\d+)"")), """")"),"")</f>
        <v/>
      </c>
      <c r="U260" s="9" t="str">
        <f ca="1">IFERROR(__xludf.DUMMYFUNCTION("IFERROR(VALUE(REGEXEXTRACT(TO_TEXT($F260), U$1 &amp; ""x(\d+)"")), """")"),"")</f>
        <v/>
      </c>
      <c r="V260" s="9" t="str">
        <f ca="1">IFERROR(__xludf.DUMMYFUNCTION("IFERROR(VALUE(REGEXEXTRACT(TO_TEXT($F260), V$1 &amp; ""x(\d+)"")), """")"),"")</f>
        <v/>
      </c>
      <c r="W260" s="9"/>
      <c r="X260" s="9"/>
      <c r="Y260" s="9"/>
      <c r="Z260" s="9"/>
    </row>
    <row r="261" spans="1:26" ht="15.75" customHeight="1">
      <c r="A261" s="9" t="s">
        <v>1326</v>
      </c>
      <c r="B261" s="9" t="s">
        <v>1327</v>
      </c>
      <c r="C261" s="9" t="s">
        <v>966</v>
      </c>
      <c r="D261" s="9" t="s">
        <v>33</v>
      </c>
      <c r="E261" s="9" t="s">
        <v>11</v>
      </c>
      <c r="F261" s="9" t="s">
        <v>1292</v>
      </c>
      <c r="G261" s="9">
        <v>20</v>
      </c>
      <c r="H261" s="9">
        <v>5</v>
      </c>
      <c r="I261" s="9">
        <v>1.0149999999999999</v>
      </c>
      <c r="J261" s="9">
        <v>100</v>
      </c>
      <c r="K261" s="9" t="s">
        <v>442</v>
      </c>
      <c r="L261" s="9"/>
      <c r="M261" s="9"/>
      <c r="N261" s="9" t="str">
        <f ca="1">IFERROR(__xludf.DUMMYFUNCTION("IFERROR(VALUE(REGEXEXTRACT(TO_TEXT($F261), N$1 &amp; ""x(\d+)"")), """")
"),"")</f>
        <v/>
      </c>
      <c r="O261" s="9" t="str">
        <f ca="1">IFERROR(__xludf.DUMMYFUNCTION("IFERROR(VALUE(REGEXEXTRACT(TO_TEXT($F261), O$1 &amp; ""x(\d+)"")), """")"),"")</f>
        <v/>
      </c>
      <c r="P261" s="9" t="str">
        <f ca="1">IFERROR(__xludf.DUMMYFUNCTION("IFERROR(VALUE(REGEXEXTRACT(TO_TEXT($F261), P$1 &amp; ""x(\d+)"")), """")"),"")</f>
        <v/>
      </c>
      <c r="Q261" s="9" t="str">
        <f ca="1">IFERROR(__xludf.DUMMYFUNCTION("IFERROR(VALUE(REGEXEXTRACT(TO_TEXT($F261), Q$1 &amp; ""x(\d+)"")), """")"),"")</f>
        <v/>
      </c>
      <c r="R261" s="9" t="str">
        <f ca="1">IFERROR(__xludf.DUMMYFUNCTION("IFERROR(VALUE(REGEXEXTRACT(TO_TEXT($F261), R$1 &amp; ""x(\d+)"")), """")"),"")</f>
        <v/>
      </c>
      <c r="S261" s="9" t="str">
        <f ca="1">IFERROR(__xludf.DUMMYFUNCTION("IFERROR(VALUE(REGEXEXTRACT(TO_TEXT($F261), S$1 &amp; ""x(\d+)"")), """")"),"")</f>
        <v/>
      </c>
      <c r="T261" s="9" t="str">
        <f ca="1">IFERROR(__xludf.DUMMYFUNCTION("IFERROR(VALUE(REGEXEXTRACT(TO_TEXT($F261), T$1 &amp; ""x(\d+)"")), """")"),"")</f>
        <v/>
      </c>
      <c r="U261" s="9" t="str">
        <f ca="1">IFERROR(__xludf.DUMMYFUNCTION("IFERROR(VALUE(REGEXEXTRACT(TO_TEXT($F261), U$1 &amp; ""x(\d+)"")), """")"),"")</f>
        <v/>
      </c>
      <c r="V261" s="9" t="str">
        <f ca="1">IFERROR(__xludf.DUMMYFUNCTION("IFERROR(VALUE(REGEXEXTRACT(TO_TEXT($F261), V$1 &amp; ""x(\d+)"")), """")"),"")</f>
        <v/>
      </c>
      <c r="W261" s="9"/>
      <c r="X261" s="9"/>
      <c r="Y261" s="9"/>
      <c r="Z261" s="9"/>
    </row>
    <row r="262" spans="1:26" ht="15.75" customHeight="1">
      <c r="A262" s="9" t="s">
        <v>1326</v>
      </c>
      <c r="B262" s="9" t="s">
        <v>1327</v>
      </c>
      <c r="C262" s="9" t="s">
        <v>966</v>
      </c>
      <c r="D262" s="9" t="s">
        <v>33</v>
      </c>
      <c r="E262" s="9" t="s">
        <v>12</v>
      </c>
      <c r="F262" s="9" t="s">
        <v>1293</v>
      </c>
      <c r="G262" s="9">
        <v>80</v>
      </c>
      <c r="H262" s="9">
        <v>5</v>
      </c>
      <c r="I262" s="9">
        <v>1.0149999999999999</v>
      </c>
      <c r="J262" s="9">
        <v>100</v>
      </c>
      <c r="K262" s="9" t="s">
        <v>442</v>
      </c>
      <c r="L262" s="9"/>
      <c r="M262" s="9"/>
      <c r="N262" s="9" t="str">
        <f ca="1">IFERROR(__xludf.DUMMYFUNCTION("IFERROR(VALUE(REGEXEXTRACT(TO_TEXT($F262), N$1 &amp; ""x(\d+)"")), """")
"),"")</f>
        <v/>
      </c>
      <c r="O262" s="9">
        <f ca="1">IFERROR(__xludf.DUMMYFUNCTION("IFERROR(VALUE(REGEXEXTRACT(TO_TEXT($F262), O$1 &amp; ""x(\d+)"")), """")"),1)</f>
        <v>1</v>
      </c>
      <c r="P262" s="9" t="str">
        <f ca="1">IFERROR(__xludf.DUMMYFUNCTION("IFERROR(VALUE(REGEXEXTRACT(TO_TEXT($F262), P$1 &amp; ""x(\d+)"")), """")"),"")</f>
        <v/>
      </c>
      <c r="Q262" s="9" t="str">
        <f ca="1">IFERROR(__xludf.DUMMYFUNCTION("IFERROR(VALUE(REGEXEXTRACT(TO_TEXT($F262), Q$1 &amp; ""x(\d+)"")), """")"),"")</f>
        <v/>
      </c>
      <c r="R262" s="9" t="str">
        <f ca="1">IFERROR(__xludf.DUMMYFUNCTION("IFERROR(VALUE(REGEXEXTRACT(TO_TEXT($F262), R$1 &amp; ""x(\d+)"")), """")"),"")</f>
        <v/>
      </c>
      <c r="S262" s="9" t="str">
        <f ca="1">IFERROR(__xludf.DUMMYFUNCTION("IFERROR(VALUE(REGEXEXTRACT(TO_TEXT($F262), S$1 &amp; ""x(\d+)"")), """")"),"")</f>
        <v/>
      </c>
      <c r="T262" s="9" t="str">
        <f ca="1">IFERROR(__xludf.DUMMYFUNCTION("IFERROR(VALUE(REGEXEXTRACT(TO_TEXT($F262), T$1 &amp; ""x(\d+)"")), """")"),"")</f>
        <v/>
      </c>
      <c r="U262" s="9" t="str">
        <f ca="1">IFERROR(__xludf.DUMMYFUNCTION("IFERROR(VALUE(REGEXEXTRACT(TO_TEXT($F262), U$1 &amp; ""x(\d+)"")), """")"),"")</f>
        <v/>
      </c>
      <c r="V262" s="9" t="str">
        <f ca="1">IFERROR(__xludf.DUMMYFUNCTION("IFERROR(VALUE(REGEXEXTRACT(TO_TEXT($F262), V$1 &amp; ""x(\d+)"")), """")"),"")</f>
        <v/>
      </c>
      <c r="W262" s="9"/>
      <c r="X262" s="9"/>
      <c r="Y262" s="9"/>
      <c r="Z262" s="9"/>
    </row>
    <row r="263" spans="1:26" ht="15.75" customHeight="1">
      <c r="A263" s="9" t="s">
        <v>1326</v>
      </c>
      <c r="B263" s="9" t="s">
        <v>1327</v>
      </c>
      <c r="C263" s="9" t="s">
        <v>966</v>
      </c>
      <c r="D263" s="9" t="s">
        <v>33</v>
      </c>
      <c r="E263" s="9" t="s">
        <v>13</v>
      </c>
      <c r="F263" s="9" t="s">
        <v>1130</v>
      </c>
      <c r="G263" s="9">
        <v>15</v>
      </c>
      <c r="H263" s="9">
        <v>5</v>
      </c>
      <c r="I263" s="9">
        <v>1.0149999999999999</v>
      </c>
      <c r="J263" s="9">
        <v>100</v>
      </c>
      <c r="K263" s="9" t="s">
        <v>442</v>
      </c>
      <c r="L263" s="9"/>
      <c r="M263" s="9"/>
      <c r="N263" s="9" t="str">
        <f ca="1">IFERROR(__xludf.DUMMYFUNCTION("IFERROR(VALUE(REGEXEXTRACT(TO_TEXT($F263), N$1 &amp; ""x(\d+)"")), """")
"),"")</f>
        <v/>
      </c>
      <c r="O263" s="9">
        <f ca="1">IFERROR(__xludf.DUMMYFUNCTION("IFERROR(VALUE(REGEXEXTRACT(TO_TEXT($F263), O$1 &amp; ""x(\d+)"")), """")"),1)</f>
        <v>1</v>
      </c>
      <c r="P263" s="9" t="str">
        <f ca="1">IFERROR(__xludf.DUMMYFUNCTION("IFERROR(VALUE(REGEXEXTRACT(TO_TEXT($F263), P$1 &amp; ""x(\d+)"")), """")"),"")</f>
        <v/>
      </c>
      <c r="Q263" s="9" t="str">
        <f ca="1">IFERROR(__xludf.DUMMYFUNCTION("IFERROR(VALUE(REGEXEXTRACT(TO_TEXT($F263), Q$1 &amp; ""x(\d+)"")), """")"),"")</f>
        <v/>
      </c>
      <c r="R263" s="9" t="str">
        <f ca="1">IFERROR(__xludf.DUMMYFUNCTION("IFERROR(VALUE(REGEXEXTRACT(TO_TEXT($F263), R$1 &amp; ""x(\d+)"")), """")"),"")</f>
        <v/>
      </c>
      <c r="S263" s="9" t="str">
        <f ca="1">IFERROR(__xludf.DUMMYFUNCTION("IFERROR(VALUE(REGEXEXTRACT(TO_TEXT($F263), S$1 &amp; ""x(\d+)"")), """")"),"")</f>
        <v/>
      </c>
      <c r="T263" s="9" t="str">
        <f ca="1">IFERROR(__xludf.DUMMYFUNCTION("IFERROR(VALUE(REGEXEXTRACT(TO_TEXT($F263), T$1 &amp; ""x(\d+)"")), """")"),"")</f>
        <v/>
      </c>
      <c r="U263" s="9" t="str">
        <f ca="1">IFERROR(__xludf.DUMMYFUNCTION("IFERROR(VALUE(REGEXEXTRACT(TO_TEXT($F263), U$1 &amp; ""x(\d+)"")), """")"),"")</f>
        <v/>
      </c>
      <c r="V263" s="9" t="str">
        <f ca="1">IFERROR(__xludf.DUMMYFUNCTION("IFERROR(VALUE(REGEXEXTRACT(TO_TEXT($F263), V$1 &amp; ""x(\d+)"")), """")"),"")</f>
        <v/>
      </c>
      <c r="W263" s="9"/>
      <c r="X263" s="9"/>
      <c r="Y263" s="9"/>
      <c r="Z263" s="9"/>
    </row>
    <row r="264" spans="1:26" ht="15.75" customHeight="1">
      <c r="A264" s="9" t="s">
        <v>1326</v>
      </c>
      <c r="B264" s="9" t="s">
        <v>1327</v>
      </c>
      <c r="C264" s="9" t="s">
        <v>966</v>
      </c>
      <c r="D264" s="9" t="s">
        <v>33</v>
      </c>
      <c r="E264" s="9" t="s">
        <v>11</v>
      </c>
      <c r="F264" s="9" t="s">
        <v>1328</v>
      </c>
      <c r="G264" s="9">
        <v>20</v>
      </c>
      <c r="H264" s="9">
        <v>5</v>
      </c>
      <c r="I264" s="9">
        <v>1.0149999999999999</v>
      </c>
      <c r="J264" s="9">
        <v>100</v>
      </c>
      <c r="K264" s="9" t="s">
        <v>442</v>
      </c>
      <c r="L264" s="9"/>
      <c r="M264" s="9"/>
      <c r="N264" s="9" t="str">
        <f ca="1">IFERROR(__xludf.DUMMYFUNCTION("IFERROR(VALUE(REGEXEXTRACT(TO_TEXT($F264), N$1 &amp; ""x(\d+)"")), """")
"),"")</f>
        <v/>
      </c>
      <c r="O264" s="9" t="str">
        <f ca="1">IFERROR(__xludf.DUMMYFUNCTION("IFERROR(VALUE(REGEXEXTRACT(TO_TEXT($F264), O$1 &amp; ""x(\d+)"")), """")"),"")</f>
        <v/>
      </c>
      <c r="P264" s="9" t="str">
        <f ca="1">IFERROR(__xludf.DUMMYFUNCTION("IFERROR(VALUE(REGEXEXTRACT(TO_TEXT($F264), P$1 &amp; ""x(\d+)"")), """")"),"")</f>
        <v/>
      </c>
      <c r="Q264" s="9" t="str">
        <f ca="1">IFERROR(__xludf.DUMMYFUNCTION("IFERROR(VALUE(REGEXEXTRACT(TO_TEXT($F264), Q$1 &amp; ""x(\d+)"")), """")"),"")</f>
        <v/>
      </c>
      <c r="R264" s="9" t="str">
        <f ca="1">IFERROR(__xludf.DUMMYFUNCTION("IFERROR(VALUE(REGEXEXTRACT(TO_TEXT($F264), R$1 &amp; ""x(\d+)"")), """")"),"")</f>
        <v/>
      </c>
      <c r="S264" s="9" t="str">
        <f ca="1">IFERROR(__xludf.DUMMYFUNCTION("IFERROR(VALUE(REGEXEXTRACT(TO_TEXT($F264), S$1 &amp; ""x(\d+)"")), """")"),"")</f>
        <v/>
      </c>
      <c r="T264" s="9" t="str">
        <f ca="1">IFERROR(__xludf.DUMMYFUNCTION("IFERROR(VALUE(REGEXEXTRACT(TO_TEXT($F264), T$1 &amp; ""x(\d+)"")), """")"),"")</f>
        <v/>
      </c>
      <c r="U264" s="9" t="str">
        <f ca="1">IFERROR(__xludf.DUMMYFUNCTION("IFERROR(VALUE(REGEXEXTRACT(TO_TEXT($F264), U$1 &amp; ""x(\d+)"")), """")"),"")</f>
        <v/>
      </c>
      <c r="V264" s="9" t="str">
        <f ca="1">IFERROR(__xludf.DUMMYFUNCTION("IFERROR(VALUE(REGEXEXTRACT(TO_TEXT($F264), V$1 &amp; ""x(\d+)"")), """")"),"")</f>
        <v/>
      </c>
      <c r="W264" s="9"/>
      <c r="X264" s="9"/>
      <c r="Y264" s="9"/>
      <c r="Z264" s="9"/>
    </row>
    <row r="265" spans="1:26" ht="15.75" customHeight="1">
      <c r="A265" s="9" t="s">
        <v>1326</v>
      </c>
      <c r="B265" s="9" t="s">
        <v>1327</v>
      </c>
      <c r="C265" s="9" t="s">
        <v>966</v>
      </c>
      <c r="D265" s="9" t="s">
        <v>33</v>
      </c>
      <c r="E265" s="9" t="s">
        <v>12</v>
      </c>
      <c r="F265" s="9" t="s">
        <v>1329</v>
      </c>
      <c r="G265" s="9">
        <v>80</v>
      </c>
      <c r="H265" s="9">
        <v>5</v>
      </c>
      <c r="I265" s="9">
        <v>1.0149999999999999</v>
      </c>
      <c r="J265" s="9">
        <v>100</v>
      </c>
      <c r="K265" s="9" t="s">
        <v>442</v>
      </c>
      <c r="L265" s="9"/>
      <c r="M265" s="9"/>
      <c r="N265" s="9" t="str">
        <f ca="1">IFERROR(__xludf.DUMMYFUNCTION("IFERROR(VALUE(REGEXEXTRACT(TO_TEXT($F265), N$1 &amp; ""x(\d+)"")), """")
"),"")</f>
        <v/>
      </c>
      <c r="O265" s="9">
        <f ca="1">IFERROR(__xludf.DUMMYFUNCTION("IFERROR(VALUE(REGEXEXTRACT(TO_TEXT($F265), O$1 &amp; ""x(\d+)"")), """")"),1)</f>
        <v>1</v>
      </c>
      <c r="P265" s="9" t="str">
        <f ca="1">IFERROR(__xludf.DUMMYFUNCTION("IFERROR(VALUE(REGEXEXTRACT(TO_TEXT($F265), P$1 &amp; ""x(\d+)"")), """")"),"")</f>
        <v/>
      </c>
      <c r="Q265" s="9" t="str">
        <f ca="1">IFERROR(__xludf.DUMMYFUNCTION("IFERROR(VALUE(REGEXEXTRACT(TO_TEXT($F265), Q$1 &amp; ""x(\d+)"")), """")"),"")</f>
        <v/>
      </c>
      <c r="R265" s="9" t="str">
        <f ca="1">IFERROR(__xludf.DUMMYFUNCTION("IFERROR(VALUE(REGEXEXTRACT(TO_TEXT($F265), R$1 &amp; ""x(\d+)"")), """")"),"")</f>
        <v/>
      </c>
      <c r="S265" s="9" t="str">
        <f ca="1">IFERROR(__xludf.DUMMYFUNCTION("IFERROR(VALUE(REGEXEXTRACT(TO_TEXT($F265), S$1 &amp; ""x(\d+)"")), """")"),"")</f>
        <v/>
      </c>
      <c r="T265" s="9" t="str">
        <f ca="1">IFERROR(__xludf.DUMMYFUNCTION("IFERROR(VALUE(REGEXEXTRACT(TO_TEXT($F265), T$1 &amp; ""x(\d+)"")), """")"),"")</f>
        <v/>
      </c>
      <c r="U265" s="9" t="str">
        <f ca="1">IFERROR(__xludf.DUMMYFUNCTION("IFERROR(VALUE(REGEXEXTRACT(TO_TEXT($F265), U$1 &amp; ""x(\d+)"")), """")"),"")</f>
        <v/>
      </c>
      <c r="V265" s="9" t="str">
        <f ca="1">IFERROR(__xludf.DUMMYFUNCTION("IFERROR(VALUE(REGEXEXTRACT(TO_TEXT($F265), V$1 &amp; ""x(\d+)"")), """")"),"")</f>
        <v/>
      </c>
      <c r="W265" s="9"/>
      <c r="X265" s="9"/>
      <c r="Y265" s="9"/>
      <c r="Z265" s="9"/>
    </row>
    <row r="266" spans="1:26" ht="15.75" customHeight="1">
      <c r="A266" s="9" t="s">
        <v>1326</v>
      </c>
      <c r="B266" s="9" t="s">
        <v>1327</v>
      </c>
      <c r="C266" s="9" t="s">
        <v>966</v>
      </c>
      <c r="D266" s="9" t="s">
        <v>33</v>
      </c>
      <c r="E266" s="9" t="s">
        <v>13</v>
      </c>
      <c r="F266" s="9" t="s">
        <v>1330</v>
      </c>
      <c r="G266" s="9">
        <v>15</v>
      </c>
      <c r="H266" s="9">
        <v>5</v>
      </c>
      <c r="I266" s="9">
        <v>1.0149999999999999</v>
      </c>
      <c r="J266" s="9">
        <v>100</v>
      </c>
      <c r="K266" s="9" t="s">
        <v>442</v>
      </c>
      <c r="L266" s="9"/>
      <c r="M266" s="9"/>
      <c r="N266" s="9" t="str">
        <f ca="1">IFERROR(__xludf.DUMMYFUNCTION("IFERROR(VALUE(REGEXEXTRACT(TO_TEXT($F266), N$1 &amp; ""x(\d+)"")), """")
"),"")</f>
        <v/>
      </c>
      <c r="O266" s="9">
        <f ca="1">IFERROR(__xludf.DUMMYFUNCTION("IFERROR(VALUE(REGEXEXTRACT(TO_TEXT($F266), O$1 &amp; ""x(\d+)"")), """")"),1)</f>
        <v>1</v>
      </c>
      <c r="P266" s="9" t="str">
        <f ca="1">IFERROR(__xludf.DUMMYFUNCTION("IFERROR(VALUE(REGEXEXTRACT(TO_TEXT($F266), P$1 &amp; ""x(\d+)"")), """")"),"")</f>
        <v/>
      </c>
      <c r="Q266" s="9" t="str">
        <f ca="1">IFERROR(__xludf.DUMMYFUNCTION("IFERROR(VALUE(REGEXEXTRACT(TO_TEXT($F266), Q$1 &amp; ""x(\d+)"")), """")"),"")</f>
        <v/>
      </c>
      <c r="R266" s="9" t="str">
        <f ca="1">IFERROR(__xludf.DUMMYFUNCTION("IFERROR(VALUE(REGEXEXTRACT(TO_TEXT($F266), R$1 &amp; ""x(\d+)"")), """")"),"")</f>
        <v/>
      </c>
      <c r="S266" s="9" t="str">
        <f ca="1">IFERROR(__xludf.DUMMYFUNCTION("IFERROR(VALUE(REGEXEXTRACT(TO_TEXT($F266), S$1 &amp; ""x(\d+)"")), """")"),"")</f>
        <v/>
      </c>
      <c r="T266" s="9" t="str">
        <f ca="1">IFERROR(__xludf.DUMMYFUNCTION("IFERROR(VALUE(REGEXEXTRACT(TO_TEXT($F266), T$1 &amp; ""x(\d+)"")), """")"),"")</f>
        <v/>
      </c>
      <c r="U266" s="9" t="str">
        <f ca="1">IFERROR(__xludf.DUMMYFUNCTION("IFERROR(VALUE(REGEXEXTRACT(TO_TEXT($F266), U$1 &amp; ""x(\d+)"")), """")"),"")</f>
        <v/>
      </c>
      <c r="V266" s="9" t="str">
        <f ca="1">IFERROR(__xludf.DUMMYFUNCTION("IFERROR(VALUE(REGEXEXTRACT(TO_TEXT($F266), V$1 &amp; ""x(\d+)"")), """")"),"")</f>
        <v/>
      </c>
      <c r="W266" s="9"/>
      <c r="X266" s="9"/>
      <c r="Y266" s="9"/>
      <c r="Z266" s="9"/>
    </row>
    <row r="267" spans="1:26" ht="15.75" customHeight="1">
      <c r="A267" s="9" t="s">
        <v>1331</v>
      </c>
      <c r="B267" s="9" t="s">
        <v>1332</v>
      </c>
      <c r="C267" s="9" t="s">
        <v>578</v>
      </c>
      <c r="D267" s="9" t="s">
        <v>33</v>
      </c>
      <c r="E267" s="9" t="s">
        <v>11</v>
      </c>
      <c r="F267" s="9" t="s">
        <v>1296</v>
      </c>
      <c r="G267" s="9">
        <v>25</v>
      </c>
      <c r="H267" s="9">
        <v>4</v>
      </c>
      <c r="I267" s="9">
        <v>1.0149999999999999</v>
      </c>
      <c r="J267" s="9">
        <v>103</v>
      </c>
      <c r="K267" s="9" t="s">
        <v>442</v>
      </c>
      <c r="L267" s="9"/>
      <c r="M267" s="9"/>
      <c r="N267" s="9" t="str">
        <f ca="1">IFERROR(__xludf.DUMMYFUNCTION("IFERROR(VALUE(REGEXEXTRACT(TO_TEXT($F267), N$1 &amp; ""x(\d+)"")), """")
"),"")</f>
        <v/>
      </c>
      <c r="O267" s="9" t="str">
        <f ca="1">IFERROR(__xludf.DUMMYFUNCTION("IFERROR(VALUE(REGEXEXTRACT(TO_TEXT($F267), O$1 &amp; ""x(\d+)"")), """")"),"")</f>
        <v/>
      </c>
      <c r="P267" s="9" t="str">
        <f ca="1">IFERROR(__xludf.DUMMYFUNCTION("IFERROR(VALUE(REGEXEXTRACT(TO_TEXT($F267), P$1 &amp; ""x(\d+)"")), """")"),"")</f>
        <v/>
      </c>
      <c r="Q267" s="9" t="str">
        <f ca="1">IFERROR(__xludf.DUMMYFUNCTION("IFERROR(VALUE(REGEXEXTRACT(TO_TEXT($F267), Q$1 &amp; ""x(\d+)"")), """")"),"")</f>
        <v/>
      </c>
      <c r="R267" s="9" t="str">
        <f ca="1">IFERROR(__xludf.DUMMYFUNCTION("IFERROR(VALUE(REGEXEXTRACT(TO_TEXT($F267), R$1 &amp; ""x(\d+)"")), """")"),"")</f>
        <v/>
      </c>
      <c r="S267" s="9" t="str">
        <f ca="1">IFERROR(__xludf.DUMMYFUNCTION("IFERROR(VALUE(REGEXEXTRACT(TO_TEXT($F267), S$1 &amp; ""x(\d+)"")), """")"),"")</f>
        <v/>
      </c>
      <c r="T267" s="9" t="str">
        <f ca="1">IFERROR(__xludf.DUMMYFUNCTION("IFERROR(VALUE(REGEXEXTRACT(TO_TEXT($F267), T$1 &amp; ""x(\d+)"")), """")"),"")</f>
        <v/>
      </c>
      <c r="U267" s="9" t="str">
        <f ca="1">IFERROR(__xludf.DUMMYFUNCTION("IFERROR(VALUE(REGEXEXTRACT(TO_TEXT($F267), U$1 &amp; ""x(\d+)"")), """")"),"")</f>
        <v/>
      </c>
      <c r="V267" s="9" t="str">
        <f ca="1">IFERROR(__xludf.DUMMYFUNCTION("IFERROR(VALUE(REGEXEXTRACT(TO_TEXT($F267), V$1 &amp; ""x(\d+)"")), """")"),"")</f>
        <v/>
      </c>
      <c r="W267" s="9"/>
      <c r="X267" s="9"/>
      <c r="Y267" s="9"/>
      <c r="Z267" s="9"/>
    </row>
    <row r="268" spans="1:26" ht="15.75" customHeight="1">
      <c r="A268" s="9" t="s">
        <v>1331</v>
      </c>
      <c r="B268" s="9" t="s">
        <v>1332</v>
      </c>
      <c r="C268" s="9" t="s">
        <v>578</v>
      </c>
      <c r="D268" s="9" t="s">
        <v>33</v>
      </c>
      <c r="E268" s="9" t="s">
        <v>12</v>
      </c>
      <c r="F268" s="9" t="s">
        <v>1333</v>
      </c>
      <c r="G268" s="9">
        <v>110</v>
      </c>
      <c r="H268" s="9">
        <v>4</v>
      </c>
      <c r="I268" s="9">
        <v>1.0149999999999999</v>
      </c>
      <c r="J268" s="9">
        <v>103</v>
      </c>
      <c r="K268" s="9" t="s">
        <v>442</v>
      </c>
      <c r="L268" s="9" t="s">
        <v>1210</v>
      </c>
      <c r="M268" s="9"/>
      <c r="N268" s="9" t="str">
        <f ca="1">IFERROR(__xludf.DUMMYFUNCTION("IFERROR(VALUE(REGEXEXTRACT(TO_TEXT($F268), N$1 &amp; ""x(\d+)"")), """")
"),"")</f>
        <v/>
      </c>
      <c r="O268" s="9">
        <f ca="1">IFERROR(__xludf.DUMMYFUNCTION("IFERROR(VALUE(REGEXEXTRACT(TO_TEXT($F268), O$1 &amp; ""x(\d+)"")), """")"),1)</f>
        <v>1</v>
      </c>
      <c r="P268" s="9" t="str">
        <f ca="1">IFERROR(__xludf.DUMMYFUNCTION("IFERROR(VALUE(REGEXEXTRACT(TO_TEXT($F268), P$1 &amp; ""x(\d+)"")), """")"),"")</f>
        <v/>
      </c>
      <c r="Q268" s="9" t="str">
        <f ca="1">IFERROR(__xludf.DUMMYFUNCTION("IFERROR(VALUE(REGEXEXTRACT(TO_TEXT($F268), Q$1 &amp; ""x(\d+)"")), """")"),"")</f>
        <v/>
      </c>
      <c r="R268" s="9" t="str">
        <f ca="1">IFERROR(__xludf.DUMMYFUNCTION("IFERROR(VALUE(REGEXEXTRACT(TO_TEXT($F268), R$1 &amp; ""x(\d+)"")), """")"),"")</f>
        <v/>
      </c>
      <c r="S268" s="9" t="str">
        <f ca="1">IFERROR(__xludf.DUMMYFUNCTION("IFERROR(VALUE(REGEXEXTRACT(TO_TEXT($F268), S$1 &amp; ""x(\d+)"")), """")"),"")</f>
        <v/>
      </c>
      <c r="T268" s="9" t="str">
        <f ca="1">IFERROR(__xludf.DUMMYFUNCTION("IFERROR(VALUE(REGEXEXTRACT(TO_TEXT($F268), T$1 &amp; ""x(\d+)"")), """")"),"")</f>
        <v/>
      </c>
      <c r="U268" s="9" t="str">
        <f ca="1">IFERROR(__xludf.DUMMYFUNCTION("IFERROR(VALUE(REGEXEXTRACT(TO_TEXT($F268), U$1 &amp; ""x(\d+)"")), """")"),"")</f>
        <v/>
      </c>
      <c r="V268" s="9" t="str">
        <f ca="1">IFERROR(__xludf.DUMMYFUNCTION("IFERROR(VALUE(REGEXEXTRACT(TO_TEXT($F268), V$1 &amp; ""x(\d+)"")), """")"),"")</f>
        <v/>
      </c>
      <c r="W268" s="9"/>
      <c r="X268" s="9"/>
      <c r="Y268" s="9"/>
      <c r="Z268" s="9"/>
    </row>
    <row r="269" spans="1:26" ht="15.75" customHeight="1">
      <c r="A269" s="9" t="s">
        <v>1331</v>
      </c>
      <c r="B269" s="9" t="s">
        <v>1332</v>
      </c>
      <c r="C269" s="9" t="s">
        <v>578</v>
      </c>
      <c r="D269" s="9" t="s">
        <v>33</v>
      </c>
      <c r="E269" s="9" t="s">
        <v>13</v>
      </c>
      <c r="F269" s="9" t="s">
        <v>1334</v>
      </c>
      <c r="G269" s="9">
        <v>20</v>
      </c>
      <c r="H269" s="9">
        <v>4</v>
      </c>
      <c r="I269" s="9">
        <v>1.0149999999999999</v>
      </c>
      <c r="J269" s="9">
        <v>103</v>
      </c>
      <c r="K269" s="9" t="s">
        <v>442</v>
      </c>
      <c r="L269" s="9"/>
      <c r="M269" s="9"/>
      <c r="N269" s="9" t="str">
        <f ca="1">IFERROR(__xludf.DUMMYFUNCTION("IFERROR(VALUE(REGEXEXTRACT(TO_TEXT($F269), N$1 &amp; ""x(\d+)"")), """")
"),"")</f>
        <v/>
      </c>
      <c r="O269" s="9">
        <f ca="1">IFERROR(__xludf.DUMMYFUNCTION("IFERROR(VALUE(REGEXEXTRACT(TO_TEXT($F269), O$1 &amp; ""x(\d+)"")), """")"),1)</f>
        <v>1</v>
      </c>
      <c r="P269" s="9" t="str">
        <f ca="1">IFERROR(__xludf.DUMMYFUNCTION("IFERROR(VALUE(REGEXEXTRACT(TO_TEXT($F269), P$1 &amp; ""x(\d+)"")), """")"),"")</f>
        <v/>
      </c>
      <c r="Q269" s="9" t="str">
        <f ca="1">IFERROR(__xludf.DUMMYFUNCTION("IFERROR(VALUE(REGEXEXTRACT(TO_TEXT($F269), Q$1 &amp; ""x(\d+)"")), """")"),"")</f>
        <v/>
      </c>
      <c r="R269" s="9" t="str">
        <f ca="1">IFERROR(__xludf.DUMMYFUNCTION("IFERROR(VALUE(REGEXEXTRACT(TO_TEXT($F269), R$1 &amp; ""x(\d+)"")), """")"),"")</f>
        <v/>
      </c>
      <c r="S269" s="9" t="str">
        <f ca="1">IFERROR(__xludf.DUMMYFUNCTION("IFERROR(VALUE(REGEXEXTRACT(TO_TEXT($F269), S$1 &amp; ""x(\d+)"")), """")"),"")</f>
        <v/>
      </c>
      <c r="T269" s="9" t="str">
        <f ca="1">IFERROR(__xludf.DUMMYFUNCTION("IFERROR(VALUE(REGEXEXTRACT(TO_TEXT($F269), T$1 &amp; ""x(\d+)"")), """")"),"")</f>
        <v/>
      </c>
      <c r="U269" s="9" t="str">
        <f ca="1">IFERROR(__xludf.DUMMYFUNCTION("IFERROR(VALUE(REGEXEXTRACT(TO_TEXT($F269), U$1 &amp; ""x(\d+)"")), """")"),"")</f>
        <v/>
      </c>
      <c r="V269" s="9" t="str">
        <f ca="1">IFERROR(__xludf.DUMMYFUNCTION("IFERROR(VALUE(REGEXEXTRACT(TO_TEXT($F269), V$1 &amp; ""x(\d+)"")), """")"),"")</f>
        <v/>
      </c>
      <c r="W269" s="9"/>
      <c r="X269" s="9"/>
      <c r="Y269" s="9"/>
      <c r="Z269" s="9"/>
    </row>
    <row r="270" spans="1:26" ht="15.75" hidden="1" customHeight="1">
      <c r="A270" s="9" t="s">
        <v>1335</v>
      </c>
      <c r="B270" s="9" t="s">
        <v>1336</v>
      </c>
      <c r="C270" s="9" t="s">
        <v>887</v>
      </c>
      <c r="D270" s="9" t="s">
        <v>48</v>
      </c>
      <c r="E270" s="9" t="s">
        <v>11</v>
      </c>
      <c r="F270" s="9" t="s">
        <v>1337</v>
      </c>
      <c r="G270" s="9">
        <v>30</v>
      </c>
      <c r="H270" s="9">
        <v>5</v>
      </c>
      <c r="I270" s="9">
        <v>1.0149999999999999</v>
      </c>
      <c r="J270" s="9">
        <v>52</v>
      </c>
      <c r="K270" s="9" t="s">
        <v>424</v>
      </c>
      <c r="L270" s="9"/>
      <c r="M270" s="9"/>
      <c r="N270" s="9" t="str">
        <f ca="1">IFERROR(__xludf.DUMMYFUNCTION("IFERROR(VALUE(REGEXEXTRACT(TO_TEXT($F270), N$1 &amp; ""x(\d+)"")), """")
"),"")</f>
        <v/>
      </c>
      <c r="O270" s="9" t="str">
        <f ca="1">IFERROR(__xludf.DUMMYFUNCTION("IFERROR(VALUE(REGEXEXTRACT(TO_TEXT($F270), O$1 &amp; ""x(\d+)"")), """")"),"")</f>
        <v/>
      </c>
      <c r="P270" s="9" t="str">
        <f ca="1">IFERROR(__xludf.DUMMYFUNCTION("IFERROR(VALUE(REGEXEXTRACT(TO_TEXT($F270), P$1 &amp; ""x(\d+)"")), """")"),"")</f>
        <v/>
      </c>
      <c r="Q270" s="9" t="str">
        <f ca="1">IFERROR(__xludf.DUMMYFUNCTION("IFERROR(VALUE(REGEXEXTRACT(TO_TEXT($F270), Q$1 &amp; ""x(\d+)"")), """")"),"")</f>
        <v/>
      </c>
      <c r="R270" s="9" t="str">
        <f ca="1">IFERROR(__xludf.DUMMYFUNCTION("IFERROR(VALUE(REGEXEXTRACT(TO_TEXT($F270), R$1 &amp; ""x(\d+)"")), """")"),"")</f>
        <v/>
      </c>
      <c r="S270" s="9" t="str">
        <f ca="1">IFERROR(__xludf.DUMMYFUNCTION("IFERROR(VALUE(REGEXEXTRACT(TO_TEXT($F270), S$1 &amp; ""x(\d+)"")), """")"),"")</f>
        <v/>
      </c>
      <c r="T270" s="9" t="str">
        <f ca="1">IFERROR(__xludf.DUMMYFUNCTION("IFERROR(VALUE(REGEXEXTRACT(TO_TEXT($F270), T$1 &amp; ""x(\d+)"")), """")"),"")</f>
        <v/>
      </c>
      <c r="U270" s="9" t="str">
        <f ca="1">IFERROR(__xludf.DUMMYFUNCTION("IFERROR(VALUE(REGEXEXTRACT(TO_TEXT($F270), U$1 &amp; ""x(\d+)"")), """")"),"")</f>
        <v/>
      </c>
      <c r="V270" s="9" t="str">
        <f ca="1">IFERROR(__xludf.DUMMYFUNCTION("IFERROR(VALUE(REGEXEXTRACT(TO_TEXT($F270), V$1 &amp; ""x(\d+)"")), """")"),"")</f>
        <v/>
      </c>
      <c r="W270" s="9"/>
      <c r="X270" s="9"/>
      <c r="Y270" s="9"/>
      <c r="Z270" s="9"/>
    </row>
    <row r="271" spans="1:26" ht="15.75" hidden="1" customHeight="1">
      <c r="A271" s="9" t="s">
        <v>1335</v>
      </c>
      <c r="B271" s="9" t="s">
        <v>1336</v>
      </c>
      <c r="C271" s="9" t="s">
        <v>887</v>
      </c>
      <c r="D271" s="9" t="s">
        <v>48</v>
      </c>
      <c r="E271" s="9" t="s">
        <v>12</v>
      </c>
      <c r="F271" s="9" t="s">
        <v>1302</v>
      </c>
      <c r="G271" s="9">
        <v>140</v>
      </c>
      <c r="H271" s="9">
        <v>5</v>
      </c>
      <c r="I271" s="9">
        <v>1.0149999999999999</v>
      </c>
      <c r="J271" s="9">
        <v>52</v>
      </c>
      <c r="K271" s="9" t="s">
        <v>424</v>
      </c>
      <c r="L271" s="9"/>
      <c r="M271" s="9"/>
      <c r="N271" s="9" t="str">
        <f ca="1">IFERROR(__xludf.DUMMYFUNCTION("IFERROR(VALUE(REGEXEXTRACT(TO_TEXT($F271), N$1 &amp; ""x(\d+)"")), """")
"),"")</f>
        <v/>
      </c>
      <c r="O271" s="9" t="str">
        <f ca="1">IFERROR(__xludf.DUMMYFUNCTION("IFERROR(VALUE(REGEXEXTRACT(TO_TEXT($F271), O$1 &amp; ""x(\d+)"")), """")"),"")</f>
        <v/>
      </c>
      <c r="P271" s="9">
        <f ca="1">IFERROR(__xludf.DUMMYFUNCTION("IFERROR(VALUE(REGEXEXTRACT(TO_TEXT($F271), P$1 &amp; ""x(\d+)"")), """")"),1)</f>
        <v>1</v>
      </c>
      <c r="Q271" s="9" t="str">
        <f ca="1">IFERROR(__xludf.DUMMYFUNCTION("IFERROR(VALUE(REGEXEXTRACT(TO_TEXT($F271), Q$1 &amp; ""x(\d+)"")), """")"),"")</f>
        <v/>
      </c>
      <c r="R271" s="9" t="str">
        <f ca="1">IFERROR(__xludf.DUMMYFUNCTION("IFERROR(VALUE(REGEXEXTRACT(TO_TEXT($F271), R$1 &amp; ""x(\d+)"")), """")"),"")</f>
        <v/>
      </c>
      <c r="S271" s="9" t="str">
        <f ca="1">IFERROR(__xludf.DUMMYFUNCTION("IFERROR(VALUE(REGEXEXTRACT(TO_TEXT($F271), S$1 &amp; ""x(\d+)"")), """")"),"")</f>
        <v/>
      </c>
      <c r="T271" s="9" t="str">
        <f ca="1">IFERROR(__xludf.DUMMYFUNCTION("IFERROR(VALUE(REGEXEXTRACT(TO_TEXT($F271), T$1 &amp; ""x(\d+)"")), """")"),"")</f>
        <v/>
      </c>
      <c r="U271" s="9" t="str">
        <f ca="1">IFERROR(__xludf.DUMMYFUNCTION("IFERROR(VALUE(REGEXEXTRACT(TO_TEXT($F271), U$1 &amp; ""x(\d+)"")), """")"),"")</f>
        <v/>
      </c>
      <c r="V271" s="9" t="str">
        <f ca="1">IFERROR(__xludf.DUMMYFUNCTION("IFERROR(VALUE(REGEXEXTRACT(TO_TEXT($F271), V$1 &amp; ""x(\d+)"")), """")"),"")</f>
        <v/>
      </c>
      <c r="W271" s="9"/>
      <c r="X271" s="9"/>
      <c r="Y271" s="9"/>
      <c r="Z271" s="9"/>
    </row>
    <row r="272" spans="1:26" ht="15.75" hidden="1" customHeight="1">
      <c r="A272" s="9" t="s">
        <v>1335</v>
      </c>
      <c r="B272" s="9" t="s">
        <v>1336</v>
      </c>
      <c r="C272" s="9" t="s">
        <v>887</v>
      </c>
      <c r="D272" s="9" t="s">
        <v>48</v>
      </c>
      <c r="E272" s="9" t="s">
        <v>13</v>
      </c>
      <c r="F272" s="9" t="s">
        <v>1201</v>
      </c>
      <c r="G272" s="9">
        <v>30</v>
      </c>
      <c r="H272" s="9">
        <v>5</v>
      </c>
      <c r="I272" s="9">
        <v>1.0149999999999999</v>
      </c>
      <c r="J272" s="9">
        <v>52</v>
      </c>
      <c r="K272" s="9" t="s">
        <v>424</v>
      </c>
      <c r="L272" s="9"/>
      <c r="M272" s="9"/>
      <c r="N272" s="9" t="str">
        <f ca="1">IFERROR(__xludf.DUMMYFUNCTION("IFERROR(VALUE(REGEXEXTRACT(TO_TEXT($F272), N$1 &amp; ""x(\d+)"")), """")
"),"")</f>
        <v/>
      </c>
      <c r="O272" s="9" t="str">
        <f ca="1">IFERROR(__xludf.DUMMYFUNCTION("IFERROR(VALUE(REGEXEXTRACT(TO_TEXT($F272), O$1 &amp; ""x(\d+)"")), """")"),"")</f>
        <v/>
      </c>
      <c r="P272" s="9">
        <f ca="1">IFERROR(__xludf.DUMMYFUNCTION("IFERROR(VALUE(REGEXEXTRACT(TO_TEXT($F272), P$1 &amp; ""x(\d+)"")), """")"),1)</f>
        <v>1</v>
      </c>
      <c r="Q272" s="9" t="str">
        <f ca="1">IFERROR(__xludf.DUMMYFUNCTION("IFERROR(VALUE(REGEXEXTRACT(TO_TEXT($F272), Q$1 &amp; ""x(\d+)"")), """")"),"")</f>
        <v/>
      </c>
      <c r="R272" s="9" t="str">
        <f ca="1">IFERROR(__xludf.DUMMYFUNCTION("IFERROR(VALUE(REGEXEXTRACT(TO_TEXT($F272), R$1 &amp; ""x(\d+)"")), """")"),"")</f>
        <v/>
      </c>
      <c r="S272" s="9" t="str">
        <f ca="1">IFERROR(__xludf.DUMMYFUNCTION("IFERROR(VALUE(REGEXEXTRACT(TO_TEXT($F272), S$1 &amp; ""x(\d+)"")), """")"),"")</f>
        <v/>
      </c>
      <c r="T272" s="9" t="str">
        <f ca="1">IFERROR(__xludf.DUMMYFUNCTION("IFERROR(VALUE(REGEXEXTRACT(TO_TEXT($F272), T$1 &amp; ""x(\d+)"")), """")"),"")</f>
        <v/>
      </c>
      <c r="U272" s="9" t="str">
        <f ca="1">IFERROR(__xludf.DUMMYFUNCTION("IFERROR(VALUE(REGEXEXTRACT(TO_TEXT($F272), U$1 &amp; ""x(\d+)"")), """")"),"")</f>
        <v/>
      </c>
      <c r="V272" s="9" t="str">
        <f ca="1">IFERROR(__xludf.DUMMYFUNCTION("IFERROR(VALUE(REGEXEXTRACT(TO_TEXT($F272), V$1 &amp; ""x(\d+)"")), """")"),"")</f>
        <v/>
      </c>
      <c r="W272" s="9"/>
      <c r="X272" s="9"/>
      <c r="Y272" s="9"/>
      <c r="Z272" s="9"/>
    </row>
    <row r="273" spans="1:26" ht="15.75" hidden="1" customHeight="1">
      <c r="A273" s="9" t="s">
        <v>1338</v>
      </c>
      <c r="B273" s="9" t="s">
        <v>1339</v>
      </c>
      <c r="C273" s="9" t="s">
        <v>1340</v>
      </c>
      <c r="D273" s="9" t="s">
        <v>48</v>
      </c>
      <c r="E273" s="9" t="s">
        <v>11</v>
      </c>
      <c r="F273" s="9" t="s">
        <v>1337</v>
      </c>
      <c r="G273" s="9">
        <v>30</v>
      </c>
      <c r="H273" s="9">
        <v>5</v>
      </c>
      <c r="I273" s="9">
        <v>1.0149999999999999</v>
      </c>
      <c r="J273" s="9">
        <v>52</v>
      </c>
      <c r="K273" s="9" t="s">
        <v>424</v>
      </c>
      <c r="L273" s="9"/>
      <c r="M273" s="9"/>
      <c r="N273" s="9" t="str">
        <f ca="1">IFERROR(__xludf.DUMMYFUNCTION("IFERROR(VALUE(REGEXEXTRACT(TO_TEXT($F273), N$1 &amp; ""x(\d+)"")), """")
"),"")</f>
        <v/>
      </c>
      <c r="O273" s="9" t="str">
        <f ca="1">IFERROR(__xludf.DUMMYFUNCTION("IFERROR(VALUE(REGEXEXTRACT(TO_TEXT($F273), O$1 &amp; ""x(\d+)"")), """")"),"")</f>
        <v/>
      </c>
      <c r="P273" s="9" t="str">
        <f ca="1">IFERROR(__xludf.DUMMYFUNCTION("IFERROR(VALUE(REGEXEXTRACT(TO_TEXT($F273), P$1 &amp; ""x(\d+)"")), """")"),"")</f>
        <v/>
      </c>
      <c r="Q273" s="9" t="str">
        <f ca="1">IFERROR(__xludf.DUMMYFUNCTION("IFERROR(VALUE(REGEXEXTRACT(TO_TEXT($F273), Q$1 &amp; ""x(\d+)"")), """")"),"")</f>
        <v/>
      </c>
      <c r="R273" s="9" t="str">
        <f ca="1">IFERROR(__xludf.DUMMYFUNCTION("IFERROR(VALUE(REGEXEXTRACT(TO_TEXT($F273), R$1 &amp; ""x(\d+)"")), """")"),"")</f>
        <v/>
      </c>
      <c r="S273" s="9" t="str">
        <f ca="1">IFERROR(__xludf.DUMMYFUNCTION("IFERROR(VALUE(REGEXEXTRACT(TO_TEXT($F273), S$1 &amp; ""x(\d+)"")), """")"),"")</f>
        <v/>
      </c>
      <c r="T273" s="9" t="str">
        <f ca="1">IFERROR(__xludf.DUMMYFUNCTION("IFERROR(VALUE(REGEXEXTRACT(TO_TEXT($F273), T$1 &amp; ""x(\d+)"")), """")"),"")</f>
        <v/>
      </c>
      <c r="U273" s="9" t="str">
        <f ca="1">IFERROR(__xludf.DUMMYFUNCTION("IFERROR(VALUE(REGEXEXTRACT(TO_TEXT($F273), U$1 &amp; ""x(\d+)"")), """")"),"")</f>
        <v/>
      </c>
      <c r="V273" s="9" t="str">
        <f ca="1">IFERROR(__xludf.DUMMYFUNCTION("IFERROR(VALUE(REGEXEXTRACT(TO_TEXT($F273), V$1 &amp; ""x(\d+)"")), """")"),"")</f>
        <v/>
      </c>
      <c r="W273" s="9"/>
      <c r="X273" s="9"/>
      <c r="Y273" s="9"/>
      <c r="Z273" s="9"/>
    </row>
    <row r="274" spans="1:26" ht="15.75" hidden="1" customHeight="1">
      <c r="A274" s="9" t="s">
        <v>1338</v>
      </c>
      <c r="B274" s="9" t="s">
        <v>1339</v>
      </c>
      <c r="C274" s="9" t="s">
        <v>1340</v>
      </c>
      <c r="D274" s="9" t="s">
        <v>48</v>
      </c>
      <c r="E274" s="9" t="s">
        <v>12</v>
      </c>
      <c r="F274" s="9" t="s">
        <v>1302</v>
      </c>
      <c r="G274" s="9">
        <v>140</v>
      </c>
      <c r="H274" s="9">
        <v>5</v>
      </c>
      <c r="I274" s="9">
        <v>1.0149999999999999</v>
      </c>
      <c r="J274" s="9">
        <v>52</v>
      </c>
      <c r="K274" s="9" t="s">
        <v>424</v>
      </c>
      <c r="L274" s="9"/>
      <c r="M274" s="9"/>
      <c r="N274" s="9" t="str">
        <f ca="1">IFERROR(__xludf.DUMMYFUNCTION("IFERROR(VALUE(REGEXEXTRACT(TO_TEXT($F274), N$1 &amp; ""x(\d+)"")), """")
"),"")</f>
        <v/>
      </c>
      <c r="O274" s="9" t="str">
        <f ca="1">IFERROR(__xludf.DUMMYFUNCTION("IFERROR(VALUE(REGEXEXTRACT(TO_TEXT($F274), O$1 &amp; ""x(\d+)"")), """")"),"")</f>
        <v/>
      </c>
      <c r="P274" s="9">
        <f ca="1">IFERROR(__xludf.DUMMYFUNCTION("IFERROR(VALUE(REGEXEXTRACT(TO_TEXT($F274), P$1 &amp; ""x(\d+)"")), """")"),1)</f>
        <v>1</v>
      </c>
      <c r="Q274" s="9" t="str">
        <f ca="1">IFERROR(__xludf.DUMMYFUNCTION("IFERROR(VALUE(REGEXEXTRACT(TO_TEXT($F274), Q$1 &amp; ""x(\d+)"")), """")"),"")</f>
        <v/>
      </c>
      <c r="R274" s="9" t="str">
        <f ca="1">IFERROR(__xludf.DUMMYFUNCTION("IFERROR(VALUE(REGEXEXTRACT(TO_TEXT($F274), R$1 &amp; ""x(\d+)"")), """")"),"")</f>
        <v/>
      </c>
      <c r="S274" s="9" t="str">
        <f ca="1">IFERROR(__xludf.DUMMYFUNCTION("IFERROR(VALUE(REGEXEXTRACT(TO_TEXT($F274), S$1 &amp; ""x(\d+)"")), """")"),"")</f>
        <v/>
      </c>
      <c r="T274" s="9" t="str">
        <f ca="1">IFERROR(__xludf.DUMMYFUNCTION("IFERROR(VALUE(REGEXEXTRACT(TO_TEXT($F274), T$1 &amp; ""x(\d+)"")), """")"),"")</f>
        <v/>
      </c>
      <c r="U274" s="9" t="str">
        <f ca="1">IFERROR(__xludf.DUMMYFUNCTION("IFERROR(VALUE(REGEXEXTRACT(TO_TEXT($F274), U$1 &amp; ""x(\d+)"")), """")"),"")</f>
        <v/>
      </c>
      <c r="V274" s="9" t="str">
        <f ca="1">IFERROR(__xludf.DUMMYFUNCTION("IFERROR(VALUE(REGEXEXTRACT(TO_TEXT($F274), V$1 &amp; ""x(\d+)"")), """")"),"")</f>
        <v/>
      </c>
      <c r="W274" s="9"/>
      <c r="X274" s="9"/>
      <c r="Y274" s="9"/>
      <c r="Z274" s="9"/>
    </row>
    <row r="275" spans="1:26" ht="15.75" hidden="1" customHeight="1">
      <c r="A275" s="9" t="s">
        <v>1338</v>
      </c>
      <c r="B275" s="9" t="s">
        <v>1339</v>
      </c>
      <c r="C275" s="9" t="s">
        <v>1340</v>
      </c>
      <c r="D275" s="9" t="s">
        <v>48</v>
      </c>
      <c r="E275" s="9" t="s">
        <v>13</v>
      </c>
      <c r="F275" s="9" t="s">
        <v>1201</v>
      </c>
      <c r="G275" s="9">
        <v>30</v>
      </c>
      <c r="H275" s="9">
        <v>5</v>
      </c>
      <c r="I275" s="9">
        <v>1.0149999999999999</v>
      </c>
      <c r="J275" s="9">
        <v>52</v>
      </c>
      <c r="K275" s="9" t="s">
        <v>424</v>
      </c>
      <c r="L275" s="9"/>
      <c r="M275" s="9"/>
      <c r="N275" s="9" t="str">
        <f ca="1">IFERROR(__xludf.DUMMYFUNCTION("IFERROR(VALUE(REGEXEXTRACT(TO_TEXT($F275), N$1 &amp; ""x(\d+)"")), """")
"),"")</f>
        <v/>
      </c>
      <c r="O275" s="9" t="str">
        <f ca="1">IFERROR(__xludf.DUMMYFUNCTION("IFERROR(VALUE(REGEXEXTRACT(TO_TEXT($F275), O$1 &amp; ""x(\d+)"")), """")"),"")</f>
        <v/>
      </c>
      <c r="P275" s="9">
        <f ca="1">IFERROR(__xludf.DUMMYFUNCTION("IFERROR(VALUE(REGEXEXTRACT(TO_TEXT($F275), P$1 &amp; ""x(\d+)"")), """")"),1)</f>
        <v>1</v>
      </c>
      <c r="Q275" s="9" t="str">
        <f ca="1">IFERROR(__xludf.DUMMYFUNCTION("IFERROR(VALUE(REGEXEXTRACT(TO_TEXT($F275), Q$1 &amp; ""x(\d+)"")), """")"),"")</f>
        <v/>
      </c>
      <c r="R275" s="9" t="str">
        <f ca="1">IFERROR(__xludf.DUMMYFUNCTION("IFERROR(VALUE(REGEXEXTRACT(TO_TEXT($F275), R$1 &amp; ""x(\d+)"")), """")"),"")</f>
        <v/>
      </c>
      <c r="S275" s="9" t="str">
        <f ca="1">IFERROR(__xludf.DUMMYFUNCTION("IFERROR(VALUE(REGEXEXTRACT(TO_TEXT($F275), S$1 &amp; ""x(\d+)"")), """")"),"")</f>
        <v/>
      </c>
      <c r="T275" s="9" t="str">
        <f ca="1">IFERROR(__xludf.DUMMYFUNCTION("IFERROR(VALUE(REGEXEXTRACT(TO_TEXT($F275), T$1 &amp; ""x(\d+)"")), """")"),"")</f>
        <v/>
      </c>
      <c r="U275" s="9" t="str">
        <f ca="1">IFERROR(__xludf.DUMMYFUNCTION("IFERROR(VALUE(REGEXEXTRACT(TO_TEXT($F275), U$1 &amp; ""x(\d+)"")), """")"),"")</f>
        <v/>
      </c>
      <c r="V275" s="9" t="str">
        <f ca="1">IFERROR(__xludf.DUMMYFUNCTION("IFERROR(VALUE(REGEXEXTRACT(TO_TEXT($F275), V$1 &amp; ""x(\d+)"")), """")"),"")</f>
        <v/>
      </c>
      <c r="W275" s="9"/>
      <c r="X275" s="9"/>
      <c r="Y275" s="9"/>
      <c r="Z275" s="9"/>
    </row>
    <row r="276" spans="1:26" ht="15.75" hidden="1" customHeight="1">
      <c r="A276" s="9" t="s">
        <v>1338</v>
      </c>
      <c r="B276" s="9" t="s">
        <v>1339</v>
      </c>
      <c r="C276" s="9" t="s">
        <v>1340</v>
      </c>
      <c r="D276" s="9" t="s">
        <v>74</v>
      </c>
      <c r="E276" s="9" t="s">
        <v>11</v>
      </c>
      <c r="F276" s="9" t="s">
        <v>1341</v>
      </c>
      <c r="G276" s="9">
        <v>30</v>
      </c>
      <c r="H276" s="9">
        <v>3</v>
      </c>
      <c r="I276" s="9">
        <v>1.0149999999999999</v>
      </c>
      <c r="J276" s="9">
        <v>103</v>
      </c>
      <c r="K276" s="9" t="s">
        <v>424</v>
      </c>
      <c r="L276" s="9"/>
      <c r="M276" s="9"/>
      <c r="N276" s="9" t="str">
        <f ca="1">IFERROR(__xludf.DUMMYFUNCTION("IFERROR(VALUE(REGEXEXTRACT(TO_TEXT($F276), N$1 &amp; ""x(\d+)"")), """")
"),"")</f>
        <v/>
      </c>
      <c r="O276" s="9" t="str">
        <f ca="1">IFERROR(__xludf.DUMMYFUNCTION("IFERROR(VALUE(REGEXEXTRACT(TO_TEXT($F276), O$1 &amp; ""x(\d+)"")), """")"),"")</f>
        <v/>
      </c>
      <c r="P276" s="9" t="str">
        <f ca="1">IFERROR(__xludf.DUMMYFUNCTION("IFERROR(VALUE(REGEXEXTRACT(TO_TEXT($F276), P$1 &amp; ""x(\d+)"")), """")"),"")</f>
        <v/>
      </c>
      <c r="Q276" s="9" t="str">
        <f ca="1">IFERROR(__xludf.DUMMYFUNCTION("IFERROR(VALUE(REGEXEXTRACT(TO_TEXT($F276), Q$1 &amp; ""x(\d+)"")), """")"),"")</f>
        <v/>
      </c>
      <c r="R276" s="9" t="str">
        <f ca="1">IFERROR(__xludf.DUMMYFUNCTION("IFERROR(VALUE(REGEXEXTRACT(TO_TEXT($F276), R$1 &amp; ""x(\d+)"")), """")"),"")</f>
        <v/>
      </c>
      <c r="S276" s="9" t="str">
        <f ca="1">IFERROR(__xludf.DUMMYFUNCTION("IFERROR(VALUE(REGEXEXTRACT(TO_TEXT($F276), S$1 &amp; ""x(\d+)"")), """")"),"")</f>
        <v/>
      </c>
      <c r="T276" s="9" t="str">
        <f ca="1">IFERROR(__xludf.DUMMYFUNCTION("IFERROR(VALUE(REGEXEXTRACT(TO_TEXT($F276), T$1 &amp; ""x(\d+)"")), """")"),"")</f>
        <v/>
      </c>
      <c r="U276" s="9" t="str">
        <f ca="1">IFERROR(__xludf.DUMMYFUNCTION("IFERROR(VALUE(REGEXEXTRACT(TO_TEXT($F276), U$1 &amp; ""x(\d+)"")), """")"),"")</f>
        <v/>
      </c>
      <c r="V276" s="9" t="str">
        <f ca="1">IFERROR(__xludf.DUMMYFUNCTION("IFERROR(VALUE(REGEXEXTRACT(TO_TEXT($F276), V$1 &amp; ""x(\d+)"")), """")"),"")</f>
        <v/>
      </c>
      <c r="W276" s="9"/>
      <c r="X276" s="9"/>
      <c r="Y276" s="9"/>
      <c r="Z276" s="9"/>
    </row>
    <row r="277" spans="1:26" ht="15.75" hidden="1" customHeight="1">
      <c r="A277" s="9" t="s">
        <v>1338</v>
      </c>
      <c r="B277" s="9" t="s">
        <v>1339</v>
      </c>
      <c r="C277" s="9" t="s">
        <v>1340</v>
      </c>
      <c r="D277" s="9" t="s">
        <v>74</v>
      </c>
      <c r="E277" s="9" t="s">
        <v>12</v>
      </c>
      <c r="F277" s="9" t="s">
        <v>1342</v>
      </c>
      <c r="G277" s="9">
        <v>170</v>
      </c>
      <c r="H277" s="9">
        <v>3</v>
      </c>
      <c r="I277" s="9">
        <v>1.0149999999999999</v>
      </c>
      <c r="J277" s="9">
        <v>103</v>
      </c>
      <c r="K277" s="9" t="s">
        <v>424</v>
      </c>
      <c r="L277" s="9"/>
      <c r="M277" s="9"/>
      <c r="N277" s="9" t="str">
        <f ca="1">IFERROR(__xludf.DUMMYFUNCTION("IFERROR(VALUE(REGEXEXTRACT(TO_TEXT($F277), N$1 &amp; ""x(\d+)"")), """")
"),"")</f>
        <v/>
      </c>
      <c r="O277" s="9" t="str">
        <f ca="1">IFERROR(__xludf.DUMMYFUNCTION("IFERROR(VALUE(REGEXEXTRACT(TO_TEXT($F277), O$1 &amp; ""x(\d+)"")), """")"),"")</f>
        <v/>
      </c>
      <c r="P277" s="9" t="str">
        <f ca="1">IFERROR(__xludf.DUMMYFUNCTION("IFERROR(VALUE(REGEXEXTRACT(TO_TEXT($F277), P$1 &amp; ""x(\d+)"")), """")"),"")</f>
        <v/>
      </c>
      <c r="Q277" s="9">
        <f ca="1">IFERROR(__xludf.DUMMYFUNCTION("IFERROR(VALUE(REGEXEXTRACT(TO_TEXT($F277), Q$1 &amp; ""x(\d+)"")), """")"),1)</f>
        <v>1</v>
      </c>
      <c r="R277" s="9" t="str">
        <f ca="1">IFERROR(__xludf.DUMMYFUNCTION("IFERROR(VALUE(REGEXEXTRACT(TO_TEXT($F277), R$1 &amp; ""x(\d+)"")), """")"),"")</f>
        <v/>
      </c>
      <c r="S277" s="9" t="str">
        <f ca="1">IFERROR(__xludf.DUMMYFUNCTION("IFERROR(VALUE(REGEXEXTRACT(TO_TEXT($F277), S$1 &amp; ""x(\d+)"")), """")"),"")</f>
        <v/>
      </c>
      <c r="T277" s="9" t="str">
        <f ca="1">IFERROR(__xludf.DUMMYFUNCTION("IFERROR(VALUE(REGEXEXTRACT(TO_TEXT($F277), T$1 &amp; ""x(\d+)"")), """")"),"")</f>
        <v/>
      </c>
      <c r="U277" s="9" t="str">
        <f ca="1">IFERROR(__xludf.DUMMYFUNCTION("IFERROR(VALUE(REGEXEXTRACT(TO_TEXT($F277), U$1 &amp; ""x(\d+)"")), """")"),"")</f>
        <v/>
      </c>
      <c r="V277" s="9" t="str">
        <f ca="1">IFERROR(__xludf.DUMMYFUNCTION("IFERROR(VALUE(REGEXEXTRACT(TO_TEXT($F277), V$1 &amp; ""x(\d+)"")), """")"),"")</f>
        <v/>
      </c>
      <c r="W277" s="9"/>
      <c r="X277" s="9"/>
      <c r="Y277" s="9"/>
      <c r="Z277" s="9"/>
    </row>
    <row r="278" spans="1:26" ht="15.75" hidden="1" customHeight="1">
      <c r="A278" s="9" t="s">
        <v>1338</v>
      </c>
      <c r="B278" s="9" t="s">
        <v>1339</v>
      </c>
      <c r="C278" s="9" t="s">
        <v>1340</v>
      </c>
      <c r="D278" s="9" t="s">
        <v>74</v>
      </c>
      <c r="E278" s="9" t="s">
        <v>13</v>
      </c>
      <c r="F278" s="9" t="s">
        <v>1343</v>
      </c>
      <c r="G278" s="9">
        <v>30</v>
      </c>
      <c r="H278" s="9">
        <v>3</v>
      </c>
      <c r="I278" s="9">
        <v>1.0149999999999999</v>
      </c>
      <c r="J278" s="9">
        <v>103</v>
      </c>
      <c r="K278" s="9" t="s">
        <v>424</v>
      </c>
      <c r="L278" s="9"/>
      <c r="M278" s="9"/>
      <c r="N278" s="9" t="str">
        <f ca="1">IFERROR(__xludf.DUMMYFUNCTION("IFERROR(VALUE(REGEXEXTRACT(TO_TEXT($F278), N$1 &amp; ""x(\d+)"")), """")
"),"")</f>
        <v/>
      </c>
      <c r="O278" s="9" t="str">
        <f ca="1">IFERROR(__xludf.DUMMYFUNCTION("IFERROR(VALUE(REGEXEXTRACT(TO_TEXT($F278), O$1 &amp; ""x(\d+)"")), """")"),"")</f>
        <v/>
      </c>
      <c r="P278" s="9" t="str">
        <f ca="1">IFERROR(__xludf.DUMMYFUNCTION("IFERROR(VALUE(REGEXEXTRACT(TO_TEXT($F278), P$1 &amp; ""x(\d+)"")), """")"),"")</f>
        <v/>
      </c>
      <c r="Q278" s="9">
        <f ca="1">IFERROR(__xludf.DUMMYFUNCTION("IFERROR(VALUE(REGEXEXTRACT(TO_TEXT($F278), Q$1 &amp; ""x(\d+)"")), """")"),1)</f>
        <v>1</v>
      </c>
      <c r="R278" s="9" t="str">
        <f ca="1">IFERROR(__xludf.DUMMYFUNCTION("IFERROR(VALUE(REGEXEXTRACT(TO_TEXT($F278), R$1 &amp; ""x(\d+)"")), """")"),"")</f>
        <v/>
      </c>
      <c r="S278" s="9" t="str">
        <f ca="1">IFERROR(__xludf.DUMMYFUNCTION("IFERROR(VALUE(REGEXEXTRACT(TO_TEXT($F278), S$1 &amp; ""x(\d+)"")), """")"),"")</f>
        <v/>
      </c>
      <c r="T278" s="9" t="str">
        <f ca="1">IFERROR(__xludf.DUMMYFUNCTION("IFERROR(VALUE(REGEXEXTRACT(TO_TEXT($F278), T$1 &amp; ""x(\d+)"")), """")"),"")</f>
        <v/>
      </c>
      <c r="U278" s="9" t="str">
        <f ca="1">IFERROR(__xludf.DUMMYFUNCTION("IFERROR(VALUE(REGEXEXTRACT(TO_TEXT($F278), U$1 &amp; ""x(\d+)"")), """")"),"")</f>
        <v/>
      </c>
      <c r="V278" s="9" t="str">
        <f ca="1">IFERROR(__xludf.DUMMYFUNCTION("IFERROR(VALUE(REGEXEXTRACT(TO_TEXT($F278), V$1 &amp; ""x(\d+)"")), """")"),"")</f>
        <v/>
      </c>
      <c r="W278" s="9"/>
      <c r="X278" s="9"/>
      <c r="Y278" s="9"/>
      <c r="Z278" s="9"/>
    </row>
    <row r="279" spans="1:26" ht="15.75" hidden="1" customHeight="1">
      <c r="A279" s="9" t="s">
        <v>1344</v>
      </c>
      <c r="B279" s="9" t="s">
        <v>1345</v>
      </c>
      <c r="C279" s="9" t="s">
        <v>908</v>
      </c>
      <c r="D279" s="9" t="s">
        <v>48</v>
      </c>
      <c r="E279" s="9" t="s">
        <v>11</v>
      </c>
      <c r="F279" s="9" t="s">
        <v>1346</v>
      </c>
      <c r="G279" s="9">
        <v>20</v>
      </c>
      <c r="H279" s="9">
        <v>3</v>
      </c>
      <c r="I279" s="9">
        <v>1.0149999999999999</v>
      </c>
      <c r="J279" s="9">
        <v>52</v>
      </c>
      <c r="K279" s="9" t="s">
        <v>424</v>
      </c>
      <c r="L279" s="9"/>
      <c r="M279" s="9"/>
      <c r="N279" s="9" t="str">
        <f ca="1">IFERROR(__xludf.DUMMYFUNCTION("IFERROR(VALUE(REGEXEXTRACT(TO_TEXT($F279), N$1 &amp; ""x(\d+)"")), """")
"),"")</f>
        <v/>
      </c>
      <c r="O279" s="9" t="str">
        <f ca="1">IFERROR(__xludf.DUMMYFUNCTION("IFERROR(VALUE(REGEXEXTRACT(TO_TEXT($F279), O$1 &amp; ""x(\d+)"")), """")"),"")</f>
        <v/>
      </c>
      <c r="P279" s="9" t="str">
        <f ca="1">IFERROR(__xludf.DUMMYFUNCTION("IFERROR(VALUE(REGEXEXTRACT(TO_TEXT($F279), P$1 &amp; ""x(\d+)"")), """")"),"")</f>
        <v/>
      </c>
      <c r="Q279" s="9" t="str">
        <f ca="1">IFERROR(__xludf.DUMMYFUNCTION("IFERROR(VALUE(REGEXEXTRACT(TO_TEXT($F279), Q$1 &amp; ""x(\d+)"")), """")"),"")</f>
        <v/>
      </c>
      <c r="R279" s="9" t="str">
        <f ca="1">IFERROR(__xludf.DUMMYFUNCTION("IFERROR(VALUE(REGEXEXTRACT(TO_TEXT($F279), R$1 &amp; ""x(\d+)"")), """")"),"")</f>
        <v/>
      </c>
      <c r="S279" s="9" t="str">
        <f ca="1">IFERROR(__xludf.DUMMYFUNCTION("IFERROR(VALUE(REGEXEXTRACT(TO_TEXT($F279), S$1 &amp; ""x(\d+)"")), """")"),"")</f>
        <v/>
      </c>
      <c r="T279" s="9" t="str">
        <f ca="1">IFERROR(__xludf.DUMMYFUNCTION("IFERROR(VALUE(REGEXEXTRACT(TO_TEXT($F279), T$1 &amp; ""x(\d+)"")), """")"),"")</f>
        <v/>
      </c>
      <c r="U279" s="9" t="str">
        <f ca="1">IFERROR(__xludf.DUMMYFUNCTION("IFERROR(VALUE(REGEXEXTRACT(TO_TEXT($F279), U$1 &amp; ""x(\d+)"")), """")"),"")</f>
        <v/>
      </c>
      <c r="V279" s="9" t="str">
        <f ca="1">IFERROR(__xludf.DUMMYFUNCTION("IFERROR(VALUE(REGEXEXTRACT(TO_TEXT($F279), V$1 &amp; ""x(\d+)"")), """")"),"")</f>
        <v/>
      </c>
      <c r="W279" s="9"/>
      <c r="X279" s="9"/>
      <c r="Y279" s="9"/>
      <c r="Z279" s="9"/>
    </row>
    <row r="280" spans="1:26" ht="15.75" hidden="1" customHeight="1">
      <c r="A280" s="9" t="s">
        <v>1344</v>
      </c>
      <c r="B280" s="9" t="s">
        <v>1345</v>
      </c>
      <c r="C280" s="9" t="s">
        <v>908</v>
      </c>
      <c r="D280" s="9" t="s">
        <v>48</v>
      </c>
      <c r="E280" s="9" t="s">
        <v>12</v>
      </c>
      <c r="F280" s="9" t="s">
        <v>1347</v>
      </c>
      <c r="G280" s="9">
        <v>140</v>
      </c>
      <c r="H280" s="9">
        <v>3</v>
      </c>
      <c r="I280" s="9">
        <v>1.0149999999999999</v>
      </c>
      <c r="J280" s="9">
        <v>52</v>
      </c>
      <c r="K280" s="9" t="s">
        <v>424</v>
      </c>
      <c r="L280" s="9" t="s">
        <v>1210</v>
      </c>
      <c r="M280" s="9"/>
      <c r="N280" s="9" t="str">
        <f ca="1">IFERROR(__xludf.DUMMYFUNCTION("IFERROR(VALUE(REGEXEXTRACT(TO_TEXT($F280), N$1 &amp; ""x(\d+)"")), """")
"),"")</f>
        <v/>
      </c>
      <c r="O280" s="9" t="str">
        <f ca="1">IFERROR(__xludf.DUMMYFUNCTION("IFERROR(VALUE(REGEXEXTRACT(TO_TEXT($F280), O$1 &amp; ""x(\d+)"")), """")"),"")</f>
        <v/>
      </c>
      <c r="P280" s="9">
        <f ca="1">IFERROR(__xludf.DUMMYFUNCTION("IFERROR(VALUE(REGEXEXTRACT(TO_TEXT($F280), P$1 &amp; ""x(\d+)"")), """")"),1)</f>
        <v>1</v>
      </c>
      <c r="Q280" s="9" t="str">
        <f ca="1">IFERROR(__xludf.DUMMYFUNCTION("IFERROR(VALUE(REGEXEXTRACT(TO_TEXT($F280), Q$1 &amp; ""x(\d+)"")), """")"),"")</f>
        <v/>
      </c>
      <c r="R280" s="9">
        <f ca="1">IFERROR(__xludf.DUMMYFUNCTION("IFERROR(VALUE(REGEXEXTRACT(TO_TEXT($F280), R$1 &amp; ""x(\d+)"")), """")"),1)</f>
        <v>1</v>
      </c>
      <c r="S280" s="9" t="str">
        <f ca="1">IFERROR(__xludf.DUMMYFUNCTION("IFERROR(VALUE(REGEXEXTRACT(TO_TEXT($F280), S$1 &amp; ""x(\d+)"")), """")"),"")</f>
        <v/>
      </c>
      <c r="T280" s="9" t="str">
        <f ca="1">IFERROR(__xludf.DUMMYFUNCTION("IFERROR(VALUE(REGEXEXTRACT(TO_TEXT($F280), T$1 &amp; ""x(\d+)"")), """")"),"")</f>
        <v/>
      </c>
      <c r="U280" s="9" t="str">
        <f ca="1">IFERROR(__xludf.DUMMYFUNCTION("IFERROR(VALUE(REGEXEXTRACT(TO_TEXT($F280), U$1 &amp; ""x(\d+)"")), """")"),"")</f>
        <v/>
      </c>
      <c r="V280" s="9" t="str">
        <f ca="1">IFERROR(__xludf.DUMMYFUNCTION("IFERROR(VALUE(REGEXEXTRACT(TO_TEXT($F280), V$1 &amp; ""x(\d+)"")), """")"),"")</f>
        <v/>
      </c>
      <c r="W280" s="9"/>
      <c r="X280" s="9"/>
      <c r="Y280" s="9"/>
      <c r="Z280" s="9"/>
    </row>
    <row r="281" spans="1:26" ht="15.75" hidden="1" customHeight="1">
      <c r="A281" s="9" t="s">
        <v>1344</v>
      </c>
      <c r="B281" s="9" t="s">
        <v>1345</v>
      </c>
      <c r="C281" s="9" t="s">
        <v>908</v>
      </c>
      <c r="D281" s="9" t="s">
        <v>48</v>
      </c>
      <c r="E281" s="9" t="s">
        <v>13</v>
      </c>
      <c r="F281" s="9" t="s">
        <v>1348</v>
      </c>
      <c r="G281" s="9">
        <v>90</v>
      </c>
      <c r="H281" s="9">
        <v>3</v>
      </c>
      <c r="I281" s="9">
        <v>1.0149999999999999</v>
      </c>
      <c r="J281" s="9">
        <v>52</v>
      </c>
      <c r="K281" s="9" t="s">
        <v>424</v>
      </c>
      <c r="L281" s="9"/>
      <c r="M281" s="9"/>
      <c r="N281" s="9" t="str">
        <f ca="1">IFERROR(__xludf.DUMMYFUNCTION("IFERROR(VALUE(REGEXEXTRACT(TO_TEXT($F281), N$1 &amp; ""x(\d+)"")), """")
"),"")</f>
        <v/>
      </c>
      <c r="O281" s="9" t="str">
        <f ca="1">IFERROR(__xludf.DUMMYFUNCTION("IFERROR(VALUE(REGEXEXTRACT(TO_TEXT($F281), O$1 &amp; ""x(\d+)"")), """")"),"")</f>
        <v/>
      </c>
      <c r="P281" s="9">
        <f ca="1">IFERROR(__xludf.DUMMYFUNCTION("IFERROR(VALUE(REGEXEXTRACT(TO_TEXT($F281), P$1 &amp; ""x(\d+)"")), """")"),1)</f>
        <v>1</v>
      </c>
      <c r="Q281" s="9" t="str">
        <f ca="1">IFERROR(__xludf.DUMMYFUNCTION("IFERROR(VALUE(REGEXEXTRACT(TO_TEXT($F281), Q$1 &amp; ""x(\d+)"")), """")"),"")</f>
        <v/>
      </c>
      <c r="R281" s="9">
        <f ca="1">IFERROR(__xludf.DUMMYFUNCTION("IFERROR(VALUE(REGEXEXTRACT(TO_TEXT($F281), R$1 &amp; ""x(\d+)"")), """")"),1)</f>
        <v>1</v>
      </c>
      <c r="S281" s="9" t="str">
        <f ca="1">IFERROR(__xludf.DUMMYFUNCTION("IFERROR(VALUE(REGEXEXTRACT(TO_TEXT($F281), S$1 &amp; ""x(\d+)"")), """")"),"")</f>
        <v/>
      </c>
      <c r="T281" s="9" t="str">
        <f ca="1">IFERROR(__xludf.DUMMYFUNCTION("IFERROR(VALUE(REGEXEXTRACT(TO_TEXT($F281), T$1 &amp; ""x(\d+)"")), """")"),"")</f>
        <v/>
      </c>
      <c r="U281" s="9" t="str">
        <f ca="1">IFERROR(__xludf.DUMMYFUNCTION("IFERROR(VALUE(REGEXEXTRACT(TO_TEXT($F281), U$1 &amp; ""x(\d+)"")), """")"),"")</f>
        <v/>
      </c>
      <c r="V281" s="9" t="str">
        <f ca="1">IFERROR(__xludf.DUMMYFUNCTION("IFERROR(VALUE(REGEXEXTRACT(TO_TEXT($F281), V$1 &amp; ""x(\d+)"")), """")"),"")</f>
        <v/>
      </c>
      <c r="W281" s="9"/>
      <c r="X281" s="9"/>
      <c r="Y281" s="9"/>
      <c r="Z281" s="9"/>
    </row>
    <row r="282" spans="1:26" ht="15.75" hidden="1" customHeight="1">
      <c r="A282" s="9" t="s">
        <v>1349</v>
      </c>
      <c r="B282" s="9" t="s">
        <v>1350</v>
      </c>
      <c r="C282" s="9" t="s">
        <v>910</v>
      </c>
      <c r="D282" s="9" t="s">
        <v>48</v>
      </c>
      <c r="E282" s="9" t="s">
        <v>11</v>
      </c>
      <c r="F282" s="9" t="s">
        <v>1346</v>
      </c>
      <c r="G282" s="9">
        <v>20</v>
      </c>
      <c r="H282" s="9">
        <v>3</v>
      </c>
      <c r="I282" s="9">
        <v>1.0149999999999999</v>
      </c>
      <c r="J282" s="9">
        <v>52</v>
      </c>
      <c r="K282" s="9" t="s">
        <v>424</v>
      </c>
      <c r="L282" s="9"/>
      <c r="M282" s="9"/>
      <c r="N282" s="9" t="str">
        <f ca="1">IFERROR(__xludf.DUMMYFUNCTION("IFERROR(VALUE(REGEXEXTRACT(TO_TEXT($F282), N$1 &amp; ""x(\d+)"")), """")
"),"")</f>
        <v/>
      </c>
      <c r="O282" s="9" t="str">
        <f ca="1">IFERROR(__xludf.DUMMYFUNCTION("IFERROR(VALUE(REGEXEXTRACT(TO_TEXT($F282), O$1 &amp; ""x(\d+)"")), """")"),"")</f>
        <v/>
      </c>
      <c r="P282" s="9" t="str">
        <f ca="1">IFERROR(__xludf.DUMMYFUNCTION("IFERROR(VALUE(REGEXEXTRACT(TO_TEXT($F282), P$1 &amp; ""x(\d+)"")), """")"),"")</f>
        <v/>
      </c>
      <c r="Q282" s="9" t="str">
        <f ca="1">IFERROR(__xludf.DUMMYFUNCTION("IFERROR(VALUE(REGEXEXTRACT(TO_TEXT($F282), Q$1 &amp; ""x(\d+)"")), """")"),"")</f>
        <v/>
      </c>
      <c r="R282" s="9" t="str">
        <f ca="1">IFERROR(__xludf.DUMMYFUNCTION("IFERROR(VALUE(REGEXEXTRACT(TO_TEXT($F282), R$1 &amp; ""x(\d+)"")), """")"),"")</f>
        <v/>
      </c>
      <c r="S282" s="9" t="str">
        <f ca="1">IFERROR(__xludf.DUMMYFUNCTION("IFERROR(VALUE(REGEXEXTRACT(TO_TEXT($F282), S$1 &amp; ""x(\d+)"")), """")"),"")</f>
        <v/>
      </c>
      <c r="T282" s="9" t="str">
        <f ca="1">IFERROR(__xludf.DUMMYFUNCTION("IFERROR(VALUE(REGEXEXTRACT(TO_TEXT($F282), T$1 &amp; ""x(\d+)"")), """")"),"")</f>
        <v/>
      </c>
      <c r="U282" s="9" t="str">
        <f ca="1">IFERROR(__xludf.DUMMYFUNCTION("IFERROR(VALUE(REGEXEXTRACT(TO_TEXT($F282), U$1 &amp; ""x(\d+)"")), """")"),"")</f>
        <v/>
      </c>
      <c r="V282" s="9" t="str">
        <f ca="1">IFERROR(__xludf.DUMMYFUNCTION("IFERROR(VALUE(REGEXEXTRACT(TO_TEXT($F282), V$1 &amp; ""x(\d+)"")), """")"),"")</f>
        <v/>
      </c>
      <c r="W282" s="9"/>
      <c r="X282" s="9"/>
      <c r="Y282" s="9"/>
      <c r="Z282" s="9"/>
    </row>
    <row r="283" spans="1:26" ht="15.75" hidden="1" customHeight="1">
      <c r="A283" s="9" t="s">
        <v>1349</v>
      </c>
      <c r="B283" s="9" t="s">
        <v>1350</v>
      </c>
      <c r="C283" s="9" t="s">
        <v>910</v>
      </c>
      <c r="D283" s="9" t="s">
        <v>48</v>
      </c>
      <c r="E283" s="9" t="s">
        <v>12</v>
      </c>
      <c r="F283" s="9" t="s">
        <v>1347</v>
      </c>
      <c r="G283" s="9">
        <v>140</v>
      </c>
      <c r="H283" s="9">
        <v>3</v>
      </c>
      <c r="I283" s="9">
        <v>1.0149999999999999</v>
      </c>
      <c r="J283" s="9">
        <v>52</v>
      </c>
      <c r="K283" s="9" t="s">
        <v>424</v>
      </c>
      <c r="L283" s="9" t="s">
        <v>1210</v>
      </c>
      <c r="M283" s="9"/>
      <c r="N283" s="9" t="str">
        <f ca="1">IFERROR(__xludf.DUMMYFUNCTION("IFERROR(VALUE(REGEXEXTRACT(TO_TEXT($F283), N$1 &amp; ""x(\d+)"")), """")
"),"")</f>
        <v/>
      </c>
      <c r="O283" s="9" t="str">
        <f ca="1">IFERROR(__xludf.DUMMYFUNCTION("IFERROR(VALUE(REGEXEXTRACT(TO_TEXT($F283), O$1 &amp; ""x(\d+)"")), """")"),"")</f>
        <v/>
      </c>
      <c r="P283" s="9">
        <f ca="1">IFERROR(__xludf.DUMMYFUNCTION("IFERROR(VALUE(REGEXEXTRACT(TO_TEXT($F283), P$1 &amp; ""x(\d+)"")), """")"),1)</f>
        <v>1</v>
      </c>
      <c r="Q283" s="9" t="str">
        <f ca="1">IFERROR(__xludf.DUMMYFUNCTION("IFERROR(VALUE(REGEXEXTRACT(TO_TEXT($F283), Q$1 &amp; ""x(\d+)"")), """")"),"")</f>
        <v/>
      </c>
      <c r="R283" s="9">
        <f ca="1">IFERROR(__xludf.DUMMYFUNCTION("IFERROR(VALUE(REGEXEXTRACT(TO_TEXT($F283), R$1 &amp; ""x(\d+)"")), """")"),1)</f>
        <v>1</v>
      </c>
      <c r="S283" s="9" t="str">
        <f ca="1">IFERROR(__xludf.DUMMYFUNCTION("IFERROR(VALUE(REGEXEXTRACT(TO_TEXT($F283), S$1 &amp; ""x(\d+)"")), """")"),"")</f>
        <v/>
      </c>
      <c r="T283" s="9" t="str">
        <f ca="1">IFERROR(__xludf.DUMMYFUNCTION("IFERROR(VALUE(REGEXEXTRACT(TO_TEXT($F283), T$1 &amp; ""x(\d+)"")), """")"),"")</f>
        <v/>
      </c>
      <c r="U283" s="9" t="str">
        <f ca="1">IFERROR(__xludf.DUMMYFUNCTION("IFERROR(VALUE(REGEXEXTRACT(TO_TEXT($F283), U$1 &amp; ""x(\d+)"")), """")"),"")</f>
        <v/>
      </c>
      <c r="V283" s="9" t="str">
        <f ca="1">IFERROR(__xludf.DUMMYFUNCTION("IFERROR(VALUE(REGEXEXTRACT(TO_TEXT($F283), V$1 &amp; ""x(\d+)"")), """")"),"")</f>
        <v/>
      </c>
      <c r="W283" s="9"/>
      <c r="X283" s="9"/>
      <c r="Y283" s="9"/>
      <c r="Z283" s="9"/>
    </row>
    <row r="284" spans="1:26" ht="15.75" hidden="1" customHeight="1">
      <c r="A284" s="9" t="s">
        <v>1349</v>
      </c>
      <c r="B284" s="9" t="s">
        <v>1350</v>
      </c>
      <c r="C284" s="9" t="s">
        <v>910</v>
      </c>
      <c r="D284" s="9" t="s">
        <v>48</v>
      </c>
      <c r="E284" s="9" t="s">
        <v>13</v>
      </c>
      <c r="F284" s="9" t="s">
        <v>1348</v>
      </c>
      <c r="G284" s="9">
        <v>90</v>
      </c>
      <c r="H284" s="9">
        <v>3</v>
      </c>
      <c r="I284" s="9">
        <v>1.0149999999999999</v>
      </c>
      <c r="J284" s="9">
        <v>52</v>
      </c>
      <c r="K284" s="9" t="s">
        <v>424</v>
      </c>
      <c r="L284" s="9"/>
      <c r="M284" s="9"/>
      <c r="N284" s="9" t="str">
        <f ca="1">IFERROR(__xludf.DUMMYFUNCTION("IFERROR(VALUE(REGEXEXTRACT(TO_TEXT($F284), N$1 &amp; ""x(\d+)"")), """")
"),"")</f>
        <v/>
      </c>
      <c r="O284" s="9" t="str">
        <f ca="1">IFERROR(__xludf.DUMMYFUNCTION("IFERROR(VALUE(REGEXEXTRACT(TO_TEXT($F284), O$1 &amp; ""x(\d+)"")), """")"),"")</f>
        <v/>
      </c>
      <c r="P284" s="9">
        <f ca="1">IFERROR(__xludf.DUMMYFUNCTION("IFERROR(VALUE(REGEXEXTRACT(TO_TEXT($F284), P$1 &amp; ""x(\d+)"")), """")"),1)</f>
        <v>1</v>
      </c>
      <c r="Q284" s="9" t="str">
        <f ca="1">IFERROR(__xludf.DUMMYFUNCTION("IFERROR(VALUE(REGEXEXTRACT(TO_TEXT($F284), Q$1 &amp; ""x(\d+)"")), """")"),"")</f>
        <v/>
      </c>
      <c r="R284" s="9">
        <f ca="1">IFERROR(__xludf.DUMMYFUNCTION("IFERROR(VALUE(REGEXEXTRACT(TO_TEXT($F284), R$1 &amp; ""x(\d+)"")), """")"),1)</f>
        <v>1</v>
      </c>
      <c r="S284" s="9" t="str">
        <f ca="1">IFERROR(__xludf.DUMMYFUNCTION("IFERROR(VALUE(REGEXEXTRACT(TO_TEXT($F284), S$1 &amp; ""x(\d+)"")), """")"),"")</f>
        <v/>
      </c>
      <c r="T284" s="9" t="str">
        <f ca="1">IFERROR(__xludf.DUMMYFUNCTION("IFERROR(VALUE(REGEXEXTRACT(TO_TEXT($F284), T$1 &amp; ""x(\d+)"")), """")"),"")</f>
        <v/>
      </c>
      <c r="U284" s="9" t="str">
        <f ca="1">IFERROR(__xludf.DUMMYFUNCTION("IFERROR(VALUE(REGEXEXTRACT(TO_TEXT($F284), U$1 &amp; ""x(\d+)"")), """")"),"")</f>
        <v/>
      </c>
      <c r="V284" s="9" t="str">
        <f ca="1">IFERROR(__xludf.DUMMYFUNCTION("IFERROR(VALUE(REGEXEXTRACT(TO_TEXT($F284), V$1 &amp; ""x(\d+)"")), """")"),"")</f>
        <v/>
      </c>
      <c r="W284" s="9"/>
      <c r="X284" s="9"/>
      <c r="Y284" s="9"/>
      <c r="Z284" s="9"/>
    </row>
    <row r="285" spans="1:26" ht="15.75" hidden="1" customHeight="1">
      <c r="A285" s="9" t="s">
        <v>1351</v>
      </c>
      <c r="B285" s="9" t="s">
        <v>1352</v>
      </c>
      <c r="C285" s="9" t="s">
        <v>893</v>
      </c>
      <c r="D285" s="9" t="s">
        <v>48</v>
      </c>
      <c r="E285" s="9" t="s">
        <v>11</v>
      </c>
      <c r="F285" s="9" t="s">
        <v>1353</v>
      </c>
      <c r="G285" s="9">
        <v>30</v>
      </c>
      <c r="H285" s="9">
        <v>5</v>
      </c>
      <c r="I285" s="9">
        <v>1.0149999999999999</v>
      </c>
      <c r="J285" s="9">
        <v>52</v>
      </c>
      <c r="K285" s="9" t="s">
        <v>424</v>
      </c>
      <c r="L285" s="9"/>
      <c r="M285" s="9"/>
      <c r="N285" s="9" t="str">
        <f ca="1">IFERROR(__xludf.DUMMYFUNCTION("IFERROR(VALUE(REGEXEXTRACT(TO_TEXT($F285), N$1 &amp; ""x(\d+)"")), """")
"),"")</f>
        <v/>
      </c>
      <c r="O285" s="9" t="str">
        <f ca="1">IFERROR(__xludf.DUMMYFUNCTION("IFERROR(VALUE(REGEXEXTRACT(TO_TEXT($F285), O$1 &amp; ""x(\d+)"")), """")"),"")</f>
        <v/>
      </c>
      <c r="P285" s="9" t="str">
        <f ca="1">IFERROR(__xludf.DUMMYFUNCTION("IFERROR(VALUE(REGEXEXTRACT(TO_TEXT($F285), P$1 &amp; ""x(\d+)"")), """")"),"")</f>
        <v/>
      </c>
      <c r="Q285" s="9" t="str">
        <f ca="1">IFERROR(__xludf.DUMMYFUNCTION("IFERROR(VALUE(REGEXEXTRACT(TO_TEXT($F285), Q$1 &amp; ""x(\d+)"")), """")"),"")</f>
        <v/>
      </c>
      <c r="R285" s="9" t="str">
        <f ca="1">IFERROR(__xludf.DUMMYFUNCTION("IFERROR(VALUE(REGEXEXTRACT(TO_TEXT($F285), R$1 &amp; ""x(\d+)"")), """")"),"")</f>
        <v/>
      </c>
      <c r="S285" s="9" t="str">
        <f ca="1">IFERROR(__xludf.DUMMYFUNCTION("IFERROR(VALUE(REGEXEXTRACT(TO_TEXT($F285), S$1 &amp; ""x(\d+)"")), """")"),"")</f>
        <v/>
      </c>
      <c r="T285" s="9" t="str">
        <f ca="1">IFERROR(__xludf.DUMMYFUNCTION("IFERROR(VALUE(REGEXEXTRACT(TO_TEXT($F285), T$1 &amp; ""x(\d+)"")), """")"),"")</f>
        <v/>
      </c>
      <c r="U285" s="9" t="str">
        <f ca="1">IFERROR(__xludf.DUMMYFUNCTION("IFERROR(VALUE(REGEXEXTRACT(TO_TEXT($F285), U$1 &amp; ""x(\d+)"")), """")"),"")</f>
        <v/>
      </c>
      <c r="V285" s="9" t="str">
        <f ca="1">IFERROR(__xludf.DUMMYFUNCTION("IFERROR(VALUE(REGEXEXTRACT(TO_TEXT($F285), V$1 &amp; ""x(\d+)"")), """")"),"")</f>
        <v/>
      </c>
      <c r="W285" s="9"/>
      <c r="X285" s="9"/>
      <c r="Y285" s="9"/>
      <c r="Z285" s="9"/>
    </row>
    <row r="286" spans="1:26" ht="15.75" hidden="1" customHeight="1">
      <c r="A286" s="9" t="s">
        <v>1351</v>
      </c>
      <c r="B286" s="9" t="s">
        <v>1352</v>
      </c>
      <c r="C286" s="9" t="s">
        <v>893</v>
      </c>
      <c r="D286" s="9" t="s">
        <v>48</v>
      </c>
      <c r="E286" s="9" t="s">
        <v>12</v>
      </c>
      <c r="F286" s="9" t="s">
        <v>1219</v>
      </c>
      <c r="G286" s="9">
        <v>165</v>
      </c>
      <c r="H286" s="9">
        <v>5</v>
      </c>
      <c r="I286" s="9">
        <v>1.0149999999999999</v>
      </c>
      <c r="J286" s="9">
        <v>52</v>
      </c>
      <c r="K286" s="9" t="s">
        <v>424</v>
      </c>
      <c r="L286" s="9"/>
      <c r="M286" s="9"/>
      <c r="N286" s="9" t="str">
        <f ca="1">IFERROR(__xludf.DUMMYFUNCTION("IFERROR(VALUE(REGEXEXTRACT(TO_TEXT($F286), N$1 &amp; ""x(\d+)"")), """")
"),"")</f>
        <v/>
      </c>
      <c r="O286" s="9" t="str">
        <f ca="1">IFERROR(__xludf.DUMMYFUNCTION("IFERROR(VALUE(REGEXEXTRACT(TO_TEXT($F286), O$1 &amp; ""x(\d+)"")), """")"),"")</f>
        <v/>
      </c>
      <c r="P286" s="9">
        <f ca="1">IFERROR(__xludf.DUMMYFUNCTION("IFERROR(VALUE(REGEXEXTRACT(TO_TEXT($F286), P$1 &amp; ""x(\d+)"")), """")"),1)</f>
        <v>1</v>
      </c>
      <c r="Q286" s="9" t="str">
        <f ca="1">IFERROR(__xludf.DUMMYFUNCTION("IFERROR(VALUE(REGEXEXTRACT(TO_TEXT($F286), Q$1 &amp; ""x(\d+)"")), """")"),"")</f>
        <v/>
      </c>
      <c r="R286" s="9" t="str">
        <f ca="1">IFERROR(__xludf.DUMMYFUNCTION("IFERROR(VALUE(REGEXEXTRACT(TO_TEXT($F286), R$1 &amp; ""x(\d+)"")), """")"),"")</f>
        <v/>
      </c>
      <c r="S286" s="9" t="str">
        <f ca="1">IFERROR(__xludf.DUMMYFUNCTION("IFERROR(VALUE(REGEXEXTRACT(TO_TEXT($F286), S$1 &amp; ""x(\d+)"")), """")"),"")</f>
        <v/>
      </c>
      <c r="T286" s="9">
        <f ca="1">IFERROR(__xludf.DUMMYFUNCTION("IFERROR(VALUE(REGEXEXTRACT(TO_TEXT($F286), T$1 &amp; ""x(\d+)"")), """")"),1)</f>
        <v>1</v>
      </c>
      <c r="U286" s="9" t="str">
        <f ca="1">IFERROR(__xludf.DUMMYFUNCTION("IFERROR(VALUE(REGEXEXTRACT(TO_TEXT($F286), U$1 &amp; ""x(\d+)"")), """")"),"")</f>
        <v/>
      </c>
      <c r="V286" s="9" t="str">
        <f ca="1">IFERROR(__xludf.DUMMYFUNCTION("IFERROR(VALUE(REGEXEXTRACT(TO_TEXT($F286), V$1 &amp; ""x(\d+)"")), """")"),"")</f>
        <v/>
      </c>
      <c r="W286" s="9"/>
      <c r="X286" s="9"/>
      <c r="Y286" s="9"/>
      <c r="Z286" s="9"/>
    </row>
    <row r="287" spans="1:26" ht="15.75" hidden="1" customHeight="1">
      <c r="A287" s="9" t="s">
        <v>1351</v>
      </c>
      <c r="B287" s="9" t="s">
        <v>1352</v>
      </c>
      <c r="C287" s="9" t="s">
        <v>893</v>
      </c>
      <c r="D287" s="9" t="s">
        <v>48</v>
      </c>
      <c r="E287" s="9" t="s">
        <v>13</v>
      </c>
      <c r="F287" s="9" t="s">
        <v>1220</v>
      </c>
      <c r="G287" s="9">
        <v>30</v>
      </c>
      <c r="H287" s="9">
        <v>5</v>
      </c>
      <c r="I287" s="9">
        <v>1.0149999999999999</v>
      </c>
      <c r="J287" s="9">
        <v>52</v>
      </c>
      <c r="K287" s="9" t="s">
        <v>424</v>
      </c>
      <c r="L287" s="9"/>
      <c r="M287" s="9"/>
      <c r="N287" s="9" t="str">
        <f ca="1">IFERROR(__xludf.DUMMYFUNCTION("IFERROR(VALUE(REGEXEXTRACT(TO_TEXT($F287), N$1 &amp; ""x(\d+)"")), """")
"),"")</f>
        <v/>
      </c>
      <c r="O287" s="9" t="str">
        <f ca="1">IFERROR(__xludf.DUMMYFUNCTION("IFERROR(VALUE(REGEXEXTRACT(TO_TEXT($F287), O$1 &amp; ""x(\d+)"")), """")"),"")</f>
        <v/>
      </c>
      <c r="P287" s="9">
        <f ca="1">IFERROR(__xludf.DUMMYFUNCTION("IFERROR(VALUE(REGEXEXTRACT(TO_TEXT($F287), P$1 &amp; ""x(\d+)"")), """")"),1)</f>
        <v>1</v>
      </c>
      <c r="Q287" s="9" t="str">
        <f ca="1">IFERROR(__xludf.DUMMYFUNCTION("IFERROR(VALUE(REGEXEXTRACT(TO_TEXT($F287), Q$1 &amp; ""x(\d+)"")), """")"),"")</f>
        <v/>
      </c>
      <c r="R287" s="9" t="str">
        <f ca="1">IFERROR(__xludf.DUMMYFUNCTION("IFERROR(VALUE(REGEXEXTRACT(TO_TEXT($F287), R$1 &amp; ""x(\d+)"")), """")"),"")</f>
        <v/>
      </c>
      <c r="S287" s="9" t="str">
        <f ca="1">IFERROR(__xludf.DUMMYFUNCTION("IFERROR(VALUE(REGEXEXTRACT(TO_TEXT($F287), S$1 &amp; ""x(\d+)"")), """")"),"")</f>
        <v/>
      </c>
      <c r="T287" s="9" t="str">
        <f ca="1">IFERROR(__xludf.DUMMYFUNCTION("IFERROR(VALUE(REGEXEXTRACT(TO_TEXT($F287), T$1 &amp; ""x(\d+)"")), """")"),"")</f>
        <v/>
      </c>
      <c r="U287" s="9" t="str">
        <f ca="1">IFERROR(__xludf.DUMMYFUNCTION("IFERROR(VALUE(REGEXEXTRACT(TO_TEXT($F287), U$1 &amp; ""x(\d+)"")), """")"),"")</f>
        <v/>
      </c>
      <c r="V287" s="9" t="str">
        <f ca="1">IFERROR(__xludf.DUMMYFUNCTION("IFERROR(VALUE(REGEXEXTRACT(TO_TEXT($F287), V$1 &amp; ""x(\d+)"")), """")"),"")</f>
        <v/>
      </c>
      <c r="W287" s="9"/>
      <c r="X287" s="9"/>
      <c r="Y287" s="9"/>
      <c r="Z287" s="9"/>
    </row>
    <row r="288" spans="1:26" ht="15.75" hidden="1" customHeight="1">
      <c r="A288" s="9" t="s">
        <v>1351</v>
      </c>
      <c r="B288" s="9" t="s">
        <v>1352</v>
      </c>
      <c r="C288" s="9" t="s">
        <v>893</v>
      </c>
      <c r="D288" s="9" t="s">
        <v>74</v>
      </c>
      <c r="E288" s="9" t="s">
        <v>11</v>
      </c>
      <c r="F288" s="9" t="s">
        <v>1354</v>
      </c>
      <c r="G288" s="9">
        <v>25</v>
      </c>
      <c r="H288" s="9">
        <v>3</v>
      </c>
      <c r="I288" s="9">
        <v>1.0149999999999999</v>
      </c>
      <c r="J288" s="9">
        <v>103</v>
      </c>
      <c r="K288" s="9" t="s">
        <v>424</v>
      </c>
      <c r="L288" s="9"/>
      <c r="M288" s="9"/>
      <c r="N288" s="9" t="str">
        <f ca="1">IFERROR(__xludf.DUMMYFUNCTION("IFERROR(VALUE(REGEXEXTRACT(TO_TEXT($F288), N$1 &amp; ""x(\d+)"")), """")
"),"")</f>
        <v/>
      </c>
      <c r="O288" s="9" t="str">
        <f ca="1">IFERROR(__xludf.DUMMYFUNCTION("IFERROR(VALUE(REGEXEXTRACT(TO_TEXT($F288), O$1 &amp; ""x(\d+)"")), """")"),"")</f>
        <v/>
      </c>
      <c r="P288" s="9" t="str">
        <f ca="1">IFERROR(__xludf.DUMMYFUNCTION("IFERROR(VALUE(REGEXEXTRACT(TO_TEXT($F288), P$1 &amp; ""x(\d+)"")), """")"),"")</f>
        <v/>
      </c>
      <c r="Q288" s="9" t="str">
        <f ca="1">IFERROR(__xludf.DUMMYFUNCTION("IFERROR(VALUE(REGEXEXTRACT(TO_TEXT($F288), Q$1 &amp; ""x(\d+)"")), """")"),"")</f>
        <v/>
      </c>
      <c r="R288" s="9" t="str">
        <f ca="1">IFERROR(__xludf.DUMMYFUNCTION("IFERROR(VALUE(REGEXEXTRACT(TO_TEXT($F288), R$1 &amp; ""x(\d+)"")), """")"),"")</f>
        <v/>
      </c>
      <c r="S288" s="9" t="str">
        <f ca="1">IFERROR(__xludf.DUMMYFUNCTION("IFERROR(VALUE(REGEXEXTRACT(TO_TEXT($F288), S$1 &amp; ""x(\d+)"")), """")"),"")</f>
        <v/>
      </c>
      <c r="T288" s="9" t="str">
        <f ca="1">IFERROR(__xludf.DUMMYFUNCTION("IFERROR(VALUE(REGEXEXTRACT(TO_TEXT($F288), T$1 &amp; ""x(\d+)"")), """")"),"")</f>
        <v/>
      </c>
      <c r="U288" s="9" t="str">
        <f ca="1">IFERROR(__xludf.DUMMYFUNCTION("IFERROR(VALUE(REGEXEXTRACT(TO_TEXT($F288), U$1 &amp; ""x(\d+)"")), """")"),"")</f>
        <v/>
      </c>
      <c r="V288" s="9" t="str">
        <f ca="1">IFERROR(__xludf.DUMMYFUNCTION("IFERROR(VALUE(REGEXEXTRACT(TO_TEXT($F288), V$1 &amp; ""x(\d+)"")), """")"),"")</f>
        <v/>
      </c>
      <c r="W288" s="9"/>
      <c r="X288" s="9"/>
      <c r="Y288" s="9"/>
      <c r="Z288" s="9"/>
    </row>
    <row r="289" spans="1:26" ht="15.75" hidden="1" customHeight="1">
      <c r="A289" s="9" t="s">
        <v>1351</v>
      </c>
      <c r="B289" s="9" t="s">
        <v>1352</v>
      </c>
      <c r="C289" s="9" t="s">
        <v>893</v>
      </c>
      <c r="D289" s="9" t="s">
        <v>74</v>
      </c>
      <c r="E289" s="9" t="s">
        <v>12</v>
      </c>
      <c r="F289" s="9" t="s">
        <v>1355</v>
      </c>
      <c r="G289" s="9">
        <v>165</v>
      </c>
      <c r="H289" s="9">
        <v>3</v>
      </c>
      <c r="I289" s="9">
        <v>1.0149999999999999</v>
      </c>
      <c r="J289" s="9">
        <v>103</v>
      </c>
      <c r="K289" s="9" t="s">
        <v>424</v>
      </c>
      <c r="L289" s="9" t="s">
        <v>1015</v>
      </c>
      <c r="M289" s="9"/>
      <c r="N289" s="9" t="str">
        <f ca="1">IFERROR(__xludf.DUMMYFUNCTION("IFERROR(VALUE(REGEXEXTRACT(TO_TEXT($F289), N$1 &amp; ""x(\d+)"")), """")
"),"")</f>
        <v/>
      </c>
      <c r="O289" s="9" t="str">
        <f ca="1">IFERROR(__xludf.DUMMYFUNCTION("IFERROR(VALUE(REGEXEXTRACT(TO_TEXT($F289), O$1 &amp; ""x(\d+)"")), """")"),"")</f>
        <v/>
      </c>
      <c r="P289" s="9" t="str">
        <f ca="1">IFERROR(__xludf.DUMMYFUNCTION("IFERROR(VALUE(REGEXEXTRACT(TO_TEXT($F289), P$1 &amp; ""x(\d+)"")), """")"),"")</f>
        <v/>
      </c>
      <c r="Q289" s="9">
        <f ca="1">IFERROR(__xludf.DUMMYFUNCTION("IFERROR(VALUE(REGEXEXTRACT(TO_TEXT($F289), Q$1 &amp; ""x(\d+)"")), """")"),1)</f>
        <v>1</v>
      </c>
      <c r="R289" s="9" t="str">
        <f ca="1">IFERROR(__xludf.DUMMYFUNCTION("IFERROR(VALUE(REGEXEXTRACT(TO_TEXT($F289), R$1 &amp; ""x(\d+)"")), """")"),"")</f>
        <v/>
      </c>
      <c r="S289" s="9" t="str">
        <f ca="1">IFERROR(__xludf.DUMMYFUNCTION("IFERROR(VALUE(REGEXEXTRACT(TO_TEXT($F289), S$1 &amp; ""x(\d+)"")), """")"),"")</f>
        <v/>
      </c>
      <c r="T289" s="9" t="str">
        <f ca="1">IFERROR(__xludf.DUMMYFUNCTION("IFERROR(VALUE(REGEXEXTRACT(TO_TEXT($F289), T$1 &amp; ""x(\d+)"")), """")"),"")</f>
        <v/>
      </c>
      <c r="U289" s="9" t="str">
        <f ca="1">IFERROR(__xludf.DUMMYFUNCTION("IFERROR(VALUE(REGEXEXTRACT(TO_TEXT($F289), U$1 &amp; ""x(\d+)"")), """")"),"")</f>
        <v/>
      </c>
      <c r="V289" s="9" t="str">
        <f ca="1">IFERROR(__xludf.DUMMYFUNCTION("IFERROR(VALUE(REGEXEXTRACT(TO_TEXT($F289), V$1 &amp; ""x(\d+)"")), """")"),"")</f>
        <v/>
      </c>
      <c r="W289" s="9"/>
      <c r="X289" s="9"/>
      <c r="Y289" s="9"/>
      <c r="Z289" s="9"/>
    </row>
    <row r="290" spans="1:26" ht="15.75" hidden="1" customHeight="1">
      <c r="A290" s="9" t="s">
        <v>1351</v>
      </c>
      <c r="B290" s="9" t="s">
        <v>1352</v>
      </c>
      <c r="C290" s="9" t="s">
        <v>893</v>
      </c>
      <c r="D290" s="9" t="s">
        <v>74</v>
      </c>
      <c r="E290" s="9" t="s">
        <v>13</v>
      </c>
      <c r="F290" s="9" t="s">
        <v>1233</v>
      </c>
      <c r="G290" s="9">
        <v>40</v>
      </c>
      <c r="H290" s="9">
        <v>3</v>
      </c>
      <c r="I290" s="9">
        <v>1.0149999999999999</v>
      </c>
      <c r="J290" s="9">
        <v>103</v>
      </c>
      <c r="K290" s="9" t="s">
        <v>424</v>
      </c>
      <c r="L290" s="9"/>
      <c r="M290" s="9"/>
      <c r="N290" s="9" t="str">
        <f ca="1">IFERROR(__xludf.DUMMYFUNCTION("IFERROR(VALUE(REGEXEXTRACT(TO_TEXT($F290), N$1 &amp; ""x(\d+)"")), """")
"),"")</f>
        <v/>
      </c>
      <c r="O290" s="9" t="str">
        <f ca="1">IFERROR(__xludf.DUMMYFUNCTION("IFERROR(VALUE(REGEXEXTRACT(TO_TEXT($F290), O$1 &amp; ""x(\d+)"")), """")"),"")</f>
        <v/>
      </c>
      <c r="P290" s="9" t="str">
        <f ca="1">IFERROR(__xludf.DUMMYFUNCTION("IFERROR(VALUE(REGEXEXTRACT(TO_TEXT($F290), P$1 &amp; ""x(\d+)"")), """")"),"")</f>
        <v/>
      </c>
      <c r="Q290" s="9">
        <f ca="1">IFERROR(__xludf.DUMMYFUNCTION("IFERROR(VALUE(REGEXEXTRACT(TO_TEXT($F290), Q$1 &amp; ""x(\d+)"")), """")"),1)</f>
        <v>1</v>
      </c>
      <c r="R290" s="9" t="str">
        <f ca="1">IFERROR(__xludf.DUMMYFUNCTION("IFERROR(VALUE(REGEXEXTRACT(TO_TEXT($F290), R$1 &amp; ""x(\d+)"")), """")"),"")</f>
        <v/>
      </c>
      <c r="S290" s="9" t="str">
        <f ca="1">IFERROR(__xludf.DUMMYFUNCTION("IFERROR(VALUE(REGEXEXTRACT(TO_TEXT($F290), S$1 &amp; ""x(\d+)"")), """")"),"")</f>
        <v/>
      </c>
      <c r="T290" s="9" t="str">
        <f ca="1">IFERROR(__xludf.DUMMYFUNCTION("IFERROR(VALUE(REGEXEXTRACT(TO_TEXT($F290), T$1 &amp; ""x(\d+)"")), """")"),"")</f>
        <v/>
      </c>
      <c r="U290" s="9" t="str">
        <f ca="1">IFERROR(__xludf.DUMMYFUNCTION("IFERROR(VALUE(REGEXEXTRACT(TO_TEXT($F290), U$1 &amp; ""x(\d+)"")), """")"),"")</f>
        <v/>
      </c>
      <c r="V290" s="9" t="str">
        <f ca="1">IFERROR(__xludf.DUMMYFUNCTION("IFERROR(VALUE(REGEXEXTRACT(TO_TEXT($F290), V$1 &amp; ""x(\d+)"")), """")"),"")</f>
        <v/>
      </c>
      <c r="W290" s="9"/>
      <c r="X290" s="9"/>
      <c r="Y290" s="9"/>
      <c r="Z290" s="9"/>
    </row>
    <row r="291" spans="1:26" ht="15.75" hidden="1" customHeight="1">
      <c r="A291" s="9" t="s">
        <v>1356</v>
      </c>
      <c r="B291" s="9" t="s">
        <v>1357</v>
      </c>
      <c r="C291" s="9" t="s">
        <v>912</v>
      </c>
      <c r="D291" s="9" t="s">
        <v>48</v>
      </c>
      <c r="E291" s="9" t="s">
        <v>11</v>
      </c>
      <c r="F291" s="9" t="s">
        <v>1353</v>
      </c>
      <c r="G291" s="9">
        <v>30</v>
      </c>
      <c r="H291" s="9">
        <v>5</v>
      </c>
      <c r="I291" s="9">
        <v>1.0149999999999999</v>
      </c>
      <c r="J291" s="9">
        <v>52</v>
      </c>
      <c r="K291" s="9" t="s">
        <v>424</v>
      </c>
      <c r="L291" s="9"/>
      <c r="M291" s="9"/>
      <c r="N291" s="9" t="str">
        <f ca="1">IFERROR(__xludf.DUMMYFUNCTION("IFERROR(VALUE(REGEXEXTRACT(TO_TEXT($F291), N$1 &amp; ""x(\d+)"")), """")
"),"")</f>
        <v/>
      </c>
      <c r="O291" s="9" t="str">
        <f ca="1">IFERROR(__xludf.DUMMYFUNCTION("IFERROR(VALUE(REGEXEXTRACT(TO_TEXT($F291), O$1 &amp; ""x(\d+)"")), """")"),"")</f>
        <v/>
      </c>
      <c r="P291" s="9" t="str">
        <f ca="1">IFERROR(__xludf.DUMMYFUNCTION("IFERROR(VALUE(REGEXEXTRACT(TO_TEXT($F291), P$1 &amp; ""x(\d+)"")), """")"),"")</f>
        <v/>
      </c>
      <c r="Q291" s="9" t="str">
        <f ca="1">IFERROR(__xludf.DUMMYFUNCTION("IFERROR(VALUE(REGEXEXTRACT(TO_TEXT($F291), Q$1 &amp; ""x(\d+)"")), """")"),"")</f>
        <v/>
      </c>
      <c r="R291" s="9" t="str">
        <f ca="1">IFERROR(__xludf.DUMMYFUNCTION("IFERROR(VALUE(REGEXEXTRACT(TO_TEXT($F291), R$1 &amp; ""x(\d+)"")), """")"),"")</f>
        <v/>
      </c>
      <c r="S291" s="9" t="str">
        <f ca="1">IFERROR(__xludf.DUMMYFUNCTION("IFERROR(VALUE(REGEXEXTRACT(TO_TEXT($F291), S$1 &amp; ""x(\d+)"")), """")"),"")</f>
        <v/>
      </c>
      <c r="T291" s="9" t="str">
        <f ca="1">IFERROR(__xludf.DUMMYFUNCTION("IFERROR(VALUE(REGEXEXTRACT(TO_TEXT($F291), T$1 &amp; ""x(\d+)"")), """")"),"")</f>
        <v/>
      </c>
      <c r="U291" s="9" t="str">
        <f ca="1">IFERROR(__xludf.DUMMYFUNCTION("IFERROR(VALUE(REGEXEXTRACT(TO_TEXT($F291), U$1 &amp; ""x(\d+)"")), """")"),"")</f>
        <v/>
      </c>
      <c r="V291" s="9" t="str">
        <f ca="1">IFERROR(__xludf.DUMMYFUNCTION("IFERROR(VALUE(REGEXEXTRACT(TO_TEXT($F291), V$1 &amp; ""x(\d+)"")), """")"),"")</f>
        <v/>
      </c>
      <c r="W291" s="9"/>
      <c r="X291" s="9"/>
      <c r="Y291" s="9"/>
      <c r="Z291" s="9"/>
    </row>
    <row r="292" spans="1:26" ht="15.75" hidden="1" customHeight="1">
      <c r="A292" s="9" t="s">
        <v>1356</v>
      </c>
      <c r="B292" s="9" t="s">
        <v>1357</v>
      </c>
      <c r="C292" s="9" t="s">
        <v>912</v>
      </c>
      <c r="D292" s="9" t="s">
        <v>48</v>
      </c>
      <c r="E292" s="9" t="s">
        <v>12</v>
      </c>
      <c r="F292" s="9" t="s">
        <v>1358</v>
      </c>
      <c r="G292" s="9">
        <v>160</v>
      </c>
      <c r="H292" s="9">
        <v>5</v>
      </c>
      <c r="I292" s="9">
        <v>1.0149999999999999</v>
      </c>
      <c r="J292" s="9">
        <v>52</v>
      </c>
      <c r="K292" s="9" t="s">
        <v>424</v>
      </c>
      <c r="L292" s="9" t="s">
        <v>1015</v>
      </c>
      <c r="M292" s="9"/>
      <c r="N292" s="9" t="str">
        <f ca="1">IFERROR(__xludf.DUMMYFUNCTION("IFERROR(VALUE(REGEXEXTRACT(TO_TEXT($F292), N$1 &amp; ""x(\d+)"")), """")
"),"")</f>
        <v/>
      </c>
      <c r="O292" s="9" t="str">
        <f ca="1">IFERROR(__xludf.DUMMYFUNCTION("IFERROR(VALUE(REGEXEXTRACT(TO_TEXT($F292), O$1 &amp; ""x(\d+)"")), """")"),"")</f>
        <v/>
      </c>
      <c r="P292" s="9">
        <f ca="1">IFERROR(__xludf.DUMMYFUNCTION("IFERROR(VALUE(REGEXEXTRACT(TO_TEXT($F292), P$1 &amp; ""x(\d+)"")), """")"),1)</f>
        <v>1</v>
      </c>
      <c r="Q292" s="9" t="str">
        <f ca="1">IFERROR(__xludf.DUMMYFUNCTION("IFERROR(VALUE(REGEXEXTRACT(TO_TEXT($F292), Q$1 &amp; ""x(\d+)"")), """")"),"")</f>
        <v/>
      </c>
      <c r="R292" s="9" t="str">
        <f ca="1">IFERROR(__xludf.DUMMYFUNCTION("IFERROR(VALUE(REGEXEXTRACT(TO_TEXT($F292), R$1 &amp; ""x(\d+)"")), """")"),"")</f>
        <v/>
      </c>
      <c r="S292" s="9" t="str">
        <f ca="1">IFERROR(__xludf.DUMMYFUNCTION("IFERROR(VALUE(REGEXEXTRACT(TO_TEXT($F292), S$1 &amp; ""x(\d+)"")), """")"),"")</f>
        <v/>
      </c>
      <c r="T292" s="9">
        <f ca="1">IFERROR(__xludf.DUMMYFUNCTION("IFERROR(VALUE(REGEXEXTRACT(TO_TEXT($F292), T$1 &amp; ""x(\d+)"")), """")"),1)</f>
        <v>1</v>
      </c>
      <c r="U292" s="9" t="str">
        <f ca="1">IFERROR(__xludf.DUMMYFUNCTION("IFERROR(VALUE(REGEXEXTRACT(TO_TEXT($F292), U$1 &amp; ""x(\d+)"")), """")"),"")</f>
        <v/>
      </c>
      <c r="V292" s="9" t="str">
        <f ca="1">IFERROR(__xludf.DUMMYFUNCTION("IFERROR(VALUE(REGEXEXTRACT(TO_TEXT($F292), V$1 &amp; ""x(\d+)"")), """")"),"")</f>
        <v/>
      </c>
      <c r="W292" s="9"/>
      <c r="X292" s="9"/>
      <c r="Y292" s="9"/>
      <c r="Z292" s="9"/>
    </row>
    <row r="293" spans="1:26" ht="15.75" hidden="1" customHeight="1">
      <c r="A293" s="9" t="s">
        <v>1356</v>
      </c>
      <c r="B293" s="9" t="s">
        <v>1357</v>
      </c>
      <c r="C293" s="9" t="s">
        <v>912</v>
      </c>
      <c r="D293" s="9" t="s">
        <v>48</v>
      </c>
      <c r="E293" s="9" t="s">
        <v>13</v>
      </c>
      <c r="F293" s="9" t="s">
        <v>1359</v>
      </c>
      <c r="G293" s="9">
        <v>30</v>
      </c>
      <c r="H293" s="9">
        <v>5</v>
      </c>
      <c r="I293" s="9">
        <v>1.0149999999999999</v>
      </c>
      <c r="J293" s="9">
        <v>52</v>
      </c>
      <c r="K293" s="9" t="s">
        <v>424</v>
      </c>
      <c r="L293" s="9"/>
      <c r="M293" s="9"/>
      <c r="N293" s="9" t="str">
        <f ca="1">IFERROR(__xludf.DUMMYFUNCTION("IFERROR(VALUE(REGEXEXTRACT(TO_TEXT($F293), N$1 &amp; ""x(\d+)"")), """")
"),"")</f>
        <v/>
      </c>
      <c r="O293" s="9" t="str">
        <f ca="1">IFERROR(__xludf.DUMMYFUNCTION("IFERROR(VALUE(REGEXEXTRACT(TO_TEXT($F293), O$1 &amp; ""x(\d+)"")), """")"),"")</f>
        <v/>
      </c>
      <c r="P293" s="9">
        <f ca="1">IFERROR(__xludf.DUMMYFUNCTION("IFERROR(VALUE(REGEXEXTRACT(TO_TEXT($F293), P$1 &amp; ""x(\d+)"")), """")"),1)</f>
        <v>1</v>
      </c>
      <c r="Q293" s="9" t="str">
        <f ca="1">IFERROR(__xludf.DUMMYFUNCTION("IFERROR(VALUE(REGEXEXTRACT(TO_TEXT($F293), Q$1 &amp; ""x(\d+)"")), """")"),"")</f>
        <v/>
      </c>
      <c r="R293" s="9" t="str">
        <f ca="1">IFERROR(__xludf.DUMMYFUNCTION("IFERROR(VALUE(REGEXEXTRACT(TO_TEXT($F293), R$1 &amp; ""x(\d+)"")), """")"),"")</f>
        <v/>
      </c>
      <c r="S293" s="9" t="str">
        <f ca="1">IFERROR(__xludf.DUMMYFUNCTION("IFERROR(VALUE(REGEXEXTRACT(TO_TEXT($F293), S$1 &amp; ""x(\d+)"")), """")"),"")</f>
        <v/>
      </c>
      <c r="T293" s="9">
        <f ca="1">IFERROR(__xludf.DUMMYFUNCTION("IFERROR(VALUE(REGEXEXTRACT(TO_TEXT($F293), T$1 &amp; ""x(\d+)"")), """")"),1)</f>
        <v>1</v>
      </c>
      <c r="U293" s="9" t="str">
        <f ca="1">IFERROR(__xludf.DUMMYFUNCTION("IFERROR(VALUE(REGEXEXTRACT(TO_TEXT($F293), U$1 &amp; ""x(\d+)"")), """")"),"")</f>
        <v/>
      </c>
      <c r="V293" s="9" t="str">
        <f ca="1">IFERROR(__xludf.DUMMYFUNCTION("IFERROR(VALUE(REGEXEXTRACT(TO_TEXT($F293), V$1 &amp; ""x(\d+)"")), """")"),"")</f>
        <v/>
      </c>
      <c r="W293" s="9"/>
      <c r="X293" s="9"/>
      <c r="Y293" s="9"/>
      <c r="Z293" s="9"/>
    </row>
    <row r="294" spans="1:26" ht="15.75" hidden="1" customHeight="1">
      <c r="A294" s="9" t="s">
        <v>1356</v>
      </c>
      <c r="B294" s="9" t="s">
        <v>1357</v>
      </c>
      <c r="C294" s="9" t="s">
        <v>912</v>
      </c>
      <c r="D294" s="9" t="s">
        <v>74</v>
      </c>
      <c r="E294" s="9" t="s">
        <v>11</v>
      </c>
      <c r="F294" s="9" t="s">
        <v>1354</v>
      </c>
      <c r="G294" s="9">
        <v>25</v>
      </c>
      <c r="H294" s="9">
        <v>3</v>
      </c>
      <c r="I294" s="9">
        <v>1.0149999999999999</v>
      </c>
      <c r="J294" s="9">
        <v>103</v>
      </c>
      <c r="K294" s="9" t="s">
        <v>424</v>
      </c>
      <c r="L294" s="9"/>
      <c r="M294" s="9"/>
      <c r="N294" s="9" t="str">
        <f ca="1">IFERROR(__xludf.DUMMYFUNCTION("IFERROR(VALUE(REGEXEXTRACT(TO_TEXT($F294), N$1 &amp; ""x(\d+)"")), """")
"),"")</f>
        <v/>
      </c>
      <c r="O294" s="9" t="str">
        <f ca="1">IFERROR(__xludf.DUMMYFUNCTION("IFERROR(VALUE(REGEXEXTRACT(TO_TEXT($F294), O$1 &amp; ""x(\d+)"")), """")"),"")</f>
        <v/>
      </c>
      <c r="P294" s="9" t="str">
        <f ca="1">IFERROR(__xludf.DUMMYFUNCTION("IFERROR(VALUE(REGEXEXTRACT(TO_TEXT($F294), P$1 &amp; ""x(\d+)"")), """")"),"")</f>
        <v/>
      </c>
      <c r="Q294" s="9" t="str">
        <f ca="1">IFERROR(__xludf.DUMMYFUNCTION("IFERROR(VALUE(REGEXEXTRACT(TO_TEXT($F294), Q$1 &amp; ""x(\d+)"")), """")"),"")</f>
        <v/>
      </c>
      <c r="R294" s="9" t="str">
        <f ca="1">IFERROR(__xludf.DUMMYFUNCTION("IFERROR(VALUE(REGEXEXTRACT(TO_TEXT($F294), R$1 &amp; ""x(\d+)"")), """")"),"")</f>
        <v/>
      </c>
      <c r="S294" s="9" t="str">
        <f ca="1">IFERROR(__xludf.DUMMYFUNCTION("IFERROR(VALUE(REGEXEXTRACT(TO_TEXT($F294), S$1 &amp; ""x(\d+)"")), """")"),"")</f>
        <v/>
      </c>
      <c r="T294" s="9" t="str">
        <f ca="1">IFERROR(__xludf.DUMMYFUNCTION("IFERROR(VALUE(REGEXEXTRACT(TO_TEXT($F294), T$1 &amp; ""x(\d+)"")), """")"),"")</f>
        <v/>
      </c>
      <c r="U294" s="9" t="str">
        <f ca="1">IFERROR(__xludf.DUMMYFUNCTION("IFERROR(VALUE(REGEXEXTRACT(TO_TEXT($F294), U$1 &amp; ""x(\d+)"")), """")"),"")</f>
        <v/>
      </c>
      <c r="V294" s="9" t="str">
        <f ca="1">IFERROR(__xludf.DUMMYFUNCTION("IFERROR(VALUE(REGEXEXTRACT(TO_TEXT($F294), V$1 &amp; ""x(\d+)"")), """")"),"")</f>
        <v/>
      </c>
      <c r="W294" s="9"/>
      <c r="X294" s="9"/>
      <c r="Y294" s="9"/>
      <c r="Z294" s="9"/>
    </row>
    <row r="295" spans="1:26" ht="15.75" hidden="1" customHeight="1">
      <c r="A295" s="9" t="s">
        <v>1356</v>
      </c>
      <c r="B295" s="9" t="s">
        <v>1357</v>
      </c>
      <c r="C295" s="9" t="s">
        <v>912</v>
      </c>
      <c r="D295" s="9" t="s">
        <v>74</v>
      </c>
      <c r="E295" s="9" t="s">
        <v>12</v>
      </c>
      <c r="F295" s="9" t="s">
        <v>1355</v>
      </c>
      <c r="G295" s="9">
        <v>165</v>
      </c>
      <c r="H295" s="9">
        <v>3</v>
      </c>
      <c r="I295" s="9">
        <v>1.0149999999999999</v>
      </c>
      <c r="J295" s="9">
        <v>103</v>
      </c>
      <c r="K295" s="9" t="s">
        <v>424</v>
      </c>
      <c r="L295" s="9" t="s">
        <v>1015</v>
      </c>
      <c r="M295" s="9"/>
      <c r="N295" s="9" t="str">
        <f ca="1">IFERROR(__xludf.DUMMYFUNCTION("IFERROR(VALUE(REGEXEXTRACT(TO_TEXT($F295), N$1 &amp; ""x(\d+)"")), """")
"),"")</f>
        <v/>
      </c>
      <c r="O295" s="9" t="str">
        <f ca="1">IFERROR(__xludf.DUMMYFUNCTION("IFERROR(VALUE(REGEXEXTRACT(TO_TEXT($F295), O$1 &amp; ""x(\d+)"")), """")"),"")</f>
        <v/>
      </c>
      <c r="P295" s="9" t="str">
        <f ca="1">IFERROR(__xludf.DUMMYFUNCTION("IFERROR(VALUE(REGEXEXTRACT(TO_TEXT($F295), P$1 &amp; ""x(\d+)"")), """")"),"")</f>
        <v/>
      </c>
      <c r="Q295" s="9">
        <f ca="1">IFERROR(__xludf.DUMMYFUNCTION("IFERROR(VALUE(REGEXEXTRACT(TO_TEXT($F295), Q$1 &amp; ""x(\d+)"")), """")"),1)</f>
        <v>1</v>
      </c>
      <c r="R295" s="9" t="str">
        <f ca="1">IFERROR(__xludf.DUMMYFUNCTION("IFERROR(VALUE(REGEXEXTRACT(TO_TEXT($F295), R$1 &amp; ""x(\d+)"")), """")"),"")</f>
        <v/>
      </c>
      <c r="S295" s="9" t="str">
        <f ca="1">IFERROR(__xludf.DUMMYFUNCTION("IFERROR(VALUE(REGEXEXTRACT(TO_TEXT($F295), S$1 &amp; ""x(\d+)"")), """")"),"")</f>
        <v/>
      </c>
      <c r="T295" s="9" t="str">
        <f ca="1">IFERROR(__xludf.DUMMYFUNCTION("IFERROR(VALUE(REGEXEXTRACT(TO_TEXT($F295), T$1 &amp; ""x(\d+)"")), """")"),"")</f>
        <v/>
      </c>
      <c r="U295" s="9" t="str">
        <f ca="1">IFERROR(__xludf.DUMMYFUNCTION("IFERROR(VALUE(REGEXEXTRACT(TO_TEXT($F295), U$1 &amp; ""x(\d+)"")), """")"),"")</f>
        <v/>
      </c>
      <c r="V295" s="9" t="str">
        <f ca="1">IFERROR(__xludf.DUMMYFUNCTION("IFERROR(VALUE(REGEXEXTRACT(TO_TEXT($F295), V$1 &amp; ""x(\d+)"")), """")"),"")</f>
        <v/>
      </c>
      <c r="W295" s="9"/>
      <c r="X295" s="9"/>
      <c r="Y295" s="9"/>
      <c r="Z295" s="9"/>
    </row>
    <row r="296" spans="1:26" ht="15.75" hidden="1" customHeight="1">
      <c r="A296" s="9" t="s">
        <v>1356</v>
      </c>
      <c r="B296" s="9" t="s">
        <v>1357</v>
      </c>
      <c r="C296" s="9" t="s">
        <v>912</v>
      </c>
      <c r="D296" s="9" t="s">
        <v>74</v>
      </c>
      <c r="E296" s="9" t="s">
        <v>13</v>
      </c>
      <c r="F296" s="9" t="s">
        <v>1233</v>
      </c>
      <c r="G296" s="9">
        <v>40</v>
      </c>
      <c r="H296" s="9">
        <v>3</v>
      </c>
      <c r="I296" s="9">
        <v>1.0149999999999999</v>
      </c>
      <c r="J296" s="9">
        <v>103</v>
      </c>
      <c r="K296" s="9" t="s">
        <v>424</v>
      </c>
      <c r="L296" s="9"/>
      <c r="M296" s="9"/>
      <c r="N296" s="9" t="str">
        <f ca="1">IFERROR(__xludf.DUMMYFUNCTION("IFERROR(VALUE(REGEXEXTRACT(TO_TEXT($F296), N$1 &amp; ""x(\d+)"")), """")
"),"")</f>
        <v/>
      </c>
      <c r="O296" s="9" t="str">
        <f ca="1">IFERROR(__xludf.DUMMYFUNCTION("IFERROR(VALUE(REGEXEXTRACT(TO_TEXT($F296), O$1 &amp; ""x(\d+)"")), """")"),"")</f>
        <v/>
      </c>
      <c r="P296" s="9" t="str">
        <f ca="1">IFERROR(__xludf.DUMMYFUNCTION("IFERROR(VALUE(REGEXEXTRACT(TO_TEXT($F296), P$1 &amp; ""x(\d+)"")), """")"),"")</f>
        <v/>
      </c>
      <c r="Q296" s="9">
        <f ca="1">IFERROR(__xludf.DUMMYFUNCTION("IFERROR(VALUE(REGEXEXTRACT(TO_TEXT($F296), Q$1 &amp; ""x(\d+)"")), """")"),1)</f>
        <v>1</v>
      </c>
      <c r="R296" s="9" t="str">
        <f ca="1">IFERROR(__xludf.DUMMYFUNCTION("IFERROR(VALUE(REGEXEXTRACT(TO_TEXT($F296), R$1 &amp; ""x(\d+)"")), """")"),"")</f>
        <v/>
      </c>
      <c r="S296" s="9" t="str">
        <f ca="1">IFERROR(__xludf.DUMMYFUNCTION("IFERROR(VALUE(REGEXEXTRACT(TO_TEXT($F296), S$1 &amp; ""x(\d+)"")), """")"),"")</f>
        <v/>
      </c>
      <c r="T296" s="9" t="str">
        <f ca="1">IFERROR(__xludf.DUMMYFUNCTION("IFERROR(VALUE(REGEXEXTRACT(TO_TEXT($F296), T$1 &amp; ""x(\d+)"")), """")"),"")</f>
        <v/>
      </c>
      <c r="U296" s="9" t="str">
        <f ca="1">IFERROR(__xludf.DUMMYFUNCTION("IFERROR(VALUE(REGEXEXTRACT(TO_TEXT($F296), U$1 &amp; ""x(\d+)"")), """")"),"")</f>
        <v/>
      </c>
      <c r="V296" s="9" t="str">
        <f ca="1">IFERROR(__xludf.DUMMYFUNCTION("IFERROR(VALUE(REGEXEXTRACT(TO_TEXT($F296), V$1 &amp; ""x(\d+)"")), """")"),"")</f>
        <v/>
      </c>
      <c r="W296" s="9"/>
      <c r="X296" s="9"/>
      <c r="Y296" s="9"/>
      <c r="Z296" s="9"/>
    </row>
    <row r="297" spans="1:26" ht="15.75" customHeight="1">
      <c r="A297" s="9" t="s">
        <v>275</v>
      </c>
      <c r="B297" s="9" t="s">
        <v>1360</v>
      </c>
      <c r="C297" s="9" t="s">
        <v>276</v>
      </c>
      <c r="D297" s="9" t="s">
        <v>33</v>
      </c>
      <c r="E297" s="9" t="s">
        <v>11</v>
      </c>
      <c r="F297" s="9" t="s">
        <v>1361</v>
      </c>
      <c r="G297" s="9">
        <v>80</v>
      </c>
      <c r="H297" s="9">
        <v>2</v>
      </c>
      <c r="I297" s="9">
        <v>1.0149999999999999</v>
      </c>
      <c r="J297" s="9">
        <v>78</v>
      </c>
      <c r="K297" s="9" t="s">
        <v>442</v>
      </c>
      <c r="L297" s="9" t="s">
        <v>1362</v>
      </c>
      <c r="M297" s="9"/>
      <c r="N297" s="9" t="str">
        <f ca="1">IFERROR(__xludf.DUMMYFUNCTION("IFERROR(VALUE(REGEXEXTRACT(TO_TEXT($F297), N$1 &amp; ""x(\d+)"")), """")
"),"")</f>
        <v/>
      </c>
      <c r="O297" s="9">
        <f ca="1">IFERROR(__xludf.DUMMYFUNCTION("IFERROR(VALUE(REGEXEXTRACT(TO_TEXT($F297), O$1 &amp; ""x(\d+)"")), """")"),1)</f>
        <v>1</v>
      </c>
      <c r="P297" s="9" t="str">
        <f ca="1">IFERROR(__xludf.DUMMYFUNCTION("IFERROR(VALUE(REGEXEXTRACT(TO_TEXT($F297), P$1 &amp; ""x(\d+)"")), """")"),"")</f>
        <v/>
      </c>
      <c r="Q297" s="9" t="str">
        <f ca="1">IFERROR(__xludf.DUMMYFUNCTION("IFERROR(VALUE(REGEXEXTRACT(TO_TEXT($F297), Q$1 &amp; ""x(\d+)"")), """")"),"")</f>
        <v/>
      </c>
      <c r="R297" s="9" t="str">
        <f ca="1">IFERROR(__xludf.DUMMYFUNCTION("IFERROR(VALUE(REGEXEXTRACT(TO_TEXT($F297), R$1 &amp; ""x(\d+)"")), """")"),"")</f>
        <v/>
      </c>
      <c r="S297" s="9" t="str">
        <f ca="1">IFERROR(__xludf.DUMMYFUNCTION("IFERROR(VALUE(REGEXEXTRACT(TO_TEXT($F297), S$1 &amp; ""x(\d+)"")), """")"),"")</f>
        <v/>
      </c>
      <c r="T297" s="9" t="str">
        <f ca="1">IFERROR(__xludf.DUMMYFUNCTION("IFERROR(VALUE(REGEXEXTRACT(TO_TEXT($F297), T$1 &amp; ""x(\d+)"")), """")"),"")</f>
        <v/>
      </c>
      <c r="U297" s="9" t="str">
        <f ca="1">IFERROR(__xludf.DUMMYFUNCTION("IFERROR(VALUE(REGEXEXTRACT(TO_TEXT($F297), U$1 &amp; ""x(\d+)"")), """")"),"")</f>
        <v/>
      </c>
      <c r="V297" s="9" t="str">
        <f ca="1">IFERROR(__xludf.DUMMYFUNCTION("IFERROR(VALUE(REGEXEXTRACT(TO_TEXT($F297), V$1 &amp; ""x(\d+)"")), """")"),"")</f>
        <v/>
      </c>
      <c r="W297" s="9"/>
      <c r="X297" s="9"/>
      <c r="Y297" s="9"/>
      <c r="Z297" s="9"/>
    </row>
    <row r="298" spans="1:26" ht="15.75" customHeight="1">
      <c r="A298" s="9" t="s">
        <v>275</v>
      </c>
      <c r="B298" s="9" t="s">
        <v>1360</v>
      </c>
      <c r="C298" s="9" t="s">
        <v>276</v>
      </c>
      <c r="D298" s="9" t="s">
        <v>33</v>
      </c>
      <c r="E298" s="9" t="s">
        <v>12</v>
      </c>
      <c r="F298" s="9" t="s">
        <v>1363</v>
      </c>
      <c r="G298" s="9">
        <v>45</v>
      </c>
      <c r="H298" s="9">
        <v>2</v>
      </c>
      <c r="I298" s="9">
        <v>1.0149999999999999</v>
      </c>
      <c r="J298" s="9">
        <v>78</v>
      </c>
      <c r="K298" s="9" t="s">
        <v>442</v>
      </c>
      <c r="L298" s="9" t="s">
        <v>1362</v>
      </c>
      <c r="M298" s="9"/>
      <c r="N298" s="9" t="str">
        <f ca="1">IFERROR(__xludf.DUMMYFUNCTION("IFERROR(VALUE(REGEXEXTRACT(TO_TEXT($F298), N$1 &amp; ""x(\d+)"")), """")
"),"")</f>
        <v/>
      </c>
      <c r="O298" s="9">
        <f ca="1">IFERROR(__xludf.DUMMYFUNCTION("IFERROR(VALUE(REGEXEXTRACT(TO_TEXT($F298), O$1 &amp; ""x(\d+)"")), """")"),1)</f>
        <v>1</v>
      </c>
      <c r="P298" s="9" t="str">
        <f ca="1">IFERROR(__xludf.DUMMYFUNCTION("IFERROR(VALUE(REGEXEXTRACT(TO_TEXT($F298), P$1 &amp; ""x(\d+)"")), """")"),"")</f>
        <v/>
      </c>
      <c r="Q298" s="9" t="str">
        <f ca="1">IFERROR(__xludf.DUMMYFUNCTION("IFERROR(VALUE(REGEXEXTRACT(TO_TEXT($F298), Q$1 &amp; ""x(\d+)"")), """")"),"")</f>
        <v/>
      </c>
      <c r="R298" s="9" t="str">
        <f ca="1">IFERROR(__xludf.DUMMYFUNCTION("IFERROR(VALUE(REGEXEXTRACT(TO_TEXT($F298), R$1 &amp; ""x(\d+)"")), """")"),"")</f>
        <v/>
      </c>
      <c r="S298" s="9" t="str">
        <f ca="1">IFERROR(__xludf.DUMMYFUNCTION("IFERROR(VALUE(REGEXEXTRACT(TO_TEXT($F298), S$1 &amp; ""x(\d+)"")), """")"),"")</f>
        <v/>
      </c>
      <c r="T298" s="9" t="str">
        <f ca="1">IFERROR(__xludf.DUMMYFUNCTION("IFERROR(VALUE(REGEXEXTRACT(TO_TEXT($F298), T$1 &amp; ""x(\d+)"")), """")"),"")</f>
        <v/>
      </c>
      <c r="U298" s="9" t="str">
        <f ca="1">IFERROR(__xludf.DUMMYFUNCTION("IFERROR(VALUE(REGEXEXTRACT(TO_TEXT($F298), U$1 &amp; ""x(\d+)"")), """")"),"")</f>
        <v/>
      </c>
      <c r="V298" s="9" t="str">
        <f ca="1">IFERROR(__xludf.DUMMYFUNCTION("IFERROR(VALUE(REGEXEXTRACT(TO_TEXT($F298), V$1 &amp; ""x(\d+)"")), """")"),"")</f>
        <v/>
      </c>
      <c r="W298" s="9"/>
      <c r="X298" s="9"/>
      <c r="Y298" s="9"/>
      <c r="Z298" s="9"/>
    </row>
    <row r="299" spans="1:26" ht="15.75" customHeight="1">
      <c r="A299" s="9" t="s">
        <v>275</v>
      </c>
      <c r="B299" s="9" t="s">
        <v>1360</v>
      </c>
      <c r="C299" s="9" t="s">
        <v>276</v>
      </c>
      <c r="D299" s="9" t="s">
        <v>33</v>
      </c>
      <c r="E299" s="9" t="s">
        <v>13</v>
      </c>
      <c r="F299" s="9" t="s">
        <v>1364</v>
      </c>
      <c r="G299" s="9">
        <v>10</v>
      </c>
      <c r="H299" s="9">
        <v>2</v>
      </c>
      <c r="I299" s="9">
        <v>1.0149999999999999</v>
      </c>
      <c r="J299" s="9">
        <v>78</v>
      </c>
      <c r="K299" s="9" t="s">
        <v>442</v>
      </c>
      <c r="L299" s="9" t="s">
        <v>1362</v>
      </c>
      <c r="M299" s="9"/>
      <c r="N299" s="9" t="str">
        <f ca="1">IFERROR(__xludf.DUMMYFUNCTION("IFERROR(VALUE(REGEXEXTRACT(TO_TEXT($F299), N$1 &amp; ""x(\d+)"")), """")
"),"")</f>
        <v/>
      </c>
      <c r="O299" s="9">
        <f ca="1">IFERROR(__xludf.DUMMYFUNCTION("IFERROR(VALUE(REGEXEXTRACT(TO_TEXT($F299), O$1 &amp; ""x(\d+)"")), """")"),1)</f>
        <v>1</v>
      </c>
      <c r="P299" s="9" t="str">
        <f ca="1">IFERROR(__xludf.DUMMYFUNCTION("IFERROR(VALUE(REGEXEXTRACT(TO_TEXT($F299), P$1 &amp; ""x(\d+)"")), """")"),"")</f>
        <v/>
      </c>
      <c r="Q299" s="9" t="str">
        <f ca="1">IFERROR(__xludf.DUMMYFUNCTION("IFERROR(VALUE(REGEXEXTRACT(TO_TEXT($F299), Q$1 &amp; ""x(\d+)"")), """")"),"")</f>
        <v/>
      </c>
      <c r="R299" s="9" t="str">
        <f ca="1">IFERROR(__xludf.DUMMYFUNCTION("IFERROR(VALUE(REGEXEXTRACT(TO_TEXT($F299), R$1 &amp; ""x(\d+)"")), """")"),"")</f>
        <v/>
      </c>
      <c r="S299" s="9" t="str">
        <f ca="1">IFERROR(__xludf.DUMMYFUNCTION("IFERROR(VALUE(REGEXEXTRACT(TO_TEXT($F299), S$1 &amp; ""x(\d+)"")), """")"),"")</f>
        <v/>
      </c>
      <c r="T299" s="9" t="str">
        <f ca="1">IFERROR(__xludf.DUMMYFUNCTION("IFERROR(VALUE(REGEXEXTRACT(TO_TEXT($F299), T$1 &amp; ""x(\d+)"")), """")"),"")</f>
        <v/>
      </c>
      <c r="U299" s="9" t="str">
        <f ca="1">IFERROR(__xludf.DUMMYFUNCTION("IFERROR(VALUE(REGEXEXTRACT(TO_TEXT($F299), U$1 &amp; ""x(\d+)"")), """")"),"")</f>
        <v/>
      </c>
      <c r="V299" s="9" t="str">
        <f ca="1">IFERROR(__xludf.DUMMYFUNCTION("IFERROR(VALUE(REGEXEXTRACT(TO_TEXT($F299), V$1 &amp; ""x(\d+)"")), """")"),"")</f>
        <v/>
      </c>
      <c r="W299" s="9"/>
      <c r="X299" s="9"/>
      <c r="Y299" s="9"/>
      <c r="Z299" s="9"/>
    </row>
    <row r="300" spans="1:26" ht="15.75" customHeight="1">
      <c r="A300" s="9" t="s">
        <v>1365</v>
      </c>
      <c r="B300" s="9" t="s">
        <v>1366</v>
      </c>
      <c r="C300" s="9" t="s">
        <v>675</v>
      </c>
      <c r="D300" s="9" t="s">
        <v>33</v>
      </c>
      <c r="E300" s="9" t="s">
        <v>11</v>
      </c>
      <c r="F300" s="9" t="s">
        <v>1367</v>
      </c>
      <c r="G300" s="9">
        <v>70</v>
      </c>
      <c r="H300" s="9">
        <v>2</v>
      </c>
      <c r="I300" s="9">
        <v>1.0149999999999999</v>
      </c>
      <c r="J300" s="9">
        <v>100</v>
      </c>
      <c r="K300" s="9" t="s">
        <v>442</v>
      </c>
      <c r="L300" s="9"/>
      <c r="M300" s="9"/>
      <c r="N300" s="9" t="str">
        <f ca="1">IFERROR(__xludf.DUMMYFUNCTION("IFERROR(VALUE(REGEXEXTRACT(TO_TEXT($F300), N$1 &amp; ""x(\d+)"")), """")
"),"")</f>
        <v/>
      </c>
      <c r="O300" s="9" t="str">
        <f ca="1">IFERROR(__xludf.DUMMYFUNCTION("IFERROR(VALUE(REGEXEXTRACT(TO_TEXT($F300), O$1 &amp; ""x(\d+)"")), """")"),"")</f>
        <v/>
      </c>
      <c r="P300" s="9" t="str">
        <f ca="1">IFERROR(__xludf.DUMMYFUNCTION("IFERROR(VALUE(REGEXEXTRACT(TO_TEXT($F300), P$1 &amp; ""x(\d+)"")), """")"),"")</f>
        <v/>
      </c>
      <c r="Q300" s="9" t="str">
        <f ca="1">IFERROR(__xludf.DUMMYFUNCTION("IFERROR(VALUE(REGEXEXTRACT(TO_TEXT($F300), Q$1 &amp; ""x(\d+)"")), """")"),"")</f>
        <v/>
      </c>
      <c r="R300" s="9" t="str">
        <f ca="1">IFERROR(__xludf.DUMMYFUNCTION("IFERROR(VALUE(REGEXEXTRACT(TO_TEXT($F300), R$1 &amp; ""x(\d+)"")), """")"),"")</f>
        <v/>
      </c>
      <c r="S300" s="9" t="str">
        <f ca="1">IFERROR(__xludf.DUMMYFUNCTION("IFERROR(VALUE(REGEXEXTRACT(TO_TEXT($F300), S$1 &amp; ""x(\d+)"")), """")"),"")</f>
        <v/>
      </c>
      <c r="T300" s="9" t="str">
        <f ca="1">IFERROR(__xludf.DUMMYFUNCTION("IFERROR(VALUE(REGEXEXTRACT(TO_TEXT($F300), T$1 &amp; ""x(\d+)"")), """")"),"")</f>
        <v/>
      </c>
      <c r="U300" s="9" t="str">
        <f ca="1">IFERROR(__xludf.DUMMYFUNCTION("IFERROR(VALUE(REGEXEXTRACT(TO_TEXT($F300), U$1 &amp; ""x(\d+)"")), """")"),"")</f>
        <v/>
      </c>
      <c r="V300" s="9" t="str">
        <f ca="1">IFERROR(__xludf.DUMMYFUNCTION("IFERROR(VALUE(REGEXEXTRACT(TO_TEXT($F300), V$1 &amp; ""x(\d+)"")), """")"),"")</f>
        <v/>
      </c>
      <c r="W300" s="9"/>
      <c r="X300" s="9"/>
      <c r="Y300" s="9"/>
      <c r="Z300" s="9"/>
    </row>
    <row r="301" spans="1:26" ht="15.75" customHeight="1">
      <c r="A301" s="9" t="s">
        <v>1365</v>
      </c>
      <c r="B301" s="9" t="s">
        <v>1366</v>
      </c>
      <c r="C301" s="9" t="s">
        <v>675</v>
      </c>
      <c r="D301" s="9" t="s">
        <v>33</v>
      </c>
      <c r="E301" s="9" t="s">
        <v>12</v>
      </c>
      <c r="F301" s="9" t="s">
        <v>1368</v>
      </c>
      <c r="G301" s="9">
        <v>135</v>
      </c>
      <c r="H301" s="9">
        <v>2</v>
      </c>
      <c r="I301" s="9">
        <v>1.0149999999999999</v>
      </c>
      <c r="J301" s="9">
        <v>100</v>
      </c>
      <c r="K301" s="9" t="s">
        <v>442</v>
      </c>
      <c r="L301" s="9"/>
      <c r="M301" s="9"/>
      <c r="N301" s="9" t="str">
        <f ca="1">IFERROR(__xludf.DUMMYFUNCTION("IFERROR(VALUE(REGEXEXTRACT(TO_TEXT($F301), N$1 &amp; ""x(\d+)"")), """")
"),"")</f>
        <v/>
      </c>
      <c r="O301" s="9">
        <f ca="1">IFERROR(__xludf.DUMMYFUNCTION("IFERROR(VALUE(REGEXEXTRACT(TO_TEXT($F301), O$1 &amp; ""x(\d+)"")), """")"),1)</f>
        <v>1</v>
      </c>
      <c r="P301" s="9" t="str">
        <f ca="1">IFERROR(__xludf.DUMMYFUNCTION("IFERROR(VALUE(REGEXEXTRACT(TO_TEXT($F301), P$1 &amp; ""x(\d+)"")), """")"),"")</f>
        <v/>
      </c>
      <c r="Q301" s="9" t="str">
        <f ca="1">IFERROR(__xludf.DUMMYFUNCTION("IFERROR(VALUE(REGEXEXTRACT(TO_TEXT($F301), Q$1 &amp; ""x(\d+)"")), """")"),"")</f>
        <v/>
      </c>
      <c r="R301" s="9" t="str">
        <f ca="1">IFERROR(__xludf.DUMMYFUNCTION("IFERROR(VALUE(REGEXEXTRACT(TO_TEXT($F301), R$1 &amp; ""x(\d+)"")), """")"),"")</f>
        <v/>
      </c>
      <c r="S301" s="9" t="str">
        <f ca="1">IFERROR(__xludf.DUMMYFUNCTION("IFERROR(VALUE(REGEXEXTRACT(TO_TEXT($F301), S$1 &amp; ""x(\d+)"")), """")"),"")</f>
        <v/>
      </c>
      <c r="T301" s="9" t="str">
        <f ca="1">IFERROR(__xludf.DUMMYFUNCTION("IFERROR(VALUE(REGEXEXTRACT(TO_TEXT($F301), T$1 &amp; ""x(\d+)"")), """")"),"")</f>
        <v/>
      </c>
      <c r="U301" s="9" t="str">
        <f ca="1">IFERROR(__xludf.DUMMYFUNCTION("IFERROR(VALUE(REGEXEXTRACT(TO_TEXT($F301), U$1 &amp; ""x(\d+)"")), """")"),"")</f>
        <v/>
      </c>
      <c r="V301" s="9" t="str">
        <f ca="1">IFERROR(__xludf.DUMMYFUNCTION("IFERROR(VALUE(REGEXEXTRACT(TO_TEXT($F301), V$1 &amp; ""x(\d+)"")), """")"),"")</f>
        <v/>
      </c>
      <c r="W301" s="9"/>
      <c r="X301" s="9"/>
      <c r="Y301" s="9"/>
      <c r="Z301" s="9"/>
    </row>
    <row r="302" spans="1:26" ht="15.75" customHeight="1">
      <c r="A302" s="9" t="s">
        <v>1365</v>
      </c>
      <c r="B302" s="9" t="s">
        <v>1366</v>
      </c>
      <c r="C302" s="9" t="s">
        <v>675</v>
      </c>
      <c r="D302" s="9" t="s">
        <v>33</v>
      </c>
      <c r="E302" s="9" t="s">
        <v>13</v>
      </c>
      <c r="F302" s="9" t="s">
        <v>1369</v>
      </c>
      <c r="G302" s="9">
        <v>15</v>
      </c>
      <c r="H302" s="9">
        <v>2</v>
      </c>
      <c r="I302" s="9">
        <v>1.0149999999999999</v>
      </c>
      <c r="J302" s="9">
        <v>100</v>
      </c>
      <c r="K302" s="9" t="s">
        <v>442</v>
      </c>
      <c r="L302" s="9"/>
      <c r="M302" s="9"/>
      <c r="N302" s="9" t="str">
        <f ca="1">IFERROR(__xludf.DUMMYFUNCTION("IFERROR(VALUE(REGEXEXTRACT(TO_TEXT($F302), N$1 &amp; ""x(\d+)"")), """")
"),"")</f>
        <v/>
      </c>
      <c r="O302" s="9">
        <f ca="1">IFERROR(__xludf.DUMMYFUNCTION("IFERROR(VALUE(REGEXEXTRACT(TO_TEXT($F302), O$1 &amp; ""x(\d+)"")), """")"),1)</f>
        <v>1</v>
      </c>
      <c r="P302" s="9" t="str">
        <f ca="1">IFERROR(__xludf.DUMMYFUNCTION("IFERROR(VALUE(REGEXEXTRACT(TO_TEXT($F302), P$1 &amp; ""x(\d+)"")), """")"),"")</f>
        <v/>
      </c>
      <c r="Q302" s="9" t="str">
        <f ca="1">IFERROR(__xludf.DUMMYFUNCTION("IFERROR(VALUE(REGEXEXTRACT(TO_TEXT($F302), Q$1 &amp; ""x(\d+)"")), """")"),"")</f>
        <v/>
      </c>
      <c r="R302" s="9" t="str">
        <f ca="1">IFERROR(__xludf.DUMMYFUNCTION("IFERROR(VALUE(REGEXEXTRACT(TO_TEXT($F302), R$1 &amp; ""x(\d+)"")), """")"),"")</f>
        <v/>
      </c>
      <c r="S302" s="9" t="str">
        <f ca="1">IFERROR(__xludf.DUMMYFUNCTION("IFERROR(VALUE(REGEXEXTRACT(TO_TEXT($F302), S$1 &amp; ""x(\d+)"")), """")"),"")</f>
        <v/>
      </c>
      <c r="T302" s="9" t="str">
        <f ca="1">IFERROR(__xludf.DUMMYFUNCTION("IFERROR(VALUE(REGEXEXTRACT(TO_TEXT($F302), T$1 &amp; ""x(\d+)"")), """")"),"")</f>
        <v/>
      </c>
      <c r="U302" s="9" t="str">
        <f ca="1">IFERROR(__xludf.DUMMYFUNCTION("IFERROR(VALUE(REGEXEXTRACT(TO_TEXT($F302), U$1 &amp; ""x(\d+)"")), """")"),"")</f>
        <v/>
      </c>
      <c r="V302" s="9" t="str">
        <f ca="1">IFERROR(__xludf.DUMMYFUNCTION("IFERROR(VALUE(REGEXEXTRACT(TO_TEXT($F302), V$1 &amp; ""x(\d+)"")), """")"),"")</f>
        <v/>
      </c>
      <c r="W302" s="9"/>
      <c r="X302" s="9"/>
      <c r="Y302" s="9"/>
      <c r="Z302" s="9"/>
    </row>
    <row r="303" spans="1:26" ht="15.75" hidden="1" customHeight="1">
      <c r="A303" s="9" t="s">
        <v>1370</v>
      </c>
      <c r="B303" s="9" t="s">
        <v>1371</v>
      </c>
      <c r="C303" s="9" t="s">
        <v>879</v>
      </c>
      <c r="D303" s="9" t="s">
        <v>40</v>
      </c>
      <c r="E303" s="9" t="s">
        <v>11</v>
      </c>
      <c r="F303" s="9" t="s">
        <v>1180</v>
      </c>
      <c r="G303" s="9">
        <v>25</v>
      </c>
      <c r="H303" s="9">
        <v>4</v>
      </c>
      <c r="I303" s="9">
        <v>1.0149999999999999</v>
      </c>
      <c r="J303" s="9">
        <v>78</v>
      </c>
      <c r="K303" s="9" t="s">
        <v>442</v>
      </c>
      <c r="L303" s="9"/>
      <c r="M303" s="9"/>
      <c r="N303" s="9" t="str">
        <f ca="1">IFERROR(__xludf.DUMMYFUNCTION("IFERROR(VALUE(REGEXEXTRACT(TO_TEXT($F303), N$1 &amp; ""x(\d+)"")), """")
"),"")</f>
        <v/>
      </c>
      <c r="O303" s="9" t="str">
        <f ca="1">IFERROR(__xludf.DUMMYFUNCTION("IFERROR(VALUE(REGEXEXTRACT(TO_TEXT($F303), O$1 &amp; ""x(\d+)"")), """")"),"")</f>
        <v/>
      </c>
      <c r="P303" s="9" t="str">
        <f ca="1">IFERROR(__xludf.DUMMYFUNCTION("IFERROR(VALUE(REGEXEXTRACT(TO_TEXT($F303), P$1 &amp; ""x(\d+)"")), """")"),"")</f>
        <v/>
      </c>
      <c r="Q303" s="9" t="str">
        <f ca="1">IFERROR(__xludf.DUMMYFUNCTION("IFERROR(VALUE(REGEXEXTRACT(TO_TEXT($F303), Q$1 &amp; ""x(\d+)"")), """")"),"")</f>
        <v/>
      </c>
      <c r="R303" s="9" t="str">
        <f ca="1">IFERROR(__xludf.DUMMYFUNCTION("IFERROR(VALUE(REGEXEXTRACT(TO_TEXT($F303), R$1 &amp; ""x(\d+)"")), """")"),"")</f>
        <v/>
      </c>
      <c r="S303" s="9" t="str">
        <f ca="1">IFERROR(__xludf.DUMMYFUNCTION("IFERROR(VALUE(REGEXEXTRACT(TO_TEXT($F303), S$1 &amp; ""x(\d+)"")), """")"),"")</f>
        <v/>
      </c>
      <c r="T303" s="9" t="str">
        <f ca="1">IFERROR(__xludf.DUMMYFUNCTION("IFERROR(VALUE(REGEXEXTRACT(TO_TEXT($F303), T$1 &amp; ""x(\d+)"")), """")"),"")</f>
        <v/>
      </c>
      <c r="U303" s="9" t="str">
        <f ca="1">IFERROR(__xludf.DUMMYFUNCTION("IFERROR(VALUE(REGEXEXTRACT(TO_TEXT($F303), U$1 &amp; ""x(\d+)"")), """")"),"")</f>
        <v/>
      </c>
      <c r="V303" s="9" t="str">
        <f ca="1">IFERROR(__xludf.DUMMYFUNCTION("IFERROR(VALUE(REGEXEXTRACT(TO_TEXT($F303), V$1 &amp; ""x(\d+)"")), """")"),"")</f>
        <v/>
      </c>
      <c r="W303" s="9"/>
      <c r="X303" s="9"/>
      <c r="Y303" s="9"/>
      <c r="Z303" s="9"/>
    </row>
    <row r="304" spans="1:26" ht="15.75" hidden="1" customHeight="1">
      <c r="A304" s="9" t="s">
        <v>1370</v>
      </c>
      <c r="B304" s="9" t="s">
        <v>1371</v>
      </c>
      <c r="C304" s="9" t="s">
        <v>879</v>
      </c>
      <c r="D304" s="9" t="s">
        <v>40</v>
      </c>
      <c r="E304" s="9" t="s">
        <v>12</v>
      </c>
      <c r="F304" s="9" t="s">
        <v>1372</v>
      </c>
      <c r="G304" s="9">
        <v>90</v>
      </c>
      <c r="H304" s="9">
        <v>4</v>
      </c>
      <c r="I304" s="9">
        <v>1.0149999999999999</v>
      </c>
      <c r="J304" s="9">
        <v>78</v>
      </c>
      <c r="K304" s="9" t="s">
        <v>442</v>
      </c>
      <c r="L304" s="9" t="s">
        <v>1015</v>
      </c>
      <c r="M304" s="9"/>
      <c r="N304" s="9" t="str">
        <f ca="1">IFERROR(__xludf.DUMMYFUNCTION("IFERROR(VALUE(REGEXEXTRACT(TO_TEXT($F304), N$1 &amp; ""x(\d+)"")), """")
"),"")</f>
        <v/>
      </c>
      <c r="O304" s="9" t="str">
        <f ca="1">IFERROR(__xludf.DUMMYFUNCTION("IFERROR(VALUE(REGEXEXTRACT(TO_TEXT($F304), O$1 &amp; ""x(\d+)"")), """")"),"")</f>
        <v/>
      </c>
      <c r="P304" s="9" t="str">
        <f ca="1">IFERROR(__xludf.DUMMYFUNCTION("IFERROR(VALUE(REGEXEXTRACT(TO_TEXT($F304), P$1 &amp; ""x(\d+)"")), """")"),"")</f>
        <v/>
      </c>
      <c r="Q304" s="9" t="str">
        <f ca="1">IFERROR(__xludf.DUMMYFUNCTION("IFERROR(VALUE(REGEXEXTRACT(TO_TEXT($F304), Q$1 &amp; ""x(\d+)"")), """")"),"")</f>
        <v/>
      </c>
      <c r="R304" s="9" t="str">
        <f ca="1">IFERROR(__xludf.DUMMYFUNCTION("IFERROR(VALUE(REGEXEXTRACT(TO_TEXT($F304), R$1 &amp; ""x(\d+)"")), """")"),"")</f>
        <v/>
      </c>
      <c r="S304" s="9">
        <f ca="1">IFERROR(__xludf.DUMMYFUNCTION("IFERROR(VALUE(REGEXEXTRACT(TO_TEXT($F304), S$1 &amp; ""x(\d+)"")), """")"),1)</f>
        <v>1</v>
      </c>
      <c r="T304" s="9" t="str">
        <f ca="1">IFERROR(__xludf.DUMMYFUNCTION("IFERROR(VALUE(REGEXEXTRACT(TO_TEXT($F304), T$1 &amp; ""x(\d+)"")), """")"),"")</f>
        <v/>
      </c>
      <c r="U304" s="9" t="str">
        <f ca="1">IFERROR(__xludf.DUMMYFUNCTION("IFERROR(VALUE(REGEXEXTRACT(TO_TEXT($F304), U$1 &amp; ""x(\d+)"")), """")"),"")</f>
        <v/>
      </c>
      <c r="V304" s="9" t="str">
        <f ca="1">IFERROR(__xludf.DUMMYFUNCTION("IFERROR(VALUE(REGEXEXTRACT(TO_TEXT($F304), V$1 &amp; ""x(\d+)"")), """")"),"")</f>
        <v/>
      </c>
      <c r="W304" s="9"/>
      <c r="X304" s="9"/>
      <c r="Y304" s="9"/>
      <c r="Z304" s="9"/>
    </row>
    <row r="305" spans="1:26" ht="15.75" hidden="1" customHeight="1">
      <c r="A305" s="9" t="s">
        <v>1370</v>
      </c>
      <c r="B305" s="9" t="s">
        <v>1371</v>
      </c>
      <c r="C305" s="9" t="s">
        <v>879</v>
      </c>
      <c r="D305" s="9" t="s">
        <v>40</v>
      </c>
      <c r="E305" s="9" t="s">
        <v>13</v>
      </c>
      <c r="F305" s="9" t="s">
        <v>1133</v>
      </c>
      <c r="G305" s="9">
        <v>30</v>
      </c>
      <c r="H305" s="9">
        <v>4</v>
      </c>
      <c r="I305" s="9">
        <v>1.0149999999999999</v>
      </c>
      <c r="J305" s="9">
        <v>78</v>
      </c>
      <c r="K305" s="9" t="s">
        <v>442</v>
      </c>
      <c r="L305" s="9"/>
      <c r="M305" s="9"/>
      <c r="N305" s="9" t="str">
        <f ca="1">IFERROR(__xludf.DUMMYFUNCTION("IFERROR(VALUE(REGEXEXTRACT(TO_TEXT($F305), N$1 &amp; ""x(\d+)"")), """")
"),"")</f>
        <v/>
      </c>
      <c r="O305" s="9" t="str">
        <f ca="1">IFERROR(__xludf.DUMMYFUNCTION("IFERROR(VALUE(REGEXEXTRACT(TO_TEXT($F305), O$1 &amp; ""x(\d+)"")), """")"),"")</f>
        <v/>
      </c>
      <c r="P305" s="9" t="str">
        <f ca="1">IFERROR(__xludf.DUMMYFUNCTION("IFERROR(VALUE(REGEXEXTRACT(TO_TEXT($F305), P$1 &amp; ""x(\d+)"")), """")"),"")</f>
        <v/>
      </c>
      <c r="Q305" s="9" t="str">
        <f ca="1">IFERROR(__xludf.DUMMYFUNCTION("IFERROR(VALUE(REGEXEXTRACT(TO_TEXT($F305), Q$1 &amp; ""x(\d+)"")), """")"),"")</f>
        <v/>
      </c>
      <c r="R305" s="9" t="str">
        <f ca="1">IFERROR(__xludf.DUMMYFUNCTION("IFERROR(VALUE(REGEXEXTRACT(TO_TEXT($F305), R$1 &amp; ""x(\d+)"")), """")"),"")</f>
        <v/>
      </c>
      <c r="S305" s="9">
        <f ca="1">IFERROR(__xludf.DUMMYFUNCTION("IFERROR(VALUE(REGEXEXTRACT(TO_TEXT($F305), S$1 &amp; ""x(\d+)"")), """")"),1)</f>
        <v>1</v>
      </c>
      <c r="T305" s="9" t="str">
        <f ca="1">IFERROR(__xludf.DUMMYFUNCTION("IFERROR(VALUE(REGEXEXTRACT(TO_TEXT($F305), T$1 &amp; ""x(\d+)"")), """")"),"")</f>
        <v/>
      </c>
      <c r="U305" s="9" t="str">
        <f ca="1">IFERROR(__xludf.DUMMYFUNCTION("IFERROR(VALUE(REGEXEXTRACT(TO_TEXT($F305), U$1 &amp; ""x(\d+)"")), """")"),"")</f>
        <v/>
      </c>
      <c r="V305" s="9" t="str">
        <f ca="1">IFERROR(__xludf.DUMMYFUNCTION("IFERROR(VALUE(REGEXEXTRACT(TO_TEXT($F305), V$1 &amp; ""x(\d+)"")), """")"),"")</f>
        <v/>
      </c>
      <c r="W305" s="9"/>
      <c r="X305" s="9"/>
      <c r="Y305" s="9"/>
      <c r="Z305" s="9"/>
    </row>
    <row r="306" spans="1:26" ht="15.75" hidden="1" customHeight="1">
      <c r="A306" s="9" t="s">
        <v>1373</v>
      </c>
      <c r="B306" s="9" t="s">
        <v>1374</v>
      </c>
      <c r="C306" s="9" t="s">
        <v>1375</v>
      </c>
      <c r="D306" s="9" t="s">
        <v>40</v>
      </c>
      <c r="E306" s="9" t="s">
        <v>11</v>
      </c>
      <c r="F306" s="9" t="s">
        <v>1106</v>
      </c>
      <c r="G306" s="9">
        <v>65</v>
      </c>
      <c r="H306" s="9">
        <v>4</v>
      </c>
      <c r="I306" s="9">
        <v>1.0149999999999999</v>
      </c>
      <c r="J306" s="9">
        <v>412</v>
      </c>
      <c r="K306" s="9" t="s">
        <v>442</v>
      </c>
      <c r="L306" s="9"/>
      <c r="M306" s="9"/>
      <c r="N306" s="9" t="str">
        <f ca="1">IFERROR(__xludf.DUMMYFUNCTION("IFERROR(VALUE(REGEXEXTRACT(TO_TEXT($F306), N$1 &amp; ""x(\d+)"")), """")
"),"")</f>
        <v/>
      </c>
      <c r="O306" s="9">
        <f ca="1">IFERROR(__xludf.DUMMYFUNCTION("IFERROR(VALUE(REGEXEXTRACT(TO_TEXT($F306), O$1 &amp; ""x(\d+)"")), """")"),1)</f>
        <v>1</v>
      </c>
      <c r="P306" s="9" t="str">
        <f ca="1">IFERROR(__xludf.DUMMYFUNCTION("IFERROR(VALUE(REGEXEXTRACT(TO_TEXT($F306), P$1 &amp; ""x(\d+)"")), """")"),"")</f>
        <v/>
      </c>
      <c r="Q306" s="9" t="str">
        <f ca="1">IFERROR(__xludf.DUMMYFUNCTION("IFERROR(VALUE(REGEXEXTRACT(TO_TEXT($F306), Q$1 &amp; ""x(\d+)"")), """")"),"")</f>
        <v/>
      </c>
      <c r="R306" s="9" t="str">
        <f ca="1">IFERROR(__xludf.DUMMYFUNCTION("IFERROR(VALUE(REGEXEXTRACT(TO_TEXT($F306), R$1 &amp; ""x(\d+)"")), """")"),"")</f>
        <v/>
      </c>
      <c r="S306" s="9" t="str">
        <f ca="1">IFERROR(__xludf.DUMMYFUNCTION("IFERROR(VALUE(REGEXEXTRACT(TO_TEXT($F306), S$1 &amp; ""x(\d+)"")), """")"),"")</f>
        <v/>
      </c>
      <c r="T306" s="9" t="str">
        <f ca="1">IFERROR(__xludf.DUMMYFUNCTION("IFERROR(VALUE(REGEXEXTRACT(TO_TEXT($F306), T$1 &amp; ""x(\d+)"")), """")"),"")</f>
        <v/>
      </c>
      <c r="U306" s="9" t="str">
        <f ca="1">IFERROR(__xludf.DUMMYFUNCTION("IFERROR(VALUE(REGEXEXTRACT(TO_TEXT($F306), U$1 &amp; ""x(\d+)"")), """")"),"")</f>
        <v/>
      </c>
      <c r="V306" s="9" t="str">
        <f ca="1">IFERROR(__xludf.DUMMYFUNCTION("IFERROR(VALUE(REGEXEXTRACT(TO_TEXT($F306), V$1 &amp; ""x(\d+)"")), """")"),"")</f>
        <v/>
      </c>
      <c r="W306" s="9"/>
      <c r="X306" s="9"/>
      <c r="Y306" s="9"/>
      <c r="Z306" s="9"/>
    </row>
    <row r="307" spans="1:26" ht="15.75" hidden="1" customHeight="1">
      <c r="A307" s="9" t="s">
        <v>1373</v>
      </c>
      <c r="B307" s="9" t="s">
        <v>1374</v>
      </c>
      <c r="C307" s="9" t="s">
        <v>1375</v>
      </c>
      <c r="D307" s="9" t="s">
        <v>40</v>
      </c>
      <c r="E307" s="9" t="s">
        <v>12</v>
      </c>
      <c r="F307" s="9" t="s">
        <v>1376</v>
      </c>
      <c r="G307" s="9">
        <v>100</v>
      </c>
      <c r="H307" s="9">
        <v>4</v>
      </c>
      <c r="I307" s="9">
        <v>1.0149999999999999</v>
      </c>
      <c r="J307" s="9">
        <v>412</v>
      </c>
      <c r="K307" s="9" t="s">
        <v>442</v>
      </c>
      <c r="L307" s="9" t="s">
        <v>1210</v>
      </c>
      <c r="M307" s="9"/>
      <c r="N307" s="9" t="str">
        <f ca="1">IFERROR(__xludf.DUMMYFUNCTION("IFERROR(VALUE(REGEXEXTRACT(TO_TEXT($F307), N$1 &amp; ""x(\d+)"")), """")
"),"")</f>
        <v/>
      </c>
      <c r="O307" s="9" t="str">
        <f ca="1">IFERROR(__xludf.DUMMYFUNCTION("IFERROR(VALUE(REGEXEXTRACT(TO_TEXT($F307), O$1 &amp; ""x(\d+)"")), """")"),"")</f>
        <v/>
      </c>
      <c r="P307" s="9" t="str">
        <f ca="1">IFERROR(__xludf.DUMMYFUNCTION("IFERROR(VALUE(REGEXEXTRACT(TO_TEXT($F307), P$1 &amp; ""x(\d+)"")), """")"),"")</f>
        <v/>
      </c>
      <c r="Q307" s="9" t="str">
        <f ca="1">IFERROR(__xludf.DUMMYFUNCTION("IFERROR(VALUE(REGEXEXTRACT(TO_TEXT($F307), Q$1 &amp; ""x(\d+)"")), """")"),"")</f>
        <v/>
      </c>
      <c r="R307" s="9" t="str">
        <f ca="1">IFERROR(__xludf.DUMMYFUNCTION("IFERROR(VALUE(REGEXEXTRACT(TO_TEXT($F307), R$1 &amp; ""x(\d+)"")), """")"),"")</f>
        <v/>
      </c>
      <c r="S307" s="9">
        <f ca="1">IFERROR(__xludf.DUMMYFUNCTION("IFERROR(VALUE(REGEXEXTRACT(TO_TEXT($F307), S$1 &amp; ""x(\d+)"")), """")"),1)</f>
        <v>1</v>
      </c>
      <c r="T307" s="9" t="str">
        <f ca="1">IFERROR(__xludf.DUMMYFUNCTION("IFERROR(VALUE(REGEXEXTRACT(TO_TEXT($F307), T$1 &amp; ""x(\d+)"")), """")"),"")</f>
        <v/>
      </c>
      <c r="U307" s="9" t="str">
        <f ca="1">IFERROR(__xludf.DUMMYFUNCTION("IFERROR(VALUE(REGEXEXTRACT(TO_TEXT($F307), U$1 &amp; ""x(\d+)"")), """")"),"")</f>
        <v/>
      </c>
      <c r="V307" s="9" t="str">
        <f ca="1">IFERROR(__xludf.DUMMYFUNCTION("IFERROR(VALUE(REGEXEXTRACT(TO_TEXT($F307), V$1 &amp; ""x(\d+)"")), """")"),"")</f>
        <v/>
      </c>
      <c r="W307" s="9"/>
      <c r="X307" s="9"/>
      <c r="Y307" s="9"/>
      <c r="Z307" s="9"/>
    </row>
    <row r="308" spans="1:26" ht="15.75" hidden="1" customHeight="1">
      <c r="A308" s="9" t="s">
        <v>1373</v>
      </c>
      <c r="B308" s="9" t="s">
        <v>1374</v>
      </c>
      <c r="C308" s="9" t="s">
        <v>1375</v>
      </c>
      <c r="D308" s="9" t="s">
        <v>40</v>
      </c>
      <c r="E308" s="9" t="s">
        <v>13</v>
      </c>
      <c r="F308" s="9" t="s">
        <v>1377</v>
      </c>
      <c r="G308" s="9">
        <v>30</v>
      </c>
      <c r="H308" s="9">
        <v>4</v>
      </c>
      <c r="I308" s="9">
        <v>1.0149999999999999</v>
      </c>
      <c r="J308" s="9">
        <v>412</v>
      </c>
      <c r="K308" s="9" t="s">
        <v>442</v>
      </c>
      <c r="L308" s="9"/>
      <c r="M308" s="9"/>
      <c r="N308" s="9" t="str">
        <f ca="1">IFERROR(__xludf.DUMMYFUNCTION("IFERROR(VALUE(REGEXEXTRACT(TO_TEXT($F308), N$1 &amp; ""x(\d+)"")), """")
"),"")</f>
        <v/>
      </c>
      <c r="O308" s="9">
        <f ca="1">IFERROR(__xludf.DUMMYFUNCTION("IFERROR(VALUE(REGEXEXTRACT(TO_TEXT($F308), O$1 &amp; ""x(\d+)"")), """")"),1)</f>
        <v>1</v>
      </c>
      <c r="P308" s="9" t="str">
        <f ca="1">IFERROR(__xludf.DUMMYFUNCTION("IFERROR(VALUE(REGEXEXTRACT(TO_TEXT($F308), P$1 &amp; ""x(\d+)"")), """")"),"")</f>
        <v/>
      </c>
      <c r="Q308" s="9" t="str">
        <f ca="1">IFERROR(__xludf.DUMMYFUNCTION("IFERROR(VALUE(REGEXEXTRACT(TO_TEXT($F308), Q$1 &amp; ""x(\d+)"")), """")"),"")</f>
        <v/>
      </c>
      <c r="R308" s="9" t="str">
        <f ca="1">IFERROR(__xludf.DUMMYFUNCTION("IFERROR(VALUE(REGEXEXTRACT(TO_TEXT($F308), R$1 &amp; ""x(\d+)"")), """")"),"")</f>
        <v/>
      </c>
      <c r="S308" s="9">
        <f ca="1">IFERROR(__xludf.DUMMYFUNCTION("IFERROR(VALUE(REGEXEXTRACT(TO_TEXT($F308), S$1 &amp; ""x(\d+)"")), """")"),1)</f>
        <v>1</v>
      </c>
      <c r="T308" s="9" t="str">
        <f ca="1">IFERROR(__xludf.DUMMYFUNCTION("IFERROR(VALUE(REGEXEXTRACT(TO_TEXT($F308), T$1 &amp; ""x(\d+)"")), """")"),"")</f>
        <v/>
      </c>
      <c r="U308" s="9" t="str">
        <f ca="1">IFERROR(__xludf.DUMMYFUNCTION("IFERROR(VALUE(REGEXEXTRACT(TO_TEXT($F308), U$1 &amp; ""x(\d+)"")), """")"),"")</f>
        <v/>
      </c>
      <c r="V308" s="9" t="str">
        <f ca="1">IFERROR(__xludf.DUMMYFUNCTION("IFERROR(VALUE(REGEXEXTRACT(TO_TEXT($F308), V$1 &amp; ""x(\d+)"")), """")"),"")</f>
        <v/>
      </c>
      <c r="W308" s="9"/>
      <c r="X308" s="9"/>
      <c r="Y308" s="9"/>
      <c r="Z308" s="9"/>
    </row>
    <row r="309" spans="1:26" ht="15.75" hidden="1" customHeight="1">
      <c r="A309" s="9" t="s">
        <v>1378</v>
      </c>
      <c r="B309" s="9" t="s">
        <v>1379</v>
      </c>
      <c r="C309" s="9" t="s">
        <v>992</v>
      </c>
      <c r="D309" s="9" t="s">
        <v>74</v>
      </c>
      <c r="E309" s="9" t="s">
        <v>11</v>
      </c>
      <c r="F309" s="9" t="s">
        <v>1380</v>
      </c>
      <c r="G309" s="9">
        <v>40</v>
      </c>
      <c r="H309" s="9">
        <v>2</v>
      </c>
      <c r="I309" s="9">
        <v>1.0149999999999999</v>
      </c>
      <c r="J309" s="9">
        <v>103</v>
      </c>
      <c r="K309" s="9" t="s">
        <v>424</v>
      </c>
      <c r="L309" s="9"/>
      <c r="M309" s="9"/>
      <c r="N309" s="9" t="str">
        <f ca="1">IFERROR(__xludf.DUMMYFUNCTION("IFERROR(VALUE(REGEXEXTRACT(TO_TEXT($F309), N$1 &amp; ""x(\d+)"")), """")
"),"")</f>
        <v/>
      </c>
      <c r="O309" s="9" t="str">
        <f ca="1">IFERROR(__xludf.DUMMYFUNCTION("IFERROR(VALUE(REGEXEXTRACT(TO_TEXT($F309), O$1 &amp; ""x(\d+)"")), """")"),"")</f>
        <v/>
      </c>
      <c r="P309" s="9" t="str">
        <f ca="1">IFERROR(__xludf.DUMMYFUNCTION("IFERROR(VALUE(REGEXEXTRACT(TO_TEXT($F309), P$1 &amp; ""x(\d+)"")), """")"),"")</f>
        <v/>
      </c>
      <c r="Q309" s="9" t="str">
        <f ca="1">IFERROR(__xludf.DUMMYFUNCTION("IFERROR(VALUE(REGEXEXTRACT(TO_TEXT($F309), Q$1 &amp; ""x(\d+)"")), """")"),"")</f>
        <v/>
      </c>
      <c r="R309" s="9" t="str">
        <f ca="1">IFERROR(__xludf.DUMMYFUNCTION("IFERROR(VALUE(REGEXEXTRACT(TO_TEXT($F309), R$1 &amp; ""x(\d+)"")), """")"),"")</f>
        <v/>
      </c>
      <c r="S309" s="9" t="str">
        <f ca="1">IFERROR(__xludf.DUMMYFUNCTION("IFERROR(VALUE(REGEXEXTRACT(TO_TEXT($F309), S$1 &amp; ""x(\d+)"")), """")"),"")</f>
        <v/>
      </c>
      <c r="T309" s="9" t="str">
        <f ca="1">IFERROR(__xludf.DUMMYFUNCTION("IFERROR(VALUE(REGEXEXTRACT(TO_TEXT($F309), T$1 &amp; ""x(\d+)"")), """")"),"")</f>
        <v/>
      </c>
      <c r="U309" s="9" t="str">
        <f ca="1">IFERROR(__xludf.DUMMYFUNCTION("IFERROR(VALUE(REGEXEXTRACT(TO_TEXT($F309), U$1 &amp; ""x(\d+)"")), """")"),"")</f>
        <v/>
      </c>
      <c r="V309" s="9" t="str">
        <f ca="1">IFERROR(__xludf.DUMMYFUNCTION("IFERROR(VALUE(REGEXEXTRACT(TO_TEXT($F309), V$1 &amp; ""x(\d+)"")), """")"),"")</f>
        <v/>
      </c>
      <c r="W309" s="9"/>
      <c r="X309" s="9"/>
      <c r="Y309" s="9"/>
      <c r="Z309" s="9"/>
    </row>
    <row r="310" spans="1:26" ht="15.75" hidden="1" customHeight="1">
      <c r="A310" s="9" t="s">
        <v>1378</v>
      </c>
      <c r="B310" s="9" t="s">
        <v>1379</v>
      </c>
      <c r="C310" s="9" t="s">
        <v>992</v>
      </c>
      <c r="D310" s="9" t="s">
        <v>74</v>
      </c>
      <c r="E310" s="9" t="s">
        <v>12</v>
      </c>
      <c r="F310" s="9" t="s">
        <v>1381</v>
      </c>
      <c r="G310" s="9">
        <v>200</v>
      </c>
      <c r="H310" s="9">
        <v>2</v>
      </c>
      <c r="I310" s="9">
        <v>1.0149999999999999</v>
      </c>
      <c r="J310" s="9">
        <v>103</v>
      </c>
      <c r="K310" s="9" t="s">
        <v>424</v>
      </c>
      <c r="L310" s="9" t="s">
        <v>1210</v>
      </c>
      <c r="M310" s="9"/>
      <c r="N310" s="9" t="str">
        <f ca="1">IFERROR(__xludf.DUMMYFUNCTION("IFERROR(VALUE(REGEXEXTRACT(TO_TEXT($F310), N$1 &amp; ""x(\d+)"")), """")
"),"")</f>
        <v/>
      </c>
      <c r="O310" s="9" t="str">
        <f ca="1">IFERROR(__xludf.DUMMYFUNCTION("IFERROR(VALUE(REGEXEXTRACT(TO_TEXT($F310), O$1 &amp; ""x(\d+)"")), """")"),"")</f>
        <v/>
      </c>
      <c r="P310" s="9" t="str">
        <f ca="1">IFERROR(__xludf.DUMMYFUNCTION("IFERROR(VALUE(REGEXEXTRACT(TO_TEXT($F310), P$1 &amp; ""x(\d+)"")), """")"),"")</f>
        <v/>
      </c>
      <c r="Q310" s="9">
        <f ca="1">IFERROR(__xludf.DUMMYFUNCTION("IFERROR(VALUE(REGEXEXTRACT(TO_TEXT($F310), Q$1 &amp; ""x(\d+)"")), """")"),1)</f>
        <v>1</v>
      </c>
      <c r="R310" s="9" t="str">
        <f ca="1">IFERROR(__xludf.DUMMYFUNCTION("IFERROR(VALUE(REGEXEXTRACT(TO_TEXT($F310), R$1 &amp; ""x(\d+)"")), """")"),"")</f>
        <v/>
      </c>
      <c r="S310" s="9" t="str">
        <f ca="1">IFERROR(__xludf.DUMMYFUNCTION("IFERROR(VALUE(REGEXEXTRACT(TO_TEXT($F310), S$1 &amp; ""x(\d+)"")), """")"),"")</f>
        <v/>
      </c>
      <c r="T310" s="9" t="str">
        <f ca="1">IFERROR(__xludf.DUMMYFUNCTION("IFERROR(VALUE(REGEXEXTRACT(TO_TEXT($F310), T$1 &amp; ""x(\d+)"")), """")"),"")</f>
        <v/>
      </c>
      <c r="U310" s="9" t="str">
        <f ca="1">IFERROR(__xludf.DUMMYFUNCTION("IFERROR(VALUE(REGEXEXTRACT(TO_TEXT($F310), U$1 &amp; ""x(\d+)"")), """")"),"")</f>
        <v/>
      </c>
      <c r="V310" s="9" t="str">
        <f ca="1">IFERROR(__xludf.DUMMYFUNCTION("IFERROR(VALUE(REGEXEXTRACT(TO_TEXT($F310), V$1 &amp; ""x(\d+)"")), """")"),"")</f>
        <v/>
      </c>
      <c r="W310" s="9"/>
      <c r="X310" s="9"/>
      <c r="Y310" s="9"/>
      <c r="Z310" s="9"/>
    </row>
    <row r="311" spans="1:26" ht="15.75" hidden="1" customHeight="1">
      <c r="A311" s="9" t="s">
        <v>1378</v>
      </c>
      <c r="B311" s="9" t="s">
        <v>1379</v>
      </c>
      <c r="C311" s="9" t="s">
        <v>992</v>
      </c>
      <c r="D311" s="9" t="s">
        <v>74</v>
      </c>
      <c r="E311" s="9" t="s">
        <v>13</v>
      </c>
      <c r="F311" s="9" t="s">
        <v>1125</v>
      </c>
      <c r="G311" s="9">
        <v>40</v>
      </c>
      <c r="H311" s="9">
        <v>2</v>
      </c>
      <c r="I311" s="9">
        <v>1.0149999999999999</v>
      </c>
      <c r="J311" s="9">
        <v>103</v>
      </c>
      <c r="K311" s="9" t="s">
        <v>424</v>
      </c>
      <c r="L311" s="9"/>
      <c r="M311" s="9"/>
      <c r="N311" s="9" t="str">
        <f ca="1">IFERROR(__xludf.DUMMYFUNCTION("IFERROR(VALUE(REGEXEXTRACT(TO_TEXT($F311), N$1 &amp; ""x(\d+)"")), """")
"),"")</f>
        <v/>
      </c>
      <c r="O311" s="9" t="str">
        <f ca="1">IFERROR(__xludf.DUMMYFUNCTION("IFERROR(VALUE(REGEXEXTRACT(TO_TEXT($F311), O$1 &amp; ""x(\d+)"")), """")"),"")</f>
        <v/>
      </c>
      <c r="P311" s="9" t="str">
        <f ca="1">IFERROR(__xludf.DUMMYFUNCTION("IFERROR(VALUE(REGEXEXTRACT(TO_TEXT($F311), P$1 &amp; ""x(\d+)"")), """")"),"")</f>
        <v/>
      </c>
      <c r="Q311" s="9">
        <f ca="1">IFERROR(__xludf.DUMMYFUNCTION("IFERROR(VALUE(REGEXEXTRACT(TO_TEXT($F311), Q$1 &amp; ""x(\d+)"")), """")"),1)</f>
        <v>1</v>
      </c>
      <c r="R311" s="9" t="str">
        <f ca="1">IFERROR(__xludf.DUMMYFUNCTION("IFERROR(VALUE(REGEXEXTRACT(TO_TEXT($F311), R$1 &amp; ""x(\d+)"")), """")"),"")</f>
        <v/>
      </c>
      <c r="S311" s="9" t="str">
        <f ca="1">IFERROR(__xludf.DUMMYFUNCTION("IFERROR(VALUE(REGEXEXTRACT(TO_TEXT($F311), S$1 &amp; ""x(\d+)"")), """")"),"")</f>
        <v/>
      </c>
      <c r="T311" s="9" t="str">
        <f ca="1">IFERROR(__xludf.DUMMYFUNCTION("IFERROR(VALUE(REGEXEXTRACT(TO_TEXT($F311), T$1 &amp; ""x(\d+)"")), """")"),"")</f>
        <v/>
      </c>
      <c r="U311" s="9" t="str">
        <f ca="1">IFERROR(__xludf.DUMMYFUNCTION("IFERROR(VALUE(REGEXEXTRACT(TO_TEXT($F311), U$1 &amp; ""x(\d+)"")), """")"),"")</f>
        <v/>
      </c>
      <c r="V311" s="9" t="str">
        <f ca="1">IFERROR(__xludf.DUMMYFUNCTION("IFERROR(VALUE(REGEXEXTRACT(TO_TEXT($F311), V$1 &amp; ""x(\d+)"")), """")"),"")</f>
        <v/>
      </c>
      <c r="W311" s="9"/>
      <c r="X311" s="9"/>
      <c r="Y311" s="9"/>
      <c r="Z311" s="9"/>
    </row>
    <row r="312" spans="1:26" ht="15.75" hidden="1" customHeight="1">
      <c r="A312" s="9" t="s">
        <v>1382</v>
      </c>
      <c r="B312" s="9" t="s">
        <v>1383</v>
      </c>
      <c r="C312" s="9" t="s">
        <v>994</v>
      </c>
      <c r="D312" s="9" t="s">
        <v>74</v>
      </c>
      <c r="E312" s="9" t="s">
        <v>11</v>
      </c>
      <c r="F312" s="9" t="s">
        <v>1315</v>
      </c>
      <c r="G312" s="9">
        <v>25</v>
      </c>
      <c r="H312" s="9">
        <v>2</v>
      </c>
      <c r="I312" s="9">
        <v>1.0149999999999999</v>
      </c>
      <c r="J312" s="9">
        <v>103</v>
      </c>
      <c r="K312" s="9" t="s">
        <v>424</v>
      </c>
      <c r="L312" s="9"/>
      <c r="M312" s="9"/>
      <c r="N312" s="9" t="str">
        <f ca="1">IFERROR(__xludf.DUMMYFUNCTION("IFERROR(VALUE(REGEXEXTRACT(TO_TEXT($F312), N$1 &amp; ""x(\d+)"")), """")
"),"")</f>
        <v/>
      </c>
      <c r="O312" s="9" t="str">
        <f ca="1">IFERROR(__xludf.DUMMYFUNCTION("IFERROR(VALUE(REGEXEXTRACT(TO_TEXT($F312), O$1 &amp; ""x(\d+)"")), """")"),"")</f>
        <v/>
      </c>
      <c r="P312" s="9" t="str">
        <f ca="1">IFERROR(__xludf.DUMMYFUNCTION("IFERROR(VALUE(REGEXEXTRACT(TO_TEXT($F312), P$1 &amp; ""x(\d+)"")), """")"),"")</f>
        <v/>
      </c>
      <c r="Q312" s="9" t="str">
        <f ca="1">IFERROR(__xludf.DUMMYFUNCTION("IFERROR(VALUE(REGEXEXTRACT(TO_TEXT($F312), Q$1 &amp; ""x(\d+)"")), """")"),"")</f>
        <v/>
      </c>
      <c r="R312" s="9" t="str">
        <f ca="1">IFERROR(__xludf.DUMMYFUNCTION("IFERROR(VALUE(REGEXEXTRACT(TO_TEXT($F312), R$1 &amp; ""x(\d+)"")), """")"),"")</f>
        <v/>
      </c>
      <c r="S312" s="9" t="str">
        <f ca="1">IFERROR(__xludf.DUMMYFUNCTION("IFERROR(VALUE(REGEXEXTRACT(TO_TEXT($F312), S$1 &amp; ""x(\d+)"")), """")"),"")</f>
        <v/>
      </c>
      <c r="T312" s="9" t="str">
        <f ca="1">IFERROR(__xludf.DUMMYFUNCTION("IFERROR(VALUE(REGEXEXTRACT(TO_TEXT($F312), T$1 &amp; ""x(\d+)"")), """")"),"")</f>
        <v/>
      </c>
      <c r="U312" s="9" t="str">
        <f ca="1">IFERROR(__xludf.DUMMYFUNCTION("IFERROR(VALUE(REGEXEXTRACT(TO_TEXT($F312), U$1 &amp; ""x(\d+)"")), """")"),"")</f>
        <v/>
      </c>
      <c r="V312" s="9" t="str">
        <f ca="1">IFERROR(__xludf.DUMMYFUNCTION("IFERROR(VALUE(REGEXEXTRACT(TO_TEXT($F312), V$1 &amp; ""x(\d+)"")), """")"),"")</f>
        <v/>
      </c>
      <c r="W312" s="9"/>
      <c r="X312" s="9"/>
      <c r="Y312" s="9"/>
      <c r="Z312" s="9"/>
    </row>
    <row r="313" spans="1:26" ht="15.75" hidden="1" customHeight="1">
      <c r="A313" s="9" t="s">
        <v>1382</v>
      </c>
      <c r="B313" s="9" t="s">
        <v>1383</v>
      </c>
      <c r="C313" s="9" t="s">
        <v>994</v>
      </c>
      <c r="D313" s="9" t="s">
        <v>74</v>
      </c>
      <c r="E313" s="9" t="s">
        <v>12</v>
      </c>
      <c r="F313" s="9" t="s">
        <v>1124</v>
      </c>
      <c r="G313" s="9">
        <v>180</v>
      </c>
      <c r="H313" s="9">
        <v>2</v>
      </c>
      <c r="I313" s="9">
        <v>1.0149999999999999</v>
      </c>
      <c r="J313" s="9">
        <v>103</v>
      </c>
      <c r="K313" s="9" t="s">
        <v>424</v>
      </c>
      <c r="L313" s="9" t="s">
        <v>1210</v>
      </c>
      <c r="M313" s="9"/>
      <c r="N313" s="9" t="str">
        <f ca="1">IFERROR(__xludf.DUMMYFUNCTION("IFERROR(VALUE(REGEXEXTRACT(TO_TEXT($F313), N$1 &amp; ""x(\d+)"")), """")
"),"")</f>
        <v/>
      </c>
      <c r="O313" s="9" t="str">
        <f ca="1">IFERROR(__xludf.DUMMYFUNCTION("IFERROR(VALUE(REGEXEXTRACT(TO_TEXT($F313), O$1 &amp; ""x(\d+)"")), """")"),"")</f>
        <v/>
      </c>
      <c r="P313" s="9" t="str">
        <f ca="1">IFERROR(__xludf.DUMMYFUNCTION("IFERROR(VALUE(REGEXEXTRACT(TO_TEXT($F313), P$1 &amp; ""x(\d+)"")), """")"),"")</f>
        <v/>
      </c>
      <c r="Q313" s="9">
        <f ca="1">IFERROR(__xludf.DUMMYFUNCTION("IFERROR(VALUE(REGEXEXTRACT(TO_TEXT($F313), Q$1 &amp; ""x(\d+)"")), """")"),1)</f>
        <v>1</v>
      </c>
      <c r="R313" s="9" t="str">
        <f ca="1">IFERROR(__xludf.DUMMYFUNCTION("IFERROR(VALUE(REGEXEXTRACT(TO_TEXT($F313), R$1 &amp; ""x(\d+)"")), """")"),"")</f>
        <v/>
      </c>
      <c r="S313" s="9" t="str">
        <f ca="1">IFERROR(__xludf.DUMMYFUNCTION("IFERROR(VALUE(REGEXEXTRACT(TO_TEXT($F313), S$1 &amp; ""x(\d+)"")), """")"),"")</f>
        <v/>
      </c>
      <c r="T313" s="9" t="str">
        <f ca="1">IFERROR(__xludf.DUMMYFUNCTION("IFERROR(VALUE(REGEXEXTRACT(TO_TEXT($F313), T$1 &amp; ""x(\d+)"")), """")"),"")</f>
        <v/>
      </c>
      <c r="U313" s="9" t="str">
        <f ca="1">IFERROR(__xludf.DUMMYFUNCTION("IFERROR(VALUE(REGEXEXTRACT(TO_TEXT($F313), U$1 &amp; ""x(\d+)"")), """")"),"")</f>
        <v/>
      </c>
      <c r="V313" s="9" t="str">
        <f ca="1">IFERROR(__xludf.DUMMYFUNCTION("IFERROR(VALUE(REGEXEXTRACT(TO_TEXT($F313), V$1 &amp; ""x(\d+)"")), """")"),"")</f>
        <v/>
      </c>
      <c r="W313" s="9"/>
      <c r="X313" s="9"/>
      <c r="Y313" s="9"/>
      <c r="Z313" s="9"/>
    </row>
    <row r="314" spans="1:26" ht="15.75" hidden="1" customHeight="1">
      <c r="A314" s="9" t="s">
        <v>1382</v>
      </c>
      <c r="B314" s="9" t="s">
        <v>1383</v>
      </c>
      <c r="C314" s="9" t="s">
        <v>994</v>
      </c>
      <c r="D314" s="9" t="s">
        <v>74</v>
      </c>
      <c r="E314" s="9" t="s">
        <v>13</v>
      </c>
      <c r="F314" s="9" t="s">
        <v>1125</v>
      </c>
      <c r="G314" s="9">
        <v>40</v>
      </c>
      <c r="H314" s="9">
        <v>2</v>
      </c>
      <c r="I314" s="9">
        <v>1.0149999999999999</v>
      </c>
      <c r="J314" s="9">
        <v>103</v>
      </c>
      <c r="K314" s="9" t="s">
        <v>424</v>
      </c>
      <c r="L314" s="9"/>
      <c r="M314" s="9"/>
      <c r="N314" s="9" t="str">
        <f ca="1">IFERROR(__xludf.DUMMYFUNCTION("IFERROR(VALUE(REGEXEXTRACT(TO_TEXT($F314), N$1 &amp; ""x(\d+)"")), """")
"),"")</f>
        <v/>
      </c>
      <c r="O314" s="9" t="str">
        <f ca="1">IFERROR(__xludf.DUMMYFUNCTION("IFERROR(VALUE(REGEXEXTRACT(TO_TEXT($F314), O$1 &amp; ""x(\d+)"")), """")"),"")</f>
        <v/>
      </c>
      <c r="P314" s="9" t="str">
        <f ca="1">IFERROR(__xludf.DUMMYFUNCTION("IFERROR(VALUE(REGEXEXTRACT(TO_TEXT($F314), P$1 &amp; ""x(\d+)"")), """")"),"")</f>
        <v/>
      </c>
      <c r="Q314" s="9">
        <f ca="1">IFERROR(__xludf.DUMMYFUNCTION("IFERROR(VALUE(REGEXEXTRACT(TO_TEXT($F314), Q$1 &amp; ""x(\d+)"")), """")"),1)</f>
        <v>1</v>
      </c>
      <c r="R314" s="9" t="str">
        <f ca="1">IFERROR(__xludf.DUMMYFUNCTION("IFERROR(VALUE(REGEXEXTRACT(TO_TEXT($F314), R$1 &amp; ""x(\d+)"")), """")"),"")</f>
        <v/>
      </c>
      <c r="S314" s="9" t="str">
        <f ca="1">IFERROR(__xludf.DUMMYFUNCTION("IFERROR(VALUE(REGEXEXTRACT(TO_TEXT($F314), S$1 &amp; ""x(\d+)"")), """")"),"")</f>
        <v/>
      </c>
      <c r="T314" s="9" t="str">
        <f ca="1">IFERROR(__xludf.DUMMYFUNCTION("IFERROR(VALUE(REGEXEXTRACT(TO_TEXT($F314), T$1 &amp; ""x(\d+)"")), """")"),"")</f>
        <v/>
      </c>
      <c r="U314" s="9" t="str">
        <f ca="1">IFERROR(__xludf.DUMMYFUNCTION("IFERROR(VALUE(REGEXEXTRACT(TO_TEXT($F314), U$1 &amp; ""x(\d+)"")), """")"),"")</f>
        <v/>
      </c>
      <c r="V314" s="9" t="str">
        <f ca="1">IFERROR(__xludf.DUMMYFUNCTION("IFERROR(VALUE(REGEXEXTRACT(TO_TEXT($F314), V$1 &amp; ""x(\d+)"")), """")"),"")</f>
        <v/>
      </c>
      <c r="W314" s="9"/>
      <c r="X314" s="9"/>
      <c r="Y314" s="9"/>
      <c r="Z314" s="9"/>
    </row>
    <row r="315" spans="1:26" ht="15.75" hidden="1" customHeight="1">
      <c r="A315" s="9" t="s">
        <v>1384</v>
      </c>
      <c r="B315" s="9" t="s">
        <v>1385</v>
      </c>
      <c r="C315" s="9" t="s">
        <v>990</v>
      </c>
      <c r="D315" s="9" t="s">
        <v>40</v>
      </c>
      <c r="E315" s="9" t="s">
        <v>12</v>
      </c>
      <c r="F315" s="9" t="s">
        <v>1386</v>
      </c>
      <c r="G315" s="9">
        <v>315</v>
      </c>
      <c r="H315" s="9">
        <v>1</v>
      </c>
      <c r="I315" s="9">
        <v>1.0149999999999999</v>
      </c>
      <c r="J315" s="9">
        <v>412</v>
      </c>
      <c r="K315" s="9" t="s">
        <v>442</v>
      </c>
      <c r="L315" s="9" t="s">
        <v>1030</v>
      </c>
      <c r="M315" s="9"/>
      <c r="N315" s="9" t="str">
        <f ca="1">IFERROR(__xludf.DUMMYFUNCTION("IFERROR(VALUE(REGEXEXTRACT(TO_TEXT($F315), N$1 &amp; ""x(\d+)"")), """")
"),"")</f>
        <v/>
      </c>
      <c r="O315" s="9">
        <f ca="1">IFERROR(__xludf.DUMMYFUNCTION("IFERROR(VALUE(REGEXEXTRACT(TO_TEXT($F315), O$1 &amp; ""x(\d+)"")), """")"),1)</f>
        <v>1</v>
      </c>
      <c r="P315" s="9" t="str">
        <f ca="1">IFERROR(__xludf.DUMMYFUNCTION("IFERROR(VALUE(REGEXEXTRACT(TO_TEXT($F315), P$1 &amp; ""x(\d+)"")), """")"),"")</f>
        <v/>
      </c>
      <c r="Q315" s="9" t="str">
        <f ca="1">IFERROR(__xludf.DUMMYFUNCTION("IFERROR(VALUE(REGEXEXTRACT(TO_TEXT($F315), Q$1 &amp; ""x(\d+)"")), """")"),"")</f>
        <v/>
      </c>
      <c r="R315" s="9" t="str">
        <f ca="1">IFERROR(__xludf.DUMMYFUNCTION("IFERROR(VALUE(REGEXEXTRACT(TO_TEXT($F315), R$1 &amp; ""x(\d+)"")), """")"),"")</f>
        <v/>
      </c>
      <c r="S315" s="9" t="str">
        <f ca="1">IFERROR(__xludf.DUMMYFUNCTION("IFERROR(VALUE(REGEXEXTRACT(TO_TEXT($F315), S$1 &amp; ""x(\d+)"")), """")"),"")</f>
        <v/>
      </c>
      <c r="T315" s="9">
        <f ca="1">IFERROR(__xludf.DUMMYFUNCTION("IFERROR(VALUE(REGEXEXTRACT(TO_TEXT($F315), T$1 &amp; ""x(\d+)"")), """")"),1)</f>
        <v>1</v>
      </c>
      <c r="U315" s="9" t="str">
        <f ca="1">IFERROR(__xludf.DUMMYFUNCTION("IFERROR(VALUE(REGEXEXTRACT(TO_TEXT($F315), U$1 &amp; ""x(\d+)"")), """")"),"")</f>
        <v/>
      </c>
      <c r="V315" s="9" t="str">
        <f ca="1">IFERROR(__xludf.DUMMYFUNCTION("IFERROR(VALUE(REGEXEXTRACT(TO_TEXT($F315), V$1 &amp; ""x(\d+)"")), """")"),"")</f>
        <v/>
      </c>
      <c r="W315" s="9"/>
      <c r="X315" s="9"/>
      <c r="Y315" s="9"/>
      <c r="Z315" s="9"/>
    </row>
    <row r="316" spans="1:26" ht="15.75" hidden="1" customHeight="1">
      <c r="A316" s="9" t="s">
        <v>1384</v>
      </c>
      <c r="B316" s="9" t="s">
        <v>1385</v>
      </c>
      <c r="C316" s="9" t="s">
        <v>990</v>
      </c>
      <c r="D316" s="9" t="s">
        <v>40</v>
      </c>
      <c r="E316" s="9" t="s">
        <v>13</v>
      </c>
      <c r="F316" s="9" t="s">
        <v>1387</v>
      </c>
      <c r="G316" s="9">
        <v>30</v>
      </c>
      <c r="H316" s="9">
        <v>1</v>
      </c>
      <c r="I316" s="9">
        <v>1.0149999999999999</v>
      </c>
      <c r="J316" s="9">
        <v>412</v>
      </c>
      <c r="K316" s="9" t="s">
        <v>442</v>
      </c>
      <c r="L316" s="9"/>
      <c r="M316" s="9"/>
      <c r="N316" s="9" t="str">
        <f ca="1">IFERROR(__xludf.DUMMYFUNCTION("IFERROR(VALUE(REGEXEXTRACT(TO_TEXT($F316), N$1 &amp; ""x(\d+)"")), """")
"),"")</f>
        <v/>
      </c>
      <c r="O316" s="9">
        <f ca="1">IFERROR(__xludf.DUMMYFUNCTION("IFERROR(VALUE(REGEXEXTRACT(TO_TEXT($F316), O$1 &amp; ""x(\d+)"")), """")"),1)</f>
        <v>1</v>
      </c>
      <c r="P316" s="9" t="str">
        <f ca="1">IFERROR(__xludf.DUMMYFUNCTION("IFERROR(VALUE(REGEXEXTRACT(TO_TEXT($F316), P$1 &amp; ""x(\d+)"")), """")"),"")</f>
        <v/>
      </c>
      <c r="Q316" s="9" t="str">
        <f ca="1">IFERROR(__xludf.DUMMYFUNCTION("IFERROR(VALUE(REGEXEXTRACT(TO_TEXT($F316), Q$1 &amp; ""x(\d+)"")), """")"),"")</f>
        <v/>
      </c>
      <c r="R316" s="9" t="str">
        <f ca="1">IFERROR(__xludf.DUMMYFUNCTION("IFERROR(VALUE(REGEXEXTRACT(TO_TEXT($F316), R$1 &amp; ""x(\d+)"")), """")"),"")</f>
        <v/>
      </c>
      <c r="S316" s="9" t="str">
        <f ca="1">IFERROR(__xludf.DUMMYFUNCTION("IFERROR(VALUE(REGEXEXTRACT(TO_TEXT($F316), S$1 &amp; ""x(\d+)"")), """")"),"")</f>
        <v/>
      </c>
      <c r="T316" s="9">
        <f ca="1">IFERROR(__xludf.DUMMYFUNCTION("IFERROR(VALUE(REGEXEXTRACT(TO_TEXT($F316), T$1 &amp; ""x(\d+)"")), """")"),1)</f>
        <v>1</v>
      </c>
      <c r="U316" s="9" t="str">
        <f ca="1">IFERROR(__xludf.DUMMYFUNCTION("IFERROR(VALUE(REGEXEXTRACT(TO_TEXT($F316), U$1 &amp; ""x(\d+)"")), """")"),"")</f>
        <v/>
      </c>
      <c r="V316" s="9" t="str">
        <f ca="1">IFERROR(__xludf.DUMMYFUNCTION("IFERROR(VALUE(REGEXEXTRACT(TO_TEXT($F316), V$1 &amp; ""x(\d+)"")), """")"),"")</f>
        <v/>
      </c>
      <c r="W316" s="9"/>
      <c r="X316" s="9"/>
      <c r="Y316" s="9"/>
      <c r="Z316" s="9"/>
    </row>
    <row r="317" spans="1:26" ht="15.75" customHeight="1">
      <c r="A317" s="9" t="s">
        <v>300</v>
      </c>
      <c r="B317" s="9" t="s">
        <v>1388</v>
      </c>
      <c r="C317" s="9" t="s">
        <v>301</v>
      </c>
      <c r="D317" s="9" t="s">
        <v>33</v>
      </c>
      <c r="E317" s="9" t="s">
        <v>12</v>
      </c>
      <c r="F317" s="9" t="s">
        <v>1389</v>
      </c>
      <c r="G317" s="9">
        <v>150</v>
      </c>
      <c r="H317" s="9">
        <v>3</v>
      </c>
      <c r="I317" s="9">
        <v>1.0149999999999999</v>
      </c>
      <c r="J317" s="9">
        <v>99</v>
      </c>
      <c r="K317" s="9" t="s">
        <v>442</v>
      </c>
      <c r="L317" s="9" t="s">
        <v>1243</v>
      </c>
      <c r="M317" s="9"/>
      <c r="N317" s="9" t="str">
        <f ca="1">IFERROR(__xludf.DUMMYFUNCTION("IFERROR(VALUE(REGEXEXTRACT(TO_TEXT($F317), N$1 &amp; ""x(\d+)"")), """")
"),"")</f>
        <v/>
      </c>
      <c r="O317" s="9" t="str">
        <f ca="1">IFERROR(__xludf.DUMMYFUNCTION("IFERROR(VALUE(REGEXEXTRACT(TO_TEXT($F317), O$1 &amp; ""x(\d+)"")), """")"),"")</f>
        <v/>
      </c>
      <c r="P317" s="9" t="str">
        <f ca="1">IFERROR(__xludf.DUMMYFUNCTION("IFERROR(VALUE(REGEXEXTRACT(TO_TEXT($F317), P$1 &amp; ""x(\d+)"")), """")"),"")</f>
        <v/>
      </c>
      <c r="Q317" s="9" t="str">
        <f ca="1">IFERROR(__xludf.DUMMYFUNCTION("IFERROR(VALUE(REGEXEXTRACT(TO_TEXT($F317), Q$1 &amp; ""x(\d+)"")), """")"),"")</f>
        <v/>
      </c>
      <c r="R317" s="9">
        <f ca="1">IFERROR(__xludf.DUMMYFUNCTION("IFERROR(VALUE(REGEXEXTRACT(TO_TEXT($F317), R$1 &amp; ""x(\d+)"")), """")"),1)</f>
        <v>1</v>
      </c>
      <c r="S317" s="9" t="str">
        <f ca="1">IFERROR(__xludf.DUMMYFUNCTION("IFERROR(VALUE(REGEXEXTRACT(TO_TEXT($F317), S$1 &amp; ""x(\d+)"")), """")"),"")</f>
        <v/>
      </c>
      <c r="T317" s="9" t="str">
        <f ca="1">IFERROR(__xludf.DUMMYFUNCTION("IFERROR(VALUE(REGEXEXTRACT(TO_TEXT($F317), T$1 &amp; ""x(\d+)"")), """")"),"")</f>
        <v/>
      </c>
      <c r="U317" s="9" t="str">
        <f ca="1">IFERROR(__xludf.DUMMYFUNCTION("IFERROR(VALUE(REGEXEXTRACT(TO_TEXT($F317), U$1 &amp; ""x(\d+)"")), """")"),"")</f>
        <v/>
      </c>
      <c r="V317" s="9" t="str">
        <f ca="1">IFERROR(__xludf.DUMMYFUNCTION("IFERROR(VALUE(REGEXEXTRACT(TO_TEXT($F317), V$1 &amp; ""x(\d+)"")), """")"),"")</f>
        <v/>
      </c>
      <c r="W317" s="9"/>
      <c r="X317" s="9"/>
      <c r="Y317" s="9"/>
      <c r="Z317" s="9"/>
    </row>
    <row r="318" spans="1:26" ht="15.75" customHeight="1">
      <c r="A318" s="9" t="s">
        <v>300</v>
      </c>
      <c r="B318" s="9" t="s">
        <v>1388</v>
      </c>
      <c r="C318" s="9" t="s">
        <v>301</v>
      </c>
      <c r="D318" s="9" t="s">
        <v>33</v>
      </c>
      <c r="E318" s="9" t="s">
        <v>13</v>
      </c>
      <c r="F318" s="9" t="s">
        <v>1390</v>
      </c>
      <c r="G318" s="9">
        <v>30</v>
      </c>
      <c r="H318" s="9">
        <v>3</v>
      </c>
      <c r="I318" s="9">
        <v>1.0149999999999999</v>
      </c>
      <c r="J318" s="9">
        <v>99</v>
      </c>
      <c r="K318" s="9" t="s">
        <v>442</v>
      </c>
      <c r="L318" s="9"/>
      <c r="M318" s="9"/>
      <c r="N318" s="9" t="str">
        <f ca="1">IFERROR(__xludf.DUMMYFUNCTION("IFERROR(VALUE(REGEXEXTRACT(TO_TEXT($F318), N$1 &amp; ""x(\d+)"")), """")
"),"")</f>
        <v/>
      </c>
      <c r="O318" s="9" t="str">
        <f ca="1">IFERROR(__xludf.DUMMYFUNCTION("IFERROR(VALUE(REGEXEXTRACT(TO_TEXT($F318), O$1 &amp; ""x(\d+)"")), """")"),"")</f>
        <v/>
      </c>
      <c r="P318" s="9" t="str">
        <f ca="1">IFERROR(__xludf.DUMMYFUNCTION("IFERROR(VALUE(REGEXEXTRACT(TO_TEXT($F318), P$1 &amp; ""x(\d+)"")), """")"),"")</f>
        <v/>
      </c>
      <c r="Q318" s="9" t="str">
        <f ca="1">IFERROR(__xludf.DUMMYFUNCTION("IFERROR(VALUE(REGEXEXTRACT(TO_TEXT($F318), Q$1 &amp; ""x(\d+)"")), """")"),"")</f>
        <v/>
      </c>
      <c r="R318" s="9">
        <f ca="1">IFERROR(__xludf.DUMMYFUNCTION("IFERROR(VALUE(REGEXEXTRACT(TO_TEXT($F318), R$1 &amp; ""x(\d+)"")), """")"),1)</f>
        <v>1</v>
      </c>
      <c r="S318" s="9" t="str">
        <f ca="1">IFERROR(__xludf.DUMMYFUNCTION("IFERROR(VALUE(REGEXEXTRACT(TO_TEXT($F318), S$1 &amp; ""x(\d+)"")), """")"),"")</f>
        <v/>
      </c>
      <c r="T318" s="9" t="str">
        <f ca="1">IFERROR(__xludf.DUMMYFUNCTION("IFERROR(VALUE(REGEXEXTRACT(TO_TEXT($F318), T$1 &amp; ""x(\d+)"")), """")"),"")</f>
        <v/>
      </c>
      <c r="U318" s="9" t="str">
        <f ca="1">IFERROR(__xludf.DUMMYFUNCTION("IFERROR(VALUE(REGEXEXTRACT(TO_TEXT($F318), U$1 &amp; ""x(\d+)"")), """")"),"")</f>
        <v/>
      </c>
      <c r="V318" s="9" t="str">
        <f ca="1">IFERROR(__xludf.DUMMYFUNCTION("IFERROR(VALUE(REGEXEXTRACT(TO_TEXT($F318), V$1 &amp; ""x(\d+)"")), """")"),"")</f>
        <v/>
      </c>
      <c r="W318" s="9"/>
      <c r="X318" s="9"/>
      <c r="Y318" s="9"/>
      <c r="Z318" s="9"/>
    </row>
    <row r="319" spans="1:26" ht="15.75" hidden="1" customHeight="1">
      <c r="A319" s="9" t="s">
        <v>1391</v>
      </c>
      <c r="B319" s="9" t="s">
        <v>1392</v>
      </c>
      <c r="C319" s="9" t="s">
        <v>566</v>
      </c>
      <c r="D319" s="9" t="s">
        <v>40</v>
      </c>
      <c r="E319" s="9" t="s">
        <v>11</v>
      </c>
      <c r="F319" s="9" t="s">
        <v>1393</v>
      </c>
      <c r="G319" s="9">
        <v>20</v>
      </c>
      <c r="H319" s="9">
        <v>5</v>
      </c>
      <c r="I319" s="9">
        <v>1.0149999999999999</v>
      </c>
      <c r="J319" s="9">
        <v>400</v>
      </c>
      <c r="K319" s="9" t="s">
        <v>442</v>
      </c>
      <c r="L319" s="9"/>
      <c r="M319" s="9"/>
      <c r="N319" s="9" t="str">
        <f ca="1">IFERROR(__xludf.DUMMYFUNCTION("IFERROR(VALUE(REGEXEXTRACT(TO_TEXT($F319), N$1 &amp; ""x(\d+)"")), """")
"),"")</f>
        <v/>
      </c>
      <c r="O319" s="9" t="str">
        <f ca="1">IFERROR(__xludf.DUMMYFUNCTION("IFERROR(VALUE(REGEXEXTRACT(TO_TEXT($F319), O$1 &amp; ""x(\d+)"")), """")"),"")</f>
        <v/>
      </c>
      <c r="P319" s="9" t="str">
        <f ca="1">IFERROR(__xludf.DUMMYFUNCTION("IFERROR(VALUE(REGEXEXTRACT(TO_TEXT($F319), P$1 &amp; ""x(\d+)"")), """")"),"")</f>
        <v/>
      </c>
      <c r="Q319" s="9" t="str">
        <f ca="1">IFERROR(__xludf.DUMMYFUNCTION("IFERROR(VALUE(REGEXEXTRACT(TO_TEXT($F319), Q$1 &amp; ""x(\d+)"")), """")"),"")</f>
        <v/>
      </c>
      <c r="R319" s="9" t="str">
        <f ca="1">IFERROR(__xludf.DUMMYFUNCTION("IFERROR(VALUE(REGEXEXTRACT(TO_TEXT($F319), R$1 &amp; ""x(\d+)"")), """")"),"")</f>
        <v/>
      </c>
      <c r="S319" s="9" t="str">
        <f ca="1">IFERROR(__xludf.DUMMYFUNCTION("IFERROR(VALUE(REGEXEXTRACT(TO_TEXT($F319), S$1 &amp; ""x(\d+)"")), """")"),"")</f>
        <v/>
      </c>
      <c r="T319" s="9" t="str">
        <f ca="1">IFERROR(__xludf.DUMMYFUNCTION("IFERROR(VALUE(REGEXEXTRACT(TO_TEXT($F319), T$1 &amp; ""x(\d+)"")), """")"),"")</f>
        <v/>
      </c>
      <c r="U319" s="9" t="str">
        <f ca="1">IFERROR(__xludf.DUMMYFUNCTION("IFERROR(VALUE(REGEXEXTRACT(TO_TEXT($F319), U$1 &amp; ""x(\d+)"")), """")"),"")</f>
        <v/>
      </c>
      <c r="V319" s="9" t="str">
        <f ca="1">IFERROR(__xludf.DUMMYFUNCTION("IFERROR(VALUE(REGEXEXTRACT(TO_TEXT($F319), V$1 &amp; ""x(\d+)"")), """")"),"")</f>
        <v/>
      </c>
      <c r="W319" s="9"/>
      <c r="X319" s="9"/>
      <c r="Y319" s="9"/>
      <c r="Z319" s="9"/>
    </row>
    <row r="320" spans="1:26" ht="15.75" hidden="1" customHeight="1">
      <c r="A320" s="9" t="s">
        <v>1391</v>
      </c>
      <c r="B320" s="9" t="s">
        <v>1392</v>
      </c>
      <c r="C320" s="9" t="s">
        <v>566</v>
      </c>
      <c r="D320" s="9" t="s">
        <v>40</v>
      </c>
      <c r="E320" s="9" t="s">
        <v>12</v>
      </c>
      <c r="F320" s="9" t="s">
        <v>1394</v>
      </c>
      <c r="G320" s="9">
        <v>60</v>
      </c>
      <c r="H320" s="9">
        <v>5</v>
      </c>
      <c r="I320" s="9">
        <v>1.0149999999999999</v>
      </c>
      <c r="J320" s="9">
        <v>400</v>
      </c>
      <c r="K320" s="9" t="s">
        <v>442</v>
      </c>
      <c r="L320" s="9"/>
      <c r="M320" s="9"/>
      <c r="N320" s="9" t="str">
        <f ca="1">IFERROR(__xludf.DUMMYFUNCTION("IFERROR(VALUE(REGEXEXTRACT(TO_TEXT($F320), N$1 &amp; ""x(\d+)"")), """")
"),"")</f>
        <v/>
      </c>
      <c r="O320" s="9" t="str">
        <f ca="1">IFERROR(__xludf.DUMMYFUNCTION("IFERROR(VALUE(REGEXEXTRACT(TO_TEXT($F320), O$1 &amp; ""x(\d+)"")), """")"),"")</f>
        <v/>
      </c>
      <c r="P320" s="9" t="str">
        <f ca="1">IFERROR(__xludf.DUMMYFUNCTION("IFERROR(VALUE(REGEXEXTRACT(TO_TEXT($F320), P$1 &amp; ""x(\d+)"")), """")"),"")</f>
        <v/>
      </c>
      <c r="Q320" s="9" t="str">
        <f ca="1">IFERROR(__xludf.DUMMYFUNCTION("IFERROR(VALUE(REGEXEXTRACT(TO_TEXT($F320), Q$1 &amp; ""x(\d+)"")), """")"),"")</f>
        <v/>
      </c>
      <c r="R320" s="9" t="str">
        <f ca="1">IFERROR(__xludf.DUMMYFUNCTION("IFERROR(VALUE(REGEXEXTRACT(TO_TEXT($F320), R$1 &amp; ""x(\d+)"")), """")"),"")</f>
        <v/>
      </c>
      <c r="S320" s="9">
        <f ca="1">IFERROR(__xludf.DUMMYFUNCTION("IFERROR(VALUE(REGEXEXTRACT(TO_TEXT($F320), S$1 &amp; ""x(\d+)"")), """")"),1)</f>
        <v>1</v>
      </c>
      <c r="T320" s="9" t="str">
        <f ca="1">IFERROR(__xludf.DUMMYFUNCTION("IFERROR(VALUE(REGEXEXTRACT(TO_TEXT($F320), T$1 &amp; ""x(\d+)"")), """")"),"")</f>
        <v/>
      </c>
      <c r="U320" s="9" t="str">
        <f ca="1">IFERROR(__xludf.DUMMYFUNCTION("IFERROR(VALUE(REGEXEXTRACT(TO_TEXT($F320), U$1 &amp; ""x(\d+)"")), """")"),"")</f>
        <v/>
      </c>
      <c r="V320" s="9" t="str">
        <f ca="1">IFERROR(__xludf.DUMMYFUNCTION("IFERROR(VALUE(REGEXEXTRACT(TO_TEXT($F320), V$1 &amp; ""x(\d+)"")), """")"),"")</f>
        <v/>
      </c>
      <c r="W320" s="9"/>
      <c r="X320" s="9"/>
      <c r="Y320" s="9"/>
      <c r="Z320" s="9"/>
    </row>
    <row r="321" spans="1:26" ht="15.75" hidden="1" customHeight="1">
      <c r="A321" s="9" t="s">
        <v>1391</v>
      </c>
      <c r="B321" s="9" t="s">
        <v>1392</v>
      </c>
      <c r="C321" s="9" t="s">
        <v>566</v>
      </c>
      <c r="D321" s="9" t="s">
        <v>40</v>
      </c>
      <c r="E321" s="9" t="s">
        <v>13</v>
      </c>
      <c r="F321" s="9" t="s">
        <v>1395</v>
      </c>
      <c r="G321" s="9">
        <v>30</v>
      </c>
      <c r="H321" s="9">
        <v>5</v>
      </c>
      <c r="I321" s="9">
        <v>1.0149999999999999</v>
      </c>
      <c r="J321" s="9">
        <v>400</v>
      </c>
      <c r="K321" s="9" t="s">
        <v>442</v>
      </c>
      <c r="L321" s="9"/>
      <c r="M321" s="9"/>
      <c r="N321" s="9" t="str">
        <f ca="1">IFERROR(__xludf.DUMMYFUNCTION("IFERROR(VALUE(REGEXEXTRACT(TO_TEXT($F321), N$1 &amp; ""x(\d+)"")), """")
"),"")</f>
        <v/>
      </c>
      <c r="O321" s="9" t="str">
        <f ca="1">IFERROR(__xludf.DUMMYFUNCTION("IFERROR(VALUE(REGEXEXTRACT(TO_TEXT($F321), O$1 &amp; ""x(\d+)"")), """")"),"")</f>
        <v/>
      </c>
      <c r="P321" s="9" t="str">
        <f ca="1">IFERROR(__xludf.DUMMYFUNCTION("IFERROR(VALUE(REGEXEXTRACT(TO_TEXT($F321), P$1 &amp; ""x(\d+)"")), """")"),"")</f>
        <v/>
      </c>
      <c r="Q321" s="9" t="str">
        <f ca="1">IFERROR(__xludf.DUMMYFUNCTION("IFERROR(VALUE(REGEXEXTRACT(TO_TEXT($F321), Q$1 &amp; ""x(\d+)"")), """")"),"")</f>
        <v/>
      </c>
      <c r="R321" s="9" t="str">
        <f ca="1">IFERROR(__xludf.DUMMYFUNCTION("IFERROR(VALUE(REGEXEXTRACT(TO_TEXT($F321), R$1 &amp; ""x(\d+)"")), """")"),"")</f>
        <v/>
      </c>
      <c r="S321" s="9">
        <f ca="1">IFERROR(__xludf.DUMMYFUNCTION("IFERROR(VALUE(REGEXEXTRACT(TO_TEXT($F321), S$1 &amp; ""x(\d+)"")), """")"),1)</f>
        <v>1</v>
      </c>
      <c r="T321" s="9" t="str">
        <f ca="1">IFERROR(__xludf.DUMMYFUNCTION("IFERROR(VALUE(REGEXEXTRACT(TO_TEXT($F321), T$1 &amp; ""x(\d+)"")), """")"),"")</f>
        <v/>
      </c>
      <c r="U321" s="9" t="str">
        <f ca="1">IFERROR(__xludf.DUMMYFUNCTION("IFERROR(VALUE(REGEXEXTRACT(TO_TEXT($F321), U$1 &amp; ""x(\d+)"")), """")"),"")</f>
        <v/>
      </c>
      <c r="V321" s="9" t="str">
        <f ca="1">IFERROR(__xludf.DUMMYFUNCTION("IFERROR(VALUE(REGEXEXTRACT(TO_TEXT($F321), V$1 &amp; ""x(\d+)"")), """")"),"")</f>
        <v/>
      </c>
      <c r="W321" s="9"/>
      <c r="X321" s="9"/>
      <c r="Y321" s="9"/>
      <c r="Z321" s="9"/>
    </row>
    <row r="322" spans="1:26" ht="15.75" customHeight="1">
      <c r="A322" s="9" t="s">
        <v>1391</v>
      </c>
      <c r="B322" s="9" t="s">
        <v>1392</v>
      </c>
      <c r="C322" s="9" t="s">
        <v>566</v>
      </c>
      <c r="D322" s="9" t="s">
        <v>33</v>
      </c>
      <c r="E322" s="9" t="s">
        <v>11</v>
      </c>
      <c r="F322" s="9" t="s">
        <v>1396</v>
      </c>
      <c r="G322" s="9">
        <v>20</v>
      </c>
      <c r="H322" s="9">
        <v>8</v>
      </c>
      <c r="I322" s="9">
        <v>1.0149999999999999</v>
      </c>
      <c r="J322" s="9">
        <v>110</v>
      </c>
      <c r="K322" s="9" t="s">
        <v>442</v>
      </c>
      <c r="L322" s="9"/>
      <c r="M322" s="9"/>
      <c r="N322" s="9" t="str">
        <f ca="1">IFERROR(__xludf.DUMMYFUNCTION("IFERROR(VALUE(REGEXEXTRACT(TO_TEXT($F322), N$1 &amp; ""x(\d+)"")), """")
"),"")</f>
        <v/>
      </c>
      <c r="O322" s="9" t="str">
        <f ca="1">IFERROR(__xludf.DUMMYFUNCTION("IFERROR(VALUE(REGEXEXTRACT(TO_TEXT($F322), O$1 &amp; ""x(\d+)"")), """")"),"")</f>
        <v/>
      </c>
      <c r="P322" s="9" t="str">
        <f ca="1">IFERROR(__xludf.DUMMYFUNCTION("IFERROR(VALUE(REGEXEXTRACT(TO_TEXT($F322), P$1 &amp; ""x(\d+)"")), """")"),"")</f>
        <v/>
      </c>
      <c r="Q322" s="9" t="str">
        <f ca="1">IFERROR(__xludf.DUMMYFUNCTION("IFERROR(VALUE(REGEXEXTRACT(TO_TEXT($F322), Q$1 &amp; ""x(\d+)"")), """")"),"")</f>
        <v/>
      </c>
      <c r="R322" s="9" t="str">
        <f ca="1">IFERROR(__xludf.DUMMYFUNCTION("IFERROR(VALUE(REGEXEXTRACT(TO_TEXT($F322), R$1 &amp; ""x(\d+)"")), """")"),"")</f>
        <v/>
      </c>
      <c r="S322" s="9" t="str">
        <f ca="1">IFERROR(__xludf.DUMMYFUNCTION("IFERROR(VALUE(REGEXEXTRACT(TO_TEXT($F322), S$1 &amp; ""x(\d+)"")), """")"),"")</f>
        <v/>
      </c>
      <c r="T322" s="9" t="str">
        <f ca="1">IFERROR(__xludf.DUMMYFUNCTION("IFERROR(VALUE(REGEXEXTRACT(TO_TEXT($F322), T$1 &amp; ""x(\d+)"")), """")"),"")</f>
        <v/>
      </c>
      <c r="U322" s="9" t="str">
        <f ca="1">IFERROR(__xludf.DUMMYFUNCTION("IFERROR(VALUE(REGEXEXTRACT(TO_TEXT($F322), U$1 &amp; ""x(\d+)"")), """")"),"")</f>
        <v/>
      </c>
      <c r="V322" s="9" t="str">
        <f ca="1">IFERROR(__xludf.DUMMYFUNCTION("IFERROR(VALUE(REGEXEXTRACT(TO_TEXT($F322), V$1 &amp; ""x(\d+)"")), """")"),"")</f>
        <v/>
      </c>
      <c r="W322" s="9"/>
      <c r="X322" s="9"/>
      <c r="Y322" s="9"/>
      <c r="Z322" s="9"/>
    </row>
    <row r="323" spans="1:26" ht="15.75" customHeight="1">
      <c r="A323" s="9" t="s">
        <v>1391</v>
      </c>
      <c r="B323" s="9" t="s">
        <v>1392</v>
      </c>
      <c r="C323" s="9" t="s">
        <v>566</v>
      </c>
      <c r="D323" s="9" t="s">
        <v>33</v>
      </c>
      <c r="E323" s="9" t="s">
        <v>12</v>
      </c>
      <c r="F323" s="9" t="s">
        <v>1397</v>
      </c>
      <c r="G323" s="9">
        <v>45</v>
      </c>
      <c r="H323" s="9">
        <v>8</v>
      </c>
      <c r="I323" s="9">
        <v>1.0149999999999999</v>
      </c>
      <c r="J323" s="9">
        <v>110</v>
      </c>
      <c r="K323" s="9" t="s">
        <v>442</v>
      </c>
      <c r="L323" s="9"/>
      <c r="M323" s="9"/>
      <c r="N323" s="9" t="str">
        <f ca="1">IFERROR(__xludf.DUMMYFUNCTION("IFERROR(VALUE(REGEXEXTRACT(TO_TEXT($F323), N$1 &amp; ""x(\d+)"")), """")
"),"")</f>
        <v/>
      </c>
      <c r="O323" s="9">
        <f ca="1">IFERROR(__xludf.DUMMYFUNCTION("IFERROR(VALUE(REGEXEXTRACT(TO_TEXT($F323), O$1 &amp; ""x(\d+)"")), """")"),1)</f>
        <v>1</v>
      </c>
      <c r="P323" s="9" t="str">
        <f ca="1">IFERROR(__xludf.DUMMYFUNCTION("IFERROR(VALUE(REGEXEXTRACT(TO_TEXT($F323), P$1 &amp; ""x(\d+)"")), """")"),"")</f>
        <v/>
      </c>
      <c r="Q323" s="9" t="str">
        <f ca="1">IFERROR(__xludf.DUMMYFUNCTION("IFERROR(VALUE(REGEXEXTRACT(TO_TEXT($F323), Q$1 &amp; ""x(\d+)"")), """")"),"")</f>
        <v/>
      </c>
      <c r="R323" s="9" t="str">
        <f ca="1">IFERROR(__xludf.DUMMYFUNCTION("IFERROR(VALUE(REGEXEXTRACT(TO_TEXT($F323), R$1 &amp; ""x(\d+)"")), """")"),"")</f>
        <v/>
      </c>
      <c r="S323" s="9" t="str">
        <f ca="1">IFERROR(__xludf.DUMMYFUNCTION("IFERROR(VALUE(REGEXEXTRACT(TO_TEXT($F323), S$1 &amp; ""x(\d+)"")), """")"),"")</f>
        <v/>
      </c>
      <c r="T323" s="9" t="str">
        <f ca="1">IFERROR(__xludf.DUMMYFUNCTION("IFERROR(VALUE(REGEXEXTRACT(TO_TEXT($F323), T$1 &amp; ""x(\d+)"")), """")"),"")</f>
        <v/>
      </c>
      <c r="U323" s="9" t="str">
        <f ca="1">IFERROR(__xludf.DUMMYFUNCTION("IFERROR(VALUE(REGEXEXTRACT(TO_TEXT($F323), U$1 &amp; ""x(\d+)"")), """")"),"")</f>
        <v/>
      </c>
      <c r="V323" s="9" t="str">
        <f ca="1">IFERROR(__xludf.DUMMYFUNCTION("IFERROR(VALUE(REGEXEXTRACT(TO_TEXT($F323), V$1 &amp; ""x(\d+)"")), """")"),"")</f>
        <v/>
      </c>
      <c r="W323" s="9"/>
      <c r="X323" s="9"/>
      <c r="Y323" s="9"/>
      <c r="Z323" s="9"/>
    </row>
    <row r="324" spans="1:26" ht="15.75" customHeight="1">
      <c r="A324" s="9" t="s">
        <v>1391</v>
      </c>
      <c r="B324" s="9" t="s">
        <v>1392</v>
      </c>
      <c r="C324" s="9" t="s">
        <v>566</v>
      </c>
      <c r="D324" s="9" t="s">
        <v>33</v>
      </c>
      <c r="E324" s="9" t="s">
        <v>13</v>
      </c>
      <c r="F324" s="9" t="s">
        <v>1398</v>
      </c>
      <c r="G324" s="9">
        <v>10</v>
      </c>
      <c r="H324" s="9">
        <v>8</v>
      </c>
      <c r="I324" s="9">
        <v>1.0149999999999999</v>
      </c>
      <c r="J324" s="9">
        <v>110</v>
      </c>
      <c r="K324" s="9" t="s">
        <v>442</v>
      </c>
      <c r="L324" s="9"/>
      <c r="M324" s="9"/>
      <c r="N324" s="9" t="str">
        <f ca="1">IFERROR(__xludf.DUMMYFUNCTION("IFERROR(VALUE(REGEXEXTRACT(TO_TEXT($F324), N$1 &amp; ""x(\d+)"")), """")
"),"")</f>
        <v/>
      </c>
      <c r="O324" s="9">
        <f ca="1">IFERROR(__xludf.DUMMYFUNCTION("IFERROR(VALUE(REGEXEXTRACT(TO_TEXT($F324), O$1 &amp; ""x(\d+)"")), """")"),1)</f>
        <v>1</v>
      </c>
      <c r="P324" s="9" t="str">
        <f ca="1">IFERROR(__xludf.DUMMYFUNCTION("IFERROR(VALUE(REGEXEXTRACT(TO_TEXT($F324), P$1 &amp; ""x(\d+)"")), """")"),"")</f>
        <v/>
      </c>
      <c r="Q324" s="9" t="str">
        <f ca="1">IFERROR(__xludf.DUMMYFUNCTION("IFERROR(VALUE(REGEXEXTRACT(TO_TEXT($F324), Q$1 &amp; ""x(\d+)"")), """")"),"")</f>
        <v/>
      </c>
      <c r="R324" s="9" t="str">
        <f ca="1">IFERROR(__xludf.DUMMYFUNCTION("IFERROR(VALUE(REGEXEXTRACT(TO_TEXT($F324), R$1 &amp; ""x(\d+)"")), """")"),"")</f>
        <v/>
      </c>
      <c r="S324" s="9" t="str">
        <f ca="1">IFERROR(__xludf.DUMMYFUNCTION("IFERROR(VALUE(REGEXEXTRACT(TO_TEXT($F324), S$1 &amp; ""x(\d+)"")), """")"),"")</f>
        <v/>
      </c>
      <c r="T324" s="9" t="str">
        <f ca="1">IFERROR(__xludf.DUMMYFUNCTION("IFERROR(VALUE(REGEXEXTRACT(TO_TEXT($F324), T$1 &amp; ""x(\d+)"")), """")"),"")</f>
        <v/>
      </c>
      <c r="U324" s="9" t="str">
        <f ca="1">IFERROR(__xludf.DUMMYFUNCTION("IFERROR(VALUE(REGEXEXTRACT(TO_TEXT($F324), U$1 &amp; ""x(\d+)"")), """")"),"")</f>
        <v/>
      </c>
      <c r="V324" s="9" t="str">
        <f ca="1">IFERROR(__xludf.DUMMYFUNCTION("IFERROR(VALUE(REGEXEXTRACT(TO_TEXT($F324), V$1 &amp; ""x(\d+)"")), """")"),"")</f>
        <v/>
      </c>
      <c r="W324" s="9"/>
      <c r="X324" s="9"/>
      <c r="Y324" s="9"/>
      <c r="Z324" s="9"/>
    </row>
    <row r="325" spans="1:26" ht="15.75" hidden="1" customHeight="1">
      <c r="A325" s="9" t="s">
        <v>1399</v>
      </c>
      <c r="B325" s="9" t="s">
        <v>1400</v>
      </c>
      <c r="C325" s="9" t="s">
        <v>447</v>
      </c>
      <c r="D325" s="9" t="s">
        <v>40</v>
      </c>
      <c r="E325" s="9" t="s">
        <v>11</v>
      </c>
      <c r="F325" s="9" t="s">
        <v>1401</v>
      </c>
      <c r="G325" s="9">
        <v>20</v>
      </c>
      <c r="H325" s="9">
        <v>4</v>
      </c>
      <c r="I325" s="9">
        <v>1.0149999999999999</v>
      </c>
      <c r="J325" s="9">
        <v>400</v>
      </c>
      <c r="K325" s="9" t="s">
        <v>442</v>
      </c>
      <c r="L325" s="9"/>
      <c r="M325" s="9"/>
      <c r="N325" s="9" t="str">
        <f ca="1">IFERROR(__xludf.DUMMYFUNCTION("IFERROR(VALUE(REGEXEXTRACT(TO_TEXT($F325), N$1 &amp; ""x(\d+)"")), """")
"),"")</f>
        <v/>
      </c>
      <c r="O325" s="9" t="str">
        <f ca="1">IFERROR(__xludf.DUMMYFUNCTION("IFERROR(VALUE(REGEXEXTRACT(TO_TEXT($F325), O$1 &amp; ""x(\d+)"")), """")"),"")</f>
        <v/>
      </c>
      <c r="P325" s="9" t="str">
        <f ca="1">IFERROR(__xludf.DUMMYFUNCTION("IFERROR(VALUE(REGEXEXTRACT(TO_TEXT($F325), P$1 &amp; ""x(\d+)"")), """")"),"")</f>
        <v/>
      </c>
      <c r="Q325" s="9" t="str">
        <f ca="1">IFERROR(__xludf.DUMMYFUNCTION("IFERROR(VALUE(REGEXEXTRACT(TO_TEXT($F325), Q$1 &amp; ""x(\d+)"")), """")"),"")</f>
        <v/>
      </c>
      <c r="R325" s="9" t="str">
        <f ca="1">IFERROR(__xludf.DUMMYFUNCTION("IFERROR(VALUE(REGEXEXTRACT(TO_TEXT($F325), R$1 &amp; ""x(\d+)"")), """")"),"")</f>
        <v/>
      </c>
      <c r="S325" s="9" t="str">
        <f ca="1">IFERROR(__xludf.DUMMYFUNCTION("IFERROR(VALUE(REGEXEXTRACT(TO_TEXT($F325), S$1 &amp; ""x(\d+)"")), """")"),"")</f>
        <v/>
      </c>
      <c r="T325" s="9" t="str">
        <f ca="1">IFERROR(__xludf.DUMMYFUNCTION("IFERROR(VALUE(REGEXEXTRACT(TO_TEXT($F325), T$1 &amp; ""x(\d+)"")), """")"),"")</f>
        <v/>
      </c>
      <c r="U325" s="9" t="str">
        <f ca="1">IFERROR(__xludf.DUMMYFUNCTION("IFERROR(VALUE(REGEXEXTRACT(TO_TEXT($F325), U$1 &amp; ""x(\d+)"")), """")"),"")</f>
        <v/>
      </c>
      <c r="V325" s="9" t="str">
        <f ca="1">IFERROR(__xludf.DUMMYFUNCTION("IFERROR(VALUE(REGEXEXTRACT(TO_TEXT($F325), V$1 &amp; ""x(\d+)"")), """")"),"")</f>
        <v/>
      </c>
      <c r="W325" s="9"/>
      <c r="X325" s="9"/>
      <c r="Y325" s="9"/>
      <c r="Z325" s="9"/>
    </row>
    <row r="326" spans="1:26" ht="15.75" hidden="1" customHeight="1">
      <c r="A326" s="9" t="s">
        <v>1399</v>
      </c>
      <c r="B326" s="9" t="s">
        <v>1400</v>
      </c>
      <c r="C326" s="9" t="s">
        <v>447</v>
      </c>
      <c r="D326" s="9" t="s">
        <v>40</v>
      </c>
      <c r="E326" s="9" t="s">
        <v>12</v>
      </c>
      <c r="F326" s="9" t="s">
        <v>1372</v>
      </c>
      <c r="G326" s="9">
        <v>90</v>
      </c>
      <c r="H326" s="9">
        <v>4</v>
      </c>
      <c r="I326" s="9">
        <v>1.0149999999999999</v>
      </c>
      <c r="J326" s="9">
        <v>400</v>
      </c>
      <c r="K326" s="9" t="s">
        <v>442</v>
      </c>
      <c r="L326" s="9"/>
      <c r="M326" s="9"/>
      <c r="N326" s="9" t="str">
        <f ca="1">IFERROR(__xludf.DUMMYFUNCTION("IFERROR(VALUE(REGEXEXTRACT(TO_TEXT($F326), N$1 &amp; ""x(\d+)"")), """")
"),"")</f>
        <v/>
      </c>
      <c r="O326" s="9" t="str">
        <f ca="1">IFERROR(__xludf.DUMMYFUNCTION("IFERROR(VALUE(REGEXEXTRACT(TO_TEXT($F326), O$1 &amp; ""x(\d+)"")), """")"),"")</f>
        <v/>
      </c>
      <c r="P326" s="9" t="str">
        <f ca="1">IFERROR(__xludf.DUMMYFUNCTION("IFERROR(VALUE(REGEXEXTRACT(TO_TEXT($F326), P$1 &amp; ""x(\d+)"")), """")"),"")</f>
        <v/>
      </c>
      <c r="Q326" s="9" t="str">
        <f ca="1">IFERROR(__xludf.DUMMYFUNCTION("IFERROR(VALUE(REGEXEXTRACT(TO_TEXT($F326), Q$1 &amp; ""x(\d+)"")), """")"),"")</f>
        <v/>
      </c>
      <c r="R326" s="9" t="str">
        <f ca="1">IFERROR(__xludf.DUMMYFUNCTION("IFERROR(VALUE(REGEXEXTRACT(TO_TEXT($F326), R$1 &amp; ""x(\d+)"")), """")"),"")</f>
        <v/>
      </c>
      <c r="S326" s="9">
        <f ca="1">IFERROR(__xludf.DUMMYFUNCTION("IFERROR(VALUE(REGEXEXTRACT(TO_TEXT($F326), S$1 &amp; ""x(\d+)"")), """")"),1)</f>
        <v>1</v>
      </c>
      <c r="T326" s="9" t="str">
        <f ca="1">IFERROR(__xludf.DUMMYFUNCTION("IFERROR(VALUE(REGEXEXTRACT(TO_TEXT($F326), T$1 &amp; ""x(\d+)"")), """")"),"")</f>
        <v/>
      </c>
      <c r="U326" s="9" t="str">
        <f ca="1">IFERROR(__xludf.DUMMYFUNCTION("IFERROR(VALUE(REGEXEXTRACT(TO_TEXT($F326), U$1 &amp; ""x(\d+)"")), """")"),"")</f>
        <v/>
      </c>
      <c r="V326" s="9" t="str">
        <f ca="1">IFERROR(__xludf.DUMMYFUNCTION("IFERROR(VALUE(REGEXEXTRACT(TO_TEXT($F326), V$1 &amp; ""x(\d+)"")), """")"),"")</f>
        <v/>
      </c>
      <c r="W326" s="9"/>
      <c r="X326" s="9"/>
      <c r="Y326" s="9"/>
      <c r="Z326" s="9"/>
    </row>
    <row r="327" spans="1:26" ht="15.75" hidden="1" customHeight="1">
      <c r="A327" s="9" t="s">
        <v>1399</v>
      </c>
      <c r="B327" s="9" t="s">
        <v>1400</v>
      </c>
      <c r="C327" s="9" t="s">
        <v>447</v>
      </c>
      <c r="D327" s="9" t="s">
        <v>40</v>
      </c>
      <c r="E327" s="9" t="s">
        <v>13</v>
      </c>
      <c r="F327" s="9" t="s">
        <v>1133</v>
      </c>
      <c r="G327" s="9">
        <v>30</v>
      </c>
      <c r="H327" s="9">
        <v>4</v>
      </c>
      <c r="I327" s="9">
        <v>1.0149999999999999</v>
      </c>
      <c r="J327" s="9">
        <v>400</v>
      </c>
      <c r="K327" s="9" t="s">
        <v>442</v>
      </c>
      <c r="L327" s="9"/>
      <c r="M327" s="9"/>
      <c r="N327" s="9" t="str">
        <f ca="1">IFERROR(__xludf.DUMMYFUNCTION("IFERROR(VALUE(REGEXEXTRACT(TO_TEXT($F327), N$1 &amp; ""x(\d+)"")), """")
"),"")</f>
        <v/>
      </c>
      <c r="O327" s="9" t="str">
        <f ca="1">IFERROR(__xludf.DUMMYFUNCTION("IFERROR(VALUE(REGEXEXTRACT(TO_TEXT($F327), O$1 &amp; ""x(\d+)"")), """")"),"")</f>
        <v/>
      </c>
      <c r="P327" s="9" t="str">
        <f ca="1">IFERROR(__xludf.DUMMYFUNCTION("IFERROR(VALUE(REGEXEXTRACT(TO_TEXT($F327), P$1 &amp; ""x(\d+)"")), """")"),"")</f>
        <v/>
      </c>
      <c r="Q327" s="9" t="str">
        <f ca="1">IFERROR(__xludf.DUMMYFUNCTION("IFERROR(VALUE(REGEXEXTRACT(TO_TEXT($F327), Q$1 &amp; ""x(\d+)"")), """")"),"")</f>
        <v/>
      </c>
      <c r="R327" s="9" t="str">
        <f ca="1">IFERROR(__xludf.DUMMYFUNCTION("IFERROR(VALUE(REGEXEXTRACT(TO_TEXT($F327), R$1 &amp; ""x(\d+)"")), """")"),"")</f>
        <v/>
      </c>
      <c r="S327" s="9">
        <f ca="1">IFERROR(__xludf.DUMMYFUNCTION("IFERROR(VALUE(REGEXEXTRACT(TO_TEXT($F327), S$1 &amp; ""x(\d+)"")), """")"),1)</f>
        <v>1</v>
      </c>
      <c r="T327" s="9" t="str">
        <f ca="1">IFERROR(__xludf.DUMMYFUNCTION("IFERROR(VALUE(REGEXEXTRACT(TO_TEXT($F327), T$1 &amp; ""x(\d+)"")), """")"),"")</f>
        <v/>
      </c>
      <c r="U327" s="9" t="str">
        <f ca="1">IFERROR(__xludf.DUMMYFUNCTION("IFERROR(VALUE(REGEXEXTRACT(TO_TEXT($F327), U$1 &amp; ""x(\d+)"")), """")"),"")</f>
        <v/>
      </c>
      <c r="V327" s="9" t="str">
        <f ca="1">IFERROR(__xludf.DUMMYFUNCTION("IFERROR(VALUE(REGEXEXTRACT(TO_TEXT($F327), V$1 &amp; ""x(\d+)"")), """")"),"")</f>
        <v/>
      </c>
      <c r="W327" s="9"/>
      <c r="X327" s="9"/>
      <c r="Y327" s="9"/>
      <c r="Z327" s="9"/>
    </row>
    <row r="328" spans="1:26" ht="15.75" customHeight="1">
      <c r="A328" s="9" t="s">
        <v>1402</v>
      </c>
      <c r="B328" s="9" t="s">
        <v>1403</v>
      </c>
      <c r="C328" s="9" t="s">
        <v>950</v>
      </c>
      <c r="D328" s="9" t="s">
        <v>33</v>
      </c>
      <c r="E328" s="9" t="s">
        <v>11</v>
      </c>
      <c r="F328" s="9" t="s">
        <v>1404</v>
      </c>
      <c r="G328" s="9">
        <v>20</v>
      </c>
      <c r="H328" s="9">
        <v>9</v>
      </c>
      <c r="I328" s="9">
        <v>1.0149999999999999</v>
      </c>
      <c r="J328" s="9">
        <v>100</v>
      </c>
      <c r="K328" s="9" t="s">
        <v>442</v>
      </c>
      <c r="L328" s="9"/>
      <c r="M328" s="9"/>
      <c r="N328" s="9" t="str">
        <f ca="1">IFERROR(__xludf.DUMMYFUNCTION("IFERROR(VALUE(REGEXEXTRACT(TO_TEXT($F328), N$1 &amp; ""x(\d+)"")), """")
"),"")</f>
        <v/>
      </c>
      <c r="O328" s="9" t="str">
        <f ca="1">IFERROR(__xludf.DUMMYFUNCTION("IFERROR(VALUE(REGEXEXTRACT(TO_TEXT($F328), O$1 &amp; ""x(\d+)"")), """")"),"")</f>
        <v/>
      </c>
      <c r="P328" s="9" t="str">
        <f ca="1">IFERROR(__xludf.DUMMYFUNCTION("IFERROR(VALUE(REGEXEXTRACT(TO_TEXT($F328), P$1 &amp; ""x(\d+)"")), """")"),"")</f>
        <v/>
      </c>
      <c r="Q328" s="9" t="str">
        <f ca="1">IFERROR(__xludf.DUMMYFUNCTION("IFERROR(VALUE(REGEXEXTRACT(TO_TEXT($F328), Q$1 &amp; ""x(\d+)"")), """")"),"")</f>
        <v/>
      </c>
      <c r="R328" s="9" t="str">
        <f ca="1">IFERROR(__xludf.DUMMYFUNCTION("IFERROR(VALUE(REGEXEXTRACT(TO_TEXT($F328), R$1 &amp; ""x(\d+)"")), """")"),"")</f>
        <v/>
      </c>
      <c r="S328" s="9" t="str">
        <f ca="1">IFERROR(__xludf.DUMMYFUNCTION("IFERROR(VALUE(REGEXEXTRACT(TO_TEXT($F328), S$1 &amp; ""x(\d+)"")), """")"),"")</f>
        <v/>
      </c>
      <c r="T328" s="9" t="str">
        <f ca="1">IFERROR(__xludf.DUMMYFUNCTION("IFERROR(VALUE(REGEXEXTRACT(TO_TEXT($F328), T$1 &amp; ""x(\d+)"")), """")"),"")</f>
        <v/>
      </c>
      <c r="U328" s="9" t="str">
        <f ca="1">IFERROR(__xludf.DUMMYFUNCTION("IFERROR(VALUE(REGEXEXTRACT(TO_TEXT($F328), U$1 &amp; ""x(\d+)"")), """")"),"")</f>
        <v/>
      </c>
      <c r="V328" s="9" t="str">
        <f ca="1">IFERROR(__xludf.DUMMYFUNCTION("IFERROR(VALUE(REGEXEXTRACT(TO_TEXT($F328), V$1 &amp; ""x(\d+)"")), """")"),"")</f>
        <v/>
      </c>
      <c r="W328" s="9"/>
      <c r="X328" s="9"/>
      <c r="Y328" s="9"/>
      <c r="Z328" s="9"/>
    </row>
    <row r="329" spans="1:26" ht="15.75" customHeight="1">
      <c r="A329" s="9" t="s">
        <v>1402</v>
      </c>
      <c r="B329" s="9" t="s">
        <v>1403</v>
      </c>
      <c r="C329" s="9" t="s">
        <v>950</v>
      </c>
      <c r="D329" s="9" t="s">
        <v>33</v>
      </c>
      <c r="E329" s="9" t="s">
        <v>12</v>
      </c>
      <c r="F329" s="9" t="s">
        <v>1405</v>
      </c>
      <c r="G329" s="9">
        <v>35</v>
      </c>
      <c r="H329" s="9">
        <v>9</v>
      </c>
      <c r="I329" s="9">
        <v>1.0149999999999999</v>
      </c>
      <c r="J329" s="9">
        <v>100</v>
      </c>
      <c r="K329" s="9" t="s">
        <v>442</v>
      </c>
      <c r="L329" s="9"/>
      <c r="M329" s="9"/>
      <c r="N329" s="9" t="str">
        <f ca="1">IFERROR(__xludf.DUMMYFUNCTION("IFERROR(VALUE(REGEXEXTRACT(TO_TEXT($F329), N$1 &amp; ""x(\d+)"")), """")
"),"")</f>
        <v/>
      </c>
      <c r="O329" s="9">
        <f ca="1">IFERROR(__xludf.DUMMYFUNCTION("IFERROR(VALUE(REGEXEXTRACT(TO_TEXT($F329), O$1 &amp; ""x(\d+)"")), """")"),1)</f>
        <v>1</v>
      </c>
      <c r="P329" s="9" t="str">
        <f ca="1">IFERROR(__xludf.DUMMYFUNCTION("IFERROR(VALUE(REGEXEXTRACT(TO_TEXT($F329), P$1 &amp; ""x(\d+)"")), """")"),"")</f>
        <v/>
      </c>
      <c r="Q329" s="9" t="str">
        <f ca="1">IFERROR(__xludf.DUMMYFUNCTION("IFERROR(VALUE(REGEXEXTRACT(TO_TEXT($F329), Q$1 &amp; ""x(\d+)"")), """")"),"")</f>
        <v/>
      </c>
      <c r="R329" s="9" t="str">
        <f ca="1">IFERROR(__xludf.DUMMYFUNCTION("IFERROR(VALUE(REGEXEXTRACT(TO_TEXT($F329), R$1 &amp; ""x(\d+)"")), """")"),"")</f>
        <v/>
      </c>
      <c r="S329" s="9" t="str">
        <f ca="1">IFERROR(__xludf.DUMMYFUNCTION("IFERROR(VALUE(REGEXEXTRACT(TO_TEXT($F329), S$1 &amp; ""x(\d+)"")), """")"),"")</f>
        <v/>
      </c>
      <c r="T329" s="9" t="str">
        <f ca="1">IFERROR(__xludf.DUMMYFUNCTION("IFERROR(VALUE(REGEXEXTRACT(TO_TEXT($F329), T$1 &amp; ""x(\d+)"")), """")"),"")</f>
        <v/>
      </c>
      <c r="U329" s="9" t="str">
        <f ca="1">IFERROR(__xludf.DUMMYFUNCTION("IFERROR(VALUE(REGEXEXTRACT(TO_TEXT($F329), U$1 &amp; ""x(\d+)"")), """")"),"")</f>
        <v/>
      </c>
      <c r="V329" s="9" t="str">
        <f ca="1">IFERROR(__xludf.DUMMYFUNCTION("IFERROR(VALUE(REGEXEXTRACT(TO_TEXT($F329), V$1 &amp; ""x(\d+)"")), """")"),"")</f>
        <v/>
      </c>
      <c r="W329" s="9"/>
      <c r="X329" s="9"/>
      <c r="Y329" s="9"/>
      <c r="Z329" s="9"/>
    </row>
    <row r="330" spans="1:26" ht="15.75" customHeight="1">
      <c r="A330" s="9" t="s">
        <v>1402</v>
      </c>
      <c r="B330" s="9" t="s">
        <v>1403</v>
      </c>
      <c r="C330" s="9" t="s">
        <v>950</v>
      </c>
      <c r="D330" s="9" t="s">
        <v>33</v>
      </c>
      <c r="E330" s="9" t="s">
        <v>13</v>
      </c>
      <c r="F330" s="9" t="s">
        <v>1406</v>
      </c>
      <c r="G330" s="9">
        <v>10</v>
      </c>
      <c r="H330" s="9">
        <v>9</v>
      </c>
      <c r="I330" s="9">
        <v>1.0149999999999999</v>
      </c>
      <c r="J330" s="9">
        <v>100</v>
      </c>
      <c r="K330" s="9" t="s">
        <v>442</v>
      </c>
      <c r="L330" s="9"/>
      <c r="M330" s="9"/>
      <c r="N330" s="9" t="str">
        <f ca="1">IFERROR(__xludf.DUMMYFUNCTION("IFERROR(VALUE(REGEXEXTRACT(TO_TEXT($F330), N$1 &amp; ""x(\d+)"")), """")
"),"")</f>
        <v/>
      </c>
      <c r="O330" s="9">
        <f ca="1">IFERROR(__xludf.DUMMYFUNCTION("IFERROR(VALUE(REGEXEXTRACT(TO_TEXT($F330), O$1 &amp; ""x(\d+)"")), """")"),1)</f>
        <v>1</v>
      </c>
      <c r="P330" s="9" t="str">
        <f ca="1">IFERROR(__xludf.DUMMYFUNCTION("IFERROR(VALUE(REGEXEXTRACT(TO_TEXT($F330), P$1 &amp; ""x(\d+)"")), """")"),"")</f>
        <v/>
      </c>
      <c r="Q330" s="9" t="str">
        <f ca="1">IFERROR(__xludf.DUMMYFUNCTION("IFERROR(VALUE(REGEXEXTRACT(TO_TEXT($F330), Q$1 &amp; ""x(\d+)"")), """")"),"")</f>
        <v/>
      </c>
      <c r="R330" s="9" t="str">
        <f ca="1">IFERROR(__xludf.DUMMYFUNCTION("IFERROR(VALUE(REGEXEXTRACT(TO_TEXT($F330), R$1 &amp; ""x(\d+)"")), """")"),"")</f>
        <v/>
      </c>
      <c r="S330" s="9" t="str">
        <f ca="1">IFERROR(__xludf.DUMMYFUNCTION("IFERROR(VALUE(REGEXEXTRACT(TO_TEXT($F330), S$1 &amp; ""x(\d+)"")), """")"),"")</f>
        <v/>
      </c>
      <c r="T330" s="9" t="str">
        <f ca="1">IFERROR(__xludf.DUMMYFUNCTION("IFERROR(VALUE(REGEXEXTRACT(TO_TEXT($F330), T$1 &amp; ""x(\d+)"")), """")"),"")</f>
        <v/>
      </c>
      <c r="U330" s="9" t="str">
        <f ca="1">IFERROR(__xludf.DUMMYFUNCTION("IFERROR(VALUE(REGEXEXTRACT(TO_TEXT($F330), U$1 &amp; ""x(\d+)"")), """")"),"")</f>
        <v/>
      </c>
      <c r="V330" s="9" t="str">
        <f ca="1">IFERROR(__xludf.DUMMYFUNCTION("IFERROR(VALUE(REGEXEXTRACT(TO_TEXT($F330), V$1 &amp; ""x(\d+)"")), """")"),"")</f>
        <v/>
      </c>
      <c r="W330" s="9"/>
      <c r="X330" s="9"/>
      <c r="Y330" s="9"/>
      <c r="Z330" s="9"/>
    </row>
    <row r="331" spans="1:26" ht="15.75" hidden="1" customHeight="1">
      <c r="A331" s="9" t="s">
        <v>1407</v>
      </c>
      <c r="B331" s="9" t="s">
        <v>1408</v>
      </c>
      <c r="C331" s="9" t="s">
        <v>483</v>
      </c>
      <c r="D331" s="9" t="s">
        <v>40</v>
      </c>
      <c r="E331" s="9" t="s">
        <v>11</v>
      </c>
      <c r="F331" s="9" t="s">
        <v>1236</v>
      </c>
      <c r="G331" s="9">
        <v>40</v>
      </c>
      <c r="H331" s="9">
        <v>4</v>
      </c>
      <c r="I331" s="9">
        <v>1.0149999999999999</v>
      </c>
      <c r="J331" s="9">
        <v>400</v>
      </c>
      <c r="K331" s="9" t="s">
        <v>442</v>
      </c>
      <c r="L331" s="9"/>
      <c r="M331" s="9"/>
      <c r="N331" s="9" t="str">
        <f ca="1">IFERROR(__xludf.DUMMYFUNCTION("IFERROR(VALUE(REGEXEXTRACT(TO_TEXT($F331), N$1 &amp; ""x(\d+)"")), """")
"),"")</f>
        <v/>
      </c>
      <c r="O331" s="9">
        <f ca="1">IFERROR(__xludf.DUMMYFUNCTION("IFERROR(VALUE(REGEXEXTRACT(TO_TEXT($F331), O$1 &amp; ""x(\d+)"")), """")"),1)</f>
        <v>1</v>
      </c>
      <c r="P331" s="9" t="str">
        <f ca="1">IFERROR(__xludf.DUMMYFUNCTION("IFERROR(VALUE(REGEXEXTRACT(TO_TEXT($F331), P$1 &amp; ""x(\d+)"")), """")"),"")</f>
        <v/>
      </c>
      <c r="Q331" s="9" t="str">
        <f ca="1">IFERROR(__xludf.DUMMYFUNCTION("IFERROR(VALUE(REGEXEXTRACT(TO_TEXT($F331), Q$1 &amp; ""x(\d+)"")), """")"),"")</f>
        <v/>
      </c>
      <c r="R331" s="9" t="str">
        <f ca="1">IFERROR(__xludf.DUMMYFUNCTION("IFERROR(VALUE(REGEXEXTRACT(TO_TEXT($F331), R$1 &amp; ""x(\d+)"")), """")"),"")</f>
        <v/>
      </c>
      <c r="S331" s="9" t="str">
        <f ca="1">IFERROR(__xludf.DUMMYFUNCTION("IFERROR(VALUE(REGEXEXTRACT(TO_TEXT($F331), S$1 &amp; ""x(\d+)"")), """")"),"")</f>
        <v/>
      </c>
      <c r="T331" s="9" t="str">
        <f ca="1">IFERROR(__xludf.DUMMYFUNCTION("IFERROR(VALUE(REGEXEXTRACT(TO_TEXT($F331), T$1 &amp; ""x(\d+)"")), """")"),"")</f>
        <v/>
      </c>
      <c r="U331" s="9" t="str">
        <f ca="1">IFERROR(__xludf.DUMMYFUNCTION("IFERROR(VALUE(REGEXEXTRACT(TO_TEXT($F331), U$1 &amp; ""x(\d+)"")), """")"),"")</f>
        <v/>
      </c>
      <c r="V331" s="9" t="str">
        <f ca="1">IFERROR(__xludf.DUMMYFUNCTION("IFERROR(VALUE(REGEXEXTRACT(TO_TEXT($F331), V$1 &amp; ""x(\d+)"")), """")"),"")</f>
        <v/>
      </c>
      <c r="W331" s="9"/>
      <c r="X331" s="9"/>
      <c r="Y331" s="9"/>
      <c r="Z331" s="9"/>
    </row>
    <row r="332" spans="1:26" ht="15.75" hidden="1" customHeight="1">
      <c r="A332" s="9" t="s">
        <v>1407</v>
      </c>
      <c r="B332" s="9" t="s">
        <v>1408</v>
      </c>
      <c r="C332" s="9" t="s">
        <v>483</v>
      </c>
      <c r="D332" s="9" t="s">
        <v>40</v>
      </c>
      <c r="E332" s="9" t="s">
        <v>12</v>
      </c>
      <c r="F332" s="9" t="s">
        <v>1376</v>
      </c>
      <c r="G332" s="9">
        <v>100</v>
      </c>
      <c r="H332" s="9">
        <v>4</v>
      </c>
      <c r="I332" s="9">
        <v>1.0149999999999999</v>
      </c>
      <c r="J332" s="9">
        <v>400</v>
      </c>
      <c r="K332" s="9" t="s">
        <v>442</v>
      </c>
      <c r="L332" s="9"/>
      <c r="M332" s="9"/>
      <c r="N332" s="9" t="str">
        <f ca="1">IFERROR(__xludf.DUMMYFUNCTION("IFERROR(VALUE(REGEXEXTRACT(TO_TEXT($F332), N$1 &amp; ""x(\d+)"")), """")
"),"")</f>
        <v/>
      </c>
      <c r="O332" s="9" t="str">
        <f ca="1">IFERROR(__xludf.DUMMYFUNCTION("IFERROR(VALUE(REGEXEXTRACT(TO_TEXT($F332), O$1 &amp; ""x(\d+)"")), """")"),"")</f>
        <v/>
      </c>
      <c r="P332" s="9" t="str">
        <f ca="1">IFERROR(__xludf.DUMMYFUNCTION("IFERROR(VALUE(REGEXEXTRACT(TO_TEXT($F332), P$1 &amp; ""x(\d+)"")), """")"),"")</f>
        <v/>
      </c>
      <c r="Q332" s="9" t="str">
        <f ca="1">IFERROR(__xludf.DUMMYFUNCTION("IFERROR(VALUE(REGEXEXTRACT(TO_TEXT($F332), Q$1 &amp; ""x(\d+)"")), """")"),"")</f>
        <v/>
      </c>
      <c r="R332" s="9" t="str">
        <f ca="1">IFERROR(__xludf.DUMMYFUNCTION("IFERROR(VALUE(REGEXEXTRACT(TO_TEXT($F332), R$1 &amp; ""x(\d+)"")), """")"),"")</f>
        <v/>
      </c>
      <c r="S332" s="9">
        <f ca="1">IFERROR(__xludf.DUMMYFUNCTION("IFERROR(VALUE(REGEXEXTRACT(TO_TEXT($F332), S$1 &amp; ""x(\d+)"")), """")"),1)</f>
        <v>1</v>
      </c>
      <c r="T332" s="9" t="str">
        <f ca="1">IFERROR(__xludf.DUMMYFUNCTION("IFERROR(VALUE(REGEXEXTRACT(TO_TEXT($F332), T$1 &amp; ""x(\d+)"")), """")"),"")</f>
        <v/>
      </c>
      <c r="U332" s="9" t="str">
        <f ca="1">IFERROR(__xludf.DUMMYFUNCTION("IFERROR(VALUE(REGEXEXTRACT(TO_TEXT($F332), U$1 &amp; ""x(\d+)"")), """")"),"")</f>
        <v/>
      </c>
      <c r="V332" s="9" t="str">
        <f ca="1">IFERROR(__xludf.DUMMYFUNCTION("IFERROR(VALUE(REGEXEXTRACT(TO_TEXT($F332), V$1 &amp; ""x(\d+)"")), """")"),"")</f>
        <v/>
      </c>
      <c r="W332" s="9"/>
      <c r="X332" s="9"/>
      <c r="Y332" s="9"/>
      <c r="Z332" s="9"/>
    </row>
    <row r="333" spans="1:26" ht="15.75" hidden="1" customHeight="1">
      <c r="A333" s="9" t="s">
        <v>1407</v>
      </c>
      <c r="B333" s="9" t="s">
        <v>1408</v>
      </c>
      <c r="C333" s="9" t="s">
        <v>483</v>
      </c>
      <c r="D333" s="9" t="s">
        <v>40</v>
      </c>
      <c r="E333" s="9" t="s">
        <v>13</v>
      </c>
      <c r="F333" s="9" t="s">
        <v>1409</v>
      </c>
      <c r="G333" s="9">
        <v>40</v>
      </c>
      <c r="H333" s="9">
        <v>4</v>
      </c>
      <c r="I333" s="9">
        <v>1.0149999999999999</v>
      </c>
      <c r="J333" s="9">
        <v>400</v>
      </c>
      <c r="K333" s="9" t="s">
        <v>442</v>
      </c>
      <c r="L333" s="9"/>
      <c r="M333" s="9"/>
      <c r="N333" s="9" t="str">
        <f ca="1">IFERROR(__xludf.DUMMYFUNCTION("IFERROR(VALUE(REGEXEXTRACT(TO_TEXT($F333), N$1 &amp; ""x(\d+)"")), """")
"),"")</f>
        <v/>
      </c>
      <c r="O333" s="9" t="str">
        <f ca="1">IFERROR(__xludf.DUMMYFUNCTION("IFERROR(VALUE(REGEXEXTRACT(TO_TEXT($F333), O$1 &amp; ""x(\d+)"")), """")"),"")</f>
        <v/>
      </c>
      <c r="P333" s="9" t="str">
        <f ca="1">IFERROR(__xludf.DUMMYFUNCTION("IFERROR(VALUE(REGEXEXTRACT(TO_TEXT($F333), P$1 &amp; ""x(\d+)"")), """")"),"")</f>
        <v/>
      </c>
      <c r="Q333" s="9" t="str">
        <f ca="1">IFERROR(__xludf.DUMMYFUNCTION("IFERROR(VALUE(REGEXEXTRACT(TO_TEXT($F333), Q$1 &amp; ""x(\d+)"")), """")"),"")</f>
        <v/>
      </c>
      <c r="R333" s="9" t="str">
        <f ca="1">IFERROR(__xludf.DUMMYFUNCTION("IFERROR(VALUE(REGEXEXTRACT(TO_TEXT($F333), R$1 &amp; ""x(\d+)"")), """")"),"")</f>
        <v/>
      </c>
      <c r="S333" s="9">
        <f ca="1">IFERROR(__xludf.DUMMYFUNCTION("IFERROR(VALUE(REGEXEXTRACT(TO_TEXT($F333), S$1 &amp; ""x(\d+)"")), """")"),1)</f>
        <v>1</v>
      </c>
      <c r="T333" s="9" t="str">
        <f ca="1">IFERROR(__xludf.DUMMYFUNCTION("IFERROR(VALUE(REGEXEXTRACT(TO_TEXT($F333), T$1 &amp; ""x(\d+)"")), """")"),"")</f>
        <v/>
      </c>
      <c r="U333" s="9" t="str">
        <f ca="1">IFERROR(__xludf.DUMMYFUNCTION("IFERROR(VALUE(REGEXEXTRACT(TO_TEXT($F333), U$1 &amp; ""x(\d+)"")), """")"),"")</f>
        <v/>
      </c>
      <c r="V333" s="9" t="str">
        <f ca="1">IFERROR(__xludf.DUMMYFUNCTION("IFERROR(VALUE(REGEXEXTRACT(TO_TEXT($F333), V$1 &amp; ""x(\d+)"")), """")"),"")</f>
        <v/>
      </c>
      <c r="W333" s="9"/>
      <c r="X333" s="9"/>
      <c r="Y333" s="9"/>
      <c r="Z333" s="9"/>
    </row>
    <row r="334" spans="1:26" ht="15.75" customHeight="1">
      <c r="A334" s="9" t="s">
        <v>241</v>
      </c>
      <c r="B334" s="9" t="s">
        <v>1410</v>
      </c>
      <c r="C334" s="9" t="s">
        <v>242</v>
      </c>
      <c r="D334" s="9" t="s">
        <v>33</v>
      </c>
      <c r="E334" s="9" t="s">
        <v>12</v>
      </c>
      <c r="F334" s="9" t="s">
        <v>1411</v>
      </c>
      <c r="G334" s="9">
        <v>30</v>
      </c>
      <c r="H334" s="9">
        <v>10</v>
      </c>
      <c r="I334" s="9">
        <v>1.0149999999999999</v>
      </c>
      <c r="J334" s="9">
        <v>48</v>
      </c>
      <c r="K334" s="9" t="s">
        <v>442</v>
      </c>
      <c r="L334" s="9"/>
      <c r="M334" s="9"/>
      <c r="N334" s="9" t="str">
        <f ca="1">IFERROR(__xludf.DUMMYFUNCTION("IFERROR(VALUE(REGEXEXTRACT(TO_TEXT($F334), N$1 &amp; ""x(\d+)"")), """")
"),"")</f>
        <v/>
      </c>
      <c r="O334" s="9">
        <f ca="1">IFERROR(__xludf.DUMMYFUNCTION("IFERROR(VALUE(REGEXEXTRACT(TO_TEXT($F334), O$1 &amp; ""x(\d+)"")), """")"),1)</f>
        <v>1</v>
      </c>
      <c r="P334" s="9" t="str">
        <f ca="1">IFERROR(__xludf.DUMMYFUNCTION("IFERROR(VALUE(REGEXEXTRACT(TO_TEXT($F334), P$1 &amp; ""x(\d+)"")), """")"),"")</f>
        <v/>
      </c>
      <c r="Q334" s="9" t="str">
        <f ca="1">IFERROR(__xludf.DUMMYFUNCTION("IFERROR(VALUE(REGEXEXTRACT(TO_TEXT($F334), Q$1 &amp; ""x(\d+)"")), """")"),"")</f>
        <v/>
      </c>
      <c r="R334" s="9" t="str">
        <f ca="1">IFERROR(__xludf.DUMMYFUNCTION("IFERROR(VALUE(REGEXEXTRACT(TO_TEXT($F334), R$1 &amp; ""x(\d+)"")), """")"),"")</f>
        <v/>
      </c>
      <c r="S334" s="9" t="str">
        <f ca="1">IFERROR(__xludf.DUMMYFUNCTION("IFERROR(VALUE(REGEXEXTRACT(TO_TEXT($F334), S$1 &amp; ""x(\d+)"")), """")"),"")</f>
        <v/>
      </c>
      <c r="T334" s="9" t="str">
        <f ca="1">IFERROR(__xludf.DUMMYFUNCTION("IFERROR(VALUE(REGEXEXTRACT(TO_TEXT($F334), T$1 &amp; ""x(\d+)"")), """")"),"")</f>
        <v/>
      </c>
      <c r="U334" s="9" t="str">
        <f ca="1">IFERROR(__xludf.DUMMYFUNCTION("IFERROR(VALUE(REGEXEXTRACT(TO_TEXT($F334), U$1 &amp; ""x(\d+)"")), """")"),"")</f>
        <v/>
      </c>
      <c r="V334" s="9" t="str">
        <f ca="1">IFERROR(__xludf.DUMMYFUNCTION("IFERROR(VALUE(REGEXEXTRACT(TO_TEXT($F334), V$1 &amp; ""x(\d+)"")), """")"),"")</f>
        <v/>
      </c>
      <c r="W334" s="9"/>
      <c r="X334" s="9"/>
      <c r="Y334" s="9"/>
      <c r="Z334" s="9"/>
    </row>
    <row r="335" spans="1:26" ht="15.75" customHeight="1">
      <c r="A335" s="9" t="s">
        <v>241</v>
      </c>
      <c r="B335" s="9" t="s">
        <v>1410</v>
      </c>
      <c r="C335" s="9" t="s">
        <v>242</v>
      </c>
      <c r="D335" s="9" t="s">
        <v>33</v>
      </c>
      <c r="E335" s="9" t="s">
        <v>13</v>
      </c>
      <c r="F335" s="9" t="s">
        <v>1412</v>
      </c>
      <c r="G335" s="9">
        <v>15</v>
      </c>
      <c r="H335" s="9">
        <v>10</v>
      </c>
      <c r="I335" s="9">
        <v>1.0149999999999999</v>
      </c>
      <c r="J335" s="9">
        <v>48</v>
      </c>
      <c r="K335" s="9" t="s">
        <v>442</v>
      </c>
      <c r="L335" s="9"/>
      <c r="M335" s="9"/>
      <c r="N335" s="9" t="str">
        <f ca="1">IFERROR(__xludf.DUMMYFUNCTION("IFERROR(VALUE(REGEXEXTRACT(TO_TEXT($F335), N$1 &amp; ""x(\d+)"")), """")
"),"")</f>
        <v/>
      </c>
      <c r="O335" s="9">
        <f ca="1">IFERROR(__xludf.DUMMYFUNCTION("IFERROR(VALUE(REGEXEXTRACT(TO_TEXT($F335), O$1 &amp; ""x(\d+)"")), """")"),1)</f>
        <v>1</v>
      </c>
      <c r="P335" s="9" t="str">
        <f ca="1">IFERROR(__xludf.DUMMYFUNCTION("IFERROR(VALUE(REGEXEXTRACT(TO_TEXT($F335), P$1 &amp; ""x(\d+)"")), """")"),"")</f>
        <v/>
      </c>
      <c r="Q335" s="9" t="str">
        <f ca="1">IFERROR(__xludf.DUMMYFUNCTION("IFERROR(VALUE(REGEXEXTRACT(TO_TEXT($F335), Q$1 &amp; ""x(\d+)"")), """")"),"")</f>
        <v/>
      </c>
      <c r="R335" s="9" t="str">
        <f ca="1">IFERROR(__xludf.DUMMYFUNCTION("IFERROR(VALUE(REGEXEXTRACT(TO_TEXT($F335), R$1 &amp; ""x(\d+)"")), """")"),"")</f>
        <v/>
      </c>
      <c r="S335" s="9" t="str">
        <f ca="1">IFERROR(__xludf.DUMMYFUNCTION("IFERROR(VALUE(REGEXEXTRACT(TO_TEXT($F335), S$1 &amp; ""x(\d+)"")), """")"),"")</f>
        <v/>
      </c>
      <c r="T335" s="9" t="str">
        <f ca="1">IFERROR(__xludf.DUMMYFUNCTION("IFERROR(VALUE(REGEXEXTRACT(TO_TEXT($F335), T$1 &amp; ""x(\d+)"")), """")"),"")</f>
        <v/>
      </c>
      <c r="U335" s="9" t="str">
        <f ca="1">IFERROR(__xludf.DUMMYFUNCTION("IFERROR(VALUE(REGEXEXTRACT(TO_TEXT($F335), U$1 &amp; ""x(\d+)"")), """")"),"")</f>
        <v/>
      </c>
      <c r="V335" s="9" t="str">
        <f ca="1">IFERROR(__xludf.DUMMYFUNCTION("IFERROR(VALUE(REGEXEXTRACT(TO_TEXT($F335), V$1 &amp; ""x(\d+)"")), """")"),"")</f>
        <v/>
      </c>
      <c r="W335" s="9"/>
      <c r="X335" s="9"/>
      <c r="Y335" s="9"/>
      <c r="Z335" s="9"/>
    </row>
    <row r="336" spans="1:26" ht="15.75" hidden="1" customHeight="1">
      <c r="A336" s="9" t="s">
        <v>1413</v>
      </c>
      <c r="B336" s="9" t="s">
        <v>1414</v>
      </c>
      <c r="C336" s="9" t="s">
        <v>466</v>
      </c>
      <c r="D336" s="9" t="s">
        <v>48</v>
      </c>
      <c r="E336" s="9" t="s">
        <v>11</v>
      </c>
      <c r="F336" s="9" t="s">
        <v>1393</v>
      </c>
      <c r="G336" s="9">
        <v>20</v>
      </c>
      <c r="H336" s="9">
        <v>5</v>
      </c>
      <c r="I336" s="9">
        <v>1.0149999999999999</v>
      </c>
      <c r="J336" s="9">
        <v>52</v>
      </c>
      <c r="K336" s="9" t="s">
        <v>424</v>
      </c>
      <c r="L336" s="9"/>
      <c r="M336" s="9"/>
      <c r="N336" s="9" t="str">
        <f ca="1">IFERROR(__xludf.DUMMYFUNCTION("IFERROR(VALUE(REGEXEXTRACT(TO_TEXT($F336), N$1 &amp; ""x(\d+)"")), """")
"),"")</f>
        <v/>
      </c>
      <c r="O336" s="9" t="str">
        <f ca="1">IFERROR(__xludf.DUMMYFUNCTION("IFERROR(VALUE(REGEXEXTRACT(TO_TEXT($F336), O$1 &amp; ""x(\d+)"")), """")"),"")</f>
        <v/>
      </c>
      <c r="P336" s="9" t="str">
        <f ca="1">IFERROR(__xludf.DUMMYFUNCTION("IFERROR(VALUE(REGEXEXTRACT(TO_TEXT($F336), P$1 &amp; ""x(\d+)"")), """")"),"")</f>
        <v/>
      </c>
      <c r="Q336" s="9" t="str">
        <f ca="1">IFERROR(__xludf.DUMMYFUNCTION("IFERROR(VALUE(REGEXEXTRACT(TO_TEXT($F336), Q$1 &amp; ""x(\d+)"")), """")"),"")</f>
        <v/>
      </c>
      <c r="R336" s="9" t="str">
        <f ca="1">IFERROR(__xludf.DUMMYFUNCTION("IFERROR(VALUE(REGEXEXTRACT(TO_TEXT($F336), R$1 &amp; ""x(\d+)"")), """")"),"")</f>
        <v/>
      </c>
      <c r="S336" s="9" t="str">
        <f ca="1">IFERROR(__xludf.DUMMYFUNCTION("IFERROR(VALUE(REGEXEXTRACT(TO_TEXT($F336), S$1 &amp; ""x(\d+)"")), """")"),"")</f>
        <v/>
      </c>
      <c r="T336" s="9" t="str">
        <f ca="1">IFERROR(__xludf.DUMMYFUNCTION("IFERROR(VALUE(REGEXEXTRACT(TO_TEXT($F336), T$1 &amp; ""x(\d+)"")), """")"),"")</f>
        <v/>
      </c>
      <c r="U336" s="9" t="str">
        <f ca="1">IFERROR(__xludf.DUMMYFUNCTION("IFERROR(VALUE(REGEXEXTRACT(TO_TEXT($F336), U$1 &amp; ""x(\d+)"")), """")"),"")</f>
        <v/>
      </c>
      <c r="V336" s="9" t="str">
        <f ca="1">IFERROR(__xludf.DUMMYFUNCTION("IFERROR(VALUE(REGEXEXTRACT(TO_TEXT($F336), V$1 &amp; ""x(\d+)"")), """")"),"")</f>
        <v/>
      </c>
      <c r="W336" s="9"/>
      <c r="X336" s="9"/>
      <c r="Y336" s="9"/>
      <c r="Z336" s="9"/>
    </row>
    <row r="337" spans="1:26" ht="15.75" hidden="1" customHeight="1">
      <c r="A337" s="9" t="s">
        <v>1413</v>
      </c>
      <c r="B337" s="9" t="s">
        <v>1414</v>
      </c>
      <c r="C337" s="9" t="s">
        <v>466</v>
      </c>
      <c r="D337" s="9" t="s">
        <v>48</v>
      </c>
      <c r="E337" s="9" t="s">
        <v>12</v>
      </c>
      <c r="F337" s="9" t="s">
        <v>1415</v>
      </c>
      <c r="G337" s="9">
        <v>120</v>
      </c>
      <c r="H337" s="9">
        <v>5</v>
      </c>
      <c r="I337" s="9">
        <v>1.0149999999999999</v>
      </c>
      <c r="J337" s="9">
        <v>52</v>
      </c>
      <c r="K337" s="9" t="s">
        <v>424</v>
      </c>
      <c r="L337" s="9"/>
      <c r="M337" s="9"/>
      <c r="N337" s="9" t="str">
        <f ca="1">IFERROR(__xludf.DUMMYFUNCTION("IFERROR(VALUE(REGEXEXTRACT(TO_TEXT($F337), N$1 &amp; ""x(\d+)"")), """")
"),"")</f>
        <v/>
      </c>
      <c r="O337" s="9" t="str">
        <f ca="1">IFERROR(__xludf.DUMMYFUNCTION("IFERROR(VALUE(REGEXEXTRACT(TO_TEXT($F337), O$1 &amp; ""x(\d+)"")), """")"),"")</f>
        <v/>
      </c>
      <c r="P337" s="9">
        <f ca="1">IFERROR(__xludf.DUMMYFUNCTION("IFERROR(VALUE(REGEXEXTRACT(TO_TEXT($F337), P$1 &amp; ""x(\d+)"")), """")"),1)</f>
        <v>1</v>
      </c>
      <c r="Q337" s="9" t="str">
        <f ca="1">IFERROR(__xludf.DUMMYFUNCTION("IFERROR(VALUE(REGEXEXTRACT(TO_TEXT($F337), Q$1 &amp; ""x(\d+)"")), """")"),"")</f>
        <v/>
      </c>
      <c r="R337" s="9" t="str">
        <f ca="1">IFERROR(__xludf.DUMMYFUNCTION("IFERROR(VALUE(REGEXEXTRACT(TO_TEXT($F337), R$1 &amp; ""x(\d+)"")), """")"),"")</f>
        <v/>
      </c>
      <c r="S337" s="9" t="str">
        <f ca="1">IFERROR(__xludf.DUMMYFUNCTION("IFERROR(VALUE(REGEXEXTRACT(TO_TEXT($F337), S$1 &amp; ""x(\d+)"")), """")"),"")</f>
        <v/>
      </c>
      <c r="T337" s="9">
        <f ca="1">IFERROR(__xludf.DUMMYFUNCTION("IFERROR(VALUE(REGEXEXTRACT(TO_TEXT($F337), T$1 &amp; ""x(\d+)"")), """")"),1)</f>
        <v>1</v>
      </c>
      <c r="U337" s="9" t="str">
        <f ca="1">IFERROR(__xludf.DUMMYFUNCTION("IFERROR(VALUE(REGEXEXTRACT(TO_TEXT($F337), U$1 &amp; ""x(\d+)"")), """")"),"")</f>
        <v/>
      </c>
      <c r="V337" s="9" t="str">
        <f ca="1">IFERROR(__xludf.DUMMYFUNCTION("IFERROR(VALUE(REGEXEXTRACT(TO_TEXT($F337), V$1 &amp; ""x(\d+)"")), """")"),"")</f>
        <v/>
      </c>
      <c r="W337" s="9"/>
      <c r="X337" s="9"/>
      <c r="Y337" s="9"/>
      <c r="Z337" s="9"/>
    </row>
    <row r="338" spans="1:26" ht="15.75" hidden="1" customHeight="1">
      <c r="A338" s="9" t="s">
        <v>1413</v>
      </c>
      <c r="B338" s="9" t="s">
        <v>1414</v>
      </c>
      <c r="C338" s="9" t="s">
        <v>466</v>
      </c>
      <c r="D338" s="9" t="s">
        <v>48</v>
      </c>
      <c r="E338" s="9" t="s">
        <v>13</v>
      </c>
      <c r="F338" s="9" t="s">
        <v>1230</v>
      </c>
      <c r="G338" s="9">
        <v>40</v>
      </c>
      <c r="H338" s="9">
        <v>5</v>
      </c>
      <c r="I338" s="9">
        <v>1.0149999999999999</v>
      </c>
      <c r="J338" s="9">
        <v>52</v>
      </c>
      <c r="K338" s="9" t="s">
        <v>424</v>
      </c>
      <c r="L338" s="9"/>
      <c r="M338" s="9"/>
      <c r="N338" s="9" t="str">
        <f ca="1">IFERROR(__xludf.DUMMYFUNCTION("IFERROR(VALUE(REGEXEXTRACT(TO_TEXT($F338), N$1 &amp; ""x(\d+)"")), """")
"),"")</f>
        <v/>
      </c>
      <c r="O338" s="9" t="str">
        <f ca="1">IFERROR(__xludf.DUMMYFUNCTION("IFERROR(VALUE(REGEXEXTRACT(TO_TEXT($F338), O$1 &amp; ""x(\d+)"")), """")"),"")</f>
        <v/>
      </c>
      <c r="P338" s="9">
        <f ca="1">IFERROR(__xludf.DUMMYFUNCTION("IFERROR(VALUE(REGEXEXTRACT(TO_TEXT($F338), P$1 &amp; ""x(\d+)"")), """")"),1)</f>
        <v>1</v>
      </c>
      <c r="Q338" s="9" t="str">
        <f ca="1">IFERROR(__xludf.DUMMYFUNCTION("IFERROR(VALUE(REGEXEXTRACT(TO_TEXT($F338), Q$1 &amp; ""x(\d+)"")), """")"),"")</f>
        <v/>
      </c>
      <c r="R338" s="9" t="str">
        <f ca="1">IFERROR(__xludf.DUMMYFUNCTION("IFERROR(VALUE(REGEXEXTRACT(TO_TEXT($F338), R$1 &amp; ""x(\d+)"")), """")"),"")</f>
        <v/>
      </c>
      <c r="S338" s="9" t="str">
        <f ca="1">IFERROR(__xludf.DUMMYFUNCTION("IFERROR(VALUE(REGEXEXTRACT(TO_TEXT($F338), S$1 &amp; ""x(\d+)"")), """")"),"")</f>
        <v/>
      </c>
      <c r="T338" s="9">
        <f ca="1">IFERROR(__xludf.DUMMYFUNCTION("IFERROR(VALUE(REGEXEXTRACT(TO_TEXT($F338), T$1 &amp; ""x(\d+)"")), """")"),1)</f>
        <v>1</v>
      </c>
      <c r="U338" s="9" t="str">
        <f ca="1">IFERROR(__xludf.DUMMYFUNCTION("IFERROR(VALUE(REGEXEXTRACT(TO_TEXT($F338), U$1 &amp; ""x(\d+)"")), """")"),"")</f>
        <v/>
      </c>
      <c r="V338" s="9" t="str">
        <f ca="1">IFERROR(__xludf.DUMMYFUNCTION("IFERROR(VALUE(REGEXEXTRACT(TO_TEXT($F338), V$1 &amp; ""x(\d+)"")), """")"),"")</f>
        <v/>
      </c>
      <c r="W338" s="9"/>
      <c r="X338" s="9"/>
      <c r="Y338" s="9"/>
      <c r="Z338" s="9"/>
    </row>
    <row r="339" spans="1:26" ht="15.75" hidden="1" customHeight="1">
      <c r="A339" s="9" t="s">
        <v>90</v>
      </c>
      <c r="B339" s="9" t="s">
        <v>1416</v>
      </c>
      <c r="C339" s="9" t="s">
        <v>91</v>
      </c>
      <c r="D339" s="9" t="s">
        <v>40</v>
      </c>
      <c r="E339" s="9" t="s">
        <v>11</v>
      </c>
      <c r="F339" s="9" t="s">
        <v>1180</v>
      </c>
      <c r="G339" s="9">
        <v>25</v>
      </c>
      <c r="H339" s="9">
        <v>4</v>
      </c>
      <c r="I339" s="9">
        <v>1.0149999999999999</v>
      </c>
      <c r="J339" s="9">
        <v>412</v>
      </c>
      <c r="K339" s="9" t="s">
        <v>442</v>
      </c>
      <c r="L339" s="9"/>
      <c r="M339" s="9"/>
      <c r="N339" s="9" t="str">
        <f ca="1">IFERROR(__xludf.DUMMYFUNCTION("IFERROR(VALUE(REGEXEXTRACT(TO_TEXT($F339), N$1 &amp; ""x(\d+)"")), """")
"),"")</f>
        <v/>
      </c>
      <c r="O339" s="9" t="str">
        <f ca="1">IFERROR(__xludf.DUMMYFUNCTION("IFERROR(VALUE(REGEXEXTRACT(TO_TEXT($F339), O$1 &amp; ""x(\d+)"")), """")"),"")</f>
        <v/>
      </c>
      <c r="P339" s="9" t="str">
        <f ca="1">IFERROR(__xludf.DUMMYFUNCTION("IFERROR(VALUE(REGEXEXTRACT(TO_TEXT($F339), P$1 &amp; ""x(\d+)"")), """")"),"")</f>
        <v/>
      </c>
      <c r="Q339" s="9" t="str">
        <f ca="1">IFERROR(__xludf.DUMMYFUNCTION("IFERROR(VALUE(REGEXEXTRACT(TO_TEXT($F339), Q$1 &amp; ""x(\d+)"")), """")"),"")</f>
        <v/>
      </c>
      <c r="R339" s="9" t="str">
        <f ca="1">IFERROR(__xludf.DUMMYFUNCTION("IFERROR(VALUE(REGEXEXTRACT(TO_TEXT($F339), R$1 &amp; ""x(\d+)"")), """")"),"")</f>
        <v/>
      </c>
      <c r="S339" s="9" t="str">
        <f ca="1">IFERROR(__xludf.DUMMYFUNCTION("IFERROR(VALUE(REGEXEXTRACT(TO_TEXT($F339), S$1 &amp; ""x(\d+)"")), """")"),"")</f>
        <v/>
      </c>
      <c r="T339" s="9" t="str">
        <f ca="1">IFERROR(__xludf.DUMMYFUNCTION("IFERROR(VALUE(REGEXEXTRACT(TO_TEXT($F339), T$1 &amp; ""x(\d+)"")), """")"),"")</f>
        <v/>
      </c>
      <c r="U339" s="9" t="str">
        <f ca="1">IFERROR(__xludf.DUMMYFUNCTION("IFERROR(VALUE(REGEXEXTRACT(TO_TEXT($F339), U$1 &amp; ""x(\d+)"")), """")"),"")</f>
        <v/>
      </c>
      <c r="V339" s="9" t="str">
        <f ca="1">IFERROR(__xludf.DUMMYFUNCTION("IFERROR(VALUE(REGEXEXTRACT(TO_TEXT($F339), V$1 &amp; ""x(\d+)"")), """")"),"")</f>
        <v/>
      </c>
      <c r="W339" s="9"/>
      <c r="X339" s="9"/>
      <c r="Y339" s="9"/>
      <c r="Z339" s="9"/>
    </row>
    <row r="340" spans="1:26" ht="15.75" hidden="1" customHeight="1">
      <c r="A340" s="9" t="s">
        <v>90</v>
      </c>
      <c r="B340" s="9" t="s">
        <v>1416</v>
      </c>
      <c r="C340" s="9" t="s">
        <v>91</v>
      </c>
      <c r="D340" s="9" t="s">
        <v>40</v>
      </c>
      <c r="E340" s="9" t="s">
        <v>12</v>
      </c>
      <c r="F340" s="9" t="s">
        <v>1417</v>
      </c>
      <c r="G340" s="9">
        <v>120</v>
      </c>
      <c r="H340" s="9">
        <v>4</v>
      </c>
      <c r="I340" s="9">
        <v>1.0149999999999999</v>
      </c>
      <c r="J340" s="9">
        <v>412</v>
      </c>
      <c r="K340" s="9" t="s">
        <v>442</v>
      </c>
      <c r="L340" s="9"/>
      <c r="M340" s="9"/>
      <c r="N340" s="9" t="str">
        <f ca="1">IFERROR(__xludf.DUMMYFUNCTION("IFERROR(VALUE(REGEXEXTRACT(TO_TEXT($F340), N$1 &amp; ""x(\d+)"")), """")
"),"")</f>
        <v/>
      </c>
      <c r="O340" s="9" t="str">
        <f ca="1">IFERROR(__xludf.DUMMYFUNCTION("IFERROR(VALUE(REGEXEXTRACT(TO_TEXT($F340), O$1 &amp; ""x(\d+)"")), """")"),"")</f>
        <v/>
      </c>
      <c r="P340" s="9" t="str">
        <f ca="1">IFERROR(__xludf.DUMMYFUNCTION("IFERROR(VALUE(REGEXEXTRACT(TO_TEXT($F340), P$1 &amp; ""x(\d+)"")), """")"),"")</f>
        <v/>
      </c>
      <c r="Q340" s="9" t="str">
        <f ca="1">IFERROR(__xludf.DUMMYFUNCTION("IFERROR(VALUE(REGEXEXTRACT(TO_TEXT($F340), Q$1 &amp; ""x(\d+)"")), """")"),"")</f>
        <v/>
      </c>
      <c r="R340" s="9" t="str">
        <f ca="1">IFERROR(__xludf.DUMMYFUNCTION("IFERROR(VALUE(REGEXEXTRACT(TO_TEXT($F340), R$1 &amp; ""x(\d+)"")), """")"),"")</f>
        <v/>
      </c>
      <c r="S340" s="9">
        <f ca="1">IFERROR(__xludf.DUMMYFUNCTION("IFERROR(VALUE(REGEXEXTRACT(TO_TEXT($F340), S$1 &amp; ""x(\d+)"")), """")"),1)</f>
        <v>1</v>
      </c>
      <c r="T340" s="9" t="str">
        <f ca="1">IFERROR(__xludf.DUMMYFUNCTION("IFERROR(VALUE(REGEXEXTRACT(TO_TEXT($F340), T$1 &amp; ""x(\d+)"")), """")"),"")</f>
        <v/>
      </c>
      <c r="U340" s="9" t="str">
        <f ca="1">IFERROR(__xludf.DUMMYFUNCTION("IFERROR(VALUE(REGEXEXTRACT(TO_TEXT($F340), U$1 &amp; ""x(\d+)"")), """")"),"")</f>
        <v/>
      </c>
      <c r="V340" s="9" t="str">
        <f ca="1">IFERROR(__xludf.DUMMYFUNCTION("IFERROR(VALUE(REGEXEXTRACT(TO_TEXT($F340), V$1 &amp; ""x(\d+)"")), """")"),"")</f>
        <v/>
      </c>
      <c r="W340" s="9"/>
      <c r="X340" s="9"/>
      <c r="Y340" s="9"/>
      <c r="Z340" s="9"/>
    </row>
    <row r="341" spans="1:26" ht="15.75" hidden="1" customHeight="1">
      <c r="A341" s="9" t="s">
        <v>90</v>
      </c>
      <c r="B341" s="9" t="s">
        <v>1416</v>
      </c>
      <c r="C341" s="9" t="s">
        <v>91</v>
      </c>
      <c r="D341" s="9" t="s">
        <v>40</v>
      </c>
      <c r="E341" s="9" t="s">
        <v>13</v>
      </c>
      <c r="F341" s="9" t="s">
        <v>1133</v>
      </c>
      <c r="G341" s="9">
        <v>30</v>
      </c>
      <c r="H341" s="9">
        <v>4</v>
      </c>
      <c r="I341" s="9">
        <v>1.0149999999999999</v>
      </c>
      <c r="J341" s="9">
        <v>412</v>
      </c>
      <c r="K341" s="9" t="s">
        <v>442</v>
      </c>
      <c r="L341" s="9"/>
      <c r="M341" s="9"/>
      <c r="N341" s="9" t="str">
        <f ca="1">IFERROR(__xludf.DUMMYFUNCTION("IFERROR(VALUE(REGEXEXTRACT(TO_TEXT($F341), N$1 &amp; ""x(\d+)"")), """")
"),"")</f>
        <v/>
      </c>
      <c r="O341" s="9" t="str">
        <f ca="1">IFERROR(__xludf.DUMMYFUNCTION("IFERROR(VALUE(REGEXEXTRACT(TO_TEXT($F341), O$1 &amp; ""x(\d+)"")), """")"),"")</f>
        <v/>
      </c>
      <c r="P341" s="9" t="str">
        <f ca="1">IFERROR(__xludf.DUMMYFUNCTION("IFERROR(VALUE(REGEXEXTRACT(TO_TEXT($F341), P$1 &amp; ""x(\d+)"")), """")"),"")</f>
        <v/>
      </c>
      <c r="Q341" s="9" t="str">
        <f ca="1">IFERROR(__xludf.DUMMYFUNCTION("IFERROR(VALUE(REGEXEXTRACT(TO_TEXT($F341), Q$1 &amp; ""x(\d+)"")), """")"),"")</f>
        <v/>
      </c>
      <c r="R341" s="9" t="str">
        <f ca="1">IFERROR(__xludf.DUMMYFUNCTION("IFERROR(VALUE(REGEXEXTRACT(TO_TEXT($F341), R$1 &amp; ""x(\d+)"")), """")"),"")</f>
        <v/>
      </c>
      <c r="S341" s="9">
        <f ca="1">IFERROR(__xludf.DUMMYFUNCTION("IFERROR(VALUE(REGEXEXTRACT(TO_TEXT($F341), S$1 &amp; ""x(\d+)"")), """")"),1)</f>
        <v>1</v>
      </c>
      <c r="T341" s="9" t="str">
        <f ca="1">IFERROR(__xludf.DUMMYFUNCTION("IFERROR(VALUE(REGEXEXTRACT(TO_TEXT($F341), T$1 &amp; ""x(\d+)"")), """")"),"")</f>
        <v/>
      </c>
      <c r="U341" s="9" t="str">
        <f ca="1">IFERROR(__xludf.DUMMYFUNCTION("IFERROR(VALUE(REGEXEXTRACT(TO_TEXT($F341), U$1 &amp; ""x(\d+)"")), """")"),"")</f>
        <v/>
      </c>
      <c r="V341" s="9" t="str">
        <f ca="1">IFERROR(__xludf.DUMMYFUNCTION("IFERROR(VALUE(REGEXEXTRACT(TO_TEXT($F341), V$1 &amp; ""x(\d+)"")), """")"),"")</f>
        <v/>
      </c>
      <c r="W341" s="9"/>
      <c r="X341" s="9"/>
      <c r="Y341" s="9"/>
      <c r="Z341" s="9"/>
    </row>
    <row r="342" spans="1:26" ht="15.75" customHeight="1">
      <c r="A342" s="9" t="s">
        <v>244</v>
      </c>
      <c r="B342" s="9" t="s">
        <v>1418</v>
      </c>
      <c r="C342" s="9" t="s">
        <v>245</v>
      </c>
      <c r="D342" s="9" t="s">
        <v>33</v>
      </c>
      <c r="E342" s="9" t="s">
        <v>11</v>
      </c>
      <c r="F342" s="9" t="s">
        <v>1263</v>
      </c>
      <c r="G342" s="9">
        <v>35</v>
      </c>
      <c r="H342" s="9">
        <v>4</v>
      </c>
      <c r="I342" s="9">
        <v>1.0149999999999999</v>
      </c>
      <c r="J342" s="9">
        <v>70</v>
      </c>
      <c r="K342" s="9" t="s">
        <v>442</v>
      </c>
      <c r="L342" s="9"/>
      <c r="M342" s="9"/>
      <c r="N342" s="9" t="str">
        <f ca="1">IFERROR(__xludf.DUMMYFUNCTION("IFERROR(VALUE(REGEXEXTRACT(TO_TEXT($F342), N$1 &amp; ""x(\d+)"")), """")
"),"")</f>
        <v/>
      </c>
      <c r="O342" s="9" t="str">
        <f ca="1">IFERROR(__xludf.DUMMYFUNCTION("IFERROR(VALUE(REGEXEXTRACT(TO_TEXT($F342), O$1 &amp; ""x(\d+)"")), """")"),"")</f>
        <v/>
      </c>
      <c r="P342" s="9" t="str">
        <f ca="1">IFERROR(__xludf.DUMMYFUNCTION("IFERROR(VALUE(REGEXEXTRACT(TO_TEXT($F342), P$1 &amp; ""x(\d+)"")), """")"),"")</f>
        <v/>
      </c>
      <c r="Q342" s="9" t="str">
        <f ca="1">IFERROR(__xludf.DUMMYFUNCTION("IFERROR(VALUE(REGEXEXTRACT(TO_TEXT($F342), Q$1 &amp; ""x(\d+)"")), """")"),"")</f>
        <v/>
      </c>
      <c r="R342" s="9" t="str">
        <f ca="1">IFERROR(__xludf.DUMMYFUNCTION("IFERROR(VALUE(REGEXEXTRACT(TO_TEXT($F342), R$1 &amp; ""x(\d+)"")), """")"),"")</f>
        <v/>
      </c>
      <c r="S342" s="9" t="str">
        <f ca="1">IFERROR(__xludf.DUMMYFUNCTION("IFERROR(VALUE(REGEXEXTRACT(TO_TEXT($F342), S$1 &amp; ""x(\d+)"")), """")"),"")</f>
        <v/>
      </c>
      <c r="T342" s="9" t="str">
        <f ca="1">IFERROR(__xludf.DUMMYFUNCTION("IFERROR(VALUE(REGEXEXTRACT(TO_TEXT($F342), T$1 &amp; ""x(\d+)"")), """")"),"")</f>
        <v/>
      </c>
      <c r="U342" s="9" t="str">
        <f ca="1">IFERROR(__xludf.DUMMYFUNCTION("IFERROR(VALUE(REGEXEXTRACT(TO_TEXT($F342), U$1 &amp; ""x(\d+)"")), """")"),"")</f>
        <v/>
      </c>
      <c r="V342" s="9" t="str">
        <f ca="1">IFERROR(__xludf.DUMMYFUNCTION("IFERROR(VALUE(REGEXEXTRACT(TO_TEXT($F342), V$1 &amp; ""x(\d+)"")), """")"),"")</f>
        <v/>
      </c>
      <c r="W342" s="9"/>
      <c r="X342" s="9"/>
      <c r="Y342" s="9"/>
      <c r="Z342" s="9"/>
    </row>
    <row r="343" spans="1:26" ht="15.75" customHeight="1">
      <c r="A343" s="9" t="s">
        <v>244</v>
      </c>
      <c r="B343" s="9" t="s">
        <v>1418</v>
      </c>
      <c r="C343" s="9" t="s">
        <v>245</v>
      </c>
      <c r="D343" s="9" t="s">
        <v>33</v>
      </c>
      <c r="E343" s="9" t="s">
        <v>12</v>
      </c>
      <c r="F343" s="9" t="s">
        <v>1419</v>
      </c>
      <c r="G343" s="9">
        <v>125</v>
      </c>
      <c r="H343" s="9">
        <v>4</v>
      </c>
      <c r="I343" s="9">
        <v>1.0149999999999999</v>
      </c>
      <c r="J343" s="9">
        <v>70</v>
      </c>
      <c r="K343" s="9" t="s">
        <v>442</v>
      </c>
      <c r="L343" s="9"/>
      <c r="M343" s="9"/>
      <c r="N343" s="9" t="str">
        <f ca="1">IFERROR(__xludf.DUMMYFUNCTION("IFERROR(VALUE(REGEXEXTRACT(TO_TEXT($F343), N$1 &amp; ""x(\d+)"")), """")
"),"")</f>
        <v/>
      </c>
      <c r="O343" s="9">
        <f ca="1">IFERROR(__xludf.DUMMYFUNCTION("IFERROR(VALUE(REGEXEXTRACT(TO_TEXT($F343), O$1 &amp; ""x(\d+)"")), """")"),1)</f>
        <v>1</v>
      </c>
      <c r="P343" s="9" t="str">
        <f ca="1">IFERROR(__xludf.DUMMYFUNCTION("IFERROR(VALUE(REGEXEXTRACT(TO_TEXT($F343), P$1 &amp; ""x(\d+)"")), """")"),"")</f>
        <v/>
      </c>
      <c r="Q343" s="9" t="str">
        <f ca="1">IFERROR(__xludf.DUMMYFUNCTION("IFERROR(VALUE(REGEXEXTRACT(TO_TEXT($F343), Q$1 &amp; ""x(\d+)"")), """")"),"")</f>
        <v/>
      </c>
      <c r="R343" s="9" t="str">
        <f ca="1">IFERROR(__xludf.DUMMYFUNCTION("IFERROR(VALUE(REGEXEXTRACT(TO_TEXT($F343), R$1 &amp; ""x(\d+)"")), """")"),"")</f>
        <v/>
      </c>
      <c r="S343" s="9" t="str">
        <f ca="1">IFERROR(__xludf.DUMMYFUNCTION("IFERROR(VALUE(REGEXEXTRACT(TO_TEXT($F343), S$1 &amp; ""x(\d+)"")), """")"),"")</f>
        <v/>
      </c>
      <c r="T343" s="9" t="str">
        <f ca="1">IFERROR(__xludf.DUMMYFUNCTION("IFERROR(VALUE(REGEXEXTRACT(TO_TEXT($F343), T$1 &amp; ""x(\d+)"")), """")"),"")</f>
        <v/>
      </c>
      <c r="U343" s="9" t="str">
        <f ca="1">IFERROR(__xludf.DUMMYFUNCTION("IFERROR(VALUE(REGEXEXTRACT(TO_TEXT($F343), U$1 &amp; ""x(\d+)"")), """")"),"")</f>
        <v/>
      </c>
      <c r="V343" s="9" t="str">
        <f ca="1">IFERROR(__xludf.DUMMYFUNCTION("IFERROR(VALUE(REGEXEXTRACT(TO_TEXT($F343), V$1 &amp; ""x(\d+)"")), """")"),"")</f>
        <v/>
      </c>
      <c r="W343" s="9"/>
      <c r="X343" s="9"/>
      <c r="Y343" s="9"/>
      <c r="Z343" s="9"/>
    </row>
    <row r="344" spans="1:26" ht="15.75" customHeight="1">
      <c r="A344" s="9" t="s">
        <v>244</v>
      </c>
      <c r="B344" s="9" t="s">
        <v>1418</v>
      </c>
      <c r="C344" s="9" t="s">
        <v>245</v>
      </c>
      <c r="D344" s="9" t="s">
        <v>33</v>
      </c>
      <c r="E344" s="9" t="s">
        <v>13</v>
      </c>
      <c r="F344" s="9" t="s">
        <v>1058</v>
      </c>
      <c r="G344" s="9">
        <v>15</v>
      </c>
      <c r="H344" s="9">
        <v>4</v>
      </c>
      <c r="I344" s="9">
        <v>1.0149999999999999</v>
      </c>
      <c r="J344" s="9">
        <v>70</v>
      </c>
      <c r="K344" s="9" t="s">
        <v>442</v>
      </c>
      <c r="L344" s="9"/>
      <c r="M344" s="9"/>
      <c r="N344" s="9" t="str">
        <f ca="1">IFERROR(__xludf.DUMMYFUNCTION("IFERROR(VALUE(REGEXEXTRACT(TO_TEXT($F344), N$1 &amp; ""x(\d+)"")), """")
"),"")</f>
        <v/>
      </c>
      <c r="O344" s="9">
        <f ca="1">IFERROR(__xludf.DUMMYFUNCTION("IFERROR(VALUE(REGEXEXTRACT(TO_TEXT($F344), O$1 &amp; ""x(\d+)"")), """")"),1)</f>
        <v>1</v>
      </c>
      <c r="P344" s="9" t="str">
        <f ca="1">IFERROR(__xludf.DUMMYFUNCTION("IFERROR(VALUE(REGEXEXTRACT(TO_TEXT($F344), P$1 &amp; ""x(\d+)"")), """")"),"")</f>
        <v/>
      </c>
      <c r="Q344" s="9" t="str">
        <f ca="1">IFERROR(__xludf.DUMMYFUNCTION("IFERROR(VALUE(REGEXEXTRACT(TO_TEXT($F344), Q$1 &amp; ""x(\d+)"")), """")"),"")</f>
        <v/>
      </c>
      <c r="R344" s="9" t="str">
        <f ca="1">IFERROR(__xludf.DUMMYFUNCTION("IFERROR(VALUE(REGEXEXTRACT(TO_TEXT($F344), R$1 &amp; ""x(\d+)"")), """")"),"")</f>
        <v/>
      </c>
      <c r="S344" s="9" t="str">
        <f ca="1">IFERROR(__xludf.DUMMYFUNCTION("IFERROR(VALUE(REGEXEXTRACT(TO_TEXT($F344), S$1 &amp; ""x(\d+)"")), """")"),"")</f>
        <v/>
      </c>
      <c r="T344" s="9" t="str">
        <f ca="1">IFERROR(__xludf.DUMMYFUNCTION("IFERROR(VALUE(REGEXEXTRACT(TO_TEXT($F344), T$1 &amp; ""x(\d+)"")), """")"),"")</f>
        <v/>
      </c>
      <c r="U344" s="9" t="str">
        <f ca="1">IFERROR(__xludf.DUMMYFUNCTION("IFERROR(VALUE(REGEXEXTRACT(TO_TEXT($F344), U$1 &amp; ""x(\d+)"")), """")"),"")</f>
        <v/>
      </c>
      <c r="V344" s="9" t="str">
        <f ca="1">IFERROR(__xludf.DUMMYFUNCTION("IFERROR(VALUE(REGEXEXTRACT(TO_TEXT($F344), V$1 &amp; ""x(\d+)"")), """")"),"")</f>
        <v/>
      </c>
      <c r="W344" s="9"/>
      <c r="X344" s="9"/>
      <c r="Y344" s="9"/>
      <c r="Z344" s="9"/>
    </row>
    <row r="345" spans="1:26" ht="15.75" customHeight="1">
      <c r="A345" s="9" t="s">
        <v>1420</v>
      </c>
      <c r="B345" s="9" t="s">
        <v>1421</v>
      </c>
      <c r="C345" s="9" t="s">
        <v>865</v>
      </c>
      <c r="D345" s="9" t="s">
        <v>33</v>
      </c>
      <c r="E345" s="9" t="s">
        <v>11</v>
      </c>
      <c r="F345" s="9" t="s">
        <v>1422</v>
      </c>
      <c r="G345" s="9">
        <v>35</v>
      </c>
      <c r="H345" s="9">
        <v>2</v>
      </c>
      <c r="I345" s="9">
        <v>1.0149999999999999</v>
      </c>
      <c r="J345" s="9">
        <v>69</v>
      </c>
      <c r="K345" s="9" t="s">
        <v>424</v>
      </c>
      <c r="L345" s="9"/>
      <c r="M345" s="9"/>
      <c r="N345" s="9" t="str">
        <f ca="1">IFERROR(__xludf.DUMMYFUNCTION("IFERROR(VALUE(REGEXEXTRACT(TO_TEXT($F345), N$1 &amp; ""x(\d+)"")), """")
"),"")</f>
        <v/>
      </c>
      <c r="O345" s="9" t="str">
        <f ca="1">IFERROR(__xludf.DUMMYFUNCTION("IFERROR(VALUE(REGEXEXTRACT(TO_TEXT($F345), O$1 &amp; ""x(\d+)"")), """")"),"")</f>
        <v/>
      </c>
      <c r="P345" s="9" t="str">
        <f ca="1">IFERROR(__xludf.DUMMYFUNCTION("IFERROR(VALUE(REGEXEXTRACT(TO_TEXT($F345), P$1 &amp; ""x(\d+)"")), """")"),"")</f>
        <v/>
      </c>
      <c r="Q345" s="9" t="str">
        <f ca="1">IFERROR(__xludf.DUMMYFUNCTION("IFERROR(VALUE(REGEXEXTRACT(TO_TEXT($F345), Q$1 &amp; ""x(\d+)"")), """")"),"")</f>
        <v/>
      </c>
      <c r="R345" s="9" t="str">
        <f ca="1">IFERROR(__xludf.DUMMYFUNCTION("IFERROR(VALUE(REGEXEXTRACT(TO_TEXT($F345), R$1 &amp; ""x(\d+)"")), """")"),"")</f>
        <v/>
      </c>
      <c r="S345" s="9" t="str">
        <f ca="1">IFERROR(__xludf.DUMMYFUNCTION("IFERROR(VALUE(REGEXEXTRACT(TO_TEXT($F345), S$1 &amp; ""x(\d+)"")), """")"),"")</f>
        <v/>
      </c>
      <c r="T345" s="9" t="str">
        <f ca="1">IFERROR(__xludf.DUMMYFUNCTION("IFERROR(VALUE(REGEXEXTRACT(TO_TEXT($F345), T$1 &amp; ""x(\d+)"")), """")"),"")</f>
        <v/>
      </c>
      <c r="U345" s="9" t="str">
        <f ca="1">IFERROR(__xludf.DUMMYFUNCTION("IFERROR(VALUE(REGEXEXTRACT(TO_TEXT($F345), U$1 &amp; ""x(\d+)"")), """")"),"")</f>
        <v/>
      </c>
      <c r="V345" s="9" t="str">
        <f ca="1">IFERROR(__xludf.DUMMYFUNCTION("IFERROR(VALUE(REGEXEXTRACT(TO_TEXT($F345), V$1 &amp; ""x(\d+)"")), """")"),"")</f>
        <v/>
      </c>
      <c r="W345" s="9"/>
      <c r="X345" s="9"/>
      <c r="Y345" s="9"/>
      <c r="Z345" s="9"/>
    </row>
    <row r="346" spans="1:26" ht="15.75" customHeight="1">
      <c r="A346" s="9" t="s">
        <v>1420</v>
      </c>
      <c r="B346" s="9" t="s">
        <v>1421</v>
      </c>
      <c r="C346" s="9" t="s">
        <v>865</v>
      </c>
      <c r="D346" s="9" t="s">
        <v>33</v>
      </c>
      <c r="E346" s="9" t="s">
        <v>12</v>
      </c>
      <c r="F346" s="9" t="s">
        <v>1423</v>
      </c>
      <c r="G346" s="9">
        <v>155</v>
      </c>
      <c r="H346" s="9">
        <v>2</v>
      </c>
      <c r="I346" s="9">
        <v>1.0149999999999999</v>
      </c>
      <c r="J346" s="9">
        <v>69</v>
      </c>
      <c r="K346" s="9" t="s">
        <v>424</v>
      </c>
      <c r="L346" s="9"/>
      <c r="M346" s="9"/>
      <c r="N346" s="9" t="str">
        <f ca="1">IFERROR(__xludf.DUMMYFUNCTION("IFERROR(VALUE(REGEXEXTRACT(TO_TEXT($F346), N$1 &amp; ""x(\d+)"")), """")
"),"")</f>
        <v/>
      </c>
      <c r="O346" s="9">
        <f ca="1">IFERROR(__xludf.DUMMYFUNCTION("IFERROR(VALUE(REGEXEXTRACT(TO_TEXT($F346), O$1 &amp; ""x(\d+)"")), """")"),1)</f>
        <v>1</v>
      </c>
      <c r="P346" s="9" t="str">
        <f ca="1">IFERROR(__xludf.DUMMYFUNCTION("IFERROR(VALUE(REGEXEXTRACT(TO_TEXT($F346), P$1 &amp; ""x(\d+)"")), """")"),"")</f>
        <v/>
      </c>
      <c r="Q346" s="9" t="str">
        <f ca="1">IFERROR(__xludf.DUMMYFUNCTION("IFERROR(VALUE(REGEXEXTRACT(TO_TEXT($F346), Q$1 &amp; ""x(\d+)"")), """")"),"")</f>
        <v/>
      </c>
      <c r="R346" s="9" t="str">
        <f ca="1">IFERROR(__xludf.DUMMYFUNCTION("IFERROR(VALUE(REGEXEXTRACT(TO_TEXT($F346), R$1 &amp; ""x(\d+)"")), """")"),"")</f>
        <v/>
      </c>
      <c r="S346" s="9" t="str">
        <f ca="1">IFERROR(__xludf.DUMMYFUNCTION("IFERROR(VALUE(REGEXEXTRACT(TO_TEXT($F346), S$1 &amp; ""x(\d+)"")), """")"),"")</f>
        <v/>
      </c>
      <c r="T346" s="9" t="str">
        <f ca="1">IFERROR(__xludf.DUMMYFUNCTION("IFERROR(VALUE(REGEXEXTRACT(TO_TEXT($F346), T$1 &amp; ""x(\d+)"")), """")"),"")</f>
        <v/>
      </c>
      <c r="U346" s="9" t="str">
        <f ca="1">IFERROR(__xludf.DUMMYFUNCTION("IFERROR(VALUE(REGEXEXTRACT(TO_TEXT($F346), U$1 &amp; ""x(\d+)"")), """")"),"")</f>
        <v/>
      </c>
      <c r="V346" s="9" t="str">
        <f ca="1">IFERROR(__xludf.DUMMYFUNCTION("IFERROR(VALUE(REGEXEXTRACT(TO_TEXT($F346), V$1 &amp; ""x(\d+)"")), """")"),"")</f>
        <v/>
      </c>
      <c r="W346" s="9"/>
      <c r="X346" s="9"/>
      <c r="Y346" s="9"/>
      <c r="Z346" s="9"/>
    </row>
    <row r="347" spans="1:26" ht="15.75" customHeight="1">
      <c r="A347" s="9" t="s">
        <v>1420</v>
      </c>
      <c r="B347" s="9" t="s">
        <v>1421</v>
      </c>
      <c r="C347" s="9" t="s">
        <v>865</v>
      </c>
      <c r="D347" s="9" t="s">
        <v>33</v>
      </c>
      <c r="E347" s="9" t="s">
        <v>13</v>
      </c>
      <c r="F347" s="9" t="s">
        <v>1369</v>
      </c>
      <c r="G347" s="9">
        <v>15</v>
      </c>
      <c r="H347" s="9">
        <v>2</v>
      </c>
      <c r="I347" s="9">
        <v>1.0149999999999999</v>
      </c>
      <c r="J347" s="9">
        <v>69</v>
      </c>
      <c r="K347" s="9" t="s">
        <v>424</v>
      </c>
      <c r="L347" s="9"/>
      <c r="M347" s="9"/>
      <c r="N347" s="9" t="str">
        <f ca="1">IFERROR(__xludf.DUMMYFUNCTION("IFERROR(VALUE(REGEXEXTRACT(TO_TEXT($F347), N$1 &amp; ""x(\d+)"")), """")
"),"")</f>
        <v/>
      </c>
      <c r="O347" s="9">
        <f ca="1">IFERROR(__xludf.DUMMYFUNCTION("IFERROR(VALUE(REGEXEXTRACT(TO_TEXT($F347), O$1 &amp; ""x(\d+)"")), """")"),1)</f>
        <v>1</v>
      </c>
      <c r="P347" s="9" t="str">
        <f ca="1">IFERROR(__xludf.DUMMYFUNCTION("IFERROR(VALUE(REGEXEXTRACT(TO_TEXT($F347), P$1 &amp; ""x(\d+)"")), """")"),"")</f>
        <v/>
      </c>
      <c r="Q347" s="9" t="str">
        <f ca="1">IFERROR(__xludf.DUMMYFUNCTION("IFERROR(VALUE(REGEXEXTRACT(TO_TEXT($F347), Q$1 &amp; ""x(\d+)"")), """")"),"")</f>
        <v/>
      </c>
      <c r="R347" s="9" t="str">
        <f ca="1">IFERROR(__xludf.DUMMYFUNCTION("IFERROR(VALUE(REGEXEXTRACT(TO_TEXT($F347), R$1 &amp; ""x(\d+)"")), """")"),"")</f>
        <v/>
      </c>
      <c r="S347" s="9" t="str">
        <f ca="1">IFERROR(__xludf.DUMMYFUNCTION("IFERROR(VALUE(REGEXEXTRACT(TO_TEXT($F347), S$1 &amp; ""x(\d+)"")), """")"),"")</f>
        <v/>
      </c>
      <c r="T347" s="9" t="str">
        <f ca="1">IFERROR(__xludf.DUMMYFUNCTION("IFERROR(VALUE(REGEXEXTRACT(TO_TEXT($F347), T$1 &amp; ""x(\d+)"")), """")"),"")</f>
        <v/>
      </c>
      <c r="U347" s="9" t="str">
        <f ca="1">IFERROR(__xludf.DUMMYFUNCTION("IFERROR(VALUE(REGEXEXTRACT(TO_TEXT($F347), U$1 &amp; ""x(\d+)"")), """")"),"")</f>
        <v/>
      </c>
      <c r="V347" s="9" t="str">
        <f ca="1">IFERROR(__xludf.DUMMYFUNCTION("IFERROR(VALUE(REGEXEXTRACT(TO_TEXT($F347), V$1 &amp; ""x(\d+)"")), """")"),"")</f>
        <v/>
      </c>
      <c r="W347" s="9"/>
      <c r="X347" s="9"/>
      <c r="Y347" s="9"/>
      <c r="Z347" s="9"/>
    </row>
    <row r="348" spans="1:26" ht="15.75" customHeight="1">
      <c r="A348" s="9" t="s">
        <v>1424</v>
      </c>
      <c r="B348" s="9" t="s">
        <v>1425</v>
      </c>
      <c r="C348" s="9" t="s">
        <v>722</v>
      </c>
      <c r="D348" s="9" t="s">
        <v>33</v>
      </c>
      <c r="E348" s="9" t="s">
        <v>11</v>
      </c>
      <c r="F348" s="9" t="s">
        <v>1426</v>
      </c>
      <c r="G348" s="9">
        <v>25</v>
      </c>
      <c r="H348" s="9">
        <v>1</v>
      </c>
      <c r="I348" s="9">
        <v>1.0149999999999999</v>
      </c>
      <c r="J348" s="9">
        <v>18</v>
      </c>
      <c r="K348" s="9" t="s">
        <v>442</v>
      </c>
      <c r="L348" s="9"/>
      <c r="M348" s="9"/>
      <c r="N348" s="9" t="str">
        <f ca="1">IFERROR(__xludf.DUMMYFUNCTION("IFERROR(VALUE(REGEXEXTRACT(TO_TEXT($F348), N$1 &amp; ""x(\d+)"")), """")
"),"")</f>
        <v/>
      </c>
      <c r="O348" s="9" t="str">
        <f ca="1">IFERROR(__xludf.DUMMYFUNCTION("IFERROR(VALUE(REGEXEXTRACT(TO_TEXT($F348), O$1 &amp; ""x(\d+)"")), """")"),"")</f>
        <v/>
      </c>
      <c r="P348" s="9" t="str">
        <f ca="1">IFERROR(__xludf.DUMMYFUNCTION("IFERROR(VALUE(REGEXEXTRACT(TO_TEXT($F348), P$1 &amp; ""x(\d+)"")), """")"),"")</f>
        <v/>
      </c>
      <c r="Q348" s="9" t="str">
        <f ca="1">IFERROR(__xludf.DUMMYFUNCTION("IFERROR(VALUE(REGEXEXTRACT(TO_TEXT($F348), Q$1 &amp; ""x(\d+)"")), """")"),"")</f>
        <v/>
      </c>
      <c r="R348" s="9" t="str">
        <f ca="1">IFERROR(__xludf.DUMMYFUNCTION("IFERROR(VALUE(REGEXEXTRACT(TO_TEXT($F348), R$1 &amp; ""x(\d+)"")), """")"),"")</f>
        <v/>
      </c>
      <c r="S348" s="9" t="str">
        <f ca="1">IFERROR(__xludf.DUMMYFUNCTION("IFERROR(VALUE(REGEXEXTRACT(TO_TEXT($F348), S$1 &amp; ""x(\d+)"")), """")"),"")</f>
        <v/>
      </c>
      <c r="T348" s="9" t="str">
        <f ca="1">IFERROR(__xludf.DUMMYFUNCTION("IFERROR(VALUE(REGEXEXTRACT(TO_TEXT($F348), T$1 &amp; ""x(\d+)"")), """")"),"")</f>
        <v/>
      </c>
      <c r="U348" s="9" t="str">
        <f ca="1">IFERROR(__xludf.DUMMYFUNCTION("IFERROR(VALUE(REGEXEXTRACT(TO_TEXT($F348), U$1 &amp; ""x(\d+)"")), """")"),"")</f>
        <v/>
      </c>
      <c r="V348" s="9" t="str">
        <f ca="1">IFERROR(__xludf.DUMMYFUNCTION("IFERROR(VALUE(REGEXEXTRACT(TO_TEXT($F348), V$1 &amp; ""x(\d+)"")), """")"),"")</f>
        <v/>
      </c>
      <c r="W348" s="9"/>
      <c r="X348" s="9"/>
      <c r="Y348" s="9"/>
      <c r="Z348" s="9"/>
    </row>
    <row r="349" spans="1:26" ht="15.75" customHeight="1">
      <c r="A349" s="9" t="s">
        <v>1424</v>
      </c>
      <c r="B349" s="9" t="s">
        <v>1425</v>
      </c>
      <c r="C349" s="9" t="s">
        <v>722</v>
      </c>
      <c r="D349" s="9" t="s">
        <v>33</v>
      </c>
      <c r="E349" s="9" t="s">
        <v>12</v>
      </c>
      <c r="F349" s="9" t="s">
        <v>1427</v>
      </c>
      <c r="G349" s="9">
        <v>80</v>
      </c>
      <c r="H349" s="9">
        <v>1</v>
      </c>
      <c r="I349" s="9">
        <v>1.0149999999999999</v>
      </c>
      <c r="J349" s="9">
        <v>18</v>
      </c>
      <c r="K349" s="9" t="s">
        <v>442</v>
      </c>
      <c r="L349" s="9"/>
      <c r="M349" s="9"/>
      <c r="N349" s="9" t="str">
        <f ca="1">IFERROR(__xludf.DUMMYFUNCTION("IFERROR(VALUE(REGEXEXTRACT(TO_TEXT($F349), N$1 &amp; ""x(\d+)"")), """")
"),"")</f>
        <v/>
      </c>
      <c r="O349" s="9" t="str">
        <f ca="1">IFERROR(__xludf.DUMMYFUNCTION("IFERROR(VALUE(REGEXEXTRACT(TO_TEXT($F349), O$1 &amp; ""x(\d+)"")), """")"),"")</f>
        <v/>
      </c>
      <c r="P349" s="9" t="str">
        <f ca="1">IFERROR(__xludf.DUMMYFUNCTION("IFERROR(VALUE(REGEXEXTRACT(TO_TEXT($F349), P$1 &amp; ""x(\d+)"")), """")"),"")</f>
        <v/>
      </c>
      <c r="Q349" s="9" t="str">
        <f ca="1">IFERROR(__xludf.DUMMYFUNCTION("IFERROR(VALUE(REGEXEXTRACT(TO_TEXT($F349), Q$1 &amp; ""x(\d+)"")), """")"),"")</f>
        <v/>
      </c>
      <c r="R349" s="9" t="str">
        <f ca="1">IFERROR(__xludf.DUMMYFUNCTION("IFERROR(VALUE(REGEXEXTRACT(TO_TEXT($F349), R$1 &amp; ""x(\d+)"")), """")"),"")</f>
        <v/>
      </c>
      <c r="S349" s="9" t="str">
        <f ca="1">IFERROR(__xludf.DUMMYFUNCTION("IFERROR(VALUE(REGEXEXTRACT(TO_TEXT($F349), S$1 &amp; ""x(\d+)"")), """")"),"")</f>
        <v/>
      </c>
      <c r="T349" s="9" t="str">
        <f ca="1">IFERROR(__xludf.DUMMYFUNCTION("IFERROR(VALUE(REGEXEXTRACT(TO_TEXT($F349), T$1 &amp; ""x(\d+)"")), """")"),"")</f>
        <v/>
      </c>
      <c r="U349" s="9" t="str">
        <f ca="1">IFERROR(__xludf.DUMMYFUNCTION("IFERROR(VALUE(REGEXEXTRACT(TO_TEXT($F349), U$1 &amp; ""x(\d+)"")), """")"),"")</f>
        <v/>
      </c>
      <c r="V349" s="9" t="str">
        <f ca="1">IFERROR(__xludf.DUMMYFUNCTION("IFERROR(VALUE(REGEXEXTRACT(TO_TEXT($F349), V$1 &amp; ""x(\d+)"")), """")"),"")</f>
        <v/>
      </c>
      <c r="W349" s="9"/>
      <c r="X349" s="9"/>
      <c r="Y349" s="9"/>
      <c r="Z349" s="9"/>
    </row>
    <row r="350" spans="1:26" ht="15.75" customHeight="1">
      <c r="A350" s="9" t="s">
        <v>1424</v>
      </c>
      <c r="B350" s="9" t="s">
        <v>1425</v>
      </c>
      <c r="C350" s="9" t="s">
        <v>722</v>
      </c>
      <c r="D350" s="9" t="s">
        <v>33</v>
      </c>
      <c r="E350" s="9" t="s">
        <v>13</v>
      </c>
      <c r="F350" s="9" t="s">
        <v>1428</v>
      </c>
      <c r="G350" s="9">
        <v>15</v>
      </c>
      <c r="H350" s="9">
        <v>1</v>
      </c>
      <c r="I350" s="9">
        <v>1.0149999999999999</v>
      </c>
      <c r="J350" s="9">
        <v>18</v>
      </c>
      <c r="K350" s="9" t="s">
        <v>442</v>
      </c>
      <c r="L350" s="9"/>
      <c r="M350" s="9"/>
      <c r="N350" s="9" t="str">
        <f ca="1">IFERROR(__xludf.DUMMYFUNCTION("IFERROR(VALUE(REGEXEXTRACT(TO_TEXT($F350), N$1 &amp; ""x(\d+)"")), """")
"),"")</f>
        <v/>
      </c>
      <c r="O350" s="9" t="str">
        <f ca="1">IFERROR(__xludf.DUMMYFUNCTION("IFERROR(VALUE(REGEXEXTRACT(TO_TEXT($F350), O$1 &amp; ""x(\d+)"")), """")"),"")</f>
        <v/>
      </c>
      <c r="P350" s="9" t="str">
        <f ca="1">IFERROR(__xludf.DUMMYFUNCTION("IFERROR(VALUE(REGEXEXTRACT(TO_TEXT($F350), P$1 &amp; ""x(\d+)"")), """")"),"")</f>
        <v/>
      </c>
      <c r="Q350" s="9" t="str">
        <f ca="1">IFERROR(__xludf.DUMMYFUNCTION("IFERROR(VALUE(REGEXEXTRACT(TO_TEXT($F350), Q$1 &amp; ""x(\d+)"")), """")"),"")</f>
        <v/>
      </c>
      <c r="R350" s="9" t="str">
        <f ca="1">IFERROR(__xludf.DUMMYFUNCTION("IFERROR(VALUE(REGEXEXTRACT(TO_TEXT($F350), R$1 &amp; ""x(\d+)"")), """")"),"")</f>
        <v/>
      </c>
      <c r="S350" s="9" t="str">
        <f ca="1">IFERROR(__xludf.DUMMYFUNCTION("IFERROR(VALUE(REGEXEXTRACT(TO_TEXT($F350), S$1 &amp; ""x(\d+)"")), """")"),"")</f>
        <v/>
      </c>
      <c r="T350" s="9" t="str">
        <f ca="1">IFERROR(__xludf.DUMMYFUNCTION("IFERROR(VALUE(REGEXEXTRACT(TO_TEXT($F350), T$1 &amp; ""x(\d+)"")), """")"),"")</f>
        <v/>
      </c>
      <c r="U350" s="9" t="str">
        <f ca="1">IFERROR(__xludf.DUMMYFUNCTION("IFERROR(VALUE(REGEXEXTRACT(TO_TEXT($F350), U$1 &amp; ""x(\d+)"")), """")"),"")</f>
        <v/>
      </c>
      <c r="V350" s="9" t="str">
        <f ca="1">IFERROR(__xludf.DUMMYFUNCTION("IFERROR(VALUE(REGEXEXTRACT(TO_TEXT($F350), V$1 &amp; ""x(\d+)"")), """")"),"")</f>
        <v/>
      </c>
      <c r="W350" s="9"/>
      <c r="X350" s="9"/>
      <c r="Y350" s="9"/>
      <c r="Z350" s="9"/>
    </row>
    <row r="351" spans="1:26" ht="15.75" hidden="1" customHeight="1">
      <c r="A351" s="9" t="s">
        <v>1429</v>
      </c>
      <c r="B351" s="9" t="s">
        <v>1430</v>
      </c>
      <c r="C351" s="9" t="s">
        <v>937</v>
      </c>
      <c r="D351" s="9" t="s">
        <v>48</v>
      </c>
      <c r="E351" s="9" t="s">
        <v>11</v>
      </c>
      <c r="F351" s="9" t="s">
        <v>1180</v>
      </c>
      <c r="G351" s="9">
        <v>25</v>
      </c>
      <c r="H351" s="9">
        <v>4</v>
      </c>
      <c r="I351" s="9">
        <v>1.0149999999999999</v>
      </c>
      <c r="J351" s="9">
        <v>52</v>
      </c>
      <c r="K351" s="9" t="s">
        <v>424</v>
      </c>
      <c r="L351" s="9"/>
      <c r="M351" s="9"/>
      <c r="N351" s="9" t="str">
        <f ca="1">IFERROR(__xludf.DUMMYFUNCTION("IFERROR(VALUE(REGEXEXTRACT(TO_TEXT($F351), N$1 &amp; ""x(\d+)"")), """")
"),"")</f>
        <v/>
      </c>
      <c r="O351" s="9" t="str">
        <f ca="1">IFERROR(__xludf.DUMMYFUNCTION("IFERROR(VALUE(REGEXEXTRACT(TO_TEXT($F351), O$1 &amp; ""x(\d+)"")), """")"),"")</f>
        <v/>
      </c>
      <c r="P351" s="9" t="str">
        <f ca="1">IFERROR(__xludf.DUMMYFUNCTION("IFERROR(VALUE(REGEXEXTRACT(TO_TEXT($F351), P$1 &amp; ""x(\d+)"")), """")"),"")</f>
        <v/>
      </c>
      <c r="Q351" s="9" t="str">
        <f ca="1">IFERROR(__xludf.DUMMYFUNCTION("IFERROR(VALUE(REGEXEXTRACT(TO_TEXT($F351), Q$1 &amp; ""x(\d+)"")), """")"),"")</f>
        <v/>
      </c>
      <c r="R351" s="9" t="str">
        <f ca="1">IFERROR(__xludf.DUMMYFUNCTION("IFERROR(VALUE(REGEXEXTRACT(TO_TEXT($F351), R$1 &amp; ""x(\d+)"")), """")"),"")</f>
        <v/>
      </c>
      <c r="S351" s="9" t="str">
        <f ca="1">IFERROR(__xludf.DUMMYFUNCTION("IFERROR(VALUE(REGEXEXTRACT(TO_TEXT($F351), S$1 &amp; ""x(\d+)"")), """")"),"")</f>
        <v/>
      </c>
      <c r="T351" s="9" t="str">
        <f ca="1">IFERROR(__xludf.DUMMYFUNCTION("IFERROR(VALUE(REGEXEXTRACT(TO_TEXT($F351), T$1 &amp; ""x(\d+)"")), """")"),"")</f>
        <v/>
      </c>
      <c r="U351" s="9" t="str">
        <f ca="1">IFERROR(__xludf.DUMMYFUNCTION("IFERROR(VALUE(REGEXEXTRACT(TO_TEXT($F351), U$1 &amp; ""x(\d+)"")), """")"),"")</f>
        <v/>
      </c>
      <c r="V351" s="9" t="str">
        <f ca="1">IFERROR(__xludf.DUMMYFUNCTION("IFERROR(VALUE(REGEXEXTRACT(TO_TEXT($F351), V$1 &amp; ""x(\d+)"")), """")"),"")</f>
        <v/>
      </c>
      <c r="W351" s="9"/>
      <c r="X351" s="9"/>
      <c r="Y351" s="9"/>
      <c r="Z351" s="9"/>
    </row>
    <row r="352" spans="1:26" ht="15.75" hidden="1" customHeight="1">
      <c r="A352" s="9" t="s">
        <v>1429</v>
      </c>
      <c r="B352" s="9" t="s">
        <v>1430</v>
      </c>
      <c r="C352" s="9" t="s">
        <v>937</v>
      </c>
      <c r="D352" s="9" t="s">
        <v>48</v>
      </c>
      <c r="E352" s="9" t="s">
        <v>12</v>
      </c>
      <c r="F352" s="9" t="s">
        <v>1431</v>
      </c>
      <c r="G352" s="9">
        <v>125</v>
      </c>
      <c r="H352" s="9">
        <v>4</v>
      </c>
      <c r="I352" s="9">
        <v>1.0149999999999999</v>
      </c>
      <c r="J352" s="9">
        <v>52</v>
      </c>
      <c r="K352" s="9" t="s">
        <v>424</v>
      </c>
      <c r="L352" s="9" t="s">
        <v>1169</v>
      </c>
      <c r="M352" s="9"/>
      <c r="N352" s="9" t="str">
        <f ca="1">IFERROR(__xludf.DUMMYFUNCTION("IFERROR(VALUE(REGEXEXTRACT(TO_TEXT($F352), N$1 &amp; ""x(\d+)"")), """")
"),"")</f>
        <v/>
      </c>
      <c r="O352" s="9" t="str">
        <f ca="1">IFERROR(__xludf.DUMMYFUNCTION("IFERROR(VALUE(REGEXEXTRACT(TO_TEXT($F352), O$1 &amp; ""x(\d+)"")), """")"),"")</f>
        <v/>
      </c>
      <c r="P352" s="9">
        <f ca="1">IFERROR(__xludf.DUMMYFUNCTION("IFERROR(VALUE(REGEXEXTRACT(TO_TEXT($F352), P$1 &amp; ""x(\d+)"")), """")"),1)</f>
        <v>1</v>
      </c>
      <c r="Q352" s="9" t="str">
        <f ca="1">IFERROR(__xludf.DUMMYFUNCTION("IFERROR(VALUE(REGEXEXTRACT(TO_TEXT($F352), Q$1 &amp; ""x(\d+)"")), """")"),"")</f>
        <v/>
      </c>
      <c r="R352" s="9" t="str">
        <f ca="1">IFERROR(__xludf.DUMMYFUNCTION("IFERROR(VALUE(REGEXEXTRACT(TO_TEXT($F352), R$1 &amp; ""x(\d+)"")), """")"),"")</f>
        <v/>
      </c>
      <c r="S352" s="9" t="str">
        <f ca="1">IFERROR(__xludf.DUMMYFUNCTION("IFERROR(VALUE(REGEXEXTRACT(TO_TEXT($F352), S$1 &amp; ""x(\d+)"")), """")"),"")</f>
        <v/>
      </c>
      <c r="T352" s="9" t="str">
        <f ca="1">IFERROR(__xludf.DUMMYFUNCTION("IFERROR(VALUE(REGEXEXTRACT(TO_TEXT($F352), T$1 &amp; ""x(\d+)"")), """")"),"")</f>
        <v/>
      </c>
      <c r="U352" s="9" t="str">
        <f ca="1">IFERROR(__xludf.DUMMYFUNCTION("IFERROR(VALUE(REGEXEXTRACT(TO_TEXT($F352), U$1 &amp; ""x(\d+)"")), """")"),"")</f>
        <v/>
      </c>
      <c r="V352" s="9" t="str">
        <f ca="1">IFERROR(__xludf.DUMMYFUNCTION("IFERROR(VALUE(REGEXEXTRACT(TO_TEXT($F352), V$1 &amp; ""x(\d+)"")), """")"),"")</f>
        <v/>
      </c>
      <c r="W352" s="9"/>
      <c r="X352" s="9"/>
      <c r="Y352" s="9"/>
      <c r="Z352" s="9"/>
    </row>
    <row r="353" spans="1:26" ht="15.75" hidden="1" customHeight="1">
      <c r="A353" s="9" t="s">
        <v>1429</v>
      </c>
      <c r="B353" s="9" t="s">
        <v>1430</v>
      </c>
      <c r="C353" s="9" t="s">
        <v>937</v>
      </c>
      <c r="D353" s="9" t="s">
        <v>48</v>
      </c>
      <c r="E353" s="9" t="s">
        <v>13</v>
      </c>
      <c r="F353" s="9" t="s">
        <v>1269</v>
      </c>
      <c r="G353" s="9">
        <v>30</v>
      </c>
      <c r="H353" s="9">
        <v>4</v>
      </c>
      <c r="I353" s="9">
        <v>1.0149999999999999</v>
      </c>
      <c r="J353" s="9">
        <v>52</v>
      </c>
      <c r="K353" s="9" t="s">
        <v>424</v>
      </c>
      <c r="L353" s="9"/>
      <c r="M353" s="9"/>
      <c r="N353" s="9" t="str">
        <f ca="1">IFERROR(__xludf.DUMMYFUNCTION("IFERROR(VALUE(REGEXEXTRACT(TO_TEXT($F353), N$1 &amp; ""x(\d+)"")), """")
"),"")</f>
        <v/>
      </c>
      <c r="O353" s="9" t="str">
        <f ca="1">IFERROR(__xludf.DUMMYFUNCTION("IFERROR(VALUE(REGEXEXTRACT(TO_TEXT($F353), O$1 &amp; ""x(\d+)"")), """")"),"")</f>
        <v/>
      </c>
      <c r="P353" s="9">
        <f ca="1">IFERROR(__xludf.DUMMYFUNCTION("IFERROR(VALUE(REGEXEXTRACT(TO_TEXT($F353), P$1 &amp; ""x(\d+)"")), """")"),1)</f>
        <v>1</v>
      </c>
      <c r="Q353" s="9" t="str">
        <f ca="1">IFERROR(__xludf.DUMMYFUNCTION("IFERROR(VALUE(REGEXEXTRACT(TO_TEXT($F353), Q$1 &amp; ""x(\d+)"")), """")"),"")</f>
        <v/>
      </c>
      <c r="R353" s="9" t="str">
        <f ca="1">IFERROR(__xludf.DUMMYFUNCTION("IFERROR(VALUE(REGEXEXTRACT(TO_TEXT($F353), R$1 &amp; ""x(\d+)"")), """")"),"")</f>
        <v/>
      </c>
      <c r="S353" s="9" t="str">
        <f ca="1">IFERROR(__xludf.DUMMYFUNCTION("IFERROR(VALUE(REGEXEXTRACT(TO_TEXT($F353), S$1 &amp; ""x(\d+)"")), """")"),"")</f>
        <v/>
      </c>
      <c r="T353" s="9" t="str">
        <f ca="1">IFERROR(__xludf.DUMMYFUNCTION("IFERROR(VALUE(REGEXEXTRACT(TO_TEXT($F353), T$1 &amp; ""x(\d+)"")), """")"),"")</f>
        <v/>
      </c>
      <c r="U353" s="9" t="str">
        <f ca="1">IFERROR(__xludf.DUMMYFUNCTION("IFERROR(VALUE(REGEXEXTRACT(TO_TEXT($F353), U$1 &amp; ""x(\d+)"")), """")"),"")</f>
        <v/>
      </c>
      <c r="V353" s="9" t="str">
        <f ca="1">IFERROR(__xludf.DUMMYFUNCTION("IFERROR(VALUE(REGEXEXTRACT(TO_TEXT($F353), V$1 &amp; ""x(\d+)"")), """")"),"")</f>
        <v/>
      </c>
      <c r="W353" s="9"/>
      <c r="X353" s="9"/>
      <c r="Y353" s="9"/>
      <c r="Z353" s="9"/>
    </row>
    <row r="354" spans="1:26" ht="15.75" hidden="1" customHeight="1">
      <c r="A354" s="9" t="s">
        <v>1432</v>
      </c>
      <c r="B354" s="9" t="s">
        <v>1433</v>
      </c>
      <c r="C354" s="9" t="s">
        <v>573</v>
      </c>
      <c r="D354" s="9" t="s">
        <v>48</v>
      </c>
      <c r="E354" s="9" t="s">
        <v>11</v>
      </c>
      <c r="F354" s="9" t="s">
        <v>1180</v>
      </c>
      <c r="G354" s="9">
        <v>25</v>
      </c>
      <c r="H354" s="9">
        <v>4</v>
      </c>
      <c r="I354" s="9">
        <v>1.0149999999999999</v>
      </c>
      <c r="J354" s="9">
        <v>52</v>
      </c>
      <c r="K354" s="9" t="s">
        <v>424</v>
      </c>
      <c r="L354" s="9"/>
      <c r="M354" s="9"/>
      <c r="N354" s="9" t="str">
        <f ca="1">IFERROR(__xludf.DUMMYFUNCTION("IFERROR(VALUE(REGEXEXTRACT(TO_TEXT($F354), N$1 &amp; ""x(\d+)"")), """")
"),"")</f>
        <v/>
      </c>
      <c r="O354" s="9" t="str">
        <f ca="1">IFERROR(__xludf.DUMMYFUNCTION("IFERROR(VALUE(REGEXEXTRACT(TO_TEXT($F354), O$1 &amp; ""x(\d+)"")), """")"),"")</f>
        <v/>
      </c>
      <c r="P354" s="9" t="str">
        <f ca="1">IFERROR(__xludf.DUMMYFUNCTION("IFERROR(VALUE(REGEXEXTRACT(TO_TEXT($F354), P$1 &amp; ""x(\d+)"")), """")"),"")</f>
        <v/>
      </c>
      <c r="Q354" s="9" t="str">
        <f ca="1">IFERROR(__xludf.DUMMYFUNCTION("IFERROR(VALUE(REGEXEXTRACT(TO_TEXT($F354), Q$1 &amp; ""x(\d+)"")), """")"),"")</f>
        <v/>
      </c>
      <c r="R354" s="9" t="str">
        <f ca="1">IFERROR(__xludf.DUMMYFUNCTION("IFERROR(VALUE(REGEXEXTRACT(TO_TEXT($F354), R$1 &amp; ""x(\d+)"")), """")"),"")</f>
        <v/>
      </c>
      <c r="S354" s="9" t="str">
        <f ca="1">IFERROR(__xludf.DUMMYFUNCTION("IFERROR(VALUE(REGEXEXTRACT(TO_TEXT($F354), S$1 &amp; ""x(\d+)"")), """")"),"")</f>
        <v/>
      </c>
      <c r="T354" s="9" t="str">
        <f ca="1">IFERROR(__xludf.DUMMYFUNCTION("IFERROR(VALUE(REGEXEXTRACT(TO_TEXT($F354), T$1 &amp; ""x(\d+)"")), """")"),"")</f>
        <v/>
      </c>
      <c r="U354" s="9" t="str">
        <f ca="1">IFERROR(__xludf.DUMMYFUNCTION("IFERROR(VALUE(REGEXEXTRACT(TO_TEXT($F354), U$1 &amp; ""x(\d+)"")), """")"),"")</f>
        <v/>
      </c>
      <c r="V354" s="9" t="str">
        <f ca="1">IFERROR(__xludf.DUMMYFUNCTION("IFERROR(VALUE(REGEXEXTRACT(TO_TEXT($F354), V$1 &amp; ""x(\d+)"")), """")"),"")</f>
        <v/>
      </c>
      <c r="W354" s="9"/>
      <c r="X354" s="9"/>
      <c r="Y354" s="9"/>
      <c r="Z354" s="9"/>
    </row>
    <row r="355" spans="1:26" ht="15.75" hidden="1" customHeight="1">
      <c r="A355" s="9" t="s">
        <v>1432</v>
      </c>
      <c r="B355" s="9" t="s">
        <v>1433</v>
      </c>
      <c r="C355" s="9" t="s">
        <v>573</v>
      </c>
      <c r="D355" s="9" t="s">
        <v>48</v>
      </c>
      <c r="E355" s="9" t="s">
        <v>12</v>
      </c>
      <c r="F355" s="9" t="s">
        <v>1431</v>
      </c>
      <c r="G355" s="9">
        <v>125</v>
      </c>
      <c r="H355" s="9">
        <v>4</v>
      </c>
      <c r="I355" s="9">
        <v>1.0149999999999999</v>
      </c>
      <c r="J355" s="9">
        <v>52</v>
      </c>
      <c r="K355" s="9" t="s">
        <v>424</v>
      </c>
      <c r="L355" s="9" t="s">
        <v>1169</v>
      </c>
      <c r="M355" s="9"/>
      <c r="N355" s="9" t="str">
        <f ca="1">IFERROR(__xludf.DUMMYFUNCTION("IFERROR(VALUE(REGEXEXTRACT(TO_TEXT($F355), N$1 &amp; ""x(\d+)"")), """")
"),"")</f>
        <v/>
      </c>
      <c r="O355" s="9" t="str">
        <f ca="1">IFERROR(__xludf.DUMMYFUNCTION("IFERROR(VALUE(REGEXEXTRACT(TO_TEXT($F355), O$1 &amp; ""x(\d+)"")), """")"),"")</f>
        <v/>
      </c>
      <c r="P355" s="9">
        <f ca="1">IFERROR(__xludf.DUMMYFUNCTION("IFERROR(VALUE(REGEXEXTRACT(TO_TEXT($F355), P$1 &amp; ""x(\d+)"")), """")"),1)</f>
        <v>1</v>
      </c>
      <c r="Q355" s="9" t="str">
        <f ca="1">IFERROR(__xludf.DUMMYFUNCTION("IFERROR(VALUE(REGEXEXTRACT(TO_TEXT($F355), Q$1 &amp; ""x(\d+)"")), """")"),"")</f>
        <v/>
      </c>
      <c r="R355" s="9" t="str">
        <f ca="1">IFERROR(__xludf.DUMMYFUNCTION("IFERROR(VALUE(REGEXEXTRACT(TO_TEXT($F355), R$1 &amp; ""x(\d+)"")), """")"),"")</f>
        <v/>
      </c>
      <c r="S355" s="9" t="str">
        <f ca="1">IFERROR(__xludf.DUMMYFUNCTION("IFERROR(VALUE(REGEXEXTRACT(TO_TEXT($F355), S$1 &amp; ""x(\d+)"")), """")"),"")</f>
        <v/>
      </c>
      <c r="T355" s="9" t="str">
        <f ca="1">IFERROR(__xludf.DUMMYFUNCTION("IFERROR(VALUE(REGEXEXTRACT(TO_TEXT($F355), T$1 &amp; ""x(\d+)"")), """")"),"")</f>
        <v/>
      </c>
      <c r="U355" s="9" t="str">
        <f ca="1">IFERROR(__xludf.DUMMYFUNCTION("IFERROR(VALUE(REGEXEXTRACT(TO_TEXT($F355), U$1 &amp; ""x(\d+)"")), """")"),"")</f>
        <v/>
      </c>
      <c r="V355" s="9" t="str">
        <f ca="1">IFERROR(__xludf.DUMMYFUNCTION("IFERROR(VALUE(REGEXEXTRACT(TO_TEXT($F355), V$1 &amp; ""x(\d+)"")), """")"),"")</f>
        <v/>
      </c>
      <c r="W355" s="9"/>
      <c r="X355" s="9"/>
      <c r="Y355" s="9"/>
      <c r="Z355" s="9"/>
    </row>
    <row r="356" spans="1:26" ht="15.75" hidden="1" customHeight="1">
      <c r="A356" s="9" t="s">
        <v>1432</v>
      </c>
      <c r="B356" s="9" t="s">
        <v>1433</v>
      </c>
      <c r="C356" s="9" t="s">
        <v>573</v>
      </c>
      <c r="D356" s="9" t="s">
        <v>48</v>
      </c>
      <c r="E356" s="9" t="s">
        <v>13</v>
      </c>
      <c r="F356" s="9" t="s">
        <v>1269</v>
      </c>
      <c r="G356" s="9">
        <v>30</v>
      </c>
      <c r="H356" s="9">
        <v>4</v>
      </c>
      <c r="I356" s="9">
        <v>1.0149999999999999</v>
      </c>
      <c r="J356" s="9">
        <v>52</v>
      </c>
      <c r="K356" s="9" t="s">
        <v>424</v>
      </c>
      <c r="L356" s="9"/>
      <c r="M356" s="9"/>
      <c r="N356" s="9" t="str">
        <f ca="1">IFERROR(__xludf.DUMMYFUNCTION("IFERROR(VALUE(REGEXEXTRACT(TO_TEXT($F356), N$1 &amp; ""x(\d+)"")), """")
"),"")</f>
        <v/>
      </c>
      <c r="O356" s="9" t="str">
        <f ca="1">IFERROR(__xludf.DUMMYFUNCTION("IFERROR(VALUE(REGEXEXTRACT(TO_TEXT($F356), O$1 &amp; ""x(\d+)"")), """")"),"")</f>
        <v/>
      </c>
      <c r="P356" s="9">
        <f ca="1">IFERROR(__xludf.DUMMYFUNCTION("IFERROR(VALUE(REGEXEXTRACT(TO_TEXT($F356), P$1 &amp; ""x(\d+)"")), """")"),1)</f>
        <v>1</v>
      </c>
      <c r="Q356" s="9" t="str">
        <f ca="1">IFERROR(__xludf.DUMMYFUNCTION("IFERROR(VALUE(REGEXEXTRACT(TO_TEXT($F356), Q$1 &amp; ""x(\d+)"")), """")"),"")</f>
        <v/>
      </c>
      <c r="R356" s="9" t="str">
        <f ca="1">IFERROR(__xludf.DUMMYFUNCTION("IFERROR(VALUE(REGEXEXTRACT(TO_TEXT($F356), R$1 &amp; ""x(\d+)"")), """")"),"")</f>
        <v/>
      </c>
      <c r="S356" s="9" t="str">
        <f ca="1">IFERROR(__xludf.DUMMYFUNCTION("IFERROR(VALUE(REGEXEXTRACT(TO_TEXT($F356), S$1 &amp; ""x(\d+)"")), """")"),"")</f>
        <v/>
      </c>
      <c r="T356" s="9" t="str">
        <f ca="1">IFERROR(__xludf.DUMMYFUNCTION("IFERROR(VALUE(REGEXEXTRACT(TO_TEXT($F356), T$1 &amp; ""x(\d+)"")), """")"),"")</f>
        <v/>
      </c>
      <c r="U356" s="9" t="str">
        <f ca="1">IFERROR(__xludf.DUMMYFUNCTION("IFERROR(VALUE(REGEXEXTRACT(TO_TEXT($F356), U$1 &amp; ""x(\d+)"")), """")"),"")</f>
        <v/>
      </c>
      <c r="V356" s="9" t="str">
        <f ca="1">IFERROR(__xludf.DUMMYFUNCTION("IFERROR(VALUE(REGEXEXTRACT(TO_TEXT($F356), V$1 &amp; ""x(\d+)"")), """")"),"")</f>
        <v/>
      </c>
      <c r="W356" s="9"/>
      <c r="X356" s="9"/>
      <c r="Y356" s="9"/>
      <c r="Z356" s="9"/>
    </row>
    <row r="357" spans="1:26" ht="15.75" customHeight="1">
      <c r="A357" s="9" t="s">
        <v>35</v>
      </c>
      <c r="B357" s="9" t="s">
        <v>1434</v>
      </c>
      <c r="C357" s="9" t="s">
        <v>36</v>
      </c>
      <c r="D357" s="9" t="s">
        <v>33</v>
      </c>
      <c r="E357" s="9" t="s">
        <v>11</v>
      </c>
      <c r="F357" s="9" t="s">
        <v>1435</v>
      </c>
      <c r="G357" s="9">
        <v>65</v>
      </c>
      <c r="H357" s="9">
        <v>4</v>
      </c>
      <c r="I357" s="9">
        <v>1.0149999999999999</v>
      </c>
      <c r="J357" s="9">
        <v>18</v>
      </c>
      <c r="K357" s="9" t="s">
        <v>442</v>
      </c>
      <c r="L357" s="9"/>
      <c r="M357" s="9"/>
      <c r="N357" s="9" t="str">
        <f ca="1">IFERROR(__xludf.DUMMYFUNCTION("IFERROR(VALUE(REGEXEXTRACT(TO_TEXT($F357), N$1 &amp; ""x(\d+)"")), """")
"),"")</f>
        <v/>
      </c>
      <c r="O357" s="9" t="str">
        <f ca="1">IFERROR(__xludf.DUMMYFUNCTION("IFERROR(VALUE(REGEXEXTRACT(TO_TEXT($F357), O$1 &amp; ""x(\d+)"")), """")"),"")</f>
        <v/>
      </c>
      <c r="P357" s="9" t="str">
        <f ca="1">IFERROR(__xludf.DUMMYFUNCTION("IFERROR(VALUE(REGEXEXTRACT(TO_TEXT($F357), P$1 &amp; ""x(\d+)"")), """")"),"")</f>
        <v/>
      </c>
      <c r="Q357" s="9" t="str">
        <f ca="1">IFERROR(__xludf.DUMMYFUNCTION("IFERROR(VALUE(REGEXEXTRACT(TO_TEXT($F357), Q$1 &amp; ""x(\d+)"")), """")"),"")</f>
        <v/>
      </c>
      <c r="R357" s="9" t="str">
        <f ca="1">IFERROR(__xludf.DUMMYFUNCTION("IFERROR(VALUE(REGEXEXTRACT(TO_TEXT($F357), R$1 &amp; ""x(\d+)"")), """")"),"")</f>
        <v/>
      </c>
      <c r="S357" s="9" t="str">
        <f ca="1">IFERROR(__xludf.DUMMYFUNCTION("IFERROR(VALUE(REGEXEXTRACT(TO_TEXT($F357), S$1 &amp; ""x(\d+)"")), """")"),"")</f>
        <v/>
      </c>
      <c r="T357" s="9" t="str">
        <f ca="1">IFERROR(__xludf.DUMMYFUNCTION("IFERROR(VALUE(REGEXEXTRACT(TO_TEXT($F357), T$1 &amp; ""x(\d+)"")), """")"),"")</f>
        <v/>
      </c>
      <c r="U357" s="9" t="str">
        <f ca="1">IFERROR(__xludf.DUMMYFUNCTION("IFERROR(VALUE(REGEXEXTRACT(TO_TEXT($F357), U$1 &amp; ""x(\d+)"")), """")"),"")</f>
        <v/>
      </c>
      <c r="V357" s="9" t="str">
        <f ca="1">IFERROR(__xludf.DUMMYFUNCTION("IFERROR(VALUE(REGEXEXTRACT(TO_TEXT($F357), V$1 &amp; ""x(\d+)"")), """")"),"")</f>
        <v/>
      </c>
      <c r="W357" s="9"/>
      <c r="X357" s="9"/>
      <c r="Y357" s="9"/>
      <c r="Z357" s="9"/>
    </row>
    <row r="358" spans="1:26" ht="15.75" customHeight="1">
      <c r="A358" s="9" t="s">
        <v>35</v>
      </c>
      <c r="B358" s="9" t="s">
        <v>1434</v>
      </c>
      <c r="C358" s="9" t="s">
        <v>36</v>
      </c>
      <c r="D358" s="9" t="s">
        <v>33</v>
      </c>
      <c r="E358" s="9" t="s">
        <v>12</v>
      </c>
      <c r="F358" s="9" t="s">
        <v>1435</v>
      </c>
      <c r="G358" s="9">
        <v>65</v>
      </c>
      <c r="H358" s="9">
        <v>4</v>
      </c>
      <c r="I358" s="9">
        <v>1.0149999999999999</v>
      </c>
      <c r="J358" s="9">
        <v>18</v>
      </c>
      <c r="K358" s="9" t="s">
        <v>442</v>
      </c>
      <c r="L358" s="9"/>
      <c r="M358" s="9"/>
      <c r="N358" s="9" t="str">
        <f ca="1">IFERROR(__xludf.DUMMYFUNCTION("IFERROR(VALUE(REGEXEXTRACT(TO_TEXT($F358), N$1 &amp; ""x(\d+)"")), """")
"),"")</f>
        <v/>
      </c>
      <c r="O358" s="9" t="str">
        <f ca="1">IFERROR(__xludf.DUMMYFUNCTION("IFERROR(VALUE(REGEXEXTRACT(TO_TEXT($F358), O$1 &amp; ""x(\d+)"")), """")"),"")</f>
        <v/>
      </c>
      <c r="P358" s="9" t="str">
        <f ca="1">IFERROR(__xludf.DUMMYFUNCTION("IFERROR(VALUE(REGEXEXTRACT(TO_TEXT($F358), P$1 &amp; ""x(\d+)"")), """")"),"")</f>
        <v/>
      </c>
      <c r="Q358" s="9" t="str">
        <f ca="1">IFERROR(__xludf.DUMMYFUNCTION("IFERROR(VALUE(REGEXEXTRACT(TO_TEXT($F358), Q$1 &amp; ""x(\d+)"")), """")"),"")</f>
        <v/>
      </c>
      <c r="R358" s="9" t="str">
        <f ca="1">IFERROR(__xludf.DUMMYFUNCTION("IFERROR(VALUE(REGEXEXTRACT(TO_TEXT($F358), R$1 &amp; ""x(\d+)"")), """")"),"")</f>
        <v/>
      </c>
      <c r="S358" s="9" t="str">
        <f ca="1">IFERROR(__xludf.DUMMYFUNCTION("IFERROR(VALUE(REGEXEXTRACT(TO_TEXT($F358), S$1 &amp; ""x(\d+)"")), """")"),"")</f>
        <v/>
      </c>
      <c r="T358" s="9" t="str">
        <f ca="1">IFERROR(__xludf.DUMMYFUNCTION("IFERROR(VALUE(REGEXEXTRACT(TO_TEXT($F358), T$1 &amp; ""x(\d+)"")), """")"),"")</f>
        <v/>
      </c>
      <c r="U358" s="9" t="str">
        <f ca="1">IFERROR(__xludf.DUMMYFUNCTION("IFERROR(VALUE(REGEXEXTRACT(TO_TEXT($F358), U$1 &amp; ""x(\d+)"")), """")"),"")</f>
        <v/>
      </c>
      <c r="V358" s="9" t="str">
        <f ca="1">IFERROR(__xludf.DUMMYFUNCTION("IFERROR(VALUE(REGEXEXTRACT(TO_TEXT($F358), V$1 &amp; ""x(\d+)"")), """")"),"")</f>
        <v/>
      </c>
      <c r="W358" s="9"/>
      <c r="X358" s="9"/>
      <c r="Y358" s="9"/>
      <c r="Z358" s="9"/>
    </row>
    <row r="359" spans="1:26" ht="15.75" customHeight="1">
      <c r="A359" s="9" t="s">
        <v>35</v>
      </c>
      <c r="B359" s="9" t="s">
        <v>1434</v>
      </c>
      <c r="C359" s="9" t="s">
        <v>36</v>
      </c>
      <c r="D359" s="9" t="s">
        <v>33</v>
      </c>
      <c r="E359" s="9" t="s">
        <v>13</v>
      </c>
      <c r="F359" s="9" t="s">
        <v>1436</v>
      </c>
      <c r="G359" s="9">
        <v>20</v>
      </c>
      <c r="H359" s="9">
        <v>4</v>
      </c>
      <c r="I359" s="9">
        <v>1.0149999999999999</v>
      </c>
      <c r="J359" s="9">
        <v>18</v>
      </c>
      <c r="K359" s="9" t="s">
        <v>442</v>
      </c>
      <c r="L359" s="9"/>
      <c r="M359" s="9"/>
      <c r="N359" s="9" t="str">
        <f ca="1">IFERROR(__xludf.DUMMYFUNCTION("IFERROR(VALUE(REGEXEXTRACT(TO_TEXT($F359), N$1 &amp; ""x(\d+)"")), """")
"),"")</f>
        <v/>
      </c>
      <c r="O359" s="9" t="str">
        <f ca="1">IFERROR(__xludf.DUMMYFUNCTION("IFERROR(VALUE(REGEXEXTRACT(TO_TEXT($F359), O$1 &amp; ""x(\d+)"")), """")"),"")</f>
        <v/>
      </c>
      <c r="P359" s="9" t="str">
        <f ca="1">IFERROR(__xludf.DUMMYFUNCTION("IFERROR(VALUE(REGEXEXTRACT(TO_TEXT($F359), P$1 &amp; ""x(\d+)"")), """")"),"")</f>
        <v/>
      </c>
      <c r="Q359" s="9" t="str">
        <f ca="1">IFERROR(__xludf.DUMMYFUNCTION("IFERROR(VALUE(REGEXEXTRACT(TO_TEXT($F359), Q$1 &amp; ""x(\d+)"")), """")"),"")</f>
        <v/>
      </c>
      <c r="R359" s="9" t="str">
        <f ca="1">IFERROR(__xludf.DUMMYFUNCTION("IFERROR(VALUE(REGEXEXTRACT(TO_TEXT($F359), R$1 &amp; ""x(\d+)"")), """")"),"")</f>
        <v/>
      </c>
      <c r="S359" s="9" t="str">
        <f ca="1">IFERROR(__xludf.DUMMYFUNCTION("IFERROR(VALUE(REGEXEXTRACT(TO_TEXT($F359), S$1 &amp; ""x(\d+)"")), """")"),"")</f>
        <v/>
      </c>
      <c r="T359" s="9" t="str">
        <f ca="1">IFERROR(__xludf.DUMMYFUNCTION("IFERROR(VALUE(REGEXEXTRACT(TO_TEXT($F359), T$1 &amp; ""x(\d+)"")), """")"),"")</f>
        <v/>
      </c>
      <c r="U359" s="9" t="str">
        <f ca="1">IFERROR(__xludf.DUMMYFUNCTION("IFERROR(VALUE(REGEXEXTRACT(TO_TEXT($F359), U$1 &amp; ""x(\d+)"")), """")"),"")</f>
        <v/>
      </c>
      <c r="V359" s="9" t="str">
        <f ca="1">IFERROR(__xludf.DUMMYFUNCTION("IFERROR(VALUE(REGEXEXTRACT(TO_TEXT($F359), V$1 &amp; ""x(\d+)"")), """")"),"")</f>
        <v/>
      </c>
      <c r="W359" s="9"/>
      <c r="X359" s="9"/>
      <c r="Y359" s="9"/>
      <c r="Z359" s="9"/>
    </row>
    <row r="360" spans="1:26" ht="15.75" customHeight="1">
      <c r="A360" s="9" t="s">
        <v>272</v>
      </c>
      <c r="B360" s="9" t="s">
        <v>1437</v>
      </c>
      <c r="C360" s="9" t="s">
        <v>273</v>
      </c>
      <c r="D360" s="9" t="s">
        <v>33</v>
      </c>
      <c r="E360" s="9" t="s">
        <v>11</v>
      </c>
      <c r="F360" s="9" t="s">
        <v>1435</v>
      </c>
      <c r="G360" s="9">
        <v>60</v>
      </c>
      <c r="H360" s="9">
        <v>4</v>
      </c>
      <c r="I360" s="9">
        <v>1.0149999999999999</v>
      </c>
      <c r="J360" s="9">
        <v>18</v>
      </c>
      <c r="K360" s="9" t="s">
        <v>442</v>
      </c>
      <c r="L360" s="9"/>
      <c r="M360" s="9"/>
      <c r="N360" s="9" t="str">
        <f ca="1">IFERROR(__xludf.DUMMYFUNCTION("IFERROR(VALUE(REGEXEXTRACT(TO_TEXT($F360), N$1 &amp; ""x(\d+)"")), """")
"),"")</f>
        <v/>
      </c>
      <c r="O360" s="9" t="str">
        <f ca="1">IFERROR(__xludf.DUMMYFUNCTION("IFERROR(VALUE(REGEXEXTRACT(TO_TEXT($F360), O$1 &amp; ""x(\d+)"")), """")"),"")</f>
        <v/>
      </c>
      <c r="P360" s="9" t="str">
        <f ca="1">IFERROR(__xludf.DUMMYFUNCTION("IFERROR(VALUE(REGEXEXTRACT(TO_TEXT($F360), P$1 &amp; ""x(\d+)"")), """")"),"")</f>
        <v/>
      </c>
      <c r="Q360" s="9" t="str">
        <f ca="1">IFERROR(__xludf.DUMMYFUNCTION("IFERROR(VALUE(REGEXEXTRACT(TO_TEXT($F360), Q$1 &amp; ""x(\d+)"")), """")"),"")</f>
        <v/>
      </c>
      <c r="R360" s="9" t="str">
        <f ca="1">IFERROR(__xludf.DUMMYFUNCTION("IFERROR(VALUE(REGEXEXTRACT(TO_TEXT($F360), R$1 &amp; ""x(\d+)"")), """")"),"")</f>
        <v/>
      </c>
      <c r="S360" s="9" t="str">
        <f ca="1">IFERROR(__xludf.DUMMYFUNCTION("IFERROR(VALUE(REGEXEXTRACT(TO_TEXT($F360), S$1 &amp; ""x(\d+)"")), """")"),"")</f>
        <v/>
      </c>
      <c r="T360" s="9" t="str">
        <f ca="1">IFERROR(__xludf.DUMMYFUNCTION("IFERROR(VALUE(REGEXEXTRACT(TO_TEXT($F360), T$1 &amp; ""x(\d+)"")), """")"),"")</f>
        <v/>
      </c>
      <c r="U360" s="9" t="str">
        <f ca="1">IFERROR(__xludf.DUMMYFUNCTION("IFERROR(VALUE(REGEXEXTRACT(TO_TEXT($F360), U$1 &amp; ""x(\d+)"")), """")"),"")</f>
        <v/>
      </c>
      <c r="V360" s="9" t="str">
        <f ca="1">IFERROR(__xludf.DUMMYFUNCTION("IFERROR(VALUE(REGEXEXTRACT(TO_TEXT($F360), V$1 &amp; ""x(\d+)"")), """")"),"")</f>
        <v/>
      </c>
      <c r="W360" s="9"/>
      <c r="X360" s="9"/>
      <c r="Y360" s="9"/>
      <c r="Z360" s="9"/>
    </row>
    <row r="361" spans="1:26" ht="15.75" customHeight="1">
      <c r="A361" s="9" t="s">
        <v>272</v>
      </c>
      <c r="B361" s="9" t="s">
        <v>1437</v>
      </c>
      <c r="C361" s="9" t="s">
        <v>273</v>
      </c>
      <c r="D361" s="9" t="s">
        <v>33</v>
      </c>
      <c r="E361" s="9" t="s">
        <v>12</v>
      </c>
      <c r="F361" s="9" t="s">
        <v>1435</v>
      </c>
      <c r="G361" s="9">
        <v>60</v>
      </c>
      <c r="H361" s="9">
        <v>4</v>
      </c>
      <c r="I361" s="9">
        <v>1.0149999999999999</v>
      </c>
      <c r="J361" s="9">
        <v>18</v>
      </c>
      <c r="K361" s="9" t="s">
        <v>442</v>
      </c>
      <c r="L361" s="9"/>
      <c r="M361" s="9"/>
      <c r="N361" s="9" t="str">
        <f ca="1">IFERROR(__xludf.DUMMYFUNCTION("IFERROR(VALUE(REGEXEXTRACT(TO_TEXT($F361), N$1 &amp; ""x(\d+)"")), """")
"),"")</f>
        <v/>
      </c>
      <c r="O361" s="9" t="str">
        <f ca="1">IFERROR(__xludf.DUMMYFUNCTION("IFERROR(VALUE(REGEXEXTRACT(TO_TEXT($F361), O$1 &amp; ""x(\d+)"")), """")"),"")</f>
        <v/>
      </c>
      <c r="P361" s="9" t="str">
        <f ca="1">IFERROR(__xludf.DUMMYFUNCTION("IFERROR(VALUE(REGEXEXTRACT(TO_TEXT($F361), P$1 &amp; ""x(\d+)"")), """")"),"")</f>
        <v/>
      </c>
      <c r="Q361" s="9" t="str">
        <f ca="1">IFERROR(__xludf.DUMMYFUNCTION("IFERROR(VALUE(REGEXEXTRACT(TO_TEXT($F361), Q$1 &amp; ""x(\d+)"")), """")"),"")</f>
        <v/>
      </c>
      <c r="R361" s="9" t="str">
        <f ca="1">IFERROR(__xludf.DUMMYFUNCTION("IFERROR(VALUE(REGEXEXTRACT(TO_TEXT($F361), R$1 &amp; ""x(\d+)"")), """")"),"")</f>
        <v/>
      </c>
      <c r="S361" s="9" t="str">
        <f ca="1">IFERROR(__xludf.DUMMYFUNCTION("IFERROR(VALUE(REGEXEXTRACT(TO_TEXT($F361), S$1 &amp; ""x(\d+)"")), """")"),"")</f>
        <v/>
      </c>
      <c r="T361" s="9" t="str">
        <f ca="1">IFERROR(__xludf.DUMMYFUNCTION("IFERROR(VALUE(REGEXEXTRACT(TO_TEXT($F361), T$1 &amp; ""x(\d+)"")), """")"),"")</f>
        <v/>
      </c>
      <c r="U361" s="9" t="str">
        <f ca="1">IFERROR(__xludf.DUMMYFUNCTION("IFERROR(VALUE(REGEXEXTRACT(TO_TEXT($F361), U$1 &amp; ""x(\d+)"")), """")"),"")</f>
        <v/>
      </c>
      <c r="V361" s="9" t="str">
        <f ca="1">IFERROR(__xludf.DUMMYFUNCTION("IFERROR(VALUE(REGEXEXTRACT(TO_TEXT($F361), V$1 &amp; ""x(\d+)"")), """")"),"")</f>
        <v/>
      </c>
      <c r="W361" s="9"/>
      <c r="X361" s="9"/>
      <c r="Y361" s="9"/>
      <c r="Z361" s="9"/>
    </row>
    <row r="362" spans="1:26" ht="15.75" customHeight="1">
      <c r="A362" s="9" t="s">
        <v>272</v>
      </c>
      <c r="B362" s="9" t="s">
        <v>1437</v>
      </c>
      <c r="C362" s="9" t="s">
        <v>273</v>
      </c>
      <c r="D362" s="9" t="s">
        <v>33</v>
      </c>
      <c r="E362" s="9" t="s">
        <v>13</v>
      </c>
      <c r="F362" s="9" t="s">
        <v>1436</v>
      </c>
      <c r="G362" s="9">
        <v>20</v>
      </c>
      <c r="H362" s="9">
        <v>4</v>
      </c>
      <c r="I362" s="9">
        <v>1.0149999999999999</v>
      </c>
      <c r="J362" s="9">
        <v>18</v>
      </c>
      <c r="K362" s="9" t="s">
        <v>442</v>
      </c>
      <c r="L362" s="9"/>
      <c r="M362" s="9"/>
      <c r="N362" s="9" t="str">
        <f ca="1">IFERROR(__xludf.DUMMYFUNCTION("IFERROR(VALUE(REGEXEXTRACT(TO_TEXT($F362), N$1 &amp; ""x(\d+)"")), """")
"),"")</f>
        <v/>
      </c>
      <c r="O362" s="9" t="str">
        <f ca="1">IFERROR(__xludf.DUMMYFUNCTION("IFERROR(VALUE(REGEXEXTRACT(TO_TEXT($F362), O$1 &amp; ""x(\d+)"")), """")"),"")</f>
        <v/>
      </c>
      <c r="P362" s="9" t="str">
        <f ca="1">IFERROR(__xludf.DUMMYFUNCTION("IFERROR(VALUE(REGEXEXTRACT(TO_TEXT($F362), P$1 &amp; ""x(\d+)"")), """")"),"")</f>
        <v/>
      </c>
      <c r="Q362" s="9" t="str">
        <f ca="1">IFERROR(__xludf.DUMMYFUNCTION("IFERROR(VALUE(REGEXEXTRACT(TO_TEXT($F362), Q$1 &amp; ""x(\d+)"")), """")"),"")</f>
        <v/>
      </c>
      <c r="R362" s="9" t="str">
        <f ca="1">IFERROR(__xludf.DUMMYFUNCTION("IFERROR(VALUE(REGEXEXTRACT(TO_TEXT($F362), R$1 &amp; ""x(\d+)"")), """")"),"")</f>
        <v/>
      </c>
      <c r="S362" s="9" t="str">
        <f ca="1">IFERROR(__xludf.DUMMYFUNCTION("IFERROR(VALUE(REGEXEXTRACT(TO_TEXT($F362), S$1 &amp; ""x(\d+)"")), """")"),"")</f>
        <v/>
      </c>
      <c r="T362" s="9" t="str">
        <f ca="1">IFERROR(__xludf.DUMMYFUNCTION("IFERROR(VALUE(REGEXEXTRACT(TO_TEXT($F362), T$1 &amp; ""x(\d+)"")), """")"),"")</f>
        <v/>
      </c>
      <c r="U362" s="9" t="str">
        <f ca="1">IFERROR(__xludf.DUMMYFUNCTION("IFERROR(VALUE(REGEXEXTRACT(TO_TEXT($F362), U$1 &amp; ""x(\d+)"")), """")"),"")</f>
        <v/>
      </c>
      <c r="V362" s="9" t="str">
        <f ca="1">IFERROR(__xludf.DUMMYFUNCTION("IFERROR(VALUE(REGEXEXTRACT(TO_TEXT($F362), V$1 &amp; ""x(\d+)"")), """")"),"")</f>
        <v/>
      </c>
      <c r="W362" s="9"/>
      <c r="X362" s="9"/>
      <c r="Y362" s="9"/>
      <c r="Z362" s="9"/>
    </row>
    <row r="363" spans="1:26" ht="15.75" customHeight="1">
      <c r="A363" s="9" t="s">
        <v>1438</v>
      </c>
      <c r="B363" s="9" t="s">
        <v>1439</v>
      </c>
      <c r="C363" s="9" t="s">
        <v>1440</v>
      </c>
      <c r="D363" s="9" t="s">
        <v>33</v>
      </c>
      <c r="E363" s="9" t="s">
        <v>11</v>
      </c>
      <c r="F363" s="9" t="s">
        <v>1441</v>
      </c>
      <c r="G363" s="9">
        <v>50</v>
      </c>
      <c r="H363" s="9">
        <v>4</v>
      </c>
      <c r="I363" s="9">
        <v>1.0149999999999999</v>
      </c>
      <c r="J363" s="9">
        <v>100</v>
      </c>
      <c r="K363" s="9" t="s">
        <v>442</v>
      </c>
      <c r="L363" s="9"/>
      <c r="M363" s="9"/>
      <c r="N363" s="9" t="str">
        <f ca="1">IFERROR(__xludf.DUMMYFUNCTION("IFERROR(VALUE(REGEXEXTRACT(TO_TEXT($F363), N$1 &amp; ""x(\d+)"")), """")
"),"")</f>
        <v/>
      </c>
      <c r="O363" s="9" t="str">
        <f ca="1">IFERROR(__xludf.DUMMYFUNCTION("IFERROR(VALUE(REGEXEXTRACT(TO_TEXT($F363), O$1 &amp; ""x(\d+)"")), """")"),"")</f>
        <v/>
      </c>
      <c r="P363" s="9" t="str">
        <f ca="1">IFERROR(__xludf.DUMMYFUNCTION("IFERROR(VALUE(REGEXEXTRACT(TO_TEXT($F363), P$1 &amp; ""x(\d+)"")), """")"),"")</f>
        <v/>
      </c>
      <c r="Q363" s="9" t="str">
        <f ca="1">IFERROR(__xludf.DUMMYFUNCTION("IFERROR(VALUE(REGEXEXTRACT(TO_TEXT($F363), Q$1 &amp; ""x(\d+)"")), """")"),"")</f>
        <v/>
      </c>
      <c r="R363" s="9" t="str">
        <f ca="1">IFERROR(__xludf.DUMMYFUNCTION("IFERROR(VALUE(REGEXEXTRACT(TO_TEXT($F363), R$1 &amp; ""x(\d+)"")), """")"),"")</f>
        <v/>
      </c>
      <c r="S363" s="9" t="str">
        <f ca="1">IFERROR(__xludf.DUMMYFUNCTION("IFERROR(VALUE(REGEXEXTRACT(TO_TEXT($F363), S$1 &amp; ""x(\d+)"")), """")"),"")</f>
        <v/>
      </c>
      <c r="T363" s="9" t="str">
        <f ca="1">IFERROR(__xludf.DUMMYFUNCTION("IFERROR(VALUE(REGEXEXTRACT(TO_TEXT($F363), T$1 &amp; ""x(\d+)"")), """")"),"")</f>
        <v/>
      </c>
      <c r="U363" s="9" t="str">
        <f ca="1">IFERROR(__xludf.DUMMYFUNCTION("IFERROR(VALUE(REGEXEXTRACT(TO_TEXT($F363), U$1 &amp; ""x(\d+)"")), """")"),"")</f>
        <v/>
      </c>
      <c r="V363" s="9" t="str">
        <f ca="1">IFERROR(__xludf.DUMMYFUNCTION("IFERROR(VALUE(REGEXEXTRACT(TO_TEXT($F363), V$1 &amp; ""x(\d+)"")), """")"),"")</f>
        <v/>
      </c>
      <c r="W363" s="9"/>
      <c r="X363" s="9"/>
      <c r="Y363" s="9"/>
      <c r="Z363" s="9"/>
    </row>
    <row r="364" spans="1:26" ht="15.75" customHeight="1">
      <c r="A364" s="9" t="s">
        <v>1438</v>
      </c>
      <c r="B364" s="9" t="s">
        <v>1439</v>
      </c>
      <c r="C364" s="9" t="s">
        <v>1440</v>
      </c>
      <c r="D364" s="9" t="s">
        <v>33</v>
      </c>
      <c r="E364" s="9" t="s">
        <v>12</v>
      </c>
      <c r="F364" s="9" t="s">
        <v>1442</v>
      </c>
      <c r="G364" s="9">
        <v>60</v>
      </c>
      <c r="H364" s="9">
        <v>4</v>
      </c>
      <c r="I364" s="9">
        <v>1.0149999999999999</v>
      </c>
      <c r="J364" s="9">
        <v>100</v>
      </c>
      <c r="K364" s="9" t="s">
        <v>442</v>
      </c>
      <c r="L364" s="9"/>
      <c r="M364" s="9"/>
      <c r="N364" s="9" t="str">
        <f ca="1">IFERROR(__xludf.DUMMYFUNCTION("IFERROR(VALUE(REGEXEXTRACT(TO_TEXT($F364), N$1 &amp; ""x(\d+)"")), """")
"),"")</f>
        <v/>
      </c>
      <c r="O364" s="9" t="str">
        <f ca="1">IFERROR(__xludf.DUMMYFUNCTION("IFERROR(VALUE(REGEXEXTRACT(TO_TEXT($F364), O$1 &amp; ""x(\d+)"")), """")"),"")</f>
        <v/>
      </c>
      <c r="P364" s="9" t="str">
        <f ca="1">IFERROR(__xludf.DUMMYFUNCTION("IFERROR(VALUE(REGEXEXTRACT(TO_TEXT($F364), P$1 &amp; ""x(\d+)"")), """")"),"")</f>
        <v/>
      </c>
      <c r="Q364" s="9" t="str">
        <f ca="1">IFERROR(__xludf.DUMMYFUNCTION("IFERROR(VALUE(REGEXEXTRACT(TO_TEXT($F364), Q$1 &amp; ""x(\d+)"")), """")"),"")</f>
        <v/>
      </c>
      <c r="R364" s="9" t="str">
        <f ca="1">IFERROR(__xludf.DUMMYFUNCTION("IFERROR(VALUE(REGEXEXTRACT(TO_TEXT($F364), R$1 &amp; ""x(\d+)"")), """")"),"")</f>
        <v/>
      </c>
      <c r="S364" s="9" t="str">
        <f ca="1">IFERROR(__xludf.DUMMYFUNCTION("IFERROR(VALUE(REGEXEXTRACT(TO_TEXT($F364), S$1 &amp; ""x(\d+)"")), """")"),"")</f>
        <v/>
      </c>
      <c r="T364" s="9" t="str">
        <f ca="1">IFERROR(__xludf.DUMMYFUNCTION("IFERROR(VALUE(REGEXEXTRACT(TO_TEXT($F364), T$1 &amp; ""x(\d+)"")), """")"),"")</f>
        <v/>
      </c>
      <c r="U364" s="9" t="str">
        <f ca="1">IFERROR(__xludf.DUMMYFUNCTION("IFERROR(VALUE(REGEXEXTRACT(TO_TEXT($F364), U$1 &amp; ""x(\d+)"")), """")"),"")</f>
        <v/>
      </c>
      <c r="V364" s="9" t="str">
        <f ca="1">IFERROR(__xludf.DUMMYFUNCTION("IFERROR(VALUE(REGEXEXTRACT(TO_TEXT($F364), V$1 &amp; ""x(\d+)"")), """")"),"")</f>
        <v/>
      </c>
      <c r="W364" s="9"/>
      <c r="X364" s="9"/>
      <c r="Y364" s="9"/>
      <c r="Z364" s="9"/>
    </row>
    <row r="365" spans="1:26" ht="15.75" customHeight="1">
      <c r="A365" s="9" t="s">
        <v>1438</v>
      </c>
      <c r="B365" s="9" t="s">
        <v>1439</v>
      </c>
      <c r="C365" s="9" t="s">
        <v>1440</v>
      </c>
      <c r="D365" s="9" t="s">
        <v>33</v>
      </c>
      <c r="E365" s="9" t="s">
        <v>13</v>
      </c>
      <c r="F365" s="9" t="s">
        <v>1443</v>
      </c>
      <c r="G365" s="9">
        <v>20</v>
      </c>
      <c r="H365" s="9">
        <v>4</v>
      </c>
      <c r="I365" s="9">
        <v>1.0149999999999999</v>
      </c>
      <c r="J365" s="9">
        <v>100</v>
      </c>
      <c r="K365" s="9" t="s">
        <v>442</v>
      </c>
      <c r="L365" s="9"/>
      <c r="M365" s="9"/>
      <c r="N365" s="9" t="str">
        <f ca="1">IFERROR(__xludf.DUMMYFUNCTION("IFERROR(VALUE(REGEXEXTRACT(TO_TEXT($F365), N$1 &amp; ""x(\d+)"")), """")
"),"")</f>
        <v/>
      </c>
      <c r="O365" s="9" t="str">
        <f ca="1">IFERROR(__xludf.DUMMYFUNCTION("IFERROR(VALUE(REGEXEXTRACT(TO_TEXT($F365), O$1 &amp; ""x(\d+)"")), """")"),"")</f>
        <v/>
      </c>
      <c r="P365" s="9" t="str">
        <f ca="1">IFERROR(__xludf.DUMMYFUNCTION("IFERROR(VALUE(REGEXEXTRACT(TO_TEXT($F365), P$1 &amp; ""x(\d+)"")), """")"),"")</f>
        <v/>
      </c>
      <c r="Q365" s="9" t="str">
        <f ca="1">IFERROR(__xludf.DUMMYFUNCTION("IFERROR(VALUE(REGEXEXTRACT(TO_TEXT($F365), Q$1 &amp; ""x(\d+)"")), """")"),"")</f>
        <v/>
      </c>
      <c r="R365" s="9" t="str">
        <f ca="1">IFERROR(__xludf.DUMMYFUNCTION("IFERROR(VALUE(REGEXEXTRACT(TO_TEXT($F365), R$1 &amp; ""x(\d+)"")), """")"),"")</f>
        <v/>
      </c>
      <c r="S365" s="9" t="str">
        <f ca="1">IFERROR(__xludf.DUMMYFUNCTION("IFERROR(VALUE(REGEXEXTRACT(TO_TEXT($F365), S$1 &amp; ""x(\d+)"")), """")"),"")</f>
        <v/>
      </c>
      <c r="T365" s="9" t="str">
        <f ca="1">IFERROR(__xludf.DUMMYFUNCTION("IFERROR(VALUE(REGEXEXTRACT(TO_TEXT($F365), T$1 &amp; ""x(\d+)"")), """")"),"")</f>
        <v/>
      </c>
      <c r="U365" s="9" t="str">
        <f ca="1">IFERROR(__xludf.DUMMYFUNCTION("IFERROR(VALUE(REGEXEXTRACT(TO_TEXT($F365), U$1 &amp; ""x(\d+)"")), """")"),"")</f>
        <v/>
      </c>
      <c r="V365" s="9" t="str">
        <f ca="1">IFERROR(__xludf.DUMMYFUNCTION("IFERROR(VALUE(REGEXEXTRACT(TO_TEXT($F365), V$1 &amp; ""x(\d+)"")), """")"),"")</f>
        <v/>
      </c>
      <c r="W365" s="9"/>
      <c r="X365" s="9"/>
      <c r="Y365" s="9"/>
      <c r="Z365" s="9"/>
    </row>
    <row r="366" spans="1:26" ht="15.75" customHeight="1">
      <c r="A366" s="9" t="s">
        <v>1444</v>
      </c>
      <c r="B366" s="9" t="s">
        <v>1445</v>
      </c>
      <c r="C366" s="9" t="s">
        <v>1446</v>
      </c>
      <c r="D366" s="9" t="s">
        <v>33</v>
      </c>
      <c r="E366" s="9" t="s">
        <v>11</v>
      </c>
      <c r="F366" s="9" t="s">
        <v>1447</v>
      </c>
      <c r="G366" s="9">
        <v>85</v>
      </c>
      <c r="H366" s="9">
        <v>4</v>
      </c>
      <c r="I366" s="9">
        <v>1.0149999999999999</v>
      </c>
      <c r="J366" s="9">
        <v>100</v>
      </c>
      <c r="K366" s="9" t="s">
        <v>442</v>
      </c>
      <c r="L366" s="9"/>
      <c r="M366" s="9"/>
      <c r="N366" s="9" t="str">
        <f ca="1">IFERROR(__xludf.DUMMYFUNCTION("IFERROR(VALUE(REGEXEXTRACT(TO_TEXT($F366), N$1 &amp; ""x(\d+)"")), """")
"),"")</f>
        <v/>
      </c>
      <c r="O366" s="9" t="str">
        <f ca="1">IFERROR(__xludf.DUMMYFUNCTION("IFERROR(VALUE(REGEXEXTRACT(TO_TEXT($F366), O$1 &amp; ""x(\d+)"")), """")"),"")</f>
        <v/>
      </c>
      <c r="P366" s="9" t="str">
        <f ca="1">IFERROR(__xludf.DUMMYFUNCTION("IFERROR(VALUE(REGEXEXTRACT(TO_TEXT($F366), P$1 &amp; ""x(\d+)"")), """")"),"")</f>
        <v/>
      </c>
      <c r="Q366" s="9" t="str">
        <f ca="1">IFERROR(__xludf.DUMMYFUNCTION("IFERROR(VALUE(REGEXEXTRACT(TO_TEXT($F366), Q$1 &amp; ""x(\d+)"")), """")"),"")</f>
        <v/>
      </c>
      <c r="R366" s="9" t="str">
        <f ca="1">IFERROR(__xludf.DUMMYFUNCTION("IFERROR(VALUE(REGEXEXTRACT(TO_TEXT($F366), R$1 &amp; ""x(\d+)"")), """")"),"")</f>
        <v/>
      </c>
      <c r="S366" s="9" t="str">
        <f ca="1">IFERROR(__xludf.DUMMYFUNCTION("IFERROR(VALUE(REGEXEXTRACT(TO_TEXT($F366), S$1 &amp; ""x(\d+)"")), """")"),"")</f>
        <v/>
      </c>
      <c r="T366" s="9" t="str">
        <f ca="1">IFERROR(__xludf.DUMMYFUNCTION("IFERROR(VALUE(REGEXEXTRACT(TO_TEXT($F366), T$1 &amp; ""x(\d+)"")), """")"),"")</f>
        <v/>
      </c>
      <c r="U366" s="9" t="str">
        <f ca="1">IFERROR(__xludf.DUMMYFUNCTION("IFERROR(VALUE(REGEXEXTRACT(TO_TEXT($F366), U$1 &amp; ""x(\d+)"")), """")"),"")</f>
        <v/>
      </c>
      <c r="V366" s="9" t="str">
        <f ca="1">IFERROR(__xludf.DUMMYFUNCTION("IFERROR(VALUE(REGEXEXTRACT(TO_TEXT($F366), V$1 &amp; ""x(\d+)"")), """")"),"")</f>
        <v/>
      </c>
      <c r="W366" s="9"/>
      <c r="X366" s="9"/>
      <c r="Y366" s="9"/>
      <c r="Z366" s="9"/>
    </row>
    <row r="367" spans="1:26" ht="15.75" customHeight="1">
      <c r="A367" s="9" t="s">
        <v>1444</v>
      </c>
      <c r="B367" s="9" t="s">
        <v>1445</v>
      </c>
      <c r="C367" s="9" t="s">
        <v>1446</v>
      </c>
      <c r="D367" s="9" t="s">
        <v>33</v>
      </c>
      <c r="E367" s="9" t="s">
        <v>12</v>
      </c>
      <c r="F367" s="9" t="s">
        <v>1448</v>
      </c>
      <c r="G367" s="9">
        <v>90</v>
      </c>
      <c r="H367" s="9">
        <v>4</v>
      </c>
      <c r="I367" s="9">
        <v>1.0149999999999999</v>
      </c>
      <c r="J367" s="9">
        <v>100</v>
      </c>
      <c r="K367" s="9" t="s">
        <v>442</v>
      </c>
      <c r="L367" s="9"/>
      <c r="M367" s="9"/>
      <c r="N367" s="9" t="str">
        <f ca="1">IFERROR(__xludf.DUMMYFUNCTION("IFERROR(VALUE(REGEXEXTRACT(TO_TEXT($F367), N$1 &amp; ""x(\d+)"")), """")
"),"")</f>
        <v/>
      </c>
      <c r="O367" s="9" t="str">
        <f ca="1">IFERROR(__xludf.DUMMYFUNCTION("IFERROR(VALUE(REGEXEXTRACT(TO_TEXT($F367), O$1 &amp; ""x(\d+)"")), """")"),"")</f>
        <v/>
      </c>
      <c r="P367" s="9" t="str">
        <f ca="1">IFERROR(__xludf.DUMMYFUNCTION("IFERROR(VALUE(REGEXEXTRACT(TO_TEXT($F367), P$1 &amp; ""x(\d+)"")), """")"),"")</f>
        <v/>
      </c>
      <c r="Q367" s="9" t="str">
        <f ca="1">IFERROR(__xludf.DUMMYFUNCTION("IFERROR(VALUE(REGEXEXTRACT(TO_TEXT($F367), Q$1 &amp; ""x(\d+)"")), """")"),"")</f>
        <v/>
      </c>
      <c r="R367" s="9" t="str">
        <f ca="1">IFERROR(__xludf.DUMMYFUNCTION("IFERROR(VALUE(REGEXEXTRACT(TO_TEXT($F367), R$1 &amp; ""x(\d+)"")), """")"),"")</f>
        <v/>
      </c>
      <c r="S367" s="9" t="str">
        <f ca="1">IFERROR(__xludf.DUMMYFUNCTION("IFERROR(VALUE(REGEXEXTRACT(TO_TEXT($F367), S$1 &amp; ""x(\d+)"")), """")"),"")</f>
        <v/>
      </c>
      <c r="T367" s="9" t="str">
        <f ca="1">IFERROR(__xludf.DUMMYFUNCTION("IFERROR(VALUE(REGEXEXTRACT(TO_TEXT($F367), T$1 &amp; ""x(\d+)"")), """")"),"")</f>
        <v/>
      </c>
      <c r="U367" s="9" t="str">
        <f ca="1">IFERROR(__xludf.DUMMYFUNCTION("IFERROR(VALUE(REGEXEXTRACT(TO_TEXT($F367), U$1 &amp; ""x(\d+)"")), """")"),"")</f>
        <v/>
      </c>
      <c r="V367" s="9" t="str">
        <f ca="1">IFERROR(__xludf.DUMMYFUNCTION("IFERROR(VALUE(REGEXEXTRACT(TO_TEXT($F367), V$1 &amp; ""x(\d+)"")), """")"),"")</f>
        <v/>
      </c>
      <c r="W367" s="9"/>
      <c r="X367" s="9"/>
      <c r="Y367" s="9"/>
      <c r="Z367" s="9"/>
    </row>
    <row r="368" spans="1:26" ht="15.75" hidden="1" customHeight="1">
      <c r="A368" s="9" t="s">
        <v>1449</v>
      </c>
      <c r="B368" s="9" t="s">
        <v>1450</v>
      </c>
      <c r="C368" s="9" t="s">
        <v>976</v>
      </c>
      <c r="D368" s="9" t="s">
        <v>48</v>
      </c>
      <c r="E368" s="9" t="s">
        <v>11</v>
      </c>
      <c r="F368" s="9" t="s">
        <v>1451</v>
      </c>
      <c r="G368" s="9">
        <v>60</v>
      </c>
      <c r="H368" s="9">
        <v>3</v>
      </c>
      <c r="I368" s="9">
        <v>1.0149999999999999</v>
      </c>
      <c r="J368" s="9">
        <v>51.5</v>
      </c>
      <c r="K368" s="9" t="s">
        <v>424</v>
      </c>
      <c r="L368" s="9"/>
      <c r="M368" s="9"/>
      <c r="N368" s="9">
        <f ca="1">IFERROR(__xludf.DUMMYFUNCTION("IFERROR(VALUE(REGEXEXTRACT(TO_TEXT($F368), N$1 &amp; ""x(\d+)"")), """")
"),1)</f>
        <v>1</v>
      </c>
      <c r="O368" s="9">
        <f ca="1">IFERROR(__xludf.DUMMYFUNCTION("IFERROR(VALUE(REGEXEXTRACT(TO_TEXT($F368), O$1 &amp; ""x(\d+)"")), """")"),1)</f>
        <v>1</v>
      </c>
      <c r="P368" s="9" t="str">
        <f ca="1">IFERROR(__xludf.DUMMYFUNCTION("IFERROR(VALUE(REGEXEXTRACT(TO_TEXT($F368), P$1 &amp; ""x(\d+)"")), """")"),"")</f>
        <v/>
      </c>
      <c r="Q368" s="9" t="str">
        <f ca="1">IFERROR(__xludf.DUMMYFUNCTION("IFERROR(VALUE(REGEXEXTRACT(TO_TEXT($F368), Q$1 &amp; ""x(\d+)"")), """")"),"")</f>
        <v/>
      </c>
      <c r="R368" s="9" t="str">
        <f ca="1">IFERROR(__xludf.DUMMYFUNCTION("IFERROR(VALUE(REGEXEXTRACT(TO_TEXT($F368), R$1 &amp; ""x(\d+)"")), """")"),"")</f>
        <v/>
      </c>
      <c r="S368" s="9" t="str">
        <f ca="1">IFERROR(__xludf.DUMMYFUNCTION("IFERROR(VALUE(REGEXEXTRACT(TO_TEXT($F368), S$1 &amp; ""x(\d+)"")), """")"),"")</f>
        <v/>
      </c>
      <c r="T368" s="9" t="str">
        <f ca="1">IFERROR(__xludf.DUMMYFUNCTION("IFERROR(VALUE(REGEXEXTRACT(TO_TEXT($F368), T$1 &amp; ""x(\d+)"")), """")"),"")</f>
        <v/>
      </c>
      <c r="U368" s="9" t="str">
        <f ca="1">IFERROR(__xludf.DUMMYFUNCTION("IFERROR(VALUE(REGEXEXTRACT(TO_TEXT($F368), U$1 &amp; ""x(\d+)"")), """")"),"")</f>
        <v/>
      </c>
      <c r="V368" s="9" t="str">
        <f ca="1">IFERROR(__xludf.DUMMYFUNCTION("IFERROR(VALUE(REGEXEXTRACT(TO_TEXT($F368), V$1 &amp; ""x(\d+)"")), """")"),"")</f>
        <v/>
      </c>
      <c r="W368" s="9"/>
      <c r="X368" s="9"/>
      <c r="Y368" s="9"/>
      <c r="Z368" s="9"/>
    </row>
    <row r="369" spans="1:26" ht="15.75" hidden="1" customHeight="1">
      <c r="A369" s="9" t="s">
        <v>1449</v>
      </c>
      <c r="B369" s="9" t="s">
        <v>1450</v>
      </c>
      <c r="C369" s="9" t="s">
        <v>976</v>
      </c>
      <c r="D369" s="9" t="s">
        <v>48</v>
      </c>
      <c r="E369" s="9" t="s">
        <v>12</v>
      </c>
      <c r="F369" s="9" t="s">
        <v>1452</v>
      </c>
      <c r="G369" s="9">
        <v>125</v>
      </c>
      <c r="H369" s="9">
        <v>3</v>
      </c>
      <c r="I369" s="9">
        <v>1.0149999999999999</v>
      </c>
      <c r="J369" s="9">
        <v>51.5</v>
      </c>
      <c r="K369" s="9" t="s">
        <v>424</v>
      </c>
      <c r="L369" s="9" t="s">
        <v>1062</v>
      </c>
      <c r="M369" s="9"/>
      <c r="N369" s="9" t="str">
        <f ca="1">IFERROR(__xludf.DUMMYFUNCTION("IFERROR(VALUE(REGEXEXTRACT(TO_TEXT($F369), N$1 &amp; ""x(\d+)"")), """")
"),"")</f>
        <v/>
      </c>
      <c r="O369" s="9">
        <f ca="1">IFERROR(__xludf.DUMMYFUNCTION("IFERROR(VALUE(REGEXEXTRACT(TO_TEXT($F369), O$1 &amp; ""x(\d+)"")), """")"),1)</f>
        <v>1</v>
      </c>
      <c r="P369" s="9">
        <f ca="1">IFERROR(__xludf.DUMMYFUNCTION("IFERROR(VALUE(REGEXEXTRACT(TO_TEXT($F369), P$1 &amp; ""x(\d+)"")), """")"),1)</f>
        <v>1</v>
      </c>
      <c r="Q369" s="9" t="str">
        <f ca="1">IFERROR(__xludf.DUMMYFUNCTION("IFERROR(VALUE(REGEXEXTRACT(TO_TEXT($F369), Q$1 &amp; ""x(\d+)"")), """")"),"")</f>
        <v/>
      </c>
      <c r="R369" s="9" t="str">
        <f ca="1">IFERROR(__xludf.DUMMYFUNCTION("IFERROR(VALUE(REGEXEXTRACT(TO_TEXT($F369), R$1 &amp; ""x(\d+)"")), """")"),"")</f>
        <v/>
      </c>
      <c r="S369" s="9" t="str">
        <f ca="1">IFERROR(__xludf.DUMMYFUNCTION("IFERROR(VALUE(REGEXEXTRACT(TO_TEXT($F369), S$1 &amp; ""x(\d+)"")), """")"),"")</f>
        <v/>
      </c>
      <c r="T369" s="9" t="str">
        <f ca="1">IFERROR(__xludf.DUMMYFUNCTION("IFERROR(VALUE(REGEXEXTRACT(TO_TEXT($F369), T$1 &amp; ""x(\d+)"")), """")"),"")</f>
        <v/>
      </c>
      <c r="U369" s="9" t="str">
        <f ca="1">IFERROR(__xludf.DUMMYFUNCTION("IFERROR(VALUE(REGEXEXTRACT(TO_TEXT($F369), U$1 &amp; ""x(\d+)"")), """")"),"")</f>
        <v/>
      </c>
      <c r="V369" s="9" t="str">
        <f ca="1">IFERROR(__xludf.DUMMYFUNCTION("IFERROR(VALUE(REGEXEXTRACT(TO_TEXT($F369), V$1 &amp; ""x(\d+)"")), """")"),"")</f>
        <v/>
      </c>
      <c r="W369" s="9"/>
      <c r="X369" s="9"/>
      <c r="Y369" s="9"/>
      <c r="Z369" s="9"/>
    </row>
    <row r="370" spans="1:26" ht="15.75" hidden="1" customHeight="1">
      <c r="A370" s="9" t="s">
        <v>1449</v>
      </c>
      <c r="B370" s="9" t="s">
        <v>1450</v>
      </c>
      <c r="C370" s="9" t="s">
        <v>976</v>
      </c>
      <c r="D370" s="9" t="s">
        <v>48</v>
      </c>
      <c r="E370" s="9" t="s">
        <v>13</v>
      </c>
      <c r="F370" s="9" t="s">
        <v>1063</v>
      </c>
      <c r="G370" s="9">
        <v>90</v>
      </c>
      <c r="H370" s="9">
        <v>3</v>
      </c>
      <c r="I370" s="9">
        <v>1.0149999999999999</v>
      </c>
      <c r="J370" s="9">
        <v>51.5</v>
      </c>
      <c r="K370" s="9" t="s">
        <v>424</v>
      </c>
      <c r="L370" s="9"/>
      <c r="M370" s="9"/>
      <c r="N370" s="9" t="str">
        <f ca="1">IFERROR(__xludf.DUMMYFUNCTION("IFERROR(VALUE(REGEXEXTRACT(TO_TEXT($F370), N$1 &amp; ""x(\d+)"")), """")
"),"")</f>
        <v/>
      </c>
      <c r="O370" s="9">
        <f ca="1">IFERROR(__xludf.DUMMYFUNCTION("IFERROR(VALUE(REGEXEXTRACT(TO_TEXT($F370), O$1 &amp; ""x(\d+)"")), """")"),1)</f>
        <v>1</v>
      </c>
      <c r="P370" s="9">
        <f ca="1">IFERROR(__xludf.DUMMYFUNCTION("IFERROR(VALUE(REGEXEXTRACT(TO_TEXT($F370), P$1 &amp; ""x(\d+)"")), """")"),1)</f>
        <v>1</v>
      </c>
      <c r="Q370" s="9" t="str">
        <f ca="1">IFERROR(__xludf.DUMMYFUNCTION("IFERROR(VALUE(REGEXEXTRACT(TO_TEXT($F370), Q$1 &amp; ""x(\d+)"")), """")"),"")</f>
        <v/>
      </c>
      <c r="R370" s="9" t="str">
        <f ca="1">IFERROR(__xludf.DUMMYFUNCTION("IFERROR(VALUE(REGEXEXTRACT(TO_TEXT($F370), R$1 &amp; ""x(\d+)"")), """")"),"")</f>
        <v/>
      </c>
      <c r="S370" s="9" t="str">
        <f ca="1">IFERROR(__xludf.DUMMYFUNCTION("IFERROR(VALUE(REGEXEXTRACT(TO_TEXT($F370), S$1 &amp; ""x(\d+)"")), """")"),"")</f>
        <v/>
      </c>
      <c r="T370" s="9" t="str">
        <f ca="1">IFERROR(__xludf.DUMMYFUNCTION("IFERROR(VALUE(REGEXEXTRACT(TO_TEXT($F370), T$1 &amp; ""x(\d+)"")), """")"),"")</f>
        <v/>
      </c>
      <c r="U370" s="9" t="str">
        <f ca="1">IFERROR(__xludf.DUMMYFUNCTION("IFERROR(VALUE(REGEXEXTRACT(TO_TEXT($F370), U$1 &amp; ""x(\d+)"")), """")"),"")</f>
        <v/>
      </c>
      <c r="V370" s="9" t="str">
        <f ca="1">IFERROR(__xludf.DUMMYFUNCTION("IFERROR(VALUE(REGEXEXTRACT(TO_TEXT($F370), V$1 &amp; ""x(\d+)"")), """")"),"")</f>
        <v/>
      </c>
      <c r="W370" s="9"/>
      <c r="X370" s="9"/>
      <c r="Y370" s="9"/>
      <c r="Z370" s="9"/>
    </row>
    <row r="371" spans="1:26" ht="15.75" hidden="1" customHeight="1">
      <c r="A371" s="9" t="s">
        <v>1453</v>
      </c>
      <c r="B371" s="9" t="s">
        <v>1454</v>
      </c>
      <c r="C371" s="9" t="s">
        <v>978</v>
      </c>
      <c r="D371" s="9" t="s">
        <v>48</v>
      </c>
      <c r="E371" s="9" t="s">
        <v>11</v>
      </c>
      <c r="F371" s="9" t="s">
        <v>1455</v>
      </c>
      <c r="G371" s="9">
        <v>70</v>
      </c>
      <c r="H371" s="9">
        <v>3</v>
      </c>
      <c r="I371" s="9">
        <v>1.0149999999999999</v>
      </c>
      <c r="J371" s="9">
        <v>51.5</v>
      </c>
      <c r="K371" s="9" t="s">
        <v>424</v>
      </c>
      <c r="L371" s="9"/>
      <c r="M371" s="9"/>
      <c r="N371" s="9">
        <f ca="1">IFERROR(__xludf.DUMMYFUNCTION("IFERROR(VALUE(REGEXEXTRACT(TO_TEXT($F371), N$1 &amp; ""x(\d+)"")), """")
"),1)</f>
        <v>1</v>
      </c>
      <c r="O371" s="9">
        <f ca="1">IFERROR(__xludf.DUMMYFUNCTION("IFERROR(VALUE(REGEXEXTRACT(TO_TEXT($F371), O$1 &amp; ""x(\d+)"")), """")"),1)</f>
        <v>1</v>
      </c>
      <c r="P371" s="9" t="str">
        <f ca="1">IFERROR(__xludf.DUMMYFUNCTION("IFERROR(VALUE(REGEXEXTRACT(TO_TEXT($F371), P$1 &amp; ""x(\d+)"")), """")"),"")</f>
        <v/>
      </c>
      <c r="Q371" s="9" t="str">
        <f ca="1">IFERROR(__xludf.DUMMYFUNCTION("IFERROR(VALUE(REGEXEXTRACT(TO_TEXT($F371), Q$1 &amp; ""x(\d+)"")), """")"),"")</f>
        <v/>
      </c>
      <c r="R371" s="9" t="str">
        <f ca="1">IFERROR(__xludf.DUMMYFUNCTION("IFERROR(VALUE(REGEXEXTRACT(TO_TEXT($F371), R$1 &amp; ""x(\d+)"")), """")"),"")</f>
        <v/>
      </c>
      <c r="S371" s="9" t="str">
        <f ca="1">IFERROR(__xludf.DUMMYFUNCTION("IFERROR(VALUE(REGEXEXTRACT(TO_TEXT($F371), S$1 &amp; ""x(\d+)"")), """")"),"")</f>
        <v/>
      </c>
      <c r="T371" s="9" t="str">
        <f ca="1">IFERROR(__xludf.DUMMYFUNCTION("IFERROR(VALUE(REGEXEXTRACT(TO_TEXT($F371), T$1 &amp; ""x(\d+)"")), """")"),"")</f>
        <v/>
      </c>
      <c r="U371" s="9" t="str">
        <f ca="1">IFERROR(__xludf.DUMMYFUNCTION("IFERROR(VALUE(REGEXEXTRACT(TO_TEXT($F371), U$1 &amp; ""x(\d+)"")), """")"),"")</f>
        <v/>
      </c>
      <c r="V371" s="9">
        <f ca="1">IFERROR(__xludf.DUMMYFUNCTION("IFERROR(VALUE(REGEXEXTRACT(TO_TEXT($F371), V$1 &amp; ""x(\d+)"")), """")"),1)</f>
        <v>1</v>
      </c>
      <c r="W371" s="9"/>
      <c r="X371" s="9"/>
      <c r="Y371" s="9"/>
      <c r="Z371" s="9"/>
    </row>
    <row r="372" spans="1:26" ht="15.75" hidden="1" customHeight="1">
      <c r="A372" s="9" t="s">
        <v>1453</v>
      </c>
      <c r="B372" s="9" t="s">
        <v>1454</v>
      </c>
      <c r="C372" s="9" t="s">
        <v>978</v>
      </c>
      <c r="D372" s="9" t="s">
        <v>48</v>
      </c>
      <c r="E372" s="9" t="s">
        <v>12</v>
      </c>
      <c r="F372" s="9" t="s">
        <v>1456</v>
      </c>
      <c r="G372" s="9">
        <v>150</v>
      </c>
      <c r="H372" s="9">
        <v>3</v>
      </c>
      <c r="I372" s="9">
        <v>1.0149999999999999</v>
      </c>
      <c r="J372" s="9">
        <v>51.5</v>
      </c>
      <c r="K372" s="9" t="s">
        <v>424</v>
      </c>
      <c r="L372" s="9" t="s">
        <v>1062</v>
      </c>
      <c r="M372" s="9"/>
      <c r="N372" s="9" t="str">
        <f ca="1">IFERROR(__xludf.DUMMYFUNCTION("IFERROR(VALUE(REGEXEXTRACT(TO_TEXT($F372), N$1 &amp; ""x(\d+)"")), """")
"),"")</f>
        <v/>
      </c>
      <c r="O372" s="9">
        <f ca="1">IFERROR(__xludf.DUMMYFUNCTION("IFERROR(VALUE(REGEXEXTRACT(TO_TEXT($F372), O$1 &amp; ""x(\d+)"")), """")"),1)</f>
        <v>1</v>
      </c>
      <c r="P372" s="9">
        <f ca="1">IFERROR(__xludf.DUMMYFUNCTION("IFERROR(VALUE(REGEXEXTRACT(TO_TEXT($F372), P$1 &amp; ""x(\d+)"")), """")"),1)</f>
        <v>1</v>
      </c>
      <c r="Q372" s="9" t="str">
        <f ca="1">IFERROR(__xludf.DUMMYFUNCTION("IFERROR(VALUE(REGEXEXTRACT(TO_TEXT($F372), Q$1 &amp; ""x(\d+)"")), """")"),"")</f>
        <v/>
      </c>
      <c r="R372" s="9" t="str">
        <f ca="1">IFERROR(__xludf.DUMMYFUNCTION("IFERROR(VALUE(REGEXEXTRACT(TO_TEXT($F372), R$1 &amp; ""x(\d+)"")), """")"),"")</f>
        <v/>
      </c>
      <c r="S372" s="9" t="str">
        <f ca="1">IFERROR(__xludf.DUMMYFUNCTION("IFERROR(VALUE(REGEXEXTRACT(TO_TEXT($F372), S$1 &amp; ""x(\d+)"")), """")"),"")</f>
        <v/>
      </c>
      <c r="T372" s="9" t="str">
        <f ca="1">IFERROR(__xludf.DUMMYFUNCTION("IFERROR(VALUE(REGEXEXTRACT(TO_TEXT($F372), T$1 &amp; ""x(\d+)"")), """")"),"")</f>
        <v/>
      </c>
      <c r="U372" s="9" t="str">
        <f ca="1">IFERROR(__xludf.DUMMYFUNCTION("IFERROR(VALUE(REGEXEXTRACT(TO_TEXT($F372), U$1 &amp; ""x(\d+)"")), """")"),"")</f>
        <v/>
      </c>
      <c r="V372" s="9" t="str">
        <f ca="1">IFERROR(__xludf.DUMMYFUNCTION("IFERROR(VALUE(REGEXEXTRACT(TO_TEXT($F372), V$1 &amp; ""x(\d+)"")), """")"),"")</f>
        <v/>
      </c>
      <c r="W372" s="9"/>
      <c r="X372" s="9"/>
      <c r="Y372" s="9"/>
      <c r="Z372" s="9"/>
    </row>
    <row r="373" spans="1:26" ht="15.75" hidden="1" customHeight="1">
      <c r="A373" s="9" t="s">
        <v>1453</v>
      </c>
      <c r="B373" s="9" t="s">
        <v>1454</v>
      </c>
      <c r="C373" s="9" t="s">
        <v>978</v>
      </c>
      <c r="D373" s="9" t="s">
        <v>48</v>
      </c>
      <c r="E373" s="9" t="s">
        <v>13</v>
      </c>
      <c r="F373" s="9" t="s">
        <v>1063</v>
      </c>
      <c r="G373" s="9">
        <v>90</v>
      </c>
      <c r="H373" s="9">
        <v>3</v>
      </c>
      <c r="I373" s="9">
        <v>1.0149999999999999</v>
      </c>
      <c r="J373" s="9">
        <v>51.5</v>
      </c>
      <c r="K373" s="9" t="s">
        <v>424</v>
      </c>
      <c r="L373" s="9"/>
      <c r="M373" s="9"/>
      <c r="N373" s="9" t="str">
        <f ca="1">IFERROR(__xludf.DUMMYFUNCTION("IFERROR(VALUE(REGEXEXTRACT(TO_TEXT($F373), N$1 &amp; ""x(\d+)"")), """")
"),"")</f>
        <v/>
      </c>
      <c r="O373" s="9">
        <f ca="1">IFERROR(__xludf.DUMMYFUNCTION("IFERROR(VALUE(REGEXEXTRACT(TO_TEXT($F373), O$1 &amp; ""x(\d+)"")), """")"),1)</f>
        <v>1</v>
      </c>
      <c r="P373" s="9">
        <f ca="1">IFERROR(__xludf.DUMMYFUNCTION("IFERROR(VALUE(REGEXEXTRACT(TO_TEXT($F373), P$1 &amp; ""x(\d+)"")), """")"),1)</f>
        <v>1</v>
      </c>
      <c r="Q373" s="9" t="str">
        <f ca="1">IFERROR(__xludf.DUMMYFUNCTION("IFERROR(VALUE(REGEXEXTRACT(TO_TEXT($F373), Q$1 &amp; ""x(\d+)"")), """")"),"")</f>
        <v/>
      </c>
      <c r="R373" s="9" t="str">
        <f ca="1">IFERROR(__xludf.DUMMYFUNCTION("IFERROR(VALUE(REGEXEXTRACT(TO_TEXT($F373), R$1 &amp; ""x(\d+)"")), """")"),"")</f>
        <v/>
      </c>
      <c r="S373" s="9" t="str">
        <f ca="1">IFERROR(__xludf.DUMMYFUNCTION("IFERROR(VALUE(REGEXEXTRACT(TO_TEXT($F373), S$1 &amp; ""x(\d+)"")), """")"),"")</f>
        <v/>
      </c>
      <c r="T373" s="9" t="str">
        <f ca="1">IFERROR(__xludf.DUMMYFUNCTION("IFERROR(VALUE(REGEXEXTRACT(TO_TEXT($F373), T$1 &amp; ""x(\d+)"")), """")"),"")</f>
        <v/>
      </c>
      <c r="U373" s="9" t="str">
        <f ca="1">IFERROR(__xludf.DUMMYFUNCTION("IFERROR(VALUE(REGEXEXTRACT(TO_TEXT($F373), U$1 &amp; ""x(\d+)"")), """")"),"")</f>
        <v/>
      </c>
      <c r="V373" s="9" t="str">
        <f ca="1">IFERROR(__xludf.DUMMYFUNCTION("IFERROR(VALUE(REGEXEXTRACT(TO_TEXT($F373), V$1 &amp; ""x(\d+)"")), """")"),"")</f>
        <v/>
      </c>
      <c r="W373" s="9"/>
      <c r="X373" s="9"/>
      <c r="Y373" s="9"/>
      <c r="Z373" s="9"/>
    </row>
    <row r="374" spans="1:26" ht="15.75" customHeight="1">
      <c r="A374" s="9" t="s">
        <v>1457</v>
      </c>
      <c r="B374" s="9" t="s">
        <v>1458</v>
      </c>
      <c r="C374" s="9" t="s">
        <v>829</v>
      </c>
      <c r="D374" s="9" t="s">
        <v>33</v>
      </c>
      <c r="E374" s="9" t="s">
        <v>12</v>
      </c>
      <c r="F374" s="9" t="s">
        <v>1459</v>
      </c>
      <c r="G374" s="9">
        <v>40</v>
      </c>
      <c r="H374" s="9">
        <v>4</v>
      </c>
      <c r="I374" s="9">
        <v>1.0149999999999999</v>
      </c>
      <c r="J374" s="9">
        <v>80</v>
      </c>
      <c r="K374" s="9" t="s">
        <v>499</v>
      </c>
      <c r="L374" s="9"/>
      <c r="M374" s="9"/>
      <c r="N374" s="9" t="str">
        <f ca="1">IFERROR(__xludf.DUMMYFUNCTION("IFERROR(VALUE(REGEXEXTRACT(TO_TEXT($F374), N$1 &amp; ""x(\d+)"")), """")
"),"")</f>
        <v/>
      </c>
      <c r="O374" s="9">
        <f ca="1">IFERROR(__xludf.DUMMYFUNCTION("IFERROR(VALUE(REGEXEXTRACT(TO_TEXT($F374), O$1 &amp; ""x(\d+)"")), """")"),1)</f>
        <v>1</v>
      </c>
      <c r="P374" s="9" t="str">
        <f ca="1">IFERROR(__xludf.DUMMYFUNCTION("IFERROR(VALUE(REGEXEXTRACT(TO_TEXT($F374), P$1 &amp; ""x(\d+)"")), """")"),"")</f>
        <v/>
      </c>
      <c r="Q374" s="9" t="str">
        <f ca="1">IFERROR(__xludf.DUMMYFUNCTION("IFERROR(VALUE(REGEXEXTRACT(TO_TEXT($F374), Q$1 &amp; ""x(\d+)"")), """")"),"")</f>
        <v/>
      </c>
      <c r="R374" s="9" t="str">
        <f ca="1">IFERROR(__xludf.DUMMYFUNCTION("IFERROR(VALUE(REGEXEXTRACT(TO_TEXT($F374), R$1 &amp; ""x(\d+)"")), """")"),"")</f>
        <v/>
      </c>
      <c r="S374" s="9" t="str">
        <f ca="1">IFERROR(__xludf.DUMMYFUNCTION("IFERROR(VALUE(REGEXEXTRACT(TO_TEXT($F374), S$1 &amp; ""x(\d+)"")), """")"),"")</f>
        <v/>
      </c>
      <c r="T374" s="9" t="str">
        <f ca="1">IFERROR(__xludf.DUMMYFUNCTION("IFERROR(VALUE(REGEXEXTRACT(TO_TEXT($F374), T$1 &amp; ""x(\d+)"")), """")"),"")</f>
        <v/>
      </c>
      <c r="U374" s="9" t="str">
        <f ca="1">IFERROR(__xludf.DUMMYFUNCTION("IFERROR(VALUE(REGEXEXTRACT(TO_TEXT($F374), U$1 &amp; ""x(\d+)"")), """")"),"")</f>
        <v/>
      </c>
      <c r="V374" s="9" t="str">
        <f ca="1">IFERROR(__xludf.DUMMYFUNCTION("IFERROR(VALUE(REGEXEXTRACT(TO_TEXT($F374), V$1 &amp; ""x(\d+)"")), """")"),"")</f>
        <v/>
      </c>
      <c r="W374" s="9"/>
      <c r="X374" s="9"/>
      <c r="Y374" s="9"/>
      <c r="Z374" s="9"/>
    </row>
    <row r="375" spans="1:26" ht="15.75" customHeight="1">
      <c r="A375" s="9" t="s">
        <v>1457</v>
      </c>
      <c r="B375" s="9" t="s">
        <v>1458</v>
      </c>
      <c r="C375" s="9" t="s">
        <v>829</v>
      </c>
      <c r="D375" s="9" t="s">
        <v>33</v>
      </c>
      <c r="E375" s="9" t="s">
        <v>13</v>
      </c>
      <c r="F375" s="9" t="s">
        <v>1334</v>
      </c>
      <c r="G375" s="9">
        <v>20</v>
      </c>
      <c r="H375" s="9">
        <v>4</v>
      </c>
      <c r="I375" s="9">
        <v>1.0149999999999999</v>
      </c>
      <c r="J375" s="9">
        <v>80</v>
      </c>
      <c r="K375" s="9" t="s">
        <v>499</v>
      </c>
      <c r="L375" s="9"/>
      <c r="M375" s="9"/>
      <c r="N375" s="9" t="str">
        <f ca="1">IFERROR(__xludf.DUMMYFUNCTION("IFERROR(VALUE(REGEXEXTRACT(TO_TEXT($F375), N$1 &amp; ""x(\d+)"")), """")
"),"")</f>
        <v/>
      </c>
      <c r="O375" s="9">
        <f ca="1">IFERROR(__xludf.DUMMYFUNCTION("IFERROR(VALUE(REGEXEXTRACT(TO_TEXT($F375), O$1 &amp; ""x(\d+)"")), """")"),1)</f>
        <v>1</v>
      </c>
      <c r="P375" s="9" t="str">
        <f ca="1">IFERROR(__xludf.DUMMYFUNCTION("IFERROR(VALUE(REGEXEXTRACT(TO_TEXT($F375), P$1 &amp; ""x(\d+)"")), """")"),"")</f>
        <v/>
      </c>
      <c r="Q375" s="9" t="str">
        <f ca="1">IFERROR(__xludf.DUMMYFUNCTION("IFERROR(VALUE(REGEXEXTRACT(TO_TEXT($F375), Q$1 &amp; ""x(\d+)"")), """")"),"")</f>
        <v/>
      </c>
      <c r="R375" s="9" t="str">
        <f ca="1">IFERROR(__xludf.DUMMYFUNCTION("IFERROR(VALUE(REGEXEXTRACT(TO_TEXT($F375), R$1 &amp; ""x(\d+)"")), """")"),"")</f>
        <v/>
      </c>
      <c r="S375" s="9" t="str">
        <f ca="1">IFERROR(__xludf.DUMMYFUNCTION("IFERROR(VALUE(REGEXEXTRACT(TO_TEXT($F375), S$1 &amp; ""x(\d+)"")), """")"),"")</f>
        <v/>
      </c>
      <c r="T375" s="9" t="str">
        <f ca="1">IFERROR(__xludf.DUMMYFUNCTION("IFERROR(VALUE(REGEXEXTRACT(TO_TEXT($F375), T$1 &amp; ""x(\d+)"")), """")"),"")</f>
        <v/>
      </c>
      <c r="U375" s="9" t="str">
        <f ca="1">IFERROR(__xludf.DUMMYFUNCTION("IFERROR(VALUE(REGEXEXTRACT(TO_TEXT($F375), U$1 &amp; ""x(\d+)"")), """")"),"")</f>
        <v/>
      </c>
      <c r="V375" s="9" t="str">
        <f ca="1">IFERROR(__xludf.DUMMYFUNCTION("IFERROR(VALUE(REGEXEXTRACT(TO_TEXT($F375), V$1 &amp; ""x(\d+)"")), """")"),"")</f>
        <v/>
      </c>
      <c r="W375" s="9"/>
      <c r="X375" s="9"/>
      <c r="Y375" s="9"/>
      <c r="Z375" s="9"/>
    </row>
    <row r="376" spans="1:26" ht="15.75" hidden="1" customHeight="1">
      <c r="A376" s="9" t="s">
        <v>53</v>
      </c>
      <c r="B376" s="9" t="s">
        <v>1460</v>
      </c>
      <c r="C376" s="9" t="s">
        <v>54</v>
      </c>
      <c r="D376" s="9" t="s">
        <v>48</v>
      </c>
      <c r="E376" s="9" t="s">
        <v>11</v>
      </c>
      <c r="F376" s="9" t="s">
        <v>1461</v>
      </c>
      <c r="G376" s="9">
        <v>75</v>
      </c>
      <c r="H376" s="9">
        <v>2</v>
      </c>
      <c r="I376" s="9">
        <v>1.0149999999999999</v>
      </c>
      <c r="J376" s="9">
        <v>44</v>
      </c>
      <c r="K376" s="9" t="s">
        <v>424</v>
      </c>
      <c r="L376" s="9"/>
      <c r="M376" s="9"/>
      <c r="N376" s="9" t="str">
        <f ca="1">IFERROR(__xludf.DUMMYFUNCTION("IFERROR(VALUE(REGEXEXTRACT(TO_TEXT($F376), N$1 &amp; ""x(\d+)"")), """")
"),"")</f>
        <v/>
      </c>
      <c r="O376" s="9" t="str">
        <f ca="1">IFERROR(__xludf.DUMMYFUNCTION("IFERROR(VALUE(REGEXEXTRACT(TO_TEXT($F376), O$1 &amp; ""x(\d+)"")), """")"),"")</f>
        <v/>
      </c>
      <c r="P376" s="9" t="str">
        <f ca="1">IFERROR(__xludf.DUMMYFUNCTION("IFERROR(VALUE(REGEXEXTRACT(TO_TEXT($F376), P$1 &amp; ""x(\d+)"")), """")"),"")</f>
        <v/>
      </c>
      <c r="Q376" s="9" t="str">
        <f ca="1">IFERROR(__xludf.DUMMYFUNCTION("IFERROR(VALUE(REGEXEXTRACT(TO_TEXT($F376), Q$1 &amp; ""x(\d+)"")), """")"),"")</f>
        <v/>
      </c>
      <c r="R376" s="9" t="str">
        <f ca="1">IFERROR(__xludf.DUMMYFUNCTION("IFERROR(VALUE(REGEXEXTRACT(TO_TEXT($F376), R$1 &amp; ""x(\d+)"")), """")"),"")</f>
        <v/>
      </c>
      <c r="S376" s="9" t="str">
        <f ca="1">IFERROR(__xludf.DUMMYFUNCTION("IFERROR(VALUE(REGEXEXTRACT(TO_TEXT($F376), S$1 &amp; ""x(\d+)"")), """")"),"")</f>
        <v/>
      </c>
      <c r="T376" s="9" t="str">
        <f ca="1">IFERROR(__xludf.DUMMYFUNCTION("IFERROR(VALUE(REGEXEXTRACT(TO_TEXT($F376), T$1 &amp; ""x(\d+)"")), """")"),"")</f>
        <v/>
      </c>
      <c r="U376" s="9" t="str">
        <f ca="1">IFERROR(__xludf.DUMMYFUNCTION("IFERROR(VALUE(REGEXEXTRACT(TO_TEXT($F376), U$1 &amp; ""x(\d+)"")), """")"),"")</f>
        <v/>
      </c>
      <c r="V376" s="9" t="str">
        <f ca="1">IFERROR(__xludf.DUMMYFUNCTION("IFERROR(VALUE(REGEXEXTRACT(TO_TEXT($F376), V$1 &amp; ""x(\d+)"")), """")"),"")</f>
        <v/>
      </c>
      <c r="W376" s="9"/>
      <c r="X376" s="9"/>
      <c r="Y376" s="9"/>
      <c r="Z376" s="9"/>
    </row>
    <row r="377" spans="1:26" ht="15.75" hidden="1" customHeight="1">
      <c r="A377" s="9" t="s">
        <v>53</v>
      </c>
      <c r="B377" s="9" t="s">
        <v>1460</v>
      </c>
      <c r="C377" s="9" t="s">
        <v>54</v>
      </c>
      <c r="D377" s="9" t="s">
        <v>48</v>
      </c>
      <c r="E377" s="9" t="s">
        <v>12</v>
      </c>
      <c r="F377" s="9" t="s">
        <v>1462</v>
      </c>
      <c r="G377" s="9">
        <v>165</v>
      </c>
      <c r="H377" s="9">
        <v>2</v>
      </c>
      <c r="I377" s="9">
        <v>1.0149999999999999</v>
      </c>
      <c r="J377" s="9">
        <v>44</v>
      </c>
      <c r="K377" s="9" t="s">
        <v>424</v>
      </c>
      <c r="L377" s="9"/>
      <c r="M377" s="9"/>
      <c r="N377" s="9" t="str">
        <f ca="1">IFERROR(__xludf.DUMMYFUNCTION("IFERROR(VALUE(REGEXEXTRACT(TO_TEXT($F377), N$1 &amp; ""x(\d+)"")), """")
"),"")</f>
        <v/>
      </c>
      <c r="O377" s="9" t="str">
        <f ca="1">IFERROR(__xludf.DUMMYFUNCTION("IFERROR(VALUE(REGEXEXTRACT(TO_TEXT($F377), O$1 &amp; ""x(\d+)"")), """")"),"")</f>
        <v/>
      </c>
      <c r="P377" s="9">
        <f ca="1">IFERROR(__xludf.DUMMYFUNCTION("IFERROR(VALUE(REGEXEXTRACT(TO_TEXT($F377), P$1 &amp; ""x(\d+)"")), """")"),1)</f>
        <v>1</v>
      </c>
      <c r="Q377" s="9" t="str">
        <f ca="1">IFERROR(__xludf.DUMMYFUNCTION("IFERROR(VALUE(REGEXEXTRACT(TO_TEXT($F377), Q$1 &amp; ""x(\d+)"")), """")"),"")</f>
        <v/>
      </c>
      <c r="R377" s="9" t="str">
        <f ca="1">IFERROR(__xludf.DUMMYFUNCTION("IFERROR(VALUE(REGEXEXTRACT(TO_TEXT($F377), R$1 &amp; ""x(\d+)"")), """")"),"")</f>
        <v/>
      </c>
      <c r="S377" s="9" t="str">
        <f ca="1">IFERROR(__xludf.DUMMYFUNCTION("IFERROR(VALUE(REGEXEXTRACT(TO_TEXT($F377), S$1 &amp; ""x(\d+)"")), """")"),"")</f>
        <v/>
      </c>
      <c r="T377" s="9" t="str">
        <f ca="1">IFERROR(__xludf.DUMMYFUNCTION("IFERROR(VALUE(REGEXEXTRACT(TO_TEXT($F377), T$1 &amp; ""x(\d+)"")), """")"),"")</f>
        <v/>
      </c>
      <c r="U377" s="9" t="str">
        <f ca="1">IFERROR(__xludf.DUMMYFUNCTION("IFERROR(VALUE(REGEXEXTRACT(TO_TEXT($F377), U$1 &amp; ""x(\d+)"")), """")"),"")</f>
        <v/>
      </c>
      <c r="V377" s="9" t="str">
        <f ca="1">IFERROR(__xludf.DUMMYFUNCTION("IFERROR(VALUE(REGEXEXTRACT(TO_TEXT($F377), V$1 &amp; ""x(\d+)"")), """")"),"")</f>
        <v/>
      </c>
      <c r="W377" s="9"/>
      <c r="X377" s="9"/>
      <c r="Y377" s="9"/>
      <c r="Z377" s="9"/>
    </row>
    <row r="378" spans="1:26" ht="15.75" hidden="1" customHeight="1">
      <c r="A378" s="9" t="s">
        <v>53</v>
      </c>
      <c r="B378" s="9" t="s">
        <v>1460</v>
      </c>
      <c r="C378" s="9" t="s">
        <v>54</v>
      </c>
      <c r="D378" s="9" t="s">
        <v>48</v>
      </c>
      <c r="E378" s="9" t="s">
        <v>13</v>
      </c>
      <c r="F378" s="9" t="s">
        <v>1463</v>
      </c>
      <c r="G378" s="9">
        <v>90</v>
      </c>
      <c r="H378" s="9">
        <v>2</v>
      </c>
      <c r="I378" s="9">
        <v>1.0149999999999999</v>
      </c>
      <c r="J378" s="9">
        <v>44</v>
      </c>
      <c r="K378" s="9" t="s">
        <v>424</v>
      </c>
      <c r="L378" s="9"/>
      <c r="M378" s="9"/>
      <c r="N378" s="9" t="str">
        <f ca="1">IFERROR(__xludf.DUMMYFUNCTION("IFERROR(VALUE(REGEXEXTRACT(TO_TEXT($F378), N$1 &amp; ""x(\d+)"")), """")
"),"")</f>
        <v/>
      </c>
      <c r="O378" s="9" t="str">
        <f ca="1">IFERROR(__xludf.DUMMYFUNCTION("IFERROR(VALUE(REGEXEXTRACT(TO_TEXT($F378), O$1 &amp; ""x(\d+)"")), """")"),"")</f>
        <v/>
      </c>
      <c r="P378" s="9">
        <f ca="1">IFERROR(__xludf.DUMMYFUNCTION("IFERROR(VALUE(REGEXEXTRACT(TO_TEXT($F378), P$1 &amp; ""x(\d+)"")), """")"),1)</f>
        <v>1</v>
      </c>
      <c r="Q378" s="9" t="str">
        <f ca="1">IFERROR(__xludf.DUMMYFUNCTION("IFERROR(VALUE(REGEXEXTRACT(TO_TEXT($F378), Q$1 &amp; ""x(\d+)"")), """")"),"")</f>
        <v/>
      </c>
      <c r="R378" s="9" t="str">
        <f ca="1">IFERROR(__xludf.DUMMYFUNCTION("IFERROR(VALUE(REGEXEXTRACT(TO_TEXT($F378), R$1 &amp; ""x(\d+)"")), """")"),"")</f>
        <v/>
      </c>
      <c r="S378" s="9" t="str">
        <f ca="1">IFERROR(__xludf.DUMMYFUNCTION("IFERROR(VALUE(REGEXEXTRACT(TO_TEXT($F378), S$1 &amp; ""x(\d+)"")), """")"),"")</f>
        <v/>
      </c>
      <c r="T378" s="9" t="str">
        <f ca="1">IFERROR(__xludf.DUMMYFUNCTION("IFERROR(VALUE(REGEXEXTRACT(TO_TEXT($F378), T$1 &amp; ""x(\d+)"")), """")"),"")</f>
        <v/>
      </c>
      <c r="U378" s="9" t="str">
        <f ca="1">IFERROR(__xludf.DUMMYFUNCTION("IFERROR(VALUE(REGEXEXTRACT(TO_TEXT($F378), U$1 &amp; ""x(\d+)"")), """")"),"")</f>
        <v/>
      </c>
      <c r="V378" s="9" t="str">
        <f ca="1">IFERROR(__xludf.DUMMYFUNCTION("IFERROR(VALUE(REGEXEXTRACT(TO_TEXT($F378), V$1 &amp; ""x(\d+)"")), """")"),"")</f>
        <v/>
      </c>
      <c r="W378" s="9"/>
      <c r="X378" s="9"/>
      <c r="Y378" s="9"/>
      <c r="Z378" s="9"/>
    </row>
    <row r="379" spans="1:26" ht="15.75" hidden="1" customHeight="1">
      <c r="A379" s="9" t="s">
        <v>1464</v>
      </c>
      <c r="B379" s="9" t="s">
        <v>1465</v>
      </c>
      <c r="C379" s="9" t="s">
        <v>720</v>
      </c>
      <c r="D379" s="9" t="s">
        <v>40</v>
      </c>
      <c r="E379" s="9" t="s">
        <v>11</v>
      </c>
      <c r="F379" s="9" t="s">
        <v>1466</v>
      </c>
      <c r="G379" s="9">
        <v>50</v>
      </c>
      <c r="H379" s="9">
        <v>4</v>
      </c>
      <c r="I379" s="9">
        <v>1.0149999999999999</v>
      </c>
      <c r="J379" s="9">
        <v>412</v>
      </c>
      <c r="K379" s="9" t="s">
        <v>442</v>
      </c>
      <c r="L379" s="9"/>
      <c r="M379" s="9"/>
      <c r="N379" s="9" t="str">
        <f ca="1">IFERROR(__xludf.DUMMYFUNCTION("IFERROR(VALUE(REGEXEXTRACT(TO_TEXT($F379), N$1 &amp; ""x(\d+)"")), """")
"),"")</f>
        <v/>
      </c>
      <c r="O379" s="9" t="str">
        <f ca="1">IFERROR(__xludf.DUMMYFUNCTION("IFERROR(VALUE(REGEXEXTRACT(TO_TEXT($F379), O$1 &amp; ""x(\d+)"")), """")"),"")</f>
        <v/>
      </c>
      <c r="P379" s="9" t="str">
        <f ca="1">IFERROR(__xludf.DUMMYFUNCTION("IFERROR(VALUE(REGEXEXTRACT(TO_TEXT($F379), P$1 &amp; ""x(\d+)"")), """")"),"")</f>
        <v/>
      </c>
      <c r="Q379" s="9" t="str">
        <f ca="1">IFERROR(__xludf.DUMMYFUNCTION("IFERROR(VALUE(REGEXEXTRACT(TO_TEXT($F379), Q$1 &amp; ""x(\d+)"")), """")"),"")</f>
        <v/>
      </c>
      <c r="R379" s="9" t="str">
        <f ca="1">IFERROR(__xludf.DUMMYFUNCTION("IFERROR(VALUE(REGEXEXTRACT(TO_TEXT($F379), R$1 &amp; ""x(\d+)"")), """")"),"")</f>
        <v/>
      </c>
      <c r="S379" s="9" t="str">
        <f ca="1">IFERROR(__xludf.DUMMYFUNCTION("IFERROR(VALUE(REGEXEXTRACT(TO_TEXT($F379), S$1 &amp; ""x(\d+)"")), """")"),"")</f>
        <v/>
      </c>
      <c r="T379" s="9" t="str">
        <f ca="1">IFERROR(__xludf.DUMMYFUNCTION("IFERROR(VALUE(REGEXEXTRACT(TO_TEXT($F379), T$1 &amp; ""x(\d+)"")), """")"),"")</f>
        <v/>
      </c>
      <c r="U379" s="9" t="str">
        <f ca="1">IFERROR(__xludf.DUMMYFUNCTION("IFERROR(VALUE(REGEXEXTRACT(TO_TEXT($F379), U$1 &amp; ""x(\d+)"")), """")"),"")</f>
        <v/>
      </c>
      <c r="V379" s="9" t="str">
        <f ca="1">IFERROR(__xludf.DUMMYFUNCTION("IFERROR(VALUE(REGEXEXTRACT(TO_TEXT($F379), V$1 &amp; ""x(\d+)"")), """")"),"")</f>
        <v/>
      </c>
      <c r="W379" s="9"/>
      <c r="X379" s="9"/>
      <c r="Y379" s="9"/>
      <c r="Z379" s="9"/>
    </row>
    <row r="380" spans="1:26" ht="15.75" hidden="1" customHeight="1">
      <c r="A380" s="9" t="s">
        <v>1464</v>
      </c>
      <c r="B380" s="9" t="s">
        <v>1465</v>
      </c>
      <c r="C380" s="9" t="s">
        <v>720</v>
      </c>
      <c r="D380" s="9" t="s">
        <v>40</v>
      </c>
      <c r="E380" s="9" t="s">
        <v>12</v>
      </c>
      <c r="F380" s="9" t="s">
        <v>1467</v>
      </c>
      <c r="G380" s="9">
        <v>80</v>
      </c>
      <c r="H380" s="9">
        <v>4</v>
      </c>
      <c r="I380" s="9">
        <v>1.0149999999999999</v>
      </c>
      <c r="J380" s="9">
        <v>412</v>
      </c>
      <c r="K380" s="9" t="s">
        <v>442</v>
      </c>
      <c r="L380" s="9" t="s">
        <v>1035</v>
      </c>
      <c r="M380" s="9"/>
      <c r="N380" s="9" t="str">
        <f ca="1">IFERROR(__xludf.DUMMYFUNCTION("IFERROR(VALUE(REGEXEXTRACT(TO_TEXT($F380), N$1 &amp; ""x(\d+)"")), """")
"),"")</f>
        <v/>
      </c>
      <c r="O380" s="9" t="str">
        <f ca="1">IFERROR(__xludf.DUMMYFUNCTION("IFERROR(VALUE(REGEXEXTRACT(TO_TEXT($F380), O$1 &amp; ""x(\d+)"")), """")"),"")</f>
        <v/>
      </c>
      <c r="P380" s="9" t="str">
        <f ca="1">IFERROR(__xludf.DUMMYFUNCTION("IFERROR(VALUE(REGEXEXTRACT(TO_TEXT($F380), P$1 &amp; ""x(\d+)"")), """")"),"")</f>
        <v/>
      </c>
      <c r="Q380" s="9" t="str">
        <f ca="1">IFERROR(__xludf.DUMMYFUNCTION("IFERROR(VALUE(REGEXEXTRACT(TO_TEXT($F380), Q$1 &amp; ""x(\d+)"")), """")"),"")</f>
        <v/>
      </c>
      <c r="R380" s="9" t="str">
        <f ca="1">IFERROR(__xludf.DUMMYFUNCTION("IFERROR(VALUE(REGEXEXTRACT(TO_TEXT($F380), R$1 &amp; ""x(\d+)"")), """")"),"")</f>
        <v/>
      </c>
      <c r="S380" s="9">
        <f ca="1">IFERROR(__xludf.DUMMYFUNCTION("IFERROR(VALUE(REGEXEXTRACT(TO_TEXT($F380), S$1 &amp; ""x(\d+)"")), """")"),1)</f>
        <v>1</v>
      </c>
      <c r="T380" s="9" t="str">
        <f ca="1">IFERROR(__xludf.DUMMYFUNCTION("IFERROR(VALUE(REGEXEXTRACT(TO_TEXT($F380), T$1 &amp; ""x(\d+)"")), """")"),"")</f>
        <v/>
      </c>
      <c r="U380" s="9" t="str">
        <f ca="1">IFERROR(__xludf.DUMMYFUNCTION("IFERROR(VALUE(REGEXEXTRACT(TO_TEXT($F380), U$1 &amp; ""x(\d+)"")), """")"),"")</f>
        <v/>
      </c>
      <c r="V380" s="9" t="str">
        <f ca="1">IFERROR(__xludf.DUMMYFUNCTION("IFERROR(VALUE(REGEXEXTRACT(TO_TEXT($F380), V$1 &amp; ""x(\d+)"")), """")"),"")</f>
        <v/>
      </c>
      <c r="W380" s="9"/>
      <c r="X380" s="9"/>
      <c r="Y380" s="9"/>
      <c r="Z380" s="9"/>
    </row>
    <row r="381" spans="1:26" ht="15.75" hidden="1" customHeight="1">
      <c r="A381" s="9" t="s">
        <v>1464</v>
      </c>
      <c r="B381" s="9" t="s">
        <v>1465</v>
      </c>
      <c r="C381" s="9" t="s">
        <v>720</v>
      </c>
      <c r="D381" s="9" t="s">
        <v>40</v>
      </c>
      <c r="E381" s="9" t="s">
        <v>13</v>
      </c>
      <c r="F381" s="9" t="s">
        <v>1133</v>
      </c>
      <c r="G381" s="9">
        <v>30</v>
      </c>
      <c r="H381" s="9">
        <v>4</v>
      </c>
      <c r="I381" s="9">
        <v>1.0149999999999999</v>
      </c>
      <c r="J381" s="9">
        <v>412</v>
      </c>
      <c r="K381" s="9" t="s">
        <v>442</v>
      </c>
      <c r="L381" s="9"/>
      <c r="M381" s="9"/>
      <c r="N381" s="9" t="str">
        <f ca="1">IFERROR(__xludf.DUMMYFUNCTION("IFERROR(VALUE(REGEXEXTRACT(TO_TEXT($F381), N$1 &amp; ""x(\d+)"")), """")
"),"")</f>
        <v/>
      </c>
      <c r="O381" s="9" t="str">
        <f ca="1">IFERROR(__xludf.DUMMYFUNCTION("IFERROR(VALUE(REGEXEXTRACT(TO_TEXT($F381), O$1 &amp; ""x(\d+)"")), """")"),"")</f>
        <v/>
      </c>
      <c r="P381" s="9" t="str">
        <f ca="1">IFERROR(__xludf.DUMMYFUNCTION("IFERROR(VALUE(REGEXEXTRACT(TO_TEXT($F381), P$1 &amp; ""x(\d+)"")), """")"),"")</f>
        <v/>
      </c>
      <c r="Q381" s="9" t="str">
        <f ca="1">IFERROR(__xludf.DUMMYFUNCTION("IFERROR(VALUE(REGEXEXTRACT(TO_TEXT($F381), Q$1 &amp; ""x(\d+)"")), """")"),"")</f>
        <v/>
      </c>
      <c r="R381" s="9" t="str">
        <f ca="1">IFERROR(__xludf.DUMMYFUNCTION("IFERROR(VALUE(REGEXEXTRACT(TO_TEXT($F381), R$1 &amp; ""x(\d+)"")), """")"),"")</f>
        <v/>
      </c>
      <c r="S381" s="9">
        <f ca="1">IFERROR(__xludf.DUMMYFUNCTION("IFERROR(VALUE(REGEXEXTRACT(TO_TEXT($F381), S$1 &amp; ""x(\d+)"")), """")"),1)</f>
        <v>1</v>
      </c>
      <c r="T381" s="9" t="str">
        <f ca="1">IFERROR(__xludf.DUMMYFUNCTION("IFERROR(VALUE(REGEXEXTRACT(TO_TEXT($F381), T$1 &amp; ""x(\d+)"")), """")"),"")</f>
        <v/>
      </c>
      <c r="U381" s="9" t="str">
        <f ca="1">IFERROR(__xludf.DUMMYFUNCTION("IFERROR(VALUE(REGEXEXTRACT(TO_TEXT($F381), U$1 &amp; ""x(\d+)"")), """")"),"")</f>
        <v/>
      </c>
      <c r="V381" s="9" t="str">
        <f ca="1">IFERROR(__xludf.DUMMYFUNCTION("IFERROR(VALUE(REGEXEXTRACT(TO_TEXT($F381), V$1 &amp; ""x(\d+)"")), """")"),"")</f>
        <v/>
      </c>
      <c r="W381" s="9"/>
      <c r="X381" s="9"/>
      <c r="Y381" s="9"/>
      <c r="Z381" s="9"/>
    </row>
    <row r="382" spans="1:26" ht="15.75" hidden="1" customHeight="1">
      <c r="A382" s="9" t="s">
        <v>1468</v>
      </c>
      <c r="B382" s="9" t="s">
        <v>1469</v>
      </c>
      <c r="C382" s="9" t="s">
        <v>697</v>
      </c>
      <c r="D382" s="9" t="s">
        <v>40</v>
      </c>
      <c r="E382" s="9" t="s">
        <v>11</v>
      </c>
      <c r="F382" s="9" t="s">
        <v>1470</v>
      </c>
      <c r="G382" s="9">
        <v>50</v>
      </c>
      <c r="H382" s="9">
        <v>4</v>
      </c>
      <c r="I382" s="9">
        <v>1.0149999999999999</v>
      </c>
      <c r="J382" s="9">
        <v>400</v>
      </c>
      <c r="K382" s="9" t="s">
        <v>442</v>
      </c>
      <c r="L382" s="9"/>
      <c r="M382" s="9"/>
      <c r="N382" s="9" t="str">
        <f ca="1">IFERROR(__xludf.DUMMYFUNCTION("IFERROR(VALUE(REGEXEXTRACT(TO_TEXT($F382), N$1 &amp; ""x(\d+)"")), """")
"),"")</f>
        <v/>
      </c>
      <c r="O382" s="9" t="str">
        <f ca="1">IFERROR(__xludf.DUMMYFUNCTION("IFERROR(VALUE(REGEXEXTRACT(TO_TEXT($F382), O$1 &amp; ""x(\d+)"")), """")"),"")</f>
        <v/>
      </c>
      <c r="P382" s="9" t="str">
        <f ca="1">IFERROR(__xludf.DUMMYFUNCTION("IFERROR(VALUE(REGEXEXTRACT(TO_TEXT($F382), P$1 &amp; ""x(\d+)"")), """")"),"")</f>
        <v/>
      </c>
      <c r="Q382" s="9" t="str">
        <f ca="1">IFERROR(__xludf.DUMMYFUNCTION("IFERROR(VALUE(REGEXEXTRACT(TO_TEXT($F382), Q$1 &amp; ""x(\d+)"")), """")"),"")</f>
        <v/>
      </c>
      <c r="R382" s="9" t="str">
        <f ca="1">IFERROR(__xludf.DUMMYFUNCTION("IFERROR(VALUE(REGEXEXTRACT(TO_TEXT($F382), R$1 &amp; ""x(\d+)"")), """")"),"")</f>
        <v/>
      </c>
      <c r="S382" s="9" t="str">
        <f ca="1">IFERROR(__xludf.DUMMYFUNCTION("IFERROR(VALUE(REGEXEXTRACT(TO_TEXT($F382), S$1 &amp; ""x(\d+)"")), """")"),"")</f>
        <v/>
      </c>
      <c r="T382" s="9" t="str">
        <f ca="1">IFERROR(__xludf.DUMMYFUNCTION("IFERROR(VALUE(REGEXEXTRACT(TO_TEXT($F382), T$1 &amp; ""x(\d+)"")), """")"),"")</f>
        <v/>
      </c>
      <c r="U382" s="9" t="str">
        <f ca="1">IFERROR(__xludf.DUMMYFUNCTION("IFERROR(VALUE(REGEXEXTRACT(TO_TEXT($F382), U$1 &amp; ""x(\d+)"")), """")"),"")</f>
        <v/>
      </c>
      <c r="V382" s="9" t="str">
        <f ca="1">IFERROR(__xludf.DUMMYFUNCTION("IFERROR(VALUE(REGEXEXTRACT(TO_TEXT($F382), V$1 &amp; ""x(\d+)"")), """")"),"")</f>
        <v/>
      </c>
      <c r="W382" s="9"/>
      <c r="X382" s="9"/>
      <c r="Y382" s="9"/>
      <c r="Z382" s="9"/>
    </row>
    <row r="383" spans="1:26" ht="15.75" hidden="1" customHeight="1">
      <c r="A383" s="9" t="s">
        <v>1468</v>
      </c>
      <c r="B383" s="9" t="s">
        <v>1469</v>
      </c>
      <c r="C383" s="9" t="s">
        <v>697</v>
      </c>
      <c r="D383" s="9" t="s">
        <v>40</v>
      </c>
      <c r="E383" s="9" t="s">
        <v>12</v>
      </c>
      <c r="F383" s="9" t="s">
        <v>1417</v>
      </c>
      <c r="G383" s="9">
        <v>120</v>
      </c>
      <c r="H383" s="9">
        <v>4</v>
      </c>
      <c r="I383" s="9">
        <v>1.0149999999999999</v>
      </c>
      <c r="J383" s="9">
        <v>400</v>
      </c>
      <c r="K383" s="9" t="s">
        <v>442</v>
      </c>
      <c r="L383" s="9"/>
      <c r="M383" s="9"/>
      <c r="N383" s="9" t="str">
        <f ca="1">IFERROR(__xludf.DUMMYFUNCTION("IFERROR(VALUE(REGEXEXTRACT(TO_TEXT($F383), N$1 &amp; ""x(\d+)"")), """")
"),"")</f>
        <v/>
      </c>
      <c r="O383" s="9" t="str">
        <f ca="1">IFERROR(__xludf.DUMMYFUNCTION("IFERROR(VALUE(REGEXEXTRACT(TO_TEXT($F383), O$1 &amp; ""x(\d+)"")), """")"),"")</f>
        <v/>
      </c>
      <c r="P383" s="9" t="str">
        <f ca="1">IFERROR(__xludf.DUMMYFUNCTION("IFERROR(VALUE(REGEXEXTRACT(TO_TEXT($F383), P$1 &amp; ""x(\d+)"")), """")"),"")</f>
        <v/>
      </c>
      <c r="Q383" s="9" t="str">
        <f ca="1">IFERROR(__xludf.DUMMYFUNCTION("IFERROR(VALUE(REGEXEXTRACT(TO_TEXT($F383), Q$1 &amp; ""x(\d+)"")), """")"),"")</f>
        <v/>
      </c>
      <c r="R383" s="9" t="str">
        <f ca="1">IFERROR(__xludf.DUMMYFUNCTION("IFERROR(VALUE(REGEXEXTRACT(TO_TEXT($F383), R$1 &amp; ""x(\d+)"")), """")"),"")</f>
        <v/>
      </c>
      <c r="S383" s="9">
        <f ca="1">IFERROR(__xludf.DUMMYFUNCTION("IFERROR(VALUE(REGEXEXTRACT(TO_TEXT($F383), S$1 &amp; ""x(\d+)"")), """")"),1)</f>
        <v>1</v>
      </c>
      <c r="T383" s="9" t="str">
        <f ca="1">IFERROR(__xludf.DUMMYFUNCTION("IFERROR(VALUE(REGEXEXTRACT(TO_TEXT($F383), T$1 &amp; ""x(\d+)"")), """")"),"")</f>
        <v/>
      </c>
      <c r="U383" s="9" t="str">
        <f ca="1">IFERROR(__xludf.DUMMYFUNCTION("IFERROR(VALUE(REGEXEXTRACT(TO_TEXT($F383), U$1 &amp; ""x(\d+)"")), """")"),"")</f>
        <v/>
      </c>
      <c r="V383" s="9" t="str">
        <f ca="1">IFERROR(__xludf.DUMMYFUNCTION("IFERROR(VALUE(REGEXEXTRACT(TO_TEXT($F383), V$1 &amp; ""x(\d+)"")), """")"),"")</f>
        <v/>
      </c>
      <c r="W383" s="9"/>
      <c r="X383" s="9"/>
      <c r="Y383" s="9"/>
      <c r="Z383" s="9"/>
    </row>
    <row r="384" spans="1:26" ht="15.75" hidden="1" customHeight="1">
      <c r="A384" s="9" t="s">
        <v>1468</v>
      </c>
      <c r="B384" s="9" t="s">
        <v>1469</v>
      </c>
      <c r="C384" s="9" t="s">
        <v>697</v>
      </c>
      <c r="D384" s="9" t="s">
        <v>40</v>
      </c>
      <c r="E384" s="9" t="s">
        <v>13</v>
      </c>
      <c r="F384" s="9" t="s">
        <v>1133</v>
      </c>
      <c r="G384" s="9">
        <v>30</v>
      </c>
      <c r="H384" s="9">
        <v>4</v>
      </c>
      <c r="I384" s="9">
        <v>1.0149999999999999</v>
      </c>
      <c r="J384" s="9">
        <v>400</v>
      </c>
      <c r="K384" s="9" t="s">
        <v>442</v>
      </c>
      <c r="L384" s="9"/>
      <c r="M384" s="9"/>
      <c r="N384" s="9" t="str">
        <f ca="1">IFERROR(__xludf.DUMMYFUNCTION("IFERROR(VALUE(REGEXEXTRACT(TO_TEXT($F384), N$1 &amp; ""x(\d+)"")), """")
"),"")</f>
        <v/>
      </c>
      <c r="O384" s="9" t="str">
        <f ca="1">IFERROR(__xludf.DUMMYFUNCTION("IFERROR(VALUE(REGEXEXTRACT(TO_TEXT($F384), O$1 &amp; ""x(\d+)"")), """")"),"")</f>
        <v/>
      </c>
      <c r="P384" s="9" t="str">
        <f ca="1">IFERROR(__xludf.DUMMYFUNCTION("IFERROR(VALUE(REGEXEXTRACT(TO_TEXT($F384), P$1 &amp; ""x(\d+)"")), """")"),"")</f>
        <v/>
      </c>
      <c r="Q384" s="9" t="str">
        <f ca="1">IFERROR(__xludf.DUMMYFUNCTION("IFERROR(VALUE(REGEXEXTRACT(TO_TEXT($F384), Q$1 &amp; ""x(\d+)"")), """")"),"")</f>
        <v/>
      </c>
      <c r="R384" s="9" t="str">
        <f ca="1">IFERROR(__xludf.DUMMYFUNCTION("IFERROR(VALUE(REGEXEXTRACT(TO_TEXT($F384), R$1 &amp; ""x(\d+)"")), """")"),"")</f>
        <v/>
      </c>
      <c r="S384" s="9">
        <f ca="1">IFERROR(__xludf.DUMMYFUNCTION("IFERROR(VALUE(REGEXEXTRACT(TO_TEXT($F384), S$1 &amp; ""x(\d+)"")), """")"),1)</f>
        <v>1</v>
      </c>
      <c r="T384" s="9" t="str">
        <f ca="1">IFERROR(__xludf.DUMMYFUNCTION("IFERROR(VALUE(REGEXEXTRACT(TO_TEXT($F384), T$1 &amp; ""x(\d+)"")), """")"),"")</f>
        <v/>
      </c>
      <c r="U384" s="9" t="str">
        <f ca="1">IFERROR(__xludf.DUMMYFUNCTION("IFERROR(VALUE(REGEXEXTRACT(TO_TEXT($F384), U$1 &amp; ""x(\d+)"")), """")"),"")</f>
        <v/>
      </c>
      <c r="V384" s="9" t="str">
        <f ca="1">IFERROR(__xludf.DUMMYFUNCTION("IFERROR(VALUE(REGEXEXTRACT(TO_TEXT($F384), V$1 &amp; ""x(\d+)"")), """")"),"")</f>
        <v/>
      </c>
      <c r="W384" s="9"/>
      <c r="X384" s="9"/>
      <c r="Y384" s="9"/>
      <c r="Z384" s="9"/>
    </row>
    <row r="385" spans="1:26" ht="15.75" customHeight="1">
      <c r="A385" s="9" t="s">
        <v>1471</v>
      </c>
      <c r="B385" s="9" t="s">
        <v>1472</v>
      </c>
      <c r="C385" s="9" t="s">
        <v>699</v>
      </c>
      <c r="D385" s="9" t="s">
        <v>33</v>
      </c>
      <c r="E385" s="9" t="s">
        <v>11</v>
      </c>
      <c r="F385" s="9" t="s">
        <v>1473</v>
      </c>
      <c r="G385" s="9">
        <v>20</v>
      </c>
      <c r="H385" s="9">
        <v>4</v>
      </c>
      <c r="I385" s="9">
        <v>1.0149999999999999</v>
      </c>
      <c r="J385" s="9">
        <v>100</v>
      </c>
      <c r="K385" s="9" t="s">
        <v>442</v>
      </c>
      <c r="L385" s="9"/>
      <c r="M385" s="9"/>
      <c r="N385" s="9" t="str">
        <f ca="1">IFERROR(__xludf.DUMMYFUNCTION("IFERROR(VALUE(REGEXEXTRACT(TO_TEXT($F385), N$1 &amp; ""x(\d+)"")), """")
"),"")</f>
        <v/>
      </c>
      <c r="O385" s="9" t="str">
        <f ca="1">IFERROR(__xludf.DUMMYFUNCTION("IFERROR(VALUE(REGEXEXTRACT(TO_TEXT($F385), O$1 &amp; ""x(\d+)"")), """")"),"")</f>
        <v/>
      </c>
      <c r="P385" s="9" t="str">
        <f ca="1">IFERROR(__xludf.DUMMYFUNCTION("IFERROR(VALUE(REGEXEXTRACT(TO_TEXT($F385), P$1 &amp; ""x(\d+)"")), """")"),"")</f>
        <v/>
      </c>
      <c r="Q385" s="9" t="str">
        <f ca="1">IFERROR(__xludf.DUMMYFUNCTION("IFERROR(VALUE(REGEXEXTRACT(TO_TEXT($F385), Q$1 &amp; ""x(\d+)"")), """")"),"")</f>
        <v/>
      </c>
      <c r="R385" s="9" t="str">
        <f ca="1">IFERROR(__xludf.DUMMYFUNCTION("IFERROR(VALUE(REGEXEXTRACT(TO_TEXT($F385), R$1 &amp; ""x(\d+)"")), """")"),"")</f>
        <v/>
      </c>
      <c r="S385" s="9" t="str">
        <f ca="1">IFERROR(__xludf.DUMMYFUNCTION("IFERROR(VALUE(REGEXEXTRACT(TO_TEXT($F385), S$1 &amp; ""x(\d+)"")), """")"),"")</f>
        <v/>
      </c>
      <c r="T385" s="9" t="str">
        <f ca="1">IFERROR(__xludf.DUMMYFUNCTION("IFERROR(VALUE(REGEXEXTRACT(TO_TEXT($F385), T$1 &amp; ""x(\d+)"")), """")"),"")</f>
        <v/>
      </c>
      <c r="U385" s="9" t="str">
        <f ca="1">IFERROR(__xludf.DUMMYFUNCTION("IFERROR(VALUE(REGEXEXTRACT(TO_TEXT($F385), U$1 &amp; ""x(\d+)"")), """")"),"")</f>
        <v/>
      </c>
      <c r="V385" s="9" t="str">
        <f ca="1">IFERROR(__xludf.DUMMYFUNCTION("IFERROR(VALUE(REGEXEXTRACT(TO_TEXT($F385), V$1 &amp; ""x(\d+)"")), """")"),"")</f>
        <v/>
      </c>
      <c r="W385" s="9"/>
      <c r="X385" s="9"/>
      <c r="Y385" s="9"/>
      <c r="Z385" s="9"/>
    </row>
    <row r="386" spans="1:26" ht="15.75" customHeight="1">
      <c r="A386" s="9" t="s">
        <v>1471</v>
      </c>
      <c r="B386" s="9" t="s">
        <v>1472</v>
      </c>
      <c r="C386" s="9" t="s">
        <v>699</v>
      </c>
      <c r="D386" s="9" t="s">
        <v>33</v>
      </c>
      <c r="E386" s="9" t="s">
        <v>12</v>
      </c>
      <c r="F386" s="9" t="s">
        <v>1474</v>
      </c>
      <c r="G386" s="9">
        <v>100</v>
      </c>
      <c r="H386" s="9">
        <v>4</v>
      </c>
      <c r="I386" s="9">
        <v>1.0149999999999999</v>
      </c>
      <c r="J386" s="9">
        <v>100</v>
      </c>
      <c r="K386" s="9" t="s">
        <v>442</v>
      </c>
      <c r="L386" s="9"/>
      <c r="M386" s="9"/>
      <c r="N386" s="9" t="str">
        <f ca="1">IFERROR(__xludf.DUMMYFUNCTION("IFERROR(VALUE(REGEXEXTRACT(TO_TEXT($F386), N$1 &amp; ""x(\d+)"")), """")
"),"")</f>
        <v/>
      </c>
      <c r="O386" s="9">
        <f ca="1">IFERROR(__xludf.DUMMYFUNCTION("IFERROR(VALUE(REGEXEXTRACT(TO_TEXT($F386), O$1 &amp; ""x(\d+)"")), """")"),1)</f>
        <v>1</v>
      </c>
      <c r="P386" s="9" t="str">
        <f ca="1">IFERROR(__xludf.DUMMYFUNCTION("IFERROR(VALUE(REGEXEXTRACT(TO_TEXT($F386), P$1 &amp; ""x(\d+)"")), """")"),"")</f>
        <v/>
      </c>
      <c r="Q386" s="9" t="str">
        <f ca="1">IFERROR(__xludf.DUMMYFUNCTION("IFERROR(VALUE(REGEXEXTRACT(TO_TEXT($F386), Q$1 &amp; ""x(\d+)"")), """")"),"")</f>
        <v/>
      </c>
      <c r="R386" s="9" t="str">
        <f ca="1">IFERROR(__xludf.DUMMYFUNCTION("IFERROR(VALUE(REGEXEXTRACT(TO_TEXT($F386), R$1 &amp; ""x(\d+)"")), """")"),"")</f>
        <v/>
      </c>
      <c r="S386" s="9" t="str">
        <f ca="1">IFERROR(__xludf.DUMMYFUNCTION("IFERROR(VALUE(REGEXEXTRACT(TO_TEXT($F386), S$1 &amp; ""x(\d+)"")), """")"),"")</f>
        <v/>
      </c>
      <c r="T386" s="9" t="str">
        <f ca="1">IFERROR(__xludf.DUMMYFUNCTION("IFERROR(VALUE(REGEXEXTRACT(TO_TEXT($F386), T$1 &amp; ""x(\d+)"")), """")"),"")</f>
        <v/>
      </c>
      <c r="U386" s="9" t="str">
        <f ca="1">IFERROR(__xludf.DUMMYFUNCTION("IFERROR(VALUE(REGEXEXTRACT(TO_TEXT($F386), U$1 &amp; ""x(\d+)"")), """")"),"")</f>
        <v/>
      </c>
      <c r="V386" s="9" t="str">
        <f ca="1">IFERROR(__xludf.DUMMYFUNCTION("IFERROR(VALUE(REGEXEXTRACT(TO_TEXT($F386), V$1 &amp; ""x(\d+)"")), """")"),"")</f>
        <v/>
      </c>
      <c r="W386" s="9"/>
      <c r="X386" s="9"/>
      <c r="Y386" s="9"/>
      <c r="Z386" s="9"/>
    </row>
    <row r="387" spans="1:26" ht="15.75" customHeight="1">
      <c r="A387" s="9" t="s">
        <v>1471</v>
      </c>
      <c r="B387" s="9" t="s">
        <v>1472</v>
      </c>
      <c r="C387" s="9" t="s">
        <v>699</v>
      </c>
      <c r="D387" s="9" t="s">
        <v>33</v>
      </c>
      <c r="E387" s="9" t="s">
        <v>13</v>
      </c>
      <c r="F387" s="9" t="s">
        <v>1095</v>
      </c>
      <c r="G387" s="9">
        <v>10</v>
      </c>
      <c r="H387" s="9">
        <v>4</v>
      </c>
      <c r="I387" s="9">
        <v>1.0149999999999999</v>
      </c>
      <c r="J387" s="9">
        <v>100</v>
      </c>
      <c r="K387" s="9" t="s">
        <v>442</v>
      </c>
      <c r="L387" s="9"/>
      <c r="M387" s="9"/>
      <c r="N387" s="9" t="str">
        <f ca="1">IFERROR(__xludf.DUMMYFUNCTION("IFERROR(VALUE(REGEXEXTRACT(TO_TEXT($F387), N$1 &amp; ""x(\d+)"")), """")
"),"")</f>
        <v/>
      </c>
      <c r="O387" s="9">
        <f ca="1">IFERROR(__xludf.DUMMYFUNCTION("IFERROR(VALUE(REGEXEXTRACT(TO_TEXT($F387), O$1 &amp; ""x(\d+)"")), """")"),1)</f>
        <v>1</v>
      </c>
      <c r="P387" s="9" t="str">
        <f ca="1">IFERROR(__xludf.DUMMYFUNCTION("IFERROR(VALUE(REGEXEXTRACT(TO_TEXT($F387), P$1 &amp; ""x(\d+)"")), """")"),"")</f>
        <v/>
      </c>
      <c r="Q387" s="9" t="str">
        <f ca="1">IFERROR(__xludf.DUMMYFUNCTION("IFERROR(VALUE(REGEXEXTRACT(TO_TEXT($F387), Q$1 &amp; ""x(\d+)"")), """")"),"")</f>
        <v/>
      </c>
      <c r="R387" s="9" t="str">
        <f ca="1">IFERROR(__xludf.DUMMYFUNCTION("IFERROR(VALUE(REGEXEXTRACT(TO_TEXT($F387), R$1 &amp; ""x(\d+)"")), """")"),"")</f>
        <v/>
      </c>
      <c r="S387" s="9" t="str">
        <f ca="1">IFERROR(__xludf.DUMMYFUNCTION("IFERROR(VALUE(REGEXEXTRACT(TO_TEXT($F387), S$1 &amp; ""x(\d+)"")), """")"),"")</f>
        <v/>
      </c>
      <c r="T387" s="9" t="str">
        <f ca="1">IFERROR(__xludf.DUMMYFUNCTION("IFERROR(VALUE(REGEXEXTRACT(TO_TEXT($F387), T$1 &amp; ""x(\d+)"")), """")"),"")</f>
        <v/>
      </c>
      <c r="U387" s="9" t="str">
        <f ca="1">IFERROR(__xludf.DUMMYFUNCTION("IFERROR(VALUE(REGEXEXTRACT(TO_TEXT($F387), U$1 &amp; ""x(\d+)"")), """")"),"")</f>
        <v/>
      </c>
      <c r="V387" s="9" t="str">
        <f ca="1">IFERROR(__xludf.DUMMYFUNCTION("IFERROR(VALUE(REGEXEXTRACT(TO_TEXT($F387), V$1 &amp; ""x(\d+)"")), """")"),"")</f>
        <v/>
      </c>
      <c r="W387" s="9"/>
      <c r="X387" s="9"/>
      <c r="Y387" s="9"/>
      <c r="Z387" s="9"/>
    </row>
    <row r="388" spans="1:26" ht="15.75" hidden="1" customHeight="1">
      <c r="A388" s="9" t="s">
        <v>1475</v>
      </c>
      <c r="B388" s="9" t="s">
        <v>1476</v>
      </c>
      <c r="C388" s="9" t="s">
        <v>693</v>
      </c>
      <c r="D388" s="9" t="s">
        <v>48</v>
      </c>
      <c r="E388" s="9" t="s">
        <v>11</v>
      </c>
      <c r="F388" s="9" t="s">
        <v>1477</v>
      </c>
      <c r="G388" s="9">
        <v>20</v>
      </c>
      <c r="H388" s="9">
        <v>3</v>
      </c>
      <c r="I388" s="9">
        <v>1.0149999999999999</v>
      </c>
      <c r="J388" s="9">
        <v>52</v>
      </c>
      <c r="K388" s="9" t="s">
        <v>424</v>
      </c>
      <c r="L388" s="9"/>
      <c r="M388" s="9"/>
      <c r="N388" s="9" t="str">
        <f ca="1">IFERROR(__xludf.DUMMYFUNCTION("IFERROR(VALUE(REGEXEXTRACT(TO_TEXT($F388), N$1 &amp; ""x(\d+)"")), """")
"),"")</f>
        <v/>
      </c>
      <c r="O388" s="9" t="str">
        <f ca="1">IFERROR(__xludf.DUMMYFUNCTION("IFERROR(VALUE(REGEXEXTRACT(TO_TEXT($F388), O$1 &amp; ""x(\d+)"")), """")"),"")</f>
        <v/>
      </c>
      <c r="P388" s="9" t="str">
        <f ca="1">IFERROR(__xludf.DUMMYFUNCTION("IFERROR(VALUE(REGEXEXTRACT(TO_TEXT($F388), P$1 &amp; ""x(\d+)"")), """")"),"")</f>
        <v/>
      </c>
      <c r="Q388" s="9" t="str">
        <f ca="1">IFERROR(__xludf.DUMMYFUNCTION("IFERROR(VALUE(REGEXEXTRACT(TO_TEXT($F388), Q$1 &amp; ""x(\d+)"")), """")"),"")</f>
        <v/>
      </c>
      <c r="R388" s="9" t="str">
        <f ca="1">IFERROR(__xludf.DUMMYFUNCTION("IFERROR(VALUE(REGEXEXTRACT(TO_TEXT($F388), R$1 &amp; ""x(\d+)"")), """")"),"")</f>
        <v/>
      </c>
      <c r="S388" s="9" t="str">
        <f ca="1">IFERROR(__xludf.DUMMYFUNCTION("IFERROR(VALUE(REGEXEXTRACT(TO_TEXT($F388), S$1 &amp; ""x(\d+)"")), """")"),"")</f>
        <v/>
      </c>
      <c r="T388" s="9" t="str">
        <f ca="1">IFERROR(__xludf.DUMMYFUNCTION("IFERROR(VALUE(REGEXEXTRACT(TO_TEXT($F388), T$1 &amp; ""x(\d+)"")), """")"),"")</f>
        <v/>
      </c>
      <c r="U388" s="9" t="str">
        <f ca="1">IFERROR(__xludf.DUMMYFUNCTION("IFERROR(VALUE(REGEXEXTRACT(TO_TEXT($F388), U$1 &amp; ""x(\d+)"")), """")"),"")</f>
        <v/>
      </c>
      <c r="V388" s="9" t="str">
        <f ca="1">IFERROR(__xludf.DUMMYFUNCTION("IFERROR(VALUE(REGEXEXTRACT(TO_TEXT($F388), V$1 &amp; ""x(\d+)"")), """")"),"")</f>
        <v/>
      </c>
      <c r="W388" s="9"/>
      <c r="X388" s="9"/>
      <c r="Y388" s="9"/>
      <c r="Z388" s="9"/>
    </row>
    <row r="389" spans="1:26" ht="15.75" hidden="1" customHeight="1">
      <c r="A389" s="9" t="s">
        <v>1475</v>
      </c>
      <c r="B389" s="9" t="s">
        <v>1476</v>
      </c>
      <c r="C389" s="9" t="s">
        <v>693</v>
      </c>
      <c r="D389" s="9" t="s">
        <v>48</v>
      </c>
      <c r="E389" s="9" t="s">
        <v>12</v>
      </c>
      <c r="F389" s="9" t="s">
        <v>1478</v>
      </c>
      <c r="G389" s="9">
        <v>140</v>
      </c>
      <c r="H389" s="9">
        <v>3</v>
      </c>
      <c r="I389" s="9">
        <v>1.0149999999999999</v>
      </c>
      <c r="J389" s="9">
        <v>52</v>
      </c>
      <c r="K389" s="9" t="s">
        <v>424</v>
      </c>
      <c r="L389" s="9"/>
      <c r="M389" s="9"/>
      <c r="N389" s="9" t="str">
        <f ca="1">IFERROR(__xludf.DUMMYFUNCTION("IFERROR(VALUE(REGEXEXTRACT(TO_TEXT($F389), N$1 &amp; ""x(\d+)"")), """")
"),"")</f>
        <v/>
      </c>
      <c r="O389" s="9" t="str">
        <f ca="1">IFERROR(__xludf.DUMMYFUNCTION("IFERROR(VALUE(REGEXEXTRACT(TO_TEXT($F389), O$1 &amp; ""x(\d+)"")), """")"),"")</f>
        <v/>
      </c>
      <c r="P389" s="9">
        <f ca="1">IFERROR(__xludf.DUMMYFUNCTION("IFERROR(VALUE(REGEXEXTRACT(TO_TEXT($F389), P$1 &amp; ""x(\d+)"")), """")"),1)</f>
        <v>1</v>
      </c>
      <c r="Q389" s="9" t="str">
        <f ca="1">IFERROR(__xludf.DUMMYFUNCTION("IFERROR(VALUE(REGEXEXTRACT(TO_TEXT($F389), Q$1 &amp; ""x(\d+)"")), """")"),"")</f>
        <v/>
      </c>
      <c r="R389" s="9" t="str">
        <f ca="1">IFERROR(__xludf.DUMMYFUNCTION("IFERROR(VALUE(REGEXEXTRACT(TO_TEXT($F389), R$1 &amp; ""x(\d+)"")), """")"),"")</f>
        <v/>
      </c>
      <c r="S389" s="9" t="str">
        <f ca="1">IFERROR(__xludf.DUMMYFUNCTION("IFERROR(VALUE(REGEXEXTRACT(TO_TEXT($F389), S$1 &amp; ""x(\d+)"")), """")"),"")</f>
        <v/>
      </c>
      <c r="T389" s="9" t="str">
        <f ca="1">IFERROR(__xludf.DUMMYFUNCTION("IFERROR(VALUE(REGEXEXTRACT(TO_TEXT($F389), T$1 &amp; ""x(\d+)"")), """")"),"")</f>
        <v/>
      </c>
      <c r="U389" s="9" t="str">
        <f ca="1">IFERROR(__xludf.DUMMYFUNCTION("IFERROR(VALUE(REGEXEXTRACT(TO_TEXT($F389), U$1 &amp; ""x(\d+)"")), """")"),"")</f>
        <v/>
      </c>
      <c r="V389" s="9" t="str">
        <f ca="1">IFERROR(__xludf.DUMMYFUNCTION("IFERROR(VALUE(REGEXEXTRACT(TO_TEXT($F389), V$1 &amp; ""x(\d+)"")), """")"),"")</f>
        <v/>
      </c>
      <c r="W389" s="9"/>
      <c r="X389" s="9"/>
      <c r="Y389" s="9"/>
      <c r="Z389" s="9"/>
    </row>
    <row r="390" spans="1:26" ht="15.75" hidden="1" customHeight="1">
      <c r="A390" s="9" t="s">
        <v>1475</v>
      </c>
      <c r="B390" s="9" t="s">
        <v>1476</v>
      </c>
      <c r="C390" s="9" t="s">
        <v>693</v>
      </c>
      <c r="D390" s="9" t="s">
        <v>48</v>
      </c>
      <c r="E390" s="9" t="s">
        <v>13</v>
      </c>
      <c r="F390" s="9" t="s">
        <v>1206</v>
      </c>
      <c r="G390" s="9">
        <v>30</v>
      </c>
      <c r="H390" s="9">
        <v>3</v>
      </c>
      <c r="I390" s="9">
        <v>1.0149999999999999</v>
      </c>
      <c r="J390" s="9">
        <v>52</v>
      </c>
      <c r="K390" s="9" t="s">
        <v>424</v>
      </c>
      <c r="L390" s="9"/>
      <c r="M390" s="9"/>
      <c r="N390" s="9" t="str">
        <f ca="1">IFERROR(__xludf.DUMMYFUNCTION("IFERROR(VALUE(REGEXEXTRACT(TO_TEXT($F390), N$1 &amp; ""x(\d+)"")), """")
"),"")</f>
        <v/>
      </c>
      <c r="O390" s="9" t="str">
        <f ca="1">IFERROR(__xludf.DUMMYFUNCTION("IFERROR(VALUE(REGEXEXTRACT(TO_TEXT($F390), O$1 &amp; ""x(\d+)"")), """")"),"")</f>
        <v/>
      </c>
      <c r="P390" s="9">
        <f ca="1">IFERROR(__xludf.DUMMYFUNCTION("IFERROR(VALUE(REGEXEXTRACT(TO_TEXT($F390), P$1 &amp; ""x(\d+)"")), """")"),1)</f>
        <v>1</v>
      </c>
      <c r="Q390" s="9" t="str">
        <f ca="1">IFERROR(__xludf.DUMMYFUNCTION("IFERROR(VALUE(REGEXEXTRACT(TO_TEXT($F390), Q$1 &amp; ""x(\d+)"")), """")"),"")</f>
        <v/>
      </c>
      <c r="R390" s="9" t="str">
        <f ca="1">IFERROR(__xludf.DUMMYFUNCTION("IFERROR(VALUE(REGEXEXTRACT(TO_TEXT($F390), R$1 &amp; ""x(\d+)"")), """")"),"")</f>
        <v/>
      </c>
      <c r="S390" s="9" t="str">
        <f ca="1">IFERROR(__xludf.DUMMYFUNCTION("IFERROR(VALUE(REGEXEXTRACT(TO_TEXT($F390), S$1 &amp; ""x(\d+)"")), """")"),"")</f>
        <v/>
      </c>
      <c r="T390" s="9" t="str">
        <f ca="1">IFERROR(__xludf.DUMMYFUNCTION("IFERROR(VALUE(REGEXEXTRACT(TO_TEXT($F390), T$1 &amp; ""x(\d+)"")), """")"),"")</f>
        <v/>
      </c>
      <c r="U390" s="9" t="str">
        <f ca="1">IFERROR(__xludf.DUMMYFUNCTION("IFERROR(VALUE(REGEXEXTRACT(TO_TEXT($F390), U$1 &amp; ""x(\d+)"")), """")"),"")</f>
        <v/>
      </c>
      <c r="V390" s="9" t="str">
        <f ca="1">IFERROR(__xludf.DUMMYFUNCTION("IFERROR(VALUE(REGEXEXTRACT(TO_TEXT($F390), V$1 &amp; ""x(\d+)"")), """")"),"")</f>
        <v/>
      </c>
      <c r="W390" s="9"/>
      <c r="X390" s="9"/>
      <c r="Y390" s="9"/>
      <c r="Z390" s="9"/>
    </row>
    <row r="391" spans="1:26" ht="15.75" hidden="1" customHeight="1">
      <c r="A391" s="9" t="s">
        <v>1479</v>
      </c>
      <c r="B391" s="9" t="s">
        <v>1480</v>
      </c>
      <c r="C391" s="9" t="s">
        <v>703</v>
      </c>
      <c r="D391" s="9" t="s">
        <v>48</v>
      </c>
      <c r="E391" s="9" t="s">
        <v>11</v>
      </c>
      <c r="F391" s="9" t="s">
        <v>1477</v>
      </c>
      <c r="G391" s="9">
        <v>20</v>
      </c>
      <c r="H391" s="9">
        <v>3</v>
      </c>
      <c r="I391" s="9">
        <v>1.0149999999999999</v>
      </c>
      <c r="J391" s="9">
        <v>52</v>
      </c>
      <c r="K391" s="9" t="s">
        <v>424</v>
      </c>
      <c r="L391" s="9"/>
      <c r="M391" s="9"/>
      <c r="N391" s="9" t="str">
        <f ca="1">IFERROR(__xludf.DUMMYFUNCTION("IFERROR(VALUE(REGEXEXTRACT(TO_TEXT($F391), N$1 &amp; ""x(\d+)"")), """")
"),"")</f>
        <v/>
      </c>
      <c r="O391" s="9" t="str">
        <f ca="1">IFERROR(__xludf.DUMMYFUNCTION("IFERROR(VALUE(REGEXEXTRACT(TO_TEXT($F391), O$1 &amp; ""x(\d+)"")), """")"),"")</f>
        <v/>
      </c>
      <c r="P391" s="9" t="str">
        <f ca="1">IFERROR(__xludf.DUMMYFUNCTION("IFERROR(VALUE(REGEXEXTRACT(TO_TEXT($F391), P$1 &amp; ""x(\d+)"")), """")"),"")</f>
        <v/>
      </c>
      <c r="Q391" s="9" t="str">
        <f ca="1">IFERROR(__xludf.DUMMYFUNCTION("IFERROR(VALUE(REGEXEXTRACT(TO_TEXT($F391), Q$1 &amp; ""x(\d+)"")), """")"),"")</f>
        <v/>
      </c>
      <c r="R391" s="9" t="str">
        <f ca="1">IFERROR(__xludf.DUMMYFUNCTION("IFERROR(VALUE(REGEXEXTRACT(TO_TEXT($F391), R$1 &amp; ""x(\d+)"")), """")"),"")</f>
        <v/>
      </c>
      <c r="S391" s="9" t="str">
        <f ca="1">IFERROR(__xludf.DUMMYFUNCTION("IFERROR(VALUE(REGEXEXTRACT(TO_TEXT($F391), S$1 &amp; ""x(\d+)"")), """")"),"")</f>
        <v/>
      </c>
      <c r="T391" s="9" t="str">
        <f ca="1">IFERROR(__xludf.DUMMYFUNCTION("IFERROR(VALUE(REGEXEXTRACT(TO_TEXT($F391), T$1 &amp; ""x(\d+)"")), """")"),"")</f>
        <v/>
      </c>
      <c r="U391" s="9" t="str">
        <f ca="1">IFERROR(__xludf.DUMMYFUNCTION("IFERROR(VALUE(REGEXEXTRACT(TO_TEXT($F391), U$1 &amp; ""x(\d+)"")), """")"),"")</f>
        <v/>
      </c>
      <c r="V391" s="9" t="str">
        <f ca="1">IFERROR(__xludf.DUMMYFUNCTION("IFERROR(VALUE(REGEXEXTRACT(TO_TEXT($F391), V$1 &amp; ""x(\d+)"")), """")"),"")</f>
        <v/>
      </c>
      <c r="W391" s="9"/>
      <c r="X391" s="9"/>
      <c r="Y391" s="9"/>
      <c r="Z391" s="9"/>
    </row>
    <row r="392" spans="1:26" ht="15.75" hidden="1" customHeight="1">
      <c r="A392" s="9" t="s">
        <v>1479</v>
      </c>
      <c r="B392" s="9" t="s">
        <v>1480</v>
      </c>
      <c r="C392" s="9" t="s">
        <v>703</v>
      </c>
      <c r="D392" s="9" t="s">
        <v>48</v>
      </c>
      <c r="E392" s="9" t="s">
        <v>12</v>
      </c>
      <c r="F392" s="9" t="s">
        <v>1478</v>
      </c>
      <c r="G392" s="9">
        <v>140</v>
      </c>
      <c r="H392" s="9">
        <v>3</v>
      </c>
      <c r="I392" s="9">
        <v>1.0149999999999999</v>
      </c>
      <c r="J392" s="9">
        <v>52</v>
      </c>
      <c r="K392" s="9" t="s">
        <v>424</v>
      </c>
      <c r="L392" s="9"/>
      <c r="M392" s="9"/>
      <c r="N392" s="9" t="str">
        <f ca="1">IFERROR(__xludf.DUMMYFUNCTION("IFERROR(VALUE(REGEXEXTRACT(TO_TEXT($F392), N$1 &amp; ""x(\d+)"")), """")
"),"")</f>
        <v/>
      </c>
      <c r="O392" s="9" t="str">
        <f ca="1">IFERROR(__xludf.DUMMYFUNCTION("IFERROR(VALUE(REGEXEXTRACT(TO_TEXT($F392), O$1 &amp; ""x(\d+)"")), """")"),"")</f>
        <v/>
      </c>
      <c r="P392" s="9">
        <f ca="1">IFERROR(__xludf.DUMMYFUNCTION("IFERROR(VALUE(REGEXEXTRACT(TO_TEXT($F392), P$1 &amp; ""x(\d+)"")), """")"),1)</f>
        <v>1</v>
      </c>
      <c r="Q392" s="9" t="str">
        <f ca="1">IFERROR(__xludf.DUMMYFUNCTION("IFERROR(VALUE(REGEXEXTRACT(TO_TEXT($F392), Q$1 &amp; ""x(\d+)"")), """")"),"")</f>
        <v/>
      </c>
      <c r="R392" s="9" t="str">
        <f ca="1">IFERROR(__xludf.DUMMYFUNCTION("IFERROR(VALUE(REGEXEXTRACT(TO_TEXT($F392), R$1 &amp; ""x(\d+)"")), """")"),"")</f>
        <v/>
      </c>
      <c r="S392" s="9" t="str">
        <f ca="1">IFERROR(__xludf.DUMMYFUNCTION("IFERROR(VALUE(REGEXEXTRACT(TO_TEXT($F392), S$1 &amp; ""x(\d+)"")), """")"),"")</f>
        <v/>
      </c>
      <c r="T392" s="9" t="str">
        <f ca="1">IFERROR(__xludf.DUMMYFUNCTION("IFERROR(VALUE(REGEXEXTRACT(TO_TEXT($F392), T$1 &amp; ""x(\d+)"")), """")"),"")</f>
        <v/>
      </c>
      <c r="U392" s="9" t="str">
        <f ca="1">IFERROR(__xludf.DUMMYFUNCTION("IFERROR(VALUE(REGEXEXTRACT(TO_TEXT($F392), U$1 &amp; ""x(\d+)"")), """")"),"")</f>
        <v/>
      </c>
      <c r="V392" s="9" t="str">
        <f ca="1">IFERROR(__xludf.DUMMYFUNCTION("IFERROR(VALUE(REGEXEXTRACT(TO_TEXT($F392), V$1 &amp; ""x(\d+)"")), """")"),"")</f>
        <v/>
      </c>
      <c r="W392" s="9"/>
      <c r="X392" s="9"/>
      <c r="Y392" s="9"/>
      <c r="Z392" s="9"/>
    </row>
    <row r="393" spans="1:26" ht="15.75" hidden="1" customHeight="1">
      <c r="A393" s="9" t="s">
        <v>1479</v>
      </c>
      <c r="B393" s="9" t="s">
        <v>1480</v>
      </c>
      <c r="C393" s="9" t="s">
        <v>703</v>
      </c>
      <c r="D393" s="9" t="s">
        <v>48</v>
      </c>
      <c r="E393" s="9" t="s">
        <v>13</v>
      </c>
      <c r="F393" s="9" t="s">
        <v>1206</v>
      </c>
      <c r="G393" s="9">
        <v>30</v>
      </c>
      <c r="H393" s="9">
        <v>3</v>
      </c>
      <c r="I393" s="9">
        <v>1.0149999999999999</v>
      </c>
      <c r="J393" s="9">
        <v>52</v>
      </c>
      <c r="K393" s="9" t="s">
        <v>424</v>
      </c>
      <c r="L393" s="9"/>
      <c r="M393" s="9"/>
      <c r="N393" s="9" t="str">
        <f ca="1">IFERROR(__xludf.DUMMYFUNCTION("IFERROR(VALUE(REGEXEXTRACT(TO_TEXT($F393), N$1 &amp; ""x(\d+)"")), """")
"),"")</f>
        <v/>
      </c>
      <c r="O393" s="9" t="str">
        <f ca="1">IFERROR(__xludf.DUMMYFUNCTION("IFERROR(VALUE(REGEXEXTRACT(TO_TEXT($F393), O$1 &amp; ""x(\d+)"")), """")"),"")</f>
        <v/>
      </c>
      <c r="P393" s="9">
        <f ca="1">IFERROR(__xludf.DUMMYFUNCTION("IFERROR(VALUE(REGEXEXTRACT(TO_TEXT($F393), P$1 &amp; ""x(\d+)"")), """")"),1)</f>
        <v>1</v>
      </c>
      <c r="Q393" s="9" t="str">
        <f ca="1">IFERROR(__xludf.DUMMYFUNCTION("IFERROR(VALUE(REGEXEXTRACT(TO_TEXT($F393), Q$1 &amp; ""x(\d+)"")), """")"),"")</f>
        <v/>
      </c>
      <c r="R393" s="9" t="str">
        <f ca="1">IFERROR(__xludf.DUMMYFUNCTION("IFERROR(VALUE(REGEXEXTRACT(TO_TEXT($F393), R$1 &amp; ""x(\d+)"")), """")"),"")</f>
        <v/>
      </c>
      <c r="S393" s="9" t="str">
        <f ca="1">IFERROR(__xludf.DUMMYFUNCTION("IFERROR(VALUE(REGEXEXTRACT(TO_TEXT($F393), S$1 &amp; ""x(\d+)"")), """")"),"")</f>
        <v/>
      </c>
      <c r="T393" s="9" t="str">
        <f ca="1">IFERROR(__xludf.DUMMYFUNCTION("IFERROR(VALUE(REGEXEXTRACT(TO_TEXT($F393), T$1 &amp; ""x(\d+)"")), """")"),"")</f>
        <v/>
      </c>
      <c r="U393" s="9" t="str">
        <f ca="1">IFERROR(__xludf.DUMMYFUNCTION("IFERROR(VALUE(REGEXEXTRACT(TO_TEXT($F393), U$1 &amp; ""x(\d+)"")), """")"),"")</f>
        <v/>
      </c>
      <c r="V393" s="9" t="str">
        <f ca="1">IFERROR(__xludf.DUMMYFUNCTION("IFERROR(VALUE(REGEXEXTRACT(TO_TEXT($F393), V$1 &amp; ""x(\d+)"")), """")"),"")</f>
        <v/>
      </c>
      <c r="W393" s="9"/>
      <c r="X393" s="9"/>
      <c r="Y393" s="9"/>
      <c r="Z393" s="9"/>
    </row>
    <row r="394" spans="1:26" ht="15.75" hidden="1" customHeight="1">
      <c r="A394" s="9" t="s">
        <v>1481</v>
      </c>
      <c r="B394" s="9" t="s">
        <v>1482</v>
      </c>
      <c r="C394" s="9" t="s">
        <v>701</v>
      </c>
      <c r="D394" s="9" t="s">
        <v>48</v>
      </c>
      <c r="E394" s="9" t="s">
        <v>11</v>
      </c>
      <c r="F394" s="9" t="s">
        <v>1477</v>
      </c>
      <c r="G394" s="9">
        <v>20</v>
      </c>
      <c r="H394" s="9">
        <v>3</v>
      </c>
      <c r="I394" s="9">
        <v>1.0149999999999999</v>
      </c>
      <c r="J394" s="9">
        <v>52</v>
      </c>
      <c r="K394" s="9" t="s">
        <v>424</v>
      </c>
      <c r="L394" s="9"/>
      <c r="M394" s="9"/>
      <c r="N394" s="9" t="str">
        <f ca="1">IFERROR(__xludf.DUMMYFUNCTION("IFERROR(VALUE(REGEXEXTRACT(TO_TEXT($F394), N$1 &amp; ""x(\d+)"")), """")
"),"")</f>
        <v/>
      </c>
      <c r="O394" s="9" t="str">
        <f ca="1">IFERROR(__xludf.DUMMYFUNCTION("IFERROR(VALUE(REGEXEXTRACT(TO_TEXT($F394), O$1 &amp; ""x(\d+)"")), """")"),"")</f>
        <v/>
      </c>
      <c r="P394" s="9" t="str">
        <f ca="1">IFERROR(__xludf.DUMMYFUNCTION("IFERROR(VALUE(REGEXEXTRACT(TO_TEXT($F394), P$1 &amp; ""x(\d+)"")), """")"),"")</f>
        <v/>
      </c>
      <c r="Q394" s="9" t="str">
        <f ca="1">IFERROR(__xludf.DUMMYFUNCTION("IFERROR(VALUE(REGEXEXTRACT(TO_TEXT($F394), Q$1 &amp; ""x(\d+)"")), """")"),"")</f>
        <v/>
      </c>
      <c r="R394" s="9" t="str">
        <f ca="1">IFERROR(__xludf.DUMMYFUNCTION("IFERROR(VALUE(REGEXEXTRACT(TO_TEXT($F394), R$1 &amp; ""x(\d+)"")), """")"),"")</f>
        <v/>
      </c>
      <c r="S394" s="9" t="str">
        <f ca="1">IFERROR(__xludf.DUMMYFUNCTION("IFERROR(VALUE(REGEXEXTRACT(TO_TEXT($F394), S$1 &amp; ""x(\d+)"")), """")"),"")</f>
        <v/>
      </c>
      <c r="T394" s="9" t="str">
        <f ca="1">IFERROR(__xludf.DUMMYFUNCTION("IFERROR(VALUE(REGEXEXTRACT(TO_TEXT($F394), T$1 &amp; ""x(\d+)"")), """")"),"")</f>
        <v/>
      </c>
      <c r="U394" s="9" t="str">
        <f ca="1">IFERROR(__xludf.DUMMYFUNCTION("IFERROR(VALUE(REGEXEXTRACT(TO_TEXT($F394), U$1 &amp; ""x(\d+)"")), """")"),"")</f>
        <v/>
      </c>
      <c r="V394" s="9" t="str">
        <f ca="1">IFERROR(__xludf.DUMMYFUNCTION("IFERROR(VALUE(REGEXEXTRACT(TO_TEXT($F394), V$1 &amp; ""x(\d+)"")), """")"),"")</f>
        <v/>
      </c>
      <c r="W394" s="9"/>
      <c r="X394" s="9"/>
      <c r="Y394" s="9"/>
      <c r="Z394" s="9"/>
    </row>
    <row r="395" spans="1:26" ht="15.75" hidden="1" customHeight="1">
      <c r="A395" s="9" t="s">
        <v>1481</v>
      </c>
      <c r="B395" s="9" t="s">
        <v>1482</v>
      </c>
      <c r="C395" s="9" t="s">
        <v>701</v>
      </c>
      <c r="D395" s="9" t="s">
        <v>48</v>
      </c>
      <c r="E395" s="9" t="s">
        <v>12</v>
      </c>
      <c r="F395" s="9" t="s">
        <v>1478</v>
      </c>
      <c r="G395" s="9">
        <v>140</v>
      </c>
      <c r="H395" s="9">
        <v>3</v>
      </c>
      <c r="I395" s="9">
        <v>1.0149999999999999</v>
      </c>
      <c r="J395" s="9">
        <v>52</v>
      </c>
      <c r="K395" s="9" t="s">
        <v>424</v>
      </c>
      <c r="L395" s="9"/>
      <c r="M395" s="9"/>
      <c r="N395" s="9" t="str">
        <f ca="1">IFERROR(__xludf.DUMMYFUNCTION("IFERROR(VALUE(REGEXEXTRACT(TO_TEXT($F395), N$1 &amp; ""x(\d+)"")), """")
"),"")</f>
        <v/>
      </c>
      <c r="O395" s="9" t="str">
        <f ca="1">IFERROR(__xludf.DUMMYFUNCTION("IFERROR(VALUE(REGEXEXTRACT(TO_TEXT($F395), O$1 &amp; ""x(\d+)"")), """")"),"")</f>
        <v/>
      </c>
      <c r="P395" s="9">
        <f ca="1">IFERROR(__xludf.DUMMYFUNCTION("IFERROR(VALUE(REGEXEXTRACT(TO_TEXT($F395), P$1 &amp; ""x(\d+)"")), """")"),1)</f>
        <v>1</v>
      </c>
      <c r="Q395" s="9" t="str">
        <f ca="1">IFERROR(__xludf.DUMMYFUNCTION("IFERROR(VALUE(REGEXEXTRACT(TO_TEXT($F395), Q$1 &amp; ""x(\d+)"")), """")"),"")</f>
        <v/>
      </c>
      <c r="R395" s="9" t="str">
        <f ca="1">IFERROR(__xludf.DUMMYFUNCTION("IFERROR(VALUE(REGEXEXTRACT(TO_TEXT($F395), R$1 &amp; ""x(\d+)"")), """")"),"")</f>
        <v/>
      </c>
      <c r="S395" s="9" t="str">
        <f ca="1">IFERROR(__xludf.DUMMYFUNCTION("IFERROR(VALUE(REGEXEXTRACT(TO_TEXT($F395), S$1 &amp; ""x(\d+)"")), """")"),"")</f>
        <v/>
      </c>
      <c r="T395" s="9" t="str">
        <f ca="1">IFERROR(__xludf.DUMMYFUNCTION("IFERROR(VALUE(REGEXEXTRACT(TO_TEXT($F395), T$1 &amp; ""x(\d+)"")), """")"),"")</f>
        <v/>
      </c>
      <c r="U395" s="9" t="str">
        <f ca="1">IFERROR(__xludf.DUMMYFUNCTION("IFERROR(VALUE(REGEXEXTRACT(TO_TEXT($F395), U$1 &amp; ""x(\d+)"")), """")"),"")</f>
        <v/>
      </c>
      <c r="V395" s="9" t="str">
        <f ca="1">IFERROR(__xludf.DUMMYFUNCTION("IFERROR(VALUE(REGEXEXTRACT(TO_TEXT($F395), V$1 &amp; ""x(\d+)"")), """")"),"")</f>
        <v/>
      </c>
      <c r="W395" s="9"/>
      <c r="X395" s="9"/>
      <c r="Y395" s="9"/>
      <c r="Z395" s="9"/>
    </row>
    <row r="396" spans="1:26" ht="15.75" hidden="1" customHeight="1">
      <c r="A396" s="9" t="s">
        <v>1481</v>
      </c>
      <c r="B396" s="9" t="s">
        <v>1482</v>
      </c>
      <c r="C396" s="9" t="s">
        <v>701</v>
      </c>
      <c r="D396" s="9" t="s">
        <v>48</v>
      </c>
      <c r="E396" s="9" t="s">
        <v>13</v>
      </c>
      <c r="F396" s="9" t="s">
        <v>1206</v>
      </c>
      <c r="G396" s="9">
        <v>30</v>
      </c>
      <c r="H396" s="9">
        <v>3</v>
      </c>
      <c r="I396" s="9">
        <v>1.0149999999999999</v>
      </c>
      <c r="J396" s="9">
        <v>52</v>
      </c>
      <c r="K396" s="9" t="s">
        <v>424</v>
      </c>
      <c r="L396" s="9"/>
      <c r="M396" s="9"/>
      <c r="N396" s="9" t="str">
        <f ca="1">IFERROR(__xludf.DUMMYFUNCTION("IFERROR(VALUE(REGEXEXTRACT(TO_TEXT($F396), N$1 &amp; ""x(\d+)"")), """")
"),"")</f>
        <v/>
      </c>
      <c r="O396" s="9" t="str">
        <f ca="1">IFERROR(__xludf.DUMMYFUNCTION("IFERROR(VALUE(REGEXEXTRACT(TO_TEXT($F396), O$1 &amp; ""x(\d+)"")), """")"),"")</f>
        <v/>
      </c>
      <c r="P396" s="9">
        <f ca="1">IFERROR(__xludf.DUMMYFUNCTION("IFERROR(VALUE(REGEXEXTRACT(TO_TEXT($F396), P$1 &amp; ""x(\d+)"")), """")"),1)</f>
        <v>1</v>
      </c>
      <c r="Q396" s="9" t="str">
        <f ca="1">IFERROR(__xludf.DUMMYFUNCTION("IFERROR(VALUE(REGEXEXTRACT(TO_TEXT($F396), Q$1 &amp; ""x(\d+)"")), """")"),"")</f>
        <v/>
      </c>
      <c r="R396" s="9" t="str">
        <f ca="1">IFERROR(__xludf.DUMMYFUNCTION("IFERROR(VALUE(REGEXEXTRACT(TO_TEXT($F396), R$1 &amp; ""x(\d+)"")), """")"),"")</f>
        <v/>
      </c>
      <c r="S396" s="9" t="str">
        <f ca="1">IFERROR(__xludf.DUMMYFUNCTION("IFERROR(VALUE(REGEXEXTRACT(TO_TEXT($F396), S$1 &amp; ""x(\d+)"")), """")"),"")</f>
        <v/>
      </c>
      <c r="T396" s="9" t="str">
        <f ca="1">IFERROR(__xludf.DUMMYFUNCTION("IFERROR(VALUE(REGEXEXTRACT(TO_TEXT($F396), T$1 &amp; ""x(\d+)"")), """")"),"")</f>
        <v/>
      </c>
      <c r="U396" s="9" t="str">
        <f ca="1">IFERROR(__xludf.DUMMYFUNCTION("IFERROR(VALUE(REGEXEXTRACT(TO_TEXT($F396), U$1 &amp; ""x(\d+)"")), """")"),"")</f>
        <v/>
      </c>
      <c r="V396" s="9" t="str">
        <f ca="1">IFERROR(__xludf.DUMMYFUNCTION("IFERROR(VALUE(REGEXEXTRACT(TO_TEXT($F396), V$1 &amp; ""x(\d+)"")), """")"),"")</f>
        <v/>
      </c>
      <c r="W396" s="9"/>
      <c r="X396" s="9"/>
      <c r="Y396" s="9"/>
      <c r="Z396" s="9"/>
    </row>
    <row r="397" spans="1:26" ht="15.75" hidden="1" customHeight="1">
      <c r="A397" s="9" t="s">
        <v>1483</v>
      </c>
      <c r="B397" s="9" t="s">
        <v>1484</v>
      </c>
      <c r="C397" s="9" t="s">
        <v>695</v>
      </c>
      <c r="D397" s="9" t="s">
        <v>40</v>
      </c>
      <c r="E397" s="9" t="s">
        <v>11</v>
      </c>
      <c r="F397" s="9" t="s">
        <v>1187</v>
      </c>
      <c r="G397" s="9">
        <v>80</v>
      </c>
      <c r="H397" s="9">
        <v>4</v>
      </c>
      <c r="I397" s="9">
        <v>1.0149999999999999</v>
      </c>
      <c r="J397" s="9">
        <v>400</v>
      </c>
      <c r="K397" s="9" t="s">
        <v>442</v>
      </c>
      <c r="L397" s="9"/>
      <c r="M397" s="9"/>
      <c r="N397" s="9" t="str">
        <f ca="1">IFERROR(__xludf.DUMMYFUNCTION("IFERROR(VALUE(REGEXEXTRACT(TO_TEXT($F397), N$1 &amp; ""x(\d+)"")), """")
"),"")</f>
        <v/>
      </c>
      <c r="O397" s="9">
        <f ca="1">IFERROR(__xludf.DUMMYFUNCTION("IFERROR(VALUE(REGEXEXTRACT(TO_TEXT($F397), O$1 &amp; ""x(\d+)"")), """")"),1)</f>
        <v>1</v>
      </c>
      <c r="P397" s="9" t="str">
        <f ca="1">IFERROR(__xludf.DUMMYFUNCTION("IFERROR(VALUE(REGEXEXTRACT(TO_TEXT($F397), P$1 &amp; ""x(\d+)"")), """")"),"")</f>
        <v/>
      </c>
      <c r="Q397" s="9" t="str">
        <f ca="1">IFERROR(__xludf.DUMMYFUNCTION("IFERROR(VALUE(REGEXEXTRACT(TO_TEXT($F397), Q$1 &amp; ""x(\d+)"")), """")"),"")</f>
        <v/>
      </c>
      <c r="R397" s="9" t="str">
        <f ca="1">IFERROR(__xludf.DUMMYFUNCTION("IFERROR(VALUE(REGEXEXTRACT(TO_TEXT($F397), R$1 &amp; ""x(\d+)"")), """")"),"")</f>
        <v/>
      </c>
      <c r="S397" s="9" t="str">
        <f ca="1">IFERROR(__xludf.DUMMYFUNCTION("IFERROR(VALUE(REGEXEXTRACT(TO_TEXT($F397), S$1 &amp; ""x(\d+)"")), """")"),"")</f>
        <v/>
      </c>
      <c r="T397" s="9" t="str">
        <f ca="1">IFERROR(__xludf.DUMMYFUNCTION("IFERROR(VALUE(REGEXEXTRACT(TO_TEXT($F397), T$1 &amp; ""x(\d+)"")), """")"),"")</f>
        <v/>
      </c>
      <c r="U397" s="9" t="str">
        <f ca="1">IFERROR(__xludf.DUMMYFUNCTION("IFERROR(VALUE(REGEXEXTRACT(TO_TEXT($F397), U$1 &amp; ""x(\d+)"")), """")"),"")</f>
        <v/>
      </c>
      <c r="V397" s="9" t="str">
        <f ca="1">IFERROR(__xludf.DUMMYFUNCTION("IFERROR(VALUE(REGEXEXTRACT(TO_TEXT($F397), V$1 &amp; ""x(\d+)"")), """")"),"")</f>
        <v/>
      </c>
      <c r="W397" s="9"/>
      <c r="X397" s="9"/>
      <c r="Y397" s="9"/>
      <c r="Z397" s="9"/>
    </row>
    <row r="398" spans="1:26" ht="15.75" hidden="1" customHeight="1">
      <c r="A398" s="9" t="s">
        <v>1483</v>
      </c>
      <c r="B398" s="9" t="s">
        <v>1484</v>
      </c>
      <c r="C398" s="9" t="s">
        <v>695</v>
      </c>
      <c r="D398" s="9" t="s">
        <v>40</v>
      </c>
      <c r="E398" s="9" t="s">
        <v>12</v>
      </c>
      <c r="F398" s="9" t="s">
        <v>1485</v>
      </c>
      <c r="G398" s="9">
        <v>110</v>
      </c>
      <c r="H398" s="9">
        <v>4</v>
      </c>
      <c r="I398" s="9">
        <v>1.0149999999999999</v>
      </c>
      <c r="J398" s="9">
        <v>400</v>
      </c>
      <c r="K398" s="9" t="s">
        <v>442</v>
      </c>
      <c r="L398" s="9"/>
      <c r="M398" s="9"/>
      <c r="N398" s="9" t="str">
        <f ca="1">IFERROR(__xludf.DUMMYFUNCTION("IFERROR(VALUE(REGEXEXTRACT(TO_TEXT($F398), N$1 &amp; ""x(\d+)"")), """")
"),"")</f>
        <v/>
      </c>
      <c r="O398" s="9" t="str">
        <f ca="1">IFERROR(__xludf.DUMMYFUNCTION("IFERROR(VALUE(REGEXEXTRACT(TO_TEXT($F398), O$1 &amp; ""x(\d+)"")), """")"),"")</f>
        <v/>
      </c>
      <c r="P398" s="9" t="str">
        <f ca="1">IFERROR(__xludf.DUMMYFUNCTION("IFERROR(VALUE(REGEXEXTRACT(TO_TEXT($F398), P$1 &amp; ""x(\d+)"")), """")"),"")</f>
        <v/>
      </c>
      <c r="Q398" s="9" t="str">
        <f ca="1">IFERROR(__xludf.DUMMYFUNCTION("IFERROR(VALUE(REGEXEXTRACT(TO_TEXT($F398), Q$1 &amp; ""x(\d+)"")), """")"),"")</f>
        <v/>
      </c>
      <c r="R398" s="9" t="str">
        <f ca="1">IFERROR(__xludf.DUMMYFUNCTION("IFERROR(VALUE(REGEXEXTRACT(TO_TEXT($F398), R$1 &amp; ""x(\d+)"")), """")"),"")</f>
        <v/>
      </c>
      <c r="S398" s="9">
        <f ca="1">IFERROR(__xludf.DUMMYFUNCTION("IFERROR(VALUE(REGEXEXTRACT(TO_TEXT($F398), S$1 &amp; ""x(\d+)"")), """")"),1)</f>
        <v>1</v>
      </c>
      <c r="T398" s="9" t="str">
        <f ca="1">IFERROR(__xludf.DUMMYFUNCTION("IFERROR(VALUE(REGEXEXTRACT(TO_TEXT($F398), T$1 &amp; ""x(\d+)"")), """")"),"")</f>
        <v/>
      </c>
      <c r="U398" s="9" t="str">
        <f ca="1">IFERROR(__xludf.DUMMYFUNCTION("IFERROR(VALUE(REGEXEXTRACT(TO_TEXT($F398), U$1 &amp; ""x(\d+)"")), """")"),"")</f>
        <v/>
      </c>
      <c r="V398" s="9" t="str">
        <f ca="1">IFERROR(__xludf.DUMMYFUNCTION("IFERROR(VALUE(REGEXEXTRACT(TO_TEXT($F398), V$1 &amp; ""x(\d+)"")), """")"),"")</f>
        <v/>
      </c>
      <c r="W398" s="9"/>
      <c r="X398" s="9"/>
      <c r="Y398" s="9"/>
      <c r="Z398" s="9"/>
    </row>
    <row r="399" spans="1:26" ht="15.75" hidden="1" customHeight="1">
      <c r="A399" s="9" t="s">
        <v>1483</v>
      </c>
      <c r="B399" s="9" t="s">
        <v>1484</v>
      </c>
      <c r="C399" s="9" t="s">
        <v>695</v>
      </c>
      <c r="D399" s="9" t="s">
        <v>40</v>
      </c>
      <c r="E399" s="9" t="s">
        <v>13</v>
      </c>
      <c r="F399" s="9" t="s">
        <v>1133</v>
      </c>
      <c r="G399" s="9">
        <v>30</v>
      </c>
      <c r="H399" s="9">
        <v>4</v>
      </c>
      <c r="I399" s="9">
        <v>1.0149999999999999</v>
      </c>
      <c r="J399" s="9">
        <v>400</v>
      </c>
      <c r="K399" s="9" t="s">
        <v>442</v>
      </c>
      <c r="L399" s="9"/>
      <c r="M399" s="9"/>
      <c r="N399" s="9" t="str">
        <f ca="1">IFERROR(__xludf.DUMMYFUNCTION("IFERROR(VALUE(REGEXEXTRACT(TO_TEXT($F399), N$1 &amp; ""x(\d+)"")), """")
"),"")</f>
        <v/>
      </c>
      <c r="O399" s="9" t="str">
        <f ca="1">IFERROR(__xludf.DUMMYFUNCTION("IFERROR(VALUE(REGEXEXTRACT(TO_TEXT($F399), O$1 &amp; ""x(\d+)"")), """")"),"")</f>
        <v/>
      </c>
      <c r="P399" s="9" t="str">
        <f ca="1">IFERROR(__xludf.DUMMYFUNCTION("IFERROR(VALUE(REGEXEXTRACT(TO_TEXT($F399), P$1 &amp; ""x(\d+)"")), """")"),"")</f>
        <v/>
      </c>
      <c r="Q399" s="9" t="str">
        <f ca="1">IFERROR(__xludf.DUMMYFUNCTION("IFERROR(VALUE(REGEXEXTRACT(TO_TEXT($F399), Q$1 &amp; ""x(\d+)"")), """")"),"")</f>
        <v/>
      </c>
      <c r="R399" s="9" t="str">
        <f ca="1">IFERROR(__xludf.DUMMYFUNCTION("IFERROR(VALUE(REGEXEXTRACT(TO_TEXT($F399), R$1 &amp; ""x(\d+)"")), """")"),"")</f>
        <v/>
      </c>
      <c r="S399" s="9">
        <f ca="1">IFERROR(__xludf.DUMMYFUNCTION("IFERROR(VALUE(REGEXEXTRACT(TO_TEXT($F399), S$1 &amp; ""x(\d+)"")), """")"),1)</f>
        <v>1</v>
      </c>
      <c r="T399" s="9" t="str">
        <f ca="1">IFERROR(__xludf.DUMMYFUNCTION("IFERROR(VALUE(REGEXEXTRACT(TO_TEXT($F399), T$1 &amp; ""x(\d+)"")), """")"),"")</f>
        <v/>
      </c>
      <c r="U399" s="9" t="str">
        <f ca="1">IFERROR(__xludf.DUMMYFUNCTION("IFERROR(VALUE(REGEXEXTRACT(TO_TEXT($F399), U$1 &amp; ""x(\d+)"")), """")"),"")</f>
        <v/>
      </c>
      <c r="V399" s="9" t="str">
        <f ca="1">IFERROR(__xludf.DUMMYFUNCTION("IFERROR(VALUE(REGEXEXTRACT(TO_TEXT($F399), V$1 &amp; ""x(\d+)"")), """")"),"")</f>
        <v/>
      </c>
      <c r="W399" s="9"/>
      <c r="X399" s="9"/>
      <c r="Y399" s="9"/>
      <c r="Z399" s="9"/>
    </row>
    <row r="400" spans="1:26" ht="15.75" hidden="1" customHeight="1">
      <c r="A400" s="9" t="s">
        <v>102</v>
      </c>
      <c r="B400" s="9" t="s">
        <v>1486</v>
      </c>
      <c r="C400" s="9" t="s">
        <v>103</v>
      </c>
      <c r="D400" s="9" t="s">
        <v>48</v>
      </c>
      <c r="E400" s="9" t="s">
        <v>11</v>
      </c>
      <c r="F400" s="9" t="s">
        <v>1487</v>
      </c>
      <c r="G400" s="9">
        <v>80</v>
      </c>
      <c r="H400" s="9">
        <v>3</v>
      </c>
      <c r="I400" s="9">
        <v>1.0149999999999999</v>
      </c>
      <c r="J400" s="9">
        <v>52</v>
      </c>
      <c r="K400" s="9" t="s">
        <v>424</v>
      </c>
      <c r="L400" s="9"/>
      <c r="M400" s="9"/>
      <c r="N400" s="9" t="str">
        <f ca="1">IFERROR(__xludf.DUMMYFUNCTION("IFERROR(VALUE(REGEXEXTRACT(TO_TEXT($F400), N$1 &amp; ""x(\d+)"")), """")
"),"")</f>
        <v/>
      </c>
      <c r="O400" s="9">
        <f ca="1">IFERROR(__xludf.DUMMYFUNCTION("IFERROR(VALUE(REGEXEXTRACT(TO_TEXT($F400), O$1 &amp; ""x(\d+)"")), """")"),1)</f>
        <v>1</v>
      </c>
      <c r="P400" s="9" t="str">
        <f ca="1">IFERROR(__xludf.DUMMYFUNCTION("IFERROR(VALUE(REGEXEXTRACT(TO_TEXT($F400), P$1 &amp; ""x(\d+)"")), """")"),"")</f>
        <v/>
      </c>
      <c r="Q400" s="9" t="str">
        <f ca="1">IFERROR(__xludf.DUMMYFUNCTION("IFERROR(VALUE(REGEXEXTRACT(TO_TEXT($F400), Q$1 &amp; ""x(\d+)"")), """")"),"")</f>
        <v/>
      </c>
      <c r="R400" s="9" t="str">
        <f ca="1">IFERROR(__xludf.DUMMYFUNCTION("IFERROR(VALUE(REGEXEXTRACT(TO_TEXT($F400), R$1 &amp; ""x(\d+)"")), """")"),"")</f>
        <v/>
      </c>
      <c r="S400" s="9" t="str">
        <f ca="1">IFERROR(__xludf.DUMMYFUNCTION("IFERROR(VALUE(REGEXEXTRACT(TO_TEXT($F400), S$1 &amp; ""x(\d+)"")), """")"),"")</f>
        <v/>
      </c>
      <c r="T400" s="9" t="str">
        <f ca="1">IFERROR(__xludf.DUMMYFUNCTION("IFERROR(VALUE(REGEXEXTRACT(TO_TEXT($F400), T$1 &amp; ""x(\d+)"")), """")"),"")</f>
        <v/>
      </c>
      <c r="U400" s="9" t="str">
        <f ca="1">IFERROR(__xludf.DUMMYFUNCTION("IFERROR(VALUE(REGEXEXTRACT(TO_TEXT($F400), U$1 &amp; ""x(\d+)"")), """")"),"")</f>
        <v/>
      </c>
      <c r="V400" s="9" t="str">
        <f ca="1">IFERROR(__xludf.DUMMYFUNCTION("IFERROR(VALUE(REGEXEXTRACT(TO_TEXT($F400), V$1 &amp; ""x(\d+)"")), """")"),"")</f>
        <v/>
      </c>
      <c r="W400" s="9"/>
      <c r="X400" s="9"/>
      <c r="Y400" s="9"/>
      <c r="Z400" s="9"/>
    </row>
    <row r="401" spans="1:26" ht="15.75" hidden="1" customHeight="1">
      <c r="A401" s="9" t="s">
        <v>102</v>
      </c>
      <c r="B401" s="9" t="s">
        <v>1486</v>
      </c>
      <c r="C401" s="9" t="s">
        <v>103</v>
      </c>
      <c r="D401" s="9" t="s">
        <v>48</v>
      </c>
      <c r="E401" s="9" t="s">
        <v>12</v>
      </c>
      <c r="F401" s="9" t="s">
        <v>1478</v>
      </c>
      <c r="G401" s="9">
        <v>140</v>
      </c>
      <c r="H401" s="9">
        <v>3</v>
      </c>
      <c r="I401" s="9">
        <v>1.0149999999999999</v>
      </c>
      <c r="J401" s="9">
        <v>52</v>
      </c>
      <c r="K401" s="9" t="s">
        <v>424</v>
      </c>
      <c r="L401" s="9" t="s">
        <v>1488</v>
      </c>
      <c r="M401" s="9"/>
      <c r="N401" s="9" t="str">
        <f ca="1">IFERROR(__xludf.DUMMYFUNCTION("IFERROR(VALUE(REGEXEXTRACT(TO_TEXT($F401), N$1 &amp; ""x(\d+)"")), """")
"),"")</f>
        <v/>
      </c>
      <c r="O401" s="9" t="str">
        <f ca="1">IFERROR(__xludf.DUMMYFUNCTION("IFERROR(VALUE(REGEXEXTRACT(TO_TEXT($F401), O$1 &amp; ""x(\d+)"")), """")"),"")</f>
        <v/>
      </c>
      <c r="P401" s="9">
        <f ca="1">IFERROR(__xludf.DUMMYFUNCTION("IFERROR(VALUE(REGEXEXTRACT(TO_TEXT($F401), P$1 &amp; ""x(\d+)"")), """")"),1)</f>
        <v>1</v>
      </c>
      <c r="Q401" s="9" t="str">
        <f ca="1">IFERROR(__xludf.DUMMYFUNCTION("IFERROR(VALUE(REGEXEXTRACT(TO_TEXT($F401), Q$1 &amp; ""x(\d+)"")), """")"),"")</f>
        <v/>
      </c>
      <c r="R401" s="9" t="str">
        <f ca="1">IFERROR(__xludf.DUMMYFUNCTION("IFERROR(VALUE(REGEXEXTRACT(TO_TEXT($F401), R$1 &amp; ""x(\d+)"")), """")"),"")</f>
        <v/>
      </c>
      <c r="S401" s="9" t="str">
        <f ca="1">IFERROR(__xludf.DUMMYFUNCTION("IFERROR(VALUE(REGEXEXTRACT(TO_TEXT($F401), S$1 &amp; ""x(\d+)"")), """")"),"")</f>
        <v/>
      </c>
      <c r="T401" s="9" t="str">
        <f ca="1">IFERROR(__xludf.DUMMYFUNCTION("IFERROR(VALUE(REGEXEXTRACT(TO_TEXT($F401), T$1 &amp; ""x(\d+)"")), """")"),"")</f>
        <v/>
      </c>
      <c r="U401" s="9" t="str">
        <f ca="1">IFERROR(__xludf.DUMMYFUNCTION("IFERROR(VALUE(REGEXEXTRACT(TO_TEXT($F401), U$1 &amp; ""x(\d+)"")), """")"),"")</f>
        <v/>
      </c>
      <c r="V401" s="9" t="str">
        <f ca="1">IFERROR(__xludf.DUMMYFUNCTION("IFERROR(VALUE(REGEXEXTRACT(TO_TEXT($F401), V$1 &amp; ""x(\d+)"")), """")"),"")</f>
        <v/>
      </c>
      <c r="W401" s="9"/>
      <c r="X401" s="9"/>
      <c r="Y401" s="9"/>
      <c r="Z401" s="9"/>
    </row>
    <row r="402" spans="1:26" ht="15.75" hidden="1" customHeight="1">
      <c r="A402" s="9" t="s">
        <v>102</v>
      </c>
      <c r="B402" s="9" t="s">
        <v>1486</v>
      </c>
      <c r="C402" s="9" t="s">
        <v>103</v>
      </c>
      <c r="D402" s="9" t="s">
        <v>48</v>
      </c>
      <c r="E402" s="9" t="s">
        <v>13</v>
      </c>
      <c r="F402" s="9" t="s">
        <v>1489</v>
      </c>
      <c r="G402" s="9">
        <v>45</v>
      </c>
      <c r="H402" s="9">
        <v>3</v>
      </c>
      <c r="I402" s="9">
        <v>1.0149999999999999</v>
      </c>
      <c r="J402" s="9">
        <v>52</v>
      </c>
      <c r="K402" s="9" t="s">
        <v>424</v>
      </c>
      <c r="L402" s="9"/>
      <c r="M402" s="9"/>
      <c r="N402" s="9" t="str">
        <f ca="1">IFERROR(__xludf.DUMMYFUNCTION("IFERROR(VALUE(REGEXEXTRACT(TO_TEXT($F402), N$1 &amp; ""x(\d+)"")), """")
"),"")</f>
        <v/>
      </c>
      <c r="O402" s="9" t="str">
        <f ca="1">IFERROR(__xludf.DUMMYFUNCTION("IFERROR(VALUE(REGEXEXTRACT(TO_TEXT($F402), O$1 &amp; ""x(\d+)"")), """")"),"")</f>
        <v/>
      </c>
      <c r="P402" s="9">
        <f ca="1">IFERROR(__xludf.DUMMYFUNCTION("IFERROR(VALUE(REGEXEXTRACT(TO_TEXT($F402), P$1 &amp; ""x(\d+)"")), """")"),1)</f>
        <v>1</v>
      </c>
      <c r="Q402" s="9" t="str">
        <f ca="1">IFERROR(__xludf.DUMMYFUNCTION("IFERROR(VALUE(REGEXEXTRACT(TO_TEXT($F402), Q$1 &amp; ""x(\d+)"")), """")"),"")</f>
        <v/>
      </c>
      <c r="R402" s="9" t="str">
        <f ca="1">IFERROR(__xludf.DUMMYFUNCTION("IFERROR(VALUE(REGEXEXTRACT(TO_TEXT($F402), R$1 &amp; ""x(\d+)"")), """")"),"")</f>
        <v/>
      </c>
      <c r="S402" s="9" t="str">
        <f ca="1">IFERROR(__xludf.DUMMYFUNCTION("IFERROR(VALUE(REGEXEXTRACT(TO_TEXT($F402), S$1 &amp; ""x(\d+)"")), """")"),"")</f>
        <v/>
      </c>
      <c r="T402" s="9" t="str">
        <f ca="1">IFERROR(__xludf.DUMMYFUNCTION("IFERROR(VALUE(REGEXEXTRACT(TO_TEXT($F402), T$1 &amp; ""x(\d+)"")), """")"),"")</f>
        <v/>
      </c>
      <c r="U402" s="9" t="str">
        <f ca="1">IFERROR(__xludf.DUMMYFUNCTION("IFERROR(VALUE(REGEXEXTRACT(TO_TEXT($F402), U$1 &amp; ""x(\d+)"")), """")"),"")</f>
        <v/>
      </c>
      <c r="V402" s="9" t="str">
        <f ca="1">IFERROR(__xludf.DUMMYFUNCTION("IFERROR(VALUE(REGEXEXTRACT(TO_TEXT($F402), V$1 &amp; ""x(\d+)"")), """")"),"")</f>
        <v/>
      </c>
      <c r="W402" s="9"/>
      <c r="X402" s="9"/>
      <c r="Y402" s="9"/>
      <c r="Z402" s="9"/>
    </row>
    <row r="403" spans="1:26" ht="15.75" hidden="1" customHeight="1">
      <c r="A403" s="9" t="s">
        <v>164</v>
      </c>
      <c r="B403" s="9" t="s">
        <v>1490</v>
      </c>
      <c r="C403" s="9" t="s">
        <v>165</v>
      </c>
      <c r="D403" s="9" t="s">
        <v>48</v>
      </c>
      <c r="E403" s="9" t="s">
        <v>11</v>
      </c>
      <c r="F403" s="9" t="s">
        <v>1491</v>
      </c>
      <c r="G403" s="9">
        <v>35</v>
      </c>
      <c r="H403" s="9">
        <v>4</v>
      </c>
      <c r="I403" s="9">
        <v>1.0149999999999999</v>
      </c>
      <c r="J403" s="9">
        <v>50</v>
      </c>
      <c r="K403" s="9" t="s">
        <v>424</v>
      </c>
      <c r="L403" s="9"/>
      <c r="M403" s="9"/>
      <c r="N403" s="9" t="str">
        <f ca="1">IFERROR(__xludf.DUMMYFUNCTION("IFERROR(VALUE(REGEXEXTRACT(TO_TEXT($F403), N$1 &amp; ""x(\d+)"")), """")
"),"")</f>
        <v/>
      </c>
      <c r="O403" s="9" t="str">
        <f ca="1">IFERROR(__xludf.DUMMYFUNCTION("IFERROR(VALUE(REGEXEXTRACT(TO_TEXT($F403), O$1 &amp; ""x(\d+)"")), """")"),"")</f>
        <v/>
      </c>
      <c r="P403" s="9" t="str">
        <f ca="1">IFERROR(__xludf.DUMMYFUNCTION("IFERROR(VALUE(REGEXEXTRACT(TO_TEXT($F403), P$1 &amp; ""x(\d+)"")), """")"),"")</f>
        <v/>
      </c>
      <c r="Q403" s="9" t="str">
        <f ca="1">IFERROR(__xludf.DUMMYFUNCTION("IFERROR(VALUE(REGEXEXTRACT(TO_TEXT($F403), Q$1 &amp; ""x(\d+)"")), """")"),"")</f>
        <v/>
      </c>
      <c r="R403" s="9" t="str">
        <f ca="1">IFERROR(__xludf.DUMMYFUNCTION("IFERROR(VALUE(REGEXEXTRACT(TO_TEXT($F403), R$1 &amp; ""x(\d+)"")), """")"),"")</f>
        <v/>
      </c>
      <c r="S403" s="9" t="str">
        <f ca="1">IFERROR(__xludf.DUMMYFUNCTION("IFERROR(VALUE(REGEXEXTRACT(TO_TEXT($F403), S$1 &amp; ""x(\d+)"")), """")"),"")</f>
        <v/>
      </c>
      <c r="T403" s="9" t="str">
        <f ca="1">IFERROR(__xludf.DUMMYFUNCTION("IFERROR(VALUE(REGEXEXTRACT(TO_TEXT($F403), T$1 &amp; ""x(\d+)"")), """")"),"")</f>
        <v/>
      </c>
      <c r="U403" s="9" t="str">
        <f ca="1">IFERROR(__xludf.DUMMYFUNCTION("IFERROR(VALUE(REGEXEXTRACT(TO_TEXT($F403), U$1 &amp; ""x(\d+)"")), """")"),"")</f>
        <v/>
      </c>
      <c r="V403" s="9" t="str">
        <f ca="1">IFERROR(__xludf.DUMMYFUNCTION("IFERROR(VALUE(REGEXEXTRACT(TO_TEXT($F403), V$1 &amp; ""x(\d+)"")), """")"),"")</f>
        <v/>
      </c>
      <c r="W403" s="9"/>
      <c r="X403" s="9"/>
      <c r="Y403" s="9"/>
      <c r="Z403" s="9"/>
    </row>
    <row r="404" spans="1:26" ht="15.75" hidden="1" customHeight="1">
      <c r="A404" s="9" t="s">
        <v>164</v>
      </c>
      <c r="B404" s="9" t="s">
        <v>1490</v>
      </c>
      <c r="C404" s="9" t="s">
        <v>165</v>
      </c>
      <c r="D404" s="9" t="s">
        <v>48</v>
      </c>
      <c r="E404" s="9" t="s">
        <v>12</v>
      </c>
      <c r="F404" s="9" t="s">
        <v>1492</v>
      </c>
      <c r="G404" s="9">
        <v>140</v>
      </c>
      <c r="H404" s="9">
        <v>4</v>
      </c>
      <c r="I404" s="9">
        <v>1.0149999999999999</v>
      </c>
      <c r="J404" s="9">
        <v>50</v>
      </c>
      <c r="K404" s="9" t="s">
        <v>424</v>
      </c>
      <c r="L404" s="9" t="s">
        <v>1210</v>
      </c>
      <c r="M404" s="9"/>
      <c r="N404" s="9" t="str">
        <f ca="1">IFERROR(__xludf.DUMMYFUNCTION("IFERROR(VALUE(REGEXEXTRACT(TO_TEXT($F404), N$1 &amp; ""x(\d+)"")), """")
"),"")</f>
        <v/>
      </c>
      <c r="O404" s="9">
        <f ca="1">IFERROR(__xludf.DUMMYFUNCTION("IFERROR(VALUE(REGEXEXTRACT(TO_TEXT($F404), O$1 &amp; ""x(\d+)"")), """")"),1)</f>
        <v>1</v>
      </c>
      <c r="P404" s="9">
        <f ca="1">IFERROR(__xludf.DUMMYFUNCTION("IFERROR(VALUE(REGEXEXTRACT(TO_TEXT($F404), P$1 &amp; ""x(\d+)"")), """")"),1)</f>
        <v>1</v>
      </c>
      <c r="Q404" s="9" t="str">
        <f ca="1">IFERROR(__xludf.DUMMYFUNCTION("IFERROR(VALUE(REGEXEXTRACT(TO_TEXT($F404), Q$1 &amp; ""x(\d+)"")), """")"),"")</f>
        <v/>
      </c>
      <c r="R404" s="9" t="str">
        <f ca="1">IFERROR(__xludf.DUMMYFUNCTION("IFERROR(VALUE(REGEXEXTRACT(TO_TEXT($F404), R$1 &amp; ""x(\d+)"")), """")"),"")</f>
        <v/>
      </c>
      <c r="S404" s="9" t="str">
        <f ca="1">IFERROR(__xludf.DUMMYFUNCTION("IFERROR(VALUE(REGEXEXTRACT(TO_TEXT($F404), S$1 &amp; ""x(\d+)"")), """")"),"")</f>
        <v/>
      </c>
      <c r="T404" s="9">
        <f ca="1">IFERROR(__xludf.DUMMYFUNCTION("IFERROR(VALUE(REGEXEXTRACT(TO_TEXT($F404), T$1 &amp; ""x(\d+)"")), """")"),1)</f>
        <v>1</v>
      </c>
      <c r="U404" s="9" t="str">
        <f ca="1">IFERROR(__xludf.DUMMYFUNCTION("IFERROR(VALUE(REGEXEXTRACT(TO_TEXT($F404), U$1 &amp; ""x(\d+)"")), """")"),"")</f>
        <v/>
      </c>
      <c r="V404" s="9" t="str">
        <f ca="1">IFERROR(__xludf.DUMMYFUNCTION("IFERROR(VALUE(REGEXEXTRACT(TO_TEXT($F404), V$1 &amp; ""x(\d+)"")), """")"),"")</f>
        <v/>
      </c>
      <c r="W404" s="9"/>
      <c r="X404" s="9"/>
      <c r="Y404" s="9"/>
      <c r="Z404" s="9"/>
    </row>
    <row r="405" spans="1:26" ht="15.75" hidden="1" customHeight="1">
      <c r="A405" s="9" t="s">
        <v>164</v>
      </c>
      <c r="B405" s="9" t="s">
        <v>1490</v>
      </c>
      <c r="C405" s="9" t="s">
        <v>165</v>
      </c>
      <c r="D405" s="9" t="s">
        <v>48</v>
      </c>
      <c r="E405" s="9" t="s">
        <v>13</v>
      </c>
      <c r="F405" s="9" t="s">
        <v>1493</v>
      </c>
      <c r="G405" s="9">
        <v>40</v>
      </c>
      <c r="H405" s="9">
        <v>4</v>
      </c>
      <c r="I405" s="9">
        <v>1.0149999999999999</v>
      </c>
      <c r="J405" s="9">
        <v>50</v>
      </c>
      <c r="K405" s="9" t="s">
        <v>424</v>
      </c>
      <c r="L405" s="9"/>
      <c r="M405" s="9"/>
      <c r="N405" s="9" t="str">
        <f ca="1">IFERROR(__xludf.DUMMYFUNCTION("IFERROR(VALUE(REGEXEXTRACT(TO_TEXT($F405), N$1 &amp; ""x(\d+)"")), """")
"),"")</f>
        <v/>
      </c>
      <c r="O405" s="9">
        <f ca="1">IFERROR(__xludf.DUMMYFUNCTION("IFERROR(VALUE(REGEXEXTRACT(TO_TEXT($F405), O$1 &amp; ""x(\d+)"")), """")"),1)</f>
        <v>1</v>
      </c>
      <c r="P405" s="9">
        <f ca="1">IFERROR(__xludf.DUMMYFUNCTION("IFERROR(VALUE(REGEXEXTRACT(TO_TEXT($F405), P$1 &amp; ""x(\d+)"")), """")"),1)</f>
        <v>1</v>
      </c>
      <c r="Q405" s="9" t="str">
        <f ca="1">IFERROR(__xludf.DUMMYFUNCTION("IFERROR(VALUE(REGEXEXTRACT(TO_TEXT($F405), Q$1 &amp; ""x(\d+)"")), """")"),"")</f>
        <v/>
      </c>
      <c r="R405" s="9" t="str">
        <f ca="1">IFERROR(__xludf.DUMMYFUNCTION("IFERROR(VALUE(REGEXEXTRACT(TO_TEXT($F405), R$1 &amp; ""x(\d+)"")), """")"),"")</f>
        <v/>
      </c>
      <c r="S405" s="9" t="str">
        <f ca="1">IFERROR(__xludf.DUMMYFUNCTION("IFERROR(VALUE(REGEXEXTRACT(TO_TEXT($F405), S$1 &amp; ""x(\d+)"")), """")"),"")</f>
        <v/>
      </c>
      <c r="T405" s="9">
        <f ca="1">IFERROR(__xludf.DUMMYFUNCTION("IFERROR(VALUE(REGEXEXTRACT(TO_TEXT($F405), T$1 &amp; ""x(\d+)"")), """")"),1)</f>
        <v>1</v>
      </c>
      <c r="U405" s="9" t="str">
        <f ca="1">IFERROR(__xludf.DUMMYFUNCTION("IFERROR(VALUE(REGEXEXTRACT(TO_TEXT($F405), U$1 &amp; ""x(\d+)"")), """")"),"")</f>
        <v/>
      </c>
      <c r="V405" s="9" t="str">
        <f ca="1">IFERROR(__xludf.DUMMYFUNCTION("IFERROR(VALUE(REGEXEXTRACT(TO_TEXT($F405), V$1 &amp; ""x(\d+)"")), """")"),"")</f>
        <v/>
      </c>
      <c r="W405" s="9"/>
      <c r="X405" s="9"/>
      <c r="Y405" s="9"/>
      <c r="Z405" s="9"/>
    </row>
    <row r="406" spans="1:26" ht="15.75" customHeight="1">
      <c r="A406" s="9" t="s">
        <v>1494</v>
      </c>
      <c r="B406" s="9" t="s">
        <v>1495</v>
      </c>
      <c r="C406" s="9" t="s">
        <v>1496</v>
      </c>
      <c r="D406" s="9" t="s">
        <v>33</v>
      </c>
      <c r="E406" s="9" t="s">
        <v>11</v>
      </c>
      <c r="F406" s="9" t="s">
        <v>1497</v>
      </c>
      <c r="G406" s="9">
        <v>240</v>
      </c>
      <c r="H406" s="9">
        <v>2</v>
      </c>
      <c r="I406" s="9">
        <v>1.0149999999999999</v>
      </c>
      <c r="J406" s="9">
        <v>40</v>
      </c>
      <c r="K406" s="9" t="s">
        <v>442</v>
      </c>
      <c r="L406" s="9" t="s">
        <v>1169</v>
      </c>
      <c r="M406" s="9"/>
      <c r="N406" s="9" t="str">
        <f ca="1">IFERROR(__xludf.DUMMYFUNCTION("IFERROR(VALUE(REGEXEXTRACT(TO_TEXT($F406), N$1 &amp; ""x(\d+)"")), """")
"),"")</f>
        <v/>
      </c>
      <c r="O406" s="9" t="str">
        <f ca="1">IFERROR(__xludf.DUMMYFUNCTION("IFERROR(VALUE(REGEXEXTRACT(TO_TEXT($F406), O$1 &amp; ""x(\d+)"")), """")"),"")</f>
        <v/>
      </c>
      <c r="P406" s="9" t="str">
        <f ca="1">IFERROR(__xludf.DUMMYFUNCTION("IFERROR(VALUE(REGEXEXTRACT(TO_TEXT($F406), P$1 &amp; ""x(\d+)"")), """")"),"")</f>
        <v/>
      </c>
      <c r="Q406" s="9" t="str">
        <f ca="1">IFERROR(__xludf.DUMMYFUNCTION("IFERROR(VALUE(REGEXEXTRACT(TO_TEXT($F406), Q$1 &amp; ""x(\d+)"")), """")"),"")</f>
        <v/>
      </c>
      <c r="R406" s="9" t="str">
        <f ca="1">IFERROR(__xludf.DUMMYFUNCTION("IFERROR(VALUE(REGEXEXTRACT(TO_TEXT($F406), R$1 &amp; ""x(\d+)"")), """")"),"")</f>
        <v/>
      </c>
      <c r="S406" s="9" t="str">
        <f ca="1">IFERROR(__xludf.DUMMYFUNCTION("IFERROR(VALUE(REGEXEXTRACT(TO_TEXT($F406), S$1 &amp; ""x(\d+)"")), """")"),"")</f>
        <v/>
      </c>
      <c r="T406" s="9" t="str">
        <f ca="1">IFERROR(__xludf.DUMMYFUNCTION("IFERROR(VALUE(REGEXEXTRACT(TO_TEXT($F406), T$1 &amp; ""x(\d+)"")), """")"),"")</f>
        <v/>
      </c>
      <c r="U406" s="9" t="str">
        <f ca="1">IFERROR(__xludf.DUMMYFUNCTION("IFERROR(VALUE(REGEXEXTRACT(TO_TEXT($F406), U$1 &amp; ""x(\d+)"")), """")"),"")</f>
        <v/>
      </c>
      <c r="V406" s="9">
        <f ca="1">IFERROR(__xludf.DUMMYFUNCTION("IFERROR(VALUE(REGEXEXTRACT(TO_TEXT($F406), V$1 &amp; ""x(\d+)"")), """")"),1)</f>
        <v>1</v>
      </c>
      <c r="W406" s="9"/>
      <c r="X406" s="9"/>
      <c r="Y406" s="9"/>
      <c r="Z406" s="9"/>
    </row>
    <row r="407" spans="1:26" ht="15.75" customHeight="1">
      <c r="A407" s="9" t="s">
        <v>1494</v>
      </c>
      <c r="B407" s="9" t="s">
        <v>1495</v>
      </c>
      <c r="C407" s="9" t="s">
        <v>1496</v>
      </c>
      <c r="D407" s="9" t="s">
        <v>33</v>
      </c>
      <c r="E407" s="9" t="s">
        <v>12</v>
      </c>
      <c r="F407" s="9" t="s">
        <v>1498</v>
      </c>
      <c r="G407" s="9">
        <v>60</v>
      </c>
      <c r="H407" s="9">
        <v>2</v>
      </c>
      <c r="I407" s="9">
        <v>1.0149999999999999</v>
      </c>
      <c r="J407" s="9">
        <v>40</v>
      </c>
      <c r="K407" s="9" t="s">
        <v>442</v>
      </c>
      <c r="L407" s="9" t="s">
        <v>1169</v>
      </c>
      <c r="M407" s="9"/>
      <c r="N407" s="9" t="str">
        <f ca="1">IFERROR(__xludf.DUMMYFUNCTION("IFERROR(VALUE(REGEXEXTRACT(TO_TEXT($F407), N$1 &amp; ""x(\d+)"")), """")
"),"")</f>
        <v/>
      </c>
      <c r="O407" s="9">
        <f ca="1">IFERROR(__xludf.DUMMYFUNCTION("IFERROR(VALUE(REGEXEXTRACT(TO_TEXT($F407), O$1 &amp; ""x(\d+)"")), """")"),1)</f>
        <v>1</v>
      </c>
      <c r="P407" s="9" t="str">
        <f ca="1">IFERROR(__xludf.DUMMYFUNCTION("IFERROR(VALUE(REGEXEXTRACT(TO_TEXT($F407), P$1 &amp; ""x(\d+)"")), """")"),"")</f>
        <v/>
      </c>
      <c r="Q407" s="9" t="str">
        <f ca="1">IFERROR(__xludf.DUMMYFUNCTION("IFERROR(VALUE(REGEXEXTRACT(TO_TEXT($F407), Q$1 &amp; ""x(\d+)"")), """")"),"")</f>
        <v/>
      </c>
      <c r="R407" s="9" t="str">
        <f ca="1">IFERROR(__xludf.DUMMYFUNCTION("IFERROR(VALUE(REGEXEXTRACT(TO_TEXT($F407), R$1 &amp; ""x(\d+)"")), """")"),"")</f>
        <v/>
      </c>
      <c r="S407" s="9" t="str">
        <f ca="1">IFERROR(__xludf.DUMMYFUNCTION("IFERROR(VALUE(REGEXEXTRACT(TO_TEXT($F407), S$1 &amp; ""x(\d+)"")), """")"),"")</f>
        <v/>
      </c>
      <c r="T407" s="9" t="str">
        <f ca="1">IFERROR(__xludf.DUMMYFUNCTION("IFERROR(VALUE(REGEXEXTRACT(TO_TEXT($F407), T$1 &amp; ""x(\d+)"")), """")"),"")</f>
        <v/>
      </c>
      <c r="U407" s="9" t="str">
        <f ca="1">IFERROR(__xludf.DUMMYFUNCTION("IFERROR(VALUE(REGEXEXTRACT(TO_TEXT($F407), U$1 &amp; ""x(\d+)"")), """")"),"")</f>
        <v/>
      </c>
      <c r="V407" s="9" t="str">
        <f ca="1">IFERROR(__xludf.DUMMYFUNCTION("IFERROR(VALUE(REGEXEXTRACT(TO_TEXT($F407), V$1 &amp; ""x(\d+)"")), """")"),"")</f>
        <v/>
      </c>
      <c r="W407" s="9"/>
      <c r="X407" s="9"/>
      <c r="Y407" s="9"/>
      <c r="Z407" s="9"/>
    </row>
    <row r="408" spans="1:26" ht="15.75" customHeight="1">
      <c r="A408" s="9" t="s">
        <v>1494</v>
      </c>
      <c r="B408" s="9" t="s">
        <v>1495</v>
      </c>
      <c r="C408" s="9" t="s">
        <v>1496</v>
      </c>
      <c r="D408" s="9" t="s">
        <v>33</v>
      </c>
      <c r="E408" s="9" t="s">
        <v>13</v>
      </c>
      <c r="F408" s="9" t="s">
        <v>1369</v>
      </c>
      <c r="G408" s="9">
        <v>60</v>
      </c>
      <c r="H408" s="9">
        <v>2</v>
      </c>
      <c r="I408" s="9">
        <v>1.0149999999999999</v>
      </c>
      <c r="J408" s="9">
        <v>40</v>
      </c>
      <c r="K408" s="9" t="s">
        <v>442</v>
      </c>
      <c r="L408" s="9"/>
      <c r="M408" s="9"/>
      <c r="N408" s="9" t="str">
        <f ca="1">IFERROR(__xludf.DUMMYFUNCTION("IFERROR(VALUE(REGEXEXTRACT(TO_TEXT($F408), N$1 &amp; ""x(\d+)"")), """")
"),"")</f>
        <v/>
      </c>
      <c r="O408" s="9">
        <f ca="1">IFERROR(__xludf.DUMMYFUNCTION("IFERROR(VALUE(REGEXEXTRACT(TO_TEXT($F408), O$1 &amp; ""x(\d+)"")), """")"),1)</f>
        <v>1</v>
      </c>
      <c r="P408" s="9" t="str">
        <f ca="1">IFERROR(__xludf.DUMMYFUNCTION("IFERROR(VALUE(REGEXEXTRACT(TO_TEXT($F408), P$1 &amp; ""x(\d+)"")), """")"),"")</f>
        <v/>
      </c>
      <c r="Q408" s="9" t="str">
        <f ca="1">IFERROR(__xludf.DUMMYFUNCTION("IFERROR(VALUE(REGEXEXTRACT(TO_TEXT($F408), Q$1 &amp; ""x(\d+)"")), """")"),"")</f>
        <v/>
      </c>
      <c r="R408" s="9" t="str">
        <f ca="1">IFERROR(__xludf.DUMMYFUNCTION("IFERROR(VALUE(REGEXEXTRACT(TO_TEXT($F408), R$1 &amp; ""x(\d+)"")), """")"),"")</f>
        <v/>
      </c>
      <c r="S408" s="9" t="str">
        <f ca="1">IFERROR(__xludf.DUMMYFUNCTION("IFERROR(VALUE(REGEXEXTRACT(TO_TEXT($F408), S$1 &amp; ""x(\d+)"")), """")"),"")</f>
        <v/>
      </c>
      <c r="T408" s="9" t="str">
        <f ca="1">IFERROR(__xludf.DUMMYFUNCTION("IFERROR(VALUE(REGEXEXTRACT(TO_TEXT($F408), T$1 &amp; ""x(\d+)"")), """")"),"")</f>
        <v/>
      </c>
      <c r="U408" s="9" t="str">
        <f ca="1">IFERROR(__xludf.DUMMYFUNCTION("IFERROR(VALUE(REGEXEXTRACT(TO_TEXT($F408), U$1 &amp; ""x(\d+)"")), """")"),"")</f>
        <v/>
      </c>
      <c r="V408" s="9" t="str">
        <f ca="1">IFERROR(__xludf.DUMMYFUNCTION("IFERROR(VALUE(REGEXEXTRACT(TO_TEXT($F408), V$1 &amp; ""x(\d+)"")), """")"),"")</f>
        <v/>
      </c>
      <c r="W408" s="9"/>
      <c r="X408" s="9"/>
      <c r="Y408" s="9"/>
      <c r="Z408" s="9"/>
    </row>
    <row r="409" spans="1:26" ht="15.75" hidden="1" customHeight="1">
      <c r="A409" s="9" t="s">
        <v>1499</v>
      </c>
      <c r="B409" s="9" t="s">
        <v>1500</v>
      </c>
      <c r="C409" s="9" t="s">
        <v>918</v>
      </c>
      <c r="D409" s="9" t="s">
        <v>48</v>
      </c>
      <c r="E409" s="9" t="s">
        <v>11</v>
      </c>
      <c r="F409" s="9" t="s">
        <v>1501</v>
      </c>
      <c r="G409" s="9">
        <v>75</v>
      </c>
      <c r="H409" s="9">
        <v>3</v>
      </c>
      <c r="I409" s="9">
        <v>1.0149999999999999</v>
      </c>
      <c r="J409" s="9">
        <v>52</v>
      </c>
      <c r="K409" s="9" t="s">
        <v>424</v>
      </c>
      <c r="L409" s="9"/>
      <c r="M409" s="9"/>
      <c r="N409" s="9">
        <f ca="1">IFERROR(__xludf.DUMMYFUNCTION("IFERROR(VALUE(REGEXEXTRACT(TO_TEXT($F409), N$1 &amp; ""x(\d+)"")), """")
"),1)</f>
        <v>1</v>
      </c>
      <c r="O409" s="9">
        <f ca="1">IFERROR(__xludf.DUMMYFUNCTION("IFERROR(VALUE(REGEXEXTRACT(TO_TEXT($F409), O$1 &amp; ""x(\d+)"")), """")"),1)</f>
        <v>1</v>
      </c>
      <c r="P409" s="9" t="str">
        <f ca="1">IFERROR(__xludf.DUMMYFUNCTION("IFERROR(VALUE(REGEXEXTRACT(TO_TEXT($F409), P$1 &amp; ""x(\d+)"")), """")"),"")</f>
        <v/>
      </c>
      <c r="Q409" s="9" t="str">
        <f ca="1">IFERROR(__xludf.DUMMYFUNCTION("IFERROR(VALUE(REGEXEXTRACT(TO_TEXT($F409), Q$1 &amp; ""x(\d+)"")), """")"),"")</f>
        <v/>
      </c>
      <c r="R409" s="9" t="str">
        <f ca="1">IFERROR(__xludf.DUMMYFUNCTION("IFERROR(VALUE(REGEXEXTRACT(TO_TEXT($F409), R$1 &amp; ""x(\d+)"")), """")"),"")</f>
        <v/>
      </c>
      <c r="S409" s="9" t="str">
        <f ca="1">IFERROR(__xludf.DUMMYFUNCTION("IFERROR(VALUE(REGEXEXTRACT(TO_TEXT($F409), S$1 &amp; ""x(\d+)"")), """")"),"")</f>
        <v/>
      </c>
      <c r="T409" s="9" t="str">
        <f ca="1">IFERROR(__xludf.DUMMYFUNCTION("IFERROR(VALUE(REGEXEXTRACT(TO_TEXT($F409), T$1 &amp; ""x(\d+)"")), """")"),"")</f>
        <v/>
      </c>
      <c r="U409" s="9" t="str">
        <f ca="1">IFERROR(__xludf.DUMMYFUNCTION("IFERROR(VALUE(REGEXEXTRACT(TO_TEXT($F409), U$1 &amp; ""x(\d+)"")), """")"),"")</f>
        <v/>
      </c>
      <c r="V409" s="9" t="str">
        <f ca="1">IFERROR(__xludf.DUMMYFUNCTION("IFERROR(VALUE(REGEXEXTRACT(TO_TEXT($F409), V$1 &amp; ""x(\d+)"")), """")"),"")</f>
        <v/>
      </c>
      <c r="W409" s="9"/>
      <c r="X409" s="9"/>
      <c r="Y409" s="9"/>
      <c r="Z409" s="9"/>
    </row>
    <row r="410" spans="1:26" ht="15.75" hidden="1" customHeight="1">
      <c r="A410" s="9" t="s">
        <v>1499</v>
      </c>
      <c r="B410" s="9" t="s">
        <v>1500</v>
      </c>
      <c r="C410" s="9" t="s">
        <v>918</v>
      </c>
      <c r="D410" s="9" t="s">
        <v>48</v>
      </c>
      <c r="E410" s="9" t="s">
        <v>12</v>
      </c>
      <c r="F410" s="9" t="s">
        <v>1502</v>
      </c>
      <c r="G410" s="9">
        <v>130</v>
      </c>
      <c r="H410" s="9">
        <v>3</v>
      </c>
      <c r="I410" s="9">
        <v>1.0149999999999999</v>
      </c>
      <c r="J410" s="9">
        <v>52</v>
      </c>
      <c r="K410" s="9" t="s">
        <v>424</v>
      </c>
      <c r="L410" s="9" t="s">
        <v>1035</v>
      </c>
      <c r="M410" s="9"/>
      <c r="N410" s="9" t="str">
        <f ca="1">IFERROR(__xludf.DUMMYFUNCTION("IFERROR(VALUE(REGEXEXTRACT(TO_TEXT($F410), N$1 &amp; ""x(\d+)"")), """")
"),"")</f>
        <v/>
      </c>
      <c r="O410" s="9" t="str">
        <f ca="1">IFERROR(__xludf.DUMMYFUNCTION("IFERROR(VALUE(REGEXEXTRACT(TO_TEXT($F410), O$1 &amp; ""x(\d+)"")), """")"),"")</f>
        <v/>
      </c>
      <c r="P410" s="9">
        <f ca="1">IFERROR(__xludf.DUMMYFUNCTION("IFERROR(VALUE(REGEXEXTRACT(TO_TEXT($F410), P$1 &amp; ""x(\d+)"")), """")"),1)</f>
        <v>1</v>
      </c>
      <c r="Q410" s="9" t="str">
        <f ca="1">IFERROR(__xludf.DUMMYFUNCTION("IFERROR(VALUE(REGEXEXTRACT(TO_TEXT($F410), Q$1 &amp; ""x(\d+)"")), """")"),"")</f>
        <v/>
      </c>
      <c r="R410" s="9" t="str">
        <f ca="1">IFERROR(__xludf.DUMMYFUNCTION("IFERROR(VALUE(REGEXEXTRACT(TO_TEXT($F410), R$1 &amp; ""x(\d+)"")), """")"),"")</f>
        <v/>
      </c>
      <c r="S410" s="9" t="str">
        <f ca="1">IFERROR(__xludf.DUMMYFUNCTION("IFERROR(VALUE(REGEXEXTRACT(TO_TEXT($F410), S$1 &amp; ""x(\d+)"")), """")"),"")</f>
        <v/>
      </c>
      <c r="T410" s="9" t="str">
        <f ca="1">IFERROR(__xludf.DUMMYFUNCTION("IFERROR(VALUE(REGEXEXTRACT(TO_TEXT($F410), T$1 &amp; ""x(\d+)"")), """")"),"")</f>
        <v/>
      </c>
      <c r="U410" s="9" t="str">
        <f ca="1">IFERROR(__xludf.DUMMYFUNCTION("IFERROR(VALUE(REGEXEXTRACT(TO_TEXT($F410), U$1 &amp; ""x(\d+)"")), """")"),"")</f>
        <v/>
      </c>
      <c r="V410" s="9" t="str">
        <f ca="1">IFERROR(__xludf.DUMMYFUNCTION("IFERROR(VALUE(REGEXEXTRACT(TO_TEXT($F410), V$1 &amp; ""x(\d+)"")), """")"),"")</f>
        <v/>
      </c>
      <c r="W410" s="9"/>
      <c r="X410" s="9"/>
      <c r="Y410" s="9"/>
      <c r="Z410" s="9"/>
    </row>
    <row r="411" spans="1:26" ht="15.75" hidden="1" customHeight="1">
      <c r="A411" s="9" t="s">
        <v>1499</v>
      </c>
      <c r="B411" s="9" t="s">
        <v>1500</v>
      </c>
      <c r="C411" s="9" t="s">
        <v>918</v>
      </c>
      <c r="D411" s="9" t="s">
        <v>48</v>
      </c>
      <c r="E411" s="9" t="s">
        <v>13</v>
      </c>
      <c r="F411" s="9" t="s">
        <v>1206</v>
      </c>
      <c r="G411" s="9">
        <v>30</v>
      </c>
      <c r="H411" s="9">
        <v>3</v>
      </c>
      <c r="I411" s="9">
        <v>1.0149999999999999</v>
      </c>
      <c r="J411" s="9">
        <v>52</v>
      </c>
      <c r="K411" s="9" t="s">
        <v>424</v>
      </c>
      <c r="L411" s="9"/>
      <c r="M411" s="9"/>
      <c r="N411" s="9" t="str">
        <f ca="1">IFERROR(__xludf.DUMMYFUNCTION("IFERROR(VALUE(REGEXEXTRACT(TO_TEXT($F411), N$1 &amp; ""x(\d+)"")), """")
"),"")</f>
        <v/>
      </c>
      <c r="O411" s="9" t="str">
        <f ca="1">IFERROR(__xludf.DUMMYFUNCTION("IFERROR(VALUE(REGEXEXTRACT(TO_TEXT($F411), O$1 &amp; ""x(\d+)"")), """")"),"")</f>
        <v/>
      </c>
      <c r="P411" s="9">
        <f ca="1">IFERROR(__xludf.DUMMYFUNCTION("IFERROR(VALUE(REGEXEXTRACT(TO_TEXT($F411), P$1 &amp; ""x(\d+)"")), """")"),1)</f>
        <v>1</v>
      </c>
      <c r="Q411" s="9" t="str">
        <f ca="1">IFERROR(__xludf.DUMMYFUNCTION("IFERROR(VALUE(REGEXEXTRACT(TO_TEXT($F411), Q$1 &amp; ""x(\d+)"")), """")"),"")</f>
        <v/>
      </c>
      <c r="R411" s="9" t="str">
        <f ca="1">IFERROR(__xludf.DUMMYFUNCTION("IFERROR(VALUE(REGEXEXTRACT(TO_TEXT($F411), R$1 &amp; ""x(\d+)"")), """")"),"")</f>
        <v/>
      </c>
      <c r="S411" s="9" t="str">
        <f ca="1">IFERROR(__xludf.DUMMYFUNCTION("IFERROR(VALUE(REGEXEXTRACT(TO_TEXT($F411), S$1 &amp; ""x(\d+)"")), """")"),"")</f>
        <v/>
      </c>
      <c r="T411" s="9" t="str">
        <f ca="1">IFERROR(__xludf.DUMMYFUNCTION("IFERROR(VALUE(REGEXEXTRACT(TO_TEXT($F411), T$1 &amp; ""x(\d+)"")), """")"),"")</f>
        <v/>
      </c>
      <c r="U411" s="9" t="str">
        <f ca="1">IFERROR(__xludf.DUMMYFUNCTION("IFERROR(VALUE(REGEXEXTRACT(TO_TEXT($F411), U$1 &amp; ""x(\d+)"")), """")"),"")</f>
        <v/>
      </c>
      <c r="V411" s="9" t="str">
        <f ca="1">IFERROR(__xludf.DUMMYFUNCTION("IFERROR(VALUE(REGEXEXTRACT(TO_TEXT($F411), V$1 &amp; ""x(\d+)"")), """")"),"")</f>
        <v/>
      </c>
      <c r="W411" s="9"/>
      <c r="X411" s="9"/>
      <c r="Y411" s="9"/>
      <c r="Z411" s="9"/>
    </row>
    <row r="412" spans="1:26" ht="15.75" customHeight="1">
      <c r="A412" s="9" t="s">
        <v>1503</v>
      </c>
      <c r="B412" s="9" t="s">
        <v>1504</v>
      </c>
      <c r="C412" s="9" t="s">
        <v>1505</v>
      </c>
      <c r="D412" s="9" t="s">
        <v>33</v>
      </c>
      <c r="E412" s="9" t="s">
        <v>11</v>
      </c>
      <c r="F412" s="9" t="s">
        <v>1292</v>
      </c>
      <c r="G412" s="9">
        <v>20</v>
      </c>
      <c r="H412" s="9">
        <v>5</v>
      </c>
      <c r="I412" s="9">
        <v>1.0149999999999999</v>
      </c>
      <c r="J412" s="9">
        <v>81</v>
      </c>
      <c r="K412" s="9" t="s">
        <v>424</v>
      </c>
      <c r="L412" s="9"/>
      <c r="M412" s="9"/>
      <c r="N412" s="9" t="str">
        <f ca="1">IFERROR(__xludf.DUMMYFUNCTION("IFERROR(VALUE(REGEXEXTRACT(TO_TEXT($F412), N$1 &amp; ""x(\d+)"")), """")
"),"")</f>
        <v/>
      </c>
      <c r="O412" s="9" t="str">
        <f ca="1">IFERROR(__xludf.DUMMYFUNCTION("IFERROR(VALUE(REGEXEXTRACT(TO_TEXT($F412), O$1 &amp; ""x(\d+)"")), """")"),"")</f>
        <v/>
      </c>
      <c r="P412" s="9" t="str">
        <f ca="1">IFERROR(__xludf.DUMMYFUNCTION("IFERROR(VALUE(REGEXEXTRACT(TO_TEXT($F412), P$1 &amp; ""x(\d+)"")), """")"),"")</f>
        <v/>
      </c>
      <c r="Q412" s="9" t="str">
        <f ca="1">IFERROR(__xludf.DUMMYFUNCTION("IFERROR(VALUE(REGEXEXTRACT(TO_TEXT($F412), Q$1 &amp; ""x(\d+)"")), """")"),"")</f>
        <v/>
      </c>
      <c r="R412" s="9" t="str">
        <f ca="1">IFERROR(__xludf.DUMMYFUNCTION("IFERROR(VALUE(REGEXEXTRACT(TO_TEXT($F412), R$1 &amp; ""x(\d+)"")), """")"),"")</f>
        <v/>
      </c>
      <c r="S412" s="9" t="str">
        <f ca="1">IFERROR(__xludf.DUMMYFUNCTION("IFERROR(VALUE(REGEXEXTRACT(TO_TEXT($F412), S$1 &amp; ""x(\d+)"")), """")"),"")</f>
        <v/>
      </c>
      <c r="T412" s="9" t="str">
        <f ca="1">IFERROR(__xludf.DUMMYFUNCTION("IFERROR(VALUE(REGEXEXTRACT(TO_TEXT($F412), T$1 &amp; ""x(\d+)"")), """")"),"")</f>
        <v/>
      </c>
      <c r="U412" s="9" t="str">
        <f ca="1">IFERROR(__xludf.DUMMYFUNCTION("IFERROR(VALUE(REGEXEXTRACT(TO_TEXT($F412), U$1 &amp; ""x(\d+)"")), """")"),"")</f>
        <v/>
      </c>
      <c r="V412" s="9" t="str">
        <f ca="1">IFERROR(__xludf.DUMMYFUNCTION("IFERROR(VALUE(REGEXEXTRACT(TO_TEXT($F412), V$1 &amp; ""x(\d+)"")), """")"),"")</f>
        <v/>
      </c>
      <c r="W412" s="9"/>
      <c r="X412" s="9"/>
      <c r="Y412" s="9"/>
      <c r="Z412" s="9"/>
    </row>
    <row r="413" spans="1:26" ht="15.75" customHeight="1">
      <c r="A413" s="9" t="s">
        <v>1503</v>
      </c>
      <c r="B413" s="9" t="s">
        <v>1504</v>
      </c>
      <c r="C413" s="9" t="s">
        <v>1505</v>
      </c>
      <c r="D413" s="9" t="s">
        <v>33</v>
      </c>
      <c r="E413" s="9" t="s">
        <v>12</v>
      </c>
      <c r="F413" s="9" t="s">
        <v>1506</v>
      </c>
      <c r="G413" s="9">
        <v>90</v>
      </c>
      <c r="H413" s="9">
        <v>5</v>
      </c>
      <c r="I413" s="9">
        <v>1.0149999999999999</v>
      </c>
      <c r="J413" s="9">
        <v>81</v>
      </c>
      <c r="K413" s="9" t="s">
        <v>424</v>
      </c>
      <c r="L413" s="9" t="s">
        <v>1243</v>
      </c>
      <c r="M413" s="9"/>
      <c r="N413" s="9" t="str">
        <f ca="1">IFERROR(__xludf.DUMMYFUNCTION("IFERROR(VALUE(REGEXEXTRACT(TO_TEXT($F413), N$1 &amp; ""x(\d+)"")), """")
"),"")</f>
        <v/>
      </c>
      <c r="O413" s="9">
        <f ca="1">IFERROR(__xludf.DUMMYFUNCTION("IFERROR(VALUE(REGEXEXTRACT(TO_TEXT($F413), O$1 &amp; ""x(\d+)"")), """")"),1)</f>
        <v>1</v>
      </c>
      <c r="P413" s="9" t="str">
        <f ca="1">IFERROR(__xludf.DUMMYFUNCTION("IFERROR(VALUE(REGEXEXTRACT(TO_TEXT($F413), P$1 &amp; ""x(\d+)"")), """")"),"")</f>
        <v/>
      </c>
      <c r="Q413" s="9" t="str">
        <f ca="1">IFERROR(__xludf.DUMMYFUNCTION("IFERROR(VALUE(REGEXEXTRACT(TO_TEXT($F413), Q$1 &amp; ""x(\d+)"")), """")"),"")</f>
        <v/>
      </c>
      <c r="R413" s="9" t="str">
        <f ca="1">IFERROR(__xludf.DUMMYFUNCTION("IFERROR(VALUE(REGEXEXTRACT(TO_TEXT($F413), R$1 &amp; ""x(\d+)"")), """")"),"")</f>
        <v/>
      </c>
      <c r="S413" s="9" t="str">
        <f ca="1">IFERROR(__xludf.DUMMYFUNCTION("IFERROR(VALUE(REGEXEXTRACT(TO_TEXT($F413), S$1 &amp; ""x(\d+)"")), """")"),"")</f>
        <v/>
      </c>
      <c r="T413" s="9" t="str">
        <f ca="1">IFERROR(__xludf.DUMMYFUNCTION("IFERROR(VALUE(REGEXEXTRACT(TO_TEXT($F413), T$1 &amp; ""x(\d+)"")), """")"),"")</f>
        <v/>
      </c>
      <c r="U413" s="9" t="str">
        <f ca="1">IFERROR(__xludf.DUMMYFUNCTION("IFERROR(VALUE(REGEXEXTRACT(TO_TEXT($F413), U$1 &amp; ""x(\d+)"")), """")"),"")</f>
        <v/>
      </c>
      <c r="V413" s="9" t="str">
        <f ca="1">IFERROR(__xludf.DUMMYFUNCTION("IFERROR(VALUE(REGEXEXTRACT(TO_TEXT($F413), V$1 &amp; ""x(\d+)"")), """")"),"")</f>
        <v/>
      </c>
      <c r="W413" s="9"/>
      <c r="X413" s="9"/>
      <c r="Y413" s="9"/>
      <c r="Z413" s="9"/>
    </row>
    <row r="414" spans="1:26" ht="15.75" customHeight="1">
      <c r="A414" s="9" t="s">
        <v>1503</v>
      </c>
      <c r="B414" s="9" t="s">
        <v>1504</v>
      </c>
      <c r="C414" s="9" t="s">
        <v>1505</v>
      </c>
      <c r="D414" s="9" t="s">
        <v>33</v>
      </c>
      <c r="E414" s="9" t="s">
        <v>13</v>
      </c>
      <c r="F414" s="9" t="s">
        <v>1130</v>
      </c>
      <c r="G414" s="9">
        <v>15</v>
      </c>
      <c r="H414" s="9">
        <v>5</v>
      </c>
      <c r="I414" s="9">
        <v>1.0149999999999999</v>
      </c>
      <c r="J414" s="9">
        <v>81</v>
      </c>
      <c r="K414" s="9" t="s">
        <v>424</v>
      </c>
      <c r="L414" s="9"/>
      <c r="M414" s="9"/>
      <c r="N414" s="9" t="str">
        <f ca="1">IFERROR(__xludf.DUMMYFUNCTION("IFERROR(VALUE(REGEXEXTRACT(TO_TEXT($F414), N$1 &amp; ""x(\d+)"")), """")
"),"")</f>
        <v/>
      </c>
      <c r="O414" s="9">
        <f ca="1">IFERROR(__xludf.DUMMYFUNCTION("IFERROR(VALUE(REGEXEXTRACT(TO_TEXT($F414), O$1 &amp; ""x(\d+)"")), """")"),1)</f>
        <v>1</v>
      </c>
      <c r="P414" s="9" t="str">
        <f ca="1">IFERROR(__xludf.DUMMYFUNCTION("IFERROR(VALUE(REGEXEXTRACT(TO_TEXT($F414), P$1 &amp; ""x(\d+)"")), """")"),"")</f>
        <v/>
      </c>
      <c r="Q414" s="9" t="str">
        <f ca="1">IFERROR(__xludf.DUMMYFUNCTION("IFERROR(VALUE(REGEXEXTRACT(TO_TEXT($F414), Q$1 &amp; ""x(\d+)"")), """")"),"")</f>
        <v/>
      </c>
      <c r="R414" s="9" t="str">
        <f ca="1">IFERROR(__xludf.DUMMYFUNCTION("IFERROR(VALUE(REGEXEXTRACT(TO_TEXT($F414), R$1 &amp; ""x(\d+)"")), """")"),"")</f>
        <v/>
      </c>
      <c r="S414" s="9" t="str">
        <f ca="1">IFERROR(__xludf.DUMMYFUNCTION("IFERROR(VALUE(REGEXEXTRACT(TO_TEXT($F414), S$1 &amp; ""x(\d+)"")), """")"),"")</f>
        <v/>
      </c>
      <c r="T414" s="9" t="str">
        <f ca="1">IFERROR(__xludf.DUMMYFUNCTION("IFERROR(VALUE(REGEXEXTRACT(TO_TEXT($F414), T$1 &amp; ""x(\d+)"")), """")"),"")</f>
        <v/>
      </c>
      <c r="U414" s="9" t="str">
        <f ca="1">IFERROR(__xludf.DUMMYFUNCTION("IFERROR(VALUE(REGEXEXTRACT(TO_TEXT($F414), U$1 &amp; ""x(\d+)"")), """")"),"")</f>
        <v/>
      </c>
      <c r="V414" s="9" t="str">
        <f ca="1">IFERROR(__xludf.DUMMYFUNCTION("IFERROR(VALUE(REGEXEXTRACT(TO_TEXT($F414), V$1 &amp; ""x(\d+)"")), """")"),"")</f>
        <v/>
      </c>
      <c r="W414" s="9"/>
      <c r="X414" s="9"/>
      <c r="Y414" s="9"/>
      <c r="Z414" s="9"/>
    </row>
    <row r="415" spans="1:26" ht="15.75" hidden="1" customHeight="1">
      <c r="A415" s="9" t="s">
        <v>1507</v>
      </c>
      <c r="B415" s="9" t="s">
        <v>1508</v>
      </c>
      <c r="C415" s="9" t="s">
        <v>653</v>
      </c>
      <c r="D415" s="9" t="s">
        <v>40</v>
      </c>
      <c r="E415" s="9" t="s">
        <v>11</v>
      </c>
      <c r="F415" s="9" t="s">
        <v>1509</v>
      </c>
      <c r="G415" s="9">
        <v>70</v>
      </c>
      <c r="H415" s="9">
        <v>3</v>
      </c>
      <c r="I415" s="9">
        <v>1.0149999999999999</v>
      </c>
      <c r="J415" s="9">
        <v>400</v>
      </c>
      <c r="K415" s="9" t="s">
        <v>442</v>
      </c>
      <c r="L415" s="9"/>
      <c r="M415" s="9"/>
      <c r="N415" s="9" t="str">
        <f ca="1">IFERROR(__xludf.DUMMYFUNCTION("IFERROR(VALUE(REGEXEXTRACT(TO_TEXT($F415), N$1 &amp; ""x(\d+)"")), """")
"),"")</f>
        <v/>
      </c>
      <c r="O415" s="9" t="str">
        <f ca="1">IFERROR(__xludf.DUMMYFUNCTION("IFERROR(VALUE(REGEXEXTRACT(TO_TEXT($F415), O$1 &amp; ""x(\d+)"")), """")"),"")</f>
        <v/>
      </c>
      <c r="P415" s="9" t="str">
        <f ca="1">IFERROR(__xludf.DUMMYFUNCTION("IFERROR(VALUE(REGEXEXTRACT(TO_TEXT($F415), P$1 &amp; ""x(\d+)"")), """")"),"")</f>
        <v/>
      </c>
      <c r="Q415" s="9" t="str">
        <f ca="1">IFERROR(__xludf.DUMMYFUNCTION("IFERROR(VALUE(REGEXEXTRACT(TO_TEXT($F415), Q$1 &amp; ""x(\d+)"")), """")"),"")</f>
        <v/>
      </c>
      <c r="R415" s="9" t="str">
        <f ca="1">IFERROR(__xludf.DUMMYFUNCTION("IFERROR(VALUE(REGEXEXTRACT(TO_TEXT($F415), R$1 &amp; ""x(\d+)"")), """")"),"")</f>
        <v/>
      </c>
      <c r="S415" s="9" t="str">
        <f ca="1">IFERROR(__xludf.DUMMYFUNCTION("IFERROR(VALUE(REGEXEXTRACT(TO_TEXT($F415), S$1 &amp; ""x(\d+)"")), """")"),"")</f>
        <v/>
      </c>
      <c r="T415" s="9" t="str">
        <f ca="1">IFERROR(__xludf.DUMMYFUNCTION("IFERROR(VALUE(REGEXEXTRACT(TO_TEXT($F415), T$1 &amp; ""x(\d+)"")), """")"),"")</f>
        <v/>
      </c>
      <c r="U415" s="9" t="str">
        <f ca="1">IFERROR(__xludf.DUMMYFUNCTION("IFERROR(VALUE(REGEXEXTRACT(TO_TEXT($F415), U$1 &amp; ""x(\d+)"")), """")"),"")</f>
        <v/>
      </c>
      <c r="V415" s="9" t="str">
        <f ca="1">IFERROR(__xludf.DUMMYFUNCTION("IFERROR(VALUE(REGEXEXTRACT(TO_TEXT($F415), V$1 &amp; ""x(\d+)"")), """")"),"")</f>
        <v/>
      </c>
      <c r="W415" s="9"/>
      <c r="X415" s="9"/>
      <c r="Y415" s="9"/>
      <c r="Z415" s="9"/>
    </row>
    <row r="416" spans="1:26" ht="15.75" hidden="1" customHeight="1">
      <c r="A416" s="9" t="s">
        <v>1507</v>
      </c>
      <c r="B416" s="9" t="s">
        <v>1508</v>
      </c>
      <c r="C416" s="9" t="s">
        <v>653</v>
      </c>
      <c r="D416" s="9" t="s">
        <v>40</v>
      </c>
      <c r="E416" s="9" t="s">
        <v>12</v>
      </c>
      <c r="F416" s="9" t="s">
        <v>1510</v>
      </c>
      <c r="G416" s="9">
        <v>130</v>
      </c>
      <c r="H416" s="9">
        <v>3</v>
      </c>
      <c r="I416" s="9">
        <v>1.0149999999999999</v>
      </c>
      <c r="J416" s="9">
        <v>400</v>
      </c>
      <c r="K416" s="9" t="s">
        <v>442</v>
      </c>
      <c r="L416" s="9" t="s">
        <v>1015</v>
      </c>
      <c r="M416" s="9"/>
      <c r="N416" s="9" t="str">
        <f ca="1">IFERROR(__xludf.DUMMYFUNCTION("IFERROR(VALUE(REGEXEXTRACT(TO_TEXT($F416), N$1 &amp; ""x(\d+)"")), """")
"),"")</f>
        <v/>
      </c>
      <c r="O416" s="9">
        <f ca="1">IFERROR(__xludf.DUMMYFUNCTION("IFERROR(VALUE(REGEXEXTRACT(TO_TEXT($F416), O$1 &amp; ""x(\d+)"")), """")"),1)</f>
        <v>1</v>
      </c>
      <c r="P416" s="9" t="str">
        <f ca="1">IFERROR(__xludf.DUMMYFUNCTION("IFERROR(VALUE(REGEXEXTRACT(TO_TEXT($F416), P$1 &amp; ""x(\d+)"")), """")"),"")</f>
        <v/>
      </c>
      <c r="Q416" s="9" t="str">
        <f ca="1">IFERROR(__xludf.DUMMYFUNCTION("IFERROR(VALUE(REGEXEXTRACT(TO_TEXT($F416), Q$1 &amp; ""x(\d+)"")), """")"),"")</f>
        <v/>
      </c>
      <c r="R416" s="9" t="str">
        <f ca="1">IFERROR(__xludf.DUMMYFUNCTION("IFERROR(VALUE(REGEXEXTRACT(TO_TEXT($F416), R$1 &amp; ""x(\d+)"")), """")"),"")</f>
        <v/>
      </c>
      <c r="S416" s="9">
        <f ca="1">IFERROR(__xludf.DUMMYFUNCTION("IFERROR(VALUE(REGEXEXTRACT(TO_TEXT($F416), S$1 &amp; ""x(\d+)"")), """")"),1)</f>
        <v>1</v>
      </c>
      <c r="T416" s="9" t="str">
        <f ca="1">IFERROR(__xludf.DUMMYFUNCTION("IFERROR(VALUE(REGEXEXTRACT(TO_TEXT($F416), T$1 &amp; ""x(\d+)"")), """")"),"")</f>
        <v/>
      </c>
      <c r="U416" s="9" t="str">
        <f ca="1">IFERROR(__xludf.DUMMYFUNCTION("IFERROR(VALUE(REGEXEXTRACT(TO_TEXT($F416), U$1 &amp; ""x(\d+)"")), """")"),"")</f>
        <v/>
      </c>
      <c r="V416" s="9" t="str">
        <f ca="1">IFERROR(__xludf.DUMMYFUNCTION("IFERROR(VALUE(REGEXEXTRACT(TO_TEXT($F416), V$1 &amp; ""x(\d+)"")), """")"),"")</f>
        <v/>
      </c>
      <c r="W416" s="9"/>
      <c r="X416" s="9"/>
      <c r="Y416" s="9"/>
      <c r="Z416" s="9"/>
    </row>
    <row r="417" spans="1:26" ht="15.75" hidden="1" customHeight="1">
      <c r="A417" s="9" t="s">
        <v>1507</v>
      </c>
      <c r="B417" s="9" t="s">
        <v>1508</v>
      </c>
      <c r="C417" s="9" t="s">
        <v>653</v>
      </c>
      <c r="D417" s="9" t="s">
        <v>40</v>
      </c>
      <c r="E417" s="9" t="s">
        <v>13</v>
      </c>
      <c r="F417" s="9" t="s">
        <v>1511</v>
      </c>
      <c r="G417" s="9">
        <v>30</v>
      </c>
      <c r="H417" s="9">
        <v>3</v>
      </c>
      <c r="I417" s="9">
        <v>1.0149999999999999</v>
      </c>
      <c r="J417" s="9">
        <v>400</v>
      </c>
      <c r="K417" s="9" t="s">
        <v>442</v>
      </c>
      <c r="L417" s="9"/>
      <c r="M417" s="9"/>
      <c r="N417" s="9" t="str">
        <f ca="1">IFERROR(__xludf.DUMMYFUNCTION("IFERROR(VALUE(REGEXEXTRACT(TO_TEXT($F417), N$1 &amp; ""x(\d+)"")), """")
"),"")</f>
        <v/>
      </c>
      <c r="O417" s="9">
        <f ca="1">IFERROR(__xludf.DUMMYFUNCTION("IFERROR(VALUE(REGEXEXTRACT(TO_TEXT($F417), O$1 &amp; ""x(\d+)"")), """")"),1)</f>
        <v>1</v>
      </c>
      <c r="P417" s="9" t="str">
        <f ca="1">IFERROR(__xludf.DUMMYFUNCTION("IFERROR(VALUE(REGEXEXTRACT(TO_TEXT($F417), P$1 &amp; ""x(\d+)"")), """")"),"")</f>
        <v/>
      </c>
      <c r="Q417" s="9" t="str">
        <f ca="1">IFERROR(__xludf.DUMMYFUNCTION("IFERROR(VALUE(REGEXEXTRACT(TO_TEXT($F417), Q$1 &amp; ""x(\d+)"")), """")"),"")</f>
        <v/>
      </c>
      <c r="R417" s="9" t="str">
        <f ca="1">IFERROR(__xludf.DUMMYFUNCTION("IFERROR(VALUE(REGEXEXTRACT(TO_TEXT($F417), R$1 &amp; ""x(\d+)"")), """")"),"")</f>
        <v/>
      </c>
      <c r="S417" s="9">
        <f ca="1">IFERROR(__xludf.DUMMYFUNCTION("IFERROR(VALUE(REGEXEXTRACT(TO_TEXT($F417), S$1 &amp; ""x(\d+)"")), """")"),1)</f>
        <v>1</v>
      </c>
      <c r="T417" s="9" t="str">
        <f ca="1">IFERROR(__xludf.DUMMYFUNCTION("IFERROR(VALUE(REGEXEXTRACT(TO_TEXT($F417), T$1 &amp; ""x(\d+)"")), """")"),"")</f>
        <v/>
      </c>
      <c r="U417" s="9" t="str">
        <f ca="1">IFERROR(__xludf.DUMMYFUNCTION("IFERROR(VALUE(REGEXEXTRACT(TO_TEXT($F417), U$1 &amp; ""x(\d+)"")), """")"),"")</f>
        <v/>
      </c>
      <c r="V417" s="9" t="str">
        <f ca="1">IFERROR(__xludf.DUMMYFUNCTION("IFERROR(VALUE(REGEXEXTRACT(TO_TEXT($F417), V$1 &amp; ""x(\d+)"")), """")"),"")</f>
        <v/>
      </c>
      <c r="W417" s="9"/>
      <c r="X417" s="9"/>
      <c r="Y417" s="9"/>
      <c r="Z417" s="9"/>
    </row>
    <row r="418" spans="1:26" ht="15.75" customHeight="1">
      <c r="A418" s="9" t="s">
        <v>1512</v>
      </c>
      <c r="B418" s="9" t="s">
        <v>1513</v>
      </c>
      <c r="C418" s="9" t="s">
        <v>539</v>
      </c>
      <c r="D418" s="9" t="s">
        <v>33</v>
      </c>
      <c r="E418" s="9" t="s">
        <v>11</v>
      </c>
      <c r="F418" s="9" t="s">
        <v>1514</v>
      </c>
      <c r="G418" s="9">
        <v>100</v>
      </c>
      <c r="H418" s="9">
        <v>4</v>
      </c>
      <c r="I418" s="9">
        <v>1.0149999999999999</v>
      </c>
      <c r="J418" s="9">
        <v>78.5</v>
      </c>
      <c r="K418" s="9" t="s">
        <v>442</v>
      </c>
      <c r="L418" s="9"/>
      <c r="M418" s="9"/>
      <c r="N418" s="9">
        <f ca="1">IFERROR(__xludf.DUMMYFUNCTION("IFERROR(VALUE(REGEXEXTRACT(TO_TEXT($F418), N$1 &amp; ""x(\d+)"")), """")
"),1)</f>
        <v>1</v>
      </c>
      <c r="O418" s="9">
        <f ca="1">IFERROR(__xludf.DUMMYFUNCTION("IFERROR(VALUE(REGEXEXTRACT(TO_TEXT($F418), O$1 &amp; ""x(\d+)"")), """")"),1)</f>
        <v>1</v>
      </c>
      <c r="P418" s="9" t="str">
        <f ca="1">IFERROR(__xludf.DUMMYFUNCTION("IFERROR(VALUE(REGEXEXTRACT(TO_TEXT($F418), P$1 &amp; ""x(\d+)"")), """")"),"")</f>
        <v/>
      </c>
      <c r="Q418" s="9" t="str">
        <f ca="1">IFERROR(__xludf.DUMMYFUNCTION("IFERROR(VALUE(REGEXEXTRACT(TO_TEXT($F418), Q$1 &amp; ""x(\d+)"")), """")"),"")</f>
        <v/>
      </c>
      <c r="R418" s="9" t="str">
        <f ca="1">IFERROR(__xludf.DUMMYFUNCTION("IFERROR(VALUE(REGEXEXTRACT(TO_TEXT($F418), R$1 &amp; ""x(\d+)"")), """")"),"")</f>
        <v/>
      </c>
      <c r="S418" s="9" t="str">
        <f ca="1">IFERROR(__xludf.DUMMYFUNCTION("IFERROR(VALUE(REGEXEXTRACT(TO_TEXT($F418), S$1 &amp; ""x(\d+)"")), """")"),"")</f>
        <v/>
      </c>
      <c r="T418" s="9" t="str">
        <f ca="1">IFERROR(__xludf.DUMMYFUNCTION("IFERROR(VALUE(REGEXEXTRACT(TO_TEXT($F418), T$1 &amp; ""x(\d+)"")), """")"),"")</f>
        <v/>
      </c>
      <c r="U418" s="9" t="str">
        <f ca="1">IFERROR(__xludf.DUMMYFUNCTION("IFERROR(VALUE(REGEXEXTRACT(TO_TEXT($F418), U$1 &amp; ""x(\d+)"")), """")"),"")</f>
        <v/>
      </c>
      <c r="V418" s="9" t="str">
        <f ca="1">IFERROR(__xludf.DUMMYFUNCTION("IFERROR(VALUE(REGEXEXTRACT(TO_TEXT($F418), V$1 &amp; ""x(\d+)"")), """")"),"")</f>
        <v/>
      </c>
      <c r="W418" s="9"/>
      <c r="X418" s="9"/>
      <c r="Y418" s="9"/>
      <c r="Z418" s="9"/>
    </row>
    <row r="419" spans="1:26" ht="15.75" customHeight="1">
      <c r="A419" s="9" t="s">
        <v>1512</v>
      </c>
      <c r="B419" s="9" t="s">
        <v>1513</v>
      </c>
      <c r="C419" s="9" t="s">
        <v>539</v>
      </c>
      <c r="D419" s="9" t="s">
        <v>33</v>
      </c>
      <c r="E419" s="9" t="s">
        <v>12</v>
      </c>
      <c r="F419" s="9" t="s">
        <v>1515</v>
      </c>
      <c r="G419" s="9">
        <v>110</v>
      </c>
      <c r="H419" s="9">
        <v>4</v>
      </c>
      <c r="I419" s="9">
        <v>1.0149999999999999</v>
      </c>
      <c r="J419" s="9">
        <v>78.5</v>
      </c>
      <c r="K419" s="9" t="s">
        <v>442</v>
      </c>
      <c r="L419" s="9" t="s">
        <v>1015</v>
      </c>
      <c r="M419" s="9"/>
      <c r="N419" s="9">
        <f ca="1">IFERROR(__xludf.DUMMYFUNCTION("IFERROR(VALUE(REGEXEXTRACT(TO_TEXT($F419), N$1 &amp; ""x(\d+)"")), """")
"),1)</f>
        <v>1</v>
      </c>
      <c r="O419" s="9">
        <f ca="1">IFERROR(__xludf.DUMMYFUNCTION("IFERROR(VALUE(REGEXEXTRACT(TO_TEXT($F419), O$1 &amp; ""x(\d+)"")), """")"),1)</f>
        <v>1</v>
      </c>
      <c r="P419" s="9" t="str">
        <f ca="1">IFERROR(__xludf.DUMMYFUNCTION("IFERROR(VALUE(REGEXEXTRACT(TO_TEXT($F419), P$1 &amp; ""x(\d+)"")), """")"),"")</f>
        <v/>
      </c>
      <c r="Q419" s="9" t="str">
        <f ca="1">IFERROR(__xludf.DUMMYFUNCTION("IFERROR(VALUE(REGEXEXTRACT(TO_TEXT($F419), Q$1 &amp; ""x(\d+)"")), """")"),"")</f>
        <v/>
      </c>
      <c r="R419" s="9" t="str">
        <f ca="1">IFERROR(__xludf.DUMMYFUNCTION("IFERROR(VALUE(REGEXEXTRACT(TO_TEXT($F419), R$1 &amp; ""x(\d+)"")), """")"),"")</f>
        <v/>
      </c>
      <c r="S419" s="9" t="str">
        <f ca="1">IFERROR(__xludf.DUMMYFUNCTION("IFERROR(VALUE(REGEXEXTRACT(TO_TEXT($F419), S$1 &amp; ""x(\d+)"")), """")"),"")</f>
        <v/>
      </c>
      <c r="T419" s="9" t="str">
        <f ca="1">IFERROR(__xludf.DUMMYFUNCTION("IFERROR(VALUE(REGEXEXTRACT(TO_TEXT($F419), T$1 &amp; ""x(\d+)"")), """")"),"")</f>
        <v/>
      </c>
      <c r="U419" s="9" t="str">
        <f ca="1">IFERROR(__xludf.DUMMYFUNCTION("IFERROR(VALUE(REGEXEXTRACT(TO_TEXT($F419), U$1 &amp; ""x(\d+)"")), """")"),"")</f>
        <v/>
      </c>
      <c r="V419" s="9" t="str">
        <f ca="1">IFERROR(__xludf.DUMMYFUNCTION("IFERROR(VALUE(REGEXEXTRACT(TO_TEXT($F419), V$1 &amp; ""x(\d+)"")), """")"),"")</f>
        <v/>
      </c>
      <c r="W419" s="9"/>
      <c r="X419" s="9"/>
      <c r="Y419" s="9"/>
      <c r="Z419" s="9"/>
    </row>
    <row r="420" spans="1:26" ht="15.75" customHeight="1">
      <c r="A420" s="9" t="s">
        <v>1512</v>
      </c>
      <c r="B420" s="9" t="s">
        <v>1513</v>
      </c>
      <c r="C420" s="9" t="s">
        <v>539</v>
      </c>
      <c r="D420" s="9" t="s">
        <v>33</v>
      </c>
      <c r="E420" s="9" t="s">
        <v>13</v>
      </c>
      <c r="F420" s="9" t="s">
        <v>1516</v>
      </c>
      <c r="G420" s="9">
        <v>30</v>
      </c>
      <c r="H420" s="9">
        <v>4</v>
      </c>
      <c r="I420" s="9">
        <v>1.0149999999999999</v>
      </c>
      <c r="J420" s="9">
        <v>78.5</v>
      </c>
      <c r="K420" s="9" t="s">
        <v>442</v>
      </c>
      <c r="L420" s="9"/>
      <c r="M420" s="9"/>
      <c r="N420" s="9">
        <f ca="1">IFERROR(__xludf.DUMMYFUNCTION("IFERROR(VALUE(REGEXEXTRACT(TO_TEXT($F420), N$1 &amp; ""x(\d+)"")), """")
"),1)</f>
        <v>1</v>
      </c>
      <c r="O420" s="9">
        <f ca="1">IFERROR(__xludf.DUMMYFUNCTION("IFERROR(VALUE(REGEXEXTRACT(TO_TEXT($F420), O$1 &amp; ""x(\d+)"")), """")"),1)</f>
        <v>1</v>
      </c>
      <c r="P420" s="9" t="str">
        <f ca="1">IFERROR(__xludf.DUMMYFUNCTION("IFERROR(VALUE(REGEXEXTRACT(TO_TEXT($F420), P$1 &amp; ""x(\d+)"")), """")"),"")</f>
        <v/>
      </c>
      <c r="Q420" s="9" t="str">
        <f ca="1">IFERROR(__xludf.DUMMYFUNCTION("IFERROR(VALUE(REGEXEXTRACT(TO_TEXT($F420), Q$1 &amp; ""x(\d+)"")), """")"),"")</f>
        <v/>
      </c>
      <c r="R420" s="9" t="str">
        <f ca="1">IFERROR(__xludf.DUMMYFUNCTION("IFERROR(VALUE(REGEXEXTRACT(TO_TEXT($F420), R$1 &amp; ""x(\d+)"")), """")"),"")</f>
        <v/>
      </c>
      <c r="S420" s="9" t="str">
        <f ca="1">IFERROR(__xludf.DUMMYFUNCTION("IFERROR(VALUE(REGEXEXTRACT(TO_TEXT($F420), S$1 &amp; ""x(\d+)"")), """")"),"")</f>
        <v/>
      </c>
      <c r="T420" s="9" t="str">
        <f ca="1">IFERROR(__xludf.DUMMYFUNCTION("IFERROR(VALUE(REGEXEXTRACT(TO_TEXT($F420), T$1 &amp; ""x(\d+)"")), """")"),"")</f>
        <v/>
      </c>
      <c r="U420" s="9" t="str">
        <f ca="1">IFERROR(__xludf.DUMMYFUNCTION("IFERROR(VALUE(REGEXEXTRACT(TO_TEXT($F420), U$1 &amp; ""x(\d+)"")), """")"),"")</f>
        <v/>
      </c>
      <c r="V420" s="9" t="str">
        <f ca="1">IFERROR(__xludf.DUMMYFUNCTION("IFERROR(VALUE(REGEXEXTRACT(TO_TEXT($F420), V$1 &amp; ""x(\d+)"")), """")"),"")</f>
        <v/>
      </c>
      <c r="W420" s="9"/>
      <c r="X420" s="9"/>
      <c r="Y420" s="9"/>
      <c r="Z420" s="9"/>
    </row>
    <row r="421" spans="1:26" ht="15.75" customHeight="1">
      <c r="A421" s="9" t="s">
        <v>1517</v>
      </c>
      <c r="B421" s="9" t="s">
        <v>1518</v>
      </c>
      <c r="C421" s="9" t="s">
        <v>837</v>
      </c>
      <c r="D421" s="9" t="s">
        <v>33</v>
      </c>
      <c r="E421" s="9" t="s">
        <v>11</v>
      </c>
      <c r="F421" s="9" t="s">
        <v>1474</v>
      </c>
      <c r="G421" s="9">
        <v>100</v>
      </c>
      <c r="H421" s="9">
        <v>4</v>
      </c>
      <c r="I421" s="9">
        <v>1.0149999999999999</v>
      </c>
      <c r="J421" s="9">
        <v>100</v>
      </c>
      <c r="K421" s="9" t="s">
        <v>442</v>
      </c>
      <c r="L421" s="9"/>
      <c r="M421" s="9"/>
      <c r="N421" s="9" t="str">
        <f ca="1">IFERROR(__xludf.DUMMYFUNCTION("IFERROR(VALUE(REGEXEXTRACT(TO_TEXT($F421), N$1 &amp; ""x(\d+)"")), """")
"),"")</f>
        <v/>
      </c>
      <c r="O421" s="9">
        <f ca="1">IFERROR(__xludf.DUMMYFUNCTION("IFERROR(VALUE(REGEXEXTRACT(TO_TEXT($F421), O$1 &amp; ""x(\d+)"")), """")"),1)</f>
        <v>1</v>
      </c>
      <c r="P421" s="9" t="str">
        <f ca="1">IFERROR(__xludf.DUMMYFUNCTION("IFERROR(VALUE(REGEXEXTRACT(TO_TEXT($F421), P$1 &amp; ""x(\d+)"")), """")"),"")</f>
        <v/>
      </c>
      <c r="Q421" s="9" t="str">
        <f ca="1">IFERROR(__xludf.DUMMYFUNCTION("IFERROR(VALUE(REGEXEXTRACT(TO_TEXT($F421), Q$1 &amp; ""x(\d+)"")), """")"),"")</f>
        <v/>
      </c>
      <c r="R421" s="9" t="str">
        <f ca="1">IFERROR(__xludf.DUMMYFUNCTION("IFERROR(VALUE(REGEXEXTRACT(TO_TEXT($F421), R$1 &amp; ""x(\d+)"")), """")"),"")</f>
        <v/>
      </c>
      <c r="S421" s="9" t="str">
        <f ca="1">IFERROR(__xludf.DUMMYFUNCTION("IFERROR(VALUE(REGEXEXTRACT(TO_TEXT($F421), S$1 &amp; ""x(\d+)"")), """")"),"")</f>
        <v/>
      </c>
      <c r="T421" s="9" t="str">
        <f ca="1">IFERROR(__xludf.DUMMYFUNCTION("IFERROR(VALUE(REGEXEXTRACT(TO_TEXT($F421), T$1 &amp; ""x(\d+)"")), """")"),"")</f>
        <v/>
      </c>
      <c r="U421" s="9" t="str">
        <f ca="1">IFERROR(__xludf.DUMMYFUNCTION("IFERROR(VALUE(REGEXEXTRACT(TO_TEXT($F421), U$1 &amp; ""x(\d+)"")), """")"),"")</f>
        <v/>
      </c>
      <c r="V421" s="9" t="str">
        <f ca="1">IFERROR(__xludf.DUMMYFUNCTION("IFERROR(VALUE(REGEXEXTRACT(TO_TEXT($F421), V$1 &amp; ""x(\d+)"")), """")"),"")</f>
        <v/>
      </c>
      <c r="W421" s="9"/>
      <c r="X421" s="9"/>
      <c r="Y421" s="9"/>
      <c r="Z421" s="9"/>
    </row>
    <row r="422" spans="1:26" ht="15.75" customHeight="1">
      <c r="A422" s="9" t="s">
        <v>1517</v>
      </c>
      <c r="B422" s="9" t="s">
        <v>1518</v>
      </c>
      <c r="C422" s="9" t="s">
        <v>837</v>
      </c>
      <c r="D422" s="9" t="s">
        <v>33</v>
      </c>
      <c r="E422" s="9" t="s">
        <v>12</v>
      </c>
      <c r="F422" s="9" t="s">
        <v>1519</v>
      </c>
      <c r="G422" s="9">
        <v>50</v>
      </c>
      <c r="H422" s="9">
        <v>4</v>
      </c>
      <c r="I422" s="9">
        <v>1.0149999999999999</v>
      </c>
      <c r="J422" s="9">
        <v>100</v>
      </c>
      <c r="K422" s="9" t="s">
        <v>442</v>
      </c>
      <c r="L422" s="9"/>
      <c r="M422" s="9"/>
      <c r="N422" s="9" t="str">
        <f ca="1">IFERROR(__xludf.DUMMYFUNCTION("IFERROR(VALUE(REGEXEXTRACT(TO_TEXT($F422), N$1 &amp; ""x(\d+)"")), """")
"),"")</f>
        <v/>
      </c>
      <c r="O422" s="9">
        <f ca="1">IFERROR(__xludf.DUMMYFUNCTION("IFERROR(VALUE(REGEXEXTRACT(TO_TEXT($F422), O$1 &amp; ""x(\d+)"")), """")"),1)</f>
        <v>1</v>
      </c>
      <c r="P422" s="9" t="str">
        <f ca="1">IFERROR(__xludf.DUMMYFUNCTION("IFERROR(VALUE(REGEXEXTRACT(TO_TEXT($F422), P$1 &amp; ""x(\d+)"")), """")"),"")</f>
        <v/>
      </c>
      <c r="Q422" s="9" t="str">
        <f ca="1">IFERROR(__xludf.DUMMYFUNCTION("IFERROR(VALUE(REGEXEXTRACT(TO_TEXT($F422), Q$1 &amp; ""x(\d+)"")), """")"),"")</f>
        <v/>
      </c>
      <c r="R422" s="9" t="str">
        <f ca="1">IFERROR(__xludf.DUMMYFUNCTION("IFERROR(VALUE(REGEXEXTRACT(TO_TEXT($F422), R$1 &amp; ""x(\d+)"")), """")"),"")</f>
        <v/>
      </c>
      <c r="S422" s="9" t="str">
        <f ca="1">IFERROR(__xludf.DUMMYFUNCTION("IFERROR(VALUE(REGEXEXTRACT(TO_TEXT($F422), S$1 &amp; ""x(\d+)"")), """")"),"")</f>
        <v/>
      </c>
      <c r="T422" s="9" t="str">
        <f ca="1">IFERROR(__xludf.DUMMYFUNCTION("IFERROR(VALUE(REGEXEXTRACT(TO_TEXT($F422), T$1 &amp; ""x(\d+)"")), """")"),"")</f>
        <v/>
      </c>
      <c r="U422" s="9" t="str">
        <f ca="1">IFERROR(__xludf.DUMMYFUNCTION("IFERROR(VALUE(REGEXEXTRACT(TO_TEXT($F422), U$1 &amp; ""x(\d+)"")), """")"),"")</f>
        <v/>
      </c>
      <c r="V422" s="9" t="str">
        <f ca="1">IFERROR(__xludf.DUMMYFUNCTION("IFERROR(VALUE(REGEXEXTRACT(TO_TEXT($F422), V$1 &amp; ""x(\d+)"")), """")"),"")</f>
        <v/>
      </c>
      <c r="W422" s="9"/>
      <c r="X422" s="9"/>
      <c r="Y422" s="9"/>
      <c r="Z422" s="9"/>
    </row>
    <row r="423" spans="1:26" ht="15.75" customHeight="1">
      <c r="A423" s="9" t="s">
        <v>1517</v>
      </c>
      <c r="B423" s="9" t="s">
        <v>1518</v>
      </c>
      <c r="C423" s="9" t="s">
        <v>837</v>
      </c>
      <c r="D423" s="9" t="s">
        <v>33</v>
      </c>
      <c r="E423" s="9" t="s">
        <v>13</v>
      </c>
      <c r="F423" s="9" t="s">
        <v>1095</v>
      </c>
      <c r="G423" s="9">
        <v>10</v>
      </c>
      <c r="H423" s="9">
        <v>4</v>
      </c>
      <c r="I423" s="9">
        <v>1.0149999999999999</v>
      </c>
      <c r="J423" s="9">
        <v>100</v>
      </c>
      <c r="K423" s="9" t="s">
        <v>442</v>
      </c>
      <c r="L423" s="9"/>
      <c r="M423" s="9"/>
      <c r="N423" s="9" t="str">
        <f ca="1">IFERROR(__xludf.DUMMYFUNCTION("IFERROR(VALUE(REGEXEXTRACT(TO_TEXT($F423), N$1 &amp; ""x(\d+)"")), """")
"),"")</f>
        <v/>
      </c>
      <c r="O423" s="9">
        <f ca="1">IFERROR(__xludf.DUMMYFUNCTION("IFERROR(VALUE(REGEXEXTRACT(TO_TEXT($F423), O$1 &amp; ""x(\d+)"")), """")"),1)</f>
        <v>1</v>
      </c>
      <c r="P423" s="9" t="str">
        <f ca="1">IFERROR(__xludf.DUMMYFUNCTION("IFERROR(VALUE(REGEXEXTRACT(TO_TEXT($F423), P$1 &amp; ""x(\d+)"")), """")"),"")</f>
        <v/>
      </c>
      <c r="Q423" s="9" t="str">
        <f ca="1">IFERROR(__xludf.DUMMYFUNCTION("IFERROR(VALUE(REGEXEXTRACT(TO_TEXT($F423), Q$1 &amp; ""x(\d+)"")), """")"),"")</f>
        <v/>
      </c>
      <c r="R423" s="9" t="str">
        <f ca="1">IFERROR(__xludf.DUMMYFUNCTION("IFERROR(VALUE(REGEXEXTRACT(TO_TEXT($F423), R$1 &amp; ""x(\d+)"")), """")"),"")</f>
        <v/>
      </c>
      <c r="S423" s="9" t="str">
        <f ca="1">IFERROR(__xludf.DUMMYFUNCTION("IFERROR(VALUE(REGEXEXTRACT(TO_TEXT($F423), S$1 &amp; ""x(\d+)"")), """")"),"")</f>
        <v/>
      </c>
      <c r="T423" s="9" t="str">
        <f ca="1">IFERROR(__xludf.DUMMYFUNCTION("IFERROR(VALUE(REGEXEXTRACT(TO_TEXT($F423), T$1 &amp; ""x(\d+)"")), """")"),"")</f>
        <v/>
      </c>
      <c r="U423" s="9" t="str">
        <f ca="1">IFERROR(__xludf.DUMMYFUNCTION("IFERROR(VALUE(REGEXEXTRACT(TO_TEXT($F423), U$1 &amp; ""x(\d+)"")), """")"),"")</f>
        <v/>
      </c>
      <c r="V423" s="9" t="str">
        <f ca="1">IFERROR(__xludf.DUMMYFUNCTION("IFERROR(VALUE(REGEXEXTRACT(TO_TEXT($F423), V$1 &amp; ""x(\d+)"")), """")"),"")</f>
        <v/>
      </c>
      <c r="W423" s="9"/>
      <c r="X423" s="9"/>
      <c r="Y423" s="9"/>
      <c r="Z423" s="9"/>
    </row>
    <row r="424" spans="1:26" ht="15.75" hidden="1" customHeight="1">
      <c r="A424" s="9" t="s">
        <v>1520</v>
      </c>
      <c r="B424" s="9" t="s">
        <v>1521</v>
      </c>
      <c r="C424" s="9" t="s">
        <v>657</v>
      </c>
      <c r="D424" s="9" t="s">
        <v>48</v>
      </c>
      <c r="E424" s="9" t="s">
        <v>11</v>
      </c>
      <c r="F424" s="9" t="s">
        <v>1522</v>
      </c>
      <c r="G424" s="9">
        <v>50</v>
      </c>
      <c r="H424" s="9">
        <v>3</v>
      </c>
      <c r="I424" s="9">
        <v>1.0149999999999999</v>
      </c>
      <c r="J424" s="9">
        <v>52</v>
      </c>
      <c r="K424" s="9" t="s">
        <v>424</v>
      </c>
      <c r="L424" s="9"/>
      <c r="M424" s="9"/>
      <c r="N424" s="9" t="str">
        <f ca="1">IFERROR(__xludf.DUMMYFUNCTION("IFERROR(VALUE(REGEXEXTRACT(TO_TEXT($F424), N$1 &amp; ""x(\d+)"")), """")
"),"")</f>
        <v/>
      </c>
      <c r="O424" s="9">
        <f ca="1">IFERROR(__xludf.DUMMYFUNCTION("IFERROR(VALUE(REGEXEXTRACT(TO_TEXT($F424), O$1 &amp; ""x(\d+)"")), """")"),1)</f>
        <v>1</v>
      </c>
      <c r="P424" s="9" t="str">
        <f ca="1">IFERROR(__xludf.DUMMYFUNCTION("IFERROR(VALUE(REGEXEXTRACT(TO_TEXT($F424), P$1 &amp; ""x(\d+)"")), """")"),"")</f>
        <v/>
      </c>
      <c r="Q424" s="9" t="str">
        <f ca="1">IFERROR(__xludf.DUMMYFUNCTION("IFERROR(VALUE(REGEXEXTRACT(TO_TEXT($F424), Q$1 &amp; ""x(\d+)"")), """")"),"")</f>
        <v/>
      </c>
      <c r="R424" s="9" t="str">
        <f ca="1">IFERROR(__xludf.DUMMYFUNCTION("IFERROR(VALUE(REGEXEXTRACT(TO_TEXT($F424), R$1 &amp; ""x(\d+)"")), """")"),"")</f>
        <v/>
      </c>
      <c r="S424" s="9" t="str">
        <f ca="1">IFERROR(__xludf.DUMMYFUNCTION("IFERROR(VALUE(REGEXEXTRACT(TO_TEXT($F424), S$1 &amp; ""x(\d+)"")), """")"),"")</f>
        <v/>
      </c>
      <c r="T424" s="9" t="str">
        <f ca="1">IFERROR(__xludf.DUMMYFUNCTION("IFERROR(VALUE(REGEXEXTRACT(TO_TEXT($F424), T$1 &amp; ""x(\d+)"")), """")"),"")</f>
        <v/>
      </c>
      <c r="U424" s="9" t="str">
        <f ca="1">IFERROR(__xludf.DUMMYFUNCTION("IFERROR(VALUE(REGEXEXTRACT(TO_TEXT($F424), U$1 &amp; ""x(\d+)"")), """")"),"")</f>
        <v/>
      </c>
      <c r="V424" s="9" t="str">
        <f ca="1">IFERROR(__xludf.DUMMYFUNCTION("IFERROR(VALUE(REGEXEXTRACT(TO_TEXT($F424), V$1 &amp; ""x(\d+)"")), """")"),"")</f>
        <v/>
      </c>
      <c r="W424" s="9"/>
      <c r="X424" s="9"/>
      <c r="Y424" s="9"/>
      <c r="Z424" s="9"/>
    </row>
    <row r="425" spans="1:26" ht="15.75" hidden="1" customHeight="1">
      <c r="A425" s="9" t="s">
        <v>1520</v>
      </c>
      <c r="B425" s="9" t="s">
        <v>1521</v>
      </c>
      <c r="C425" s="9" t="s">
        <v>657</v>
      </c>
      <c r="D425" s="9" t="s">
        <v>48</v>
      </c>
      <c r="E425" s="9" t="s">
        <v>12</v>
      </c>
      <c r="F425" s="9" t="s">
        <v>1502</v>
      </c>
      <c r="G425" s="9">
        <v>130</v>
      </c>
      <c r="H425" s="9">
        <v>3</v>
      </c>
      <c r="I425" s="9">
        <v>1.0149999999999999</v>
      </c>
      <c r="J425" s="9">
        <v>52</v>
      </c>
      <c r="K425" s="9" t="s">
        <v>424</v>
      </c>
      <c r="L425" s="9" t="s">
        <v>1035</v>
      </c>
      <c r="M425" s="9"/>
      <c r="N425" s="9" t="str">
        <f ca="1">IFERROR(__xludf.DUMMYFUNCTION("IFERROR(VALUE(REGEXEXTRACT(TO_TEXT($F425), N$1 &amp; ""x(\d+)"")), """")
"),"")</f>
        <v/>
      </c>
      <c r="O425" s="9" t="str">
        <f ca="1">IFERROR(__xludf.DUMMYFUNCTION("IFERROR(VALUE(REGEXEXTRACT(TO_TEXT($F425), O$1 &amp; ""x(\d+)"")), """")"),"")</f>
        <v/>
      </c>
      <c r="P425" s="9">
        <f ca="1">IFERROR(__xludf.DUMMYFUNCTION("IFERROR(VALUE(REGEXEXTRACT(TO_TEXT($F425), P$1 &amp; ""x(\d+)"")), """")"),1)</f>
        <v>1</v>
      </c>
      <c r="Q425" s="9" t="str">
        <f ca="1">IFERROR(__xludf.DUMMYFUNCTION("IFERROR(VALUE(REGEXEXTRACT(TO_TEXT($F425), Q$1 &amp; ""x(\d+)"")), """")"),"")</f>
        <v/>
      </c>
      <c r="R425" s="9" t="str">
        <f ca="1">IFERROR(__xludf.DUMMYFUNCTION("IFERROR(VALUE(REGEXEXTRACT(TO_TEXT($F425), R$1 &amp; ""x(\d+)"")), """")"),"")</f>
        <v/>
      </c>
      <c r="S425" s="9" t="str">
        <f ca="1">IFERROR(__xludf.DUMMYFUNCTION("IFERROR(VALUE(REGEXEXTRACT(TO_TEXT($F425), S$1 &amp; ""x(\d+)"")), """")"),"")</f>
        <v/>
      </c>
      <c r="T425" s="9" t="str">
        <f ca="1">IFERROR(__xludf.DUMMYFUNCTION("IFERROR(VALUE(REGEXEXTRACT(TO_TEXT($F425), T$1 &amp; ""x(\d+)"")), """")"),"")</f>
        <v/>
      </c>
      <c r="U425" s="9" t="str">
        <f ca="1">IFERROR(__xludf.DUMMYFUNCTION("IFERROR(VALUE(REGEXEXTRACT(TO_TEXT($F425), U$1 &amp; ""x(\d+)"")), """")"),"")</f>
        <v/>
      </c>
      <c r="V425" s="9" t="str">
        <f ca="1">IFERROR(__xludf.DUMMYFUNCTION("IFERROR(VALUE(REGEXEXTRACT(TO_TEXT($F425), V$1 &amp; ""x(\d+)"")), """")"),"")</f>
        <v/>
      </c>
      <c r="W425" s="9"/>
      <c r="X425" s="9"/>
      <c r="Y425" s="9"/>
      <c r="Z425" s="9"/>
    </row>
    <row r="426" spans="1:26" ht="15.75" hidden="1" customHeight="1">
      <c r="A426" s="9" t="s">
        <v>1520</v>
      </c>
      <c r="B426" s="9" t="s">
        <v>1521</v>
      </c>
      <c r="C426" s="9" t="s">
        <v>657</v>
      </c>
      <c r="D426" s="9" t="s">
        <v>48</v>
      </c>
      <c r="E426" s="9" t="s">
        <v>13</v>
      </c>
      <c r="F426" s="9" t="s">
        <v>1226</v>
      </c>
      <c r="G426" s="9">
        <v>40</v>
      </c>
      <c r="H426" s="9">
        <v>3</v>
      </c>
      <c r="I426" s="9">
        <v>1.0149999999999999</v>
      </c>
      <c r="J426" s="9">
        <v>52</v>
      </c>
      <c r="K426" s="9" t="s">
        <v>424</v>
      </c>
      <c r="L426" s="9"/>
      <c r="M426" s="9"/>
      <c r="N426" s="9" t="str">
        <f ca="1">IFERROR(__xludf.DUMMYFUNCTION("IFERROR(VALUE(REGEXEXTRACT(TO_TEXT($F426), N$1 &amp; ""x(\d+)"")), """")
"),"")</f>
        <v/>
      </c>
      <c r="O426" s="9" t="str">
        <f ca="1">IFERROR(__xludf.DUMMYFUNCTION("IFERROR(VALUE(REGEXEXTRACT(TO_TEXT($F426), O$1 &amp; ""x(\d+)"")), """")"),"")</f>
        <v/>
      </c>
      <c r="P426" s="9">
        <f ca="1">IFERROR(__xludf.DUMMYFUNCTION("IFERROR(VALUE(REGEXEXTRACT(TO_TEXT($F426), P$1 &amp; ""x(\d+)"")), """")"),1)</f>
        <v>1</v>
      </c>
      <c r="Q426" s="9" t="str">
        <f ca="1">IFERROR(__xludf.DUMMYFUNCTION("IFERROR(VALUE(REGEXEXTRACT(TO_TEXT($F426), Q$1 &amp; ""x(\d+)"")), """")"),"")</f>
        <v/>
      </c>
      <c r="R426" s="9" t="str">
        <f ca="1">IFERROR(__xludf.DUMMYFUNCTION("IFERROR(VALUE(REGEXEXTRACT(TO_TEXT($F426), R$1 &amp; ""x(\d+)"")), """")"),"")</f>
        <v/>
      </c>
      <c r="S426" s="9" t="str">
        <f ca="1">IFERROR(__xludf.DUMMYFUNCTION("IFERROR(VALUE(REGEXEXTRACT(TO_TEXT($F426), S$1 &amp; ""x(\d+)"")), """")"),"")</f>
        <v/>
      </c>
      <c r="T426" s="9" t="str">
        <f ca="1">IFERROR(__xludf.DUMMYFUNCTION("IFERROR(VALUE(REGEXEXTRACT(TO_TEXT($F426), T$1 &amp; ""x(\d+)"")), """")"),"")</f>
        <v/>
      </c>
      <c r="U426" s="9" t="str">
        <f ca="1">IFERROR(__xludf.DUMMYFUNCTION("IFERROR(VALUE(REGEXEXTRACT(TO_TEXT($F426), U$1 &amp; ""x(\d+)"")), """")"),"")</f>
        <v/>
      </c>
      <c r="V426" s="9" t="str">
        <f ca="1">IFERROR(__xludf.DUMMYFUNCTION("IFERROR(VALUE(REGEXEXTRACT(TO_TEXT($F426), V$1 &amp; ""x(\d+)"")), """")"),"")</f>
        <v/>
      </c>
      <c r="W426" s="9"/>
      <c r="X426" s="9"/>
      <c r="Y426" s="9"/>
      <c r="Z426" s="9"/>
    </row>
    <row r="427" spans="1:26" ht="15.75" hidden="1" customHeight="1">
      <c r="A427" s="9" t="s">
        <v>1523</v>
      </c>
      <c r="B427" s="9" t="s">
        <v>1524</v>
      </c>
      <c r="C427" s="9" t="s">
        <v>606</v>
      </c>
      <c r="D427" s="9" t="s">
        <v>48</v>
      </c>
      <c r="E427" s="9" t="s">
        <v>11</v>
      </c>
      <c r="F427" s="9" t="s">
        <v>1525</v>
      </c>
      <c r="G427" s="9">
        <v>70</v>
      </c>
      <c r="H427" s="9">
        <v>3</v>
      </c>
      <c r="I427" s="9">
        <v>1.0149999999999999</v>
      </c>
      <c r="J427" s="9">
        <v>51.5</v>
      </c>
      <c r="K427" s="9" t="s">
        <v>424</v>
      </c>
      <c r="L427" s="9"/>
      <c r="M427" s="9"/>
      <c r="N427" s="9" t="str">
        <f ca="1">IFERROR(__xludf.DUMMYFUNCTION("IFERROR(VALUE(REGEXEXTRACT(TO_TEXT($F427), N$1 &amp; ""x(\d+)"")), """")
"),"")</f>
        <v/>
      </c>
      <c r="O427" s="9">
        <f ca="1">IFERROR(__xludf.DUMMYFUNCTION("IFERROR(VALUE(REGEXEXTRACT(TO_TEXT($F427), O$1 &amp; ""x(\d+)"")), """")"),1)</f>
        <v>1</v>
      </c>
      <c r="P427" s="9" t="str">
        <f ca="1">IFERROR(__xludf.DUMMYFUNCTION("IFERROR(VALUE(REGEXEXTRACT(TO_TEXT($F427), P$1 &amp; ""x(\d+)"")), """")"),"")</f>
        <v/>
      </c>
      <c r="Q427" s="9" t="str">
        <f ca="1">IFERROR(__xludf.DUMMYFUNCTION("IFERROR(VALUE(REGEXEXTRACT(TO_TEXT($F427), Q$1 &amp; ""x(\d+)"")), """")"),"")</f>
        <v/>
      </c>
      <c r="R427" s="9" t="str">
        <f ca="1">IFERROR(__xludf.DUMMYFUNCTION("IFERROR(VALUE(REGEXEXTRACT(TO_TEXT($F427), R$1 &amp; ""x(\d+)"")), """")"),"")</f>
        <v/>
      </c>
      <c r="S427" s="9" t="str">
        <f ca="1">IFERROR(__xludf.DUMMYFUNCTION("IFERROR(VALUE(REGEXEXTRACT(TO_TEXT($F427), S$1 &amp; ""x(\d+)"")), """")"),"")</f>
        <v/>
      </c>
      <c r="T427" s="9" t="str">
        <f ca="1">IFERROR(__xludf.DUMMYFUNCTION("IFERROR(VALUE(REGEXEXTRACT(TO_TEXT($F427), T$1 &amp; ""x(\d+)"")), """")"),"")</f>
        <v/>
      </c>
      <c r="U427" s="9" t="str">
        <f ca="1">IFERROR(__xludf.DUMMYFUNCTION("IFERROR(VALUE(REGEXEXTRACT(TO_TEXT($F427), U$1 &amp; ""x(\d+)"")), """")"),"")</f>
        <v/>
      </c>
      <c r="V427" s="9">
        <f ca="1">IFERROR(__xludf.DUMMYFUNCTION("IFERROR(VALUE(REGEXEXTRACT(TO_TEXT($F427), V$1 &amp; ""x(\d+)"")), """")"),1)</f>
        <v>1</v>
      </c>
      <c r="W427" s="9"/>
      <c r="X427" s="9"/>
      <c r="Y427" s="9"/>
      <c r="Z427" s="9"/>
    </row>
    <row r="428" spans="1:26" ht="15.75" hidden="1" customHeight="1">
      <c r="A428" s="9" t="s">
        <v>1523</v>
      </c>
      <c r="B428" s="9" t="s">
        <v>1524</v>
      </c>
      <c r="C428" s="9" t="s">
        <v>606</v>
      </c>
      <c r="D428" s="9" t="s">
        <v>48</v>
      </c>
      <c r="E428" s="9" t="s">
        <v>12</v>
      </c>
      <c r="F428" s="9" t="s">
        <v>1456</v>
      </c>
      <c r="G428" s="9">
        <v>150</v>
      </c>
      <c r="H428" s="9">
        <v>3</v>
      </c>
      <c r="I428" s="9">
        <v>1.0149999999999999</v>
      </c>
      <c r="J428" s="9">
        <v>51.5</v>
      </c>
      <c r="K428" s="9" t="s">
        <v>424</v>
      </c>
      <c r="L428" s="9" t="s">
        <v>1062</v>
      </c>
      <c r="M428" s="9"/>
      <c r="N428" s="9" t="str">
        <f ca="1">IFERROR(__xludf.DUMMYFUNCTION("IFERROR(VALUE(REGEXEXTRACT(TO_TEXT($F428), N$1 &amp; ""x(\d+)"")), """")
"),"")</f>
        <v/>
      </c>
      <c r="O428" s="9">
        <f ca="1">IFERROR(__xludf.DUMMYFUNCTION("IFERROR(VALUE(REGEXEXTRACT(TO_TEXT($F428), O$1 &amp; ""x(\d+)"")), """")"),1)</f>
        <v>1</v>
      </c>
      <c r="P428" s="9">
        <f ca="1">IFERROR(__xludf.DUMMYFUNCTION("IFERROR(VALUE(REGEXEXTRACT(TO_TEXT($F428), P$1 &amp; ""x(\d+)"")), """")"),1)</f>
        <v>1</v>
      </c>
      <c r="Q428" s="9" t="str">
        <f ca="1">IFERROR(__xludf.DUMMYFUNCTION("IFERROR(VALUE(REGEXEXTRACT(TO_TEXT($F428), Q$1 &amp; ""x(\d+)"")), """")"),"")</f>
        <v/>
      </c>
      <c r="R428" s="9" t="str">
        <f ca="1">IFERROR(__xludf.DUMMYFUNCTION("IFERROR(VALUE(REGEXEXTRACT(TO_TEXT($F428), R$1 &amp; ""x(\d+)"")), """")"),"")</f>
        <v/>
      </c>
      <c r="S428" s="9" t="str">
        <f ca="1">IFERROR(__xludf.DUMMYFUNCTION("IFERROR(VALUE(REGEXEXTRACT(TO_TEXT($F428), S$1 &amp; ""x(\d+)"")), """")"),"")</f>
        <v/>
      </c>
      <c r="T428" s="9" t="str">
        <f ca="1">IFERROR(__xludf.DUMMYFUNCTION("IFERROR(VALUE(REGEXEXTRACT(TO_TEXT($F428), T$1 &amp; ""x(\d+)"")), """")"),"")</f>
        <v/>
      </c>
      <c r="U428" s="9" t="str">
        <f ca="1">IFERROR(__xludf.DUMMYFUNCTION("IFERROR(VALUE(REGEXEXTRACT(TO_TEXT($F428), U$1 &amp; ""x(\d+)"")), """")"),"")</f>
        <v/>
      </c>
      <c r="V428" s="9" t="str">
        <f ca="1">IFERROR(__xludf.DUMMYFUNCTION("IFERROR(VALUE(REGEXEXTRACT(TO_TEXT($F428), V$1 &amp; ""x(\d+)"")), """")"),"")</f>
        <v/>
      </c>
      <c r="W428" s="9"/>
      <c r="X428" s="9"/>
      <c r="Y428" s="9"/>
      <c r="Z428" s="9"/>
    </row>
    <row r="429" spans="1:26" ht="15.75" hidden="1" customHeight="1">
      <c r="A429" s="9" t="s">
        <v>1523</v>
      </c>
      <c r="B429" s="9" t="s">
        <v>1524</v>
      </c>
      <c r="C429" s="9" t="s">
        <v>606</v>
      </c>
      <c r="D429" s="9" t="s">
        <v>48</v>
      </c>
      <c r="E429" s="9" t="s">
        <v>13</v>
      </c>
      <c r="F429" s="9" t="s">
        <v>1063</v>
      </c>
      <c r="G429" s="9">
        <v>90</v>
      </c>
      <c r="H429" s="9">
        <v>3</v>
      </c>
      <c r="I429" s="9">
        <v>1.0149999999999999</v>
      </c>
      <c r="J429" s="9">
        <v>51.5</v>
      </c>
      <c r="K429" s="9" t="s">
        <v>424</v>
      </c>
      <c r="L429" s="9"/>
      <c r="M429" s="9"/>
      <c r="N429" s="9" t="str">
        <f ca="1">IFERROR(__xludf.DUMMYFUNCTION("IFERROR(VALUE(REGEXEXTRACT(TO_TEXT($F429), N$1 &amp; ""x(\d+)"")), """")
"),"")</f>
        <v/>
      </c>
      <c r="O429" s="9">
        <f ca="1">IFERROR(__xludf.DUMMYFUNCTION("IFERROR(VALUE(REGEXEXTRACT(TO_TEXT($F429), O$1 &amp; ""x(\d+)"")), """")"),1)</f>
        <v>1</v>
      </c>
      <c r="P429" s="9">
        <f ca="1">IFERROR(__xludf.DUMMYFUNCTION("IFERROR(VALUE(REGEXEXTRACT(TO_TEXT($F429), P$1 &amp; ""x(\d+)"")), """")"),1)</f>
        <v>1</v>
      </c>
      <c r="Q429" s="9" t="str">
        <f ca="1">IFERROR(__xludf.DUMMYFUNCTION("IFERROR(VALUE(REGEXEXTRACT(TO_TEXT($F429), Q$1 &amp; ""x(\d+)"")), """")"),"")</f>
        <v/>
      </c>
      <c r="R429" s="9" t="str">
        <f ca="1">IFERROR(__xludf.DUMMYFUNCTION("IFERROR(VALUE(REGEXEXTRACT(TO_TEXT($F429), R$1 &amp; ""x(\d+)"")), """")"),"")</f>
        <v/>
      </c>
      <c r="S429" s="9" t="str">
        <f ca="1">IFERROR(__xludf.DUMMYFUNCTION("IFERROR(VALUE(REGEXEXTRACT(TO_TEXT($F429), S$1 &amp; ""x(\d+)"")), """")"),"")</f>
        <v/>
      </c>
      <c r="T429" s="9" t="str">
        <f ca="1">IFERROR(__xludf.DUMMYFUNCTION("IFERROR(VALUE(REGEXEXTRACT(TO_TEXT($F429), T$1 &amp; ""x(\d+)"")), """")"),"")</f>
        <v/>
      </c>
      <c r="U429" s="9" t="str">
        <f ca="1">IFERROR(__xludf.DUMMYFUNCTION("IFERROR(VALUE(REGEXEXTRACT(TO_TEXT($F429), U$1 &amp; ""x(\d+)"")), """")"),"")</f>
        <v/>
      </c>
      <c r="V429" s="9" t="str">
        <f ca="1">IFERROR(__xludf.DUMMYFUNCTION("IFERROR(VALUE(REGEXEXTRACT(TO_TEXT($F429), V$1 &amp; ""x(\d+)"")), """")"),"")</f>
        <v/>
      </c>
      <c r="W429" s="9"/>
      <c r="X429" s="9"/>
      <c r="Y429" s="9"/>
      <c r="Z429" s="9"/>
    </row>
    <row r="430" spans="1:26" ht="15.75" hidden="1" customHeight="1">
      <c r="A430" s="9" t="s">
        <v>1526</v>
      </c>
      <c r="B430" s="9" t="s">
        <v>1527</v>
      </c>
      <c r="C430" s="9" t="s">
        <v>655</v>
      </c>
      <c r="D430" s="9" t="s">
        <v>74</v>
      </c>
      <c r="E430" s="9" t="s">
        <v>11</v>
      </c>
      <c r="F430" s="9" t="s">
        <v>1528</v>
      </c>
      <c r="G430" s="9">
        <v>60</v>
      </c>
      <c r="H430" s="9">
        <v>3</v>
      </c>
      <c r="I430" s="9">
        <v>1.0149999999999999</v>
      </c>
      <c r="J430" s="9">
        <v>103</v>
      </c>
      <c r="K430" s="9" t="s">
        <v>424</v>
      </c>
      <c r="L430" s="9"/>
      <c r="M430" s="9"/>
      <c r="N430" s="9" t="str">
        <f ca="1">IFERROR(__xludf.DUMMYFUNCTION("IFERROR(VALUE(REGEXEXTRACT(TO_TEXT($F430), N$1 &amp; ""x(\d+)"")), """")
"),"")</f>
        <v/>
      </c>
      <c r="O430" s="9">
        <f ca="1">IFERROR(__xludf.DUMMYFUNCTION("IFERROR(VALUE(REGEXEXTRACT(TO_TEXT($F430), O$1 &amp; ""x(\d+)"")), """")"),1)</f>
        <v>1</v>
      </c>
      <c r="P430" s="9" t="str">
        <f ca="1">IFERROR(__xludf.DUMMYFUNCTION("IFERROR(VALUE(REGEXEXTRACT(TO_TEXT($F430), P$1 &amp; ""x(\d+)"")), """")"),"")</f>
        <v/>
      </c>
      <c r="Q430" s="9" t="str">
        <f ca="1">IFERROR(__xludf.DUMMYFUNCTION("IFERROR(VALUE(REGEXEXTRACT(TO_TEXT($F430), Q$1 &amp; ""x(\d+)"")), """")"),"")</f>
        <v/>
      </c>
      <c r="R430" s="9" t="str">
        <f ca="1">IFERROR(__xludf.DUMMYFUNCTION("IFERROR(VALUE(REGEXEXTRACT(TO_TEXT($F430), R$1 &amp; ""x(\d+)"")), """")"),"")</f>
        <v/>
      </c>
      <c r="S430" s="9" t="str">
        <f ca="1">IFERROR(__xludf.DUMMYFUNCTION("IFERROR(VALUE(REGEXEXTRACT(TO_TEXT($F430), S$1 &amp; ""x(\d+)"")), """")"),"")</f>
        <v/>
      </c>
      <c r="T430" s="9" t="str">
        <f ca="1">IFERROR(__xludf.DUMMYFUNCTION("IFERROR(VALUE(REGEXEXTRACT(TO_TEXT($F430), T$1 &amp; ""x(\d+)"")), """")"),"")</f>
        <v/>
      </c>
      <c r="U430" s="9" t="str">
        <f ca="1">IFERROR(__xludf.DUMMYFUNCTION("IFERROR(VALUE(REGEXEXTRACT(TO_TEXT($F430), U$1 &amp; ""x(\d+)"")), """")"),"")</f>
        <v/>
      </c>
      <c r="V430" s="9" t="str">
        <f ca="1">IFERROR(__xludf.DUMMYFUNCTION("IFERROR(VALUE(REGEXEXTRACT(TO_TEXT($F430), V$1 &amp; ""x(\d+)"")), """")"),"")</f>
        <v/>
      </c>
      <c r="W430" s="9"/>
      <c r="X430" s="9"/>
      <c r="Y430" s="9"/>
      <c r="Z430" s="9"/>
    </row>
    <row r="431" spans="1:26" ht="15.75" hidden="1" customHeight="1">
      <c r="A431" s="9" t="s">
        <v>1526</v>
      </c>
      <c r="B431" s="9" t="s">
        <v>1527</v>
      </c>
      <c r="C431" s="9" t="s">
        <v>655</v>
      </c>
      <c r="D431" s="9" t="s">
        <v>74</v>
      </c>
      <c r="E431" s="9" t="s">
        <v>12</v>
      </c>
      <c r="F431" s="9" t="s">
        <v>1355</v>
      </c>
      <c r="G431" s="9">
        <v>165</v>
      </c>
      <c r="H431" s="9">
        <v>3</v>
      </c>
      <c r="I431" s="9">
        <v>1.0149999999999999</v>
      </c>
      <c r="J431" s="9">
        <v>103</v>
      </c>
      <c r="K431" s="9" t="s">
        <v>424</v>
      </c>
      <c r="L431" s="9" t="s">
        <v>1169</v>
      </c>
      <c r="M431" s="9"/>
      <c r="N431" s="9" t="str">
        <f ca="1">IFERROR(__xludf.DUMMYFUNCTION("IFERROR(VALUE(REGEXEXTRACT(TO_TEXT($F431), N$1 &amp; ""x(\d+)"")), """")
"),"")</f>
        <v/>
      </c>
      <c r="O431" s="9" t="str">
        <f ca="1">IFERROR(__xludf.DUMMYFUNCTION("IFERROR(VALUE(REGEXEXTRACT(TO_TEXT($F431), O$1 &amp; ""x(\d+)"")), """")"),"")</f>
        <v/>
      </c>
      <c r="P431" s="9" t="str">
        <f ca="1">IFERROR(__xludf.DUMMYFUNCTION("IFERROR(VALUE(REGEXEXTRACT(TO_TEXT($F431), P$1 &amp; ""x(\d+)"")), """")"),"")</f>
        <v/>
      </c>
      <c r="Q431" s="9">
        <f ca="1">IFERROR(__xludf.DUMMYFUNCTION("IFERROR(VALUE(REGEXEXTRACT(TO_TEXT($F431), Q$1 &amp; ""x(\d+)"")), """")"),1)</f>
        <v>1</v>
      </c>
      <c r="R431" s="9" t="str">
        <f ca="1">IFERROR(__xludf.DUMMYFUNCTION("IFERROR(VALUE(REGEXEXTRACT(TO_TEXT($F431), R$1 &amp; ""x(\d+)"")), """")"),"")</f>
        <v/>
      </c>
      <c r="S431" s="9" t="str">
        <f ca="1">IFERROR(__xludf.DUMMYFUNCTION("IFERROR(VALUE(REGEXEXTRACT(TO_TEXT($F431), S$1 &amp; ""x(\d+)"")), """")"),"")</f>
        <v/>
      </c>
      <c r="T431" s="9" t="str">
        <f ca="1">IFERROR(__xludf.DUMMYFUNCTION("IFERROR(VALUE(REGEXEXTRACT(TO_TEXT($F431), T$1 &amp; ""x(\d+)"")), """")"),"")</f>
        <v/>
      </c>
      <c r="U431" s="9" t="str">
        <f ca="1">IFERROR(__xludf.DUMMYFUNCTION("IFERROR(VALUE(REGEXEXTRACT(TO_TEXT($F431), U$1 &amp; ""x(\d+)"")), """")"),"")</f>
        <v/>
      </c>
      <c r="V431" s="9" t="str">
        <f ca="1">IFERROR(__xludf.DUMMYFUNCTION("IFERROR(VALUE(REGEXEXTRACT(TO_TEXT($F431), V$1 &amp; ""x(\d+)"")), """")"),"")</f>
        <v/>
      </c>
      <c r="W431" s="9"/>
      <c r="X431" s="9"/>
      <c r="Y431" s="9"/>
      <c r="Z431" s="9"/>
    </row>
    <row r="432" spans="1:26" ht="15.75" hidden="1" customHeight="1">
      <c r="A432" s="9" t="s">
        <v>1526</v>
      </c>
      <c r="B432" s="9" t="s">
        <v>1527</v>
      </c>
      <c r="C432" s="9" t="s">
        <v>655</v>
      </c>
      <c r="D432" s="9" t="s">
        <v>74</v>
      </c>
      <c r="E432" s="9" t="s">
        <v>13</v>
      </c>
      <c r="F432" s="9" t="s">
        <v>1233</v>
      </c>
      <c r="G432" s="9">
        <v>40</v>
      </c>
      <c r="H432" s="9">
        <v>3</v>
      </c>
      <c r="I432" s="9">
        <v>1.0149999999999999</v>
      </c>
      <c r="J432" s="9">
        <v>103</v>
      </c>
      <c r="K432" s="9" t="s">
        <v>424</v>
      </c>
      <c r="L432" s="9"/>
      <c r="M432" s="9"/>
      <c r="N432" s="9" t="str">
        <f ca="1">IFERROR(__xludf.DUMMYFUNCTION("IFERROR(VALUE(REGEXEXTRACT(TO_TEXT($F432), N$1 &amp; ""x(\d+)"")), """")
"),"")</f>
        <v/>
      </c>
      <c r="O432" s="9" t="str">
        <f ca="1">IFERROR(__xludf.DUMMYFUNCTION("IFERROR(VALUE(REGEXEXTRACT(TO_TEXT($F432), O$1 &amp; ""x(\d+)"")), """")"),"")</f>
        <v/>
      </c>
      <c r="P432" s="9" t="str">
        <f ca="1">IFERROR(__xludf.DUMMYFUNCTION("IFERROR(VALUE(REGEXEXTRACT(TO_TEXT($F432), P$1 &amp; ""x(\d+)"")), """")"),"")</f>
        <v/>
      </c>
      <c r="Q432" s="9">
        <f ca="1">IFERROR(__xludf.DUMMYFUNCTION("IFERROR(VALUE(REGEXEXTRACT(TO_TEXT($F432), Q$1 &amp; ""x(\d+)"")), """")"),1)</f>
        <v>1</v>
      </c>
      <c r="R432" s="9" t="str">
        <f ca="1">IFERROR(__xludf.DUMMYFUNCTION("IFERROR(VALUE(REGEXEXTRACT(TO_TEXT($F432), R$1 &amp; ""x(\d+)"")), """")"),"")</f>
        <v/>
      </c>
      <c r="S432" s="9" t="str">
        <f ca="1">IFERROR(__xludf.DUMMYFUNCTION("IFERROR(VALUE(REGEXEXTRACT(TO_TEXT($F432), S$1 &amp; ""x(\d+)"")), """")"),"")</f>
        <v/>
      </c>
      <c r="T432" s="9" t="str">
        <f ca="1">IFERROR(__xludf.DUMMYFUNCTION("IFERROR(VALUE(REGEXEXTRACT(TO_TEXT($F432), T$1 &amp; ""x(\d+)"")), """")"),"")</f>
        <v/>
      </c>
      <c r="U432" s="9" t="str">
        <f ca="1">IFERROR(__xludf.DUMMYFUNCTION("IFERROR(VALUE(REGEXEXTRACT(TO_TEXT($F432), U$1 &amp; ""x(\d+)"")), """")"),"")</f>
        <v/>
      </c>
      <c r="V432" s="9" t="str">
        <f ca="1">IFERROR(__xludf.DUMMYFUNCTION("IFERROR(VALUE(REGEXEXTRACT(TO_TEXT($F432), V$1 &amp; ""x(\d+)"")), """")"),"")</f>
        <v/>
      </c>
      <c r="W432" s="9"/>
      <c r="X432" s="9"/>
      <c r="Y432" s="9"/>
      <c r="Z432" s="9"/>
    </row>
    <row r="433" spans="1:26" ht="15.75" hidden="1" customHeight="1">
      <c r="A433" s="9" t="s">
        <v>1526</v>
      </c>
      <c r="B433" s="9" t="s">
        <v>1527</v>
      </c>
      <c r="C433" s="9" t="s">
        <v>655</v>
      </c>
      <c r="D433" s="9" t="s">
        <v>48</v>
      </c>
      <c r="E433" s="9" t="s">
        <v>11</v>
      </c>
      <c r="F433" s="9" t="s">
        <v>1337</v>
      </c>
      <c r="G433" s="9">
        <v>30</v>
      </c>
      <c r="H433" s="9">
        <v>5</v>
      </c>
      <c r="I433" s="9">
        <v>1.0149999999999999</v>
      </c>
      <c r="J433" s="9">
        <v>52</v>
      </c>
      <c r="K433" s="9" t="s">
        <v>424</v>
      </c>
      <c r="L433" s="9"/>
      <c r="M433" s="9"/>
      <c r="N433" s="9" t="str">
        <f ca="1">IFERROR(__xludf.DUMMYFUNCTION("IFERROR(VALUE(REGEXEXTRACT(TO_TEXT($F433), N$1 &amp; ""x(\d+)"")), """")
"),"")</f>
        <v/>
      </c>
      <c r="O433" s="9" t="str">
        <f ca="1">IFERROR(__xludf.DUMMYFUNCTION("IFERROR(VALUE(REGEXEXTRACT(TO_TEXT($F433), O$1 &amp; ""x(\d+)"")), """")"),"")</f>
        <v/>
      </c>
      <c r="P433" s="9" t="str">
        <f ca="1">IFERROR(__xludf.DUMMYFUNCTION("IFERROR(VALUE(REGEXEXTRACT(TO_TEXT($F433), P$1 &amp; ""x(\d+)"")), """")"),"")</f>
        <v/>
      </c>
      <c r="Q433" s="9" t="str">
        <f ca="1">IFERROR(__xludf.DUMMYFUNCTION("IFERROR(VALUE(REGEXEXTRACT(TO_TEXT($F433), Q$1 &amp; ""x(\d+)"")), """")"),"")</f>
        <v/>
      </c>
      <c r="R433" s="9" t="str">
        <f ca="1">IFERROR(__xludf.DUMMYFUNCTION("IFERROR(VALUE(REGEXEXTRACT(TO_TEXT($F433), R$1 &amp; ""x(\d+)"")), """")"),"")</f>
        <v/>
      </c>
      <c r="S433" s="9" t="str">
        <f ca="1">IFERROR(__xludf.DUMMYFUNCTION("IFERROR(VALUE(REGEXEXTRACT(TO_TEXT($F433), S$1 &amp; ""x(\d+)"")), """")"),"")</f>
        <v/>
      </c>
      <c r="T433" s="9" t="str">
        <f ca="1">IFERROR(__xludf.DUMMYFUNCTION("IFERROR(VALUE(REGEXEXTRACT(TO_TEXT($F433), T$1 &amp; ""x(\d+)"")), """")"),"")</f>
        <v/>
      </c>
      <c r="U433" s="9" t="str">
        <f ca="1">IFERROR(__xludf.DUMMYFUNCTION("IFERROR(VALUE(REGEXEXTRACT(TO_TEXT($F433), U$1 &amp; ""x(\d+)"")), """")"),"")</f>
        <v/>
      </c>
      <c r="V433" s="9" t="str">
        <f ca="1">IFERROR(__xludf.DUMMYFUNCTION("IFERROR(VALUE(REGEXEXTRACT(TO_TEXT($F433), V$1 &amp; ""x(\d+)"")), """")"),"")</f>
        <v/>
      </c>
      <c r="W433" s="9"/>
      <c r="X433" s="9"/>
      <c r="Y433" s="9"/>
      <c r="Z433" s="9"/>
    </row>
    <row r="434" spans="1:26" ht="15.75" hidden="1" customHeight="1">
      <c r="A434" s="9" t="s">
        <v>1526</v>
      </c>
      <c r="B434" s="9" t="s">
        <v>1527</v>
      </c>
      <c r="C434" s="9" t="s">
        <v>655</v>
      </c>
      <c r="D434" s="9" t="s">
        <v>48</v>
      </c>
      <c r="E434" s="9" t="s">
        <v>12</v>
      </c>
      <c r="F434" s="9" t="s">
        <v>1529</v>
      </c>
      <c r="G434" s="9">
        <v>140</v>
      </c>
      <c r="H434" s="9">
        <v>5</v>
      </c>
      <c r="I434" s="9">
        <v>1.0149999999999999</v>
      </c>
      <c r="J434" s="9">
        <v>52</v>
      </c>
      <c r="K434" s="9" t="s">
        <v>424</v>
      </c>
      <c r="L434" s="9"/>
      <c r="M434" s="9"/>
      <c r="N434" s="9" t="str">
        <f ca="1">IFERROR(__xludf.DUMMYFUNCTION("IFERROR(VALUE(REGEXEXTRACT(TO_TEXT($F434), N$1 &amp; ""x(\d+)"")), """")
"),"")</f>
        <v/>
      </c>
      <c r="O434" s="9" t="str">
        <f ca="1">IFERROR(__xludf.DUMMYFUNCTION("IFERROR(VALUE(REGEXEXTRACT(TO_TEXT($F434), O$1 &amp; ""x(\d+)"")), """")"),"")</f>
        <v/>
      </c>
      <c r="P434" s="9">
        <f ca="1">IFERROR(__xludf.DUMMYFUNCTION("IFERROR(VALUE(REGEXEXTRACT(TO_TEXT($F434), P$1 &amp; ""x(\d+)"")), """")"),1)</f>
        <v>1</v>
      </c>
      <c r="Q434" s="9" t="str">
        <f ca="1">IFERROR(__xludf.DUMMYFUNCTION("IFERROR(VALUE(REGEXEXTRACT(TO_TEXT($F434), Q$1 &amp; ""x(\d+)"")), """")"),"")</f>
        <v/>
      </c>
      <c r="R434" s="9" t="str">
        <f ca="1">IFERROR(__xludf.DUMMYFUNCTION("IFERROR(VALUE(REGEXEXTRACT(TO_TEXT($F434), R$1 &amp; ""x(\d+)"")), """")"),"")</f>
        <v/>
      </c>
      <c r="S434" s="9" t="str">
        <f ca="1">IFERROR(__xludf.DUMMYFUNCTION("IFERROR(VALUE(REGEXEXTRACT(TO_TEXT($F434), S$1 &amp; ""x(\d+)"")), """")"),"")</f>
        <v/>
      </c>
      <c r="T434" s="9">
        <f ca="1">IFERROR(__xludf.DUMMYFUNCTION("IFERROR(VALUE(REGEXEXTRACT(TO_TEXT($F434), T$1 &amp; ""x(\d+)"")), """")"),1)</f>
        <v>1</v>
      </c>
      <c r="U434" s="9" t="str">
        <f ca="1">IFERROR(__xludf.DUMMYFUNCTION("IFERROR(VALUE(REGEXEXTRACT(TO_TEXT($F434), U$1 &amp; ""x(\d+)"")), """")"),"")</f>
        <v/>
      </c>
      <c r="V434" s="9" t="str">
        <f ca="1">IFERROR(__xludf.DUMMYFUNCTION("IFERROR(VALUE(REGEXEXTRACT(TO_TEXT($F434), V$1 &amp; ""x(\d+)"")), """")"),"")</f>
        <v/>
      </c>
      <c r="W434" s="9"/>
      <c r="X434" s="9"/>
      <c r="Y434" s="9"/>
      <c r="Z434" s="9"/>
    </row>
    <row r="435" spans="1:26" ht="15.75" hidden="1" customHeight="1">
      <c r="A435" s="9" t="s">
        <v>1526</v>
      </c>
      <c r="B435" s="9" t="s">
        <v>1527</v>
      </c>
      <c r="C435" s="9" t="s">
        <v>655</v>
      </c>
      <c r="D435" s="9" t="s">
        <v>48</v>
      </c>
      <c r="E435" s="9" t="s">
        <v>13</v>
      </c>
      <c r="F435" s="9" t="s">
        <v>1530</v>
      </c>
      <c r="G435" s="9">
        <v>40</v>
      </c>
      <c r="H435" s="9">
        <v>5</v>
      </c>
      <c r="I435" s="9">
        <v>1.0149999999999999</v>
      </c>
      <c r="J435" s="9">
        <v>52</v>
      </c>
      <c r="K435" s="9" t="s">
        <v>424</v>
      </c>
      <c r="L435" s="9"/>
      <c r="M435" s="9"/>
      <c r="N435" s="9" t="str">
        <f ca="1">IFERROR(__xludf.DUMMYFUNCTION("IFERROR(VALUE(REGEXEXTRACT(TO_TEXT($F435), N$1 &amp; ""x(\d+)"")), """")
"),"")</f>
        <v/>
      </c>
      <c r="O435" s="9" t="str">
        <f ca="1">IFERROR(__xludf.DUMMYFUNCTION("IFERROR(VALUE(REGEXEXTRACT(TO_TEXT($F435), O$1 &amp; ""x(\d+)"")), """")"),"")</f>
        <v/>
      </c>
      <c r="P435" s="9">
        <f ca="1">IFERROR(__xludf.DUMMYFUNCTION("IFERROR(VALUE(REGEXEXTRACT(TO_TEXT($F435), P$1 &amp; ""x(\d+)"")), """")"),1)</f>
        <v>1</v>
      </c>
      <c r="Q435" s="9" t="str">
        <f ca="1">IFERROR(__xludf.DUMMYFUNCTION("IFERROR(VALUE(REGEXEXTRACT(TO_TEXT($F435), Q$1 &amp; ""x(\d+)"")), """")"),"")</f>
        <v/>
      </c>
      <c r="R435" s="9" t="str">
        <f ca="1">IFERROR(__xludf.DUMMYFUNCTION("IFERROR(VALUE(REGEXEXTRACT(TO_TEXT($F435), R$1 &amp; ""x(\d+)"")), """")"),"")</f>
        <v/>
      </c>
      <c r="S435" s="9" t="str">
        <f ca="1">IFERROR(__xludf.DUMMYFUNCTION("IFERROR(VALUE(REGEXEXTRACT(TO_TEXT($F435), S$1 &amp; ""x(\d+)"")), """")"),"")</f>
        <v/>
      </c>
      <c r="T435" s="9">
        <f ca="1">IFERROR(__xludf.DUMMYFUNCTION("IFERROR(VALUE(REGEXEXTRACT(TO_TEXT($F435), T$1 &amp; ""x(\d+)"")), """")"),1)</f>
        <v>1</v>
      </c>
      <c r="U435" s="9" t="str">
        <f ca="1">IFERROR(__xludf.DUMMYFUNCTION("IFERROR(VALUE(REGEXEXTRACT(TO_TEXT($F435), U$1 &amp; ""x(\d+)"")), """")"),"")</f>
        <v/>
      </c>
      <c r="V435" s="9" t="str">
        <f ca="1">IFERROR(__xludf.DUMMYFUNCTION("IFERROR(VALUE(REGEXEXTRACT(TO_TEXT($F435), V$1 &amp; ""x(\d+)"")), """")"),"")</f>
        <v/>
      </c>
      <c r="W435" s="9"/>
      <c r="X435" s="9"/>
      <c r="Y435" s="9"/>
      <c r="Z435" s="9"/>
    </row>
    <row r="436" spans="1:26" ht="15.75" hidden="1" customHeight="1">
      <c r="A436" s="9" t="s">
        <v>1531</v>
      </c>
      <c r="B436" s="9" t="s">
        <v>1532</v>
      </c>
      <c r="C436" s="9" t="s">
        <v>682</v>
      </c>
      <c r="D436" s="9" t="s">
        <v>40</v>
      </c>
      <c r="E436" s="9" t="s">
        <v>11</v>
      </c>
      <c r="F436" s="9" t="s">
        <v>1533</v>
      </c>
      <c r="G436" s="9">
        <v>25</v>
      </c>
      <c r="H436" s="9">
        <v>2</v>
      </c>
      <c r="I436" s="9">
        <v>1.0149999999999999</v>
      </c>
      <c r="J436" s="9">
        <v>412</v>
      </c>
      <c r="K436" s="9" t="s">
        <v>442</v>
      </c>
      <c r="L436" s="9"/>
      <c r="M436" s="9"/>
      <c r="N436" s="9" t="str">
        <f ca="1">IFERROR(__xludf.DUMMYFUNCTION("IFERROR(VALUE(REGEXEXTRACT(TO_TEXT($F436), N$1 &amp; ""x(\d+)"")), """")
"),"")</f>
        <v/>
      </c>
      <c r="O436" s="9" t="str">
        <f ca="1">IFERROR(__xludf.DUMMYFUNCTION("IFERROR(VALUE(REGEXEXTRACT(TO_TEXT($F436), O$1 &amp; ""x(\d+)"")), """")"),"")</f>
        <v/>
      </c>
      <c r="P436" s="9" t="str">
        <f ca="1">IFERROR(__xludf.DUMMYFUNCTION("IFERROR(VALUE(REGEXEXTRACT(TO_TEXT($F436), P$1 &amp; ""x(\d+)"")), """")"),"")</f>
        <v/>
      </c>
      <c r="Q436" s="9" t="str">
        <f ca="1">IFERROR(__xludf.DUMMYFUNCTION("IFERROR(VALUE(REGEXEXTRACT(TO_TEXT($F436), Q$1 &amp; ""x(\d+)"")), """")"),"")</f>
        <v/>
      </c>
      <c r="R436" s="9" t="str">
        <f ca="1">IFERROR(__xludf.DUMMYFUNCTION("IFERROR(VALUE(REGEXEXTRACT(TO_TEXT($F436), R$1 &amp; ""x(\d+)"")), """")"),"")</f>
        <v/>
      </c>
      <c r="S436" s="9" t="str">
        <f ca="1">IFERROR(__xludf.DUMMYFUNCTION("IFERROR(VALUE(REGEXEXTRACT(TO_TEXT($F436), S$1 &amp; ""x(\d+)"")), """")"),"")</f>
        <v/>
      </c>
      <c r="T436" s="9" t="str">
        <f ca="1">IFERROR(__xludf.DUMMYFUNCTION("IFERROR(VALUE(REGEXEXTRACT(TO_TEXT($F436), T$1 &amp; ""x(\d+)"")), """")"),"")</f>
        <v/>
      </c>
      <c r="U436" s="9" t="str">
        <f ca="1">IFERROR(__xludf.DUMMYFUNCTION("IFERROR(VALUE(REGEXEXTRACT(TO_TEXT($F436), U$1 &amp; ""x(\d+)"")), """")"),"")</f>
        <v/>
      </c>
      <c r="V436" s="9" t="str">
        <f ca="1">IFERROR(__xludf.DUMMYFUNCTION("IFERROR(VALUE(REGEXEXTRACT(TO_TEXT($F436), V$1 &amp; ""x(\d+)"")), """")"),"")</f>
        <v/>
      </c>
      <c r="W436" s="9"/>
      <c r="X436" s="9"/>
      <c r="Y436" s="9"/>
      <c r="Z436" s="9"/>
    </row>
    <row r="437" spans="1:26" ht="15.75" hidden="1" customHeight="1">
      <c r="A437" s="9" t="s">
        <v>1531</v>
      </c>
      <c r="B437" s="9" t="s">
        <v>1532</v>
      </c>
      <c r="C437" s="9" t="s">
        <v>682</v>
      </c>
      <c r="D437" s="9" t="s">
        <v>40</v>
      </c>
      <c r="E437" s="9" t="s">
        <v>12</v>
      </c>
      <c r="F437" s="9" t="s">
        <v>1534</v>
      </c>
      <c r="G437" s="9">
        <v>180</v>
      </c>
      <c r="H437" s="9">
        <v>2</v>
      </c>
      <c r="I437" s="9">
        <v>1.0149999999999999</v>
      </c>
      <c r="J437" s="9">
        <v>412</v>
      </c>
      <c r="K437" s="9" t="s">
        <v>442</v>
      </c>
      <c r="L437" s="9" t="s">
        <v>1035</v>
      </c>
      <c r="M437" s="9"/>
      <c r="N437" s="9" t="str">
        <f ca="1">IFERROR(__xludf.DUMMYFUNCTION("IFERROR(VALUE(REGEXEXTRACT(TO_TEXT($F437), N$1 &amp; ""x(\d+)"")), """")
"),"")</f>
        <v/>
      </c>
      <c r="O437" s="9">
        <f ca="1">IFERROR(__xludf.DUMMYFUNCTION("IFERROR(VALUE(REGEXEXTRACT(TO_TEXT($F437), O$1 &amp; ""x(\d+)"")), """")"),1)</f>
        <v>1</v>
      </c>
      <c r="P437" s="9" t="str">
        <f ca="1">IFERROR(__xludf.DUMMYFUNCTION("IFERROR(VALUE(REGEXEXTRACT(TO_TEXT($F437), P$1 &amp; ""x(\d+)"")), """")"),"")</f>
        <v/>
      </c>
      <c r="Q437" s="9" t="str">
        <f ca="1">IFERROR(__xludf.DUMMYFUNCTION("IFERROR(VALUE(REGEXEXTRACT(TO_TEXT($F437), Q$1 &amp; ""x(\d+)"")), """")"),"")</f>
        <v/>
      </c>
      <c r="R437" s="9" t="str">
        <f ca="1">IFERROR(__xludf.DUMMYFUNCTION("IFERROR(VALUE(REGEXEXTRACT(TO_TEXT($F437), R$1 &amp; ""x(\d+)"")), """")"),"")</f>
        <v/>
      </c>
      <c r="S437" s="9">
        <f ca="1">IFERROR(__xludf.DUMMYFUNCTION("IFERROR(VALUE(REGEXEXTRACT(TO_TEXT($F437), S$1 &amp; ""x(\d+)"")), """")"),1)</f>
        <v>1</v>
      </c>
      <c r="T437" s="9" t="str">
        <f ca="1">IFERROR(__xludf.DUMMYFUNCTION("IFERROR(VALUE(REGEXEXTRACT(TO_TEXT($F437), T$1 &amp; ""x(\d+)"")), """")"),"")</f>
        <v/>
      </c>
      <c r="U437" s="9" t="str">
        <f ca="1">IFERROR(__xludf.DUMMYFUNCTION("IFERROR(VALUE(REGEXEXTRACT(TO_TEXT($F437), U$1 &amp; ""x(\d+)"")), """")"),"")</f>
        <v/>
      </c>
      <c r="V437" s="9" t="str">
        <f ca="1">IFERROR(__xludf.DUMMYFUNCTION("IFERROR(VALUE(REGEXEXTRACT(TO_TEXT($F437), V$1 &amp; ""x(\d+)"")), """")"),"")</f>
        <v/>
      </c>
      <c r="W437" s="9"/>
      <c r="X437" s="9"/>
      <c r="Y437" s="9"/>
      <c r="Z437" s="9"/>
    </row>
    <row r="438" spans="1:26" ht="15.75" hidden="1" customHeight="1">
      <c r="A438" s="9" t="s">
        <v>1531</v>
      </c>
      <c r="B438" s="9" t="s">
        <v>1532</v>
      </c>
      <c r="C438" s="9" t="s">
        <v>682</v>
      </c>
      <c r="D438" s="9" t="s">
        <v>40</v>
      </c>
      <c r="E438" s="9" t="s">
        <v>13</v>
      </c>
      <c r="F438" s="9" t="s">
        <v>1535</v>
      </c>
      <c r="G438" s="9">
        <v>30</v>
      </c>
      <c r="H438" s="9">
        <v>2</v>
      </c>
      <c r="I438" s="9">
        <v>1.0149999999999999</v>
      </c>
      <c r="J438" s="9">
        <v>412</v>
      </c>
      <c r="K438" s="9" t="s">
        <v>442</v>
      </c>
      <c r="L438" s="9"/>
      <c r="M438" s="9"/>
      <c r="N438" s="9" t="str">
        <f ca="1">IFERROR(__xludf.DUMMYFUNCTION("IFERROR(VALUE(REGEXEXTRACT(TO_TEXT($F438), N$1 &amp; ""x(\d+)"")), """")
"),"")</f>
        <v/>
      </c>
      <c r="O438" s="9">
        <f ca="1">IFERROR(__xludf.DUMMYFUNCTION("IFERROR(VALUE(REGEXEXTRACT(TO_TEXT($F438), O$1 &amp; ""x(\d+)"")), """")"),1)</f>
        <v>1</v>
      </c>
      <c r="P438" s="9" t="str">
        <f ca="1">IFERROR(__xludf.DUMMYFUNCTION("IFERROR(VALUE(REGEXEXTRACT(TO_TEXT($F438), P$1 &amp; ""x(\d+)"")), """")"),"")</f>
        <v/>
      </c>
      <c r="Q438" s="9" t="str">
        <f ca="1">IFERROR(__xludf.DUMMYFUNCTION("IFERROR(VALUE(REGEXEXTRACT(TO_TEXT($F438), Q$1 &amp; ""x(\d+)"")), """")"),"")</f>
        <v/>
      </c>
      <c r="R438" s="9" t="str">
        <f ca="1">IFERROR(__xludf.DUMMYFUNCTION("IFERROR(VALUE(REGEXEXTRACT(TO_TEXT($F438), R$1 &amp; ""x(\d+)"")), """")"),"")</f>
        <v/>
      </c>
      <c r="S438" s="9">
        <f ca="1">IFERROR(__xludf.DUMMYFUNCTION("IFERROR(VALUE(REGEXEXTRACT(TO_TEXT($F438), S$1 &amp; ""x(\d+)"")), """")"),1)</f>
        <v>1</v>
      </c>
      <c r="T438" s="9" t="str">
        <f ca="1">IFERROR(__xludf.DUMMYFUNCTION("IFERROR(VALUE(REGEXEXTRACT(TO_TEXT($F438), T$1 &amp; ""x(\d+)"")), """")"),"")</f>
        <v/>
      </c>
      <c r="U438" s="9" t="str">
        <f ca="1">IFERROR(__xludf.DUMMYFUNCTION("IFERROR(VALUE(REGEXEXTRACT(TO_TEXT($F438), U$1 &amp; ""x(\d+)"")), """")"),"")</f>
        <v/>
      </c>
      <c r="V438" s="9" t="str">
        <f ca="1">IFERROR(__xludf.DUMMYFUNCTION("IFERROR(VALUE(REGEXEXTRACT(TO_TEXT($F438), V$1 &amp; ""x(\d+)"")), """")"),"")</f>
        <v/>
      </c>
      <c r="W438" s="9"/>
      <c r="X438" s="9"/>
      <c r="Y438" s="9"/>
      <c r="Z438" s="9"/>
    </row>
    <row r="439" spans="1:26" ht="15.75" customHeight="1">
      <c r="A439" s="9" t="s">
        <v>258</v>
      </c>
      <c r="B439" s="9" t="s">
        <v>1536</v>
      </c>
      <c r="C439" s="9" t="s">
        <v>259</v>
      </c>
      <c r="D439" s="9" t="s">
        <v>33</v>
      </c>
      <c r="E439" s="9" t="s">
        <v>12</v>
      </c>
      <c r="F439" s="9" t="s">
        <v>1240</v>
      </c>
      <c r="G439" s="9">
        <v>55</v>
      </c>
      <c r="H439" s="9">
        <v>5</v>
      </c>
      <c r="I439" s="9">
        <v>1.0149999999999999</v>
      </c>
      <c r="J439" s="9">
        <v>52</v>
      </c>
      <c r="K439" s="9" t="s">
        <v>442</v>
      </c>
      <c r="L439" s="9"/>
      <c r="M439" s="9"/>
      <c r="N439" s="9" t="str">
        <f ca="1">IFERROR(__xludf.DUMMYFUNCTION("IFERROR(VALUE(REGEXEXTRACT(TO_TEXT($F439), N$1 &amp; ""x(\d+)"")), """")
"),"")</f>
        <v/>
      </c>
      <c r="O439" s="9">
        <f ca="1">IFERROR(__xludf.DUMMYFUNCTION("IFERROR(VALUE(REGEXEXTRACT(TO_TEXT($F439), O$1 &amp; ""x(\d+)"")), """")"),1)</f>
        <v>1</v>
      </c>
      <c r="P439" s="9" t="str">
        <f ca="1">IFERROR(__xludf.DUMMYFUNCTION("IFERROR(VALUE(REGEXEXTRACT(TO_TEXT($F439), P$1 &amp; ""x(\d+)"")), """")"),"")</f>
        <v/>
      </c>
      <c r="Q439" s="9" t="str">
        <f ca="1">IFERROR(__xludf.DUMMYFUNCTION("IFERROR(VALUE(REGEXEXTRACT(TO_TEXT($F439), Q$1 &amp; ""x(\d+)"")), """")"),"")</f>
        <v/>
      </c>
      <c r="R439" s="9" t="str">
        <f ca="1">IFERROR(__xludf.DUMMYFUNCTION("IFERROR(VALUE(REGEXEXTRACT(TO_TEXT($F439), R$1 &amp; ""x(\d+)"")), """")"),"")</f>
        <v/>
      </c>
      <c r="S439" s="9" t="str">
        <f ca="1">IFERROR(__xludf.DUMMYFUNCTION("IFERROR(VALUE(REGEXEXTRACT(TO_TEXT($F439), S$1 &amp; ""x(\d+)"")), """")"),"")</f>
        <v/>
      </c>
      <c r="T439" s="9" t="str">
        <f ca="1">IFERROR(__xludf.DUMMYFUNCTION("IFERROR(VALUE(REGEXEXTRACT(TO_TEXT($F439), T$1 &amp; ""x(\d+)"")), """")"),"")</f>
        <v/>
      </c>
      <c r="U439" s="9" t="str">
        <f ca="1">IFERROR(__xludf.DUMMYFUNCTION("IFERROR(VALUE(REGEXEXTRACT(TO_TEXT($F439), U$1 &amp; ""x(\d+)"")), """")"),"")</f>
        <v/>
      </c>
      <c r="V439" s="9" t="str">
        <f ca="1">IFERROR(__xludf.DUMMYFUNCTION("IFERROR(VALUE(REGEXEXTRACT(TO_TEXT($F439), V$1 &amp; ""x(\d+)"")), """")"),"")</f>
        <v/>
      </c>
      <c r="W439" s="9"/>
      <c r="X439" s="9"/>
      <c r="Y439" s="9"/>
      <c r="Z439" s="9"/>
    </row>
    <row r="440" spans="1:26" ht="15.75" customHeight="1">
      <c r="A440" s="9" t="s">
        <v>258</v>
      </c>
      <c r="B440" s="9" t="s">
        <v>1536</v>
      </c>
      <c r="C440" s="9" t="s">
        <v>259</v>
      </c>
      <c r="D440" s="9" t="s">
        <v>33</v>
      </c>
      <c r="E440" s="9" t="s">
        <v>13</v>
      </c>
      <c r="F440" s="9" t="s">
        <v>1130</v>
      </c>
      <c r="G440" s="9">
        <v>15</v>
      </c>
      <c r="H440" s="9">
        <v>5</v>
      </c>
      <c r="I440" s="9">
        <v>1.0149999999999999</v>
      </c>
      <c r="J440" s="9">
        <v>52</v>
      </c>
      <c r="K440" s="9" t="s">
        <v>442</v>
      </c>
      <c r="L440" s="9"/>
      <c r="M440" s="9"/>
      <c r="N440" s="9" t="str">
        <f ca="1">IFERROR(__xludf.DUMMYFUNCTION("IFERROR(VALUE(REGEXEXTRACT(TO_TEXT($F440), N$1 &amp; ""x(\d+)"")), """")
"),"")</f>
        <v/>
      </c>
      <c r="O440" s="9">
        <f ca="1">IFERROR(__xludf.DUMMYFUNCTION("IFERROR(VALUE(REGEXEXTRACT(TO_TEXT($F440), O$1 &amp; ""x(\d+)"")), """")"),1)</f>
        <v>1</v>
      </c>
      <c r="P440" s="9" t="str">
        <f ca="1">IFERROR(__xludf.DUMMYFUNCTION("IFERROR(VALUE(REGEXEXTRACT(TO_TEXT($F440), P$1 &amp; ""x(\d+)"")), """")"),"")</f>
        <v/>
      </c>
      <c r="Q440" s="9" t="str">
        <f ca="1">IFERROR(__xludf.DUMMYFUNCTION("IFERROR(VALUE(REGEXEXTRACT(TO_TEXT($F440), Q$1 &amp; ""x(\d+)"")), """")"),"")</f>
        <v/>
      </c>
      <c r="R440" s="9" t="str">
        <f ca="1">IFERROR(__xludf.DUMMYFUNCTION("IFERROR(VALUE(REGEXEXTRACT(TO_TEXT($F440), R$1 &amp; ""x(\d+)"")), """")"),"")</f>
        <v/>
      </c>
      <c r="S440" s="9" t="str">
        <f ca="1">IFERROR(__xludf.DUMMYFUNCTION("IFERROR(VALUE(REGEXEXTRACT(TO_TEXT($F440), S$1 &amp; ""x(\d+)"")), """")"),"")</f>
        <v/>
      </c>
      <c r="T440" s="9" t="str">
        <f ca="1">IFERROR(__xludf.DUMMYFUNCTION("IFERROR(VALUE(REGEXEXTRACT(TO_TEXT($F440), T$1 &amp; ""x(\d+)"")), """")"),"")</f>
        <v/>
      </c>
      <c r="U440" s="9" t="str">
        <f ca="1">IFERROR(__xludf.DUMMYFUNCTION("IFERROR(VALUE(REGEXEXTRACT(TO_TEXT($F440), U$1 &amp; ""x(\d+)"")), """")"),"")</f>
        <v/>
      </c>
      <c r="V440" s="9" t="str">
        <f ca="1">IFERROR(__xludf.DUMMYFUNCTION("IFERROR(VALUE(REGEXEXTRACT(TO_TEXT($F440), V$1 &amp; ""x(\d+)"")), """")"),"")</f>
        <v/>
      </c>
      <c r="W440" s="9"/>
      <c r="X440" s="9"/>
      <c r="Y440" s="9"/>
      <c r="Z440" s="9"/>
    </row>
    <row r="441" spans="1:26" ht="15.75" hidden="1" customHeight="1">
      <c r="A441" s="9" t="s">
        <v>1537</v>
      </c>
      <c r="B441" s="9" t="s">
        <v>1538</v>
      </c>
      <c r="C441" s="9" t="s">
        <v>576</v>
      </c>
      <c r="D441" s="9" t="s">
        <v>48</v>
      </c>
      <c r="E441" s="9" t="s">
        <v>11</v>
      </c>
      <c r="F441" s="9" t="s">
        <v>1224</v>
      </c>
      <c r="G441" s="9">
        <v>25</v>
      </c>
      <c r="H441" s="9">
        <v>3</v>
      </c>
      <c r="I441" s="9">
        <v>1.0149999999999999</v>
      </c>
      <c r="J441" s="9">
        <v>52</v>
      </c>
      <c r="K441" s="9" t="s">
        <v>424</v>
      </c>
      <c r="L441" s="9"/>
      <c r="M441" s="9"/>
      <c r="N441" s="9" t="str">
        <f ca="1">IFERROR(__xludf.DUMMYFUNCTION("IFERROR(VALUE(REGEXEXTRACT(TO_TEXT($F441), N$1 &amp; ""x(\d+)"")), """")
"),"")</f>
        <v/>
      </c>
      <c r="O441" s="9" t="str">
        <f ca="1">IFERROR(__xludf.DUMMYFUNCTION("IFERROR(VALUE(REGEXEXTRACT(TO_TEXT($F441), O$1 &amp; ""x(\d+)"")), """")"),"")</f>
        <v/>
      </c>
      <c r="P441" s="9" t="str">
        <f ca="1">IFERROR(__xludf.DUMMYFUNCTION("IFERROR(VALUE(REGEXEXTRACT(TO_TEXT($F441), P$1 &amp; ""x(\d+)"")), """")"),"")</f>
        <v/>
      </c>
      <c r="Q441" s="9" t="str">
        <f ca="1">IFERROR(__xludf.DUMMYFUNCTION("IFERROR(VALUE(REGEXEXTRACT(TO_TEXT($F441), Q$1 &amp; ""x(\d+)"")), """")"),"")</f>
        <v/>
      </c>
      <c r="R441" s="9" t="str">
        <f ca="1">IFERROR(__xludf.DUMMYFUNCTION("IFERROR(VALUE(REGEXEXTRACT(TO_TEXT($F441), R$1 &amp; ""x(\d+)"")), """")"),"")</f>
        <v/>
      </c>
      <c r="S441" s="9" t="str">
        <f ca="1">IFERROR(__xludf.DUMMYFUNCTION("IFERROR(VALUE(REGEXEXTRACT(TO_TEXT($F441), S$1 &amp; ""x(\d+)"")), """")"),"")</f>
        <v/>
      </c>
      <c r="T441" s="9" t="str">
        <f ca="1">IFERROR(__xludf.DUMMYFUNCTION("IFERROR(VALUE(REGEXEXTRACT(TO_TEXT($F441), T$1 &amp; ""x(\d+)"")), """")"),"")</f>
        <v/>
      </c>
      <c r="U441" s="9" t="str">
        <f ca="1">IFERROR(__xludf.DUMMYFUNCTION("IFERROR(VALUE(REGEXEXTRACT(TO_TEXT($F441), U$1 &amp; ""x(\d+)"")), """")"),"")</f>
        <v/>
      </c>
      <c r="V441" s="9" t="str">
        <f ca="1">IFERROR(__xludf.DUMMYFUNCTION("IFERROR(VALUE(REGEXEXTRACT(TO_TEXT($F441), V$1 &amp; ""x(\d+)"")), """")"),"")</f>
        <v/>
      </c>
      <c r="W441" s="9"/>
      <c r="X441" s="9"/>
      <c r="Y441" s="9"/>
      <c r="Z441" s="9"/>
    </row>
    <row r="442" spans="1:26" ht="15.75" hidden="1" customHeight="1">
      <c r="A442" s="9" t="s">
        <v>1537</v>
      </c>
      <c r="B442" s="9" t="s">
        <v>1538</v>
      </c>
      <c r="C442" s="9" t="s">
        <v>576</v>
      </c>
      <c r="D442" s="9" t="s">
        <v>48</v>
      </c>
      <c r="E442" s="9" t="s">
        <v>12</v>
      </c>
      <c r="F442" s="9" t="s">
        <v>1539</v>
      </c>
      <c r="G442" s="9">
        <v>150</v>
      </c>
      <c r="H442" s="9">
        <v>3</v>
      </c>
      <c r="I442" s="9">
        <v>1.0149999999999999</v>
      </c>
      <c r="J442" s="9">
        <v>52</v>
      </c>
      <c r="K442" s="9" t="s">
        <v>424</v>
      </c>
      <c r="L442" s="9" t="s">
        <v>1035</v>
      </c>
      <c r="M442" s="9"/>
      <c r="N442" s="9" t="str">
        <f ca="1">IFERROR(__xludf.DUMMYFUNCTION("IFERROR(VALUE(REGEXEXTRACT(TO_TEXT($F442), N$1 &amp; ""x(\d+)"")), """")
"),"")</f>
        <v/>
      </c>
      <c r="O442" s="9" t="str">
        <f ca="1">IFERROR(__xludf.DUMMYFUNCTION("IFERROR(VALUE(REGEXEXTRACT(TO_TEXT($F442), O$1 &amp; ""x(\d+)"")), """")"),"")</f>
        <v/>
      </c>
      <c r="P442" s="9">
        <f ca="1">IFERROR(__xludf.DUMMYFUNCTION("IFERROR(VALUE(REGEXEXTRACT(TO_TEXT($F442), P$1 &amp; ""x(\d+)"")), """")"),1)</f>
        <v>1</v>
      </c>
      <c r="Q442" s="9" t="str">
        <f ca="1">IFERROR(__xludf.DUMMYFUNCTION("IFERROR(VALUE(REGEXEXTRACT(TO_TEXT($F442), Q$1 &amp; ""x(\d+)"")), """")"),"")</f>
        <v/>
      </c>
      <c r="R442" s="9" t="str">
        <f ca="1">IFERROR(__xludf.DUMMYFUNCTION("IFERROR(VALUE(REGEXEXTRACT(TO_TEXT($F442), R$1 &amp; ""x(\d+)"")), """")"),"")</f>
        <v/>
      </c>
      <c r="S442" s="9" t="str">
        <f ca="1">IFERROR(__xludf.DUMMYFUNCTION("IFERROR(VALUE(REGEXEXTRACT(TO_TEXT($F442), S$1 &amp; ""x(\d+)"")), """")"),"")</f>
        <v/>
      </c>
      <c r="T442" s="9" t="str">
        <f ca="1">IFERROR(__xludf.DUMMYFUNCTION("IFERROR(VALUE(REGEXEXTRACT(TO_TEXT($F442), T$1 &amp; ""x(\d+)"")), """")"),"")</f>
        <v/>
      </c>
      <c r="U442" s="9" t="str">
        <f ca="1">IFERROR(__xludf.DUMMYFUNCTION("IFERROR(VALUE(REGEXEXTRACT(TO_TEXT($F442), U$1 &amp; ""x(\d+)"")), """")"),"")</f>
        <v/>
      </c>
      <c r="V442" s="9" t="str">
        <f ca="1">IFERROR(__xludf.DUMMYFUNCTION("IFERROR(VALUE(REGEXEXTRACT(TO_TEXT($F442), V$1 &amp; ""x(\d+)"")), """")"),"")</f>
        <v/>
      </c>
      <c r="W442" s="9"/>
      <c r="X442" s="9"/>
      <c r="Y442" s="9"/>
      <c r="Z442" s="9"/>
    </row>
    <row r="443" spans="1:26" ht="15.75" hidden="1" customHeight="1">
      <c r="A443" s="9" t="s">
        <v>1537</v>
      </c>
      <c r="B443" s="9" t="s">
        <v>1538</v>
      </c>
      <c r="C443" s="9" t="s">
        <v>576</v>
      </c>
      <c r="D443" s="9" t="s">
        <v>48</v>
      </c>
      <c r="E443" s="9" t="s">
        <v>13</v>
      </c>
      <c r="F443" s="9" t="s">
        <v>1206</v>
      </c>
      <c r="G443" s="9">
        <v>30</v>
      </c>
      <c r="H443" s="9">
        <v>3</v>
      </c>
      <c r="I443" s="9">
        <v>1.0149999999999999</v>
      </c>
      <c r="J443" s="9">
        <v>52</v>
      </c>
      <c r="K443" s="9" t="s">
        <v>424</v>
      </c>
      <c r="L443" s="9"/>
      <c r="M443" s="9"/>
      <c r="N443" s="9" t="str">
        <f ca="1">IFERROR(__xludf.DUMMYFUNCTION("IFERROR(VALUE(REGEXEXTRACT(TO_TEXT($F443), N$1 &amp; ""x(\d+)"")), """")
"),"")</f>
        <v/>
      </c>
      <c r="O443" s="9" t="str">
        <f ca="1">IFERROR(__xludf.DUMMYFUNCTION("IFERROR(VALUE(REGEXEXTRACT(TO_TEXT($F443), O$1 &amp; ""x(\d+)"")), """")"),"")</f>
        <v/>
      </c>
      <c r="P443" s="9">
        <f ca="1">IFERROR(__xludf.DUMMYFUNCTION("IFERROR(VALUE(REGEXEXTRACT(TO_TEXT($F443), P$1 &amp; ""x(\d+)"")), """")"),1)</f>
        <v>1</v>
      </c>
      <c r="Q443" s="9" t="str">
        <f ca="1">IFERROR(__xludf.DUMMYFUNCTION("IFERROR(VALUE(REGEXEXTRACT(TO_TEXT($F443), Q$1 &amp; ""x(\d+)"")), """")"),"")</f>
        <v/>
      </c>
      <c r="R443" s="9" t="str">
        <f ca="1">IFERROR(__xludf.DUMMYFUNCTION("IFERROR(VALUE(REGEXEXTRACT(TO_TEXT($F443), R$1 &amp; ""x(\d+)"")), """")"),"")</f>
        <v/>
      </c>
      <c r="S443" s="9" t="str">
        <f ca="1">IFERROR(__xludf.DUMMYFUNCTION("IFERROR(VALUE(REGEXEXTRACT(TO_TEXT($F443), S$1 &amp; ""x(\d+)"")), """")"),"")</f>
        <v/>
      </c>
      <c r="T443" s="9" t="str">
        <f ca="1">IFERROR(__xludf.DUMMYFUNCTION("IFERROR(VALUE(REGEXEXTRACT(TO_TEXT($F443), T$1 &amp; ""x(\d+)"")), """")"),"")</f>
        <v/>
      </c>
      <c r="U443" s="9" t="str">
        <f ca="1">IFERROR(__xludf.DUMMYFUNCTION("IFERROR(VALUE(REGEXEXTRACT(TO_TEXT($F443), U$1 &amp; ""x(\d+)"")), """")"),"")</f>
        <v/>
      </c>
      <c r="V443" s="9" t="str">
        <f ca="1">IFERROR(__xludf.DUMMYFUNCTION("IFERROR(VALUE(REGEXEXTRACT(TO_TEXT($F443), V$1 &amp; ""x(\d+)"")), """")"),"")</f>
        <v/>
      </c>
      <c r="W443" s="9"/>
      <c r="X443" s="9"/>
      <c r="Y443" s="9"/>
      <c r="Z443" s="9"/>
    </row>
    <row r="444" spans="1:26" ht="15.75" hidden="1" customHeight="1">
      <c r="A444" s="9" t="s">
        <v>1537</v>
      </c>
      <c r="B444" s="9" t="s">
        <v>1538</v>
      </c>
      <c r="C444" s="9" t="s">
        <v>576</v>
      </c>
      <c r="D444" s="9" t="s">
        <v>74</v>
      </c>
      <c r="E444" s="9" t="s">
        <v>11</v>
      </c>
      <c r="F444" s="9" t="s">
        <v>1224</v>
      </c>
      <c r="G444" s="9">
        <v>25</v>
      </c>
      <c r="H444" s="9">
        <v>3</v>
      </c>
      <c r="I444" s="9">
        <v>1.0149999999999999</v>
      </c>
      <c r="J444" s="9">
        <v>80</v>
      </c>
      <c r="K444" s="9" t="s">
        <v>424</v>
      </c>
      <c r="L444" s="9"/>
      <c r="M444" s="9"/>
      <c r="N444" s="9" t="str">
        <f ca="1">IFERROR(__xludf.DUMMYFUNCTION("IFERROR(VALUE(REGEXEXTRACT(TO_TEXT($F444), N$1 &amp; ""x(\d+)"")), """")
"),"")</f>
        <v/>
      </c>
      <c r="O444" s="9" t="str">
        <f ca="1">IFERROR(__xludf.DUMMYFUNCTION("IFERROR(VALUE(REGEXEXTRACT(TO_TEXT($F444), O$1 &amp; ""x(\d+)"")), """")"),"")</f>
        <v/>
      </c>
      <c r="P444" s="9" t="str">
        <f ca="1">IFERROR(__xludf.DUMMYFUNCTION("IFERROR(VALUE(REGEXEXTRACT(TO_TEXT($F444), P$1 &amp; ""x(\d+)"")), """")"),"")</f>
        <v/>
      </c>
      <c r="Q444" s="9" t="str">
        <f ca="1">IFERROR(__xludf.DUMMYFUNCTION("IFERROR(VALUE(REGEXEXTRACT(TO_TEXT($F444), Q$1 &amp; ""x(\d+)"")), """")"),"")</f>
        <v/>
      </c>
      <c r="R444" s="9" t="str">
        <f ca="1">IFERROR(__xludf.DUMMYFUNCTION("IFERROR(VALUE(REGEXEXTRACT(TO_TEXT($F444), R$1 &amp; ""x(\d+)"")), """")"),"")</f>
        <v/>
      </c>
      <c r="S444" s="9" t="str">
        <f ca="1">IFERROR(__xludf.DUMMYFUNCTION("IFERROR(VALUE(REGEXEXTRACT(TO_TEXT($F444), S$1 &amp; ""x(\d+)"")), """")"),"")</f>
        <v/>
      </c>
      <c r="T444" s="9" t="str">
        <f ca="1">IFERROR(__xludf.DUMMYFUNCTION("IFERROR(VALUE(REGEXEXTRACT(TO_TEXT($F444), T$1 &amp; ""x(\d+)"")), """")"),"")</f>
        <v/>
      </c>
      <c r="U444" s="9" t="str">
        <f ca="1">IFERROR(__xludf.DUMMYFUNCTION("IFERROR(VALUE(REGEXEXTRACT(TO_TEXT($F444), U$1 &amp; ""x(\d+)"")), """")"),"")</f>
        <v/>
      </c>
      <c r="V444" s="9" t="str">
        <f ca="1">IFERROR(__xludf.DUMMYFUNCTION("IFERROR(VALUE(REGEXEXTRACT(TO_TEXT($F444), V$1 &amp; ""x(\d+)"")), """")"),"")</f>
        <v/>
      </c>
      <c r="W444" s="9"/>
      <c r="X444" s="9"/>
      <c r="Y444" s="9"/>
      <c r="Z444" s="9"/>
    </row>
    <row r="445" spans="1:26" ht="15.75" hidden="1" customHeight="1">
      <c r="A445" s="9" t="s">
        <v>1537</v>
      </c>
      <c r="B445" s="9" t="s">
        <v>1538</v>
      </c>
      <c r="C445" s="9" t="s">
        <v>576</v>
      </c>
      <c r="D445" s="9" t="s">
        <v>74</v>
      </c>
      <c r="E445" s="9" t="s">
        <v>12</v>
      </c>
      <c r="F445" s="9" t="s">
        <v>1540</v>
      </c>
      <c r="G445" s="9">
        <v>180</v>
      </c>
      <c r="H445" s="9">
        <v>3</v>
      </c>
      <c r="I445" s="9">
        <v>1.0149999999999999</v>
      </c>
      <c r="J445" s="9">
        <v>80</v>
      </c>
      <c r="K445" s="9" t="s">
        <v>424</v>
      </c>
      <c r="L445" s="9" t="s">
        <v>1035</v>
      </c>
      <c r="M445" s="9"/>
      <c r="N445" s="9" t="str">
        <f ca="1">IFERROR(__xludf.DUMMYFUNCTION("IFERROR(VALUE(REGEXEXTRACT(TO_TEXT($F445), N$1 &amp; ""x(\d+)"")), """")
"),"")</f>
        <v/>
      </c>
      <c r="O445" s="9" t="str">
        <f ca="1">IFERROR(__xludf.DUMMYFUNCTION("IFERROR(VALUE(REGEXEXTRACT(TO_TEXT($F445), O$1 &amp; ""x(\d+)"")), """")"),"")</f>
        <v/>
      </c>
      <c r="P445" s="9" t="str">
        <f ca="1">IFERROR(__xludf.DUMMYFUNCTION("IFERROR(VALUE(REGEXEXTRACT(TO_TEXT($F445), P$1 &amp; ""x(\d+)"")), """")"),"")</f>
        <v/>
      </c>
      <c r="Q445" s="9">
        <f ca="1">IFERROR(__xludf.DUMMYFUNCTION("IFERROR(VALUE(REGEXEXTRACT(TO_TEXT($F445), Q$1 &amp; ""x(\d+)"")), """")"),1)</f>
        <v>1</v>
      </c>
      <c r="R445" s="9" t="str">
        <f ca="1">IFERROR(__xludf.DUMMYFUNCTION("IFERROR(VALUE(REGEXEXTRACT(TO_TEXT($F445), R$1 &amp; ""x(\d+)"")), """")"),"")</f>
        <v/>
      </c>
      <c r="S445" s="9" t="str">
        <f ca="1">IFERROR(__xludf.DUMMYFUNCTION("IFERROR(VALUE(REGEXEXTRACT(TO_TEXT($F445), S$1 &amp; ""x(\d+)"")), """")"),"")</f>
        <v/>
      </c>
      <c r="T445" s="9" t="str">
        <f ca="1">IFERROR(__xludf.DUMMYFUNCTION("IFERROR(VALUE(REGEXEXTRACT(TO_TEXT($F445), T$1 &amp; ""x(\d+)"")), """")"),"")</f>
        <v/>
      </c>
      <c r="U445" s="9" t="str">
        <f ca="1">IFERROR(__xludf.DUMMYFUNCTION("IFERROR(VALUE(REGEXEXTRACT(TO_TEXT($F445), U$1 &amp; ""x(\d+)"")), """")"),"")</f>
        <v/>
      </c>
      <c r="V445" s="9" t="str">
        <f ca="1">IFERROR(__xludf.DUMMYFUNCTION("IFERROR(VALUE(REGEXEXTRACT(TO_TEXT($F445), V$1 &amp; ""x(\d+)"")), """")"),"")</f>
        <v/>
      </c>
      <c r="W445" s="9"/>
      <c r="X445" s="9"/>
      <c r="Y445" s="9"/>
      <c r="Z445" s="9"/>
    </row>
    <row r="446" spans="1:26" ht="15.75" hidden="1" customHeight="1">
      <c r="A446" s="9" t="s">
        <v>1537</v>
      </c>
      <c r="B446" s="9" t="s">
        <v>1538</v>
      </c>
      <c r="C446" s="9" t="s">
        <v>576</v>
      </c>
      <c r="D446" s="9" t="s">
        <v>74</v>
      </c>
      <c r="E446" s="9" t="s">
        <v>13</v>
      </c>
      <c r="F446" s="9" t="s">
        <v>1541</v>
      </c>
      <c r="G446" s="9">
        <v>40</v>
      </c>
      <c r="H446" s="9">
        <v>3</v>
      </c>
      <c r="I446" s="9">
        <v>1.0149999999999999</v>
      </c>
      <c r="J446" s="9">
        <v>80</v>
      </c>
      <c r="K446" s="9" t="s">
        <v>424</v>
      </c>
      <c r="L446" s="9"/>
      <c r="M446" s="9"/>
      <c r="N446" s="9" t="str">
        <f ca="1">IFERROR(__xludf.DUMMYFUNCTION("IFERROR(VALUE(REGEXEXTRACT(TO_TEXT($F446), N$1 &amp; ""x(\d+)"")), """")
"),"")</f>
        <v/>
      </c>
      <c r="O446" s="9" t="str">
        <f ca="1">IFERROR(__xludf.DUMMYFUNCTION("IFERROR(VALUE(REGEXEXTRACT(TO_TEXT($F446), O$1 &amp; ""x(\d+)"")), """")"),"")</f>
        <v/>
      </c>
      <c r="P446" s="9" t="str">
        <f ca="1">IFERROR(__xludf.DUMMYFUNCTION("IFERROR(VALUE(REGEXEXTRACT(TO_TEXT($F446), P$1 &amp; ""x(\d+)"")), """")"),"")</f>
        <v/>
      </c>
      <c r="Q446" s="9">
        <f ca="1">IFERROR(__xludf.DUMMYFUNCTION("IFERROR(VALUE(REGEXEXTRACT(TO_TEXT($F446), Q$1 &amp; ""x(\d+)"")), """")"),1)</f>
        <v>1</v>
      </c>
      <c r="R446" s="9" t="str">
        <f ca="1">IFERROR(__xludf.DUMMYFUNCTION("IFERROR(VALUE(REGEXEXTRACT(TO_TEXT($F446), R$1 &amp; ""x(\d+)"")), """")"),"")</f>
        <v/>
      </c>
      <c r="S446" s="9" t="str">
        <f ca="1">IFERROR(__xludf.DUMMYFUNCTION("IFERROR(VALUE(REGEXEXTRACT(TO_TEXT($F446), S$1 &amp; ""x(\d+)"")), """")"),"")</f>
        <v/>
      </c>
      <c r="T446" s="9" t="str">
        <f ca="1">IFERROR(__xludf.DUMMYFUNCTION("IFERROR(VALUE(REGEXEXTRACT(TO_TEXT($F446), T$1 &amp; ""x(\d+)"")), """")"),"")</f>
        <v/>
      </c>
      <c r="U446" s="9" t="str">
        <f ca="1">IFERROR(__xludf.DUMMYFUNCTION("IFERROR(VALUE(REGEXEXTRACT(TO_TEXT($F446), U$1 &amp; ""x(\d+)"")), """")"),"")</f>
        <v/>
      </c>
      <c r="V446" s="9" t="str">
        <f ca="1">IFERROR(__xludf.DUMMYFUNCTION("IFERROR(VALUE(REGEXEXTRACT(TO_TEXT($F446), V$1 &amp; ""x(\d+)"")), """")"),"")</f>
        <v/>
      </c>
      <c r="W446" s="9"/>
      <c r="X446" s="9"/>
      <c r="Y446" s="9"/>
      <c r="Z446" s="9"/>
    </row>
    <row r="447" spans="1:26" ht="15.75" hidden="1" customHeight="1">
      <c r="A447" s="9" t="s">
        <v>292</v>
      </c>
      <c r="B447" s="9" t="s">
        <v>1542</v>
      </c>
      <c r="C447" s="9" t="s">
        <v>293</v>
      </c>
      <c r="D447" s="9" t="s">
        <v>48</v>
      </c>
      <c r="E447" s="9" t="s">
        <v>11</v>
      </c>
      <c r="F447" s="9" t="s">
        <v>1224</v>
      </c>
      <c r="G447" s="9">
        <v>25</v>
      </c>
      <c r="H447" s="9">
        <v>3</v>
      </c>
      <c r="I447" s="9">
        <v>1.0149999999999999</v>
      </c>
      <c r="J447" s="9">
        <v>52</v>
      </c>
      <c r="K447" s="9" t="s">
        <v>424</v>
      </c>
      <c r="L447" s="9"/>
      <c r="M447" s="9"/>
      <c r="N447" s="9" t="str">
        <f ca="1">IFERROR(__xludf.DUMMYFUNCTION("IFERROR(VALUE(REGEXEXTRACT(TO_TEXT($F447), N$1 &amp; ""x(\d+)"")), """")
"),"")</f>
        <v/>
      </c>
      <c r="O447" s="9" t="str">
        <f ca="1">IFERROR(__xludf.DUMMYFUNCTION("IFERROR(VALUE(REGEXEXTRACT(TO_TEXT($F447), O$1 &amp; ""x(\d+)"")), """")"),"")</f>
        <v/>
      </c>
      <c r="P447" s="9" t="str">
        <f ca="1">IFERROR(__xludf.DUMMYFUNCTION("IFERROR(VALUE(REGEXEXTRACT(TO_TEXT($F447), P$1 &amp; ""x(\d+)"")), """")"),"")</f>
        <v/>
      </c>
      <c r="Q447" s="9" t="str">
        <f ca="1">IFERROR(__xludf.DUMMYFUNCTION("IFERROR(VALUE(REGEXEXTRACT(TO_TEXT($F447), Q$1 &amp; ""x(\d+)"")), """")"),"")</f>
        <v/>
      </c>
      <c r="R447" s="9" t="str">
        <f ca="1">IFERROR(__xludf.DUMMYFUNCTION("IFERROR(VALUE(REGEXEXTRACT(TO_TEXT($F447), R$1 &amp; ""x(\d+)"")), """")"),"")</f>
        <v/>
      </c>
      <c r="S447" s="9" t="str">
        <f ca="1">IFERROR(__xludf.DUMMYFUNCTION("IFERROR(VALUE(REGEXEXTRACT(TO_TEXT($F447), S$1 &amp; ""x(\d+)"")), """")"),"")</f>
        <v/>
      </c>
      <c r="T447" s="9" t="str">
        <f ca="1">IFERROR(__xludf.DUMMYFUNCTION("IFERROR(VALUE(REGEXEXTRACT(TO_TEXT($F447), T$1 &amp; ""x(\d+)"")), """")"),"")</f>
        <v/>
      </c>
      <c r="U447" s="9" t="str">
        <f ca="1">IFERROR(__xludf.DUMMYFUNCTION("IFERROR(VALUE(REGEXEXTRACT(TO_TEXT($F447), U$1 &amp; ""x(\d+)"")), """")"),"")</f>
        <v/>
      </c>
      <c r="V447" s="9" t="str">
        <f ca="1">IFERROR(__xludf.DUMMYFUNCTION("IFERROR(VALUE(REGEXEXTRACT(TO_TEXT($F447), V$1 &amp; ""x(\d+)"")), """")"),"")</f>
        <v/>
      </c>
      <c r="W447" s="9"/>
      <c r="X447" s="9"/>
      <c r="Y447" s="9"/>
      <c r="Z447" s="9"/>
    </row>
    <row r="448" spans="1:26" ht="15.75" hidden="1" customHeight="1">
      <c r="A448" s="9" t="s">
        <v>292</v>
      </c>
      <c r="B448" s="9" t="s">
        <v>1542</v>
      </c>
      <c r="C448" s="9" t="s">
        <v>293</v>
      </c>
      <c r="D448" s="9" t="s">
        <v>48</v>
      </c>
      <c r="E448" s="9" t="s">
        <v>12</v>
      </c>
      <c r="F448" s="9" t="s">
        <v>1502</v>
      </c>
      <c r="G448" s="9">
        <v>130</v>
      </c>
      <c r="H448" s="9">
        <v>3</v>
      </c>
      <c r="I448" s="9">
        <v>1.0149999999999999</v>
      </c>
      <c r="J448" s="9">
        <v>52</v>
      </c>
      <c r="K448" s="9" t="s">
        <v>424</v>
      </c>
      <c r="L448" s="9" t="s">
        <v>1015</v>
      </c>
      <c r="M448" s="9"/>
      <c r="N448" s="9" t="str">
        <f ca="1">IFERROR(__xludf.DUMMYFUNCTION("IFERROR(VALUE(REGEXEXTRACT(TO_TEXT($F448), N$1 &amp; ""x(\d+)"")), """")
"),"")</f>
        <v/>
      </c>
      <c r="O448" s="9" t="str">
        <f ca="1">IFERROR(__xludf.DUMMYFUNCTION("IFERROR(VALUE(REGEXEXTRACT(TO_TEXT($F448), O$1 &amp; ""x(\d+)"")), """")"),"")</f>
        <v/>
      </c>
      <c r="P448" s="9">
        <f ca="1">IFERROR(__xludf.DUMMYFUNCTION("IFERROR(VALUE(REGEXEXTRACT(TO_TEXT($F448), P$1 &amp; ""x(\d+)"")), """")"),1)</f>
        <v>1</v>
      </c>
      <c r="Q448" s="9" t="str">
        <f ca="1">IFERROR(__xludf.DUMMYFUNCTION("IFERROR(VALUE(REGEXEXTRACT(TO_TEXT($F448), Q$1 &amp; ""x(\d+)"")), """")"),"")</f>
        <v/>
      </c>
      <c r="R448" s="9" t="str">
        <f ca="1">IFERROR(__xludf.DUMMYFUNCTION("IFERROR(VALUE(REGEXEXTRACT(TO_TEXT($F448), R$1 &amp; ""x(\d+)"")), """")"),"")</f>
        <v/>
      </c>
      <c r="S448" s="9" t="str">
        <f ca="1">IFERROR(__xludf.DUMMYFUNCTION("IFERROR(VALUE(REGEXEXTRACT(TO_TEXT($F448), S$1 &amp; ""x(\d+)"")), """")"),"")</f>
        <v/>
      </c>
      <c r="T448" s="9" t="str">
        <f ca="1">IFERROR(__xludf.DUMMYFUNCTION("IFERROR(VALUE(REGEXEXTRACT(TO_TEXT($F448), T$1 &amp; ""x(\d+)"")), """")"),"")</f>
        <v/>
      </c>
      <c r="U448" s="9" t="str">
        <f ca="1">IFERROR(__xludf.DUMMYFUNCTION("IFERROR(VALUE(REGEXEXTRACT(TO_TEXT($F448), U$1 &amp; ""x(\d+)"")), """")"),"")</f>
        <v/>
      </c>
      <c r="V448" s="9" t="str">
        <f ca="1">IFERROR(__xludf.DUMMYFUNCTION("IFERROR(VALUE(REGEXEXTRACT(TO_TEXT($F448), V$1 &amp; ""x(\d+)"")), """")"),"")</f>
        <v/>
      </c>
      <c r="W448" s="9"/>
      <c r="X448" s="9"/>
      <c r="Y448" s="9"/>
      <c r="Z448" s="9"/>
    </row>
    <row r="449" spans="1:26" ht="15.75" hidden="1" customHeight="1">
      <c r="A449" s="9" t="s">
        <v>292</v>
      </c>
      <c r="B449" s="9" t="s">
        <v>1542</v>
      </c>
      <c r="C449" s="9" t="s">
        <v>293</v>
      </c>
      <c r="D449" s="9" t="s">
        <v>48</v>
      </c>
      <c r="E449" s="9" t="s">
        <v>13</v>
      </c>
      <c r="F449" s="9" t="s">
        <v>1206</v>
      </c>
      <c r="G449" s="9">
        <v>30</v>
      </c>
      <c r="H449" s="9">
        <v>3</v>
      </c>
      <c r="I449" s="9">
        <v>1.0149999999999999</v>
      </c>
      <c r="J449" s="9">
        <v>52</v>
      </c>
      <c r="K449" s="9" t="s">
        <v>424</v>
      </c>
      <c r="L449" s="9"/>
      <c r="M449" s="9"/>
      <c r="N449" s="9" t="str">
        <f ca="1">IFERROR(__xludf.DUMMYFUNCTION("IFERROR(VALUE(REGEXEXTRACT(TO_TEXT($F449), N$1 &amp; ""x(\d+)"")), """")
"),"")</f>
        <v/>
      </c>
      <c r="O449" s="9" t="str">
        <f ca="1">IFERROR(__xludf.DUMMYFUNCTION("IFERROR(VALUE(REGEXEXTRACT(TO_TEXT($F449), O$1 &amp; ""x(\d+)"")), """")"),"")</f>
        <v/>
      </c>
      <c r="P449" s="9">
        <f ca="1">IFERROR(__xludf.DUMMYFUNCTION("IFERROR(VALUE(REGEXEXTRACT(TO_TEXT($F449), P$1 &amp; ""x(\d+)"")), """")"),1)</f>
        <v>1</v>
      </c>
      <c r="Q449" s="9" t="str">
        <f ca="1">IFERROR(__xludf.DUMMYFUNCTION("IFERROR(VALUE(REGEXEXTRACT(TO_TEXT($F449), Q$1 &amp; ""x(\d+)"")), """")"),"")</f>
        <v/>
      </c>
      <c r="R449" s="9" t="str">
        <f ca="1">IFERROR(__xludf.DUMMYFUNCTION("IFERROR(VALUE(REGEXEXTRACT(TO_TEXT($F449), R$1 &amp; ""x(\d+)"")), """")"),"")</f>
        <v/>
      </c>
      <c r="S449" s="9" t="str">
        <f ca="1">IFERROR(__xludf.DUMMYFUNCTION("IFERROR(VALUE(REGEXEXTRACT(TO_TEXT($F449), S$1 &amp; ""x(\d+)"")), """")"),"")</f>
        <v/>
      </c>
      <c r="T449" s="9" t="str">
        <f ca="1">IFERROR(__xludf.DUMMYFUNCTION("IFERROR(VALUE(REGEXEXTRACT(TO_TEXT($F449), T$1 &amp; ""x(\d+)"")), """")"),"")</f>
        <v/>
      </c>
      <c r="U449" s="9" t="str">
        <f ca="1">IFERROR(__xludf.DUMMYFUNCTION("IFERROR(VALUE(REGEXEXTRACT(TO_TEXT($F449), U$1 &amp; ""x(\d+)"")), """")"),"")</f>
        <v/>
      </c>
      <c r="V449" s="9" t="str">
        <f ca="1">IFERROR(__xludf.DUMMYFUNCTION("IFERROR(VALUE(REGEXEXTRACT(TO_TEXT($F449), V$1 &amp; ""x(\d+)"")), """")"),"")</f>
        <v/>
      </c>
      <c r="W449" s="9"/>
      <c r="X449" s="9"/>
      <c r="Y449" s="9"/>
      <c r="Z449" s="9"/>
    </row>
    <row r="450" spans="1:26" ht="15.75" hidden="1" customHeight="1">
      <c r="A450" s="9" t="s">
        <v>292</v>
      </c>
      <c r="B450" s="9" t="s">
        <v>1542</v>
      </c>
      <c r="C450" s="9" t="s">
        <v>293</v>
      </c>
      <c r="D450" s="9" t="s">
        <v>74</v>
      </c>
      <c r="E450" s="9" t="s">
        <v>11</v>
      </c>
      <c r="F450" s="9" t="s">
        <v>1224</v>
      </c>
      <c r="G450" s="9">
        <v>25</v>
      </c>
      <c r="H450" s="9">
        <v>3</v>
      </c>
      <c r="I450" s="9">
        <v>1.0149999999999999</v>
      </c>
      <c r="J450" s="9">
        <v>104</v>
      </c>
      <c r="K450" s="9" t="s">
        <v>424</v>
      </c>
      <c r="L450" s="9"/>
      <c r="M450" s="9"/>
      <c r="N450" s="9" t="str">
        <f ca="1">IFERROR(__xludf.DUMMYFUNCTION("IFERROR(VALUE(REGEXEXTRACT(TO_TEXT($F450), N$1 &amp; ""x(\d+)"")), """")
"),"")</f>
        <v/>
      </c>
      <c r="O450" s="9" t="str">
        <f ca="1">IFERROR(__xludf.DUMMYFUNCTION("IFERROR(VALUE(REGEXEXTRACT(TO_TEXT($F450), O$1 &amp; ""x(\d+)"")), """")"),"")</f>
        <v/>
      </c>
      <c r="P450" s="9" t="str">
        <f ca="1">IFERROR(__xludf.DUMMYFUNCTION("IFERROR(VALUE(REGEXEXTRACT(TO_TEXT($F450), P$1 &amp; ""x(\d+)"")), """")"),"")</f>
        <v/>
      </c>
      <c r="Q450" s="9" t="str">
        <f ca="1">IFERROR(__xludf.DUMMYFUNCTION("IFERROR(VALUE(REGEXEXTRACT(TO_TEXT($F450), Q$1 &amp; ""x(\d+)"")), """")"),"")</f>
        <v/>
      </c>
      <c r="R450" s="9" t="str">
        <f ca="1">IFERROR(__xludf.DUMMYFUNCTION("IFERROR(VALUE(REGEXEXTRACT(TO_TEXT($F450), R$1 &amp; ""x(\d+)"")), """")"),"")</f>
        <v/>
      </c>
      <c r="S450" s="9" t="str">
        <f ca="1">IFERROR(__xludf.DUMMYFUNCTION("IFERROR(VALUE(REGEXEXTRACT(TO_TEXT($F450), S$1 &amp; ""x(\d+)"")), """")"),"")</f>
        <v/>
      </c>
      <c r="T450" s="9" t="str">
        <f ca="1">IFERROR(__xludf.DUMMYFUNCTION("IFERROR(VALUE(REGEXEXTRACT(TO_TEXT($F450), T$1 &amp; ""x(\d+)"")), """")"),"")</f>
        <v/>
      </c>
      <c r="U450" s="9" t="str">
        <f ca="1">IFERROR(__xludf.DUMMYFUNCTION("IFERROR(VALUE(REGEXEXTRACT(TO_TEXT($F450), U$1 &amp; ""x(\d+)"")), """")"),"")</f>
        <v/>
      </c>
      <c r="V450" s="9" t="str">
        <f ca="1">IFERROR(__xludf.DUMMYFUNCTION("IFERROR(VALUE(REGEXEXTRACT(TO_TEXT($F450), V$1 &amp; ""x(\d+)"")), """")"),"")</f>
        <v/>
      </c>
      <c r="W450" s="9"/>
      <c r="X450" s="9"/>
      <c r="Y450" s="9"/>
      <c r="Z450" s="9"/>
    </row>
    <row r="451" spans="1:26" ht="15.75" hidden="1" customHeight="1">
      <c r="A451" s="9" t="s">
        <v>292</v>
      </c>
      <c r="B451" s="9" t="s">
        <v>1542</v>
      </c>
      <c r="C451" s="9" t="s">
        <v>293</v>
      </c>
      <c r="D451" s="9" t="s">
        <v>74</v>
      </c>
      <c r="E451" s="9" t="s">
        <v>12</v>
      </c>
      <c r="F451" s="9" t="s">
        <v>1540</v>
      </c>
      <c r="G451" s="9">
        <v>180</v>
      </c>
      <c r="H451" s="9">
        <v>3</v>
      </c>
      <c r="I451" s="9">
        <v>1.0149999999999999</v>
      </c>
      <c r="J451" s="9">
        <v>104</v>
      </c>
      <c r="K451" s="9" t="s">
        <v>424</v>
      </c>
      <c r="L451" s="9" t="s">
        <v>1015</v>
      </c>
      <c r="M451" s="9"/>
      <c r="N451" s="9" t="str">
        <f ca="1">IFERROR(__xludf.DUMMYFUNCTION("IFERROR(VALUE(REGEXEXTRACT(TO_TEXT($F451), N$1 &amp; ""x(\d+)"")), """")
"),"")</f>
        <v/>
      </c>
      <c r="O451" s="9" t="str">
        <f ca="1">IFERROR(__xludf.DUMMYFUNCTION("IFERROR(VALUE(REGEXEXTRACT(TO_TEXT($F451), O$1 &amp; ""x(\d+)"")), """")"),"")</f>
        <v/>
      </c>
      <c r="P451" s="9" t="str">
        <f ca="1">IFERROR(__xludf.DUMMYFUNCTION("IFERROR(VALUE(REGEXEXTRACT(TO_TEXT($F451), P$1 &amp; ""x(\d+)"")), """")"),"")</f>
        <v/>
      </c>
      <c r="Q451" s="9">
        <f ca="1">IFERROR(__xludf.DUMMYFUNCTION("IFERROR(VALUE(REGEXEXTRACT(TO_TEXT($F451), Q$1 &amp; ""x(\d+)"")), """")"),1)</f>
        <v>1</v>
      </c>
      <c r="R451" s="9" t="str">
        <f ca="1">IFERROR(__xludf.DUMMYFUNCTION("IFERROR(VALUE(REGEXEXTRACT(TO_TEXT($F451), R$1 &amp; ""x(\d+)"")), """")"),"")</f>
        <v/>
      </c>
      <c r="S451" s="9" t="str">
        <f ca="1">IFERROR(__xludf.DUMMYFUNCTION("IFERROR(VALUE(REGEXEXTRACT(TO_TEXT($F451), S$1 &amp; ""x(\d+)"")), """")"),"")</f>
        <v/>
      </c>
      <c r="T451" s="9" t="str">
        <f ca="1">IFERROR(__xludf.DUMMYFUNCTION("IFERROR(VALUE(REGEXEXTRACT(TO_TEXT($F451), T$1 &amp; ""x(\d+)"")), """")"),"")</f>
        <v/>
      </c>
      <c r="U451" s="9" t="str">
        <f ca="1">IFERROR(__xludf.DUMMYFUNCTION("IFERROR(VALUE(REGEXEXTRACT(TO_TEXT($F451), U$1 &amp; ""x(\d+)"")), """")"),"")</f>
        <v/>
      </c>
      <c r="V451" s="9" t="str">
        <f ca="1">IFERROR(__xludf.DUMMYFUNCTION("IFERROR(VALUE(REGEXEXTRACT(TO_TEXT($F451), V$1 &amp; ""x(\d+)"")), """")"),"")</f>
        <v/>
      </c>
      <c r="W451" s="9"/>
      <c r="X451" s="9"/>
      <c r="Y451" s="9"/>
      <c r="Z451" s="9"/>
    </row>
    <row r="452" spans="1:26" ht="15.75" hidden="1" customHeight="1">
      <c r="A452" s="9" t="s">
        <v>292</v>
      </c>
      <c r="B452" s="9" t="s">
        <v>1542</v>
      </c>
      <c r="C452" s="9" t="s">
        <v>293</v>
      </c>
      <c r="D452" s="9" t="s">
        <v>74</v>
      </c>
      <c r="E452" s="9" t="s">
        <v>13</v>
      </c>
      <c r="F452" s="9" t="s">
        <v>1541</v>
      </c>
      <c r="G452" s="9">
        <v>40</v>
      </c>
      <c r="H452" s="9">
        <v>3</v>
      </c>
      <c r="I452" s="9">
        <v>1.0149999999999999</v>
      </c>
      <c r="J452" s="9">
        <v>104</v>
      </c>
      <c r="K452" s="9" t="s">
        <v>424</v>
      </c>
      <c r="L452" s="9"/>
      <c r="M452" s="9"/>
      <c r="N452" s="9" t="str">
        <f ca="1">IFERROR(__xludf.DUMMYFUNCTION("IFERROR(VALUE(REGEXEXTRACT(TO_TEXT($F452), N$1 &amp; ""x(\d+)"")), """")
"),"")</f>
        <v/>
      </c>
      <c r="O452" s="9" t="str">
        <f ca="1">IFERROR(__xludf.DUMMYFUNCTION("IFERROR(VALUE(REGEXEXTRACT(TO_TEXT($F452), O$1 &amp; ""x(\d+)"")), """")"),"")</f>
        <v/>
      </c>
      <c r="P452" s="9" t="str">
        <f ca="1">IFERROR(__xludf.DUMMYFUNCTION("IFERROR(VALUE(REGEXEXTRACT(TO_TEXT($F452), P$1 &amp; ""x(\d+)"")), """")"),"")</f>
        <v/>
      </c>
      <c r="Q452" s="9">
        <f ca="1">IFERROR(__xludf.DUMMYFUNCTION("IFERROR(VALUE(REGEXEXTRACT(TO_TEXT($F452), Q$1 &amp; ""x(\d+)"")), """")"),1)</f>
        <v>1</v>
      </c>
      <c r="R452" s="9" t="str">
        <f ca="1">IFERROR(__xludf.DUMMYFUNCTION("IFERROR(VALUE(REGEXEXTRACT(TO_TEXT($F452), R$1 &amp; ""x(\d+)"")), """")"),"")</f>
        <v/>
      </c>
      <c r="S452" s="9" t="str">
        <f ca="1">IFERROR(__xludf.DUMMYFUNCTION("IFERROR(VALUE(REGEXEXTRACT(TO_TEXT($F452), S$1 &amp; ""x(\d+)"")), """")"),"")</f>
        <v/>
      </c>
      <c r="T452" s="9" t="str">
        <f ca="1">IFERROR(__xludf.DUMMYFUNCTION("IFERROR(VALUE(REGEXEXTRACT(TO_TEXT($F452), T$1 &amp; ""x(\d+)"")), """")"),"")</f>
        <v/>
      </c>
      <c r="U452" s="9" t="str">
        <f ca="1">IFERROR(__xludf.DUMMYFUNCTION("IFERROR(VALUE(REGEXEXTRACT(TO_TEXT($F452), U$1 &amp; ""x(\d+)"")), """")"),"")</f>
        <v/>
      </c>
      <c r="V452" s="9" t="str">
        <f ca="1">IFERROR(__xludf.DUMMYFUNCTION("IFERROR(VALUE(REGEXEXTRACT(TO_TEXT($F452), V$1 &amp; ""x(\d+)"")), """")"),"")</f>
        <v/>
      </c>
      <c r="W452" s="9"/>
      <c r="X452" s="9"/>
      <c r="Y452" s="9"/>
      <c r="Z452" s="9"/>
    </row>
    <row r="453" spans="1:26" ht="15.75" hidden="1" customHeight="1">
      <c r="A453" s="9" t="s">
        <v>250</v>
      </c>
      <c r="B453" s="9" t="s">
        <v>1543</v>
      </c>
      <c r="C453" s="9" t="s">
        <v>251</v>
      </c>
      <c r="D453" s="9" t="s">
        <v>40</v>
      </c>
      <c r="E453" s="9" t="s">
        <v>11</v>
      </c>
      <c r="F453" s="9" t="s">
        <v>1544</v>
      </c>
      <c r="G453" s="9">
        <v>70</v>
      </c>
      <c r="H453" s="9">
        <v>6</v>
      </c>
      <c r="I453" s="9">
        <v>1.0149999999999999</v>
      </c>
      <c r="J453" s="9">
        <v>400</v>
      </c>
      <c r="K453" s="9" t="s">
        <v>442</v>
      </c>
      <c r="L453" s="9"/>
      <c r="M453" s="9"/>
      <c r="N453" s="9" t="str">
        <f ca="1">IFERROR(__xludf.DUMMYFUNCTION("IFERROR(VALUE(REGEXEXTRACT(TO_TEXT($F453), N$1 &amp; ""x(\d+)"")), """")
"),"")</f>
        <v/>
      </c>
      <c r="O453" s="9" t="str">
        <f ca="1">IFERROR(__xludf.DUMMYFUNCTION("IFERROR(VALUE(REGEXEXTRACT(TO_TEXT($F453), O$1 &amp; ""x(\d+)"")), """")"),"")</f>
        <v/>
      </c>
      <c r="P453" s="9" t="str">
        <f ca="1">IFERROR(__xludf.DUMMYFUNCTION("IFERROR(VALUE(REGEXEXTRACT(TO_TEXT($F453), P$1 &amp; ""x(\d+)"")), """")"),"")</f>
        <v/>
      </c>
      <c r="Q453" s="9" t="str">
        <f ca="1">IFERROR(__xludf.DUMMYFUNCTION("IFERROR(VALUE(REGEXEXTRACT(TO_TEXT($F453), Q$1 &amp; ""x(\d+)"")), """")"),"")</f>
        <v/>
      </c>
      <c r="R453" s="9" t="str">
        <f ca="1">IFERROR(__xludf.DUMMYFUNCTION("IFERROR(VALUE(REGEXEXTRACT(TO_TEXT($F453), R$1 &amp; ""x(\d+)"")), """")"),"")</f>
        <v/>
      </c>
      <c r="S453" s="9" t="str">
        <f ca="1">IFERROR(__xludf.DUMMYFUNCTION("IFERROR(VALUE(REGEXEXTRACT(TO_TEXT($F453), S$1 &amp; ""x(\d+)"")), """")"),"")</f>
        <v/>
      </c>
      <c r="T453" s="9" t="str">
        <f ca="1">IFERROR(__xludf.DUMMYFUNCTION("IFERROR(VALUE(REGEXEXTRACT(TO_TEXT($F453), T$1 &amp; ""x(\d+)"")), """")"),"")</f>
        <v/>
      </c>
      <c r="U453" s="9" t="str">
        <f ca="1">IFERROR(__xludf.DUMMYFUNCTION("IFERROR(VALUE(REGEXEXTRACT(TO_TEXT($F453), U$1 &amp; ""x(\d+)"")), """")"),"")</f>
        <v/>
      </c>
      <c r="V453" s="9" t="str">
        <f ca="1">IFERROR(__xludf.DUMMYFUNCTION("IFERROR(VALUE(REGEXEXTRACT(TO_TEXT($F453), V$1 &amp; ""x(\d+)"")), """")"),"")</f>
        <v/>
      </c>
      <c r="W453" s="9"/>
      <c r="X453" s="9"/>
      <c r="Y453" s="9"/>
      <c r="Z453" s="9"/>
    </row>
    <row r="454" spans="1:26" ht="15.75" hidden="1" customHeight="1">
      <c r="A454" s="9" t="s">
        <v>250</v>
      </c>
      <c r="B454" s="9" t="s">
        <v>1543</v>
      </c>
      <c r="C454" s="9" t="s">
        <v>251</v>
      </c>
      <c r="D454" s="9" t="s">
        <v>40</v>
      </c>
      <c r="E454" s="9" t="s">
        <v>12</v>
      </c>
      <c r="F454" s="9" t="s">
        <v>1545</v>
      </c>
      <c r="G454" s="9">
        <v>70</v>
      </c>
      <c r="H454" s="9">
        <v>6</v>
      </c>
      <c r="I454" s="9">
        <v>1.0149999999999999</v>
      </c>
      <c r="J454" s="9">
        <v>400</v>
      </c>
      <c r="K454" s="9" t="s">
        <v>442</v>
      </c>
      <c r="L454" s="9" t="s">
        <v>1015</v>
      </c>
      <c r="M454" s="9"/>
      <c r="N454" s="9" t="str">
        <f ca="1">IFERROR(__xludf.DUMMYFUNCTION("IFERROR(VALUE(REGEXEXTRACT(TO_TEXT($F454), N$1 &amp; ""x(\d+)"")), """")
"),"")</f>
        <v/>
      </c>
      <c r="O454" s="9" t="str">
        <f ca="1">IFERROR(__xludf.DUMMYFUNCTION("IFERROR(VALUE(REGEXEXTRACT(TO_TEXT($F454), O$1 &amp; ""x(\d+)"")), """")"),"")</f>
        <v/>
      </c>
      <c r="P454" s="9" t="str">
        <f ca="1">IFERROR(__xludf.DUMMYFUNCTION("IFERROR(VALUE(REGEXEXTRACT(TO_TEXT($F454), P$1 &amp; ""x(\d+)"")), """")"),"")</f>
        <v/>
      </c>
      <c r="Q454" s="9" t="str">
        <f ca="1">IFERROR(__xludf.DUMMYFUNCTION("IFERROR(VALUE(REGEXEXTRACT(TO_TEXT($F454), Q$1 &amp; ""x(\d+)"")), """")"),"")</f>
        <v/>
      </c>
      <c r="R454" s="9" t="str">
        <f ca="1">IFERROR(__xludf.DUMMYFUNCTION("IFERROR(VALUE(REGEXEXTRACT(TO_TEXT($F454), R$1 &amp; ""x(\d+)"")), """")"),"")</f>
        <v/>
      </c>
      <c r="S454" s="9">
        <f ca="1">IFERROR(__xludf.DUMMYFUNCTION("IFERROR(VALUE(REGEXEXTRACT(TO_TEXT($F454), S$1 &amp; ""x(\d+)"")), """")"),1)</f>
        <v>1</v>
      </c>
      <c r="T454" s="9" t="str">
        <f ca="1">IFERROR(__xludf.DUMMYFUNCTION("IFERROR(VALUE(REGEXEXTRACT(TO_TEXT($F454), T$1 &amp; ""x(\d+)"")), """")"),"")</f>
        <v/>
      </c>
      <c r="U454" s="9" t="str">
        <f ca="1">IFERROR(__xludf.DUMMYFUNCTION("IFERROR(VALUE(REGEXEXTRACT(TO_TEXT($F454), U$1 &amp; ""x(\d+)"")), """")"),"")</f>
        <v/>
      </c>
      <c r="V454" s="9" t="str">
        <f ca="1">IFERROR(__xludf.DUMMYFUNCTION("IFERROR(VALUE(REGEXEXTRACT(TO_TEXT($F454), V$1 &amp; ""x(\d+)"")), """")"),"")</f>
        <v/>
      </c>
      <c r="W454" s="9"/>
      <c r="X454" s="9"/>
      <c r="Y454" s="9"/>
      <c r="Z454" s="9"/>
    </row>
    <row r="455" spans="1:26" ht="15.75" hidden="1" customHeight="1">
      <c r="A455" s="9" t="s">
        <v>250</v>
      </c>
      <c r="B455" s="9" t="s">
        <v>1543</v>
      </c>
      <c r="C455" s="9" t="s">
        <v>251</v>
      </c>
      <c r="D455" s="9" t="s">
        <v>40</v>
      </c>
      <c r="E455" s="9" t="s">
        <v>13</v>
      </c>
      <c r="F455" s="9" t="s">
        <v>1546</v>
      </c>
      <c r="G455" s="9">
        <v>30</v>
      </c>
      <c r="H455" s="9">
        <v>6</v>
      </c>
      <c r="I455" s="9">
        <v>1.0149999999999999</v>
      </c>
      <c r="J455" s="9">
        <v>400</v>
      </c>
      <c r="K455" s="9" t="s">
        <v>442</v>
      </c>
      <c r="L455" s="9"/>
      <c r="M455" s="9"/>
      <c r="N455" s="9" t="str">
        <f ca="1">IFERROR(__xludf.DUMMYFUNCTION("IFERROR(VALUE(REGEXEXTRACT(TO_TEXT($F455), N$1 &amp; ""x(\d+)"")), """")
"),"")</f>
        <v/>
      </c>
      <c r="O455" s="9" t="str">
        <f ca="1">IFERROR(__xludf.DUMMYFUNCTION("IFERROR(VALUE(REGEXEXTRACT(TO_TEXT($F455), O$1 &amp; ""x(\d+)"")), """")"),"")</f>
        <v/>
      </c>
      <c r="P455" s="9" t="str">
        <f ca="1">IFERROR(__xludf.DUMMYFUNCTION("IFERROR(VALUE(REGEXEXTRACT(TO_TEXT($F455), P$1 &amp; ""x(\d+)"")), """")"),"")</f>
        <v/>
      </c>
      <c r="Q455" s="9" t="str">
        <f ca="1">IFERROR(__xludf.DUMMYFUNCTION("IFERROR(VALUE(REGEXEXTRACT(TO_TEXT($F455), Q$1 &amp; ""x(\d+)"")), """")"),"")</f>
        <v/>
      </c>
      <c r="R455" s="9" t="str">
        <f ca="1">IFERROR(__xludf.DUMMYFUNCTION("IFERROR(VALUE(REGEXEXTRACT(TO_TEXT($F455), R$1 &amp; ""x(\d+)"")), """")"),"")</f>
        <v/>
      </c>
      <c r="S455" s="9">
        <f ca="1">IFERROR(__xludf.DUMMYFUNCTION("IFERROR(VALUE(REGEXEXTRACT(TO_TEXT($F455), S$1 &amp; ""x(\d+)"")), """")"),1)</f>
        <v>1</v>
      </c>
      <c r="T455" s="9" t="str">
        <f ca="1">IFERROR(__xludf.DUMMYFUNCTION("IFERROR(VALUE(REGEXEXTRACT(TO_TEXT($F455), T$1 &amp; ""x(\d+)"")), """")"),"")</f>
        <v/>
      </c>
      <c r="U455" s="9" t="str">
        <f ca="1">IFERROR(__xludf.DUMMYFUNCTION("IFERROR(VALUE(REGEXEXTRACT(TO_TEXT($F455), U$1 &amp; ""x(\d+)"")), """")"),"")</f>
        <v/>
      </c>
      <c r="V455" s="9" t="str">
        <f ca="1">IFERROR(__xludf.DUMMYFUNCTION("IFERROR(VALUE(REGEXEXTRACT(TO_TEXT($F455), V$1 &amp; ""x(\d+)"")), """")"),"")</f>
        <v/>
      </c>
      <c r="W455" s="9"/>
      <c r="X455" s="9"/>
      <c r="Y455" s="9"/>
      <c r="Z455" s="9"/>
    </row>
    <row r="456" spans="1:26" ht="15.75" hidden="1" customHeight="1">
      <c r="A456" s="9" t="s">
        <v>250</v>
      </c>
      <c r="B456" s="9" t="s">
        <v>1543</v>
      </c>
      <c r="C456" s="9" t="s">
        <v>251</v>
      </c>
      <c r="D456" s="9" t="s">
        <v>48</v>
      </c>
      <c r="E456" s="9" t="s">
        <v>12</v>
      </c>
      <c r="F456" s="9" t="s">
        <v>1547</v>
      </c>
      <c r="G456" s="9">
        <v>80</v>
      </c>
      <c r="H456" s="9">
        <v>6</v>
      </c>
      <c r="I456" s="9">
        <v>1.0149999999999999</v>
      </c>
      <c r="J456" s="9">
        <v>42.5</v>
      </c>
      <c r="K456" s="9" t="s">
        <v>424</v>
      </c>
      <c r="L456" s="9" t="s">
        <v>1035</v>
      </c>
      <c r="M456" s="9"/>
      <c r="N456" s="9" t="str">
        <f ca="1">IFERROR(__xludf.DUMMYFUNCTION("IFERROR(VALUE(REGEXEXTRACT(TO_TEXT($F456), N$1 &amp; ""x(\d+)"")), """")
"),"")</f>
        <v/>
      </c>
      <c r="O456" s="9">
        <f ca="1">IFERROR(__xludf.DUMMYFUNCTION("IFERROR(VALUE(REGEXEXTRACT(TO_TEXT($F456), O$1 &amp; ""x(\d+)"")), """")"),1)</f>
        <v>1</v>
      </c>
      <c r="P456" s="9">
        <f ca="1">IFERROR(__xludf.DUMMYFUNCTION("IFERROR(VALUE(REGEXEXTRACT(TO_TEXT($F456), P$1 &amp; ""x(\d+)"")), """")"),1)</f>
        <v>1</v>
      </c>
      <c r="Q456" s="9" t="str">
        <f ca="1">IFERROR(__xludf.DUMMYFUNCTION("IFERROR(VALUE(REGEXEXTRACT(TO_TEXT($F456), Q$1 &amp; ""x(\d+)"")), """")"),"")</f>
        <v/>
      </c>
      <c r="R456" s="9" t="str">
        <f ca="1">IFERROR(__xludf.DUMMYFUNCTION("IFERROR(VALUE(REGEXEXTRACT(TO_TEXT($F456), R$1 &amp; ""x(\d+)"")), """")"),"")</f>
        <v/>
      </c>
      <c r="S456" s="9" t="str">
        <f ca="1">IFERROR(__xludf.DUMMYFUNCTION("IFERROR(VALUE(REGEXEXTRACT(TO_TEXT($F456), S$1 &amp; ""x(\d+)"")), """")"),"")</f>
        <v/>
      </c>
      <c r="T456" s="9" t="str">
        <f ca="1">IFERROR(__xludf.DUMMYFUNCTION("IFERROR(VALUE(REGEXEXTRACT(TO_TEXT($F456), T$1 &amp; ""x(\d+)"")), """")"),"")</f>
        <v/>
      </c>
      <c r="U456" s="9" t="str">
        <f ca="1">IFERROR(__xludf.DUMMYFUNCTION("IFERROR(VALUE(REGEXEXTRACT(TO_TEXT($F456), U$1 &amp; ""x(\d+)"")), """")"),"")</f>
        <v/>
      </c>
      <c r="V456" s="9" t="str">
        <f ca="1">IFERROR(__xludf.DUMMYFUNCTION("IFERROR(VALUE(REGEXEXTRACT(TO_TEXT($F456), V$1 &amp; ""x(\d+)"")), """")"),"")</f>
        <v/>
      </c>
      <c r="W456" s="9"/>
      <c r="X456" s="9"/>
      <c r="Y456" s="9"/>
      <c r="Z456" s="9"/>
    </row>
    <row r="457" spans="1:26" ht="15.75" hidden="1" customHeight="1">
      <c r="A457" s="9" t="s">
        <v>250</v>
      </c>
      <c r="B457" s="9" t="s">
        <v>1543</v>
      </c>
      <c r="C457" s="9" t="s">
        <v>251</v>
      </c>
      <c r="D457" s="9" t="s">
        <v>48</v>
      </c>
      <c r="E457" s="9" t="s">
        <v>13</v>
      </c>
      <c r="F457" s="9" t="s">
        <v>1548</v>
      </c>
      <c r="G457" s="9">
        <v>30</v>
      </c>
      <c r="H457" s="9">
        <v>6</v>
      </c>
      <c r="I457" s="9">
        <v>1.0149999999999999</v>
      </c>
      <c r="J457" s="9">
        <v>42.5</v>
      </c>
      <c r="K457" s="9" t="s">
        <v>424</v>
      </c>
      <c r="L457" s="9"/>
      <c r="M457" s="9"/>
      <c r="N457" s="9" t="str">
        <f ca="1">IFERROR(__xludf.DUMMYFUNCTION("IFERROR(VALUE(REGEXEXTRACT(TO_TEXT($F457), N$1 &amp; ""x(\d+)"")), """")
"),"")</f>
        <v/>
      </c>
      <c r="O457" s="9">
        <f ca="1">IFERROR(__xludf.DUMMYFUNCTION("IFERROR(VALUE(REGEXEXTRACT(TO_TEXT($F457), O$1 &amp; ""x(\d+)"")), """")"),1)</f>
        <v>1</v>
      </c>
      <c r="P457" s="9">
        <f ca="1">IFERROR(__xludf.DUMMYFUNCTION("IFERROR(VALUE(REGEXEXTRACT(TO_TEXT($F457), P$1 &amp; ""x(\d+)"")), """")"),1)</f>
        <v>1</v>
      </c>
      <c r="Q457" s="9" t="str">
        <f ca="1">IFERROR(__xludf.DUMMYFUNCTION("IFERROR(VALUE(REGEXEXTRACT(TO_TEXT($F457), Q$1 &amp; ""x(\d+)"")), """")"),"")</f>
        <v/>
      </c>
      <c r="R457" s="9" t="str">
        <f ca="1">IFERROR(__xludf.DUMMYFUNCTION("IFERROR(VALUE(REGEXEXTRACT(TO_TEXT($F457), R$1 &amp; ""x(\d+)"")), """")"),"")</f>
        <v/>
      </c>
      <c r="S457" s="9" t="str">
        <f ca="1">IFERROR(__xludf.DUMMYFUNCTION("IFERROR(VALUE(REGEXEXTRACT(TO_TEXT($F457), S$1 &amp; ""x(\d+)"")), """")"),"")</f>
        <v/>
      </c>
      <c r="T457" s="9" t="str">
        <f ca="1">IFERROR(__xludf.DUMMYFUNCTION("IFERROR(VALUE(REGEXEXTRACT(TO_TEXT($F457), T$1 &amp; ""x(\d+)"")), """")"),"")</f>
        <v/>
      </c>
      <c r="U457" s="9" t="str">
        <f ca="1">IFERROR(__xludf.DUMMYFUNCTION("IFERROR(VALUE(REGEXEXTRACT(TO_TEXT($F457), U$1 &amp; ""x(\d+)"")), """")"),"")</f>
        <v/>
      </c>
      <c r="V457" s="9" t="str">
        <f ca="1">IFERROR(__xludf.DUMMYFUNCTION("IFERROR(VALUE(REGEXEXTRACT(TO_TEXT($F457), V$1 &amp; ""x(\d+)"")), """")"),"")</f>
        <v/>
      </c>
      <c r="W457" s="9"/>
      <c r="X457" s="9"/>
      <c r="Y457" s="9"/>
      <c r="Z457" s="9"/>
    </row>
    <row r="458" spans="1:26" ht="15.75" hidden="1" customHeight="1">
      <c r="A458" s="9" t="s">
        <v>38</v>
      </c>
      <c r="B458" s="9" t="s">
        <v>1543</v>
      </c>
      <c r="C458" s="9" t="s">
        <v>39</v>
      </c>
      <c r="D458" s="9" t="s">
        <v>40</v>
      </c>
      <c r="E458" s="9" t="s">
        <v>11</v>
      </c>
      <c r="F458" s="9" t="s">
        <v>1544</v>
      </c>
      <c r="G458" s="9">
        <v>70</v>
      </c>
      <c r="H458" s="9">
        <v>6</v>
      </c>
      <c r="I458" s="9">
        <v>1.0149999999999999</v>
      </c>
      <c r="J458" s="9">
        <v>400</v>
      </c>
      <c r="K458" s="9" t="s">
        <v>442</v>
      </c>
      <c r="L458" s="9"/>
      <c r="M458" s="9"/>
      <c r="N458" s="9" t="str">
        <f ca="1">IFERROR(__xludf.DUMMYFUNCTION("IFERROR(VALUE(REGEXEXTRACT(TO_TEXT($F458), N$1 &amp; ""x(\d+)"")), """")
"),"")</f>
        <v/>
      </c>
      <c r="O458" s="9" t="str">
        <f ca="1">IFERROR(__xludf.DUMMYFUNCTION("IFERROR(VALUE(REGEXEXTRACT(TO_TEXT($F458), O$1 &amp; ""x(\d+)"")), """")"),"")</f>
        <v/>
      </c>
      <c r="P458" s="9" t="str">
        <f ca="1">IFERROR(__xludf.DUMMYFUNCTION("IFERROR(VALUE(REGEXEXTRACT(TO_TEXT($F458), P$1 &amp; ""x(\d+)"")), """")"),"")</f>
        <v/>
      </c>
      <c r="Q458" s="9" t="str">
        <f ca="1">IFERROR(__xludf.DUMMYFUNCTION("IFERROR(VALUE(REGEXEXTRACT(TO_TEXT($F458), Q$1 &amp; ""x(\d+)"")), """")"),"")</f>
        <v/>
      </c>
      <c r="R458" s="9" t="str">
        <f ca="1">IFERROR(__xludf.DUMMYFUNCTION("IFERROR(VALUE(REGEXEXTRACT(TO_TEXT($F458), R$1 &amp; ""x(\d+)"")), """")"),"")</f>
        <v/>
      </c>
      <c r="S458" s="9" t="str">
        <f ca="1">IFERROR(__xludf.DUMMYFUNCTION("IFERROR(VALUE(REGEXEXTRACT(TO_TEXT($F458), S$1 &amp; ""x(\d+)"")), """")"),"")</f>
        <v/>
      </c>
      <c r="T458" s="9" t="str">
        <f ca="1">IFERROR(__xludf.DUMMYFUNCTION("IFERROR(VALUE(REGEXEXTRACT(TO_TEXT($F458), T$1 &amp; ""x(\d+)"")), """")"),"")</f>
        <v/>
      </c>
      <c r="U458" s="9" t="str">
        <f ca="1">IFERROR(__xludf.DUMMYFUNCTION("IFERROR(VALUE(REGEXEXTRACT(TO_TEXT($F458), U$1 &amp; ""x(\d+)"")), """")"),"")</f>
        <v/>
      </c>
      <c r="V458" s="9" t="str">
        <f ca="1">IFERROR(__xludf.DUMMYFUNCTION("IFERROR(VALUE(REGEXEXTRACT(TO_TEXT($F458), V$1 &amp; ""x(\d+)"")), """")"),"")</f>
        <v/>
      </c>
      <c r="W458" s="9"/>
      <c r="X458" s="9"/>
      <c r="Y458" s="9"/>
      <c r="Z458" s="9"/>
    </row>
    <row r="459" spans="1:26" ht="15.75" hidden="1" customHeight="1">
      <c r="A459" s="9" t="s">
        <v>38</v>
      </c>
      <c r="B459" s="9" t="s">
        <v>1543</v>
      </c>
      <c r="C459" s="9" t="s">
        <v>39</v>
      </c>
      <c r="D459" s="9" t="s">
        <v>40</v>
      </c>
      <c r="E459" s="9" t="s">
        <v>12</v>
      </c>
      <c r="F459" s="9" t="s">
        <v>1545</v>
      </c>
      <c r="G459" s="9">
        <v>70</v>
      </c>
      <c r="H459" s="9">
        <v>6</v>
      </c>
      <c r="I459" s="9">
        <v>1.0149999999999999</v>
      </c>
      <c r="J459" s="9">
        <v>400</v>
      </c>
      <c r="K459" s="9" t="s">
        <v>442</v>
      </c>
      <c r="L459" s="9" t="s">
        <v>1015</v>
      </c>
      <c r="M459" s="9"/>
      <c r="N459" s="9" t="str">
        <f ca="1">IFERROR(__xludf.DUMMYFUNCTION("IFERROR(VALUE(REGEXEXTRACT(TO_TEXT($F459), N$1 &amp; ""x(\d+)"")), """")
"),"")</f>
        <v/>
      </c>
      <c r="O459" s="9" t="str">
        <f ca="1">IFERROR(__xludf.DUMMYFUNCTION("IFERROR(VALUE(REGEXEXTRACT(TO_TEXT($F459), O$1 &amp; ""x(\d+)"")), """")"),"")</f>
        <v/>
      </c>
      <c r="P459" s="9" t="str">
        <f ca="1">IFERROR(__xludf.DUMMYFUNCTION("IFERROR(VALUE(REGEXEXTRACT(TO_TEXT($F459), P$1 &amp; ""x(\d+)"")), """")"),"")</f>
        <v/>
      </c>
      <c r="Q459" s="9" t="str">
        <f ca="1">IFERROR(__xludf.DUMMYFUNCTION("IFERROR(VALUE(REGEXEXTRACT(TO_TEXT($F459), Q$1 &amp; ""x(\d+)"")), """")"),"")</f>
        <v/>
      </c>
      <c r="R459" s="9" t="str">
        <f ca="1">IFERROR(__xludf.DUMMYFUNCTION("IFERROR(VALUE(REGEXEXTRACT(TO_TEXT($F459), R$1 &amp; ""x(\d+)"")), """")"),"")</f>
        <v/>
      </c>
      <c r="S459" s="9">
        <f ca="1">IFERROR(__xludf.DUMMYFUNCTION("IFERROR(VALUE(REGEXEXTRACT(TO_TEXT($F459), S$1 &amp; ""x(\d+)"")), """")"),1)</f>
        <v>1</v>
      </c>
      <c r="T459" s="9" t="str">
        <f ca="1">IFERROR(__xludf.DUMMYFUNCTION("IFERROR(VALUE(REGEXEXTRACT(TO_TEXT($F459), T$1 &amp; ""x(\d+)"")), """")"),"")</f>
        <v/>
      </c>
      <c r="U459" s="9" t="str">
        <f ca="1">IFERROR(__xludf.DUMMYFUNCTION("IFERROR(VALUE(REGEXEXTRACT(TO_TEXT($F459), U$1 &amp; ""x(\d+)"")), """")"),"")</f>
        <v/>
      </c>
      <c r="V459" s="9" t="str">
        <f ca="1">IFERROR(__xludf.DUMMYFUNCTION("IFERROR(VALUE(REGEXEXTRACT(TO_TEXT($F459), V$1 &amp; ""x(\d+)"")), """")"),"")</f>
        <v/>
      </c>
      <c r="W459" s="9"/>
      <c r="X459" s="9"/>
      <c r="Y459" s="9"/>
      <c r="Z459" s="9"/>
    </row>
    <row r="460" spans="1:26" ht="15.75" hidden="1" customHeight="1">
      <c r="A460" s="9" t="s">
        <v>38</v>
      </c>
      <c r="B460" s="9" t="s">
        <v>1543</v>
      </c>
      <c r="C460" s="9" t="s">
        <v>39</v>
      </c>
      <c r="D460" s="9" t="s">
        <v>40</v>
      </c>
      <c r="E460" s="9" t="s">
        <v>13</v>
      </c>
      <c r="F460" s="9" t="s">
        <v>1546</v>
      </c>
      <c r="G460" s="9">
        <v>30</v>
      </c>
      <c r="H460" s="9">
        <v>6</v>
      </c>
      <c r="I460" s="9">
        <v>1.0149999999999999</v>
      </c>
      <c r="J460" s="9">
        <v>400</v>
      </c>
      <c r="K460" s="9" t="s">
        <v>442</v>
      </c>
      <c r="L460" s="9"/>
      <c r="M460" s="9"/>
      <c r="N460" s="9" t="str">
        <f ca="1">IFERROR(__xludf.DUMMYFUNCTION("IFERROR(VALUE(REGEXEXTRACT(TO_TEXT($F460), N$1 &amp; ""x(\d+)"")), """")
"),"")</f>
        <v/>
      </c>
      <c r="O460" s="9" t="str">
        <f ca="1">IFERROR(__xludf.DUMMYFUNCTION("IFERROR(VALUE(REGEXEXTRACT(TO_TEXT($F460), O$1 &amp; ""x(\d+)"")), """")"),"")</f>
        <v/>
      </c>
      <c r="P460" s="9" t="str">
        <f ca="1">IFERROR(__xludf.DUMMYFUNCTION("IFERROR(VALUE(REGEXEXTRACT(TO_TEXT($F460), P$1 &amp; ""x(\d+)"")), """")"),"")</f>
        <v/>
      </c>
      <c r="Q460" s="9" t="str">
        <f ca="1">IFERROR(__xludf.DUMMYFUNCTION("IFERROR(VALUE(REGEXEXTRACT(TO_TEXT($F460), Q$1 &amp; ""x(\d+)"")), """")"),"")</f>
        <v/>
      </c>
      <c r="R460" s="9" t="str">
        <f ca="1">IFERROR(__xludf.DUMMYFUNCTION("IFERROR(VALUE(REGEXEXTRACT(TO_TEXT($F460), R$1 &amp; ""x(\d+)"")), """")"),"")</f>
        <v/>
      </c>
      <c r="S460" s="9">
        <f ca="1">IFERROR(__xludf.DUMMYFUNCTION("IFERROR(VALUE(REGEXEXTRACT(TO_TEXT($F460), S$1 &amp; ""x(\d+)"")), """")"),1)</f>
        <v>1</v>
      </c>
      <c r="T460" s="9" t="str">
        <f ca="1">IFERROR(__xludf.DUMMYFUNCTION("IFERROR(VALUE(REGEXEXTRACT(TO_TEXT($F460), T$1 &amp; ""x(\d+)"")), """")"),"")</f>
        <v/>
      </c>
      <c r="U460" s="9" t="str">
        <f ca="1">IFERROR(__xludf.DUMMYFUNCTION("IFERROR(VALUE(REGEXEXTRACT(TO_TEXT($F460), U$1 &amp; ""x(\d+)"")), """")"),"")</f>
        <v/>
      </c>
      <c r="V460" s="9" t="str">
        <f ca="1">IFERROR(__xludf.DUMMYFUNCTION("IFERROR(VALUE(REGEXEXTRACT(TO_TEXT($F460), V$1 &amp; ""x(\d+)"")), """")"),"")</f>
        <v/>
      </c>
      <c r="W460" s="9"/>
      <c r="X460" s="9"/>
      <c r="Y460" s="9"/>
      <c r="Z460" s="9"/>
    </row>
    <row r="461" spans="1:26" ht="15.75" hidden="1" customHeight="1">
      <c r="A461" s="9" t="s">
        <v>38</v>
      </c>
      <c r="B461" s="9" t="s">
        <v>1543</v>
      </c>
      <c r="C461" s="9" t="s">
        <v>39</v>
      </c>
      <c r="D461" s="9" t="s">
        <v>48</v>
      </c>
      <c r="E461" s="9" t="s">
        <v>12</v>
      </c>
      <c r="F461" s="9" t="s">
        <v>1547</v>
      </c>
      <c r="G461" s="9">
        <v>80</v>
      </c>
      <c r="H461" s="9">
        <v>6</v>
      </c>
      <c r="I461" s="9">
        <v>1.0149999999999999</v>
      </c>
      <c r="J461" s="9">
        <v>42.5</v>
      </c>
      <c r="K461" s="9" t="s">
        <v>424</v>
      </c>
      <c r="L461" s="9" t="s">
        <v>1035</v>
      </c>
      <c r="M461" s="9"/>
      <c r="N461" s="9" t="str">
        <f ca="1">IFERROR(__xludf.DUMMYFUNCTION("IFERROR(VALUE(REGEXEXTRACT(TO_TEXT($F461), N$1 &amp; ""x(\d+)"")), """")
"),"")</f>
        <v/>
      </c>
      <c r="O461" s="9">
        <f ca="1">IFERROR(__xludf.DUMMYFUNCTION("IFERROR(VALUE(REGEXEXTRACT(TO_TEXT($F461), O$1 &amp; ""x(\d+)"")), """")"),1)</f>
        <v>1</v>
      </c>
      <c r="P461" s="9">
        <f ca="1">IFERROR(__xludf.DUMMYFUNCTION("IFERROR(VALUE(REGEXEXTRACT(TO_TEXT($F461), P$1 &amp; ""x(\d+)"")), """")"),1)</f>
        <v>1</v>
      </c>
      <c r="Q461" s="9" t="str">
        <f ca="1">IFERROR(__xludf.DUMMYFUNCTION("IFERROR(VALUE(REGEXEXTRACT(TO_TEXT($F461), Q$1 &amp; ""x(\d+)"")), """")"),"")</f>
        <v/>
      </c>
      <c r="R461" s="9" t="str">
        <f ca="1">IFERROR(__xludf.DUMMYFUNCTION("IFERROR(VALUE(REGEXEXTRACT(TO_TEXT($F461), R$1 &amp; ""x(\d+)"")), """")"),"")</f>
        <v/>
      </c>
      <c r="S461" s="9" t="str">
        <f ca="1">IFERROR(__xludf.DUMMYFUNCTION("IFERROR(VALUE(REGEXEXTRACT(TO_TEXT($F461), S$1 &amp; ""x(\d+)"")), """")"),"")</f>
        <v/>
      </c>
      <c r="T461" s="9" t="str">
        <f ca="1">IFERROR(__xludf.DUMMYFUNCTION("IFERROR(VALUE(REGEXEXTRACT(TO_TEXT($F461), T$1 &amp; ""x(\d+)"")), """")"),"")</f>
        <v/>
      </c>
      <c r="U461" s="9" t="str">
        <f ca="1">IFERROR(__xludf.DUMMYFUNCTION("IFERROR(VALUE(REGEXEXTRACT(TO_TEXT($F461), U$1 &amp; ""x(\d+)"")), """")"),"")</f>
        <v/>
      </c>
      <c r="V461" s="9" t="str">
        <f ca="1">IFERROR(__xludf.DUMMYFUNCTION("IFERROR(VALUE(REGEXEXTRACT(TO_TEXT($F461), V$1 &amp; ""x(\d+)"")), """")"),"")</f>
        <v/>
      </c>
      <c r="W461" s="9"/>
      <c r="X461" s="9"/>
      <c r="Y461" s="9"/>
      <c r="Z461" s="9"/>
    </row>
    <row r="462" spans="1:26" ht="15.75" hidden="1" customHeight="1">
      <c r="A462" s="9" t="s">
        <v>38</v>
      </c>
      <c r="B462" s="9" t="s">
        <v>1543</v>
      </c>
      <c r="C462" s="9" t="s">
        <v>39</v>
      </c>
      <c r="D462" s="9" t="s">
        <v>48</v>
      </c>
      <c r="E462" s="9" t="s">
        <v>13</v>
      </c>
      <c r="F462" s="9" t="s">
        <v>1548</v>
      </c>
      <c r="G462" s="9">
        <v>30</v>
      </c>
      <c r="H462" s="9">
        <v>6</v>
      </c>
      <c r="I462" s="9">
        <v>1.0149999999999999</v>
      </c>
      <c r="J462" s="9">
        <v>42.5</v>
      </c>
      <c r="K462" s="9" t="s">
        <v>424</v>
      </c>
      <c r="L462" s="9"/>
      <c r="M462" s="9"/>
      <c r="N462" s="9" t="str">
        <f ca="1">IFERROR(__xludf.DUMMYFUNCTION("IFERROR(VALUE(REGEXEXTRACT(TO_TEXT($F462), N$1 &amp; ""x(\d+)"")), """")
"),"")</f>
        <v/>
      </c>
      <c r="O462" s="9">
        <f ca="1">IFERROR(__xludf.DUMMYFUNCTION("IFERROR(VALUE(REGEXEXTRACT(TO_TEXT($F462), O$1 &amp; ""x(\d+)"")), """")"),1)</f>
        <v>1</v>
      </c>
      <c r="P462" s="9">
        <f ca="1">IFERROR(__xludf.DUMMYFUNCTION("IFERROR(VALUE(REGEXEXTRACT(TO_TEXT($F462), P$1 &amp; ""x(\d+)"")), """")"),1)</f>
        <v>1</v>
      </c>
      <c r="Q462" s="9" t="str">
        <f ca="1">IFERROR(__xludf.DUMMYFUNCTION("IFERROR(VALUE(REGEXEXTRACT(TO_TEXT($F462), Q$1 &amp; ""x(\d+)"")), """")"),"")</f>
        <v/>
      </c>
      <c r="R462" s="9" t="str">
        <f ca="1">IFERROR(__xludf.DUMMYFUNCTION("IFERROR(VALUE(REGEXEXTRACT(TO_TEXT($F462), R$1 &amp; ""x(\d+)"")), """")"),"")</f>
        <v/>
      </c>
      <c r="S462" s="9" t="str">
        <f ca="1">IFERROR(__xludf.DUMMYFUNCTION("IFERROR(VALUE(REGEXEXTRACT(TO_TEXT($F462), S$1 &amp; ""x(\d+)"")), """")"),"")</f>
        <v/>
      </c>
      <c r="T462" s="9" t="str">
        <f ca="1">IFERROR(__xludf.DUMMYFUNCTION("IFERROR(VALUE(REGEXEXTRACT(TO_TEXT($F462), T$1 &amp; ""x(\d+)"")), """")"),"")</f>
        <v/>
      </c>
      <c r="U462" s="9" t="str">
        <f ca="1">IFERROR(__xludf.DUMMYFUNCTION("IFERROR(VALUE(REGEXEXTRACT(TO_TEXT($F462), U$1 &amp; ""x(\d+)"")), """")"),"")</f>
        <v/>
      </c>
      <c r="V462" s="9" t="str">
        <f ca="1">IFERROR(__xludf.DUMMYFUNCTION("IFERROR(VALUE(REGEXEXTRACT(TO_TEXT($F462), V$1 &amp; ""x(\d+)"")), """")"),"")</f>
        <v/>
      </c>
      <c r="W462" s="9"/>
      <c r="X462" s="9"/>
      <c r="Y462" s="9"/>
      <c r="Z462" s="9"/>
    </row>
    <row r="463" spans="1:26" ht="15.75" customHeight="1">
      <c r="A463" s="9" t="s">
        <v>1549</v>
      </c>
      <c r="B463" s="9" t="s">
        <v>1550</v>
      </c>
      <c r="C463" s="9" t="s">
        <v>753</v>
      </c>
      <c r="D463" s="9" t="s">
        <v>33</v>
      </c>
      <c r="E463" s="9" t="s">
        <v>11</v>
      </c>
      <c r="F463" s="9" t="s">
        <v>1551</v>
      </c>
      <c r="G463" s="9">
        <v>85</v>
      </c>
      <c r="H463" s="9">
        <v>2</v>
      </c>
      <c r="I463" s="9">
        <v>1.0149999999999999</v>
      </c>
      <c r="J463" s="9">
        <v>86.5</v>
      </c>
      <c r="K463" s="9" t="s">
        <v>442</v>
      </c>
      <c r="L463" s="9"/>
      <c r="M463" s="9"/>
      <c r="N463" s="9" t="str">
        <f ca="1">IFERROR(__xludf.DUMMYFUNCTION("IFERROR(VALUE(REGEXEXTRACT(TO_TEXT($F463), N$1 &amp; ""x(\d+)"")), """")
"),"")</f>
        <v/>
      </c>
      <c r="O463" s="9">
        <f ca="1">IFERROR(__xludf.DUMMYFUNCTION("IFERROR(VALUE(REGEXEXTRACT(TO_TEXT($F463), O$1 &amp; ""x(\d+)"")), """")"),1)</f>
        <v>1</v>
      </c>
      <c r="P463" s="9" t="str">
        <f ca="1">IFERROR(__xludf.DUMMYFUNCTION("IFERROR(VALUE(REGEXEXTRACT(TO_TEXT($F463), P$1 &amp; ""x(\d+)"")), """")"),"")</f>
        <v/>
      </c>
      <c r="Q463" s="9" t="str">
        <f ca="1">IFERROR(__xludf.DUMMYFUNCTION("IFERROR(VALUE(REGEXEXTRACT(TO_TEXT($F463), Q$1 &amp; ""x(\d+)"")), """")"),"")</f>
        <v/>
      </c>
      <c r="R463" s="9" t="str">
        <f ca="1">IFERROR(__xludf.DUMMYFUNCTION("IFERROR(VALUE(REGEXEXTRACT(TO_TEXT($F463), R$1 &amp; ""x(\d+)"")), """")"),"")</f>
        <v/>
      </c>
      <c r="S463" s="9" t="str">
        <f ca="1">IFERROR(__xludf.DUMMYFUNCTION("IFERROR(VALUE(REGEXEXTRACT(TO_TEXT($F463), S$1 &amp; ""x(\d+)"")), """")"),"")</f>
        <v/>
      </c>
      <c r="T463" s="9" t="str">
        <f ca="1">IFERROR(__xludf.DUMMYFUNCTION("IFERROR(VALUE(REGEXEXTRACT(TO_TEXT($F463), T$1 &amp; ""x(\d+)"")), """")"),"")</f>
        <v/>
      </c>
      <c r="U463" s="9" t="str">
        <f ca="1">IFERROR(__xludf.DUMMYFUNCTION("IFERROR(VALUE(REGEXEXTRACT(TO_TEXT($F463), U$1 &amp; ""x(\d+)"")), """")"),"")</f>
        <v/>
      </c>
      <c r="V463" s="9" t="str">
        <f ca="1">IFERROR(__xludf.DUMMYFUNCTION("IFERROR(VALUE(REGEXEXTRACT(TO_TEXT($F463), V$1 &amp; ""x(\d+)"")), """")"),"")</f>
        <v/>
      </c>
      <c r="W463" s="9"/>
      <c r="X463" s="9"/>
      <c r="Y463" s="9"/>
      <c r="Z463" s="9"/>
    </row>
    <row r="464" spans="1:26" ht="15.75" customHeight="1">
      <c r="A464" s="9" t="s">
        <v>1549</v>
      </c>
      <c r="B464" s="9" t="s">
        <v>1550</v>
      </c>
      <c r="C464" s="9" t="s">
        <v>753</v>
      </c>
      <c r="D464" s="9" t="s">
        <v>33</v>
      </c>
      <c r="E464" s="9" t="s">
        <v>12</v>
      </c>
      <c r="F464" s="9" t="s">
        <v>1552</v>
      </c>
      <c r="G464" s="9">
        <v>160</v>
      </c>
      <c r="H464" s="9">
        <v>2</v>
      </c>
      <c r="I464" s="9">
        <v>1.0149999999999999</v>
      </c>
      <c r="J464" s="9">
        <v>86.5</v>
      </c>
      <c r="K464" s="9" t="s">
        <v>442</v>
      </c>
      <c r="L464" s="9"/>
      <c r="M464" s="9"/>
      <c r="N464" s="9" t="str">
        <f ca="1">IFERROR(__xludf.DUMMYFUNCTION("IFERROR(VALUE(REGEXEXTRACT(TO_TEXT($F464), N$1 &amp; ""x(\d+)"")), """")
"),"")</f>
        <v/>
      </c>
      <c r="O464" s="9">
        <f ca="1">IFERROR(__xludf.DUMMYFUNCTION("IFERROR(VALUE(REGEXEXTRACT(TO_TEXT($F464), O$1 &amp; ""x(\d+)"")), """")"),1)</f>
        <v>1</v>
      </c>
      <c r="P464" s="9" t="str">
        <f ca="1">IFERROR(__xludf.DUMMYFUNCTION("IFERROR(VALUE(REGEXEXTRACT(TO_TEXT($F464), P$1 &amp; ""x(\d+)"")), """")"),"")</f>
        <v/>
      </c>
      <c r="Q464" s="9" t="str">
        <f ca="1">IFERROR(__xludf.DUMMYFUNCTION("IFERROR(VALUE(REGEXEXTRACT(TO_TEXT($F464), Q$1 &amp; ""x(\d+)"")), """")"),"")</f>
        <v/>
      </c>
      <c r="R464" s="9" t="str">
        <f ca="1">IFERROR(__xludf.DUMMYFUNCTION("IFERROR(VALUE(REGEXEXTRACT(TO_TEXT($F464), R$1 &amp; ""x(\d+)"")), """")"),"")</f>
        <v/>
      </c>
      <c r="S464" s="9" t="str">
        <f ca="1">IFERROR(__xludf.DUMMYFUNCTION("IFERROR(VALUE(REGEXEXTRACT(TO_TEXT($F464), S$1 &amp; ""x(\d+)"")), """")"),"")</f>
        <v/>
      </c>
      <c r="T464" s="9" t="str">
        <f ca="1">IFERROR(__xludf.DUMMYFUNCTION("IFERROR(VALUE(REGEXEXTRACT(TO_TEXT($F464), T$1 &amp; ""x(\d+)"")), """")"),"")</f>
        <v/>
      </c>
      <c r="U464" s="9" t="str">
        <f ca="1">IFERROR(__xludf.DUMMYFUNCTION("IFERROR(VALUE(REGEXEXTRACT(TO_TEXT($F464), U$1 &amp; ""x(\d+)"")), """")"),"")</f>
        <v/>
      </c>
      <c r="V464" s="9" t="str">
        <f ca="1">IFERROR(__xludf.DUMMYFUNCTION("IFERROR(VALUE(REGEXEXTRACT(TO_TEXT($F464), V$1 &amp; ""x(\d+)"")), """")"),"")</f>
        <v/>
      </c>
      <c r="W464" s="9"/>
      <c r="X464" s="9"/>
      <c r="Y464" s="9"/>
      <c r="Z464" s="9"/>
    </row>
    <row r="465" spans="1:26" ht="15.75" customHeight="1">
      <c r="A465" s="9" t="s">
        <v>1549</v>
      </c>
      <c r="B465" s="9" t="s">
        <v>1550</v>
      </c>
      <c r="C465" s="9" t="s">
        <v>753</v>
      </c>
      <c r="D465" s="9" t="s">
        <v>33</v>
      </c>
      <c r="E465" s="9" t="s">
        <v>13</v>
      </c>
      <c r="F465" s="9" t="s">
        <v>1369</v>
      </c>
      <c r="G465" s="9">
        <v>15</v>
      </c>
      <c r="H465" s="9">
        <v>2</v>
      </c>
      <c r="I465" s="9">
        <v>1.0149999999999999</v>
      </c>
      <c r="J465" s="9">
        <v>86.5</v>
      </c>
      <c r="K465" s="9" t="s">
        <v>442</v>
      </c>
      <c r="L465" s="9"/>
      <c r="M465" s="9"/>
      <c r="N465" s="9" t="str">
        <f ca="1">IFERROR(__xludf.DUMMYFUNCTION("IFERROR(VALUE(REGEXEXTRACT(TO_TEXT($F465), N$1 &amp; ""x(\d+)"")), """")
"),"")</f>
        <v/>
      </c>
      <c r="O465" s="9">
        <f ca="1">IFERROR(__xludf.DUMMYFUNCTION("IFERROR(VALUE(REGEXEXTRACT(TO_TEXT($F465), O$1 &amp; ""x(\d+)"")), """")"),1)</f>
        <v>1</v>
      </c>
      <c r="P465" s="9" t="str">
        <f ca="1">IFERROR(__xludf.DUMMYFUNCTION("IFERROR(VALUE(REGEXEXTRACT(TO_TEXT($F465), P$1 &amp; ""x(\d+)"")), """")"),"")</f>
        <v/>
      </c>
      <c r="Q465" s="9" t="str">
        <f ca="1">IFERROR(__xludf.DUMMYFUNCTION("IFERROR(VALUE(REGEXEXTRACT(TO_TEXT($F465), Q$1 &amp; ""x(\d+)"")), """")"),"")</f>
        <v/>
      </c>
      <c r="R465" s="9" t="str">
        <f ca="1">IFERROR(__xludf.DUMMYFUNCTION("IFERROR(VALUE(REGEXEXTRACT(TO_TEXT($F465), R$1 &amp; ""x(\d+)"")), """")"),"")</f>
        <v/>
      </c>
      <c r="S465" s="9" t="str">
        <f ca="1">IFERROR(__xludf.DUMMYFUNCTION("IFERROR(VALUE(REGEXEXTRACT(TO_TEXT($F465), S$1 &amp; ""x(\d+)"")), """")"),"")</f>
        <v/>
      </c>
      <c r="T465" s="9" t="str">
        <f ca="1">IFERROR(__xludf.DUMMYFUNCTION("IFERROR(VALUE(REGEXEXTRACT(TO_TEXT($F465), T$1 &amp; ""x(\d+)"")), """")"),"")</f>
        <v/>
      </c>
      <c r="U465" s="9" t="str">
        <f ca="1">IFERROR(__xludf.DUMMYFUNCTION("IFERROR(VALUE(REGEXEXTRACT(TO_TEXT($F465), U$1 &amp; ""x(\d+)"")), """")"),"")</f>
        <v/>
      </c>
      <c r="V465" s="9" t="str">
        <f ca="1">IFERROR(__xludf.DUMMYFUNCTION("IFERROR(VALUE(REGEXEXTRACT(TO_TEXT($F465), V$1 &amp; ""x(\d+)"")), """")"),"")</f>
        <v/>
      </c>
      <c r="W465" s="9"/>
      <c r="X465" s="9"/>
      <c r="Y465" s="9"/>
      <c r="Z465" s="9"/>
    </row>
    <row r="466" spans="1:26" ht="15.75" customHeight="1">
      <c r="A466" s="9" t="s">
        <v>1553</v>
      </c>
      <c r="B466" s="9" t="s">
        <v>1554</v>
      </c>
      <c r="C466" s="9" t="s">
        <v>809</v>
      </c>
      <c r="D466" s="9" t="s">
        <v>33</v>
      </c>
      <c r="E466" s="9" t="s">
        <v>11</v>
      </c>
      <c r="F466" s="9" t="s">
        <v>1555</v>
      </c>
      <c r="G466" s="9">
        <v>95</v>
      </c>
      <c r="H466" s="9">
        <v>3</v>
      </c>
      <c r="I466" s="9">
        <v>1.0149999999999999</v>
      </c>
      <c r="J466" s="9">
        <v>80</v>
      </c>
      <c r="K466" s="9" t="s">
        <v>442</v>
      </c>
      <c r="L466" s="9" t="s">
        <v>1556</v>
      </c>
      <c r="M466" s="9"/>
      <c r="N466" s="9" t="str">
        <f ca="1">IFERROR(__xludf.DUMMYFUNCTION("IFERROR(VALUE(REGEXEXTRACT(TO_TEXT($F466), N$1 &amp; ""x(\d+)"")), """")
"),"")</f>
        <v/>
      </c>
      <c r="O466" s="9">
        <f ca="1">IFERROR(__xludf.DUMMYFUNCTION("IFERROR(VALUE(REGEXEXTRACT(TO_TEXT($F466), O$1 &amp; ""x(\d+)"")), """")"),1)</f>
        <v>1</v>
      </c>
      <c r="P466" s="9" t="str">
        <f ca="1">IFERROR(__xludf.DUMMYFUNCTION("IFERROR(VALUE(REGEXEXTRACT(TO_TEXT($F466), P$1 &amp; ""x(\d+)"")), """")"),"")</f>
        <v/>
      </c>
      <c r="Q466" s="9" t="str">
        <f ca="1">IFERROR(__xludf.DUMMYFUNCTION("IFERROR(VALUE(REGEXEXTRACT(TO_TEXT($F466), Q$1 &amp; ""x(\d+)"")), """")"),"")</f>
        <v/>
      </c>
      <c r="R466" s="9" t="str">
        <f ca="1">IFERROR(__xludf.DUMMYFUNCTION("IFERROR(VALUE(REGEXEXTRACT(TO_TEXT($F466), R$1 &amp; ""x(\d+)"")), """")"),"")</f>
        <v/>
      </c>
      <c r="S466" s="9" t="str">
        <f ca="1">IFERROR(__xludf.DUMMYFUNCTION("IFERROR(VALUE(REGEXEXTRACT(TO_TEXT($F466), S$1 &amp; ""x(\d+)"")), """")"),"")</f>
        <v/>
      </c>
      <c r="T466" s="9" t="str">
        <f ca="1">IFERROR(__xludf.DUMMYFUNCTION("IFERROR(VALUE(REGEXEXTRACT(TO_TEXT($F466), T$1 &amp; ""x(\d+)"")), """")"),"")</f>
        <v/>
      </c>
      <c r="U466" s="9" t="str">
        <f ca="1">IFERROR(__xludf.DUMMYFUNCTION("IFERROR(VALUE(REGEXEXTRACT(TO_TEXT($F466), U$1 &amp; ""x(\d+)"")), """")"),"")</f>
        <v/>
      </c>
      <c r="V466" s="9" t="str">
        <f ca="1">IFERROR(__xludf.DUMMYFUNCTION("IFERROR(VALUE(REGEXEXTRACT(TO_TEXT($F466), V$1 &amp; ""x(\d+)"")), """")"),"")</f>
        <v/>
      </c>
      <c r="W466" s="9"/>
      <c r="X466" s="9"/>
      <c r="Y466" s="9"/>
      <c r="Z466" s="9"/>
    </row>
    <row r="467" spans="1:26" ht="15.75" customHeight="1">
      <c r="A467" s="9" t="s">
        <v>1553</v>
      </c>
      <c r="B467" s="9" t="s">
        <v>1554</v>
      </c>
      <c r="C467" s="9" t="s">
        <v>809</v>
      </c>
      <c r="D467" s="9" t="s">
        <v>33</v>
      </c>
      <c r="E467" s="9" t="s">
        <v>12</v>
      </c>
      <c r="F467" s="9" t="s">
        <v>1103</v>
      </c>
      <c r="G467" s="9">
        <v>110</v>
      </c>
      <c r="H467" s="9">
        <v>3</v>
      </c>
      <c r="I467" s="9">
        <v>1.0149999999999999</v>
      </c>
      <c r="J467" s="9">
        <v>80</v>
      </c>
      <c r="K467" s="9" t="s">
        <v>442</v>
      </c>
      <c r="L467" s="9" t="s">
        <v>1556</v>
      </c>
      <c r="M467" s="9"/>
      <c r="N467" s="9" t="str">
        <f ca="1">IFERROR(__xludf.DUMMYFUNCTION("IFERROR(VALUE(REGEXEXTRACT(TO_TEXT($F467), N$1 &amp; ""x(\d+)"")), """")
"),"")</f>
        <v/>
      </c>
      <c r="O467" s="9">
        <f ca="1">IFERROR(__xludf.DUMMYFUNCTION("IFERROR(VALUE(REGEXEXTRACT(TO_TEXT($F467), O$1 &amp; ""x(\d+)"")), """")"),1)</f>
        <v>1</v>
      </c>
      <c r="P467" s="9" t="str">
        <f ca="1">IFERROR(__xludf.DUMMYFUNCTION("IFERROR(VALUE(REGEXEXTRACT(TO_TEXT($F467), P$1 &amp; ""x(\d+)"")), """")"),"")</f>
        <v/>
      </c>
      <c r="Q467" s="9" t="str">
        <f ca="1">IFERROR(__xludf.DUMMYFUNCTION("IFERROR(VALUE(REGEXEXTRACT(TO_TEXT($F467), Q$1 &amp; ""x(\d+)"")), """")"),"")</f>
        <v/>
      </c>
      <c r="R467" s="9" t="str">
        <f ca="1">IFERROR(__xludf.DUMMYFUNCTION("IFERROR(VALUE(REGEXEXTRACT(TO_TEXT($F467), R$1 &amp; ""x(\d+)"")), """")"),"")</f>
        <v/>
      </c>
      <c r="S467" s="9" t="str">
        <f ca="1">IFERROR(__xludf.DUMMYFUNCTION("IFERROR(VALUE(REGEXEXTRACT(TO_TEXT($F467), S$1 &amp; ""x(\d+)"")), """")"),"")</f>
        <v/>
      </c>
      <c r="T467" s="9" t="str">
        <f ca="1">IFERROR(__xludf.DUMMYFUNCTION("IFERROR(VALUE(REGEXEXTRACT(TO_TEXT($F467), T$1 &amp; ""x(\d+)"")), """")"),"")</f>
        <v/>
      </c>
      <c r="U467" s="9" t="str">
        <f ca="1">IFERROR(__xludf.DUMMYFUNCTION("IFERROR(VALUE(REGEXEXTRACT(TO_TEXT($F467), U$1 &amp; ""x(\d+)"")), """")"),"")</f>
        <v/>
      </c>
      <c r="V467" s="9" t="str">
        <f ca="1">IFERROR(__xludf.DUMMYFUNCTION("IFERROR(VALUE(REGEXEXTRACT(TO_TEXT($F467), V$1 &amp; ""x(\d+)"")), """")"),"")</f>
        <v/>
      </c>
      <c r="W467" s="9"/>
      <c r="X467" s="9"/>
      <c r="Y467" s="9"/>
      <c r="Z467" s="9"/>
    </row>
    <row r="468" spans="1:26" ht="15.75" customHeight="1">
      <c r="A468" s="9" t="s">
        <v>1553</v>
      </c>
      <c r="B468" s="9" t="s">
        <v>1554</v>
      </c>
      <c r="C468" s="9" t="s">
        <v>809</v>
      </c>
      <c r="D468" s="9" t="s">
        <v>33</v>
      </c>
      <c r="E468" s="9" t="s">
        <v>13</v>
      </c>
      <c r="F468" s="9" t="s">
        <v>1231</v>
      </c>
      <c r="G468" s="9">
        <v>30</v>
      </c>
      <c r="H468" s="9">
        <v>3</v>
      </c>
      <c r="I468" s="9">
        <v>1.0149999999999999</v>
      </c>
      <c r="J468" s="9">
        <v>80</v>
      </c>
      <c r="K468" s="9" t="s">
        <v>442</v>
      </c>
      <c r="L468" s="9" t="s">
        <v>1556</v>
      </c>
      <c r="M468" s="9"/>
      <c r="N468" s="9" t="str">
        <f ca="1">IFERROR(__xludf.DUMMYFUNCTION("IFERROR(VALUE(REGEXEXTRACT(TO_TEXT($F468), N$1 &amp; ""x(\d+)"")), """")
"),"")</f>
        <v/>
      </c>
      <c r="O468" s="9">
        <f ca="1">IFERROR(__xludf.DUMMYFUNCTION("IFERROR(VALUE(REGEXEXTRACT(TO_TEXT($F468), O$1 &amp; ""x(\d+)"")), """")"),1)</f>
        <v>1</v>
      </c>
      <c r="P468" s="9" t="str">
        <f ca="1">IFERROR(__xludf.DUMMYFUNCTION("IFERROR(VALUE(REGEXEXTRACT(TO_TEXT($F468), P$1 &amp; ""x(\d+)"")), """")"),"")</f>
        <v/>
      </c>
      <c r="Q468" s="9" t="str">
        <f ca="1">IFERROR(__xludf.DUMMYFUNCTION("IFERROR(VALUE(REGEXEXTRACT(TO_TEXT($F468), Q$1 &amp; ""x(\d+)"")), """")"),"")</f>
        <v/>
      </c>
      <c r="R468" s="9" t="str">
        <f ca="1">IFERROR(__xludf.DUMMYFUNCTION("IFERROR(VALUE(REGEXEXTRACT(TO_TEXT($F468), R$1 &amp; ""x(\d+)"")), """")"),"")</f>
        <v/>
      </c>
      <c r="S468" s="9" t="str">
        <f ca="1">IFERROR(__xludf.DUMMYFUNCTION("IFERROR(VALUE(REGEXEXTRACT(TO_TEXT($F468), S$1 &amp; ""x(\d+)"")), """")"),"")</f>
        <v/>
      </c>
      <c r="T468" s="9" t="str">
        <f ca="1">IFERROR(__xludf.DUMMYFUNCTION("IFERROR(VALUE(REGEXEXTRACT(TO_TEXT($F468), T$1 &amp; ""x(\d+)"")), """")"),"")</f>
        <v/>
      </c>
      <c r="U468" s="9" t="str">
        <f ca="1">IFERROR(__xludf.DUMMYFUNCTION("IFERROR(VALUE(REGEXEXTRACT(TO_TEXT($F468), U$1 &amp; ""x(\d+)"")), """")"),"")</f>
        <v/>
      </c>
      <c r="V468" s="9" t="str">
        <f ca="1">IFERROR(__xludf.DUMMYFUNCTION("IFERROR(VALUE(REGEXEXTRACT(TO_TEXT($F468), V$1 &amp; ""x(\d+)"")), """")"),"")</f>
        <v/>
      </c>
      <c r="W468" s="9"/>
      <c r="X468" s="9"/>
      <c r="Y468" s="9"/>
      <c r="Z468" s="9"/>
    </row>
    <row r="469" spans="1:26" ht="15.75" hidden="1" customHeight="1">
      <c r="A469" s="9" t="s">
        <v>283</v>
      </c>
      <c r="B469" s="9" t="s">
        <v>1557</v>
      </c>
      <c r="C469" s="9" t="s">
        <v>284</v>
      </c>
      <c r="D469" s="9" t="s">
        <v>40</v>
      </c>
      <c r="E469" s="9" t="s">
        <v>11</v>
      </c>
      <c r="F469" s="9" t="s">
        <v>1235</v>
      </c>
      <c r="G469" s="9">
        <v>70</v>
      </c>
      <c r="H469" s="9">
        <v>4</v>
      </c>
      <c r="I469" s="9">
        <v>1.0149999999999999</v>
      </c>
      <c r="J469" s="9">
        <v>400</v>
      </c>
      <c r="K469" s="9" t="s">
        <v>442</v>
      </c>
      <c r="L469" s="9"/>
      <c r="M469" s="9"/>
      <c r="N469" s="9" t="str">
        <f ca="1">IFERROR(__xludf.DUMMYFUNCTION("IFERROR(VALUE(REGEXEXTRACT(TO_TEXT($F469), N$1 &amp; ""x(\d+)"")), """")
"),"")</f>
        <v/>
      </c>
      <c r="O469" s="9">
        <f ca="1">IFERROR(__xludf.DUMMYFUNCTION("IFERROR(VALUE(REGEXEXTRACT(TO_TEXT($F469), O$1 &amp; ""x(\d+)"")), """")"),1)</f>
        <v>1</v>
      </c>
      <c r="P469" s="9" t="str">
        <f ca="1">IFERROR(__xludf.DUMMYFUNCTION("IFERROR(VALUE(REGEXEXTRACT(TO_TEXT($F469), P$1 &amp; ""x(\d+)"")), """")"),"")</f>
        <v/>
      </c>
      <c r="Q469" s="9" t="str">
        <f ca="1">IFERROR(__xludf.DUMMYFUNCTION("IFERROR(VALUE(REGEXEXTRACT(TO_TEXT($F469), Q$1 &amp; ""x(\d+)"")), """")"),"")</f>
        <v/>
      </c>
      <c r="R469" s="9" t="str">
        <f ca="1">IFERROR(__xludf.DUMMYFUNCTION("IFERROR(VALUE(REGEXEXTRACT(TO_TEXT($F469), R$1 &amp; ""x(\d+)"")), """")"),"")</f>
        <v/>
      </c>
      <c r="S469" s="9" t="str">
        <f ca="1">IFERROR(__xludf.DUMMYFUNCTION("IFERROR(VALUE(REGEXEXTRACT(TO_TEXT($F469), S$1 &amp; ""x(\d+)"")), """")"),"")</f>
        <v/>
      </c>
      <c r="T469" s="9" t="str">
        <f ca="1">IFERROR(__xludf.DUMMYFUNCTION("IFERROR(VALUE(REGEXEXTRACT(TO_TEXT($F469), T$1 &amp; ""x(\d+)"")), """")"),"")</f>
        <v/>
      </c>
      <c r="U469" s="9" t="str">
        <f ca="1">IFERROR(__xludf.DUMMYFUNCTION("IFERROR(VALUE(REGEXEXTRACT(TO_TEXT($F469), U$1 &amp; ""x(\d+)"")), """")"),"")</f>
        <v/>
      </c>
      <c r="V469" s="9" t="str">
        <f ca="1">IFERROR(__xludf.DUMMYFUNCTION("IFERROR(VALUE(REGEXEXTRACT(TO_TEXT($F469), V$1 &amp; ""x(\d+)"")), """")"),"")</f>
        <v/>
      </c>
      <c r="W469" s="9"/>
      <c r="X469" s="9"/>
      <c r="Y469" s="9"/>
      <c r="Z469" s="9"/>
    </row>
    <row r="470" spans="1:26" ht="15.75" hidden="1" customHeight="1">
      <c r="A470" s="9" t="s">
        <v>283</v>
      </c>
      <c r="B470" s="9" t="s">
        <v>1557</v>
      </c>
      <c r="C470" s="9" t="s">
        <v>284</v>
      </c>
      <c r="D470" s="9" t="s">
        <v>40</v>
      </c>
      <c r="E470" s="9" t="s">
        <v>12</v>
      </c>
      <c r="F470" s="9" t="s">
        <v>1372</v>
      </c>
      <c r="G470" s="9">
        <v>90</v>
      </c>
      <c r="H470" s="9">
        <v>4</v>
      </c>
      <c r="I470" s="9">
        <v>1.0149999999999999</v>
      </c>
      <c r="J470" s="9">
        <v>400</v>
      </c>
      <c r="K470" s="9" t="s">
        <v>442</v>
      </c>
      <c r="L470" s="9" t="s">
        <v>1015</v>
      </c>
      <c r="M470" s="9"/>
      <c r="N470" s="9" t="str">
        <f ca="1">IFERROR(__xludf.DUMMYFUNCTION("IFERROR(VALUE(REGEXEXTRACT(TO_TEXT($F470), N$1 &amp; ""x(\d+)"")), """")
"),"")</f>
        <v/>
      </c>
      <c r="O470" s="9" t="str">
        <f ca="1">IFERROR(__xludf.DUMMYFUNCTION("IFERROR(VALUE(REGEXEXTRACT(TO_TEXT($F470), O$1 &amp; ""x(\d+)"")), """")"),"")</f>
        <v/>
      </c>
      <c r="P470" s="9" t="str">
        <f ca="1">IFERROR(__xludf.DUMMYFUNCTION("IFERROR(VALUE(REGEXEXTRACT(TO_TEXT($F470), P$1 &amp; ""x(\d+)"")), """")"),"")</f>
        <v/>
      </c>
      <c r="Q470" s="9" t="str">
        <f ca="1">IFERROR(__xludf.DUMMYFUNCTION("IFERROR(VALUE(REGEXEXTRACT(TO_TEXT($F470), Q$1 &amp; ""x(\d+)"")), """")"),"")</f>
        <v/>
      </c>
      <c r="R470" s="9" t="str">
        <f ca="1">IFERROR(__xludf.DUMMYFUNCTION("IFERROR(VALUE(REGEXEXTRACT(TO_TEXT($F470), R$1 &amp; ""x(\d+)"")), """")"),"")</f>
        <v/>
      </c>
      <c r="S470" s="9">
        <f ca="1">IFERROR(__xludf.DUMMYFUNCTION("IFERROR(VALUE(REGEXEXTRACT(TO_TEXT($F470), S$1 &amp; ""x(\d+)"")), """")"),1)</f>
        <v>1</v>
      </c>
      <c r="T470" s="9" t="str">
        <f ca="1">IFERROR(__xludf.DUMMYFUNCTION("IFERROR(VALUE(REGEXEXTRACT(TO_TEXT($F470), T$1 &amp; ""x(\d+)"")), """")"),"")</f>
        <v/>
      </c>
      <c r="U470" s="9" t="str">
        <f ca="1">IFERROR(__xludf.DUMMYFUNCTION("IFERROR(VALUE(REGEXEXTRACT(TO_TEXT($F470), U$1 &amp; ""x(\d+)"")), """")"),"")</f>
        <v/>
      </c>
      <c r="V470" s="9" t="str">
        <f ca="1">IFERROR(__xludf.DUMMYFUNCTION("IFERROR(VALUE(REGEXEXTRACT(TO_TEXT($F470), V$1 &amp; ""x(\d+)"")), """")"),"")</f>
        <v/>
      </c>
      <c r="W470" s="9"/>
      <c r="X470" s="9"/>
      <c r="Y470" s="9"/>
      <c r="Z470" s="9"/>
    </row>
    <row r="471" spans="1:26" ht="15.75" hidden="1" customHeight="1">
      <c r="A471" s="9" t="s">
        <v>283</v>
      </c>
      <c r="B471" s="9" t="s">
        <v>1557</v>
      </c>
      <c r="C471" s="9" t="s">
        <v>284</v>
      </c>
      <c r="D471" s="9" t="s">
        <v>40</v>
      </c>
      <c r="E471" s="9" t="s">
        <v>13</v>
      </c>
      <c r="F471" s="9" t="s">
        <v>1133</v>
      </c>
      <c r="G471" s="9">
        <v>30</v>
      </c>
      <c r="H471" s="9">
        <v>4</v>
      </c>
      <c r="I471" s="9">
        <v>1.0149999999999999</v>
      </c>
      <c r="J471" s="9">
        <v>400</v>
      </c>
      <c r="K471" s="9" t="s">
        <v>442</v>
      </c>
      <c r="L471" s="9"/>
      <c r="M471" s="9"/>
      <c r="N471" s="9" t="str">
        <f ca="1">IFERROR(__xludf.DUMMYFUNCTION("IFERROR(VALUE(REGEXEXTRACT(TO_TEXT($F471), N$1 &amp; ""x(\d+)"")), """")
"),"")</f>
        <v/>
      </c>
      <c r="O471" s="9" t="str">
        <f ca="1">IFERROR(__xludf.DUMMYFUNCTION("IFERROR(VALUE(REGEXEXTRACT(TO_TEXT($F471), O$1 &amp; ""x(\d+)"")), """")"),"")</f>
        <v/>
      </c>
      <c r="P471" s="9" t="str">
        <f ca="1">IFERROR(__xludf.DUMMYFUNCTION("IFERROR(VALUE(REGEXEXTRACT(TO_TEXT($F471), P$1 &amp; ""x(\d+)"")), """")"),"")</f>
        <v/>
      </c>
      <c r="Q471" s="9" t="str">
        <f ca="1">IFERROR(__xludf.DUMMYFUNCTION("IFERROR(VALUE(REGEXEXTRACT(TO_TEXT($F471), Q$1 &amp; ""x(\d+)"")), """")"),"")</f>
        <v/>
      </c>
      <c r="R471" s="9" t="str">
        <f ca="1">IFERROR(__xludf.DUMMYFUNCTION("IFERROR(VALUE(REGEXEXTRACT(TO_TEXT($F471), R$1 &amp; ""x(\d+)"")), """")"),"")</f>
        <v/>
      </c>
      <c r="S471" s="9">
        <f ca="1">IFERROR(__xludf.DUMMYFUNCTION("IFERROR(VALUE(REGEXEXTRACT(TO_TEXT($F471), S$1 &amp; ""x(\d+)"")), """")"),1)</f>
        <v>1</v>
      </c>
      <c r="T471" s="9" t="str">
        <f ca="1">IFERROR(__xludf.DUMMYFUNCTION("IFERROR(VALUE(REGEXEXTRACT(TO_TEXT($F471), T$1 &amp; ""x(\d+)"")), """")"),"")</f>
        <v/>
      </c>
      <c r="U471" s="9" t="str">
        <f ca="1">IFERROR(__xludf.DUMMYFUNCTION("IFERROR(VALUE(REGEXEXTRACT(TO_TEXT($F471), U$1 &amp; ""x(\d+)"")), """")"),"")</f>
        <v/>
      </c>
      <c r="V471" s="9" t="str">
        <f ca="1">IFERROR(__xludf.DUMMYFUNCTION("IFERROR(VALUE(REGEXEXTRACT(TO_TEXT($F471), V$1 &amp; ""x(\d+)"")), """")"),"")</f>
        <v/>
      </c>
      <c r="W471" s="9"/>
      <c r="X471" s="9"/>
      <c r="Y471" s="9"/>
      <c r="Z471" s="9"/>
    </row>
    <row r="472" spans="1:26" ht="15.75" customHeight="1">
      <c r="A472" s="9" t="s">
        <v>283</v>
      </c>
      <c r="B472" s="9" t="s">
        <v>1557</v>
      </c>
      <c r="C472" s="9" t="s">
        <v>284</v>
      </c>
      <c r="D472" s="9" t="s">
        <v>33</v>
      </c>
      <c r="E472" s="9" t="s">
        <v>11</v>
      </c>
      <c r="F472" s="9" t="s">
        <v>1107</v>
      </c>
      <c r="G472" s="9">
        <v>95</v>
      </c>
      <c r="H472" s="9">
        <v>4</v>
      </c>
      <c r="I472" s="9">
        <v>1.0149999999999999</v>
      </c>
      <c r="J472" s="9">
        <v>100</v>
      </c>
      <c r="K472" s="9" t="s">
        <v>442</v>
      </c>
      <c r="L472" s="9"/>
      <c r="M472" s="9"/>
      <c r="N472" s="9" t="str">
        <f ca="1">IFERROR(__xludf.DUMMYFUNCTION("IFERROR(VALUE(REGEXEXTRACT(TO_TEXT($F472), N$1 &amp; ""x(\d+)"")), """")
"),"")</f>
        <v/>
      </c>
      <c r="O472" s="9">
        <f ca="1">IFERROR(__xludf.DUMMYFUNCTION("IFERROR(VALUE(REGEXEXTRACT(TO_TEXT($F472), O$1 &amp; ""x(\d+)"")), """")"),1)</f>
        <v>1</v>
      </c>
      <c r="P472" s="9" t="str">
        <f ca="1">IFERROR(__xludf.DUMMYFUNCTION("IFERROR(VALUE(REGEXEXTRACT(TO_TEXT($F472), P$1 &amp; ""x(\d+)"")), """")"),"")</f>
        <v/>
      </c>
      <c r="Q472" s="9" t="str">
        <f ca="1">IFERROR(__xludf.DUMMYFUNCTION("IFERROR(VALUE(REGEXEXTRACT(TO_TEXT($F472), Q$1 &amp; ""x(\d+)"")), """")"),"")</f>
        <v/>
      </c>
      <c r="R472" s="9" t="str">
        <f ca="1">IFERROR(__xludf.DUMMYFUNCTION("IFERROR(VALUE(REGEXEXTRACT(TO_TEXT($F472), R$1 &amp; ""x(\d+)"")), """")"),"")</f>
        <v/>
      </c>
      <c r="S472" s="9" t="str">
        <f ca="1">IFERROR(__xludf.DUMMYFUNCTION("IFERROR(VALUE(REGEXEXTRACT(TO_TEXT($F472), S$1 &amp; ""x(\d+)"")), """")"),"")</f>
        <v/>
      </c>
      <c r="T472" s="9" t="str">
        <f ca="1">IFERROR(__xludf.DUMMYFUNCTION("IFERROR(VALUE(REGEXEXTRACT(TO_TEXT($F472), T$1 &amp; ""x(\d+)"")), """")"),"")</f>
        <v/>
      </c>
      <c r="U472" s="9" t="str">
        <f ca="1">IFERROR(__xludf.DUMMYFUNCTION("IFERROR(VALUE(REGEXEXTRACT(TO_TEXT($F472), U$1 &amp; ""x(\d+)"")), """")"),"")</f>
        <v/>
      </c>
      <c r="V472" s="9" t="str">
        <f ca="1">IFERROR(__xludf.DUMMYFUNCTION("IFERROR(VALUE(REGEXEXTRACT(TO_TEXT($F472), V$1 &amp; ""x(\d+)"")), """")"),"")</f>
        <v/>
      </c>
      <c r="W472" s="9"/>
      <c r="X472" s="9"/>
      <c r="Y472" s="9"/>
      <c r="Z472" s="9"/>
    </row>
    <row r="473" spans="1:26" ht="15.75" customHeight="1">
      <c r="A473" s="9" t="s">
        <v>283</v>
      </c>
      <c r="B473" s="9" t="s">
        <v>1557</v>
      </c>
      <c r="C473" s="9" t="s">
        <v>284</v>
      </c>
      <c r="D473" s="9" t="s">
        <v>33</v>
      </c>
      <c r="E473" s="9" t="s">
        <v>12</v>
      </c>
      <c r="F473" s="9" t="s">
        <v>1094</v>
      </c>
      <c r="G473" s="9">
        <v>55</v>
      </c>
      <c r="H473" s="9">
        <v>4</v>
      </c>
      <c r="I473" s="9">
        <v>1.0149999999999999</v>
      </c>
      <c r="J473" s="9">
        <v>100</v>
      </c>
      <c r="K473" s="9" t="s">
        <v>442</v>
      </c>
      <c r="L473" s="9" t="s">
        <v>1015</v>
      </c>
      <c r="M473" s="9"/>
      <c r="N473" s="9" t="str">
        <f ca="1">IFERROR(__xludf.DUMMYFUNCTION("IFERROR(VALUE(REGEXEXTRACT(TO_TEXT($F473), N$1 &amp; ""x(\d+)"")), """")
"),"")</f>
        <v/>
      </c>
      <c r="O473" s="9">
        <f ca="1">IFERROR(__xludf.DUMMYFUNCTION("IFERROR(VALUE(REGEXEXTRACT(TO_TEXT($F473), O$1 &amp; ""x(\d+)"")), """")"),1)</f>
        <v>1</v>
      </c>
      <c r="P473" s="9" t="str">
        <f ca="1">IFERROR(__xludf.DUMMYFUNCTION("IFERROR(VALUE(REGEXEXTRACT(TO_TEXT($F473), P$1 &amp; ""x(\d+)"")), """")"),"")</f>
        <v/>
      </c>
      <c r="Q473" s="9" t="str">
        <f ca="1">IFERROR(__xludf.DUMMYFUNCTION("IFERROR(VALUE(REGEXEXTRACT(TO_TEXT($F473), Q$1 &amp; ""x(\d+)"")), """")"),"")</f>
        <v/>
      </c>
      <c r="R473" s="9" t="str">
        <f ca="1">IFERROR(__xludf.DUMMYFUNCTION("IFERROR(VALUE(REGEXEXTRACT(TO_TEXT($F473), R$1 &amp; ""x(\d+)"")), """")"),"")</f>
        <v/>
      </c>
      <c r="S473" s="9" t="str">
        <f ca="1">IFERROR(__xludf.DUMMYFUNCTION("IFERROR(VALUE(REGEXEXTRACT(TO_TEXT($F473), S$1 &amp; ""x(\d+)"")), """")"),"")</f>
        <v/>
      </c>
      <c r="T473" s="9" t="str">
        <f ca="1">IFERROR(__xludf.DUMMYFUNCTION("IFERROR(VALUE(REGEXEXTRACT(TO_TEXT($F473), T$1 &amp; ""x(\d+)"")), """")"),"")</f>
        <v/>
      </c>
      <c r="U473" s="9" t="str">
        <f ca="1">IFERROR(__xludf.DUMMYFUNCTION("IFERROR(VALUE(REGEXEXTRACT(TO_TEXT($F473), U$1 &amp; ""x(\d+)"")), """")"),"")</f>
        <v/>
      </c>
      <c r="V473" s="9" t="str">
        <f ca="1">IFERROR(__xludf.DUMMYFUNCTION("IFERROR(VALUE(REGEXEXTRACT(TO_TEXT($F473), V$1 &amp; ""x(\d+)"")), """")"),"")</f>
        <v/>
      </c>
      <c r="W473" s="9"/>
      <c r="X473" s="9"/>
      <c r="Y473" s="9"/>
      <c r="Z473" s="9"/>
    </row>
    <row r="474" spans="1:26" ht="15.75" customHeight="1">
      <c r="A474" s="9" t="s">
        <v>283</v>
      </c>
      <c r="B474" s="9" t="s">
        <v>1557</v>
      </c>
      <c r="C474" s="9" t="s">
        <v>284</v>
      </c>
      <c r="D474" s="9" t="s">
        <v>33</v>
      </c>
      <c r="E474" s="9" t="s">
        <v>13</v>
      </c>
      <c r="F474" s="9" t="s">
        <v>1095</v>
      </c>
      <c r="G474" s="9">
        <v>10</v>
      </c>
      <c r="H474" s="9">
        <v>4</v>
      </c>
      <c r="I474" s="9">
        <v>1.0149999999999999</v>
      </c>
      <c r="J474" s="9">
        <v>100</v>
      </c>
      <c r="K474" s="9" t="s">
        <v>442</v>
      </c>
      <c r="L474" s="9"/>
      <c r="M474" s="9"/>
      <c r="N474" s="9" t="str">
        <f ca="1">IFERROR(__xludf.DUMMYFUNCTION("IFERROR(VALUE(REGEXEXTRACT(TO_TEXT($F474), N$1 &amp; ""x(\d+)"")), """")
"),"")</f>
        <v/>
      </c>
      <c r="O474" s="9">
        <f ca="1">IFERROR(__xludf.DUMMYFUNCTION("IFERROR(VALUE(REGEXEXTRACT(TO_TEXT($F474), O$1 &amp; ""x(\d+)"")), """")"),1)</f>
        <v>1</v>
      </c>
      <c r="P474" s="9" t="str">
        <f ca="1">IFERROR(__xludf.DUMMYFUNCTION("IFERROR(VALUE(REGEXEXTRACT(TO_TEXT($F474), P$1 &amp; ""x(\d+)"")), """")"),"")</f>
        <v/>
      </c>
      <c r="Q474" s="9" t="str">
        <f ca="1">IFERROR(__xludf.DUMMYFUNCTION("IFERROR(VALUE(REGEXEXTRACT(TO_TEXT($F474), Q$1 &amp; ""x(\d+)"")), """")"),"")</f>
        <v/>
      </c>
      <c r="R474" s="9" t="str">
        <f ca="1">IFERROR(__xludf.DUMMYFUNCTION("IFERROR(VALUE(REGEXEXTRACT(TO_TEXT($F474), R$1 &amp; ""x(\d+)"")), """")"),"")</f>
        <v/>
      </c>
      <c r="S474" s="9" t="str">
        <f ca="1">IFERROR(__xludf.DUMMYFUNCTION("IFERROR(VALUE(REGEXEXTRACT(TO_TEXT($F474), S$1 &amp; ""x(\d+)"")), """")"),"")</f>
        <v/>
      </c>
      <c r="T474" s="9" t="str">
        <f ca="1">IFERROR(__xludf.DUMMYFUNCTION("IFERROR(VALUE(REGEXEXTRACT(TO_TEXT($F474), T$1 &amp; ""x(\d+)"")), """")"),"")</f>
        <v/>
      </c>
      <c r="U474" s="9" t="str">
        <f ca="1">IFERROR(__xludf.DUMMYFUNCTION("IFERROR(VALUE(REGEXEXTRACT(TO_TEXT($F474), U$1 &amp; ""x(\d+)"")), """")"),"")</f>
        <v/>
      </c>
      <c r="V474" s="9" t="str">
        <f ca="1">IFERROR(__xludf.DUMMYFUNCTION("IFERROR(VALUE(REGEXEXTRACT(TO_TEXT($F474), V$1 &amp; ""x(\d+)"")), """")"),"")</f>
        <v/>
      </c>
      <c r="W474" s="9"/>
      <c r="X474" s="9"/>
      <c r="Y474" s="9"/>
      <c r="Z474" s="9"/>
    </row>
    <row r="475" spans="1:26" ht="15.75" customHeight="1">
      <c r="A475" s="9" t="s">
        <v>309</v>
      </c>
      <c r="B475" s="9" t="s">
        <v>1558</v>
      </c>
      <c r="C475" s="9" t="s">
        <v>310</v>
      </c>
      <c r="D475" s="9" t="s">
        <v>33</v>
      </c>
      <c r="E475" s="9" t="s">
        <v>11</v>
      </c>
      <c r="F475" s="9" t="s">
        <v>1559</v>
      </c>
      <c r="G475" s="9">
        <v>55</v>
      </c>
      <c r="H475" s="9">
        <v>4</v>
      </c>
      <c r="I475" s="9">
        <v>1.0149999999999999</v>
      </c>
      <c r="J475" s="9">
        <v>100</v>
      </c>
      <c r="K475" s="9" t="s">
        <v>442</v>
      </c>
      <c r="L475" s="9"/>
      <c r="M475" s="9"/>
      <c r="N475" s="9" t="str">
        <f ca="1">IFERROR(__xludf.DUMMYFUNCTION("IFERROR(VALUE(REGEXEXTRACT(TO_TEXT($F475), N$1 &amp; ""x(\d+)"")), """")
"),"")</f>
        <v/>
      </c>
      <c r="O475" s="9">
        <f ca="1">IFERROR(__xludf.DUMMYFUNCTION("IFERROR(VALUE(REGEXEXTRACT(TO_TEXT($F475), O$1 &amp; ""x(\d+)"")), """")"),1)</f>
        <v>1</v>
      </c>
      <c r="P475" s="9" t="str">
        <f ca="1">IFERROR(__xludf.DUMMYFUNCTION("IFERROR(VALUE(REGEXEXTRACT(TO_TEXT($F475), P$1 &amp; ""x(\d+)"")), """")"),"")</f>
        <v/>
      </c>
      <c r="Q475" s="9" t="str">
        <f ca="1">IFERROR(__xludf.DUMMYFUNCTION("IFERROR(VALUE(REGEXEXTRACT(TO_TEXT($F475), Q$1 &amp; ""x(\d+)"")), """")"),"")</f>
        <v/>
      </c>
      <c r="R475" s="9" t="str">
        <f ca="1">IFERROR(__xludf.DUMMYFUNCTION("IFERROR(VALUE(REGEXEXTRACT(TO_TEXT($F475), R$1 &amp; ""x(\d+)"")), """")"),"")</f>
        <v/>
      </c>
      <c r="S475" s="9" t="str">
        <f ca="1">IFERROR(__xludf.DUMMYFUNCTION("IFERROR(VALUE(REGEXEXTRACT(TO_TEXT($F475), S$1 &amp; ""x(\d+)"")), """")"),"")</f>
        <v/>
      </c>
      <c r="T475" s="9" t="str">
        <f ca="1">IFERROR(__xludf.DUMMYFUNCTION("IFERROR(VALUE(REGEXEXTRACT(TO_TEXT($F475), T$1 &amp; ""x(\d+)"")), """")"),"")</f>
        <v/>
      </c>
      <c r="U475" s="9" t="str">
        <f ca="1">IFERROR(__xludf.DUMMYFUNCTION("IFERROR(VALUE(REGEXEXTRACT(TO_TEXT($F475), U$1 &amp; ""x(\d+)"")), """")"),"")</f>
        <v/>
      </c>
      <c r="V475" s="9" t="str">
        <f ca="1">IFERROR(__xludf.DUMMYFUNCTION("IFERROR(VALUE(REGEXEXTRACT(TO_TEXT($F475), V$1 &amp; ""x(\d+)"")), """")"),"")</f>
        <v/>
      </c>
      <c r="W475" s="9"/>
      <c r="X475" s="9"/>
      <c r="Y475" s="9"/>
      <c r="Z475" s="9"/>
    </row>
    <row r="476" spans="1:26" ht="15.75" customHeight="1">
      <c r="A476" s="9" t="s">
        <v>309</v>
      </c>
      <c r="B476" s="9" t="s">
        <v>1558</v>
      </c>
      <c r="C476" s="9" t="s">
        <v>310</v>
      </c>
      <c r="D476" s="9" t="s">
        <v>33</v>
      </c>
      <c r="E476" s="9" t="s">
        <v>12</v>
      </c>
      <c r="F476" s="9" t="s">
        <v>1560</v>
      </c>
      <c r="G476" s="9">
        <v>60</v>
      </c>
      <c r="H476" s="9">
        <v>4</v>
      </c>
      <c r="I476" s="9">
        <v>1.0149999999999999</v>
      </c>
      <c r="J476" s="9">
        <v>100</v>
      </c>
      <c r="K476" s="9" t="s">
        <v>442</v>
      </c>
      <c r="L476" s="9"/>
      <c r="M476" s="9"/>
      <c r="N476" s="9" t="str">
        <f ca="1">IFERROR(__xludf.DUMMYFUNCTION("IFERROR(VALUE(REGEXEXTRACT(TO_TEXT($F476), N$1 &amp; ""x(\d+)"")), """")
"),"")</f>
        <v/>
      </c>
      <c r="O476" s="9">
        <f ca="1">IFERROR(__xludf.DUMMYFUNCTION("IFERROR(VALUE(REGEXEXTRACT(TO_TEXT($F476), O$1 &amp; ""x(\d+)"")), """")"),1)</f>
        <v>1</v>
      </c>
      <c r="P476" s="9" t="str">
        <f ca="1">IFERROR(__xludf.DUMMYFUNCTION("IFERROR(VALUE(REGEXEXTRACT(TO_TEXT($F476), P$1 &amp; ""x(\d+)"")), """")"),"")</f>
        <v/>
      </c>
      <c r="Q476" s="9" t="str">
        <f ca="1">IFERROR(__xludf.DUMMYFUNCTION("IFERROR(VALUE(REGEXEXTRACT(TO_TEXT($F476), Q$1 &amp; ""x(\d+)"")), """")"),"")</f>
        <v/>
      </c>
      <c r="R476" s="9" t="str">
        <f ca="1">IFERROR(__xludf.DUMMYFUNCTION("IFERROR(VALUE(REGEXEXTRACT(TO_TEXT($F476), R$1 &amp; ""x(\d+)"")), """")"),"")</f>
        <v/>
      </c>
      <c r="S476" s="9" t="str">
        <f ca="1">IFERROR(__xludf.DUMMYFUNCTION("IFERROR(VALUE(REGEXEXTRACT(TO_TEXT($F476), S$1 &amp; ""x(\d+)"")), """")"),"")</f>
        <v/>
      </c>
      <c r="T476" s="9" t="str">
        <f ca="1">IFERROR(__xludf.DUMMYFUNCTION("IFERROR(VALUE(REGEXEXTRACT(TO_TEXT($F476), T$1 &amp; ""x(\d+)"")), """")"),"")</f>
        <v/>
      </c>
      <c r="U476" s="9" t="str">
        <f ca="1">IFERROR(__xludf.DUMMYFUNCTION("IFERROR(VALUE(REGEXEXTRACT(TO_TEXT($F476), U$1 &amp; ""x(\d+)"")), """")"),"")</f>
        <v/>
      </c>
      <c r="V476" s="9" t="str">
        <f ca="1">IFERROR(__xludf.DUMMYFUNCTION("IFERROR(VALUE(REGEXEXTRACT(TO_TEXT($F476), V$1 &amp; ""x(\d+)"")), """")"),"")</f>
        <v/>
      </c>
      <c r="W476" s="9"/>
      <c r="X476" s="9"/>
      <c r="Y476" s="9"/>
      <c r="Z476" s="9"/>
    </row>
    <row r="477" spans="1:26" ht="15.75" customHeight="1">
      <c r="A477" s="9" t="s">
        <v>309</v>
      </c>
      <c r="B477" s="9" t="s">
        <v>1558</v>
      </c>
      <c r="C477" s="9" t="s">
        <v>310</v>
      </c>
      <c r="D477" s="9" t="s">
        <v>33</v>
      </c>
      <c r="E477" s="9" t="s">
        <v>13</v>
      </c>
      <c r="F477" s="9" t="s">
        <v>1058</v>
      </c>
      <c r="G477" s="9">
        <v>15</v>
      </c>
      <c r="H477" s="9">
        <v>4</v>
      </c>
      <c r="I477" s="9">
        <v>1.0149999999999999</v>
      </c>
      <c r="J477" s="9">
        <v>100</v>
      </c>
      <c r="K477" s="9" t="s">
        <v>442</v>
      </c>
      <c r="L477" s="9"/>
      <c r="M477" s="9"/>
      <c r="N477" s="9" t="str">
        <f ca="1">IFERROR(__xludf.DUMMYFUNCTION("IFERROR(VALUE(REGEXEXTRACT(TO_TEXT($F477), N$1 &amp; ""x(\d+)"")), """")
"),"")</f>
        <v/>
      </c>
      <c r="O477" s="9">
        <f ca="1">IFERROR(__xludf.DUMMYFUNCTION("IFERROR(VALUE(REGEXEXTRACT(TO_TEXT($F477), O$1 &amp; ""x(\d+)"")), """")"),1)</f>
        <v>1</v>
      </c>
      <c r="P477" s="9" t="str">
        <f ca="1">IFERROR(__xludf.DUMMYFUNCTION("IFERROR(VALUE(REGEXEXTRACT(TO_TEXT($F477), P$1 &amp; ""x(\d+)"")), """")"),"")</f>
        <v/>
      </c>
      <c r="Q477" s="9" t="str">
        <f ca="1">IFERROR(__xludf.DUMMYFUNCTION("IFERROR(VALUE(REGEXEXTRACT(TO_TEXT($F477), Q$1 &amp; ""x(\d+)"")), """")"),"")</f>
        <v/>
      </c>
      <c r="R477" s="9" t="str">
        <f ca="1">IFERROR(__xludf.DUMMYFUNCTION("IFERROR(VALUE(REGEXEXTRACT(TO_TEXT($F477), R$1 &amp; ""x(\d+)"")), """")"),"")</f>
        <v/>
      </c>
      <c r="S477" s="9" t="str">
        <f ca="1">IFERROR(__xludf.DUMMYFUNCTION("IFERROR(VALUE(REGEXEXTRACT(TO_TEXT($F477), S$1 &amp; ""x(\d+)"")), """")"),"")</f>
        <v/>
      </c>
      <c r="T477" s="9" t="str">
        <f ca="1">IFERROR(__xludf.DUMMYFUNCTION("IFERROR(VALUE(REGEXEXTRACT(TO_TEXT($F477), T$1 &amp; ""x(\d+)"")), """")"),"")</f>
        <v/>
      </c>
      <c r="U477" s="9" t="str">
        <f ca="1">IFERROR(__xludf.DUMMYFUNCTION("IFERROR(VALUE(REGEXEXTRACT(TO_TEXT($F477), U$1 &amp; ""x(\d+)"")), """")"),"")</f>
        <v/>
      </c>
      <c r="V477" s="9" t="str">
        <f ca="1">IFERROR(__xludf.DUMMYFUNCTION("IFERROR(VALUE(REGEXEXTRACT(TO_TEXT($F477), V$1 &amp; ""x(\d+)"")), """")"),"")</f>
        <v/>
      </c>
      <c r="W477" s="9"/>
      <c r="X477" s="9"/>
      <c r="Y477" s="9"/>
      <c r="Z477" s="9"/>
    </row>
    <row r="478" spans="1:26" ht="15.75" hidden="1" customHeight="1">
      <c r="A478" s="9" t="s">
        <v>309</v>
      </c>
      <c r="B478" s="9" t="s">
        <v>1558</v>
      </c>
      <c r="C478" s="9" t="s">
        <v>310</v>
      </c>
      <c r="D478" s="9" t="s">
        <v>40</v>
      </c>
      <c r="E478" s="9" t="s">
        <v>11</v>
      </c>
      <c r="F478" s="9" t="s">
        <v>1094</v>
      </c>
      <c r="G478" s="9">
        <v>55</v>
      </c>
      <c r="H478" s="9">
        <v>4</v>
      </c>
      <c r="I478" s="9">
        <v>1.0149999999999999</v>
      </c>
      <c r="J478" s="9">
        <v>378</v>
      </c>
      <c r="K478" s="9" t="s">
        <v>442</v>
      </c>
      <c r="L478" s="9"/>
      <c r="M478" s="9"/>
      <c r="N478" s="9" t="str">
        <f ca="1">IFERROR(__xludf.DUMMYFUNCTION("IFERROR(VALUE(REGEXEXTRACT(TO_TEXT($F478), N$1 &amp; ""x(\d+)"")), """")
"),"")</f>
        <v/>
      </c>
      <c r="O478" s="9">
        <f ca="1">IFERROR(__xludf.DUMMYFUNCTION("IFERROR(VALUE(REGEXEXTRACT(TO_TEXT($F478), O$1 &amp; ""x(\d+)"")), """")"),1)</f>
        <v>1</v>
      </c>
      <c r="P478" s="9" t="str">
        <f ca="1">IFERROR(__xludf.DUMMYFUNCTION("IFERROR(VALUE(REGEXEXTRACT(TO_TEXT($F478), P$1 &amp; ""x(\d+)"")), """")"),"")</f>
        <v/>
      </c>
      <c r="Q478" s="9" t="str">
        <f ca="1">IFERROR(__xludf.DUMMYFUNCTION("IFERROR(VALUE(REGEXEXTRACT(TO_TEXT($F478), Q$1 &amp; ""x(\d+)"")), """")"),"")</f>
        <v/>
      </c>
      <c r="R478" s="9" t="str">
        <f ca="1">IFERROR(__xludf.DUMMYFUNCTION("IFERROR(VALUE(REGEXEXTRACT(TO_TEXT($F478), R$1 &amp; ""x(\d+)"")), """")"),"")</f>
        <v/>
      </c>
      <c r="S478" s="9" t="str">
        <f ca="1">IFERROR(__xludf.DUMMYFUNCTION("IFERROR(VALUE(REGEXEXTRACT(TO_TEXT($F478), S$1 &amp; ""x(\d+)"")), """")"),"")</f>
        <v/>
      </c>
      <c r="T478" s="9" t="str">
        <f ca="1">IFERROR(__xludf.DUMMYFUNCTION("IFERROR(VALUE(REGEXEXTRACT(TO_TEXT($F478), T$1 &amp; ""x(\d+)"")), """")"),"")</f>
        <v/>
      </c>
      <c r="U478" s="9" t="str">
        <f ca="1">IFERROR(__xludf.DUMMYFUNCTION("IFERROR(VALUE(REGEXEXTRACT(TO_TEXT($F478), U$1 &amp; ""x(\d+)"")), """")"),"")</f>
        <v/>
      </c>
      <c r="V478" s="9" t="str">
        <f ca="1">IFERROR(__xludf.DUMMYFUNCTION("IFERROR(VALUE(REGEXEXTRACT(TO_TEXT($F478), V$1 &amp; ""x(\d+)"")), """")"),"")</f>
        <v/>
      </c>
      <c r="W478" s="9"/>
      <c r="X478" s="9"/>
      <c r="Y478" s="9"/>
      <c r="Z478" s="9"/>
    </row>
    <row r="479" spans="1:26" ht="15.75" hidden="1" customHeight="1">
      <c r="A479" s="9" t="s">
        <v>309</v>
      </c>
      <c r="B479" s="9" t="s">
        <v>1558</v>
      </c>
      <c r="C479" s="9" t="s">
        <v>310</v>
      </c>
      <c r="D479" s="9" t="s">
        <v>40</v>
      </c>
      <c r="E479" s="9" t="s">
        <v>12</v>
      </c>
      <c r="F479" s="9" t="s">
        <v>1376</v>
      </c>
      <c r="G479" s="9">
        <v>100</v>
      </c>
      <c r="H479" s="9">
        <v>4</v>
      </c>
      <c r="I479" s="9">
        <v>1.0149999999999999</v>
      </c>
      <c r="J479" s="9">
        <v>378</v>
      </c>
      <c r="K479" s="9" t="s">
        <v>442</v>
      </c>
      <c r="L479" s="9" t="s">
        <v>1015</v>
      </c>
      <c r="M479" s="9"/>
      <c r="N479" s="9" t="str">
        <f ca="1">IFERROR(__xludf.DUMMYFUNCTION("IFERROR(VALUE(REGEXEXTRACT(TO_TEXT($F479), N$1 &amp; ""x(\d+)"")), """")
"),"")</f>
        <v/>
      </c>
      <c r="O479" s="9" t="str">
        <f ca="1">IFERROR(__xludf.DUMMYFUNCTION("IFERROR(VALUE(REGEXEXTRACT(TO_TEXT($F479), O$1 &amp; ""x(\d+)"")), """")"),"")</f>
        <v/>
      </c>
      <c r="P479" s="9" t="str">
        <f ca="1">IFERROR(__xludf.DUMMYFUNCTION("IFERROR(VALUE(REGEXEXTRACT(TO_TEXT($F479), P$1 &amp; ""x(\d+)"")), """")"),"")</f>
        <v/>
      </c>
      <c r="Q479" s="9" t="str">
        <f ca="1">IFERROR(__xludf.DUMMYFUNCTION("IFERROR(VALUE(REGEXEXTRACT(TO_TEXT($F479), Q$1 &amp; ""x(\d+)"")), """")"),"")</f>
        <v/>
      </c>
      <c r="R479" s="9" t="str">
        <f ca="1">IFERROR(__xludf.DUMMYFUNCTION("IFERROR(VALUE(REGEXEXTRACT(TO_TEXT($F479), R$1 &amp; ""x(\d+)"")), """")"),"")</f>
        <v/>
      </c>
      <c r="S479" s="9">
        <f ca="1">IFERROR(__xludf.DUMMYFUNCTION("IFERROR(VALUE(REGEXEXTRACT(TO_TEXT($F479), S$1 &amp; ""x(\d+)"")), """")"),1)</f>
        <v>1</v>
      </c>
      <c r="T479" s="9" t="str">
        <f ca="1">IFERROR(__xludf.DUMMYFUNCTION("IFERROR(VALUE(REGEXEXTRACT(TO_TEXT($F479), T$1 &amp; ""x(\d+)"")), """")"),"")</f>
        <v/>
      </c>
      <c r="U479" s="9" t="str">
        <f ca="1">IFERROR(__xludf.DUMMYFUNCTION("IFERROR(VALUE(REGEXEXTRACT(TO_TEXT($F479), U$1 &amp; ""x(\d+)"")), """")"),"")</f>
        <v/>
      </c>
      <c r="V479" s="9" t="str">
        <f ca="1">IFERROR(__xludf.DUMMYFUNCTION("IFERROR(VALUE(REGEXEXTRACT(TO_TEXT($F479), V$1 &amp; ""x(\d+)"")), """")"),"")</f>
        <v/>
      </c>
      <c r="W479" s="9"/>
      <c r="X479" s="9"/>
      <c r="Y479" s="9"/>
      <c r="Z479" s="9"/>
    </row>
    <row r="480" spans="1:26" ht="15.75" hidden="1" customHeight="1">
      <c r="A480" s="9" t="s">
        <v>309</v>
      </c>
      <c r="B480" s="9" t="s">
        <v>1558</v>
      </c>
      <c r="C480" s="9" t="s">
        <v>310</v>
      </c>
      <c r="D480" s="9" t="s">
        <v>40</v>
      </c>
      <c r="E480" s="9" t="s">
        <v>13</v>
      </c>
      <c r="F480" s="9" t="s">
        <v>1133</v>
      </c>
      <c r="G480" s="9">
        <v>30</v>
      </c>
      <c r="H480" s="9">
        <v>4</v>
      </c>
      <c r="I480" s="9">
        <v>1.0149999999999999</v>
      </c>
      <c r="J480" s="9">
        <v>378</v>
      </c>
      <c r="K480" s="9" t="s">
        <v>442</v>
      </c>
      <c r="L480" s="9"/>
      <c r="M480" s="9"/>
      <c r="N480" s="9" t="str">
        <f ca="1">IFERROR(__xludf.DUMMYFUNCTION("IFERROR(VALUE(REGEXEXTRACT(TO_TEXT($F480), N$1 &amp; ""x(\d+)"")), """")
"),"")</f>
        <v/>
      </c>
      <c r="O480" s="9" t="str">
        <f ca="1">IFERROR(__xludf.DUMMYFUNCTION("IFERROR(VALUE(REGEXEXTRACT(TO_TEXT($F480), O$1 &amp; ""x(\d+)"")), """")"),"")</f>
        <v/>
      </c>
      <c r="P480" s="9" t="str">
        <f ca="1">IFERROR(__xludf.DUMMYFUNCTION("IFERROR(VALUE(REGEXEXTRACT(TO_TEXT($F480), P$1 &amp; ""x(\d+)"")), """")"),"")</f>
        <v/>
      </c>
      <c r="Q480" s="9" t="str">
        <f ca="1">IFERROR(__xludf.DUMMYFUNCTION("IFERROR(VALUE(REGEXEXTRACT(TO_TEXT($F480), Q$1 &amp; ""x(\d+)"")), """")"),"")</f>
        <v/>
      </c>
      <c r="R480" s="9" t="str">
        <f ca="1">IFERROR(__xludf.DUMMYFUNCTION("IFERROR(VALUE(REGEXEXTRACT(TO_TEXT($F480), R$1 &amp; ""x(\d+)"")), """")"),"")</f>
        <v/>
      </c>
      <c r="S480" s="9">
        <f ca="1">IFERROR(__xludf.DUMMYFUNCTION("IFERROR(VALUE(REGEXEXTRACT(TO_TEXT($F480), S$1 &amp; ""x(\d+)"")), """")"),1)</f>
        <v>1</v>
      </c>
      <c r="T480" s="9" t="str">
        <f ca="1">IFERROR(__xludf.DUMMYFUNCTION("IFERROR(VALUE(REGEXEXTRACT(TO_TEXT($F480), T$1 &amp; ""x(\d+)"")), """")"),"")</f>
        <v/>
      </c>
      <c r="U480" s="9" t="str">
        <f ca="1">IFERROR(__xludf.DUMMYFUNCTION("IFERROR(VALUE(REGEXEXTRACT(TO_TEXT($F480), U$1 &amp; ""x(\d+)"")), """")"),"")</f>
        <v/>
      </c>
      <c r="V480" s="9" t="str">
        <f ca="1">IFERROR(__xludf.DUMMYFUNCTION("IFERROR(VALUE(REGEXEXTRACT(TO_TEXT($F480), V$1 &amp; ""x(\d+)"")), """")"),"")</f>
        <v/>
      </c>
      <c r="W480" s="9"/>
      <c r="X480" s="9"/>
      <c r="Y480" s="9"/>
      <c r="Z480" s="9"/>
    </row>
    <row r="481" spans="1:26" ht="15.75" hidden="1" customHeight="1">
      <c r="A481" s="9" t="s">
        <v>87</v>
      </c>
      <c r="B481" s="9" t="s">
        <v>1561</v>
      </c>
      <c r="C481" s="9" t="s">
        <v>88</v>
      </c>
      <c r="D481" s="9" t="s">
        <v>40</v>
      </c>
      <c r="E481" s="9" t="s">
        <v>11</v>
      </c>
      <c r="F481" s="9" t="s">
        <v>1319</v>
      </c>
      <c r="G481" s="9">
        <v>25</v>
      </c>
      <c r="H481" s="9">
        <v>5</v>
      </c>
      <c r="I481" s="9">
        <v>1.0149999999999999</v>
      </c>
      <c r="J481" s="9">
        <v>170</v>
      </c>
      <c r="K481" s="9" t="s">
        <v>442</v>
      </c>
      <c r="L481" s="9"/>
      <c r="M481" s="9"/>
      <c r="N481" s="9" t="str">
        <f ca="1">IFERROR(__xludf.DUMMYFUNCTION("IFERROR(VALUE(REGEXEXTRACT(TO_TEXT($F481), N$1 &amp; ""x(\d+)"")), """")
"),"")</f>
        <v/>
      </c>
      <c r="O481" s="9" t="str">
        <f ca="1">IFERROR(__xludf.DUMMYFUNCTION("IFERROR(VALUE(REGEXEXTRACT(TO_TEXT($F481), O$1 &amp; ""x(\d+)"")), """")"),"")</f>
        <v/>
      </c>
      <c r="P481" s="9" t="str">
        <f ca="1">IFERROR(__xludf.DUMMYFUNCTION("IFERROR(VALUE(REGEXEXTRACT(TO_TEXT($F481), P$1 &amp; ""x(\d+)"")), """")"),"")</f>
        <v/>
      </c>
      <c r="Q481" s="9" t="str">
        <f ca="1">IFERROR(__xludf.DUMMYFUNCTION("IFERROR(VALUE(REGEXEXTRACT(TO_TEXT($F481), Q$1 &amp; ""x(\d+)"")), """")"),"")</f>
        <v/>
      </c>
      <c r="R481" s="9" t="str">
        <f ca="1">IFERROR(__xludf.DUMMYFUNCTION("IFERROR(VALUE(REGEXEXTRACT(TO_TEXT($F481), R$1 &amp; ""x(\d+)"")), """")"),"")</f>
        <v/>
      </c>
      <c r="S481" s="9" t="str">
        <f ca="1">IFERROR(__xludf.DUMMYFUNCTION("IFERROR(VALUE(REGEXEXTRACT(TO_TEXT($F481), S$1 &amp; ""x(\d+)"")), """")"),"")</f>
        <v/>
      </c>
      <c r="T481" s="9" t="str">
        <f ca="1">IFERROR(__xludf.DUMMYFUNCTION("IFERROR(VALUE(REGEXEXTRACT(TO_TEXT($F481), T$1 &amp; ""x(\d+)"")), """")"),"")</f>
        <v/>
      </c>
      <c r="U481" s="9" t="str">
        <f ca="1">IFERROR(__xludf.DUMMYFUNCTION("IFERROR(VALUE(REGEXEXTRACT(TO_TEXT($F481), U$1 &amp; ""x(\d+)"")), """")"),"")</f>
        <v/>
      </c>
      <c r="V481" s="9" t="str">
        <f ca="1">IFERROR(__xludf.DUMMYFUNCTION("IFERROR(VALUE(REGEXEXTRACT(TO_TEXT($F481), V$1 &amp; ""x(\d+)"")), """")"),"")</f>
        <v/>
      </c>
      <c r="W481" s="9"/>
      <c r="X481" s="9"/>
      <c r="Y481" s="9"/>
      <c r="Z481" s="9"/>
    </row>
    <row r="482" spans="1:26" ht="15.75" hidden="1" customHeight="1">
      <c r="A482" s="9" t="s">
        <v>87</v>
      </c>
      <c r="B482" s="9" t="s">
        <v>1561</v>
      </c>
      <c r="C482" s="9" t="s">
        <v>88</v>
      </c>
      <c r="D482" s="9" t="s">
        <v>40</v>
      </c>
      <c r="E482" s="9" t="s">
        <v>12</v>
      </c>
      <c r="F482" s="9" t="s">
        <v>1562</v>
      </c>
      <c r="G482" s="9">
        <v>70</v>
      </c>
      <c r="H482" s="9">
        <v>5</v>
      </c>
      <c r="I482" s="9">
        <v>1.0149999999999999</v>
      </c>
      <c r="J482" s="9">
        <v>170</v>
      </c>
      <c r="K482" s="9" t="s">
        <v>442</v>
      </c>
      <c r="L482" s="9" t="s">
        <v>1015</v>
      </c>
      <c r="M482" s="9"/>
      <c r="N482" s="9" t="str">
        <f ca="1">IFERROR(__xludf.DUMMYFUNCTION("IFERROR(VALUE(REGEXEXTRACT(TO_TEXT($F482), N$1 &amp; ""x(\d+)"")), """")
"),"")</f>
        <v/>
      </c>
      <c r="O482" s="9">
        <f ca="1">IFERROR(__xludf.DUMMYFUNCTION("IFERROR(VALUE(REGEXEXTRACT(TO_TEXT($F482), O$1 &amp; ""x(\d+)"")), """")"),1)</f>
        <v>1</v>
      </c>
      <c r="P482" s="9" t="str">
        <f ca="1">IFERROR(__xludf.DUMMYFUNCTION("IFERROR(VALUE(REGEXEXTRACT(TO_TEXT($F482), P$1 &amp; ""x(\d+)"")), """")"),"")</f>
        <v/>
      </c>
      <c r="Q482" s="9" t="str">
        <f ca="1">IFERROR(__xludf.DUMMYFUNCTION("IFERROR(VALUE(REGEXEXTRACT(TO_TEXT($F482), Q$1 &amp; ""x(\d+)"")), """")"),"")</f>
        <v/>
      </c>
      <c r="R482" s="9" t="str">
        <f ca="1">IFERROR(__xludf.DUMMYFUNCTION("IFERROR(VALUE(REGEXEXTRACT(TO_TEXT($F482), R$1 &amp; ""x(\d+)"")), """")"),"")</f>
        <v/>
      </c>
      <c r="S482" s="9">
        <f ca="1">IFERROR(__xludf.DUMMYFUNCTION("IFERROR(VALUE(REGEXEXTRACT(TO_TEXT($F482), S$1 &amp; ""x(\d+)"")), """")"),1)</f>
        <v>1</v>
      </c>
      <c r="T482" s="9" t="str">
        <f ca="1">IFERROR(__xludf.DUMMYFUNCTION("IFERROR(VALUE(REGEXEXTRACT(TO_TEXT($F482), T$1 &amp; ""x(\d+)"")), """")"),"")</f>
        <v/>
      </c>
      <c r="U482" s="9" t="str">
        <f ca="1">IFERROR(__xludf.DUMMYFUNCTION("IFERROR(VALUE(REGEXEXTRACT(TO_TEXT($F482), U$1 &amp; ""x(\d+)"")), """")"),"")</f>
        <v/>
      </c>
      <c r="V482" s="9" t="str">
        <f ca="1">IFERROR(__xludf.DUMMYFUNCTION("IFERROR(VALUE(REGEXEXTRACT(TO_TEXT($F482), V$1 &amp; ""x(\d+)"")), """")"),"")</f>
        <v/>
      </c>
      <c r="W482" s="9"/>
      <c r="X482" s="9"/>
      <c r="Y482" s="9"/>
      <c r="Z482" s="9"/>
    </row>
    <row r="483" spans="1:26" ht="15.75" hidden="1" customHeight="1">
      <c r="A483" s="9" t="s">
        <v>87</v>
      </c>
      <c r="B483" s="9" t="s">
        <v>1561</v>
      </c>
      <c r="C483" s="9" t="s">
        <v>88</v>
      </c>
      <c r="D483" s="9" t="s">
        <v>40</v>
      </c>
      <c r="E483" s="9" t="s">
        <v>13</v>
      </c>
      <c r="F483" s="9" t="s">
        <v>1563</v>
      </c>
      <c r="G483" s="9">
        <v>30</v>
      </c>
      <c r="H483" s="9">
        <v>5</v>
      </c>
      <c r="I483" s="9">
        <v>1.0149999999999999</v>
      </c>
      <c r="J483" s="9">
        <v>170</v>
      </c>
      <c r="K483" s="9" t="s">
        <v>442</v>
      </c>
      <c r="L483" s="9"/>
      <c r="M483" s="9"/>
      <c r="N483" s="9" t="str">
        <f ca="1">IFERROR(__xludf.DUMMYFUNCTION("IFERROR(VALUE(REGEXEXTRACT(TO_TEXT($F483), N$1 &amp; ""x(\d+)"")), """")
"),"")</f>
        <v/>
      </c>
      <c r="O483" s="9">
        <f ca="1">IFERROR(__xludf.DUMMYFUNCTION("IFERROR(VALUE(REGEXEXTRACT(TO_TEXT($F483), O$1 &amp; ""x(\d+)"")), """")"),1)</f>
        <v>1</v>
      </c>
      <c r="P483" s="9" t="str">
        <f ca="1">IFERROR(__xludf.DUMMYFUNCTION("IFERROR(VALUE(REGEXEXTRACT(TO_TEXT($F483), P$1 &amp; ""x(\d+)"")), """")"),"")</f>
        <v/>
      </c>
      <c r="Q483" s="9" t="str">
        <f ca="1">IFERROR(__xludf.DUMMYFUNCTION("IFERROR(VALUE(REGEXEXTRACT(TO_TEXT($F483), Q$1 &amp; ""x(\d+)"")), """")"),"")</f>
        <v/>
      </c>
      <c r="R483" s="9" t="str">
        <f ca="1">IFERROR(__xludf.DUMMYFUNCTION("IFERROR(VALUE(REGEXEXTRACT(TO_TEXT($F483), R$1 &amp; ""x(\d+)"")), """")"),"")</f>
        <v/>
      </c>
      <c r="S483" s="9">
        <f ca="1">IFERROR(__xludf.DUMMYFUNCTION("IFERROR(VALUE(REGEXEXTRACT(TO_TEXT($F483), S$1 &amp; ""x(\d+)"")), """")"),1)</f>
        <v>1</v>
      </c>
      <c r="T483" s="9" t="str">
        <f ca="1">IFERROR(__xludf.DUMMYFUNCTION("IFERROR(VALUE(REGEXEXTRACT(TO_TEXT($F483), T$1 &amp; ""x(\d+)"")), """")"),"")</f>
        <v/>
      </c>
      <c r="U483" s="9" t="str">
        <f ca="1">IFERROR(__xludf.DUMMYFUNCTION("IFERROR(VALUE(REGEXEXTRACT(TO_TEXT($F483), U$1 &amp; ""x(\d+)"")), """")"),"")</f>
        <v/>
      </c>
      <c r="V483" s="9" t="str">
        <f ca="1">IFERROR(__xludf.DUMMYFUNCTION("IFERROR(VALUE(REGEXEXTRACT(TO_TEXT($F483), V$1 &amp; ""x(\d+)"")), """")"),"")</f>
        <v/>
      </c>
      <c r="W483" s="9"/>
      <c r="X483" s="9"/>
      <c r="Y483" s="9"/>
      <c r="Z483" s="9"/>
    </row>
    <row r="484" spans="1:26" ht="15.75" customHeight="1">
      <c r="A484" s="9" t="s">
        <v>31</v>
      </c>
      <c r="B484" s="9" t="s">
        <v>1561</v>
      </c>
      <c r="C484" s="9" t="s">
        <v>32</v>
      </c>
      <c r="D484" s="9" t="s">
        <v>33</v>
      </c>
      <c r="E484" s="9" t="s">
        <v>11</v>
      </c>
      <c r="F484" s="9" t="s">
        <v>1319</v>
      </c>
      <c r="G484" s="9">
        <v>25</v>
      </c>
      <c r="H484" s="9">
        <v>5</v>
      </c>
      <c r="I484" s="9">
        <v>1.0149999999999999</v>
      </c>
      <c r="J484" s="9">
        <v>105</v>
      </c>
      <c r="K484" s="9" t="s">
        <v>442</v>
      </c>
      <c r="L484" s="9"/>
      <c r="M484" s="9"/>
      <c r="N484" s="9" t="str">
        <f ca="1">IFERROR(__xludf.DUMMYFUNCTION("IFERROR(VALUE(REGEXEXTRACT(TO_TEXT($F484), N$1 &amp; ""x(\d+)"")), """")
"),"")</f>
        <v/>
      </c>
      <c r="O484" s="9" t="str">
        <f ca="1">IFERROR(__xludf.DUMMYFUNCTION("IFERROR(VALUE(REGEXEXTRACT(TO_TEXT($F484), O$1 &amp; ""x(\d+)"")), """")"),"")</f>
        <v/>
      </c>
      <c r="P484" s="9" t="str">
        <f ca="1">IFERROR(__xludf.DUMMYFUNCTION("IFERROR(VALUE(REGEXEXTRACT(TO_TEXT($F484), P$1 &amp; ""x(\d+)"")), """")"),"")</f>
        <v/>
      </c>
      <c r="Q484" s="9" t="str">
        <f ca="1">IFERROR(__xludf.DUMMYFUNCTION("IFERROR(VALUE(REGEXEXTRACT(TO_TEXT($F484), Q$1 &amp; ""x(\d+)"")), """")"),"")</f>
        <v/>
      </c>
      <c r="R484" s="9" t="str">
        <f ca="1">IFERROR(__xludf.DUMMYFUNCTION("IFERROR(VALUE(REGEXEXTRACT(TO_TEXT($F484), R$1 &amp; ""x(\d+)"")), """")"),"")</f>
        <v/>
      </c>
      <c r="S484" s="9" t="str">
        <f ca="1">IFERROR(__xludf.DUMMYFUNCTION("IFERROR(VALUE(REGEXEXTRACT(TO_TEXT($F484), S$1 &amp; ""x(\d+)"")), """")"),"")</f>
        <v/>
      </c>
      <c r="T484" s="9" t="str">
        <f ca="1">IFERROR(__xludf.DUMMYFUNCTION("IFERROR(VALUE(REGEXEXTRACT(TO_TEXT($F484), T$1 &amp; ""x(\d+)"")), """")"),"")</f>
        <v/>
      </c>
      <c r="U484" s="9" t="str">
        <f ca="1">IFERROR(__xludf.DUMMYFUNCTION("IFERROR(VALUE(REGEXEXTRACT(TO_TEXT($F484), U$1 &amp; ""x(\d+)"")), """")"),"")</f>
        <v/>
      </c>
      <c r="V484" s="9" t="str">
        <f ca="1">IFERROR(__xludf.DUMMYFUNCTION("IFERROR(VALUE(REGEXEXTRACT(TO_TEXT($F484), V$1 &amp; ""x(\d+)"")), """")"),"")</f>
        <v/>
      </c>
      <c r="W484" s="9"/>
      <c r="X484" s="9"/>
      <c r="Y484" s="9"/>
      <c r="Z484" s="9"/>
    </row>
    <row r="485" spans="1:26" ht="15.75" customHeight="1">
      <c r="A485" s="9" t="s">
        <v>31</v>
      </c>
      <c r="B485" s="9" t="s">
        <v>1561</v>
      </c>
      <c r="C485" s="9" t="s">
        <v>32</v>
      </c>
      <c r="D485" s="9" t="s">
        <v>33</v>
      </c>
      <c r="E485" s="9" t="s">
        <v>12</v>
      </c>
      <c r="F485" s="9" t="s">
        <v>1564</v>
      </c>
      <c r="G485" s="9">
        <v>70</v>
      </c>
      <c r="H485" s="9">
        <v>5</v>
      </c>
      <c r="I485" s="9">
        <v>1.0149999999999999</v>
      </c>
      <c r="J485" s="9">
        <v>105</v>
      </c>
      <c r="K485" s="9" t="s">
        <v>442</v>
      </c>
      <c r="L485" s="9"/>
      <c r="M485" s="9"/>
      <c r="N485" s="9" t="str">
        <f ca="1">IFERROR(__xludf.DUMMYFUNCTION("IFERROR(VALUE(REGEXEXTRACT(TO_TEXT($F485), N$1 &amp; ""x(\d+)"")), """")
"),"")</f>
        <v/>
      </c>
      <c r="O485" s="9">
        <f ca="1">IFERROR(__xludf.DUMMYFUNCTION("IFERROR(VALUE(REGEXEXTRACT(TO_TEXT($F485), O$1 &amp; ""x(\d+)"")), """")"),1)</f>
        <v>1</v>
      </c>
      <c r="P485" s="9" t="str">
        <f ca="1">IFERROR(__xludf.DUMMYFUNCTION("IFERROR(VALUE(REGEXEXTRACT(TO_TEXT($F485), P$1 &amp; ""x(\d+)"")), """")"),"")</f>
        <v/>
      </c>
      <c r="Q485" s="9" t="str">
        <f ca="1">IFERROR(__xludf.DUMMYFUNCTION("IFERROR(VALUE(REGEXEXTRACT(TO_TEXT($F485), Q$1 &amp; ""x(\d+)"")), """")"),"")</f>
        <v/>
      </c>
      <c r="R485" s="9" t="str">
        <f ca="1">IFERROR(__xludf.DUMMYFUNCTION("IFERROR(VALUE(REGEXEXTRACT(TO_TEXT($F485), R$1 &amp; ""x(\d+)"")), """")"),"")</f>
        <v/>
      </c>
      <c r="S485" s="9" t="str">
        <f ca="1">IFERROR(__xludf.DUMMYFUNCTION("IFERROR(VALUE(REGEXEXTRACT(TO_TEXT($F485), S$1 &amp; ""x(\d+)"")), """")"),"")</f>
        <v/>
      </c>
      <c r="T485" s="9" t="str">
        <f ca="1">IFERROR(__xludf.DUMMYFUNCTION("IFERROR(VALUE(REGEXEXTRACT(TO_TEXT($F485), T$1 &amp; ""x(\d+)"")), """")"),"")</f>
        <v/>
      </c>
      <c r="U485" s="9" t="str">
        <f ca="1">IFERROR(__xludf.DUMMYFUNCTION("IFERROR(VALUE(REGEXEXTRACT(TO_TEXT($F485), U$1 &amp; ""x(\d+)"")), """")"),"")</f>
        <v/>
      </c>
      <c r="V485" s="9" t="str">
        <f ca="1">IFERROR(__xludf.DUMMYFUNCTION("IFERROR(VALUE(REGEXEXTRACT(TO_TEXT($F485), V$1 &amp; ""x(\d+)"")), """")"),"")</f>
        <v/>
      </c>
      <c r="W485" s="9"/>
      <c r="X485" s="9"/>
      <c r="Y485" s="9"/>
      <c r="Z485" s="9"/>
    </row>
    <row r="486" spans="1:26" ht="15.75" customHeight="1">
      <c r="A486" s="9" t="s">
        <v>31</v>
      </c>
      <c r="B486" s="9" t="s">
        <v>1561</v>
      </c>
      <c r="C486" s="9" t="s">
        <v>32</v>
      </c>
      <c r="D486" s="9" t="s">
        <v>33</v>
      </c>
      <c r="E486" s="9" t="s">
        <v>13</v>
      </c>
      <c r="F486" s="9" t="s">
        <v>1130</v>
      </c>
      <c r="G486" s="9">
        <v>15</v>
      </c>
      <c r="H486" s="9">
        <v>5</v>
      </c>
      <c r="I486" s="9">
        <v>1.0149999999999999</v>
      </c>
      <c r="J486" s="9">
        <v>105</v>
      </c>
      <c r="K486" s="9" t="s">
        <v>442</v>
      </c>
      <c r="L486" s="9"/>
      <c r="M486" s="9"/>
      <c r="N486" s="9" t="str">
        <f ca="1">IFERROR(__xludf.DUMMYFUNCTION("IFERROR(VALUE(REGEXEXTRACT(TO_TEXT($F486), N$1 &amp; ""x(\d+)"")), """")
"),"")</f>
        <v/>
      </c>
      <c r="O486" s="9">
        <f ca="1">IFERROR(__xludf.DUMMYFUNCTION("IFERROR(VALUE(REGEXEXTRACT(TO_TEXT($F486), O$1 &amp; ""x(\d+)"")), """")"),1)</f>
        <v>1</v>
      </c>
      <c r="P486" s="9" t="str">
        <f ca="1">IFERROR(__xludf.DUMMYFUNCTION("IFERROR(VALUE(REGEXEXTRACT(TO_TEXT($F486), P$1 &amp; ""x(\d+)"")), """")"),"")</f>
        <v/>
      </c>
      <c r="Q486" s="9" t="str">
        <f ca="1">IFERROR(__xludf.DUMMYFUNCTION("IFERROR(VALUE(REGEXEXTRACT(TO_TEXT($F486), Q$1 &amp; ""x(\d+)"")), """")"),"")</f>
        <v/>
      </c>
      <c r="R486" s="9" t="str">
        <f ca="1">IFERROR(__xludf.DUMMYFUNCTION("IFERROR(VALUE(REGEXEXTRACT(TO_TEXT($F486), R$1 &amp; ""x(\d+)"")), """")"),"")</f>
        <v/>
      </c>
      <c r="S486" s="9" t="str">
        <f ca="1">IFERROR(__xludf.DUMMYFUNCTION("IFERROR(VALUE(REGEXEXTRACT(TO_TEXT($F486), S$1 &amp; ""x(\d+)"")), """")"),"")</f>
        <v/>
      </c>
      <c r="T486" s="9" t="str">
        <f ca="1">IFERROR(__xludf.DUMMYFUNCTION("IFERROR(VALUE(REGEXEXTRACT(TO_TEXT($F486), T$1 &amp; ""x(\d+)"")), """")"),"")</f>
        <v/>
      </c>
      <c r="U486" s="9" t="str">
        <f ca="1">IFERROR(__xludf.DUMMYFUNCTION("IFERROR(VALUE(REGEXEXTRACT(TO_TEXT($F486), U$1 &amp; ""x(\d+)"")), """")"),"")</f>
        <v/>
      </c>
      <c r="V486" s="9" t="str">
        <f ca="1">IFERROR(__xludf.DUMMYFUNCTION("IFERROR(VALUE(REGEXEXTRACT(TO_TEXT($F486), V$1 &amp; ""x(\d+)"")), """")"),"")</f>
        <v/>
      </c>
      <c r="W486" s="9"/>
      <c r="X486" s="9"/>
      <c r="Y486" s="9"/>
      <c r="Z486" s="9"/>
    </row>
    <row r="487" spans="1:26" ht="15.75" hidden="1" customHeight="1">
      <c r="A487" s="9" t="s">
        <v>1565</v>
      </c>
      <c r="B487" s="9" t="s">
        <v>1566</v>
      </c>
      <c r="C487" s="9" t="s">
        <v>592</v>
      </c>
      <c r="D487" s="9" t="s">
        <v>48</v>
      </c>
      <c r="E487" s="9" t="s">
        <v>11</v>
      </c>
      <c r="F487" s="9" t="s">
        <v>1567</v>
      </c>
      <c r="G487" s="9">
        <v>140</v>
      </c>
      <c r="H487" s="9">
        <v>5</v>
      </c>
      <c r="I487" s="9">
        <v>1.0149999999999999</v>
      </c>
      <c r="J487" s="9">
        <v>52</v>
      </c>
      <c r="K487" s="9" t="s">
        <v>424</v>
      </c>
      <c r="L487" s="9"/>
      <c r="M487" s="9"/>
      <c r="N487" s="9" t="str">
        <f ca="1">IFERROR(__xludf.DUMMYFUNCTION("IFERROR(VALUE(REGEXEXTRACT(TO_TEXT($F487), N$1 &amp; ""x(\d+)"")), """")
"),"")</f>
        <v/>
      </c>
      <c r="O487" s="9" t="str">
        <f ca="1">IFERROR(__xludf.DUMMYFUNCTION("IFERROR(VALUE(REGEXEXTRACT(TO_TEXT($F487), O$1 &amp; ""x(\d+)"")), """")"),"")</f>
        <v/>
      </c>
      <c r="P487" s="9" t="str">
        <f ca="1">IFERROR(__xludf.DUMMYFUNCTION("IFERROR(VALUE(REGEXEXTRACT(TO_TEXT($F487), P$1 &amp; ""x(\d+)"")), """")"),"")</f>
        <v/>
      </c>
      <c r="Q487" s="9" t="str">
        <f ca="1">IFERROR(__xludf.DUMMYFUNCTION("IFERROR(VALUE(REGEXEXTRACT(TO_TEXT($F487), Q$1 &amp; ""x(\d+)"")), """")"),"")</f>
        <v/>
      </c>
      <c r="R487" s="9" t="str">
        <f ca="1">IFERROR(__xludf.DUMMYFUNCTION("IFERROR(VALUE(REGEXEXTRACT(TO_TEXT($F487), R$1 &amp; ""x(\d+)"")), """")"),"")</f>
        <v/>
      </c>
      <c r="S487" s="9" t="str">
        <f ca="1">IFERROR(__xludf.DUMMYFUNCTION("IFERROR(VALUE(REGEXEXTRACT(TO_TEXT($F487), S$1 &amp; ""x(\d+)"")), """")"),"")</f>
        <v/>
      </c>
      <c r="T487" s="9" t="str">
        <f ca="1">IFERROR(__xludf.DUMMYFUNCTION("IFERROR(VALUE(REGEXEXTRACT(TO_TEXT($F487), T$1 &amp; ""x(\d+)"")), """")"),"")</f>
        <v/>
      </c>
      <c r="U487" s="9" t="str">
        <f ca="1">IFERROR(__xludf.DUMMYFUNCTION("IFERROR(VALUE(REGEXEXTRACT(TO_TEXT($F487), U$1 &amp; ""x(\d+)"")), """")"),"")</f>
        <v/>
      </c>
      <c r="V487" s="9" t="str">
        <f ca="1">IFERROR(__xludf.DUMMYFUNCTION("IFERROR(VALUE(REGEXEXTRACT(TO_TEXT($F487), V$1 &amp; ""x(\d+)"")), """")"),"")</f>
        <v/>
      </c>
      <c r="W487" s="9"/>
      <c r="X487" s="9"/>
      <c r="Y487" s="9"/>
      <c r="Z487" s="9"/>
    </row>
    <row r="488" spans="1:26" ht="15.75" hidden="1" customHeight="1">
      <c r="A488" s="9" t="s">
        <v>1565</v>
      </c>
      <c r="B488" s="9" t="s">
        <v>1566</v>
      </c>
      <c r="C488" s="9" t="s">
        <v>592</v>
      </c>
      <c r="D488" s="9" t="s">
        <v>48</v>
      </c>
      <c r="E488" s="9" t="s">
        <v>12</v>
      </c>
      <c r="F488" s="9" t="s">
        <v>1568</v>
      </c>
      <c r="G488" s="9">
        <v>140</v>
      </c>
      <c r="H488" s="9">
        <v>5</v>
      </c>
      <c r="I488" s="9">
        <v>1.0149999999999999</v>
      </c>
      <c r="J488" s="9">
        <v>52</v>
      </c>
      <c r="K488" s="9" t="s">
        <v>424</v>
      </c>
      <c r="L488" s="9" t="s">
        <v>1488</v>
      </c>
      <c r="M488" s="9"/>
      <c r="N488" s="9" t="str">
        <f ca="1">IFERROR(__xludf.DUMMYFUNCTION("IFERROR(VALUE(REGEXEXTRACT(TO_TEXT($F488), N$1 &amp; ""x(\d+)"")), """")
"),"")</f>
        <v/>
      </c>
      <c r="O488" s="9" t="str">
        <f ca="1">IFERROR(__xludf.DUMMYFUNCTION("IFERROR(VALUE(REGEXEXTRACT(TO_TEXT($F488), O$1 &amp; ""x(\d+)"")), """")"),"")</f>
        <v/>
      </c>
      <c r="P488" s="9">
        <f ca="1">IFERROR(__xludf.DUMMYFUNCTION("IFERROR(VALUE(REGEXEXTRACT(TO_TEXT($F488), P$1 &amp; ""x(\d+)"")), """")"),1)</f>
        <v>1</v>
      </c>
      <c r="Q488" s="9" t="str">
        <f ca="1">IFERROR(__xludf.DUMMYFUNCTION("IFERROR(VALUE(REGEXEXTRACT(TO_TEXT($F488), Q$1 &amp; ""x(\d+)"")), """")"),"")</f>
        <v/>
      </c>
      <c r="R488" s="9" t="str">
        <f ca="1">IFERROR(__xludf.DUMMYFUNCTION("IFERROR(VALUE(REGEXEXTRACT(TO_TEXT($F488), R$1 &amp; ""x(\d+)"")), """")"),"")</f>
        <v/>
      </c>
      <c r="S488" s="9" t="str">
        <f ca="1">IFERROR(__xludf.DUMMYFUNCTION("IFERROR(VALUE(REGEXEXTRACT(TO_TEXT($F488), S$1 &amp; ""x(\d+)"")), """")"),"")</f>
        <v/>
      </c>
      <c r="T488" s="9">
        <f ca="1">IFERROR(__xludf.DUMMYFUNCTION("IFERROR(VALUE(REGEXEXTRACT(TO_TEXT($F488), T$1 &amp; ""x(\d+)"")), """")"),1)</f>
        <v>1</v>
      </c>
      <c r="U488" s="9" t="str">
        <f ca="1">IFERROR(__xludf.DUMMYFUNCTION("IFERROR(VALUE(REGEXEXTRACT(TO_TEXT($F488), U$1 &amp; ""x(\d+)"")), """")"),"")</f>
        <v/>
      </c>
      <c r="V488" s="9" t="str">
        <f ca="1">IFERROR(__xludf.DUMMYFUNCTION("IFERROR(VALUE(REGEXEXTRACT(TO_TEXT($F488), V$1 &amp; ""x(\d+)"")), """")"),"")</f>
        <v/>
      </c>
      <c r="W488" s="9"/>
      <c r="X488" s="9"/>
      <c r="Y488" s="9"/>
      <c r="Z488" s="9"/>
    </row>
    <row r="489" spans="1:26" ht="15.75" hidden="1" customHeight="1">
      <c r="A489" s="9" t="s">
        <v>1565</v>
      </c>
      <c r="B489" s="9" t="s">
        <v>1566</v>
      </c>
      <c r="C489" s="9" t="s">
        <v>592</v>
      </c>
      <c r="D489" s="9" t="s">
        <v>48</v>
      </c>
      <c r="E489" s="9" t="s">
        <v>13</v>
      </c>
      <c r="F489" s="9" t="s">
        <v>1230</v>
      </c>
      <c r="G489" s="9">
        <v>40</v>
      </c>
      <c r="H489" s="9">
        <v>5</v>
      </c>
      <c r="I489" s="9">
        <v>1.0149999999999999</v>
      </c>
      <c r="J489" s="9">
        <v>52</v>
      </c>
      <c r="K489" s="9" t="s">
        <v>424</v>
      </c>
      <c r="L489" s="9"/>
      <c r="M489" s="9"/>
      <c r="N489" s="9" t="str">
        <f ca="1">IFERROR(__xludf.DUMMYFUNCTION("IFERROR(VALUE(REGEXEXTRACT(TO_TEXT($F489), N$1 &amp; ""x(\d+)"")), """")
"),"")</f>
        <v/>
      </c>
      <c r="O489" s="9" t="str">
        <f ca="1">IFERROR(__xludf.DUMMYFUNCTION("IFERROR(VALUE(REGEXEXTRACT(TO_TEXT($F489), O$1 &amp; ""x(\d+)"")), """")"),"")</f>
        <v/>
      </c>
      <c r="P489" s="9">
        <f ca="1">IFERROR(__xludf.DUMMYFUNCTION("IFERROR(VALUE(REGEXEXTRACT(TO_TEXT($F489), P$1 &amp; ""x(\d+)"")), """")"),1)</f>
        <v>1</v>
      </c>
      <c r="Q489" s="9" t="str">
        <f ca="1">IFERROR(__xludf.DUMMYFUNCTION("IFERROR(VALUE(REGEXEXTRACT(TO_TEXT($F489), Q$1 &amp; ""x(\d+)"")), """")"),"")</f>
        <v/>
      </c>
      <c r="R489" s="9" t="str">
        <f ca="1">IFERROR(__xludf.DUMMYFUNCTION("IFERROR(VALUE(REGEXEXTRACT(TO_TEXT($F489), R$1 &amp; ""x(\d+)"")), """")"),"")</f>
        <v/>
      </c>
      <c r="S489" s="9" t="str">
        <f ca="1">IFERROR(__xludf.DUMMYFUNCTION("IFERROR(VALUE(REGEXEXTRACT(TO_TEXT($F489), S$1 &amp; ""x(\d+)"")), """")"),"")</f>
        <v/>
      </c>
      <c r="T489" s="9">
        <f ca="1">IFERROR(__xludf.DUMMYFUNCTION("IFERROR(VALUE(REGEXEXTRACT(TO_TEXT($F489), T$1 &amp; ""x(\d+)"")), """")"),1)</f>
        <v>1</v>
      </c>
      <c r="U489" s="9" t="str">
        <f ca="1">IFERROR(__xludf.DUMMYFUNCTION("IFERROR(VALUE(REGEXEXTRACT(TO_TEXT($F489), U$1 &amp; ""x(\d+)"")), """")"),"")</f>
        <v/>
      </c>
      <c r="V489" s="9" t="str">
        <f ca="1">IFERROR(__xludf.DUMMYFUNCTION("IFERROR(VALUE(REGEXEXTRACT(TO_TEXT($F489), V$1 &amp; ""x(\d+)"")), """")"),"")</f>
        <v/>
      </c>
      <c r="W489" s="9"/>
      <c r="X489" s="9"/>
      <c r="Y489" s="9"/>
      <c r="Z489" s="9"/>
    </row>
    <row r="490" spans="1:26" ht="15.75" hidden="1" customHeight="1">
      <c r="A490" s="9" t="s">
        <v>1565</v>
      </c>
      <c r="B490" s="9" t="s">
        <v>1566</v>
      </c>
      <c r="C490" s="9" t="s">
        <v>592</v>
      </c>
      <c r="D490" s="9" t="s">
        <v>74</v>
      </c>
      <c r="E490" s="9" t="s">
        <v>11</v>
      </c>
      <c r="F490" s="9" t="s">
        <v>1569</v>
      </c>
      <c r="G490" s="9">
        <v>135</v>
      </c>
      <c r="H490" s="9">
        <v>2</v>
      </c>
      <c r="I490" s="9">
        <v>1.0149999999999999</v>
      </c>
      <c r="J490" s="9">
        <v>103</v>
      </c>
      <c r="K490" s="9" t="s">
        <v>424</v>
      </c>
      <c r="L490" s="9"/>
      <c r="M490" s="9"/>
      <c r="N490" s="9" t="str">
        <f ca="1">IFERROR(__xludf.DUMMYFUNCTION("IFERROR(VALUE(REGEXEXTRACT(TO_TEXT($F490), N$1 &amp; ""x(\d+)"")), """")
"),"")</f>
        <v/>
      </c>
      <c r="O490" s="9" t="str">
        <f ca="1">IFERROR(__xludf.DUMMYFUNCTION("IFERROR(VALUE(REGEXEXTRACT(TO_TEXT($F490), O$1 &amp; ""x(\d+)"")), """")"),"")</f>
        <v/>
      </c>
      <c r="P490" s="9" t="str">
        <f ca="1">IFERROR(__xludf.DUMMYFUNCTION("IFERROR(VALUE(REGEXEXTRACT(TO_TEXT($F490), P$1 &amp; ""x(\d+)"")), """")"),"")</f>
        <v/>
      </c>
      <c r="Q490" s="9" t="str">
        <f ca="1">IFERROR(__xludf.DUMMYFUNCTION("IFERROR(VALUE(REGEXEXTRACT(TO_TEXT($F490), Q$1 &amp; ""x(\d+)"")), """")"),"")</f>
        <v/>
      </c>
      <c r="R490" s="9" t="str">
        <f ca="1">IFERROR(__xludf.DUMMYFUNCTION("IFERROR(VALUE(REGEXEXTRACT(TO_TEXT($F490), R$1 &amp; ""x(\d+)"")), """")"),"")</f>
        <v/>
      </c>
      <c r="S490" s="9" t="str">
        <f ca="1">IFERROR(__xludf.DUMMYFUNCTION("IFERROR(VALUE(REGEXEXTRACT(TO_TEXT($F490), S$1 &amp; ""x(\d+)"")), """")"),"")</f>
        <v/>
      </c>
      <c r="T490" s="9" t="str">
        <f ca="1">IFERROR(__xludf.DUMMYFUNCTION("IFERROR(VALUE(REGEXEXTRACT(TO_TEXT($F490), T$1 &amp; ""x(\d+)"")), """")"),"")</f>
        <v/>
      </c>
      <c r="U490" s="9" t="str">
        <f ca="1">IFERROR(__xludf.DUMMYFUNCTION("IFERROR(VALUE(REGEXEXTRACT(TO_TEXT($F490), U$1 &amp; ""x(\d+)"")), """")"),"")</f>
        <v/>
      </c>
      <c r="V490" s="9" t="str">
        <f ca="1">IFERROR(__xludf.DUMMYFUNCTION("IFERROR(VALUE(REGEXEXTRACT(TO_TEXT($F490), V$1 &amp; ""x(\d+)"")), """")"),"")</f>
        <v/>
      </c>
      <c r="W490" s="9"/>
      <c r="X490" s="9"/>
      <c r="Y490" s="9"/>
      <c r="Z490" s="9"/>
    </row>
    <row r="491" spans="1:26" ht="15.75" hidden="1" customHeight="1">
      <c r="A491" s="9" t="s">
        <v>1565</v>
      </c>
      <c r="B491" s="9" t="s">
        <v>1566</v>
      </c>
      <c r="C491" s="9" t="s">
        <v>592</v>
      </c>
      <c r="D491" s="9" t="s">
        <v>74</v>
      </c>
      <c r="E491" s="9" t="s">
        <v>12</v>
      </c>
      <c r="F491" s="9" t="s">
        <v>1570</v>
      </c>
      <c r="G491" s="9">
        <v>170</v>
      </c>
      <c r="H491" s="9">
        <v>2</v>
      </c>
      <c r="I491" s="9">
        <v>1.0149999999999999</v>
      </c>
      <c r="J491" s="9">
        <v>103</v>
      </c>
      <c r="K491" s="9" t="s">
        <v>424</v>
      </c>
      <c r="L491" s="9" t="s">
        <v>1488</v>
      </c>
      <c r="M491" s="9"/>
      <c r="N491" s="9" t="str">
        <f ca="1">IFERROR(__xludf.DUMMYFUNCTION("IFERROR(VALUE(REGEXEXTRACT(TO_TEXT($F491), N$1 &amp; ""x(\d+)"")), """")
"),"")</f>
        <v/>
      </c>
      <c r="O491" s="9" t="str">
        <f ca="1">IFERROR(__xludf.DUMMYFUNCTION("IFERROR(VALUE(REGEXEXTRACT(TO_TEXT($F491), O$1 &amp; ""x(\d+)"")), """")"),"")</f>
        <v/>
      </c>
      <c r="P491" s="9" t="str">
        <f ca="1">IFERROR(__xludf.DUMMYFUNCTION("IFERROR(VALUE(REGEXEXTRACT(TO_TEXT($F491), P$1 &amp; ""x(\d+)"")), """")"),"")</f>
        <v/>
      </c>
      <c r="Q491" s="9">
        <f ca="1">IFERROR(__xludf.DUMMYFUNCTION("IFERROR(VALUE(REGEXEXTRACT(TO_TEXT($F491), Q$1 &amp; ""x(\d+)"")), """")"),1)</f>
        <v>1</v>
      </c>
      <c r="R491" s="9" t="str">
        <f ca="1">IFERROR(__xludf.DUMMYFUNCTION("IFERROR(VALUE(REGEXEXTRACT(TO_TEXT($F491), R$1 &amp; ""x(\d+)"")), """")"),"")</f>
        <v/>
      </c>
      <c r="S491" s="9" t="str">
        <f ca="1">IFERROR(__xludf.DUMMYFUNCTION("IFERROR(VALUE(REGEXEXTRACT(TO_TEXT($F491), S$1 &amp; ""x(\d+)"")), """")"),"")</f>
        <v/>
      </c>
      <c r="T491" s="9" t="str">
        <f ca="1">IFERROR(__xludf.DUMMYFUNCTION("IFERROR(VALUE(REGEXEXTRACT(TO_TEXT($F491), T$1 &amp; ""x(\d+)"")), """")"),"")</f>
        <v/>
      </c>
      <c r="U491" s="9" t="str">
        <f ca="1">IFERROR(__xludf.DUMMYFUNCTION("IFERROR(VALUE(REGEXEXTRACT(TO_TEXT($F491), U$1 &amp; ""x(\d+)"")), """")"),"")</f>
        <v/>
      </c>
      <c r="V491" s="9" t="str">
        <f ca="1">IFERROR(__xludf.DUMMYFUNCTION("IFERROR(VALUE(REGEXEXTRACT(TO_TEXT($F491), V$1 &amp; ""x(\d+)"")), """")"),"")</f>
        <v/>
      </c>
      <c r="W491" s="9"/>
      <c r="X491" s="9"/>
      <c r="Y491" s="9"/>
      <c r="Z491" s="9"/>
    </row>
    <row r="492" spans="1:26" ht="15.75" hidden="1" customHeight="1">
      <c r="A492" s="9" t="s">
        <v>1565</v>
      </c>
      <c r="B492" s="9" t="s">
        <v>1566</v>
      </c>
      <c r="C492" s="9" t="s">
        <v>592</v>
      </c>
      <c r="D492" s="9" t="s">
        <v>74</v>
      </c>
      <c r="E492" s="9" t="s">
        <v>13</v>
      </c>
      <c r="F492" s="9" t="s">
        <v>1571</v>
      </c>
      <c r="G492" s="9">
        <v>30</v>
      </c>
      <c r="H492" s="9">
        <v>2</v>
      </c>
      <c r="I492" s="9">
        <v>1.0149999999999999</v>
      </c>
      <c r="J492" s="9">
        <v>103</v>
      </c>
      <c r="K492" s="9" t="s">
        <v>424</v>
      </c>
      <c r="L492" s="9"/>
      <c r="M492" s="9"/>
      <c r="N492" s="9" t="str">
        <f ca="1">IFERROR(__xludf.DUMMYFUNCTION("IFERROR(VALUE(REGEXEXTRACT(TO_TEXT($F492), N$1 &amp; ""x(\d+)"")), """")
"),"")</f>
        <v/>
      </c>
      <c r="O492" s="9" t="str">
        <f ca="1">IFERROR(__xludf.DUMMYFUNCTION("IFERROR(VALUE(REGEXEXTRACT(TO_TEXT($F492), O$1 &amp; ""x(\d+)"")), """")"),"")</f>
        <v/>
      </c>
      <c r="P492" s="9" t="str">
        <f ca="1">IFERROR(__xludf.DUMMYFUNCTION("IFERROR(VALUE(REGEXEXTRACT(TO_TEXT($F492), P$1 &amp; ""x(\d+)"")), """")"),"")</f>
        <v/>
      </c>
      <c r="Q492" s="9">
        <f ca="1">IFERROR(__xludf.DUMMYFUNCTION("IFERROR(VALUE(REGEXEXTRACT(TO_TEXT($F492), Q$1 &amp; ""x(\d+)"")), """")"),1)</f>
        <v>1</v>
      </c>
      <c r="R492" s="9" t="str">
        <f ca="1">IFERROR(__xludf.DUMMYFUNCTION("IFERROR(VALUE(REGEXEXTRACT(TO_TEXT($F492), R$1 &amp; ""x(\d+)"")), """")"),"")</f>
        <v/>
      </c>
      <c r="S492" s="9" t="str">
        <f ca="1">IFERROR(__xludf.DUMMYFUNCTION("IFERROR(VALUE(REGEXEXTRACT(TO_TEXT($F492), S$1 &amp; ""x(\d+)"")), """")"),"")</f>
        <v/>
      </c>
      <c r="T492" s="9" t="str">
        <f ca="1">IFERROR(__xludf.DUMMYFUNCTION("IFERROR(VALUE(REGEXEXTRACT(TO_TEXT($F492), T$1 &amp; ""x(\d+)"")), """")"),"")</f>
        <v/>
      </c>
      <c r="U492" s="9" t="str">
        <f ca="1">IFERROR(__xludf.DUMMYFUNCTION("IFERROR(VALUE(REGEXEXTRACT(TO_TEXT($F492), U$1 &amp; ""x(\d+)"")), """")"),"")</f>
        <v/>
      </c>
      <c r="V492" s="9" t="str">
        <f ca="1">IFERROR(__xludf.DUMMYFUNCTION("IFERROR(VALUE(REGEXEXTRACT(TO_TEXT($F492), V$1 &amp; ""x(\d+)"")), """")"),"")</f>
        <v/>
      </c>
      <c r="W492" s="9"/>
      <c r="X492" s="9"/>
      <c r="Y492" s="9"/>
      <c r="Z492" s="9"/>
    </row>
    <row r="493" spans="1:26" ht="15.75" hidden="1" customHeight="1">
      <c r="A493" s="9" t="s">
        <v>59</v>
      </c>
      <c r="B493" s="9" t="s">
        <v>1572</v>
      </c>
      <c r="C493" s="9" t="s">
        <v>60</v>
      </c>
      <c r="D493" s="9" t="s">
        <v>40</v>
      </c>
      <c r="E493" s="9" t="s">
        <v>11</v>
      </c>
      <c r="F493" s="9" t="s">
        <v>1573</v>
      </c>
      <c r="G493" s="9">
        <v>25</v>
      </c>
      <c r="H493" s="9">
        <v>2</v>
      </c>
      <c r="I493" s="9">
        <v>1.0149999999999999</v>
      </c>
      <c r="J493" s="9">
        <v>367.5</v>
      </c>
      <c r="K493" s="9" t="s">
        <v>442</v>
      </c>
      <c r="L493" s="9" t="s">
        <v>1574</v>
      </c>
      <c r="M493" s="9"/>
      <c r="N493" s="9" t="str">
        <f ca="1">IFERROR(__xludf.DUMMYFUNCTION("IFERROR(VALUE(REGEXEXTRACT(TO_TEXT($F493), N$1 &amp; ""x(\d+)"")), """")
"),"")</f>
        <v/>
      </c>
      <c r="O493" s="9" t="str">
        <f ca="1">IFERROR(__xludf.DUMMYFUNCTION("IFERROR(VALUE(REGEXEXTRACT(TO_TEXT($F493), O$1 &amp; ""x(\d+)"")), """")"),"")</f>
        <v/>
      </c>
      <c r="P493" s="9" t="str">
        <f ca="1">IFERROR(__xludf.DUMMYFUNCTION("IFERROR(VALUE(REGEXEXTRACT(TO_TEXT($F493), P$1 &amp; ""x(\d+)"")), """")"),"")</f>
        <v/>
      </c>
      <c r="Q493" s="9" t="str">
        <f ca="1">IFERROR(__xludf.DUMMYFUNCTION("IFERROR(VALUE(REGEXEXTRACT(TO_TEXT($F493), Q$1 &amp; ""x(\d+)"")), """")"),"")</f>
        <v/>
      </c>
      <c r="R493" s="9" t="str">
        <f ca="1">IFERROR(__xludf.DUMMYFUNCTION("IFERROR(VALUE(REGEXEXTRACT(TO_TEXT($F493), R$1 &amp; ""x(\d+)"")), """")"),"")</f>
        <v/>
      </c>
      <c r="S493" s="9" t="str">
        <f ca="1">IFERROR(__xludf.DUMMYFUNCTION("IFERROR(VALUE(REGEXEXTRACT(TO_TEXT($F493), S$1 &amp; ""x(\d+)"")), """")"),"")</f>
        <v/>
      </c>
      <c r="T493" s="9" t="str">
        <f ca="1">IFERROR(__xludf.DUMMYFUNCTION("IFERROR(VALUE(REGEXEXTRACT(TO_TEXT($F493), T$1 &amp; ""x(\d+)"")), """")"),"")</f>
        <v/>
      </c>
      <c r="U493" s="9" t="str">
        <f ca="1">IFERROR(__xludf.DUMMYFUNCTION("IFERROR(VALUE(REGEXEXTRACT(TO_TEXT($F493), U$1 &amp; ""x(\d+)"")), """")"),"")</f>
        <v/>
      </c>
      <c r="V493" s="9" t="str">
        <f ca="1">IFERROR(__xludf.DUMMYFUNCTION("IFERROR(VALUE(REGEXEXTRACT(TO_TEXT($F493), V$1 &amp; ""x(\d+)"")), """")"),"")</f>
        <v/>
      </c>
      <c r="W493" s="9"/>
      <c r="X493" s="9"/>
      <c r="Y493" s="9"/>
      <c r="Z493" s="9"/>
    </row>
    <row r="494" spans="1:26" ht="15.75" hidden="1" customHeight="1">
      <c r="A494" s="9" t="s">
        <v>59</v>
      </c>
      <c r="B494" s="9" t="s">
        <v>1572</v>
      </c>
      <c r="C494" s="9" t="s">
        <v>60</v>
      </c>
      <c r="D494" s="9" t="s">
        <v>40</v>
      </c>
      <c r="E494" s="9" t="s">
        <v>12</v>
      </c>
      <c r="F494" s="9" t="s">
        <v>1575</v>
      </c>
      <c r="G494" s="9">
        <v>320</v>
      </c>
      <c r="H494" s="9">
        <v>2</v>
      </c>
      <c r="I494" s="9">
        <v>1.0149999999999999</v>
      </c>
      <c r="J494" s="9">
        <v>367.5</v>
      </c>
      <c r="K494" s="9" t="s">
        <v>442</v>
      </c>
      <c r="L494" s="9" t="s">
        <v>1576</v>
      </c>
      <c r="M494" s="9"/>
      <c r="N494" s="9" t="str">
        <f ca="1">IFERROR(__xludf.DUMMYFUNCTION("IFERROR(VALUE(REGEXEXTRACT(TO_TEXT($F494), N$1 &amp; ""x(\d+)"")), """")
"),"")</f>
        <v/>
      </c>
      <c r="O494" s="9" t="str">
        <f ca="1">IFERROR(__xludf.DUMMYFUNCTION("IFERROR(VALUE(REGEXEXTRACT(TO_TEXT($F494), O$1 &amp; ""x(\d+)"")), """")"),"")</f>
        <v/>
      </c>
      <c r="P494" s="9" t="str">
        <f ca="1">IFERROR(__xludf.DUMMYFUNCTION("IFERROR(VALUE(REGEXEXTRACT(TO_TEXT($F494), P$1 &amp; ""x(\d+)"")), """")"),"")</f>
        <v/>
      </c>
      <c r="Q494" s="9" t="str">
        <f ca="1">IFERROR(__xludf.DUMMYFUNCTION("IFERROR(VALUE(REGEXEXTRACT(TO_TEXT($F494), Q$1 &amp; ""x(\d+)"")), """")"),"")</f>
        <v/>
      </c>
      <c r="R494" s="9" t="str">
        <f ca="1">IFERROR(__xludf.DUMMYFUNCTION("IFERROR(VALUE(REGEXEXTRACT(TO_TEXT($F494), R$1 &amp; ""x(\d+)"")), """")"),"")</f>
        <v/>
      </c>
      <c r="S494" s="9">
        <f ca="1">IFERROR(__xludf.DUMMYFUNCTION("IFERROR(VALUE(REGEXEXTRACT(TO_TEXT($F494), S$1 &amp; ""x(\d+)"")), """")"),1)</f>
        <v>1</v>
      </c>
      <c r="T494" s="9" t="str">
        <f ca="1">IFERROR(__xludf.DUMMYFUNCTION("IFERROR(VALUE(REGEXEXTRACT(TO_TEXT($F494), T$1 &amp; ""x(\d+)"")), """")"),"")</f>
        <v/>
      </c>
      <c r="U494" s="9" t="str">
        <f ca="1">IFERROR(__xludf.DUMMYFUNCTION("IFERROR(VALUE(REGEXEXTRACT(TO_TEXT($F494), U$1 &amp; ""x(\d+)"")), """")"),"")</f>
        <v/>
      </c>
      <c r="V494" s="9" t="str">
        <f ca="1">IFERROR(__xludf.DUMMYFUNCTION("IFERROR(VALUE(REGEXEXTRACT(TO_TEXT($F494), V$1 &amp; ""x(\d+)"")), """")"),"")</f>
        <v/>
      </c>
      <c r="W494" s="9"/>
      <c r="X494" s="9"/>
      <c r="Y494" s="9"/>
      <c r="Z494" s="9"/>
    </row>
    <row r="495" spans="1:26" ht="15.75" hidden="1" customHeight="1">
      <c r="A495" s="9" t="s">
        <v>59</v>
      </c>
      <c r="B495" s="9" t="s">
        <v>1572</v>
      </c>
      <c r="C495" s="9" t="s">
        <v>60</v>
      </c>
      <c r="D495" s="9" t="s">
        <v>40</v>
      </c>
      <c r="E495" s="9" t="s">
        <v>13</v>
      </c>
      <c r="F495" s="9" t="s">
        <v>1577</v>
      </c>
      <c r="G495" s="9">
        <v>50</v>
      </c>
      <c r="H495" s="9">
        <v>2</v>
      </c>
      <c r="I495" s="9">
        <v>1.0149999999999999</v>
      </c>
      <c r="J495" s="9">
        <v>367.5</v>
      </c>
      <c r="K495" s="9" t="s">
        <v>442</v>
      </c>
      <c r="L495" s="9"/>
      <c r="M495" s="9"/>
      <c r="N495" s="9" t="str">
        <f ca="1">IFERROR(__xludf.DUMMYFUNCTION("IFERROR(VALUE(REGEXEXTRACT(TO_TEXT($F495), N$1 &amp; ""x(\d+)"")), """")
"),"")</f>
        <v/>
      </c>
      <c r="O495" s="9" t="str">
        <f ca="1">IFERROR(__xludf.DUMMYFUNCTION("IFERROR(VALUE(REGEXEXTRACT(TO_TEXT($F495), O$1 &amp; ""x(\d+)"")), """")"),"")</f>
        <v/>
      </c>
      <c r="P495" s="9" t="str">
        <f ca="1">IFERROR(__xludf.DUMMYFUNCTION("IFERROR(VALUE(REGEXEXTRACT(TO_TEXT($F495), P$1 &amp; ""x(\d+)"")), """")"),"")</f>
        <v/>
      </c>
      <c r="Q495" s="9" t="str">
        <f ca="1">IFERROR(__xludf.DUMMYFUNCTION("IFERROR(VALUE(REGEXEXTRACT(TO_TEXT($F495), Q$1 &amp; ""x(\d+)"")), """")"),"")</f>
        <v/>
      </c>
      <c r="R495" s="9" t="str">
        <f ca="1">IFERROR(__xludf.DUMMYFUNCTION("IFERROR(VALUE(REGEXEXTRACT(TO_TEXT($F495), R$1 &amp; ""x(\d+)"")), """")"),"")</f>
        <v/>
      </c>
      <c r="S495" s="9">
        <f ca="1">IFERROR(__xludf.DUMMYFUNCTION("IFERROR(VALUE(REGEXEXTRACT(TO_TEXT($F495), S$1 &amp; ""x(\d+)"")), """")"),1)</f>
        <v>1</v>
      </c>
      <c r="T495" s="9" t="str">
        <f ca="1">IFERROR(__xludf.DUMMYFUNCTION("IFERROR(VALUE(REGEXEXTRACT(TO_TEXT($F495), T$1 &amp; ""x(\d+)"")), """")"),"")</f>
        <v/>
      </c>
      <c r="U495" s="9" t="str">
        <f ca="1">IFERROR(__xludf.DUMMYFUNCTION("IFERROR(VALUE(REGEXEXTRACT(TO_TEXT($F495), U$1 &amp; ""x(\d+)"")), """")"),"")</f>
        <v/>
      </c>
      <c r="V495" s="9" t="str">
        <f ca="1">IFERROR(__xludf.DUMMYFUNCTION("IFERROR(VALUE(REGEXEXTRACT(TO_TEXT($F495), V$1 &amp; ""x(\d+)"")), """")"),"")</f>
        <v/>
      </c>
      <c r="W495" s="9"/>
      <c r="X495" s="9"/>
      <c r="Y495" s="9"/>
      <c r="Z495" s="9"/>
    </row>
    <row r="496" spans="1:26" ht="15.75" hidden="1" customHeight="1">
      <c r="A496" s="9" t="s">
        <v>1578</v>
      </c>
      <c r="B496" s="9" t="s">
        <v>1579</v>
      </c>
      <c r="C496" s="9" t="s">
        <v>731</v>
      </c>
      <c r="D496" s="9" t="s">
        <v>40</v>
      </c>
      <c r="E496" s="9" t="s">
        <v>11</v>
      </c>
      <c r="F496" s="9" t="s">
        <v>1580</v>
      </c>
      <c r="G496" s="9">
        <v>45</v>
      </c>
      <c r="H496" s="9">
        <v>3</v>
      </c>
      <c r="I496" s="9">
        <v>1.0149999999999999</v>
      </c>
      <c r="J496" s="9">
        <v>362</v>
      </c>
      <c r="K496" s="9" t="s">
        <v>442</v>
      </c>
      <c r="L496" s="9"/>
      <c r="M496" s="9"/>
      <c r="N496" s="9" t="str">
        <f ca="1">IFERROR(__xludf.DUMMYFUNCTION("IFERROR(VALUE(REGEXEXTRACT(TO_TEXT($F496), N$1 &amp; ""x(\d+)"")), """")
"),"")</f>
        <v/>
      </c>
      <c r="O496" s="9">
        <f ca="1">IFERROR(__xludf.DUMMYFUNCTION("IFERROR(VALUE(REGEXEXTRACT(TO_TEXT($F496), O$1 &amp; ""x(\d+)"")), """")"),1)</f>
        <v>1</v>
      </c>
      <c r="P496" s="9" t="str">
        <f ca="1">IFERROR(__xludf.DUMMYFUNCTION("IFERROR(VALUE(REGEXEXTRACT(TO_TEXT($F496), P$1 &amp; ""x(\d+)"")), """")"),"")</f>
        <v/>
      </c>
      <c r="Q496" s="9" t="str">
        <f ca="1">IFERROR(__xludf.DUMMYFUNCTION("IFERROR(VALUE(REGEXEXTRACT(TO_TEXT($F496), Q$1 &amp; ""x(\d+)"")), """")"),"")</f>
        <v/>
      </c>
      <c r="R496" s="9" t="str">
        <f ca="1">IFERROR(__xludf.DUMMYFUNCTION("IFERROR(VALUE(REGEXEXTRACT(TO_TEXT($F496), R$1 &amp; ""x(\d+)"")), """")"),"")</f>
        <v/>
      </c>
      <c r="S496" s="9" t="str">
        <f ca="1">IFERROR(__xludf.DUMMYFUNCTION("IFERROR(VALUE(REGEXEXTRACT(TO_TEXT($F496), S$1 &amp; ""x(\d+)"")), """")"),"")</f>
        <v/>
      </c>
      <c r="T496" s="9" t="str">
        <f ca="1">IFERROR(__xludf.DUMMYFUNCTION("IFERROR(VALUE(REGEXEXTRACT(TO_TEXT($F496), T$1 &amp; ""x(\d+)"")), """")"),"")</f>
        <v/>
      </c>
      <c r="U496" s="9" t="str">
        <f ca="1">IFERROR(__xludf.DUMMYFUNCTION("IFERROR(VALUE(REGEXEXTRACT(TO_TEXT($F496), U$1 &amp; ""x(\d+)"")), """")"),"")</f>
        <v/>
      </c>
      <c r="V496" s="9" t="str">
        <f ca="1">IFERROR(__xludf.DUMMYFUNCTION("IFERROR(VALUE(REGEXEXTRACT(TO_TEXT($F496), V$1 &amp; ""x(\d+)"")), """")"),"")</f>
        <v/>
      </c>
      <c r="W496" s="9"/>
      <c r="X496" s="9"/>
      <c r="Y496" s="9"/>
      <c r="Z496" s="9"/>
    </row>
    <row r="497" spans="1:26" ht="15.75" hidden="1" customHeight="1">
      <c r="A497" s="9" t="s">
        <v>1578</v>
      </c>
      <c r="B497" s="9" t="s">
        <v>1579</v>
      </c>
      <c r="C497" s="9" t="s">
        <v>731</v>
      </c>
      <c r="D497" s="9" t="s">
        <v>40</v>
      </c>
      <c r="E497" s="9" t="s">
        <v>12</v>
      </c>
      <c r="F497" s="9" t="s">
        <v>1581</v>
      </c>
      <c r="G497" s="9">
        <v>120</v>
      </c>
      <c r="H497" s="9">
        <v>3</v>
      </c>
      <c r="I497" s="9">
        <v>1.0149999999999999</v>
      </c>
      <c r="J497" s="9">
        <v>362</v>
      </c>
      <c r="K497" s="9" t="s">
        <v>442</v>
      </c>
      <c r="L497" s="9" t="s">
        <v>1015</v>
      </c>
      <c r="M497" s="9"/>
      <c r="N497" s="9" t="str">
        <f ca="1">IFERROR(__xludf.DUMMYFUNCTION("IFERROR(VALUE(REGEXEXTRACT(TO_TEXT($F497), N$1 &amp; ""x(\d+)"")), """")
"),"")</f>
        <v/>
      </c>
      <c r="O497" s="9" t="str">
        <f ca="1">IFERROR(__xludf.DUMMYFUNCTION("IFERROR(VALUE(REGEXEXTRACT(TO_TEXT($F497), O$1 &amp; ""x(\d+)"")), """")"),"")</f>
        <v/>
      </c>
      <c r="P497" s="9" t="str">
        <f ca="1">IFERROR(__xludf.DUMMYFUNCTION("IFERROR(VALUE(REGEXEXTRACT(TO_TEXT($F497), P$1 &amp; ""x(\d+)"")), """")"),"")</f>
        <v/>
      </c>
      <c r="Q497" s="9" t="str">
        <f ca="1">IFERROR(__xludf.DUMMYFUNCTION("IFERROR(VALUE(REGEXEXTRACT(TO_TEXT($F497), Q$1 &amp; ""x(\d+)"")), """")"),"")</f>
        <v/>
      </c>
      <c r="R497" s="9" t="str">
        <f ca="1">IFERROR(__xludf.DUMMYFUNCTION("IFERROR(VALUE(REGEXEXTRACT(TO_TEXT($F497), R$1 &amp; ""x(\d+)"")), """")"),"")</f>
        <v/>
      </c>
      <c r="S497" s="9">
        <f ca="1">IFERROR(__xludf.DUMMYFUNCTION("IFERROR(VALUE(REGEXEXTRACT(TO_TEXT($F497), S$1 &amp; ""x(\d+)"")), """")"),1)</f>
        <v>1</v>
      </c>
      <c r="T497" s="9" t="str">
        <f ca="1">IFERROR(__xludf.DUMMYFUNCTION("IFERROR(VALUE(REGEXEXTRACT(TO_TEXT($F497), T$1 &amp; ""x(\d+)"")), """")"),"")</f>
        <v/>
      </c>
      <c r="U497" s="9" t="str">
        <f ca="1">IFERROR(__xludf.DUMMYFUNCTION("IFERROR(VALUE(REGEXEXTRACT(TO_TEXT($F497), U$1 &amp; ""x(\d+)"")), """")"),"")</f>
        <v/>
      </c>
      <c r="V497" s="9">
        <f ca="1">IFERROR(__xludf.DUMMYFUNCTION("IFERROR(VALUE(REGEXEXTRACT(TO_TEXT($F497), V$1 &amp; ""x(\d+)"")), """")"),1)</f>
        <v>1</v>
      </c>
      <c r="W497" s="9"/>
      <c r="X497" s="9"/>
      <c r="Y497" s="9"/>
      <c r="Z497" s="9"/>
    </row>
    <row r="498" spans="1:26" ht="15.75" hidden="1" customHeight="1">
      <c r="A498" s="9" t="s">
        <v>1578</v>
      </c>
      <c r="B498" s="9" t="s">
        <v>1579</v>
      </c>
      <c r="C498" s="9" t="s">
        <v>731</v>
      </c>
      <c r="D498" s="9" t="s">
        <v>40</v>
      </c>
      <c r="E498" s="9" t="s">
        <v>13</v>
      </c>
      <c r="F498" s="9" t="s">
        <v>1582</v>
      </c>
      <c r="G498" s="9">
        <v>40</v>
      </c>
      <c r="H498" s="9">
        <v>3</v>
      </c>
      <c r="I498" s="9">
        <v>1.0149999999999999</v>
      </c>
      <c r="J498" s="9">
        <v>362</v>
      </c>
      <c r="K498" s="9" t="s">
        <v>442</v>
      </c>
      <c r="L498" s="9"/>
      <c r="M498" s="9"/>
      <c r="N498" s="9" t="str">
        <f ca="1">IFERROR(__xludf.DUMMYFUNCTION("IFERROR(VALUE(REGEXEXTRACT(TO_TEXT($F498), N$1 &amp; ""x(\d+)"")), """")
"),"")</f>
        <v/>
      </c>
      <c r="O498" s="9" t="str">
        <f ca="1">IFERROR(__xludf.DUMMYFUNCTION("IFERROR(VALUE(REGEXEXTRACT(TO_TEXT($F498), O$1 &amp; ""x(\d+)"")), """")"),"")</f>
        <v/>
      </c>
      <c r="P498" s="9" t="str">
        <f ca="1">IFERROR(__xludf.DUMMYFUNCTION("IFERROR(VALUE(REGEXEXTRACT(TO_TEXT($F498), P$1 &amp; ""x(\d+)"")), """")"),"")</f>
        <v/>
      </c>
      <c r="Q498" s="9" t="str">
        <f ca="1">IFERROR(__xludf.DUMMYFUNCTION("IFERROR(VALUE(REGEXEXTRACT(TO_TEXT($F498), Q$1 &amp; ""x(\d+)"")), """")"),"")</f>
        <v/>
      </c>
      <c r="R498" s="9" t="str">
        <f ca="1">IFERROR(__xludf.DUMMYFUNCTION("IFERROR(VALUE(REGEXEXTRACT(TO_TEXT($F498), R$1 &amp; ""x(\d+)"")), """")"),"")</f>
        <v/>
      </c>
      <c r="S498" s="9">
        <f ca="1">IFERROR(__xludf.DUMMYFUNCTION("IFERROR(VALUE(REGEXEXTRACT(TO_TEXT($F498), S$1 &amp; ""x(\d+)"")), """")"),1)</f>
        <v>1</v>
      </c>
      <c r="T498" s="9" t="str">
        <f ca="1">IFERROR(__xludf.DUMMYFUNCTION("IFERROR(VALUE(REGEXEXTRACT(TO_TEXT($F498), T$1 &amp; ""x(\d+)"")), """")"),"")</f>
        <v/>
      </c>
      <c r="U498" s="9" t="str">
        <f ca="1">IFERROR(__xludf.DUMMYFUNCTION("IFERROR(VALUE(REGEXEXTRACT(TO_TEXT($F498), U$1 &amp; ""x(\d+)"")), """")"),"")</f>
        <v/>
      </c>
      <c r="V498" s="9">
        <f ca="1">IFERROR(__xludf.DUMMYFUNCTION("IFERROR(VALUE(REGEXEXTRACT(TO_TEXT($F498), V$1 &amp; ""x(\d+)"")), """")"),1)</f>
        <v>1</v>
      </c>
      <c r="W498" s="9"/>
      <c r="X498" s="9"/>
      <c r="Y498" s="9"/>
      <c r="Z498" s="9"/>
    </row>
    <row r="499" spans="1:26" ht="15.75" customHeight="1">
      <c r="A499" s="9" t="s">
        <v>1578</v>
      </c>
      <c r="B499" s="9" t="s">
        <v>1579</v>
      </c>
      <c r="C499" s="9" t="s">
        <v>731</v>
      </c>
      <c r="D499" s="9" t="s">
        <v>33</v>
      </c>
      <c r="E499" s="9" t="s">
        <v>11</v>
      </c>
      <c r="F499" s="9" t="s">
        <v>1583</v>
      </c>
      <c r="G499" s="9">
        <v>45</v>
      </c>
      <c r="H499" s="9">
        <v>4</v>
      </c>
      <c r="I499" s="9">
        <v>1.0149999999999999</v>
      </c>
      <c r="J499" s="9">
        <v>362</v>
      </c>
      <c r="K499" s="9" t="s">
        <v>442</v>
      </c>
      <c r="L499" s="9"/>
      <c r="M499" s="9"/>
      <c r="N499" s="9" t="str">
        <f ca="1">IFERROR(__xludf.DUMMYFUNCTION("IFERROR(VALUE(REGEXEXTRACT(TO_TEXT($F499), N$1 &amp; ""x(\d+)"")), """")
"),"")</f>
        <v/>
      </c>
      <c r="O499" s="9">
        <f ca="1">IFERROR(__xludf.DUMMYFUNCTION("IFERROR(VALUE(REGEXEXTRACT(TO_TEXT($F499), O$1 &amp; ""x(\d+)"")), """")"),1)</f>
        <v>1</v>
      </c>
      <c r="P499" s="9" t="str">
        <f ca="1">IFERROR(__xludf.DUMMYFUNCTION("IFERROR(VALUE(REGEXEXTRACT(TO_TEXT($F499), P$1 &amp; ""x(\d+)"")), """")"),"")</f>
        <v/>
      </c>
      <c r="Q499" s="9" t="str">
        <f ca="1">IFERROR(__xludf.DUMMYFUNCTION("IFERROR(VALUE(REGEXEXTRACT(TO_TEXT($F499), Q$1 &amp; ""x(\d+)"")), """")"),"")</f>
        <v/>
      </c>
      <c r="R499" s="9" t="str">
        <f ca="1">IFERROR(__xludf.DUMMYFUNCTION("IFERROR(VALUE(REGEXEXTRACT(TO_TEXT($F499), R$1 &amp; ""x(\d+)"")), """")"),"")</f>
        <v/>
      </c>
      <c r="S499" s="9" t="str">
        <f ca="1">IFERROR(__xludf.DUMMYFUNCTION("IFERROR(VALUE(REGEXEXTRACT(TO_TEXT($F499), S$1 &amp; ""x(\d+)"")), """")"),"")</f>
        <v/>
      </c>
      <c r="T499" s="9" t="str">
        <f ca="1">IFERROR(__xludf.DUMMYFUNCTION("IFERROR(VALUE(REGEXEXTRACT(TO_TEXT($F499), T$1 &amp; ""x(\d+)"")), """")"),"")</f>
        <v/>
      </c>
      <c r="U499" s="9" t="str">
        <f ca="1">IFERROR(__xludf.DUMMYFUNCTION("IFERROR(VALUE(REGEXEXTRACT(TO_TEXT($F499), U$1 &amp; ""x(\d+)"")), """")"),"")</f>
        <v/>
      </c>
      <c r="V499" s="9" t="str">
        <f ca="1">IFERROR(__xludf.DUMMYFUNCTION("IFERROR(VALUE(REGEXEXTRACT(TO_TEXT($F499), V$1 &amp; ""x(\d+)"")), """")"),"")</f>
        <v/>
      </c>
      <c r="W499" s="9"/>
      <c r="X499" s="9"/>
      <c r="Y499" s="9"/>
      <c r="Z499" s="9"/>
    </row>
    <row r="500" spans="1:26" ht="15.75" customHeight="1">
      <c r="A500" s="9" t="s">
        <v>1578</v>
      </c>
      <c r="B500" s="9" t="s">
        <v>1579</v>
      </c>
      <c r="C500" s="9" t="s">
        <v>731</v>
      </c>
      <c r="D500" s="9" t="s">
        <v>33</v>
      </c>
      <c r="E500" s="9" t="s">
        <v>12</v>
      </c>
      <c r="F500" s="9" t="s">
        <v>1584</v>
      </c>
      <c r="G500" s="9">
        <v>80</v>
      </c>
      <c r="H500" s="9">
        <v>4</v>
      </c>
      <c r="I500" s="9">
        <v>1.0149999999999999</v>
      </c>
      <c r="J500" s="9">
        <v>362</v>
      </c>
      <c r="K500" s="9" t="s">
        <v>442</v>
      </c>
      <c r="L500" s="9"/>
      <c r="M500" s="9"/>
      <c r="N500" s="9" t="str">
        <f ca="1">IFERROR(__xludf.DUMMYFUNCTION("IFERROR(VALUE(REGEXEXTRACT(TO_TEXT($F500), N$1 &amp; ""x(\d+)"")), """")
"),"")</f>
        <v/>
      </c>
      <c r="O500" s="9">
        <f ca="1">IFERROR(__xludf.DUMMYFUNCTION("IFERROR(VALUE(REGEXEXTRACT(TO_TEXT($F500), O$1 &amp; ""x(\d+)"")), """")"),1)</f>
        <v>1</v>
      </c>
      <c r="P500" s="9" t="str">
        <f ca="1">IFERROR(__xludf.DUMMYFUNCTION("IFERROR(VALUE(REGEXEXTRACT(TO_TEXT($F500), P$1 &amp; ""x(\d+)"")), """")"),"")</f>
        <v/>
      </c>
      <c r="Q500" s="9" t="str">
        <f ca="1">IFERROR(__xludf.DUMMYFUNCTION("IFERROR(VALUE(REGEXEXTRACT(TO_TEXT($F500), Q$1 &amp; ""x(\d+)"")), """")"),"")</f>
        <v/>
      </c>
      <c r="R500" s="9" t="str">
        <f ca="1">IFERROR(__xludf.DUMMYFUNCTION("IFERROR(VALUE(REGEXEXTRACT(TO_TEXT($F500), R$1 &amp; ""x(\d+)"")), """")"),"")</f>
        <v/>
      </c>
      <c r="S500" s="9" t="str">
        <f ca="1">IFERROR(__xludf.DUMMYFUNCTION("IFERROR(VALUE(REGEXEXTRACT(TO_TEXT($F500), S$1 &amp; ""x(\d+)"")), """")"),"")</f>
        <v/>
      </c>
      <c r="T500" s="9" t="str">
        <f ca="1">IFERROR(__xludf.DUMMYFUNCTION("IFERROR(VALUE(REGEXEXTRACT(TO_TEXT($F500), T$1 &amp; ""x(\d+)"")), """")"),"")</f>
        <v/>
      </c>
      <c r="U500" s="9" t="str">
        <f ca="1">IFERROR(__xludf.DUMMYFUNCTION("IFERROR(VALUE(REGEXEXTRACT(TO_TEXT($F500), U$1 &amp; ""x(\d+)"")), """")"),"")</f>
        <v/>
      </c>
      <c r="V500" s="9">
        <f ca="1">IFERROR(__xludf.DUMMYFUNCTION("IFERROR(VALUE(REGEXEXTRACT(TO_TEXT($F500), V$1 &amp; ""x(\d+)"")), """")"),1)</f>
        <v>1</v>
      </c>
      <c r="W500" s="9"/>
      <c r="X500" s="9"/>
      <c r="Y500" s="9"/>
      <c r="Z500" s="9"/>
    </row>
    <row r="501" spans="1:26" ht="15.75" customHeight="1">
      <c r="A501" s="9" t="s">
        <v>1578</v>
      </c>
      <c r="B501" s="9" t="s">
        <v>1579</v>
      </c>
      <c r="C501" s="9" t="s">
        <v>731</v>
      </c>
      <c r="D501" s="9" t="s">
        <v>33</v>
      </c>
      <c r="E501" s="9" t="s">
        <v>13</v>
      </c>
      <c r="F501" s="9" t="s">
        <v>1585</v>
      </c>
      <c r="G501" s="9">
        <v>20</v>
      </c>
      <c r="H501" s="9">
        <v>4</v>
      </c>
      <c r="I501" s="9">
        <v>1.0149999999999999</v>
      </c>
      <c r="J501" s="9">
        <v>362</v>
      </c>
      <c r="K501" s="9" t="s">
        <v>442</v>
      </c>
      <c r="L501" s="9"/>
      <c r="M501" s="9"/>
      <c r="N501" s="9" t="str">
        <f ca="1">IFERROR(__xludf.DUMMYFUNCTION("IFERROR(VALUE(REGEXEXTRACT(TO_TEXT($F501), N$1 &amp; ""x(\d+)"")), """")
"),"")</f>
        <v/>
      </c>
      <c r="O501" s="9">
        <f ca="1">IFERROR(__xludf.DUMMYFUNCTION("IFERROR(VALUE(REGEXEXTRACT(TO_TEXT($F501), O$1 &amp; ""x(\d+)"")), """")"),1)</f>
        <v>1</v>
      </c>
      <c r="P501" s="9" t="str">
        <f ca="1">IFERROR(__xludf.DUMMYFUNCTION("IFERROR(VALUE(REGEXEXTRACT(TO_TEXT($F501), P$1 &amp; ""x(\d+)"")), """")"),"")</f>
        <v/>
      </c>
      <c r="Q501" s="9" t="str">
        <f ca="1">IFERROR(__xludf.DUMMYFUNCTION("IFERROR(VALUE(REGEXEXTRACT(TO_TEXT($F501), Q$1 &amp; ""x(\d+)"")), """")"),"")</f>
        <v/>
      </c>
      <c r="R501" s="9" t="str">
        <f ca="1">IFERROR(__xludf.DUMMYFUNCTION("IFERROR(VALUE(REGEXEXTRACT(TO_TEXT($F501), R$1 &amp; ""x(\d+)"")), """")"),"")</f>
        <v/>
      </c>
      <c r="S501" s="9" t="str">
        <f ca="1">IFERROR(__xludf.DUMMYFUNCTION("IFERROR(VALUE(REGEXEXTRACT(TO_TEXT($F501), S$1 &amp; ""x(\d+)"")), """")"),"")</f>
        <v/>
      </c>
      <c r="T501" s="9" t="str">
        <f ca="1">IFERROR(__xludf.DUMMYFUNCTION("IFERROR(VALUE(REGEXEXTRACT(TO_TEXT($F501), T$1 &amp; ""x(\d+)"")), """")"),"")</f>
        <v/>
      </c>
      <c r="U501" s="9" t="str">
        <f ca="1">IFERROR(__xludf.DUMMYFUNCTION("IFERROR(VALUE(REGEXEXTRACT(TO_TEXT($F501), U$1 &amp; ""x(\d+)"")), """")"),"")</f>
        <v/>
      </c>
      <c r="V501" s="9">
        <f ca="1">IFERROR(__xludf.DUMMYFUNCTION("IFERROR(VALUE(REGEXEXTRACT(TO_TEXT($F501), V$1 &amp; ""x(\d+)"")), """")"),1)</f>
        <v>1</v>
      </c>
      <c r="W501" s="9"/>
      <c r="X501" s="9"/>
      <c r="Y501" s="9"/>
      <c r="Z501" s="9"/>
    </row>
    <row r="502" spans="1:26" ht="15.75" hidden="1" customHeight="1">
      <c r="A502" s="9" t="s">
        <v>234</v>
      </c>
      <c r="B502" s="9" t="s">
        <v>1586</v>
      </c>
      <c r="C502" s="9" t="s">
        <v>235</v>
      </c>
      <c r="D502" s="9" t="s">
        <v>40</v>
      </c>
      <c r="E502" s="9" t="s">
        <v>11</v>
      </c>
      <c r="F502" s="9" t="s">
        <v>1587</v>
      </c>
      <c r="G502" s="9">
        <v>60</v>
      </c>
      <c r="H502" s="9">
        <v>4</v>
      </c>
      <c r="I502" s="9">
        <v>1.0149999999999999</v>
      </c>
      <c r="J502" s="9">
        <v>412</v>
      </c>
      <c r="K502" s="9" t="s">
        <v>442</v>
      </c>
      <c r="L502" s="9"/>
      <c r="M502" s="9"/>
      <c r="N502" s="9" t="str">
        <f ca="1">IFERROR(__xludf.DUMMYFUNCTION("IFERROR(VALUE(REGEXEXTRACT(TO_TEXT($F502), N$1 &amp; ""x(\d+)"")), """")
"),"")</f>
        <v/>
      </c>
      <c r="O502" s="9">
        <f ca="1">IFERROR(__xludf.DUMMYFUNCTION("IFERROR(VALUE(REGEXEXTRACT(TO_TEXT($F502), O$1 &amp; ""x(\d+)"")), """")"),2)</f>
        <v>2</v>
      </c>
      <c r="P502" s="9" t="str">
        <f ca="1">IFERROR(__xludf.DUMMYFUNCTION("IFERROR(VALUE(REGEXEXTRACT(TO_TEXT($F502), P$1 &amp; ""x(\d+)"")), """")"),"")</f>
        <v/>
      </c>
      <c r="Q502" s="9" t="str">
        <f ca="1">IFERROR(__xludf.DUMMYFUNCTION("IFERROR(VALUE(REGEXEXTRACT(TO_TEXT($F502), Q$1 &amp; ""x(\d+)"")), """")"),"")</f>
        <v/>
      </c>
      <c r="R502" s="9" t="str">
        <f ca="1">IFERROR(__xludf.DUMMYFUNCTION("IFERROR(VALUE(REGEXEXTRACT(TO_TEXT($F502), R$1 &amp; ""x(\d+)"")), """")"),"")</f>
        <v/>
      </c>
      <c r="S502" s="9" t="str">
        <f ca="1">IFERROR(__xludf.DUMMYFUNCTION("IFERROR(VALUE(REGEXEXTRACT(TO_TEXT($F502), S$1 &amp; ""x(\d+)"")), """")"),"")</f>
        <v/>
      </c>
      <c r="T502" s="9" t="str">
        <f ca="1">IFERROR(__xludf.DUMMYFUNCTION("IFERROR(VALUE(REGEXEXTRACT(TO_TEXT($F502), T$1 &amp; ""x(\d+)"")), """")"),"")</f>
        <v/>
      </c>
      <c r="U502" s="9" t="str">
        <f ca="1">IFERROR(__xludf.DUMMYFUNCTION("IFERROR(VALUE(REGEXEXTRACT(TO_TEXT($F502), U$1 &amp; ""x(\d+)"")), """")"),"")</f>
        <v/>
      </c>
      <c r="V502" s="9" t="str">
        <f ca="1">IFERROR(__xludf.DUMMYFUNCTION("IFERROR(VALUE(REGEXEXTRACT(TO_TEXT($F502), V$1 &amp; ""x(\d+)"")), """")"),"")</f>
        <v/>
      </c>
      <c r="W502" s="9"/>
      <c r="X502" s="9"/>
      <c r="Y502" s="9"/>
      <c r="Z502" s="9"/>
    </row>
    <row r="503" spans="1:26" ht="15.75" hidden="1" customHeight="1">
      <c r="A503" s="9" t="s">
        <v>234</v>
      </c>
      <c r="B503" s="9" t="s">
        <v>1586</v>
      </c>
      <c r="C503" s="9" t="s">
        <v>235</v>
      </c>
      <c r="D503" s="9" t="s">
        <v>40</v>
      </c>
      <c r="E503" s="9" t="s">
        <v>12</v>
      </c>
      <c r="F503" s="9" t="s">
        <v>1485</v>
      </c>
      <c r="G503" s="9">
        <v>110</v>
      </c>
      <c r="H503" s="9">
        <v>4</v>
      </c>
      <c r="I503" s="9">
        <v>1.0149999999999999</v>
      </c>
      <c r="J503" s="9">
        <v>412</v>
      </c>
      <c r="K503" s="9" t="s">
        <v>442</v>
      </c>
      <c r="L503" s="9"/>
      <c r="M503" s="9"/>
      <c r="N503" s="9" t="str">
        <f ca="1">IFERROR(__xludf.DUMMYFUNCTION("IFERROR(VALUE(REGEXEXTRACT(TO_TEXT($F503), N$1 &amp; ""x(\d+)"")), """")
"),"")</f>
        <v/>
      </c>
      <c r="O503" s="9" t="str">
        <f ca="1">IFERROR(__xludf.DUMMYFUNCTION("IFERROR(VALUE(REGEXEXTRACT(TO_TEXT($F503), O$1 &amp; ""x(\d+)"")), """")"),"")</f>
        <v/>
      </c>
      <c r="P503" s="9" t="str">
        <f ca="1">IFERROR(__xludf.DUMMYFUNCTION("IFERROR(VALUE(REGEXEXTRACT(TO_TEXT($F503), P$1 &amp; ""x(\d+)"")), """")"),"")</f>
        <v/>
      </c>
      <c r="Q503" s="9" t="str">
        <f ca="1">IFERROR(__xludf.DUMMYFUNCTION("IFERROR(VALUE(REGEXEXTRACT(TO_TEXT($F503), Q$1 &amp; ""x(\d+)"")), """")"),"")</f>
        <v/>
      </c>
      <c r="R503" s="9" t="str">
        <f ca="1">IFERROR(__xludf.DUMMYFUNCTION("IFERROR(VALUE(REGEXEXTRACT(TO_TEXT($F503), R$1 &amp; ""x(\d+)"")), """")"),"")</f>
        <v/>
      </c>
      <c r="S503" s="9">
        <f ca="1">IFERROR(__xludf.DUMMYFUNCTION("IFERROR(VALUE(REGEXEXTRACT(TO_TEXT($F503), S$1 &amp; ""x(\d+)"")), """")"),1)</f>
        <v>1</v>
      </c>
      <c r="T503" s="9" t="str">
        <f ca="1">IFERROR(__xludf.DUMMYFUNCTION("IFERROR(VALUE(REGEXEXTRACT(TO_TEXT($F503), T$1 &amp; ""x(\d+)"")), """")"),"")</f>
        <v/>
      </c>
      <c r="U503" s="9" t="str">
        <f ca="1">IFERROR(__xludf.DUMMYFUNCTION("IFERROR(VALUE(REGEXEXTRACT(TO_TEXT($F503), U$1 &amp; ""x(\d+)"")), """")"),"")</f>
        <v/>
      </c>
      <c r="V503" s="9" t="str">
        <f ca="1">IFERROR(__xludf.DUMMYFUNCTION("IFERROR(VALUE(REGEXEXTRACT(TO_TEXT($F503), V$1 &amp; ""x(\d+)"")), """")"),"")</f>
        <v/>
      </c>
      <c r="W503" s="9"/>
      <c r="X503" s="9"/>
      <c r="Y503" s="9"/>
      <c r="Z503" s="9"/>
    </row>
    <row r="504" spans="1:26" ht="15.75" hidden="1" customHeight="1">
      <c r="A504" s="9" t="s">
        <v>234</v>
      </c>
      <c r="B504" s="9" t="s">
        <v>1586</v>
      </c>
      <c r="C504" s="9" t="s">
        <v>235</v>
      </c>
      <c r="D504" s="9" t="s">
        <v>40</v>
      </c>
      <c r="E504" s="9" t="s">
        <v>13</v>
      </c>
      <c r="F504" s="9" t="s">
        <v>1133</v>
      </c>
      <c r="G504" s="9">
        <v>30</v>
      </c>
      <c r="H504" s="9">
        <v>4</v>
      </c>
      <c r="I504" s="9">
        <v>1.0149999999999999</v>
      </c>
      <c r="J504" s="9">
        <v>412</v>
      </c>
      <c r="K504" s="9" t="s">
        <v>442</v>
      </c>
      <c r="L504" s="9"/>
      <c r="M504" s="9"/>
      <c r="N504" s="9" t="str">
        <f ca="1">IFERROR(__xludf.DUMMYFUNCTION("IFERROR(VALUE(REGEXEXTRACT(TO_TEXT($F504), N$1 &amp; ""x(\d+)"")), """")
"),"")</f>
        <v/>
      </c>
      <c r="O504" s="9" t="str">
        <f ca="1">IFERROR(__xludf.DUMMYFUNCTION("IFERROR(VALUE(REGEXEXTRACT(TO_TEXT($F504), O$1 &amp; ""x(\d+)"")), """")"),"")</f>
        <v/>
      </c>
      <c r="P504" s="9" t="str">
        <f ca="1">IFERROR(__xludf.DUMMYFUNCTION("IFERROR(VALUE(REGEXEXTRACT(TO_TEXT($F504), P$1 &amp; ""x(\d+)"")), """")"),"")</f>
        <v/>
      </c>
      <c r="Q504" s="9" t="str">
        <f ca="1">IFERROR(__xludf.DUMMYFUNCTION("IFERROR(VALUE(REGEXEXTRACT(TO_TEXT($F504), Q$1 &amp; ""x(\d+)"")), """")"),"")</f>
        <v/>
      </c>
      <c r="R504" s="9" t="str">
        <f ca="1">IFERROR(__xludf.DUMMYFUNCTION("IFERROR(VALUE(REGEXEXTRACT(TO_TEXT($F504), R$1 &amp; ""x(\d+)"")), """")"),"")</f>
        <v/>
      </c>
      <c r="S504" s="9">
        <f ca="1">IFERROR(__xludf.DUMMYFUNCTION("IFERROR(VALUE(REGEXEXTRACT(TO_TEXT($F504), S$1 &amp; ""x(\d+)"")), """")"),1)</f>
        <v>1</v>
      </c>
      <c r="T504" s="9" t="str">
        <f ca="1">IFERROR(__xludf.DUMMYFUNCTION("IFERROR(VALUE(REGEXEXTRACT(TO_TEXT($F504), T$1 &amp; ""x(\d+)"")), """")"),"")</f>
        <v/>
      </c>
      <c r="U504" s="9" t="str">
        <f ca="1">IFERROR(__xludf.DUMMYFUNCTION("IFERROR(VALUE(REGEXEXTRACT(TO_TEXT($F504), U$1 &amp; ""x(\d+)"")), """")"),"")</f>
        <v/>
      </c>
      <c r="V504" s="9" t="str">
        <f ca="1">IFERROR(__xludf.DUMMYFUNCTION("IFERROR(VALUE(REGEXEXTRACT(TO_TEXT($F504), V$1 &amp; ""x(\d+)"")), """")"),"")</f>
        <v/>
      </c>
      <c r="W504" s="9"/>
      <c r="X504" s="9"/>
      <c r="Y504" s="9"/>
      <c r="Z504" s="9"/>
    </row>
    <row r="505" spans="1:26" ht="15.75" customHeight="1">
      <c r="A505" s="9" t="s">
        <v>234</v>
      </c>
      <c r="B505" s="9" t="s">
        <v>1586</v>
      </c>
      <c r="C505" s="9" t="s">
        <v>235</v>
      </c>
      <c r="D505" s="9" t="s">
        <v>33</v>
      </c>
      <c r="E505" s="9" t="s">
        <v>11</v>
      </c>
      <c r="F505" s="9" t="s">
        <v>1065</v>
      </c>
      <c r="G505" s="9">
        <v>20</v>
      </c>
      <c r="H505" s="9">
        <v>4</v>
      </c>
      <c r="I505" s="9">
        <v>1.0149999999999999</v>
      </c>
      <c r="J505" s="9">
        <v>107</v>
      </c>
      <c r="K505" s="9" t="s">
        <v>442</v>
      </c>
      <c r="L505" s="9"/>
      <c r="M505" s="9"/>
      <c r="N505" s="9" t="str">
        <f ca="1">IFERROR(__xludf.DUMMYFUNCTION("IFERROR(VALUE(REGEXEXTRACT(TO_TEXT($F505), N$1 &amp; ""x(\d+)"")), """")
"),"")</f>
        <v/>
      </c>
      <c r="O505" s="9">
        <f ca="1">IFERROR(__xludf.DUMMYFUNCTION("IFERROR(VALUE(REGEXEXTRACT(TO_TEXT($F505), O$1 &amp; ""x(\d+)"")), """")"),1)</f>
        <v>1</v>
      </c>
      <c r="P505" s="9" t="str">
        <f ca="1">IFERROR(__xludf.DUMMYFUNCTION("IFERROR(VALUE(REGEXEXTRACT(TO_TEXT($F505), P$1 &amp; ""x(\d+)"")), """")"),"")</f>
        <v/>
      </c>
      <c r="Q505" s="9" t="str">
        <f ca="1">IFERROR(__xludf.DUMMYFUNCTION("IFERROR(VALUE(REGEXEXTRACT(TO_TEXT($F505), Q$1 &amp; ""x(\d+)"")), """")"),"")</f>
        <v/>
      </c>
      <c r="R505" s="9" t="str">
        <f ca="1">IFERROR(__xludf.DUMMYFUNCTION("IFERROR(VALUE(REGEXEXTRACT(TO_TEXT($F505), R$1 &amp; ""x(\d+)"")), """")"),"")</f>
        <v/>
      </c>
      <c r="S505" s="9" t="str">
        <f ca="1">IFERROR(__xludf.DUMMYFUNCTION("IFERROR(VALUE(REGEXEXTRACT(TO_TEXT($F505), S$1 &amp; ""x(\d+)"")), """")"),"")</f>
        <v/>
      </c>
      <c r="T505" s="9" t="str">
        <f ca="1">IFERROR(__xludf.DUMMYFUNCTION("IFERROR(VALUE(REGEXEXTRACT(TO_TEXT($F505), T$1 &amp; ""x(\d+)"")), """")"),"")</f>
        <v/>
      </c>
      <c r="U505" s="9" t="str">
        <f ca="1">IFERROR(__xludf.DUMMYFUNCTION("IFERROR(VALUE(REGEXEXTRACT(TO_TEXT($F505), U$1 &amp; ""x(\d+)"")), """")"),"")</f>
        <v/>
      </c>
      <c r="V505" s="9" t="str">
        <f ca="1">IFERROR(__xludf.DUMMYFUNCTION("IFERROR(VALUE(REGEXEXTRACT(TO_TEXT($F505), V$1 &amp; ""x(\d+)"")), """")"),"")</f>
        <v/>
      </c>
      <c r="W505" s="9"/>
      <c r="X505" s="9"/>
      <c r="Y505" s="9"/>
      <c r="Z505" s="9"/>
    </row>
    <row r="506" spans="1:26" ht="15.75" customHeight="1">
      <c r="A506" s="9" t="s">
        <v>234</v>
      </c>
      <c r="B506" s="9" t="s">
        <v>1586</v>
      </c>
      <c r="C506" s="9" t="s">
        <v>235</v>
      </c>
      <c r="D506" s="9" t="s">
        <v>33</v>
      </c>
      <c r="E506" s="9" t="s">
        <v>12</v>
      </c>
      <c r="F506" s="9" t="s">
        <v>1187</v>
      </c>
      <c r="G506" s="9">
        <v>80</v>
      </c>
      <c r="H506" s="9">
        <v>4</v>
      </c>
      <c r="I506" s="9">
        <v>1.0149999999999999</v>
      </c>
      <c r="J506" s="9">
        <v>107</v>
      </c>
      <c r="K506" s="9" t="s">
        <v>442</v>
      </c>
      <c r="L506" s="9"/>
      <c r="M506" s="9"/>
      <c r="N506" s="9" t="str">
        <f ca="1">IFERROR(__xludf.DUMMYFUNCTION("IFERROR(VALUE(REGEXEXTRACT(TO_TEXT($F506), N$1 &amp; ""x(\d+)"")), """")
"),"")</f>
        <v/>
      </c>
      <c r="O506" s="9">
        <f ca="1">IFERROR(__xludf.DUMMYFUNCTION("IFERROR(VALUE(REGEXEXTRACT(TO_TEXT($F506), O$1 &amp; ""x(\d+)"")), """")"),1)</f>
        <v>1</v>
      </c>
      <c r="P506" s="9" t="str">
        <f ca="1">IFERROR(__xludf.DUMMYFUNCTION("IFERROR(VALUE(REGEXEXTRACT(TO_TEXT($F506), P$1 &amp; ""x(\d+)"")), """")"),"")</f>
        <v/>
      </c>
      <c r="Q506" s="9" t="str">
        <f ca="1">IFERROR(__xludf.DUMMYFUNCTION("IFERROR(VALUE(REGEXEXTRACT(TO_TEXT($F506), Q$1 &amp; ""x(\d+)"")), """")"),"")</f>
        <v/>
      </c>
      <c r="R506" s="9" t="str">
        <f ca="1">IFERROR(__xludf.DUMMYFUNCTION("IFERROR(VALUE(REGEXEXTRACT(TO_TEXT($F506), R$1 &amp; ""x(\d+)"")), """")"),"")</f>
        <v/>
      </c>
      <c r="S506" s="9" t="str">
        <f ca="1">IFERROR(__xludf.DUMMYFUNCTION("IFERROR(VALUE(REGEXEXTRACT(TO_TEXT($F506), S$1 &amp; ""x(\d+)"")), """")"),"")</f>
        <v/>
      </c>
      <c r="T506" s="9" t="str">
        <f ca="1">IFERROR(__xludf.DUMMYFUNCTION("IFERROR(VALUE(REGEXEXTRACT(TO_TEXT($F506), T$1 &amp; ""x(\d+)"")), """")"),"")</f>
        <v/>
      </c>
      <c r="U506" s="9" t="str">
        <f ca="1">IFERROR(__xludf.DUMMYFUNCTION("IFERROR(VALUE(REGEXEXTRACT(TO_TEXT($F506), U$1 &amp; ""x(\d+)"")), """")"),"")</f>
        <v/>
      </c>
      <c r="V506" s="9" t="str">
        <f ca="1">IFERROR(__xludf.DUMMYFUNCTION("IFERROR(VALUE(REGEXEXTRACT(TO_TEXT($F506), V$1 &amp; ""x(\d+)"")), """")"),"")</f>
        <v/>
      </c>
      <c r="W506" s="9"/>
      <c r="X506" s="9"/>
      <c r="Y506" s="9"/>
      <c r="Z506" s="9"/>
    </row>
    <row r="507" spans="1:26" ht="15.75" customHeight="1">
      <c r="A507" s="9" t="s">
        <v>234</v>
      </c>
      <c r="B507" s="9" t="s">
        <v>1586</v>
      </c>
      <c r="C507" s="9" t="s">
        <v>235</v>
      </c>
      <c r="D507" s="9" t="s">
        <v>33</v>
      </c>
      <c r="E507" s="9" t="s">
        <v>13</v>
      </c>
      <c r="F507" s="9" t="s">
        <v>1588</v>
      </c>
      <c r="G507" s="9">
        <v>25</v>
      </c>
      <c r="H507" s="9">
        <v>4</v>
      </c>
      <c r="I507" s="9">
        <v>1.0149999999999999</v>
      </c>
      <c r="J507" s="9">
        <v>107</v>
      </c>
      <c r="K507" s="9" t="s">
        <v>442</v>
      </c>
      <c r="L507" s="9"/>
      <c r="M507" s="9"/>
      <c r="N507" s="9" t="str">
        <f ca="1">IFERROR(__xludf.DUMMYFUNCTION("IFERROR(VALUE(REGEXEXTRACT(TO_TEXT($F507), N$1 &amp; ""x(\d+)"")), """")
"),"")</f>
        <v/>
      </c>
      <c r="O507" s="9">
        <f ca="1">IFERROR(__xludf.DUMMYFUNCTION("IFERROR(VALUE(REGEXEXTRACT(TO_TEXT($F507), O$1 &amp; ""x(\d+)"")), """")"),1)</f>
        <v>1</v>
      </c>
      <c r="P507" s="9" t="str">
        <f ca="1">IFERROR(__xludf.DUMMYFUNCTION("IFERROR(VALUE(REGEXEXTRACT(TO_TEXT($F507), P$1 &amp; ""x(\d+)"")), """")"),"")</f>
        <v/>
      </c>
      <c r="Q507" s="9" t="str">
        <f ca="1">IFERROR(__xludf.DUMMYFUNCTION("IFERROR(VALUE(REGEXEXTRACT(TO_TEXT($F507), Q$1 &amp; ""x(\d+)"")), """")"),"")</f>
        <v/>
      </c>
      <c r="R507" s="9" t="str">
        <f ca="1">IFERROR(__xludf.DUMMYFUNCTION("IFERROR(VALUE(REGEXEXTRACT(TO_TEXT($F507), R$1 &amp; ""x(\d+)"")), """")"),"")</f>
        <v/>
      </c>
      <c r="S507" s="9" t="str">
        <f ca="1">IFERROR(__xludf.DUMMYFUNCTION("IFERROR(VALUE(REGEXEXTRACT(TO_TEXT($F507), S$1 &amp; ""x(\d+)"")), """")"),"")</f>
        <v/>
      </c>
      <c r="T507" s="9" t="str">
        <f ca="1">IFERROR(__xludf.DUMMYFUNCTION("IFERROR(VALUE(REGEXEXTRACT(TO_TEXT($F507), T$1 &amp; ""x(\d+)"")), """")"),"")</f>
        <v/>
      </c>
      <c r="U507" s="9" t="str">
        <f ca="1">IFERROR(__xludf.DUMMYFUNCTION("IFERROR(VALUE(REGEXEXTRACT(TO_TEXT($F507), U$1 &amp; ""x(\d+)"")), """")"),"")</f>
        <v/>
      </c>
      <c r="V507" s="9" t="str">
        <f ca="1">IFERROR(__xludf.DUMMYFUNCTION("IFERROR(VALUE(REGEXEXTRACT(TO_TEXT($F507), V$1 &amp; ""x(\d+)"")), """")"),"")</f>
        <v/>
      </c>
      <c r="W507" s="9"/>
      <c r="X507" s="9"/>
      <c r="Y507" s="9"/>
      <c r="Z507" s="9"/>
    </row>
    <row r="508" spans="1:26" ht="15.75" hidden="1" customHeight="1">
      <c r="A508" s="9" t="s">
        <v>1589</v>
      </c>
      <c r="B508" s="9" t="s">
        <v>1590</v>
      </c>
      <c r="C508" s="9" t="s">
        <v>826</v>
      </c>
      <c r="D508" s="9" t="s">
        <v>48</v>
      </c>
      <c r="E508" s="9" t="s">
        <v>11</v>
      </c>
      <c r="F508" s="9" t="s">
        <v>1591</v>
      </c>
      <c r="G508" s="9">
        <v>105</v>
      </c>
      <c r="H508" s="9">
        <v>3</v>
      </c>
      <c r="I508" s="9">
        <v>1.0149999999999999</v>
      </c>
      <c r="J508" s="9">
        <v>52</v>
      </c>
      <c r="K508" s="9" t="s">
        <v>424</v>
      </c>
      <c r="L508" s="9"/>
      <c r="M508" s="9"/>
      <c r="N508" s="9" t="str">
        <f ca="1">IFERROR(__xludf.DUMMYFUNCTION("IFERROR(VALUE(REGEXEXTRACT(TO_TEXT($F508), N$1 &amp; ""x(\d+)"")), """")
"),"")</f>
        <v/>
      </c>
      <c r="O508" s="9">
        <f ca="1">IFERROR(__xludf.DUMMYFUNCTION("IFERROR(VALUE(REGEXEXTRACT(TO_TEXT($F508), O$1 &amp; ""x(\d+)"")), """")"),1)</f>
        <v>1</v>
      </c>
      <c r="P508" s="9" t="str">
        <f ca="1">IFERROR(__xludf.DUMMYFUNCTION("IFERROR(VALUE(REGEXEXTRACT(TO_TEXT($F508), P$1 &amp; ""x(\d+)"")), """")"),"")</f>
        <v/>
      </c>
      <c r="Q508" s="9" t="str">
        <f ca="1">IFERROR(__xludf.DUMMYFUNCTION("IFERROR(VALUE(REGEXEXTRACT(TO_TEXT($F508), Q$1 &amp; ""x(\d+)"")), """")"),"")</f>
        <v/>
      </c>
      <c r="R508" s="9" t="str">
        <f ca="1">IFERROR(__xludf.DUMMYFUNCTION("IFERROR(VALUE(REGEXEXTRACT(TO_TEXT($F508), R$1 &amp; ""x(\d+)"")), """")"),"")</f>
        <v/>
      </c>
      <c r="S508" s="9" t="str">
        <f ca="1">IFERROR(__xludf.DUMMYFUNCTION("IFERROR(VALUE(REGEXEXTRACT(TO_TEXT($F508), S$1 &amp; ""x(\d+)"")), """")"),"")</f>
        <v/>
      </c>
      <c r="T508" s="9" t="str">
        <f ca="1">IFERROR(__xludf.DUMMYFUNCTION("IFERROR(VALUE(REGEXEXTRACT(TO_TEXT($F508), T$1 &amp; ""x(\d+)"")), """")"),"")</f>
        <v/>
      </c>
      <c r="U508" s="9" t="str">
        <f ca="1">IFERROR(__xludf.DUMMYFUNCTION("IFERROR(VALUE(REGEXEXTRACT(TO_TEXT($F508), U$1 &amp; ""x(\d+)"")), """")"),"")</f>
        <v/>
      </c>
      <c r="V508" s="9">
        <f ca="1">IFERROR(__xludf.DUMMYFUNCTION("IFERROR(VALUE(REGEXEXTRACT(TO_TEXT($F508), V$1 &amp; ""x(\d+)"")), """")"),1)</f>
        <v>1</v>
      </c>
      <c r="W508" s="9"/>
      <c r="X508" s="9"/>
      <c r="Y508" s="9"/>
      <c r="Z508" s="9"/>
    </row>
    <row r="509" spans="1:26" ht="15.75" hidden="1" customHeight="1">
      <c r="A509" s="9" t="s">
        <v>1589</v>
      </c>
      <c r="B509" s="9" t="s">
        <v>1590</v>
      </c>
      <c r="C509" s="9" t="s">
        <v>826</v>
      </c>
      <c r="D509" s="9" t="s">
        <v>48</v>
      </c>
      <c r="E509" s="9" t="s">
        <v>12</v>
      </c>
      <c r="F509" s="9" t="s">
        <v>1592</v>
      </c>
      <c r="G509" s="9">
        <v>150</v>
      </c>
      <c r="H509" s="9">
        <v>3</v>
      </c>
      <c r="I509" s="9">
        <v>1.0149999999999999</v>
      </c>
      <c r="J509" s="9">
        <v>52</v>
      </c>
      <c r="K509" s="9" t="s">
        <v>424</v>
      </c>
      <c r="L509" s="9" t="s">
        <v>1015</v>
      </c>
      <c r="M509" s="9"/>
      <c r="N509" s="9" t="str">
        <f ca="1">IFERROR(__xludf.DUMMYFUNCTION("IFERROR(VALUE(REGEXEXTRACT(TO_TEXT($F509), N$1 &amp; ""x(\d+)"")), """")
"),"")</f>
        <v/>
      </c>
      <c r="O509" s="9">
        <f ca="1">IFERROR(__xludf.DUMMYFUNCTION("IFERROR(VALUE(REGEXEXTRACT(TO_TEXT($F509), O$1 &amp; ""x(\d+)"")), """")"),1)</f>
        <v>1</v>
      </c>
      <c r="P509" s="9">
        <f ca="1">IFERROR(__xludf.DUMMYFUNCTION("IFERROR(VALUE(REGEXEXTRACT(TO_TEXT($F509), P$1 &amp; ""x(\d+)"")), """")"),1)</f>
        <v>1</v>
      </c>
      <c r="Q509" s="9" t="str">
        <f ca="1">IFERROR(__xludf.DUMMYFUNCTION("IFERROR(VALUE(REGEXEXTRACT(TO_TEXT($F509), Q$1 &amp; ""x(\d+)"")), """")"),"")</f>
        <v/>
      </c>
      <c r="R509" s="9" t="str">
        <f ca="1">IFERROR(__xludf.DUMMYFUNCTION("IFERROR(VALUE(REGEXEXTRACT(TO_TEXT($F509), R$1 &amp; ""x(\d+)"")), """")"),"")</f>
        <v/>
      </c>
      <c r="S509" s="9" t="str">
        <f ca="1">IFERROR(__xludf.DUMMYFUNCTION("IFERROR(VALUE(REGEXEXTRACT(TO_TEXT($F509), S$1 &amp; ""x(\d+)"")), """")"),"")</f>
        <v/>
      </c>
      <c r="T509" s="9" t="str">
        <f ca="1">IFERROR(__xludf.DUMMYFUNCTION("IFERROR(VALUE(REGEXEXTRACT(TO_TEXT($F509), T$1 &amp; ""x(\d+)"")), """")"),"")</f>
        <v/>
      </c>
      <c r="U509" s="9" t="str">
        <f ca="1">IFERROR(__xludf.DUMMYFUNCTION("IFERROR(VALUE(REGEXEXTRACT(TO_TEXT($F509), U$1 &amp; ""x(\d+)"")), """")"),"")</f>
        <v/>
      </c>
      <c r="V509" s="9" t="str">
        <f ca="1">IFERROR(__xludf.DUMMYFUNCTION("IFERROR(VALUE(REGEXEXTRACT(TO_TEXT($F509), V$1 &amp; ""x(\d+)"")), """")"),"")</f>
        <v/>
      </c>
      <c r="W509" s="9"/>
      <c r="X509" s="9"/>
      <c r="Y509" s="9"/>
      <c r="Z509" s="9"/>
    </row>
    <row r="510" spans="1:26" ht="15.75" hidden="1" customHeight="1">
      <c r="A510" s="9" t="s">
        <v>1589</v>
      </c>
      <c r="B510" s="9" t="s">
        <v>1590</v>
      </c>
      <c r="C510" s="9" t="s">
        <v>826</v>
      </c>
      <c r="D510" s="9" t="s">
        <v>48</v>
      </c>
      <c r="E510" s="9" t="s">
        <v>13</v>
      </c>
      <c r="F510" s="9" t="s">
        <v>1593</v>
      </c>
      <c r="G510" s="9">
        <v>30</v>
      </c>
      <c r="H510" s="9">
        <v>3</v>
      </c>
      <c r="I510" s="9">
        <v>1.0149999999999999</v>
      </c>
      <c r="J510" s="9">
        <v>52</v>
      </c>
      <c r="K510" s="9" t="s">
        <v>424</v>
      </c>
      <c r="L510" s="9"/>
      <c r="M510" s="9"/>
      <c r="N510" s="9" t="str">
        <f ca="1">IFERROR(__xludf.DUMMYFUNCTION("IFERROR(VALUE(REGEXEXTRACT(TO_TEXT($F510), N$1 &amp; ""x(\d+)"")), """")
"),"")</f>
        <v/>
      </c>
      <c r="O510" s="9">
        <f ca="1">IFERROR(__xludf.DUMMYFUNCTION("IFERROR(VALUE(REGEXEXTRACT(TO_TEXT($F510), O$1 &amp; ""x(\d+)"")), """")"),1)</f>
        <v>1</v>
      </c>
      <c r="P510" s="9">
        <f ca="1">IFERROR(__xludf.DUMMYFUNCTION("IFERROR(VALUE(REGEXEXTRACT(TO_TEXT($F510), P$1 &amp; ""x(\d+)"")), """")"),1)</f>
        <v>1</v>
      </c>
      <c r="Q510" s="9" t="str">
        <f ca="1">IFERROR(__xludf.DUMMYFUNCTION("IFERROR(VALUE(REGEXEXTRACT(TO_TEXT($F510), Q$1 &amp; ""x(\d+)"")), """")"),"")</f>
        <v/>
      </c>
      <c r="R510" s="9" t="str">
        <f ca="1">IFERROR(__xludf.DUMMYFUNCTION("IFERROR(VALUE(REGEXEXTRACT(TO_TEXT($F510), R$1 &amp; ""x(\d+)"")), """")"),"")</f>
        <v/>
      </c>
      <c r="S510" s="9" t="str">
        <f ca="1">IFERROR(__xludf.DUMMYFUNCTION("IFERROR(VALUE(REGEXEXTRACT(TO_TEXT($F510), S$1 &amp; ""x(\d+)"")), """")"),"")</f>
        <v/>
      </c>
      <c r="T510" s="9" t="str">
        <f ca="1">IFERROR(__xludf.DUMMYFUNCTION("IFERROR(VALUE(REGEXEXTRACT(TO_TEXT($F510), T$1 &amp; ""x(\d+)"")), """")"),"")</f>
        <v/>
      </c>
      <c r="U510" s="9" t="str">
        <f ca="1">IFERROR(__xludf.DUMMYFUNCTION("IFERROR(VALUE(REGEXEXTRACT(TO_TEXT($F510), U$1 &amp; ""x(\d+)"")), """")"),"")</f>
        <v/>
      </c>
      <c r="V510" s="9" t="str">
        <f ca="1">IFERROR(__xludf.DUMMYFUNCTION("IFERROR(VALUE(REGEXEXTRACT(TO_TEXT($F510), V$1 &amp; ""x(\d+)"")), """")"),"")</f>
        <v/>
      </c>
      <c r="W510" s="9"/>
      <c r="X510" s="9"/>
      <c r="Y510" s="9"/>
      <c r="Z510" s="9"/>
    </row>
    <row r="511" spans="1:26" ht="15.75" hidden="1" customHeight="1">
      <c r="A511" s="9" t="s">
        <v>1589</v>
      </c>
      <c r="B511" s="9" t="s">
        <v>1590</v>
      </c>
      <c r="C511" s="9" t="s">
        <v>826</v>
      </c>
      <c r="D511" s="9" t="s">
        <v>74</v>
      </c>
      <c r="E511" s="9" t="s">
        <v>11</v>
      </c>
      <c r="F511" s="9" t="s">
        <v>1594</v>
      </c>
      <c r="G511" s="9">
        <v>135</v>
      </c>
      <c r="H511" s="9">
        <v>2</v>
      </c>
      <c r="I511" s="9">
        <v>1.0149999999999999</v>
      </c>
      <c r="J511" s="9">
        <v>103</v>
      </c>
      <c r="K511" s="9" t="s">
        <v>424</v>
      </c>
      <c r="L511" s="9"/>
      <c r="M511" s="9"/>
      <c r="N511" s="9" t="str">
        <f ca="1">IFERROR(__xludf.DUMMYFUNCTION("IFERROR(VALUE(REGEXEXTRACT(TO_TEXT($F511), N$1 &amp; ""x(\d+)"")), """")
"),"")</f>
        <v/>
      </c>
      <c r="O511" s="9">
        <f ca="1">IFERROR(__xludf.DUMMYFUNCTION("IFERROR(VALUE(REGEXEXTRACT(TO_TEXT($F511), O$1 &amp; ""x(\d+)"")), """")"),1)</f>
        <v>1</v>
      </c>
      <c r="P511" s="9" t="str">
        <f ca="1">IFERROR(__xludf.DUMMYFUNCTION("IFERROR(VALUE(REGEXEXTRACT(TO_TEXT($F511), P$1 &amp; ""x(\d+)"")), """")"),"")</f>
        <v/>
      </c>
      <c r="Q511" s="9" t="str">
        <f ca="1">IFERROR(__xludf.DUMMYFUNCTION("IFERROR(VALUE(REGEXEXTRACT(TO_TEXT($F511), Q$1 &amp; ""x(\d+)"")), """")"),"")</f>
        <v/>
      </c>
      <c r="R511" s="9" t="str">
        <f ca="1">IFERROR(__xludf.DUMMYFUNCTION("IFERROR(VALUE(REGEXEXTRACT(TO_TEXT($F511), R$1 &amp; ""x(\d+)"")), """")"),"")</f>
        <v/>
      </c>
      <c r="S511" s="9" t="str">
        <f ca="1">IFERROR(__xludf.DUMMYFUNCTION("IFERROR(VALUE(REGEXEXTRACT(TO_TEXT($F511), S$1 &amp; ""x(\d+)"")), """")"),"")</f>
        <v/>
      </c>
      <c r="T511" s="9" t="str">
        <f ca="1">IFERROR(__xludf.DUMMYFUNCTION("IFERROR(VALUE(REGEXEXTRACT(TO_TEXT($F511), T$1 &amp; ""x(\d+)"")), """")"),"")</f>
        <v/>
      </c>
      <c r="U511" s="9" t="str">
        <f ca="1">IFERROR(__xludf.DUMMYFUNCTION("IFERROR(VALUE(REGEXEXTRACT(TO_TEXT($F511), U$1 &amp; ""x(\d+)"")), """")"),"")</f>
        <v/>
      </c>
      <c r="V511" s="9">
        <f ca="1">IFERROR(__xludf.DUMMYFUNCTION("IFERROR(VALUE(REGEXEXTRACT(TO_TEXT($F511), V$1 &amp; ""x(\d+)"")), """")"),1)</f>
        <v>1</v>
      </c>
      <c r="W511" s="9"/>
      <c r="X511" s="9"/>
      <c r="Y511" s="9"/>
      <c r="Z511" s="9"/>
    </row>
    <row r="512" spans="1:26" ht="15.75" hidden="1" customHeight="1">
      <c r="A512" s="9" t="s">
        <v>1589</v>
      </c>
      <c r="B512" s="9" t="s">
        <v>1590</v>
      </c>
      <c r="C512" s="9" t="s">
        <v>826</v>
      </c>
      <c r="D512" s="9" t="s">
        <v>74</v>
      </c>
      <c r="E512" s="9" t="s">
        <v>12</v>
      </c>
      <c r="F512" s="9" t="s">
        <v>1595</v>
      </c>
      <c r="G512" s="9">
        <v>200</v>
      </c>
      <c r="H512" s="9">
        <v>2</v>
      </c>
      <c r="I512" s="9">
        <v>1.0149999999999999</v>
      </c>
      <c r="J512" s="9">
        <v>103</v>
      </c>
      <c r="K512" s="9" t="s">
        <v>424</v>
      </c>
      <c r="L512" s="9" t="s">
        <v>1015</v>
      </c>
      <c r="M512" s="9"/>
      <c r="N512" s="9" t="str">
        <f ca="1">IFERROR(__xludf.DUMMYFUNCTION("IFERROR(VALUE(REGEXEXTRACT(TO_TEXT($F512), N$1 &amp; ""x(\d+)"")), """")
"),"")</f>
        <v/>
      </c>
      <c r="O512" s="9">
        <f ca="1">IFERROR(__xludf.DUMMYFUNCTION("IFERROR(VALUE(REGEXEXTRACT(TO_TEXT($F512), O$1 &amp; ""x(\d+)"")), """")"),1)</f>
        <v>1</v>
      </c>
      <c r="P512" s="9" t="str">
        <f ca="1">IFERROR(__xludf.DUMMYFUNCTION("IFERROR(VALUE(REGEXEXTRACT(TO_TEXT($F512), P$1 &amp; ""x(\d+)"")), """")"),"")</f>
        <v/>
      </c>
      <c r="Q512" s="9">
        <f ca="1">IFERROR(__xludf.DUMMYFUNCTION("IFERROR(VALUE(REGEXEXTRACT(TO_TEXT($F512), Q$1 &amp; ""x(\d+)"")), """")"),1)</f>
        <v>1</v>
      </c>
      <c r="R512" s="9" t="str">
        <f ca="1">IFERROR(__xludf.DUMMYFUNCTION("IFERROR(VALUE(REGEXEXTRACT(TO_TEXT($F512), R$1 &amp; ""x(\d+)"")), """")"),"")</f>
        <v/>
      </c>
      <c r="S512" s="9" t="str">
        <f ca="1">IFERROR(__xludf.DUMMYFUNCTION("IFERROR(VALUE(REGEXEXTRACT(TO_TEXT($F512), S$1 &amp; ""x(\d+)"")), """")"),"")</f>
        <v/>
      </c>
      <c r="T512" s="9" t="str">
        <f ca="1">IFERROR(__xludf.DUMMYFUNCTION("IFERROR(VALUE(REGEXEXTRACT(TO_TEXT($F512), T$1 &amp; ""x(\d+)"")), """")"),"")</f>
        <v/>
      </c>
      <c r="U512" s="9" t="str">
        <f ca="1">IFERROR(__xludf.DUMMYFUNCTION("IFERROR(VALUE(REGEXEXTRACT(TO_TEXT($F512), U$1 &amp; ""x(\d+)"")), """")"),"")</f>
        <v/>
      </c>
      <c r="V512" s="9" t="str">
        <f ca="1">IFERROR(__xludf.DUMMYFUNCTION("IFERROR(VALUE(REGEXEXTRACT(TO_TEXT($F512), V$1 &amp; ""x(\d+)"")), """")"),"")</f>
        <v/>
      </c>
      <c r="W512" s="9"/>
      <c r="X512" s="9"/>
      <c r="Y512" s="9"/>
      <c r="Z512" s="9"/>
    </row>
    <row r="513" spans="1:26" ht="15.75" hidden="1" customHeight="1">
      <c r="A513" s="9" t="s">
        <v>1589</v>
      </c>
      <c r="B513" s="9" t="s">
        <v>1590</v>
      </c>
      <c r="C513" s="9" t="s">
        <v>826</v>
      </c>
      <c r="D513" s="9" t="s">
        <v>74</v>
      </c>
      <c r="E513" s="9" t="s">
        <v>13</v>
      </c>
      <c r="F513" s="9" t="s">
        <v>1596</v>
      </c>
      <c r="G513" s="9">
        <v>40</v>
      </c>
      <c r="H513" s="9">
        <v>2</v>
      </c>
      <c r="I513" s="9">
        <v>1.0149999999999999</v>
      </c>
      <c r="J513" s="9">
        <v>103</v>
      </c>
      <c r="K513" s="9" t="s">
        <v>424</v>
      </c>
      <c r="L513" s="9"/>
      <c r="M513" s="9"/>
      <c r="N513" s="9" t="str">
        <f ca="1">IFERROR(__xludf.DUMMYFUNCTION("IFERROR(VALUE(REGEXEXTRACT(TO_TEXT($F513), N$1 &amp; ""x(\d+)"")), """")
"),"")</f>
        <v/>
      </c>
      <c r="O513" s="9">
        <f ca="1">IFERROR(__xludf.DUMMYFUNCTION("IFERROR(VALUE(REGEXEXTRACT(TO_TEXT($F513), O$1 &amp; ""x(\d+)"")), """")"),1)</f>
        <v>1</v>
      </c>
      <c r="P513" s="9" t="str">
        <f ca="1">IFERROR(__xludf.DUMMYFUNCTION("IFERROR(VALUE(REGEXEXTRACT(TO_TEXT($F513), P$1 &amp; ""x(\d+)"")), """")"),"")</f>
        <v/>
      </c>
      <c r="Q513" s="9">
        <f ca="1">IFERROR(__xludf.DUMMYFUNCTION("IFERROR(VALUE(REGEXEXTRACT(TO_TEXT($F513), Q$1 &amp; ""x(\d+)"")), """")"),1)</f>
        <v>1</v>
      </c>
      <c r="R513" s="9" t="str">
        <f ca="1">IFERROR(__xludf.DUMMYFUNCTION("IFERROR(VALUE(REGEXEXTRACT(TO_TEXT($F513), R$1 &amp; ""x(\d+)"")), """")"),"")</f>
        <v/>
      </c>
      <c r="S513" s="9" t="str">
        <f ca="1">IFERROR(__xludf.DUMMYFUNCTION("IFERROR(VALUE(REGEXEXTRACT(TO_TEXT($F513), S$1 &amp; ""x(\d+)"")), """")"),"")</f>
        <v/>
      </c>
      <c r="T513" s="9" t="str">
        <f ca="1">IFERROR(__xludf.DUMMYFUNCTION("IFERROR(VALUE(REGEXEXTRACT(TO_TEXT($F513), T$1 &amp; ""x(\d+)"")), """")"),"")</f>
        <v/>
      </c>
      <c r="U513" s="9" t="str">
        <f ca="1">IFERROR(__xludf.DUMMYFUNCTION("IFERROR(VALUE(REGEXEXTRACT(TO_TEXT($F513), U$1 &amp; ""x(\d+)"")), """")"),"")</f>
        <v/>
      </c>
      <c r="V513" s="9" t="str">
        <f ca="1">IFERROR(__xludf.DUMMYFUNCTION("IFERROR(VALUE(REGEXEXTRACT(TO_TEXT($F513), V$1 &amp; ""x(\d+)"")), """")"),"")</f>
        <v/>
      </c>
      <c r="W513" s="9"/>
      <c r="X513" s="9"/>
      <c r="Y513" s="9"/>
      <c r="Z513" s="9"/>
    </row>
    <row r="514" spans="1:26" ht="15.75" hidden="1" customHeight="1">
      <c r="A514" s="9" t="s">
        <v>1597</v>
      </c>
      <c r="B514" s="9" t="s">
        <v>1598</v>
      </c>
      <c r="C514" s="9" t="s">
        <v>750</v>
      </c>
      <c r="D514" s="9" t="s">
        <v>48</v>
      </c>
      <c r="E514" s="9" t="s">
        <v>11</v>
      </c>
      <c r="F514" s="9" t="s">
        <v>1477</v>
      </c>
      <c r="G514" s="9">
        <v>20</v>
      </c>
      <c r="H514" s="9">
        <v>3</v>
      </c>
      <c r="I514" s="9">
        <v>1.0149999999999999</v>
      </c>
      <c r="J514" s="9">
        <v>52</v>
      </c>
      <c r="K514" s="9" t="s">
        <v>424</v>
      </c>
      <c r="L514" s="9"/>
      <c r="M514" s="9"/>
      <c r="N514" s="9" t="str">
        <f ca="1">IFERROR(__xludf.DUMMYFUNCTION("IFERROR(VALUE(REGEXEXTRACT(TO_TEXT($F514), N$1 &amp; ""x(\d+)"")), """")
"),"")</f>
        <v/>
      </c>
      <c r="O514" s="9" t="str">
        <f ca="1">IFERROR(__xludf.DUMMYFUNCTION("IFERROR(VALUE(REGEXEXTRACT(TO_TEXT($F514), O$1 &amp; ""x(\d+)"")), """")"),"")</f>
        <v/>
      </c>
      <c r="P514" s="9" t="str">
        <f ca="1">IFERROR(__xludf.DUMMYFUNCTION("IFERROR(VALUE(REGEXEXTRACT(TO_TEXT($F514), P$1 &amp; ""x(\d+)"")), """")"),"")</f>
        <v/>
      </c>
      <c r="Q514" s="9" t="str">
        <f ca="1">IFERROR(__xludf.DUMMYFUNCTION("IFERROR(VALUE(REGEXEXTRACT(TO_TEXT($F514), Q$1 &amp; ""x(\d+)"")), """")"),"")</f>
        <v/>
      </c>
      <c r="R514" s="9" t="str">
        <f ca="1">IFERROR(__xludf.DUMMYFUNCTION("IFERROR(VALUE(REGEXEXTRACT(TO_TEXT($F514), R$1 &amp; ""x(\d+)"")), """")"),"")</f>
        <v/>
      </c>
      <c r="S514" s="9" t="str">
        <f ca="1">IFERROR(__xludf.DUMMYFUNCTION("IFERROR(VALUE(REGEXEXTRACT(TO_TEXT($F514), S$1 &amp; ""x(\d+)"")), """")"),"")</f>
        <v/>
      </c>
      <c r="T514" s="9" t="str">
        <f ca="1">IFERROR(__xludf.DUMMYFUNCTION("IFERROR(VALUE(REGEXEXTRACT(TO_TEXT($F514), T$1 &amp; ""x(\d+)"")), """")"),"")</f>
        <v/>
      </c>
      <c r="U514" s="9" t="str">
        <f ca="1">IFERROR(__xludf.DUMMYFUNCTION("IFERROR(VALUE(REGEXEXTRACT(TO_TEXT($F514), U$1 &amp; ""x(\d+)"")), """")"),"")</f>
        <v/>
      </c>
      <c r="V514" s="9" t="str">
        <f ca="1">IFERROR(__xludf.DUMMYFUNCTION("IFERROR(VALUE(REGEXEXTRACT(TO_TEXT($F514), V$1 &amp; ""x(\d+)"")), """")"),"")</f>
        <v/>
      </c>
      <c r="W514" s="9"/>
      <c r="X514" s="9"/>
      <c r="Y514" s="9"/>
      <c r="Z514" s="9"/>
    </row>
    <row r="515" spans="1:26" ht="15.75" hidden="1" customHeight="1">
      <c r="A515" s="9" t="s">
        <v>1597</v>
      </c>
      <c r="B515" s="9" t="s">
        <v>1598</v>
      </c>
      <c r="C515" s="9" t="s">
        <v>750</v>
      </c>
      <c r="D515" s="9" t="s">
        <v>48</v>
      </c>
      <c r="E515" s="9" t="s">
        <v>12</v>
      </c>
      <c r="F515" s="9" t="s">
        <v>1599</v>
      </c>
      <c r="G515" s="9">
        <v>160</v>
      </c>
      <c r="H515" s="9">
        <v>3</v>
      </c>
      <c r="I515" s="9">
        <v>1.0149999999999999</v>
      </c>
      <c r="J515" s="9">
        <v>52</v>
      </c>
      <c r="K515" s="9" t="s">
        <v>424</v>
      </c>
      <c r="L515" s="9" t="s">
        <v>1600</v>
      </c>
      <c r="M515" s="9"/>
      <c r="N515" s="9" t="str">
        <f ca="1">IFERROR(__xludf.DUMMYFUNCTION("IFERROR(VALUE(REGEXEXTRACT(TO_TEXT($F515), N$1 &amp; ""x(\d+)"")), """")
"),"")</f>
        <v/>
      </c>
      <c r="O515" s="9">
        <f ca="1">IFERROR(__xludf.DUMMYFUNCTION("IFERROR(VALUE(REGEXEXTRACT(TO_TEXT($F515), O$1 &amp; ""x(\d+)"")), """")"),1)</f>
        <v>1</v>
      </c>
      <c r="P515" s="9">
        <f ca="1">IFERROR(__xludf.DUMMYFUNCTION("IFERROR(VALUE(REGEXEXTRACT(TO_TEXT($F515), P$1 &amp; ""x(\d+)"")), """")"),1)</f>
        <v>1</v>
      </c>
      <c r="Q515" s="9" t="str">
        <f ca="1">IFERROR(__xludf.DUMMYFUNCTION("IFERROR(VALUE(REGEXEXTRACT(TO_TEXT($F515), Q$1 &amp; ""x(\d+)"")), """")"),"")</f>
        <v/>
      </c>
      <c r="R515" s="9" t="str">
        <f ca="1">IFERROR(__xludf.DUMMYFUNCTION("IFERROR(VALUE(REGEXEXTRACT(TO_TEXT($F515), R$1 &amp; ""x(\d+)"")), """")"),"")</f>
        <v/>
      </c>
      <c r="S515" s="9" t="str">
        <f ca="1">IFERROR(__xludf.DUMMYFUNCTION("IFERROR(VALUE(REGEXEXTRACT(TO_TEXT($F515), S$1 &amp; ""x(\d+)"")), """")"),"")</f>
        <v/>
      </c>
      <c r="T515" s="9" t="str">
        <f ca="1">IFERROR(__xludf.DUMMYFUNCTION("IFERROR(VALUE(REGEXEXTRACT(TO_TEXT($F515), T$1 &amp; ""x(\d+)"")), """")"),"")</f>
        <v/>
      </c>
      <c r="U515" s="9" t="str">
        <f ca="1">IFERROR(__xludf.DUMMYFUNCTION("IFERROR(VALUE(REGEXEXTRACT(TO_TEXT($F515), U$1 &amp; ""x(\d+)"")), """")"),"")</f>
        <v/>
      </c>
      <c r="V515" s="9" t="str">
        <f ca="1">IFERROR(__xludf.DUMMYFUNCTION("IFERROR(VALUE(REGEXEXTRACT(TO_TEXT($F515), V$1 &amp; ""x(\d+)"")), """")"),"")</f>
        <v/>
      </c>
      <c r="W515" s="9"/>
      <c r="X515" s="9"/>
      <c r="Y515" s="9"/>
      <c r="Z515" s="9"/>
    </row>
    <row r="516" spans="1:26" ht="15.75" hidden="1" customHeight="1">
      <c r="A516" s="9" t="s">
        <v>1597</v>
      </c>
      <c r="B516" s="9" t="s">
        <v>1598</v>
      </c>
      <c r="C516" s="9" t="s">
        <v>750</v>
      </c>
      <c r="D516" s="9" t="s">
        <v>48</v>
      </c>
      <c r="E516" s="9" t="s">
        <v>13</v>
      </c>
      <c r="F516" s="9" t="s">
        <v>1601</v>
      </c>
      <c r="G516" s="9">
        <v>35</v>
      </c>
      <c r="H516" s="9">
        <v>3</v>
      </c>
      <c r="I516" s="9">
        <v>1.0149999999999999</v>
      </c>
      <c r="J516" s="9">
        <v>52</v>
      </c>
      <c r="K516" s="9" t="s">
        <v>424</v>
      </c>
      <c r="L516" s="9"/>
      <c r="M516" s="9"/>
      <c r="N516" s="9" t="str">
        <f ca="1">IFERROR(__xludf.DUMMYFUNCTION("IFERROR(VALUE(REGEXEXTRACT(TO_TEXT($F516), N$1 &amp; ""x(\d+)"")), """")
"),"")</f>
        <v/>
      </c>
      <c r="O516" s="9">
        <f ca="1">IFERROR(__xludf.DUMMYFUNCTION("IFERROR(VALUE(REGEXEXTRACT(TO_TEXT($F516), O$1 &amp; ""x(\d+)"")), """")"),1)</f>
        <v>1</v>
      </c>
      <c r="P516" s="9">
        <f ca="1">IFERROR(__xludf.DUMMYFUNCTION("IFERROR(VALUE(REGEXEXTRACT(TO_TEXT($F516), P$1 &amp; ""x(\d+)"")), """")"),1)</f>
        <v>1</v>
      </c>
      <c r="Q516" s="9" t="str">
        <f ca="1">IFERROR(__xludf.DUMMYFUNCTION("IFERROR(VALUE(REGEXEXTRACT(TO_TEXT($F516), Q$1 &amp; ""x(\d+)"")), """")"),"")</f>
        <v/>
      </c>
      <c r="R516" s="9" t="str">
        <f ca="1">IFERROR(__xludf.DUMMYFUNCTION("IFERROR(VALUE(REGEXEXTRACT(TO_TEXT($F516), R$1 &amp; ""x(\d+)"")), """")"),"")</f>
        <v/>
      </c>
      <c r="S516" s="9" t="str">
        <f ca="1">IFERROR(__xludf.DUMMYFUNCTION("IFERROR(VALUE(REGEXEXTRACT(TO_TEXT($F516), S$1 &amp; ""x(\d+)"")), """")"),"")</f>
        <v/>
      </c>
      <c r="T516" s="9" t="str">
        <f ca="1">IFERROR(__xludf.DUMMYFUNCTION("IFERROR(VALUE(REGEXEXTRACT(TO_TEXT($F516), T$1 &amp; ""x(\d+)"")), """")"),"")</f>
        <v/>
      </c>
      <c r="U516" s="9" t="str">
        <f ca="1">IFERROR(__xludf.DUMMYFUNCTION("IFERROR(VALUE(REGEXEXTRACT(TO_TEXT($F516), U$1 &amp; ""x(\d+)"")), """")"),"")</f>
        <v/>
      </c>
      <c r="V516" s="9" t="str">
        <f ca="1">IFERROR(__xludf.DUMMYFUNCTION("IFERROR(VALUE(REGEXEXTRACT(TO_TEXT($F516), V$1 &amp; ""x(\d+)"")), """")"),"")</f>
        <v/>
      </c>
      <c r="W516" s="9"/>
      <c r="X516" s="9"/>
      <c r="Y516" s="9"/>
      <c r="Z516" s="9"/>
    </row>
    <row r="517" spans="1:26" ht="15.75" hidden="1" customHeight="1">
      <c r="A517" s="9" t="s">
        <v>312</v>
      </c>
      <c r="B517" s="9" t="s">
        <v>1602</v>
      </c>
      <c r="C517" s="9" t="s">
        <v>313</v>
      </c>
      <c r="D517" s="9" t="s">
        <v>48</v>
      </c>
      <c r="E517" s="9" t="s">
        <v>11</v>
      </c>
      <c r="F517" s="9" t="s">
        <v>1603</v>
      </c>
      <c r="G517" s="9">
        <v>60</v>
      </c>
      <c r="H517" s="9">
        <v>3</v>
      </c>
      <c r="I517" s="9">
        <v>1.0149999999999999</v>
      </c>
      <c r="J517" s="9">
        <v>52</v>
      </c>
      <c r="K517" s="9" t="s">
        <v>424</v>
      </c>
      <c r="L517" s="9"/>
      <c r="M517" s="9"/>
      <c r="N517" s="9">
        <f ca="1">IFERROR(__xludf.DUMMYFUNCTION("IFERROR(VALUE(REGEXEXTRACT(TO_TEXT($F517), N$1 &amp; ""x(\d+)"")), """")
"),1)</f>
        <v>1</v>
      </c>
      <c r="O517" s="9">
        <f ca="1">IFERROR(__xludf.DUMMYFUNCTION("IFERROR(VALUE(REGEXEXTRACT(TO_TEXT($F517), O$1 &amp; ""x(\d+)"")), """")"),1)</f>
        <v>1</v>
      </c>
      <c r="P517" s="9" t="str">
        <f ca="1">IFERROR(__xludf.DUMMYFUNCTION("IFERROR(VALUE(REGEXEXTRACT(TO_TEXT($F517), P$1 &amp; ""x(\d+)"")), """")"),"")</f>
        <v/>
      </c>
      <c r="Q517" s="9" t="str">
        <f ca="1">IFERROR(__xludf.DUMMYFUNCTION("IFERROR(VALUE(REGEXEXTRACT(TO_TEXT($F517), Q$1 &amp; ""x(\d+)"")), """")"),"")</f>
        <v/>
      </c>
      <c r="R517" s="9" t="str">
        <f ca="1">IFERROR(__xludf.DUMMYFUNCTION("IFERROR(VALUE(REGEXEXTRACT(TO_TEXT($F517), R$1 &amp; ""x(\d+)"")), """")"),"")</f>
        <v/>
      </c>
      <c r="S517" s="9" t="str">
        <f ca="1">IFERROR(__xludf.DUMMYFUNCTION("IFERROR(VALUE(REGEXEXTRACT(TO_TEXT($F517), S$1 &amp; ""x(\d+)"")), """")"),"")</f>
        <v/>
      </c>
      <c r="T517" s="9" t="str">
        <f ca="1">IFERROR(__xludf.DUMMYFUNCTION("IFERROR(VALUE(REGEXEXTRACT(TO_TEXT($F517), T$1 &amp; ""x(\d+)"")), """")"),"")</f>
        <v/>
      </c>
      <c r="U517" s="9" t="str">
        <f ca="1">IFERROR(__xludf.DUMMYFUNCTION("IFERROR(VALUE(REGEXEXTRACT(TO_TEXT($F517), U$1 &amp; ""x(\d+)"")), """")"),"")</f>
        <v/>
      </c>
      <c r="V517" s="9">
        <f ca="1">IFERROR(__xludf.DUMMYFUNCTION("IFERROR(VALUE(REGEXEXTRACT(TO_TEXT($F517), V$1 &amp; ""x(\d+)"")), """")"),1)</f>
        <v>1</v>
      </c>
      <c r="W517" s="9"/>
      <c r="X517" s="9"/>
      <c r="Y517" s="9"/>
      <c r="Z517" s="9"/>
    </row>
    <row r="518" spans="1:26" ht="15.75" hidden="1" customHeight="1">
      <c r="A518" s="9" t="s">
        <v>312</v>
      </c>
      <c r="B518" s="9" t="s">
        <v>1602</v>
      </c>
      <c r="C518" s="9" t="s">
        <v>313</v>
      </c>
      <c r="D518" s="9" t="s">
        <v>48</v>
      </c>
      <c r="E518" s="9" t="s">
        <v>12</v>
      </c>
      <c r="F518" s="9" t="s">
        <v>1604</v>
      </c>
      <c r="G518" s="9">
        <v>120</v>
      </c>
      <c r="H518" s="9">
        <v>3</v>
      </c>
      <c r="I518" s="9">
        <v>1.0149999999999999</v>
      </c>
      <c r="J518" s="9">
        <v>52</v>
      </c>
      <c r="K518" s="9" t="s">
        <v>424</v>
      </c>
      <c r="L518" s="9" t="s">
        <v>1035</v>
      </c>
      <c r="M518" s="9"/>
      <c r="N518" s="9" t="str">
        <f ca="1">IFERROR(__xludf.DUMMYFUNCTION("IFERROR(VALUE(REGEXEXTRACT(TO_TEXT($F518), N$1 &amp; ""x(\d+)"")), """")
"),"")</f>
        <v/>
      </c>
      <c r="O518" s="9">
        <f ca="1">IFERROR(__xludf.DUMMYFUNCTION("IFERROR(VALUE(REGEXEXTRACT(TO_TEXT($F518), O$1 &amp; ""x(\d+)"")), """")"),1)</f>
        <v>1</v>
      </c>
      <c r="P518" s="9">
        <f ca="1">IFERROR(__xludf.DUMMYFUNCTION("IFERROR(VALUE(REGEXEXTRACT(TO_TEXT($F518), P$1 &amp; ""x(\d+)"")), """")"),1)</f>
        <v>1</v>
      </c>
      <c r="Q518" s="9" t="str">
        <f ca="1">IFERROR(__xludf.DUMMYFUNCTION("IFERROR(VALUE(REGEXEXTRACT(TO_TEXT($F518), Q$1 &amp; ""x(\d+)"")), """")"),"")</f>
        <v/>
      </c>
      <c r="R518" s="9" t="str">
        <f ca="1">IFERROR(__xludf.DUMMYFUNCTION("IFERROR(VALUE(REGEXEXTRACT(TO_TEXT($F518), R$1 &amp; ""x(\d+)"")), """")"),"")</f>
        <v/>
      </c>
      <c r="S518" s="9" t="str">
        <f ca="1">IFERROR(__xludf.DUMMYFUNCTION("IFERROR(VALUE(REGEXEXTRACT(TO_TEXT($F518), S$1 &amp; ""x(\d+)"")), """")"),"")</f>
        <v/>
      </c>
      <c r="T518" s="9" t="str">
        <f ca="1">IFERROR(__xludf.DUMMYFUNCTION("IFERROR(VALUE(REGEXEXTRACT(TO_TEXT($F518), T$1 &amp; ""x(\d+)"")), """")"),"")</f>
        <v/>
      </c>
      <c r="U518" s="9" t="str">
        <f ca="1">IFERROR(__xludf.DUMMYFUNCTION("IFERROR(VALUE(REGEXEXTRACT(TO_TEXT($F518), U$1 &amp; ""x(\d+)"")), """")"),"")</f>
        <v/>
      </c>
      <c r="V518" s="9" t="str">
        <f ca="1">IFERROR(__xludf.DUMMYFUNCTION("IFERROR(VALUE(REGEXEXTRACT(TO_TEXT($F518), V$1 &amp; ""x(\d+)"")), """")"),"")</f>
        <v/>
      </c>
      <c r="W518" s="9"/>
      <c r="X518" s="9"/>
      <c r="Y518" s="9"/>
      <c r="Z518" s="9"/>
    </row>
    <row r="519" spans="1:26" ht="15.75" hidden="1" customHeight="1">
      <c r="A519" s="9" t="s">
        <v>312</v>
      </c>
      <c r="B519" s="9" t="s">
        <v>1602</v>
      </c>
      <c r="C519" s="9" t="s">
        <v>313</v>
      </c>
      <c r="D519" s="9" t="s">
        <v>48</v>
      </c>
      <c r="E519" s="9" t="s">
        <v>13</v>
      </c>
      <c r="F519" s="9" t="s">
        <v>1605</v>
      </c>
      <c r="G519" s="9">
        <v>105</v>
      </c>
      <c r="H519" s="9">
        <v>3</v>
      </c>
      <c r="I519" s="9">
        <v>1.0149999999999999</v>
      </c>
      <c r="J519" s="9">
        <v>52</v>
      </c>
      <c r="K519" s="9" t="s">
        <v>424</v>
      </c>
      <c r="L519" s="9"/>
      <c r="M519" s="9"/>
      <c r="N519" s="9" t="str">
        <f ca="1">IFERROR(__xludf.DUMMYFUNCTION("IFERROR(VALUE(REGEXEXTRACT(TO_TEXT($F519), N$1 &amp; ""x(\d+)"")), """")
"),"")</f>
        <v/>
      </c>
      <c r="O519" s="9">
        <f ca="1">IFERROR(__xludf.DUMMYFUNCTION("IFERROR(VALUE(REGEXEXTRACT(TO_TEXT($F519), O$1 &amp; ""x(\d+)"")), """")"),1)</f>
        <v>1</v>
      </c>
      <c r="P519" s="9">
        <f ca="1">IFERROR(__xludf.DUMMYFUNCTION("IFERROR(VALUE(REGEXEXTRACT(TO_TEXT($F519), P$1 &amp; ""x(\d+)"")), """")"),1)</f>
        <v>1</v>
      </c>
      <c r="Q519" s="9" t="str">
        <f ca="1">IFERROR(__xludf.DUMMYFUNCTION("IFERROR(VALUE(REGEXEXTRACT(TO_TEXT($F519), Q$1 &amp; ""x(\d+)"")), """")"),"")</f>
        <v/>
      </c>
      <c r="R519" s="9" t="str">
        <f ca="1">IFERROR(__xludf.DUMMYFUNCTION("IFERROR(VALUE(REGEXEXTRACT(TO_TEXT($F519), R$1 &amp; ""x(\d+)"")), """")"),"")</f>
        <v/>
      </c>
      <c r="S519" s="9" t="str">
        <f ca="1">IFERROR(__xludf.DUMMYFUNCTION("IFERROR(VALUE(REGEXEXTRACT(TO_TEXT($F519), S$1 &amp; ""x(\d+)"")), """")"),"")</f>
        <v/>
      </c>
      <c r="T519" s="9" t="str">
        <f ca="1">IFERROR(__xludf.DUMMYFUNCTION("IFERROR(VALUE(REGEXEXTRACT(TO_TEXT($F519), T$1 &amp; ""x(\d+)"")), """")"),"")</f>
        <v/>
      </c>
      <c r="U519" s="9" t="str">
        <f ca="1">IFERROR(__xludf.DUMMYFUNCTION("IFERROR(VALUE(REGEXEXTRACT(TO_TEXT($F519), U$1 &amp; ""x(\d+)"")), """")"),"")</f>
        <v/>
      </c>
      <c r="V519" s="9" t="str">
        <f ca="1">IFERROR(__xludf.DUMMYFUNCTION("IFERROR(VALUE(REGEXEXTRACT(TO_TEXT($F519), V$1 &amp; ""x(\d+)"")), """")"),"")</f>
        <v/>
      </c>
      <c r="W519" s="9"/>
      <c r="X519" s="9"/>
      <c r="Y519" s="9"/>
      <c r="Z519" s="9"/>
    </row>
    <row r="520" spans="1:26" ht="15.75" hidden="1" customHeight="1">
      <c r="A520" s="9" t="s">
        <v>1606</v>
      </c>
      <c r="B520" s="9" t="s">
        <v>1607</v>
      </c>
      <c r="C520" s="9" t="s">
        <v>820</v>
      </c>
      <c r="D520" s="9" t="s">
        <v>40</v>
      </c>
      <c r="E520" s="9" t="s">
        <v>11</v>
      </c>
      <c r="F520" s="9" t="s">
        <v>1608</v>
      </c>
      <c r="G520" s="9">
        <v>80</v>
      </c>
      <c r="H520" s="9">
        <v>2</v>
      </c>
      <c r="I520" s="9">
        <v>1.0149999999999999</v>
      </c>
      <c r="J520" s="9">
        <v>400</v>
      </c>
      <c r="K520" s="9" t="s">
        <v>442</v>
      </c>
      <c r="L520" s="9"/>
      <c r="M520" s="9"/>
      <c r="N520" s="9" t="str">
        <f ca="1">IFERROR(__xludf.DUMMYFUNCTION("IFERROR(VALUE(REGEXEXTRACT(TO_TEXT($F520), N$1 &amp; ""x(\d+)"")), """")
"),"")</f>
        <v/>
      </c>
      <c r="O520" s="9">
        <f ca="1">IFERROR(__xludf.DUMMYFUNCTION("IFERROR(VALUE(REGEXEXTRACT(TO_TEXT($F520), O$1 &amp; ""x(\d+)"")), """")"),1)</f>
        <v>1</v>
      </c>
      <c r="P520" s="9" t="str">
        <f ca="1">IFERROR(__xludf.DUMMYFUNCTION("IFERROR(VALUE(REGEXEXTRACT(TO_TEXT($F520), P$1 &amp; ""x(\d+)"")), """")"),"")</f>
        <v/>
      </c>
      <c r="Q520" s="9" t="str">
        <f ca="1">IFERROR(__xludf.DUMMYFUNCTION("IFERROR(VALUE(REGEXEXTRACT(TO_TEXT($F520), Q$1 &amp; ""x(\d+)"")), """")"),"")</f>
        <v/>
      </c>
      <c r="R520" s="9" t="str">
        <f ca="1">IFERROR(__xludf.DUMMYFUNCTION("IFERROR(VALUE(REGEXEXTRACT(TO_TEXT($F520), R$1 &amp; ""x(\d+)"")), """")"),"")</f>
        <v/>
      </c>
      <c r="S520" s="9" t="str">
        <f ca="1">IFERROR(__xludf.DUMMYFUNCTION("IFERROR(VALUE(REGEXEXTRACT(TO_TEXT($F520), S$1 &amp; ""x(\d+)"")), """")"),"")</f>
        <v/>
      </c>
      <c r="T520" s="9" t="str">
        <f ca="1">IFERROR(__xludf.DUMMYFUNCTION("IFERROR(VALUE(REGEXEXTRACT(TO_TEXT($F520), T$1 &amp; ""x(\d+)"")), """")"),"")</f>
        <v/>
      </c>
      <c r="U520" s="9" t="str">
        <f ca="1">IFERROR(__xludf.DUMMYFUNCTION("IFERROR(VALUE(REGEXEXTRACT(TO_TEXT($F520), U$1 &amp; ""x(\d+)"")), """")"),"")</f>
        <v/>
      </c>
      <c r="V520" s="9" t="str">
        <f ca="1">IFERROR(__xludf.DUMMYFUNCTION("IFERROR(VALUE(REGEXEXTRACT(TO_TEXT($F520), V$1 &amp; ""x(\d+)"")), """")"),"")</f>
        <v/>
      </c>
      <c r="W520" s="9"/>
      <c r="X520" s="9"/>
      <c r="Y520" s="9"/>
      <c r="Z520" s="9"/>
    </row>
    <row r="521" spans="1:26" ht="15.75" hidden="1" customHeight="1">
      <c r="A521" s="9" t="s">
        <v>1606</v>
      </c>
      <c r="B521" s="9" t="s">
        <v>1607</v>
      </c>
      <c r="C521" s="9" t="s">
        <v>820</v>
      </c>
      <c r="D521" s="9" t="s">
        <v>40</v>
      </c>
      <c r="E521" s="9" t="s">
        <v>12</v>
      </c>
      <c r="F521" s="9" t="s">
        <v>1609</v>
      </c>
      <c r="G521" s="9">
        <v>130</v>
      </c>
      <c r="H521" s="9">
        <v>2</v>
      </c>
      <c r="I521" s="9">
        <v>1.0149999999999999</v>
      </c>
      <c r="J521" s="9">
        <v>400</v>
      </c>
      <c r="K521" s="9" t="s">
        <v>442</v>
      </c>
      <c r="L521" s="9" t="s">
        <v>1015</v>
      </c>
      <c r="M521" s="9"/>
      <c r="N521" s="9" t="str">
        <f ca="1">IFERROR(__xludf.DUMMYFUNCTION("IFERROR(VALUE(REGEXEXTRACT(TO_TEXT($F521), N$1 &amp; ""x(\d+)"")), """")
"),"")</f>
        <v/>
      </c>
      <c r="O521" s="9" t="str">
        <f ca="1">IFERROR(__xludf.DUMMYFUNCTION("IFERROR(VALUE(REGEXEXTRACT(TO_TEXT($F521), O$1 &amp; ""x(\d+)"")), """")"),"")</f>
        <v/>
      </c>
      <c r="P521" s="9" t="str">
        <f ca="1">IFERROR(__xludf.DUMMYFUNCTION("IFERROR(VALUE(REGEXEXTRACT(TO_TEXT($F521), P$1 &amp; ""x(\d+)"")), """")"),"")</f>
        <v/>
      </c>
      <c r="Q521" s="9" t="str">
        <f ca="1">IFERROR(__xludf.DUMMYFUNCTION("IFERROR(VALUE(REGEXEXTRACT(TO_TEXT($F521), Q$1 &amp; ""x(\d+)"")), """")"),"")</f>
        <v/>
      </c>
      <c r="R521" s="9" t="str">
        <f ca="1">IFERROR(__xludf.DUMMYFUNCTION("IFERROR(VALUE(REGEXEXTRACT(TO_TEXT($F521), R$1 &amp; ""x(\d+)"")), """")"),"")</f>
        <v/>
      </c>
      <c r="S521" s="9">
        <f ca="1">IFERROR(__xludf.DUMMYFUNCTION("IFERROR(VALUE(REGEXEXTRACT(TO_TEXT($F521), S$1 &amp; ""x(\d+)"")), """")"),1)</f>
        <v>1</v>
      </c>
      <c r="T521" s="9" t="str">
        <f ca="1">IFERROR(__xludf.DUMMYFUNCTION("IFERROR(VALUE(REGEXEXTRACT(TO_TEXT($F521), T$1 &amp; ""x(\d+)"")), """")"),"")</f>
        <v/>
      </c>
      <c r="U521" s="9">
        <f ca="1">IFERROR(__xludf.DUMMYFUNCTION("IFERROR(VALUE(REGEXEXTRACT(TO_TEXT($F521), U$1 &amp; ""x(\d+)"")), """")"),1)</f>
        <v>1</v>
      </c>
      <c r="V521" s="9" t="str">
        <f ca="1">IFERROR(__xludf.DUMMYFUNCTION("IFERROR(VALUE(REGEXEXTRACT(TO_TEXT($F521), V$1 &amp; ""x(\d+)"")), """")"),"")</f>
        <v/>
      </c>
      <c r="W521" s="9"/>
      <c r="X521" s="9"/>
      <c r="Y521" s="9"/>
      <c r="Z521" s="9"/>
    </row>
    <row r="522" spans="1:26" ht="15.75" hidden="1" customHeight="1">
      <c r="A522" s="9" t="s">
        <v>1606</v>
      </c>
      <c r="B522" s="9" t="s">
        <v>1607</v>
      </c>
      <c r="C522" s="9" t="s">
        <v>820</v>
      </c>
      <c r="D522" s="9" t="s">
        <v>40</v>
      </c>
      <c r="E522" s="9" t="s">
        <v>13</v>
      </c>
      <c r="F522" s="9" t="s">
        <v>1173</v>
      </c>
      <c r="G522" s="9">
        <v>30</v>
      </c>
      <c r="H522" s="9">
        <v>2</v>
      </c>
      <c r="I522" s="9">
        <v>1.0149999999999999</v>
      </c>
      <c r="J522" s="9">
        <v>400</v>
      </c>
      <c r="K522" s="9" t="s">
        <v>442</v>
      </c>
      <c r="L522" s="9"/>
      <c r="M522" s="9"/>
      <c r="N522" s="9" t="str">
        <f ca="1">IFERROR(__xludf.DUMMYFUNCTION("IFERROR(VALUE(REGEXEXTRACT(TO_TEXT($F522), N$1 &amp; ""x(\d+)"")), """")
"),"")</f>
        <v/>
      </c>
      <c r="O522" s="9" t="str">
        <f ca="1">IFERROR(__xludf.DUMMYFUNCTION("IFERROR(VALUE(REGEXEXTRACT(TO_TEXT($F522), O$1 &amp; ""x(\d+)"")), """")"),"")</f>
        <v/>
      </c>
      <c r="P522" s="9" t="str">
        <f ca="1">IFERROR(__xludf.DUMMYFUNCTION("IFERROR(VALUE(REGEXEXTRACT(TO_TEXT($F522), P$1 &amp; ""x(\d+)"")), """")"),"")</f>
        <v/>
      </c>
      <c r="Q522" s="9" t="str">
        <f ca="1">IFERROR(__xludf.DUMMYFUNCTION("IFERROR(VALUE(REGEXEXTRACT(TO_TEXT($F522), Q$1 &amp; ""x(\d+)"")), """")"),"")</f>
        <v/>
      </c>
      <c r="R522" s="9" t="str">
        <f ca="1">IFERROR(__xludf.DUMMYFUNCTION("IFERROR(VALUE(REGEXEXTRACT(TO_TEXT($F522), R$1 &amp; ""x(\d+)"")), """")"),"")</f>
        <v/>
      </c>
      <c r="S522" s="9">
        <f ca="1">IFERROR(__xludf.DUMMYFUNCTION("IFERROR(VALUE(REGEXEXTRACT(TO_TEXT($F522), S$1 &amp; ""x(\d+)"")), """")"),1)</f>
        <v>1</v>
      </c>
      <c r="T522" s="9" t="str">
        <f ca="1">IFERROR(__xludf.DUMMYFUNCTION("IFERROR(VALUE(REGEXEXTRACT(TO_TEXT($F522), T$1 &amp; ""x(\d+)"")), """")"),"")</f>
        <v/>
      </c>
      <c r="U522" s="9" t="str">
        <f ca="1">IFERROR(__xludf.DUMMYFUNCTION("IFERROR(VALUE(REGEXEXTRACT(TO_TEXT($F522), U$1 &amp; ""x(\d+)"")), """")"),"")</f>
        <v/>
      </c>
      <c r="V522" s="9" t="str">
        <f ca="1">IFERROR(__xludf.DUMMYFUNCTION("IFERROR(VALUE(REGEXEXTRACT(TO_TEXT($F522), V$1 &amp; ""x(\d+)"")), """")"),"")</f>
        <v/>
      </c>
      <c r="W522" s="9"/>
      <c r="X522" s="9"/>
      <c r="Y522" s="9"/>
      <c r="Z522" s="9"/>
    </row>
    <row r="523" spans="1:26" ht="15.75" customHeight="1">
      <c r="A523" s="9" t="s">
        <v>1610</v>
      </c>
      <c r="B523" s="9" t="s">
        <v>1607</v>
      </c>
      <c r="C523" s="9" t="s">
        <v>822</v>
      </c>
      <c r="D523" s="9" t="s">
        <v>33</v>
      </c>
      <c r="E523" s="9" t="s">
        <v>11</v>
      </c>
      <c r="F523" s="9" t="s">
        <v>1008</v>
      </c>
      <c r="G523" s="9">
        <v>80</v>
      </c>
      <c r="H523" s="9">
        <v>1</v>
      </c>
      <c r="I523" s="9">
        <v>1.0149999999999999</v>
      </c>
      <c r="J523" s="9">
        <v>80</v>
      </c>
      <c r="K523" s="9" t="s">
        <v>442</v>
      </c>
      <c r="L523" s="9"/>
      <c r="M523" s="9"/>
      <c r="N523" s="9" t="str">
        <f ca="1">IFERROR(__xludf.DUMMYFUNCTION("IFERROR(VALUE(REGEXEXTRACT(TO_TEXT($F523), N$1 &amp; ""x(\d+)"")), """")
"),"")</f>
        <v/>
      </c>
      <c r="O523" s="9">
        <f ca="1">IFERROR(__xludf.DUMMYFUNCTION("IFERROR(VALUE(REGEXEXTRACT(TO_TEXT($F523), O$1 &amp; ""x(\d+)"")), """")"),1)</f>
        <v>1</v>
      </c>
      <c r="P523" s="9" t="str">
        <f ca="1">IFERROR(__xludf.DUMMYFUNCTION("IFERROR(VALUE(REGEXEXTRACT(TO_TEXT($F523), P$1 &amp; ""x(\d+)"")), """")"),"")</f>
        <v/>
      </c>
      <c r="Q523" s="9" t="str">
        <f ca="1">IFERROR(__xludf.DUMMYFUNCTION("IFERROR(VALUE(REGEXEXTRACT(TO_TEXT($F523), Q$1 &amp; ""x(\d+)"")), """")"),"")</f>
        <v/>
      </c>
      <c r="R523" s="9" t="str">
        <f ca="1">IFERROR(__xludf.DUMMYFUNCTION("IFERROR(VALUE(REGEXEXTRACT(TO_TEXT($F523), R$1 &amp; ""x(\d+)"")), """")"),"")</f>
        <v/>
      </c>
      <c r="S523" s="9" t="str">
        <f ca="1">IFERROR(__xludf.DUMMYFUNCTION("IFERROR(VALUE(REGEXEXTRACT(TO_TEXT($F523), S$1 &amp; ""x(\d+)"")), """")"),"")</f>
        <v/>
      </c>
      <c r="T523" s="9" t="str">
        <f ca="1">IFERROR(__xludf.DUMMYFUNCTION("IFERROR(VALUE(REGEXEXTRACT(TO_TEXT($F523), T$1 &amp; ""x(\d+)"")), """")"),"")</f>
        <v/>
      </c>
      <c r="U523" s="9" t="str">
        <f ca="1">IFERROR(__xludf.DUMMYFUNCTION("IFERROR(VALUE(REGEXEXTRACT(TO_TEXT($F523), U$1 &amp; ""x(\d+)"")), """")"),"")</f>
        <v/>
      </c>
      <c r="V523" s="9" t="str">
        <f ca="1">IFERROR(__xludf.DUMMYFUNCTION("IFERROR(VALUE(REGEXEXTRACT(TO_TEXT($F523), V$1 &amp; ""x(\d+)"")), """")"),"")</f>
        <v/>
      </c>
      <c r="W523" s="9"/>
      <c r="X523" s="9"/>
      <c r="Y523" s="9"/>
      <c r="Z523" s="9"/>
    </row>
    <row r="524" spans="1:26" ht="15.75" customHeight="1">
      <c r="A524" s="9" t="s">
        <v>1610</v>
      </c>
      <c r="B524" s="9" t="s">
        <v>1607</v>
      </c>
      <c r="C524" s="9" t="s">
        <v>822</v>
      </c>
      <c r="D524" s="9" t="s">
        <v>33</v>
      </c>
      <c r="E524" s="9" t="s">
        <v>12</v>
      </c>
      <c r="F524" s="9" t="s">
        <v>1611</v>
      </c>
      <c r="G524" s="9">
        <v>130</v>
      </c>
      <c r="H524" s="9">
        <v>1</v>
      </c>
      <c r="I524" s="9">
        <v>1.0149999999999999</v>
      </c>
      <c r="J524" s="9">
        <v>80</v>
      </c>
      <c r="K524" s="9" t="s">
        <v>442</v>
      </c>
      <c r="L524" s="9" t="s">
        <v>1015</v>
      </c>
      <c r="M524" s="9"/>
      <c r="N524" s="9" t="str">
        <f ca="1">IFERROR(__xludf.DUMMYFUNCTION("IFERROR(VALUE(REGEXEXTRACT(TO_TEXT($F524), N$1 &amp; ""x(\d+)"")), """")
"),"")</f>
        <v/>
      </c>
      <c r="O524" s="9">
        <f ca="1">IFERROR(__xludf.DUMMYFUNCTION("IFERROR(VALUE(REGEXEXTRACT(TO_TEXT($F524), O$1 &amp; ""x(\d+)"")), """")"),1)</f>
        <v>1</v>
      </c>
      <c r="P524" s="9" t="str">
        <f ca="1">IFERROR(__xludf.DUMMYFUNCTION("IFERROR(VALUE(REGEXEXTRACT(TO_TEXT($F524), P$1 &amp; ""x(\d+)"")), """")"),"")</f>
        <v/>
      </c>
      <c r="Q524" s="9" t="str">
        <f ca="1">IFERROR(__xludf.DUMMYFUNCTION("IFERROR(VALUE(REGEXEXTRACT(TO_TEXT($F524), Q$1 &amp; ""x(\d+)"")), """")"),"")</f>
        <v/>
      </c>
      <c r="R524" s="9" t="str">
        <f ca="1">IFERROR(__xludf.DUMMYFUNCTION("IFERROR(VALUE(REGEXEXTRACT(TO_TEXT($F524), R$1 &amp; ""x(\d+)"")), """")"),"")</f>
        <v/>
      </c>
      <c r="S524" s="9" t="str">
        <f ca="1">IFERROR(__xludf.DUMMYFUNCTION("IFERROR(VALUE(REGEXEXTRACT(TO_TEXT($F524), S$1 &amp; ""x(\d+)"")), """")"),"")</f>
        <v/>
      </c>
      <c r="T524" s="9" t="str">
        <f ca="1">IFERROR(__xludf.DUMMYFUNCTION("IFERROR(VALUE(REGEXEXTRACT(TO_TEXT($F524), T$1 &amp; ""x(\d+)"")), """")"),"")</f>
        <v/>
      </c>
      <c r="U524" s="9">
        <f ca="1">IFERROR(__xludf.DUMMYFUNCTION("IFERROR(VALUE(REGEXEXTRACT(TO_TEXT($F524), U$1 &amp; ""x(\d+)"")), """")"),1)</f>
        <v>1</v>
      </c>
      <c r="V524" s="9" t="str">
        <f ca="1">IFERROR(__xludf.DUMMYFUNCTION("IFERROR(VALUE(REGEXEXTRACT(TO_TEXT($F524), V$1 &amp; ""x(\d+)"")), """")"),"")</f>
        <v/>
      </c>
      <c r="W524" s="9"/>
      <c r="X524" s="9"/>
      <c r="Y524" s="9"/>
      <c r="Z524" s="9"/>
    </row>
    <row r="525" spans="1:26" ht="15.75" customHeight="1">
      <c r="A525" s="9" t="s">
        <v>1610</v>
      </c>
      <c r="B525" s="9" t="s">
        <v>1607</v>
      </c>
      <c r="C525" s="9" t="s">
        <v>822</v>
      </c>
      <c r="D525" s="9" t="s">
        <v>33</v>
      </c>
      <c r="E525" s="9" t="s">
        <v>13</v>
      </c>
      <c r="F525" s="9" t="s">
        <v>1612</v>
      </c>
      <c r="G525" s="9">
        <v>30</v>
      </c>
      <c r="H525" s="9">
        <v>1</v>
      </c>
      <c r="I525" s="9">
        <v>1.0149999999999999</v>
      </c>
      <c r="J525" s="9">
        <v>80</v>
      </c>
      <c r="K525" s="9" t="s">
        <v>442</v>
      </c>
      <c r="L525" s="9"/>
      <c r="M525" s="9"/>
      <c r="N525" s="9" t="str">
        <f ca="1">IFERROR(__xludf.DUMMYFUNCTION("IFERROR(VALUE(REGEXEXTRACT(TO_TEXT($F525), N$1 &amp; ""x(\d+)"")), """")
"),"")</f>
        <v/>
      </c>
      <c r="O525" s="9">
        <f ca="1">IFERROR(__xludf.DUMMYFUNCTION("IFERROR(VALUE(REGEXEXTRACT(TO_TEXT($F525), O$1 &amp; ""x(\d+)"")), """")"),1)</f>
        <v>1</v>
      </c>
      <c r="P525" s="9" t="str">
        <f ca="1">IFERROR(__xludf.DUMMYFUNCTION("IFERROR(VALUE(REGEXEXTRACT(TO_TEXT($F525), P$1 &amp; ""x(\d+)"")), """")"),"")</f>
        <v/>
      </c>
      <c r="Q525" s="9" t="str">
        <f ca="1">IFERROR(__xludf.DUMMYFUNCTION("IFERROR(VALUE(REGEXEXTRACT(TO_TEXT($F525), Q$1 &amp; ""x(\d+)"")), """")"),"")</f>
        <v/>
      </c>
      <c r="R525" s="9" t="str">
        <f ca="1">IFERROR(__xludf.DUMMYFUNCTION("IFERROR(VALUE(REGEXEXTRACT(TO_TEXT($F525), R$1 &amp; ""x(\d+)"")), """")"),"")</f>
        <v/>
      </c>
      <c r="S525" s="9" t="str">
        <f ca="1">IFERROR(__xludf.DUMMYFUNCTION("IFERROR(VALUE(REGEXEXTRACT(TO_TEXT($F525), S$1 &amp; ""x(\d+)"")), """")"),"")</f>
        <v/>
      </c>
      <c r="T525" s="9" t="str">
        <f ca="1">IFERROR(__xludf.DUMMYFUNCTION("IFERROR(VALUE(REGEXEXTRACT(TO_TEXT($F525), T$1 &amp; ""x(\d+)"")), """")"),"")</f>
        <v/>
      </c>
      <c r="U525" s="9">
        <f ca="1">IFERROR(__xludf.DUMMYFUNCTION("IFERROR(VALUE(REGEXEXTRACT(TO_TEXT($F525), U$1 &amp; ""x(\d+)"")), """")"),1)</f>
        <v>1</v>
      </c>
      <c r="V525" s="9" t="str">
        <f ca="1">IFERROR(__xludf.DUMMYFUNCTION("IFERROR(VALUE(REGEXEXTRACT(TO_TEXT($F525), V$1 &amp; ""x(\d+)"")), """")"),"")</f>
        <v/>
      </c>
      <c r="W525" s="9"/>
      <c r="X525" s="9"/>
      <c r="Y525" s="9"/>
      <c r="Z525" s="9"/>
    </row>
    <row r="526" spans="1:26" ht="15.75" hidden="1" customHeight="1">
      <c r="A526" s="9" t="s">
        <v>1613</v>
      </c>
      <c r="B526" s="9" t="s">
        <v>1614</v>
      </c>
      <c r="C526" s="9" t="s">
        <v>39</v>
      </c>
      <c r="D526" s="9" t="s">
        <v>40</v>
      </c>
      <c r="E526" s="9" t="s">
        <v>11</v>
      </c>
      <c r="F526" s="9" t="s">
        <v>1544</v>
      </c>
      <c r="G526" s="9">
        <v>70</v>
      </c>
      <c r="H526" s="9">
        <v>6</v>
      </c>
      <c r="I526" s="9">
        <v>1.0149999999999999</v>
      </c>
      <c r="J526" s="9">
        <v>400</v>
      </c>
      <c r="K526" s="9" t="s">
        <v>442</v>
      </c>
      <c r="L526" s="9"/>
      <c r="M526" s="9" t="s">
        <v>1615</v>
      </c>
      <c r="N526" s="9" t="str">
        <f ca="1">IFERROR(__xludf.DUMMYFUNCTION("IFERROR(VALUE(REGEXEXTRACT(TO_TEXT($F526), N$1 &amp; ""x(\d+)"")), """")
"),"")</f>
        <v/>
      </c>
      <c r="O526" s="9" t="str">
        <f ca="1">IFERROR(__xludf.DUMMYFUNCTION("IFERROR(VALUE(REGEXEXTRACT(TO_TEXT($F526), O$1 &amp; ""x(\d+)"")), """")"),"")</f>
        <v/>
      </c>
      <c r="P526" s="9" t="str">
        <f ca="1">IFERROR(__xludf.DUMMYFUNCTION("IFERROR(VALUE(REGEXEXTRACT(TO_TEXT($F526), P$1 &amp; ""x(\d+)"")), """")"),"")</f>
        <v/>
      </c>
      <c r="Q526" s="9" t="str">
        <f ca="1">IFERROR(__xludf.DUMMYFUNCTION("IFERROR(VALUE(REGEXEXTRACT(TO_TEXT($F526), Q$1 &amp; ""x(\d+)"")), """")"),"")</f>
        <v/>
      </c>
      <c r="R526" s="9" t="str">
        <f ca="1">IFERROR(__xludf.DUMMYFUNCTION("IFERROR(VALUE(REGEXEXTRACT(TO_TEXT($F526), R$1 &amp; ""x(\d+)"")), """")"),"")</f>
        <v/>
      </c>
      <c r="S526" s="9" t="str">
        <f ca="1">IFERROR(__xludf.DUMMYFUNCTION("IFERROR(VALUE(REGEXEXTRACT(TO_TEXT($F526), S$1 &amp; ""x(\d+)"")), """")"),"")</f>
        <v/>
      </c>
      <c r="T526" s="9" t="str">
        <f ca="1">IFERROR(__xludf.DUMMYFUNCTION("IFERROR(VALUE(REGEXEXTRACT(TO_TEXT($F526), T$1 &amp; ""x(\d+)"")), """")"),"")</f>
        <v/>
      </c>
      <c r="U526" s="9" t="str">
        <f ca="1">IFERROR(__xludf.DUMMYFUNCTION("IFERROR(VALUE(REGEXEXTRACT(TO_TEXT($F526), U$1 &amp; ""x(\d+)"")), """")"),"")</f>
        <v/>
      </c>
      <c r="V526" s="9" t="str">
        <f ca="1">IFERROR(__xludf.DUMMYFUNCTION("IFERROR(VALUE(REGEXEXTRACT(TO_TEXT($F526), V$1 &amp; ""x(\d+)"")), """")"),"")</f>
        <v/>
      </c>
      <c r="W526" s="9"/>
      <c r="X526" s="9"/>
      <c r="Y526" s="9"/>
      <c r="Z526" s="9"/>
    </row>
    <row r="527" spans="1:26" ht="15.75" hidden="1" customHeight="1">
      <c r="A527" s="9" t="s">
        <v>1613</v>
      </c>
      <c r="B527" s="9" t="s">
        <v>1614</v>
      </c>
      <c r="C527" s="9" t="s">
        <v>39</v>
      </c>
      <c r="D527" s="9" t="s">
        <v>40</v>
      </c>
      <c r="E527" s="9" t="s">
        <v>12</v>
      </c>
      <c r="F527" s="9" t="s">
        <v>1545</v>
      </c>
      <c r="G527" s="9">
        <v>70</v>
      </c>
      <c r="H527" s="9">
        <v>6</v>
      </c>
      <c r="I527" s="9">
        <v>1.0149999999999999</v>
      </c>
      <c r="J527" s="9">
        <v>400</v>
      </c>
      <c r="K527" s="9" t="s">
        <v>442</v>
      </c>
      <c r="L527" s="9" t="s">
        <v>1015</v>
      </c>
      <c r="M527" s="9" t="s">
        <v>1615</v>
      </c>
      <c r="N527" s="9" t="str">
        <f ca="1">IFERROR(__xludf.DUMMYFUNCTION("IFERROR(VALUE(REGEXEXTRACT(TO_TEXT($F527), N$1 &amp; ""x(\d+)"")), """")
"),"")</f>
        <v/>
      </c>
      <c r="O527" s="9" t="str">
        <f ca="1">IFERROR(__xludf.DUMMYFUNCTION("IFERROR(VALUE(REGEXEXTRACT(TO_TEXT($F527), O$1 &amp; ""x(\d+)"")), """")"),"")</f>
        <v/>
      </c>
      <c r="P527" s="9" t="str">
        <f ca="1">IFERROR(__xludf.DUMMYFUNCTION("IFERROR(VALUE(REGEXEXTRACT(TO_TEXT($F527), P$1 &amp; ""x(\d+)"")), """")"),"")</f>
        <v/>
      </c>
      <c r="Q527" s="9" t="str">
        <f ca="1">IFERROR(__xludf.DUMMYFUNCTION("IFERROR(VALUE(REGEXEXTRACT(TO_TEXT($F527), Q$1 &amp; ""x(\d+)"")), """")"),"")</f>
        <v/>
      </c>
      <c r="R527" s="9" t="str">
        <f ca="1">IFERROR(__xludf.DUMMYFUNCTION("IFERROR(VALUE(REGEXEXTRACT(TO_TEXT($F527), R$1 &amp; ""x(\d+)"")), """")"),"")</f>
        <v/>
      </c>
      <c r="S527" s="9">
        <f ca="1">IFERROR(__xludf.DUMMYFUNCTION("IFERROR(VALUE(REGEXEXTRACT(TO_TEXT($F527), S$1 &amp; ""x(\d+)"")), """")"),1)</f>
        <v>1</v>
      </c>
      <c r="T527" s="9" t="str">
        <f ca="1">IFERROR(__xludf.DUMMYFUNCTION("IFERROR(VALUE(REGEXEXTRACT(TO_TEXT($F527), T$1 &amp; ""x(\d+)"")), """")"),"")</f>
        <v/>
      </c>
      <c r="U527" s="9" t="str">
        <f ca="1">IFERROR(__xludf.DUMMYFUNCTION("IFERROR(VALUE(REGEXEXTRACT(TO_TEXT($F527), U$1 &amp; ""x(\d+)"")), """")"),"")</f>
        <v/>
      </c>
      <c r="V527" s="9" t="str">
        <f ca="1">IFERROR(__xludf.DUMMYFUNCTION("IFERROR(VALUE(REGEXEXTRACT(TO_TEXT($F527), V$1 &amp; ""x(\d+)"")), """")"),"")</f>
        <v/>
      </c>
      <c r="W527" s="9"/>
      <c r="X527" s="9"/>
      <c r="Y527" s="9"/>
      <c r="Z527" s="9"/>
    </row>
    <row r="528" spans="1:26" ht="15.75" hidden="1" customHeight="1">
      <c r="A528" s="9" t="s">
        <v>1613</v>
      </c>
      <c r="B528" s="9" t="s">
        <v>1614</v>
      </c>
      <c r="C528" s="9" t="s">
        <v>39</v>
      </c>
      <c r="D528" s="9" t="s">
        <v>40</v>
      </c>
      <c r="E528" s="9" t="s">
        <v>13</v>
      </c>
      <c r="F528" s="9" t="s">
        <v>1546</v>
      </c>
      <c r="G528" s="9">
        <v>30</v>
      </c>
      <c r="H528" s="9">
        <v>6</v>
      </c>
      <c r="I528" s="9">
        <v>1.0149999999999999</v>
      </c>
      <c r="J528" s="9">
        <v>400</v>
      </c>
      <c r="K528" s="9" t="s">
        <v>442</v>
      </c>
      <c r="L528" s="9"/>
      <c r="M528" s="9" t="s">
        <v>1615</v>
      </c>
      <c r="N528" s="9" t="str">
        <f ca="1">IFERROR(__xludf.DUMMYFUNCTION("IFERROR(VALUE(REGEXEXTRACT(TO_TEXT($F528), N$1 &amp; ""x(\d+)"")), """")
"),"")</f>
        <v/>
      </c>
      <c r="O528" s="9" t="str">
        <f ca="1">IFERROR(__xludf.DUMMYFUNCTION("IFERROR(VALUE(REGEXEXTRACT(TO_TEXT($F528), O$1 &amp; ""x(\d+)"")), """")"),"")</f>
        <v/>
      </c>
      <c r="P528" s="9" t="str">
        <f ca="1">IFERROR(__xludf.DUMMYFUNCTION("IFERROR(VALUE(REGEXEXTRACT(TO_TEXT($F528), P$1 &amp; ""x(\d+)"")), """")"),"")</f>
        <v/>
      </c>
      <c r="Q528" s="9" t="str">
        <f ca="1">IFERROR(__xludf.DUMMYFUNCTION("IFERROR(VALUE(REGEXEXTRACT(TO_TEXT($F528), Q$1 &amp; ""x(\d+)"")), """")"),"")</f>
        <v/>
      </c>
      <c r="R528" s="9" t="str">
        <f ca="1">IFERROR(__xludf.DUMMYFUNCTION("IFERROR(VALUE(REGEXEXTRACT(TO_TEXT($F528), R$1 &amp; ""x(\d+)"")), """")"),"")</f>
        <v/>
      </c>
      <c r="S528" s="9">
        <f ca="1">IFERROR(__xludf.DUMMYFUNCTION("IFERROR(VALUE(REGEXEXTRACT(TO_TEXT($F528), S$1 &amp; ""x(\d+)"")), """")"),1)</f>
        <v>1</v>
      </c>
      <c r="T528" s="9" t="str">
        <f ca="1">IFERROR(__xludf.DUMMYFUNCTION("IFERROR(VALUE(REGEXEXTRACT(TO_TEXT($F528), T$1 &amp; ""x(\d+)"")), """")"),"")</f>
        <v/>
      </c>
      <c r="U528" s="9" t="str">
        <f ca="1">IFERROR(__xludf.DUMMYFUNCTION("IFERROR(VALUE(REGEXEXTRACT(TO_TEXT($F528), U$1 &amp; ""x(\d+)"")), """")"),"")</f>
        <v/>
      </c>
      <c r="V528" s="9" t="str">
        <f ca="1">IFERROR(__xludf.DUMMYFUNCTION("IFERROR(VALUE(REGEXEXTRACT(TO_TEXT($F528), V$1 &amp; ""x(\d+)"")), """")"),"")</f>
        <v/>
      </c>
      <c r="W528" s="9"/>
      <c r="X528" s="9"/>
      <c r="Y528" s="9"/>
      <c r="Z528" s="9"/>
    </row>
    <row r="529" spans="1:26" ht="15.75" hidden="1" customHeight="1">
      <c r="A529" s="9" t="s">
        <v>1613</v>
      </c>
      <c r="B529" s="9" t="s">
        <v>1614</v>
      </c>
      <c r="C529" s="9" t="s">
        <v>39</v>
      </c>
      <c r="D529" s="9" t="s">
        <v>48</v>
      </c>
      <c r="E529" s="9" t="s">
        <v>12</v>
      </c>
      <c r="F529" s="9" t="s">
        <v>1547</v>
      </c>
      <c r="G529" s="9">
        <v>80</v>
      </c>
      <c r="H529" s="9">
        <v>6</v>
      </c>
      <c r="I529" s="9">
        <v>1.0149999999999999</v>
      </c>
      <c r="J529" s="9">
        <v>42.5</v>
      </c>
      <c r="K529" s="9" t="s">
        <v>424</v>
      </c>
      <c r="L529" s="9" t="s">
        <v>1035</v>
      </c>
      <c r="M529" s="9" t="s">
        <v>1616</v>
      </c>
      <c r="N529" s="9" t="str">
        <f ca="1">IFERROR(__xludf.DUMMYFUNCTION("IFERROR(VALUE(REGEXEXTRACT(TO_TEXT($F529), N$1 &amp; ""x(\d+)"")), """")
"),"")</f>
        <v/>
      </c>
      <c r="O529" s="9">
        <f ca="1">IFERROR(__xludf.DUMMYFUNCTION("IFERROR(VALUE(REGEXEXTRACT(TO_TEXT($F529), O$1 &amp; ""x(\d+)"")), """")"),1)</f>
        <v>1</v>
      </c>
      <c r="P529" s="9">
        <f ca="1">IFERROR(__xludf.DUMMYFUNCTION("IFERROR(VALUE(REGEXEXTRACT(TO_TEXT($F529), P$1 &amp; ""x(\d+)"")), """")"),1)</f>
        <v>1</v>
      </c>
      <c r="Q529" s="9" t="str">
        <f ca="1">IFERROR(__xludf.DUMMYFUNCTION("IFERROR(VALUE(REGEXEXTRACT(TO_TEXT($F529), Q$1 &amp; ""x(\d+)"")), """")"),"")</f>
        <v/>
      </c>
      <c r="R529" s="9" t="str">
        <f ca="1">IFERROR(__xludf.DUMMYFUNCTION("IFERROR(VALUE(REGEXEXTRACT(TO_TEXT($F529), R$1 &amp; ""x(\d+)"")), """")"),"")</f>
        <v/>
      </c>
      <c r="S529" s="9" t="str">
        <f ca="1">IFERROR(__xludf.DUMMYFUNCTION("IFERROR(VALUE(REGEXEXTRACT(TO_TEXT($F529), S$1 &amp; ""x(\d+)"")), """")"),"")</f>
        <v/>
      </c>
      <c r="T529" s="9" t="str">
        <f ca="1">IFERROR(__xludf.DUMMYFUNCTION("IFERROR(VALUE(REGEXEXTRACT(TO_TEXT($F529), T$1 &amp; ""x(\d+)"")), """")"),"")</f>
        <v/>
      </c>
      <c r="U529" s="9" t="str">
        <f ca="1">IFERROR(__xludf.DUMMYFUNCTION("IFERROR(VALUE(REGEXEXTRACT(TO_TEXT($F529), U$1 &amp; ""x(\d+)"")), """")"),"")</f>
        <v/>
      </c>
      <c r="V529" s="9" t="str">
        <f ca="1">IFERROR(__xludf.DUMMYFUNCTION("IFERROR(VALUE(REGEXEXTRACT(TO_TEXT($F529), V$1 &amp; ""x(\d+)"")), """")"),"")</f>
        <v/>
      </c>
      <c r="W529" s="9"/>
      <c r="X529" s="9"/>
      <c r="Y529" s="9"/>
      <c r="Z529" s="9"/>
    </row>
    <row r="530" spans="1:26" ht="15.75" hidden="1" customHeight="1">
      <c r="A530" s="9" t="s">
        <v>1613</v>
      </c>
      <c r="B530" s="9" t="s">
        <v>1614</v>
      </c>
      <c r="C530" s="9" t="s">
        <v>39</v>
      </c>
      <c r="D530" s="9" t="s">
        <v>48</v>
      </c>
      <c r="E530" s="9" t="s">
        <v>13</v>
      </c>
      <c r="F530" s="9" t="s">
        <v>1548</v>
      </c>
      <c r="G530" s="9">
        <v>30</v>
      </c>
      <c r="H530" s="9">
        <v>6</v>
      </c>
      <c r="I530" s="9">
        <v>1.0149999999999999</v>
      </c>
      <c r="J530" s="9">
        <v>42.5</v>
      </c>
      <c r="K530" s="9" t="s">
        <v>424</v>
      </c>
      <c r="L530" s="9"/>
      <c r="M530" s="9" t="s">
        <v>1616</v>
      </c>
      <c r="N530" s="9" t="str">
        <f ca="1">IFERROR(__xludf.DUMMYFUNCTION("IFERROR(VALUE(REGEXEXTRACT(TO_TEXT($F530), N$1 &amp; ""x(\d+)"")), """")
"),"")</f>
        <v/>
      </c>
      <c r="O530" s="9">
        <f ca="1">IFERROR(__xludf.DUMMYFUNCTION("IFERROR(VALUE(REGEXEXTRACT(TO_TEXT($F530), O$1 &amp; ""x(\d+)"")), """")"),1)</f>
        <v>1</v>
      </c>
      <c r="P530" s="9">
        <f ca="1">IFERROR(__xludf.DUMMYFUNCTION("IFERROR(VALUE(REGEXEXTRACT(TO_TEXT($F530), P$1 &amp; ""x(\d+)"")), """")"),1)</f>
        <v>1</v>
      </c>
      <c r="Q530" s="9" t="str">
        <f ca="1">IFERROR(__xludf.DUMMYFUNCTION("IFERROR(VALUE(REGEXEXTRACT(TO_TEXT($F530), Q$1 &amp; ""x(\d+)"")), """")"),"")</f>
        <v/>
      </c>
      <c r="R530" s="9" t="str">
        <f ca="1">IFERROR(__xludf.DUMMYFUNCTION("IFERROR(VALUE(REGEXEXTRACT(TO_TEXT($F530), R$1 &amp; ""x(\d+)"")), """")"),"")</f>
        <v/>
      </c>
      <c r="S530" s="9" t="str">
        <f ca="1">IFERROR(__xludf.DUMMYFUNCTION("IFERROR(VALUE(REGEXEXTRACT(TO_TEXT($F530), S$1 &amp; ""x(\d+)"")), """")"),"")</f>
        <v/>
      </c>
      <c r="T530" s="9" t="str">
        <f ca="1">IFERROR(__xludf.DUMMYFUNCTION("IFERROR(VALUE(REGEXEXTRACT(TO_TEXT($F530), T$1 &amp; ""x(\d+)"")), """")"),"")</f>
        <v/>
      </c>
      <c r="U530" s="9" t="str">
        <f ca="1">IFERROR(__xludf.DUMMYFUNCTION("IFERROR(VALUE(REGEXEXTRACT(TO_TEXT($F530), U$1 &amp; ""x(\d+)"")), """")"),"")</f>
        <v/>
      </c>
      <c r="V530" s="9" t="str">
        <f ca="1">IFERROR(__xludf.DUMMYFUNCTION("IFERROR(VALUE(REGEXEXTRACT(TO_TEXT($F530), V$1 &amp; ""x(\d+)"")), """")"),"")</f>
        <v/>
      </c>
      <c r="W530" s="9"/>
      <c r="X530" s="9"/>
      <c r="Y530" s="9"/>
      <c r="Z530" s="9"/>
    </row>
    <row r="531" spans="1:26" ht="15.75" hidden="1" customHeight="1">
      <c r="A531" s="9" t="s">
        <v>1617</v>
      </c>
      <c r="B531" s="9" t="s">
        <v>1614</v>
      </c>
      <c r="C531" s="9" t="s">
        <v>595</v>
      </c>
      <c r="D531" s="9" t="s">
        <v>40</v>
      </c>
      <c r="E531" s="9" t="s">
        <v>11</v>
      </c>
      <c r="F531" s="9" t="s">
        <v>1544</v>
      </c>
      <c r="G531" s="9">
        <v>70</v>
      </c>
      <c r="H531" s="9">
        <v>6</v>
      </c>
      <c r="I531" s="9">
        <v>1.0149999999999999</v>
      </c>
      <c r="J531" s="9">
        <v>400</v>
      </c>
      <c r="K531" s="9" t="s">
        <v>442</v>
      </c>
      <c r="L531" s="9"/>
      <c r="M531" s="9"/>
      <c r="N531" s="9" t="str">
        <f ca="1">IFERROR(__xludf.DUMMYFUNCTION("IFERROR(VALUE(REGEXEXTRACT(TO_TEXT($F531), N$1 &amp; ""x(\d+)"")), """")
"),"")</f>
        <v/>
      </c>
      <c r="O531" s="9" t="str">
        <f ca="1">IFERROR(__xludf.DUMMYFUNCTION("IFERROR(VALUE(REGEXEXTRACT(TO_TEXT($F531), O$1 &amp; ""x(\d+)"")), """")"),"")</f>
        <v/>
      </c>
      <c r="P531" s="9" t="str">
        <f ca="1">IFERROR(__xludf.DUMMYFUNCTION("IFERROR(VALUE(REGEXEXTRACT(TO_TEXT($F531), P$1 &amp; ""x(\d+)"")), """")"),"")</f>
        <v/>
      </c>
      <c r="Q531" s="9" t="str">
        <f ca="1">IFERROR(__xludf.DUMMYFUNCTION("IFERROR(VALUE(REGEXEXTRACT(TO_TEXT($F531), Q$1 &amp; ""x(\d+)"")), """")"),"")</f>
        <v/>
      </c>
      <c r="R531" s="9" t="str">
        <f ca="1">IFERROR(__xludf.DUMMYFUNCTION("IFERROR(VALUE(REGEXEXTRACT(TO_TEXT($F531), R$1 &amp; ""x(\d+)"")), """")"),"")</f>
        <v/>
      </c>
      <c r="S531" s="9" t="str">
        <f ca="1">IFERROR(__xludf.DUMMYFUNCTION("IFERROR(VALUE(REGEXEXTRACT(TO_TEXT($F531), S$1 &amp; ""x(\d+)"")), """")"),"")</f>
        <v/>
      </c>
      <c r="T531" s="9" t="str">
        <f ca="1">IFERROR(__xludf.DUMMYFUNCTION("IFERROR(VALUE(REGEXEXTRACT(TO_TEXT($F531), T$1 &amp; ""x(\d+)"")), """")"),"")</f>
        <v/>
      </c>
      <c r="U531" s="9" t="str">
        <f ca="1">IFERROR(__xludf.DUMMYFUNCTION("IFERROR(VALUE(REGEXEXTRACT(TO_TEXT($F531), U$1 &amp; ""x(\d+)"")), """")"),"")</f>
        <v/>
      </c>
      <c r="V531" s="9" t="str">
        <f ca="1">IFERROR(__xludf.DUMMYFUNCTION("IFERROR(VALUE(REGEXEXTRACT(TO_TEXT($F531), V$1 &amp; ""x(\d+)"")), """")"),"")</f>
        <v/>
      </c>
      <c r="W531" s="9"/>
      <c r="X531" s="9"/>
      <c r="Y531" s="9"/>
      <c r="Z531" s="9"/>
    </row>
    <row r="532" spans="1:26" ht="15.75" hidden="1" customHeight="1">
      <c r="A532" s="9" t="s">
        <v>1617</v>
      </c>
      <c r="B532" s="9" t="s">
        <v>1614</v>
      </c>
      <c r="C532" s="9" t="s">
        <v>595</v>
      </c>
      <c r="D532" s="9" t="s">
        <v>40</v>
      </c>
      <c r="E532" s="9" t="s">
        <v>12</v>
      </c>
      <c r="F532" s="9" t="s">
        <v>1545</v>
      </c>
      <c r="G532" s="9">
        <v>70</v>
      </c>
      <c r="H532" s="9">
        <v>6</v>
      </c>
      <c r="I532" s="9">
        <v>1.0149999999999999</v>
      </c>
      <c r="J532" s="9">
        <v>400</v>
      </c>
      <c r="K532" s="9" t="s">
        <v>442</v>
      </c>
      <c r="L532" s="9" t="s">
        <v>1015</v>
      </c>
      <c r="M532" s="9"/>
      <c r="N532" s="9" t="str">
        <f ca="1">IFERROR(__xludf.DUMMYFUNCTION("IFERROR(VALUE(REGEXEXTRACT(TO_TEXT($F532), N$1 &amp; ""x(\d+)"")), """")
"),"")</f>
        <v/>
      </c>
      <c r="O532" s="9" t="str">
        <f ca="1">IFERROR(__xludf.DUMMYFUNCTION("IFERROR(VALUE(REGEXEXTRACT(TO_TEXT($F532), O$1 &amp; ""x(\d+)"")), """")"),"")</f>
        <v/>
      </c>
      <c r="P532" s="9" t="str">
        <f ca="1">IFERROR(__xludf.DUMMYFUNCTION("IFERROR(VALUE(REGEXEXTRACT(TO_TEXT($F532), P$1 &amp; ""x(\d+)"")), """")"),"")</f>
        <v/>
      </c>
      <c r="Q532" s="9" t="str">
        <f ca="1">IFERROR(__xludf.DUMMYFUNCTION("IFERROR(VALUE(REGEXEXTRACT(TO_TEXT($F532), Q$1 &amp; ""x(\d+)"")), """")"),"")</f>
        <v/>
      </c>
      <c r="R532" s="9" t="str">
        <f ca="1">IFERROR(__xludf.DUMMYFUNCTION("IFERROR(VALUE(REGEXEXTRACT(TO_TEXT($F532), R$1 &amp; ""x(\d+)"")), """")"),"")</f>
        <v/>
      </c>
      <c r="S532" s="9">
        <f ca="1">IFERROR(__xludf.DUMMYFUNCTION("IFERROR(VALUE(REGEXEXTRACT(TO_TEXT($F532), S$1 &amp; ""x(\d+)"")), """")"),1)</f>
        <v>1</v>
      </c>
      <c r="T532" s="9" t="str">
        <f ca="1">IFERROR(__xludf.DUMMYFUNCTION("IFERROR(VALUE(REGEXEXTRACT(TO_TEXT($F532), T$1 &amp; ""x(\d+)"")), """")"),"")</f>
        <v/>
      </c>
      <c r="U532" s="9" t="str">
        <f ca="1">IFERROR(__xludf.DUMMYFUNCTION("IFERROR(VALUE(REGEXEXTRACT(TO_TEXT($F532), U$1 &amp; ""x(\d+)"")), """")"),"")</f>
        <v/>
      </c>
      <c r="V532" s="9" t="str">
        <f ca="1">IFERROR(__xludf.DUMMYFUNCTION("IFERROR(VALUE(REGEXEXTRACT(TO_TEXT($F532), V$1 &amp; ""x(\d+)"")), """")"),"")</f>
        <v/>
      </c>
      <c r="W532" s="9"/>
      <c r="X532" s="9"/>
      <c r="Y532" s="9"/>
      <c r="Z532" s="9"/>
    </row>
    <row r="533" spans="1:26" ht="15.75" hidden="1" customHeight="1">
      <c r="A533" s="9" t="s">
        <v>1617</v>
      </c>
      <c r="B533" s="9" t="s">
        <v>1614</v>
      </c>
      <c r="C533" s="9" t="s">
        <v>595</v>
      </c>
      <c r="D533" s="9" t="s">
        <v>40</v>
      </c>
      <c r="E533" s="9" t="s">
        <v>13</v>
      </c>
      <c r="F533" s="9" t="s">
        <v>1546</v>
      </c>
      <c r="G533" s="9">
        <v>30</v>
      </c>
      <c r="H533" s="9">
        <v>6</v>
      </c>
      <c r="I533" s="9">
        <v>1.0149999999999999</v>
      </c>
      <c r="J533" s="9">
        <v>400</v>
      </c>
      <c r="K533" s="9" t="s">
        <v>442</v>
      </c>
      <c r="L533" s="9"/>
      <c r="M533" s="9"/>
      <c r="N533" s="9" t="str">
        <f ca="1">IFERROR(__xludf.DUMMYFUNCTION("IFERROR(VALUE(REGEXEXTRACT(TO_TEXT($F533), N$1 &amp; ""x(\d+)"")), """")
"),"")</f>
        <v/>
      </c>
      <c r="O533" s="9" t="str">
        <f ca="1">IFERROR(__xludf.DUMMYFUNCTION("IFERROR(VALUE(REGEXEXTRACT(TO_TEXT($F533), O$1 &amp; ""x(\d+)"")), """")"),"")</f>
        <v/>
      </c>
      <c r="P533" s="9" t="str">
        <f ca="1">IFERROR(__xludf.DUMMYFUNCTION("IFERROR(VALUE(REGEXEXTRACT(TO_TEXT($F533), P$1 &amp; ""x(\d+)"")), """")"),"")</f>
        <v/>
      </c>
      <c r="Q533" s="9" t="str">
        <f ca="1">IFERROR(__xludf.DUMMYFUNCTION("IFERROR(VALUE(REGEXEXTRACT(TO_TEXT($F533), Q$1 &amp; ""x(\d+)"")), """")"),"")</f>
        <v/>
      </c>
      <c r="R533" s="9" t="str">
        <f ca="1">IFERROR(__xludf.DUMMYFUNCTION("IFERROR(VALUE(REGEXEXTRACT(TO_TEXT($F533), R$1 &amp; ""x(\d+)"")), """")"),"")</f>
        <v/>
      </c>
      <c r="S533" s="9">
        <f ca="1">IFERROR(__xludf.DUMMYFUNCTION("IFERROR(VALUE(REGEXEXTRACT(TO_TEXT($F533), S$1 &amp; ""x(\d+)"")), """")"),1)</f>
        <v>1</v>
      </c>
      <c r="T533" s="9" t="str">
        <f ca="1">IFERROR(__xludf.DUMMYFUNCTION("IFERROR(VALUE(REGEXEXTRACT(TO_TEXT($F533), T$1 &amp; ""x(\d+)"")), """")"),"")</f>
        <v/>
      </c>
      <c r="U533" s="9" t="str">
        <f ca="1">IFERROR(__xludf.DUMMYFUNCTION("IFERROR(VALUE(REGEXEXTRACT(TO_TEXT($F533), U$1 &amp; ""x(\d+)"")), """")"),"")</f>
        <v/>
      </c>
      <c r="V533" s="9" t="str">
        <f ca="1">IFERROR(__xludf.DUMMYFUNCTION("IFERROR(VALUE(REGEXEXTRACT(TO_TEXT($F533), V$1 &amp; ""x(\d+)"")), """")"),"")</f>
        <v/>
      </c>
      <c r="W533" s="9"/>
      <c r="X533" s="9"/>
      <c r="Y533" s="9"/>
      <c r="Z533" s="9"/>
    </row>
    <row r="534" spans="1:26" ht="15.75" hidden="1" customHeight="1">
      <c r="A534" s="9" t="s">
        <v>1617</v>
      </c>
      <c r="B534" s="9" t="s">
        <v>1614</v>
      </c>
      <c r="C534" s="9" t="s">
        <v>595</v>
      </c>
      <c r="D534" s="9" t="s">
        <v>48</v>
      </c>
      <c r="E534" s="9" t="s">
        <v>12</v>
      </c>
      <c r="F534" s="9" t="s">
        <v>1547</v>
      </c>
      <c r="G534" s="9">
        <v>80</v>
      </c>
      <c r="H534" s="9">
        <v>6</v>
      </c>
      <c r="I534" s="9">
        <v>1.0149999999999999</v>
      </c>
      <c r="J534" s="9">
        <v>42.5</v>
      </c>
      <c r="K534" s="9" t="s">
        <v>424</v>
      </c>
      <c r="L534" s="9" t="s">
        <v>1035</v>
      </c>
      <c r="M534" s="9"/>
      <c r="N534" s="9" t="str">
        <f ca="1">IFERROR(__xludf.DUMMYFUNCTION("IFERROR(VALUE(REGEXEXTRACT(TO_TEXT($F534), N$1 &amp; ""x(\d+)"")), """")
"),"")</f>
        <v/>
      </c>
      <c r="O534" s="9">
        <f ca="1">IFERROR(__xludf.DUMMYFUNCTION("IFERROR(VALUE(REGEXEXTRACT(TO_TEXT($F534), O$1 &amp; ""x(\d+)"")), """")"),1)</f>
        <v>1</v>
      </c>
      <c r="P534" s="9">
        <f ca="1">IFERROR(__xludf.DUMMYFUNCTION("IFERROR(VALUE(REGEXEXTRACT(TO_TEXT($F534), P$1 &amp; ""x(\d+)"")), """")"),1)</f>
        <v>1</v>
      </c>
      <c r="Q534" s="9" t="str">
        <f ca="1">IFERROR(__xludf.DUMMYFUNCTION("IFERROR(VALUE(REGEXEXTRACT(TO_TEXT($F534), Q$1 &amp; ""x(\d+)"")), """")"),"")</f>
        <v/>
      </c>
      <c r="R534" s="9" t="str">
        <f ca="1">IFERROR(__xludf.DUMMYFUNCTION("IFERROR(VALUE(REGEXEXTRACT(TO_TEXT($F534), R$1 &amp; ""x(\d+)"")), """")"),"")</f>
        <v/>
      </c>
      <c r="S534" s="9" t="str">
        <f ca="1">IFERROR(__xludf.DUMMYFUNCTION("IFERROR(VALUE(REGEXEXTRACT(TO_TEXT($F534), S$1 &amp; ""x(\d+)"")), """")"),"")</f>
        <v/>
      </c>
      <c r="T534" s="9" t="str">
        <f ca="1">IFERROR(__xludf.DUMMYFUNCTION("IFERROR(VALUE(REGEXEXTRACT(TO_TEXT($F534), T$1 &amp; ""x(\d+)"")), """")"),"")</f>
        <v/>
      </c>
      <c r="U534" s="9" t="str">
        <f ca="1">IFERROR(__xludf.DUMMYFUNCTION("IFERROR(VALUE(REGEXEXTRACT(TO_TEXT($F534), U$1 &amp; ""x(\d+)"")), """")"),"")</f>
        <v/>
      </c>
      <c r="V534" s="9" t="str">
        <f ca="1">IFERROR(__xludf.DUMMYFUNCTION("IFERROR(VALUE(REGEXEXTRACT(TO_TEXT($F534), V$1 &amp; ""x(\d+)"")), """")"),"")</f>
        <v/>
      </c>
      <c r="W534" s="9"/>
      <c r="X534" s="9"/>
      <c r="Y534" s="9"/>
      <c r="Z534" s="9"/>
    </row>
    <row r="535" spans="1:26" ht="15.75" hidden="1" customHeight="1">
      <c r="A535" s="9" t="s">
        <v>1617</v>
      </c>
      <c r="B535" s="9" t="s">
        <v>1614</v>
      </c>
      <c r="C535" s="9" t="s">
        <v>595</v>
      </c>
      <c r="D535" s="9" t="s">
        <v>48</v>
      </c>
      <c r="E535" s="9" t="s">
        <v>13</v>
      </c>
      <c r="F535" s="9" t="s">
        <v>1548</v>
      </c>
      <c r="G535" s="9">
        <v>30</v>
      </c>
      <c r="H535" s="9">
        <v>6</v>
      </c>
      <c r="I535" s="9">
        <v>1.0149999999999999</v>
      </c>
      <c r="J535" s="9">
        <v>42.5</v>
      </c>
      <c r="K535" s="9" t="s">
        <v>424</v>
      </c>
      <c r="L535" s="9"/>
      <c r="M535" s="9"/>
      <c r="N535" s="9" t="str">
        <f ca="1">IFERROR(__xludf.DUMMYFUNCTION("IFERROR(VALUE(REGEXEXTRACT(TO_TEXT($F535), N$1 &amp; ""x(\d+)"")), """")
"),"")</f>
        <v/>
      </c>
      <c r="O535" s="9">
        <f ca="1">IFERROR(__xludf.DUMMYFUNCTION("IFERROR(VALUE(REGEXEXTRACT(TO_TEXT($F535), O$1 &amp; ""x(\d+)"")), """")"),1)</f>
        <v>1</v>
      </c>
      <c r="P535" s="9">
        <f ca="1">IFERROR(__xludf.DUMMYFUNCTION("IFERROR(VALUE(REGEXEXTRACT(TO_TEXT($F535), P$1 &amp; ""x(\d+)"")), """")"),1)</f>
        <v>1</v>
      </c>
      <c r="Q535" s="9" t="str">
        <f ca="1">IFERROR(__xludf.DUMMYFUNCTION("IFERROR(VALUE(REGEXEXTRACT(TO_TEXT($F535), Q$1 &amp; ""x(\d+)"")), """")"),"")</f>
        <v/>
      </c>
      <c r="R535" s="9" t="str">
        <f ca="1">IFERROR(__xludf.DUMMYFUNCTION("IFERROR(VALUE(REGEXEXTRACT(TO_TEXT($F535), R$1 &amp; ""x(\d+)"")), """")"),"")</f>
        <v/>
      </c>
      <c r="S535" s="9" t="str">
        <f ca="1">IFERROR(__xludf.DUMMYFUNCTION("IFERROR(VALUE(REGEXEXTRACT(TO_TEXT($F535), S$1 &amp; ""x(\d+)"")), """")"),"")</f>
        <v/>
      </c>
      <c r="T535" s="9" t="str">
        <f ca="1">IFERROR(__xludf.DUMMYFUNCTION("IFERROR(VALUE(REGEXEXTRACT(TO_TEXT($F535), T$1 &amp; ""x(\d+)"")), """")"),"")</f>
        <v/>
      </c>
      <c r="U535" s="9" t="str">
        <f ca="1">IFERROR(__xludf.DUMMYFUNCTION("IFERROR(VALUE(REGEXEXTRACT(TO_TEXT($F535), U$1 &amp; ""x(\d+)"")), """")"),"")</f>
        <v/>
      </c>
      <c r="V535" s="9" t="str">
        <f ca="1">IFERROR(__xludf.DUMMYFUNCTION("IFERROR(VALUE(REGEXEXTRACT(TO_TEXT($F535), V$1 &amp; ""x(\d+)"")), """")"),"")</f>
        <v/>
      </c>
      <c r="W535" s="9"/>
      <c r="X535" s="9"/>
      <c r="Y535" s="9"/>
      <c r="Z535" s="9"/>
    </row>
    <row r="536" spans="1:26" ht="15.75" hidden="1" customHeight="1">
      <c r="A536" s="9" t="s">
        <v>1618</v>
      </c>
      <c r="B536" s="9" t="s">
        <v>1619</v>
      </c>
      <c r="C536" s="9" t="s">
        <v>513</v>
      </c>
      <c r="D536" s="9" t="s">
        <v>74</v>
      </c>
      <c r="E536" s="9" t="s">
        <v>11</v>
      </c>
      <c r="F536" s="9" t="s">
        <v>1315</v>
      </c>
      <c r="G536" s="9">
        <v>25</v>
      </c>
      <c r="H536" s="9">
        <v>2</v>
      </c>
      <c r="I536" s="9">
        <v>1.0149999999999999</v>
      </c>
      <c r="J536" s="9">
        <v>103</v>
      </c>
      <c r="K536" s="9" t="s">
        <v>424</v>
      </c>
      <c r="L536" s="9"/>
      <c r="M536" s="9"/>
      <c r="N536" s="9" t="str">
        <f ca="1">IFERROR(__xludf.DUMMYFUNCTION("IFERROR(VALUE(REGEXEXTRACT(TO_TEXT($F536), N$1 &amp; ""x(\d+)"")), """")
"),"")</f>
        <v/>
      </c>
      <c r="O536" s="9" t="str">
        <f ca="1">IFERROR(__xludf.DUMMYFUNCTION("IFERROR(VALUE(REGEXEXTRACT(TO_TEXT($F536), O$1 &amp; ""x(\d+)"")), """")"),"")</f>
        <v/>
      </c>
      <c r="P536" s="9" t="str">
        <f ca="1">IFERROR(__xludf.DUMMYFUNCTION("IFERROR(VALUE(REGEXEXTRACT(TO_TEXT($F536), P$1 &amp; ""x(\d+)"")), """")"),"")</f>
        <v/>
      </c>
      <c r="Q536" s="9" t="str">
        <f ca="1">IFERROR(__xludf.DUMMYFUNCTION("IFERROR(VALUE(REGEXEXTRACT(TO_TEXT($F536), Q$1 &amp; ""x(\d+)"")), """")"),"")</f>
        <v/>
      </c>
      <c r="R536" s="9" t="str">
        <f ca="1">IFERROR(__xludf.DUMMYFUNCTION("IFERROR(VALUE(REGEXEXTRACT(TO_TEXT($F536), R$1 &amp; ""x(\d+)"")), """")"),"")</f>
        <v/>
      </c>
      <c r="S536" s="9" t="str">
        <f ca="1">IFERROR(__xludf.DUMMYFUNCTION("IFERROR(VALUE(REGEXEXTRACT(TO_TEXT($F536), S$1 &amp; ""x(\d+)"")), """")"),"")</f>
        <v/>
      </c>
      <c r="T536" s="9" t="str">
        <f ca="1">IFERROR(__xludf.DUMMYFUNCTION("IFERROR(VALUE(REGEXEXTRACT(TO_TEXT($F536), T$1 &amp; ""x(\d+)"")), """")"),"")</f>
        <v/>
      </c>
      <c r="U536" s="9" t="str">
        <f ca="1">IFERROR(__xludf.DUMMYFUNCTION("IFERROR(VALUE(REGEXEXTRACT(TO_TEXT($F536), U$1 &amp; ""x(\d+)"")), """")"),"")</f>
        <v/>
      </c>
      <c r="V536" s="9" t="str">
        <f ca="1">IFERROR(__xludf.DUMMYFUNCTION("IFERROR(VALUE(REGEXEXTRACT(TO_TEXT($F536), V$1 &amp; ""x(\d+)"")), """")"),"")</f>
        <v/>
      </c>
      <c r="W536" s="9"/>
      <c r="X536" s="9"/>
      <c r="Y536" s="9"/>
      <c r="Z536" s="9"/>
    </row>
    <row r="537" spans="1:26" ht="15.75" hidden="1" customHeight="1">
      <c r="A537" s="9" t="s">
        <v>1618</v>
      </c>
      <c r="B537" s="9" t="s">
        <v>1619</v>
      </c>
      <c r="C537" s="9" t="s">
        <v>513</v>
      </c>
      <c r="D537" s="9" t="s">
        <v>74</v>
      </c>
      <c r="E537" s="9" t="s">
        <v>12</v>
      </c>
      <c r="F537" s="9" t="s">
        <v>1124</v>
      </c>
      <c r="G537" s="9">
        <v>180</v>
      </c>
      <c r="H537" s="9">
        <v>2</v>
      </c>
      <c r="I537" s="9">
        <v>1.0149999999999999</v>
      </c>
      <c r="J537" s="9">
        <v>103</v>
      </c>
      <c r="K537" s="9" t="s">
        <v>424</v>
      </c>
      <c r="L537" s="9" t="s">
        <v>1210</v>
      </c>
      <c r="M537" s="9"/>
      <c r="N537" s="9" t="str">
        <f ca="1">IFERROR(__xludf.DUMMYFUNCTION("IFERROR(VALUE(REGEXEXTRACT(TO_TEXT($F537), N$1 &amp; ""x(\d+)"")), """")
"),"")</f>
        <v/>
      </c>
      <c r="O537" s="9" t="str">
        <f ca="1">IFERROR(__xludf.DUMMYFUNCTION("IFERROR(VALUE(REGEXEXTRACT(TO_TEXT($F537), O$1 &amp; ""x(\d+)"")), """")"),"")</f>
        <v/>
      </c>
      <c r="P537" s="9" t="str">
        <f ca="1">IFERROR(__xludf.DUMMYFUNCTION("IFERROR(VALUE(REGEXEXTRACT(TO_TEXT($F537), P$1 &amp; ""x(\d+)"")), """")"),"")</f>
        <v/>
      </c>
      <c r="Q537" s="9">
        <f ca="1">IFERROR(__xludf.DUMMYFUNCTION("IFERROR(VALUE(REGEXEXTRACT(TO_TEXT($F537), Q$1 &amp; ""x(\d+)"")), """")"),1)</f>
        <v>1</v>
      </c>
      <c r="R537" s="9" t="str">
        <f ca="1">IFERROR(__xludf.DUMMYFUNCTION("IFERROR(VALUE(REGEXEXTRACT(TO_TEXT($F537), R$1 &amp; ""x(\d+)"")), """")"),"")</f>
        <v/>
      </c>
      <c r="S537" s="9" t="str">
        <f ca="1">IFERROR(__xludf.DUMMYFUNCTION("IFERROR(VALUE(REGEXEXTRACT(TO_TEXT($F537), S$1 &amp; ""x(\d+)"")), """")"),"")</f>
        <v/>
      </c>
      <c r="T537" s="9" t="str">
        <f ca="1">IFERROR(__xludf.DUMMYFUNCTION("IFERROR(VALUE(REGEXEXTRACT(TO_TEXT($F537), T$1 &amp; ""x(\d+)"")), """")"),"")</f>
        <v/>
      </c>
      <c r="U537" s="9" t="str">
        <f ca="1">IFERROR(__xludf.DUMMYFUNCTION("IFERROR(VALUE(REGEXEXTRACT(TO_TEXT($F537), U$1 &amp; ""x(\d+)"")), """")"),"")</f>
        <v/>
      </c>
      <c r="V537" s="9" t="str">
        <f ca="1">IFERROR(__xludf.DUMMYFUNCTION("IFERROR(VALUE(REGEXEXTRACT(TO_TEXT($F537), V$1 &amp; ""x(\d+)"")), """")"),"")</f>
        <v/>
      </c>
      <c r="W537" s="9"/>
      <c r="X537" s="9"/>
      <c r="Y537" s="9"/>
      <c r="Z537" s="9"/>
    </row>
    <row r="538" spans="1:26" ht="15.75" hidden="1" customHeight="1">
      <c r="A538" s="9" t="s">
        <v>1618</v>
      </c>
      <c r="B538" s="9" t="s">
        <v>1619</v>
      </c>
      <c r="C538" s="9" t="s">
        <v>513</v>
      </c>
      <c r="D538" s="9" t="s">
        <v>74</v>
      </c>
      <c r="E538" s="9" t="s">
        <v>13</v>
      </c>
      <c r="F538" s="9" t="s">
        <v>1125</v>
      </c>
      <c r="G538" s="9">
        <v>40</v>
      </c>
      <c r="H538" s="9">
        <v>2</v>
      </c>
      <c r="I538" s="9">
        <v>1.0149999999999999</v>
      </c>
      <c r="J538" s="9">
        <v>103</v>
      </c>
      <c r="K538" s="9" t="s">
        <v>424</v>
      </c>
      <c r="L538" s="9"/>
      <c r="M538" s="9"/>
      <c r="N538" s="9" t="str">
        <f ca="1">IFERROR(__xludf.DUMMYFUNCTION("IFERROR(VALUE(REGEXEXTRACT(TO_TEXT($F538), N$1 &amp; ""x(\d+)"")), """")
"),"")</f>
        <v/>
      </c>
      <c r="O538" s="9" t="str">
        <f ca="1">IFERROR(__xludf.DUMMYFUNCTION("IFERROR(VALUE(REGEXEXTRACT(TO_TEXT($F538), O$1 &amp; ""x(\d+)"")), """")"),"")</f>
        <v/>
      </c>
      <c r="P538" s="9" t="str">
        <f ca="1">IFERROR(__xludf.DUMMYFUNCTION("IFERROR(VALUE(REGEXEXTRACT(TO_TEXT($F538), P$1 &amp; ""x(\d+)"")), """")"),"")</f>
        <v/>
      </c>
      <c r="Q538" s="9">
        <f ca="1">IFERROR(__xludf.DUMMYFUNCTION("IFERROR(VALUE(REGEXEXTRACT(TO_TEXT($F538), Q$1 &amp; ""x(\d+)"")), """")"),1)</f>
        <v>1</v>
      </c>
      <c r="R538" s="9" t="str">
        <f ca="1">IFERROR(__xludf.DUMMYFUNCTION("IFERROR(VALUE(REGEXEXTRACT(TO_TEXT($F538), R$1 &amp; ""x(\d+)"")), """")"),"")</f>
        <v/>
      </c>
      <c r="S538" s="9" t="str">
        <f ca="1">IFERROR(__xludf.DUMMYFUNCTION("IFERROR(VALUE(REGEXEXTRACT(TO_TEXT($F538), S$1 &amp; ""x(\d+)"")), """")"),"")</f>
        <v/>
      </c>
      <c r="T538" s="9" t="str">
        <f ca="1">IFERROR(__xludf.DUMMYFUNCTION("IFERROR(VALUE(REGEXEXTRACT(TO_TEXT($F538), T$1 &amp; ""x(\d+)"")), """")"),"")</f>
        <v/>
      </c>
      <c r="U538" s="9" t="str">
        <f ca="1">IFERROR(__xludf.DUMMYFUNCTION("IFERROR(VALUE(REGEXEXTRACT(TO_TEXT($F538), U$1 &amp; ""x(\d+)"")), """")"),"")</f>
        <v/>
      </c>
      <c r="V538" s="9" t="str">
        <f ca="1">IFERROR(__xludf.DUMMYFUNCTION("IFERROR(VALUE(REGEXEXTRACT(TO_TEXT($F538), V$1 &amp; ""x(\d+)"")), """")"),"")</f>
        <v/>
      </c>
      <c r="W538" s="9"/>
      <c r="X538" s="9"/>
      <c r="Y538" s="9"/>
      <c r="Z538" s="9"/>
    </row>
    <row r="539" spans="1:26" ht="15.75" hidden="1" customHeight="1">
      <c r="A539" s="9" t="s">
        <v>1620</v>
      </c>
      <c r="B539" s="9" t="s">
        <v>1621</v>
      </c>
      <c r="C539" s="9" t="s">
        <v>984</v>
      </c>
      <c r="D539" s="9" t="s">
        <v>48</v>
      </c>
      <c r="E539" s="9" t="s">
        <v>11</v>
      </c>
      <c r="F539" s="9" t="s">
        <v>1224</v>
      </c>
      <c r="G539" s="9">
        <v>25</v>
      </c>
      <c r="H539" s="9">
        <v>3</v>
      </c>
      <c r="I539" s="9">
        <v>1.0149999999999999</v>
      </c>
      <c r="J539" s="9">
        <v>52</v>
      </c>
      <c r="K539" s="9" t="s">
        <v>424</v>
      </c>
      <c r="L539" s="9"/>
      <c r="M539" s="9"/>
      <c r="N539" s="9" t="str">
        <f ca="1">IFERROR(__xludf.DUMMYFUNCTION("IFERROR(VALUE(REGEXEXTRACT(TO_TEXT($F539), N$1 &amp; ""x(\d+)"")), """")
"),"")</f>
        <v/>
      </c>
      <c r="O539" s="9" t="str">
        <f ca="1">IFERROR(__xludf.DUMMYFUNCTION("IFERROR(VALUE(REGEXEXTRACT(TO_TEXT($F539), O$1 &amp; ""x(\d+)"")), """")"),"")</f>
        <v/>
      </c>
      <c r="P539" s="9" t="str">
        <f ca="1">IFERROR(__xludf.DUMMYFUNCTION("IFERROR(VALUE(REGEXEXTRACT(TO_TEXT($F539), P$1 &amp; ""x(\d+)"")), """")"),"")</f>
        <v/>
      </c>
      <c r="Q539" s="9" t="str">
        <f ca="1">IFERROR(__xludf.DUMMYFUNCTION("IFERROR(VALUE(REGEXEXTRACT(TO_TEXT($F539), Q$1 &amp; ""x(\d+)"")), """")"),"")</f>
        <v/>
      </c>
      <c r="R539" s="9" t="str">
        <f ca="1">IFERROR(__xludf.DUMMYFUNCTION("IFERROR(VALUE(REGEXEXTRACT(TO_TEXT($F539), R$1 &amp; ""x(\d+)"")), """")"),"")</f>
        <v/>
      </c>
      <c r="S539" s="9" t="str">
        <f ca="1">IFERROR(__xludf.DUMMYFUNCTION("IFERROR(VALUE(REGEXEXTRACT(TO_TEXT($F539), S$1 &amp; ""x(\d+)"")), """")"),"")</f>
        <v/>
      </c>
      <c r="T539" s="9" t="str">
        <f ca="1">IFERROR(__xludf.DUMMYFUNCTION("IFERROR(VALUE(REGEXEXTRACT(TO_TEXT($F539), T$1 &amp; ""x(\d+)"")), """")"),"")</f>
        <v/>
      </c>
      <c r="U539" s="9" t="str">
        <f ca="1">IFERROR(__xludf.DUMMYFUNCTION("IFERROR(VALUE(REGEXEXTRACT(TO_TEXT($F539), U$1 &amp; ""x(\d+)"")), """")"),"")</f>
        <v/>
      </c>
      <c r="V539" s="9" t="str">
        <f ca="1">IFERROR(__xludf.DUMMYFUNCTION("IFERROR(VALUE(REGEXEXTRACT(TO_TEXT($F539), V$1 &amp; ""x(\d+)"")), """")"),"")</f>
        <v/>
      </c>
      <c r="W539" s="9"/>
      <c r="X539" s="9"/>
      <c r="Y539" s="9"/>
      <c r="Z539" s="9"/>
    </row>
    <row r="540" spans="1:26" ht="15.75" hidden="1" customHeight="1">
      <c r="A540" s="9" t="s">
        <v>1620</v>
      </c>
      <c r="B540" s="9" t="s">
        <v>1621</v>
      </c>
      <c r="C540" s="9" t="s">
        <v>984</v>
      </c>
      <c r="D540" s="9" t="s">
        <v>48</v>
      </c>
      <c r="E540" s="9" t="s">
        <v>12</v>
      </c>
      <c r="F540" s="9" t="s">
        <v>1622</v>
      </c>
      <c r="G540" s="9">
        <v>125</v>
      </c>
      <c r="H540" s="9">
        <v>3</v>
      </c>
      <c r="I540" s="9">
        <v>1.0149999999999999</v>
      </c>
      <c r="J540" s="9">
        <v>52</v>
      </c>
      <c r="K540" s="9" t="s">
        <v>424</v>
      </c>
      <c r="L540" s="9" t="s">
        <v>1243</v>
      </c>
      <c r="M540" s="9"/>
      <c r="N540" s="9" t="str">
        <f ca="1">IFERROR(__xludf.DUMMYFUNCTION("IFERROR(VALUE(REGEXEXTRACT(TO_TEXT($F540), N$1 &amp; ""x(\d+)"")), """")
"),"")</f>
        <v/>
      </c>
      <c r="O540" s="9" t="str">
        <f ca="1">IFERROR(__xludf.DUMMYFUNCTION("IFERROR(VALUE(REGEXEXTRACT(TO_TEXT($F540), O$1 &amp; ""x(\d+)"")), """")"),"")</f>
        <v/>
      </c>
      <c r="P540" s="9">
        <f ca="1">IFERROR(__xludf.DUMMYFUNCTION("IFERROR(VALUE(REGEXEXTRACT(TO_TEXT($F540), P$1 &amp; ""x(\d+)"")), """")"),1)</f>
        <v>1</v>
      </c>
      <c r="Q540" s="9" t="str">
        <f ca="1">IFERROR(__xludf.DUMMYFUNCTION("IFERROR(VALUE(REGEXEXTRACT(TO_TEXT($F540), Q$1 &amp; ""x(\d+)"")), """")"),"")</f>
        <v/>
      </c>
      <c r="R540" s="9" t="str">
        <f ca="1">IFERROR(__xludf.DUMMYFUNCTION("IFERROR(VALUE(REGEXEXTRACT(TO_TEXT($F540), R$1 &amp; ""x(\d+)"")), """")"),"")</f>
        <v/>
      </c>
      <c r="S540" s="9" t="str">
        <f ca="1">IFERROR(__xludf.DUMMYFUNCTION("IFERROR(VALUE(REGEXEXTRACT(TO_TEXT($F540), S$1 &amp; ""x(\d+)"")), """")"),"")</f>
        <v/>
      </c>
      <c r="T540" s="9" t="str">
        <f ca="1">IFERROR(__xludf.DUMMYFUNCTION("IFERROR(VALUE(REGEXEXTRACT(TO_TEXT($F540), T$1 &amp; ""x(\d+)"")), """")"),"")</f>
        <v/>
      </c>
      <c r="U540" s="9" t="str">
        <f ca="1">IFERROR(__xludf.DUMMYFUNCTION("IFERROR(VALUE(REGEXEXTRACT(TO_TEXT($F540), U$1 &amp; ""x(\d+)"")), """")"),"")</f>
        <v/>
      </c>
      <c r="V540" s="9" t="str">
        <f ca="1">IFERROR(__xludf.DUMMYFUNCTION("IFERROR(VALUE(REGEXEXTRACT(TO_TEXT($F540), V$1 &amp; ""x(\d+)"")), """")"),"")</f>
        <v/>
      </c>
      <c r="W540" s="9"/>
      <c r="X540" s="9"/>
      <c r="Y540" s="9"/>
      <c r="Z540" s="9"/>
    </row>
    <row r="541" spans="1:26" ht="15.75" hidden="1" customHeight="1">
      <c r="A541" s="9" t="s">
        <v>1620</v>
      </c>
      <c r="B541" s="9" t="s">
        <v>1621</v>
      </c>
      <c r="C541" s="9" t="s">
        <v>984</v>
      </c>
      <c r="D541" s="9" t="s">
        <v>48</v>
      </c>
      <c r="E541" s="9" t="s">
        <v>13</v>
      </c>
      <c r="F541" s="9" t="s">
        <v>1206</v>
      </c>
      <c r="G541" s="9">
        <v>30</v>
      </c>
      <c r="H541" s="9">
        <v>3</v>
      </c>
      <c r="I541" s="9">
        <v>1.0149999999999999</v>
      </c>
      <c r="J541" s="9">
        <v>52</v>
      </c>
      <c r="K541" s="9" t="s">
        <v>424</v>
      </c>
      <c r="L541" s="9"/>
      <c r="M541" s="9"/>
      <c r="N541" s="9" t="str">
        <f ca="1">IFERROR(__xludf.DUMMYFUNCTION("IFERROR(VALUE(REGEXEXTRACT(TO_TEXT($F541), N$1 &amp; ""x(\d+)"")), """")
"),"")</f>
        <v/>
      </c>
      <c r="O541" s="9" t="str">
        <f ca="1">IFERROR(__xludf.DUMMYFUNCTION("IFERROR(VALUE(REGEXEXTRACT(TO_TEXT($F541), O$1 &amp; ""x(\d+)"")), """")"),"")</f>
        <v/>
      </c>
      <c r="P541" s="9">
        <f ca="1">IFERROR(__xludf.DUMMYFUNCTION("IFERROR(VALUE(REGEXEXTRACT(TO_TEXT($F541), P$1 &amp; ""x(\d+)"")), """")"),1)</f>
        <v>1</v>
      </c>
      <c r="Q541" s="9" t="str">
        <f ca="1">IFERROR(__xludf.DUMMYFUNCTION("IFERROR(VALUE(REGEXEXTRACT(TO_TEXT($F541), Q$1 &amp; ""x(\d+)"")), """")"),"")</f>
        <v/>
      </c>
      <c r="R541" s="9" t="str">
        <f ca="1">IFERROR(__xludf.DUMMYFUNCTION("IFERROR(VALUE(REGEXEXTRACT(TO_TEXT($F541), R$1 &amp; ""x(\d+)"")), """")"),"")</f>
        <v/>
      </c>
      <c r="S541" s="9" t="str">
        <f ca="1">IFERROR(__xludf.DUMMYFUNCTION("IFERROR(VALUE(REGEXEXTRACT(TO_TEXT($F541), S$1 &amp; ""x(\d+)"")), """")"),"")</f>
        <v/>
      </c>
      <c r="T541" s="9" t="str">
        <f ca="1">IFERROR(__xludf.DUMMYFUNCTION("IFERROR(VALUE(REGEXEXTRACT(TO_TEXT($F541), T$1 &amp; ""x(\d+)"")), """")"),"")</f>
        <v/>
      </c>
      <c r="U541" s="9" t="str">
        <f ca="1">IFERROR(__xludf.DUMMYFUNCTION("IFERROR(VALUE(REGEXEXTRACT(TO_TEXT($F541), U$1 &amp; ""x(\d+)"")), """")"),"")</f>
        <v/>
      </c>
      <c r="V541" s="9" t="str">
        <f ca="1">IFERROR(__xludf.DUMMYFUNCTION("IFERROR(VALUE(REGEXEXTRACT(TO_TEXT($F541), V$1 &amp; ""x(\d+)"")), """")"),"")</f>
        <v/>
      </c>
      <c r="W541" s="9"/>
      <c r="X541" s="9"/>
      <c r="Y541" s="9"/>
      <c r="Z541" s="9"/>
    </row>
    <row r="542" spans="1:26" ht="15.75" hidden="1" customHeight="1">
      <c r="A542" s="9" t="s">
        <v>204</v>
      </c>
      <c r="B542" s="9" t="s">
        <v>1623</v>
      </c>
      <c r="C542" s="9" t="s">
        <v>205</v>
      </c>
      <c r="D542" s="9" t="s">
        <v>40</v>
      </c>
      <c r="E542" s="9" t="s">
        <v>12</v>
      </c>
      <c r="F542" s="9" t="s">
        <v>1624</v>
      </c>
      <c r="G542" s="9">
        <v>280</v>
      </c>
      <c r="H542" s="9">
        <v>1</v>
      </c>
      <c r="I542" s="9">
        <v>1.0149999999999999</v>
      </c>
      <c r="J542" s="9">
        <v>412</v>
      </c>
      <c r="K542" s="9" t="s">
        <v>442</v>
      </c>
      <c r="L542" s="9" t="s">
        <v>1625</v>
      </c>
      <c r="M542" s="9"/>
      <c r="N542" s="9" t="str">
        <f ca="1">IFERROR(__xludf.DUMMYFUNCTION("IFERROR(VALUE(REGEXEXTRACT(TO_TEXT($F542), N$1 &amp; ""x(\d+)"")), """")
"),"")</f>
        <v/>
      </c>
      <c r="O542" s="9" t="str">
        <f ca="1">IFERROR(__xludf.DUMMYFUNCTION("IFERROR(VALUE(REGEXEXTRACT(TO_TEXT($F542), O$1 &amp; ""x(\d+)"")), """")"),"")</f>
        <v/>
      </c>
      <c r="P542" s="9" t="str">
        <f ca="1">IFERROR(__xludf.DUMMYFUNCTION("IFERROR(VALUE(REGEXEXTRACT(TO_TEXT($F542), P$1 &amp; ""x(\d+)"")), """")"),"")</f>
        <v/>
      </c>
      <c r="Q542" s="9" t="str">
        <f ca="1">IFERROR(__xludf.DUMMYFUNCTION("IFERROR(VALUE(REGEXEXTRACT(TO_TEXT($F542), Q$1 &amp; ""x(\d+)"")), """")"),"")</f>
        <v/>
      </c>
      <c r="R542" s="9" t="str">
        <f ca="1">IFERROR(__xludf.DUMMYFUNCTION("IFERROR(VALUE(REGEXEXTRACT(TO_TEXT($F542), R$1 &amp; ""x(\d+)"")), """")"),"")</f>
        <v/>
      </c>
      <c r="S542" s="9" t="str">
        <f ca="1">IFERROR(__xludf.DUMMYFUNCTION("IFERROR(VALUE(REGEXEXTRACT(TO_TEXT($F542), S$1 &amp; ""x(\d+)"")), """")"),"")</f>
        <v/>
      </c>
      <c r="T542" s="9">
        <f ca="1">IFERROR(__xludf.DUMMYFUNCTION("IFERROR(VALUE(REGEXEXTRACT(TO_TEXT($F542), T$1 &amp; ""x(\d+)"")), """")"),1)</f>
        <v>1</v>
      </c>
      <c r="U542" s="9" t="str">
        <f ca="1">IFERROR(__xludf.DUMMYFUNCTION("IFERROR(VALUE(REGEXEXTRACT(TO_TEXT($F542), U$1 &amp; ""x(\d+)"")), """")"),"")</f>
        <v/>
      </c>
      <c r="V542" s="9" t="str">
        <f ca="1">IFERROR(__xludf.DUMMYFUNCTION("IFERROR(VALUE(REGEXEXTRACT(TO_TEXT($F542), V$1 &amp; ""x(\d+)"")), """")"),"")</f>
        <v/>
      </c>
      <c r="W542" s="9"/>
      <c r="X542" s="9"/>
      <c r="Y542" s="9"/>
      <c r="Z542" s="9"/>
    </row>
    <row r="543" spans="1:26" ht="15.75" hidden="1" customHeight="1">
      <c r="A543" s="9" t="s">
        <v>204</v>
      </c>
      <c r="B543" s="9" t="s">
        <v>1623</v>
      </c>
      <c r="C543" s="9" t="s">
        <v>205</v>
      </c>
      <c r="D543" s="9" t="s">
        <v>40</v>
      </c>
      <c r="E543" s="9" t="s">
        <v>13</v>
      </c>
      <c r="F543" s="9" t="s">
        <v>1626</v>
      </c>
      <c r="G543" s="9">
        <v>30</v>
      </c>
      <c r="H543" s="9">
        <v>1</v>
      </c>
      <c r="I543" s="9">
        <v>1.0149999999999999</v>
      </c>
      <c r="J543" s="9">
        <v>412</v>
      </c>
      <c r="K543" s="9" t="s">
        <v>442</v>
      </c>
      <c r="L543" s="9"/>
      <c r="M543" s="9"/>
      <c r="N543" s="9" t="str">
        <f ca="1">IFERROR(__xludf.DUMMYFUNCTION("IFERROR(VALUE(REGEXEXTRACT(TO_TEXT($F543), N$1 &amp; ""x(\d+)"")), """")
"),"")</f>
        <v/>
      </c>
      <c r="O543" s="9" t="str">
        <f ca="1">IFERROR(__xludf.DUMMYFUNCTION("IFERROR(VALUE(REGEXEXTRACT(TO_TEXT($F543), O$1 &amp; ""x(\d+)"")), """")"),"")</f>
        <v/>
      </c>
      <c r="P543" s="9" t="str">
        <f ca="1">IFERROR(__xludf.DUMMYFUNCTION("IFERROR(VALUE(REGEXEXTRACT(TO_TEXT($F543), P$1 &amp; ""x(\d+)"")), """")"),"")</f>
        <v/>
      </c>
      <c r="Q543" s="9" t="str">
        <f ca="1">IFERROR(__xludf.DUMMYFUNCTION("IFERROR(VALUE(REGEXEXTRACT(TO_TEXT($F543), Q$1 &amp; ""x(\d+)"")), """")"),"")</f>
        <v/>
      </c>
      <c r="R543" s="9" t="str">
        <f ca="1">IFERROR(__xludf.DUMMYFUNCTION("IFERROR(VALUE(REGEXEXTRACT(TO_TEXT($F543), R$1 &amp; ""x(\d+)"")), """")"),"")</f>
        <v/>
      </c>
      <c r="S543" s="9" t="str">
        <f ca="1">IFERROR(__xludf.DUMMYFUNCTION("IFERROR(VALUE(REGEXEXTRACT(TO_TEXT($F543), S$1 &amp; ""x(\d+)"")), """")"),"")</f>
        <v/>
      </c>
      <c r="T543" s="9">
        <f ca="1">IFERROR(__xludf.DUMMYFUNCTION("IFERROR(VALUE(REGEXEXTRACT(TO_TEXT($F543), T$1 &amp; ""x(\d+)"")), """")"),1)</f>
        <v>1</v>
      </c>
      <c r="U543" s="9" t="str">
        <f ca="1">IFERROR(__xludf.DUMMYFUNCTION("IFERROR(VALUE(REGEXEXTRACT(TO_TEXT($F543), U$1 &amp; ""x(\d+)"")), """")"),"")</f>
        <v/>
      </c>
      <c r="V543" s="9" t="str">
        <f ca="1">IFERROR(__xludf.DUMMYFUNCTION("IFERROR(VALUE(REGEXEXTRACT(TO_TEXT($F543), V$1 &amp; ""x(\d+)"")), """")"),"")</f>
        <v/>
      </c>
      <c r="W543" s="9"/>
      <c r="X543" s="9"/>
      <c r="Y543" s="9"/>
      <c r="Z543" s="9"/>
    </row>
    <row r="544" spans="1:26" ht="15.75" hidden="1" customHeight="1">
      <c r="A544" s="9" t="s">
        <v>201</v>
      </c>
      <c r="B544" s="9" t="s">
        <v>1627</v>
      </c>
      <c r="C544" s="9" t="s">
        <v>202</v>
      </c>
      <c r="D544" s="9" t="s">
        <v>40</v>
      </c>
      <c r="E544" s="9" t="s">
        <v>11</v>
      </c>
      <c r="F544" s="9" t="s">
        <v>1509</v>
      </c>
      <c r="G544" s="9">
        <v>70</v>
      </c>
      <c r="H544" s="9">
        <v>3</v>
      </c>
      <c r="I544" s="9">
        <v>1.0149999999999999</v>
      </c>
      <c r="J544" s="9">
        <v>400</v>
      </c>
      <c r="K544" s="9" t="s">
        <v>442</v>
      </c>
      <c r="L544" s="9"/>
      <c r="M544" s="9"/>
      <c r="N544" s="9" t="str">
        <f ca="1">IFERROR(__xludf.DUMMYFUNCTION("IFERROR(VALUE(REGEXEXTRACT(TO_TEXT($F544), N$1 &amp; ""x(\d+)"")), """")
"),"")</f>
        <v/>
      </c>
      <c r="O544" s="9" t="str">
        <f ca="1">IFERROR(__xludf.DUMMYFUNCTION("IFERROR(VALUE(REGEXEXTRACT(TO_TEXT($F544), O$1 &amp; ""x(\d+)"")), """")"),"")</f>
        <v/>
      </c>
      <c r="P544" s="9" t="str">
        <f ca="1">IFERROR(__xludf.DUMMYFUNCTION("IFERROR(VALUE(REGEXEXTRACT(TO_TEXT($F544), P$1 &amp; ""x(\d+)"")), """")"),"")</f>
        <v/>
      </c>
      <c r="Q544" s="9" t="str">
        <f ca="1">IFERROR(__xludf.DUMMYFUNCTION("IFERROR(VALUE(REGEXEXTRACT(TO_TEXT($F544), Q$1 &amp; ""x(\d+)"")), """")"),"")</f>
        <v/>
      </c>
      <c r="R544" s="9" t="str">
        <f ca="1">IFERROR(__xludf.DUMMYFUNCTION("IFERROR(VALUE(REGEXEXTRACT(TO_TEXT($F544), R$1 &amp; ""x(\d+)"")), """")"),"")</f>
        <v/>
      </c>
      <c r="S544" s="9" t="str">
        <f ca="1">IFERROR(__xludf.DUMMYFUNCTION("IFERROR(VALUE(REGEXEXTRACT(TO_TEXT($F544), S$1 &amp; ""x(\d+)"")), """")"),"")</f>
        <v/>
      </c>
      <c r="T544" s="9" t="str">
        <f ca="1">IFERROR(__xludf.DUMMYFUNCTION("IFERROR(VALUE(REGEXEXTRACT(TO_TEXT($F544), T$1 &amp; ""x(\d+)"")), """")"),"")</f>
        <v/>
      </c>
      <c r="U544" s="9" t="str">
        <f ca="1">IFERROR(__xludf.DUMMYFUNCTION("IFERROR(VALUE(REGEXEXTRACT(TO_TEXT($F544), U$1 &amp; ""x(\d+)"")), """")"),"")</f>
        <v/>
      </c>
      <c r="V544" s="9" t="str">
        <f ca="1">IFERROR(__xludf.DUMMYFUNCTION("IFERROR(VALUE(REGEXEXTRACT(TO_TEXT($F544), V$1 &amp; ""x(\d+)"")), """")"),"")</f>
        <v/>
      </c>
      <c r="W544" s="9"/>
      <c r="X544" s="9"/>
      <c r="Y544" s="9"/>
      <c r="Z544" s="9"/>
    </row>
    <row r="545" spans="1:26" ht="15.75" hidden="1" customHeight="1">
      <c r="A545" s="9" t="s">
        <v>201</v>
      </c>
      <c r="B545" s="9" t="s">
        <v>1627</v>
      </c>
      <c r="C545" s="9" t="s">
        <v>202</v>
      </c>
      <c r="D545" s="9" t="s">
        <v>40</v>
      </c>
      <c r="E545" s="9" t="s">
        <v>12</v>
      </c>
      <c r="F545" s="9" t="s">
        <v>1510</v>
      </c>
      <c r="G545" s="9">
        <v>130</v>
      </c>
      <c r="H545" s="9">
        <v>3</v>
      </c>
      <c r="I545" s="9">
        <v>1.0149999999999999</v>
      </c>
      <c r="J545" s="9">
        <v>400</v>
      </c>
      <c r="K545" s="9" t="s">
        <v>442</v>
      </c>
      <c r="L545" s="9" t="s">
        <v>1035</v>
      </c>
      <c r="M545" s="9"/>
      <c r="N545" s="9" t="str">
        <f ca="1">IFERROR(__xludf.DUMMYFUNCTION("IFERROR(VALUE(REGEXEXTRACT(TO_TEXT($F545), N$1 &amp; ""x(\d+)"")), """")
"),"")</f>
        <v/>
      </c>
      <c r="O545" s="9">
        <f ca="1">IFERROR(__xludf.DUMMYFUNCTION("IFERROR(VALUE(REGEXEXTRACT(TO_TEXT($F545), O$1 &amp; ""x(\d+)"")), """")"),1)</f>
        <v>1</v>
      </c>
      <c r="P545" s="9" t="str">
        <f ca="1">IFERROR(__xludf.DUMMYFUNCTION("IFERROR(VALUE(REGEXEXTRACT(TO_TEXT($F545), P$1 &amp; ""x(\d+)"")), """")"),"")</f>
        <v/>
      </c>
      <c r="Q545" s="9" t="str">
        <f ca="1">IFERROR(__xludf.DUMMYFUNCTION("IFERROR(VALUE(REGEXEXTRACT(TO_TEXT($F545), Q$1 &amp; ""x(\d+)"")), """")"),"")</f>
        <v/>
      </c>
      <c r="R545" s="9" t="str">
        <f ca="1">IFERROR(__xludf.DUMMYFUNCTION("IFERROR(VALUE(REGEXEXTRACT(TO_TEXT($F545), R$1 &amp; ""x(\d+)"")), """")"),"")</f>
        <v/>
      </c>
      <c r="S545" s="9">
        <f ca="1">IFERROR(__xludf.DUMMYFUNCTION("IFERROR(VALUE(REGEXEXTRACT(TO_TEXT($F545), S$1 &amp; ""x(\d+)"")), """")"),1)</f>
        <v>1</v>
      </c>
      <c r="T545" s="9" t="str">
        <f ca="1">IFERROR(__xludf.DUMMYFUNCTION("IFERROR(VALUE(REGEXEXTRACT(TO_TEXT($F545), T$1 &amp; ""x(\d+)"")), """")"),"")</f>
        <v/>
      </c>
      <c r="U545" s="9" t="str">
        <f ca="1">IFERROR(__xludf.DUMMYFUNCTION("IFERROR(VALUE(REGEXEXTRACT(TO_TEXT($F545), U$1 &amp; ""x(\d+)"")), """")"),"")</f>
        <v/>
      </c>
      <c r="V545" s="9" t="str">
        <f ca="1">IFERROR(__xludf.DUMMYFUNCTION("IFERROR(VALUE(REGEXEXTRACT(TO_TEXT($F545), V$1 &amp; ""x(\d+)"")), """")"),"")</f>
        <v/>
      </c>
      <c r="W545" s="9"/>
      <c r="X545" s="9"/>
      <c r="Y545" s="9"/>
      <c r="Z545" s="9"/>
    </row>
    <row r="546" spans="1:26" ht="15.75" hidden="1" customHeight="1">
      <c r="A546" s="9" t="s">
        <v>201</v>
      </c>
      <c r="B546" s="9" t="s">
        <v>1627</v>
      </c>
      <c r="C546" s="9" t="s">
        <v>202</v>
      </c>
      <c r="D546" s="9" t="s">
        <v>40</v>
      </c>
      <c r="E546" s="9" t="s">
        <v>13</v>
      </c>
      <c r="F546" s="9" t="s">
        <v>1511</v>
      </c>
      <c r="G546" s="9">
        <v>30</v>
      </c>
      <c r="H546" s="9">
        <v>3</v>
      </c>
      <c r="I546" s="9">
        <v>1.0149999999999999</v>
      </c>
      <c r="J546" s="9">
        <v>400</v>
      </c>
      <c r="K546" s="9" t="s">
        <v>442</v>
      </c>
      <c r="L546" s="9"/>
      <c r="M546" s="9"/>
      <c r="N546" s="9" t="str">
        <f ca="1">IFERROR(__xludf.DUMMYFUNCTION("IFERROR(VALUE(REGEXEXTRACT(TO_TEXT($F546), N$1 &amp; ""x(\d+)"")), """")
"),"")</f>
        <v/>
      </c>
      <c r="O546" s="9">
        <f ca="1">IFERROR(__xludf.DUMMYFUNCTION("IFERROR(VALUE(REGEXEXTRACT(TO_TEXT($F546), O$1 &amp; ""x(\d+)"")), """")"),1)</f>
        <v>1</v>
      </c>
      <c r="P546" s="9" t="str">
        <f ca="1">IFERROR(__xludf.DUMMYFUNCTION("IFERROR(VALUE(REGEXEXTRACT(TO_TEXT($F546), P$1 &amp; ""x(\d+)"")), """")"),"")</f>
        <v/>
      </c>
      <c r="Q546" s="9" t="str">
        <f ca="1">IFERROR(__xludf.DUMMYFUNCTION("IFERROR(VALUE(REGEXEXTRACT(TO_TEXT($F546), Q$1 &amp; ""x(\d+)"")), """")"),"")</f>
        <v/>
      </c>
      <c r="R546" s="9" t="str">
        <f ca="1">IFERROR(__xludf.DUMMYFUNCTION("IFERROR(VALUE(REGEXEXTRACT(TO_TEXT($F546), R$1 &amp; ""x(\d+)"")), """")"),"")</f>
        <v/>
      </c>
      <c r="S546" s="9">
        <f ca="1">IFERROR(__xludf.DUMMYFUNCTION("IFERROR(VALUE(REGEXEXTRACT(TO_TEXT($F546), S$1 &amp; ""x(\d+)"")), """")"),1)</f>
        <v>1</v>
      </c>
      <c r="T546" s="9" t="str">
        <f ca="1">IFERROR(__xludf.DUMMYFUNCTION("IFERROR(VALUE(REGEXEXTRACT(TO_TEXT($F546), T$1 &amp; ""x(\d+)"")), """")"),"")</f>
        <v/>
      </c>
      <c r="U546" s="9" t="str">
        <f ca="1">IFERROR(__xludf.DUMMYFUNCTION("IFERROR(VALUE(REGEXEXTRACT(TO_TEXT($F546), U$1 &amp; ""x(\d+)"")), """")"),"")</f>
        <v/>
      </c>
      <c r="V546" s="9" t="str">
        <f ca="1">IFERROR(__xludf.DUMMYFUNCTION("IFERROR(VALUE(REGEXEXTRACT(TO_TEXT($F546), V$1 &amp; ""x(\d+)"")), """")"),"")</f>
        <v/>
      </c>
      <c r="W546" s="9"/>
      <c r="X546" s="9"/>
      <c r="Y546" s="9"/>
      <c r="Z546" s="9"/>
    </row>
    <row r="547" spans="1:26" ht="15.75" customHeight="1">
      <c r="A547" s="9" t="s">
        <v>207</v>
      </c>
      <c r="B547" s="9" t="s">
        <v>1628</v>
      </c>
      <c r="C547" s="9" t="s">
        <v>208</v>
      </c>
      <c r="D547" s="9" t="s">
        <v>33</v>
      </c>
      <c r="E547" s="9" t="s">
        <v>11</v>
      </c>
      <c r="F547" s="9" t="s">
        <v>1629</v>
      </c>
      <c r="G547" s="9">
        <v>90</v>
      </c>
      <c r="H547" s="9">
        <v>3</v>
      </c>
      <c r="I547" s="9">
        <v>1.0149999999999999</v>
      </c>
      <c r="J547" s="9">
        <v>100</v>
      </c>
      <c r="K547" s="9" t="s">
        <v>442</v>
      </c>
      <c r="L547" s="9"/>
      <c r="M547" s="9"/>
      <c r="N547" s="9" t="str">
        <f ca="1">IFERROR(__xludf.DUMMYFUNCTION("IFERROR(VALUE(REGEXEXTRACT(TO_TEXT($F547), N$1 &amp; ""x(\d+)"")), """")
"),"")</f>
        <v/>
      </c>
      <c r="O547" s="9">
        <f ca="1">IFERROR(__xludf.DUMMYFUNCTION("IFERROR(VALUE(REGEXEXTRACT(TO_TEXT($F547), O$1 &amp; ""x(\d+)"")), """")"),1)</f>
        <v>1</v>
      </c>
      <c r="P547" s="9" t="str">
        <f ca="1">IFERROR(__xludf.DUMMYFUNCTION("IFERROR(VALUE(REGEXEXTRACT(TO_TEXT($F547), P$1 &amp; ""x(\d+)"")), """")"),"")</f>
        <v/>
      </c>
      <c r="Q547" s="9" t="str">
        <f ca="1">IFERROR(__xludf.DUMMYFUNCTION("IFERROR(VALUE(REGEXEXTRACT(TO_TEXT($F547), Q$1 &amp; ""x(\d+)"")), """")"),"")</f>
        <v/>
      </c>
      <c r="R547" s="9" t="str">
        <f ca="1">IFERROR(__xludf.DUMMYFUNCTION("IFERROR(VALUE(REGEXEXTRACT(TO_TEXT($F547), R$1 &amp; ""x(\d+)"")), """")"),"")</f>
        <v/>
      </c>
      <c r="S547" s="9" t="str">
        <f ca="1">IFERROR(__xludf.DUMMYFUNCTION("IFERROR(VALUE(REGEXEXTRACT(TO_TEXT($F547), S$1 &amp; ""x(\d+)"")), """")"),"")</f>
        <v/>
      </c>
      <c r="T547" s="9" t="str">
        <f ca="1">IFERROR(__xludf.DUMMYFUNCTION("IFERROR(VALUE(REGEXEXTRACT(TO_TEXT($F547), T$1 &amp; ""x(\d+)"")), """")"),"")</f>
        <v/>
      </c>
      <c r="U547" s="9" t="str">
        <f ca="1">IFERROR(__xludf.DUMMYFUNCTION("IFERROR(VALUE(REGEXEXTRACT(TO_TEXT($F547), U$1 &amp; ""x(\d+)"")), """")"),"")</f>
        <v/>
      </c>
      <c r="V547" s="9" t="str">
        <f ca="1">IFERROR(__xludf.DUMMYFUNCTION("IFERROR(VALUE(REGEXEXTRACT(TO_TEXT($F547), V$1 &amp; ""x(\d+)"")), """")"),"")</f>
        <v/>
      </c>
      <c r="W547" s="9"/>
      <c r="X547" s="9"/>
      <c r="Y547" s="9"/>
      <c r="Z547" s="9"/>
    </row>
    <row r="548" spans="1:26" ht="15.75" customHeight="1">
      <c r="A548" s="9" t="s">
        <v>207</v>
      </c>
      <c r="B548" s="9" t="s">
        <v>1628</v>
      </c>
      <c r="C548" s="9" t="s">
        <v>208</v>
      </c>
      <c r="D548" s="9" t="s">
        <v>33</v>
      </c>
      <c r="E548" s="9" t="s">
        <v>12</v>
      </c>
      <c r="F548" s="9" t="s">
        <v>1630</v>
      </c>
      <c r="G548" s="9">
        <v>50</v>
      </c>
      <c r="H548" s="9">
        <v>3</v>
      </c>
      <c r="I548" s="9">
        <v>1.0149999999999999</v>
      </c>
      <c r="J548" s="9">
        <v>100</v>
      </c>
      <c r="K548" s="9" t="s">
        <v>442</v>
      </c>
      <c r="L548" s="9"/>
      <c r="M548" s="9"/>
      <c r="N548" s="9" t="str">
        <f ca="1">IFERROR(__xludf.DUMMYFUNCTION("IFERROR(VALUE(REGEXEXTRACT(TO_TEXT($F548), N$1 &amp; ""x(\d+)"")), """")
"),"")</f>
        <v/>
      </c>
      <c r="O548" s="9">
        <f ca="1">IFERROR(__xludf.DUMMYFUNCTION("IFERROR(VALUE(REGEXEXTRACT(TO_TEXT($F548), O$1 &amp; ""x(\d+)"")), """")"),1)</f>
        <v>1</v>
      </c>
      <c r="P548" s="9" t="str">
        <f ca="1">IFERROR(__xludf.DUMMYFUNCTION("IFERROR(VALUE(REGEXEXTRACT(TO_TEXT($F548), P$1 &amp; ""x(\d+)"")), """")"),"")</f>
        <v/>
      </c>
      <c r="Q548" s="9" t="str">
        <f ca="1">IFERROR(__xludf.DUMMYFUNCTION("IFERROR(VALUE(REGEXEXTRACT(TO_TEXT($F548), Q$1 &amp; ""x(\d+)"")), """")"),"")</f>
        <v/>
      </c>
      <c r="R548" s="9" t="str">
        <f ca="1">IFERROR(__xludf.DUMMYFUNCTION("IFERROR(VALUE(REGEXEXTRACT(TO_TEXT($F548), R$1 &amp; ""x(\d+)"")), """")"),"")</f>
        <v/>
      </c>
      <c r="S548" s="9" t="str">
        <f ca="1">IFERROR(__xludf.DUMMYFUNCTION("IFERROR(VALUE(REGEXEXTRACT(TO_TEXT($F548), S$1 &amp; ""x(\d+)"")), """")"),"")</f>
        <v/>
      </c>
      <c r="T548" s="9" t="str">
        <f ca="1">IFERROR(__xludf.DUMMYFUNCTION("IFERROR(VALUE(REGEXEXTRACT(TO_TEXT($F548), T$1 &amp; ""x(\d+)"")), """")"),"")</f>
        <v/>
      </c>
      <c r="U548" s="9" t="str">
        <f ca="1">IFERROR(__xludf.DUMMYFUNCTION("IFERROR(VALUE(REGEXEXTRACT(TO_TEXT($F548), U$1 &amp; ""x(\d+)"")), """")"),"")</f>
        <v/>
      </c>
      <c r="V548" s="9" t="str">
        <f ca="1">IFERROR(__xludf.DUMMYFUNCTION("IFERROR(VALUE(REGEXEXTRACT(TO_TEXT($F548), V$1 &amp; ""x(\d+)"")), """")"),"")</f>
        <v/>
      </c>
      <c r="W548" s="9"/>
      <c r="X548" s="9"/>
      <c r="Y548" s="9"/>
      <c r="Z548" s="9"/>
    </row>
    <row r="549" spans="1:26" ht="15.75" customHeight="1">
      <c r="A549" s="9" t="s">
        <v>207</v>
      </c>
      <c r="B549" s="9" t="s">
        <v>1628</v>
      </c>
      <c r="C549" s="9" t="s">
        <v>208</v>
      </c>
      <c r="D549" s="9" t="s">
        <v>33</v>
      </c>
      <c r="E549" s="9" t="s">
        <v>13</v>
      </c>
      <c r="F549" s="9" t="s">
        <v>1193</v>
      </c>
      <c r="G549" s="9">
        <v>10</v>
      </c>
      <c r="H549" s="9">
        <v>3</v>
      </c>
      <c r="I549" s="9">
        <v>1.0149999999999999</v>
      </c>
      <c r="J549" s="9">
        <v>100</v>
      </c>
      <c r="K549" s="9" t="s">
        <v>442</v>
      </c>
      <c r="L549" s="9"/>
      <c r="M549" s="9"/>
      <c r="N549" s="9" t="str">
        <f ca="1">IFERROR(__xludf.DUMMYFUNCTION("IFERROR(VALUE(REGEXEXTRACT(TO_TEXT($F549), N$1 &amp; ""x(\d+)"")), """")
"),"")</f>
        <v/>
      </c>
      <c r="O549" s="9">
        <f ca="1">IFERROR(__xludf.DUMMYFUNCTION("IFERROR(VALUE(REGEXEXTRACT(TO_TEXT($F549), O$1 &amp; ""x(\d+)"")), """")"),1)</f>
        <v>1</v>
      </c>
      <c r="P549" s="9" t="str">
        <f ca="1">IFERROR(__xludf.DUMMYFUNCTION("IFERROR(VALUE(REGEXEXTRACT(TO_TEXT($F549), P$1 &amp; ""x(\d+)"")), """")"),"")</f>
        <v/>
      </c>
      <c r="Q549" s="9" t="str">
        <f ca="1">IFERROR(__xludf.DUMMYFUNCTION("IFERROR(VALUE(REGEXEXTRACT(TO_TEXT($F549), Q$1 &amp; ""x(\d+)"")), """")"),"")</f>
        <v/>
      </c>
      <c r="R549" s="9" t="str">
        <f ca="1">IFERROR(__xludf.DUMMYFUNCTION("IFERROR(VALUE(REGEXEXTRACT(TO_TEXT($F549), R$1 &amp; ""x(\d+)"")), """")"),"")</f>
        <v/>
      </c>
      <c r="S549" s="9" t="str">
        <f ca="1">IFERROR(__xludf.DUMMYFUNCTION("IFERROR(VALUE(REGEXEXTRACT(TO_TEXT($F549), S$1 &amp; ""x(\d+)"")), """")"),"")</f>
        <v/>
      </c>
      <c r="T549" s="9" t="str">
        <f ca="1">IFERROR(__xludf.DUMMYFUNCTION("IFERROR(VALUE(REGEXEXTRACT(TO_TEXT($F549), T$1 &amp; ""x(\d+)"")), """")"),"")</f>
        <v/>
      </c>
      <c r="U549" s="9" t="str">
        <f ca="1">IFERROR(__xludf.DUMMYFUNCTION("IFERROR(VALUE(REGEXEXTRACT(TO_TEXT($F549), U$1 &amp; ""x(\d+)"")), """")"),"")</f>
        <v/>
      </c>
      <c r="V549" s="9" t="str">
        <f ca="1">IFERROR(__xludf.DUMMYFUNCTION("IFERROR(VALUE(REGEXEXTRACT(TO_TEXT($F549), V$1 &amp; ""x(\d+)"")), """")"),"")</f>
        <v/>
      </c>
      <c r="W549" s="9"/>
      <c r="X549" s="9"/>
      <c r="Y549" s="9"/>
      <c r="Z549" s="9"/>
    </row>
    <row r="550" spans="1:26" ht="15.75" hidden="1" customHeight="1">
      <c r="A550" s="9" t="s">
        <v>210</v>
      </c>
      <c r="B550" s="9" t="s">
        <v>1631</v>
      </c>
      <c r="C550" s="9" t="s">
        <v>211</v>
      </c>
      <c r="D550" s="9" t="s">
        <v>48</v>
      </c>
      <c r="E550" s="9" t="s">
        <v>11</v>
      </c>
      <c r="F550" s="9" t="s">
        <v>1301</v>
      </c>
      <c r="G550" s="9">
        <v>30</v>
      </c>
      <c r="H550" s="9">
        <v>5</v>
      </c>
      <c r="I550" s="9">
        <v>1.0149999999999999</v>
      </c>
      <c r="J550" s="9">
        <v>52</v>
      </c>
      <c r="K550" s="9" t="s">
        <v>424</v>
      </c>
      <c r="L550" s="9"/>
      <c r="M550" s="9"/>
      <c r="N550" s="9" t="str">
        <f ca="1">IFERROR(__xludf.DUMMYFUNCTION("IFERROR(VALUE(REGEXEXTRACT(TO_TEXT($F550), N$1 &amp; ""x(\d+)"")), """")
"),"")</f>
        <v/>
      </c>
      <c r="O550" s="9" t="str">
        <f ca="1">IFERROR(__xludf.DUMMYFUNCTION("IFERROR(VALUE(REGEXEXTRACT(TO_TEXT($F550), O$1 &amp; ""x(\d+)"")), """")"),"")</f>
        <v/>
      </c>
      <c r="P550" s="9" t="str">
        <f ca="1">IFERROR(__xludf.DUMMYFUNCTION("IFERROR(VALUE(REGEXEXTRACT(TO_TEXT($F550), P$1 &amp; ""x(\d+)"")), """")"),"")</f>
        <v/>
      </c>
      <c r="Q550" s="9" t="str">
        <f ca="1">IFERROR(__xludf.DUMMYFUNCTION("IFERROR(VALUE(REGEXEXTRACT(TO_TEXT($F550), Q$1 &amp; ""x(\d+)"")), """")"),"")</f>
        <v/>
      </c>
      <c r="R550" s="9" t="str">
        <f ca="1">IFERROR(__xludf.DUMMYFUNCTION("IFERROR(VALUE(REGEXEXTRACT(TO_TEXT($F550), R$1 &amp; ""x(\d+)"")), """")"),"")</f>
        <v/>
      </c>
      <c r="S550" s="9" t="str">
        <f ca="1">IFERROR(__xludf.DUMMYFUNCTION("IFERROR(VALUE(REGEXEXTRACT(TO_TEXT($F550), S$1 &amp; ""x(\d+)"")), """")"),"")</f>
        <v/>
      </c>
      <c r="T550" s="9" t="str">
        <f ca="1">IFERROR(__xludf.DUMMYFUNCTION("IFERROR(VALUE(REGEXEXTRACT(TO_TEXT($F550), T$1 &amp; ""x(\d+)"")), """")"),"")</f>
        <v/>
      </c>
      <c r="U550" s="9" t="str">
        <f ca="1">IFERROR(__xludf.DUMMYFUNCTION("IFERROR(VALUE(REGEXEXTRACT(TO_TEXT($F550), U$1 &amp; ""x(\d+)"")), """")"),"")</f>
        <v/>
      </c>
      <c r="V550" s="9" t="str">
        <f ca="1">IFERROR(__xludf.DUMMYFUNCTION("IFERROR(VALUE(REGEXEXTRACT(TO_TEXT($F550), V$1 &amp; ""x(\d+)"")), """")"),"")</f>
        <v/>
      </c>
      <c r="W550" s="9"/>
      <c r="X550" s="9"/>
      <c r="Y550" s="9"/>
      <c r="Z550" s="9"/>
    </row>
    <row r="551" spans="1:26" ht="15.75" hidden="1" customHeight="1">
      <c r="A551" s="9" t="s">
        <v>210</v>
      </c>
      <c r="B551" s="9" t="s">
        <v>1631</v>
      </c>
      <c r="C551" s="9" t="s">
        <v>211</v>
      </c>
      <c r="D551" s="9" t="s">
        <v>48</v>
      </c>
      <c r="E551" s="9" t="s">
        <v>12</v>
      </c>
      <c r="F551" s="9" t="s">
        <v>1632</v>
      </c>
      <c r="G551" s="9">
        <v>155</v>
      </c>
      <c r="H551" s="9">
        <v>5</v>
      </c>
      <c r="I551" s="9">
        <v>1.0149999999999999</v>
      </c>
      <c r="J551" s="9">
        <v>52</v>
      </c>
      <c r="K551" s="9" t="s">
        <v>424</v>
      </c>
      <c r="L551" s="9" t="s">
        <v>1633</v>
      </c>
      <c r="M551" s="9"/>
      <c r="N551" s="9" t="str">
        <f ca="1">IFERROR(__xludf.DUMMYFUNCTION("IFERROR(VALUE(REGEXEXTRACT(TO_TEXT($F551), N$1 &amp; ""x(\d+)"")), """")
"),"")</f>
        <v/>
      </c>
      <c r="O551" s="9" t="str">
        <f ca="1">IFERROR(__xludf.DUMMYFUNCTION("IFERROR(VALUE(REGEXEXTRACT(TO_TEXT($F551), O$1 &amp; ""x(\d+)"")), """")"),"")</f>
        <v/>
      </c>
      <c r="P551" s="9">
        <f ca="1">IFERROR(__xludf.DUMMYFUNCTION("IFERROR(VALUE(REGEXEXTRACT(TO_TEXT($F551), P$1 &amp; ""x(\d+)"")), """")"),1)</f>
        <v>1</v>
      </c>
      <c r="Q551" s="9" t="str">
        <f ca="1">IFERROR(__xludf.DUMMYFUNCTION("IFERROR(VALUE(REGEXEXTRACT(TO_TEXT($F551), Q$1 &amp; ""x(\d+)"")), """")"),"")</f>
        <v/>
      </c>
      <c r="R551" s="9">
        <f ca="1">IFERROR(__xludf.DUMMYFUNCTION("IFERROR(VALUE(REGEXEXTRACT(TO_TEXT($F551), R$1 &amp; ""x(\d+)"")), """")"),1)</f>
        <v>1</v>
      </c>
      <c r="S551" s="9" t="str">
        <f ca="1">IFERROR(__xludf.DUMMYFUNCTION("IFERROR(VALUE(REGEXEXTRACT(TO_TEXT($F551), S$1 &amp; ""x(\d+)"")), """")"),"")</f>
        <v/>
      </c>
      <c r="T551" s="9">
        <f ca="1">IFERROR(__xludf.DUMMYFUNCTION("IFERROR(VALUE(REGEXEXTRACT(TO_TEXT($F551), T$1 &amp; ""x(\d+)"")), """")"),1)</f>
        <v>1</v>
      </c>
      <c r="U551" s="9" t="str">
        <f ca="1">IFERROR(__xludf.DUMMYFUNCTION("IFERROR(VALUE(REGEXEXTRACT(TO_TEXT($F551), U$1 &amp; ""x(\d+)"")), """")"),"")</f>
        <v/>
      </c>
      <c r="V551" s="9" t="str">
        <f ca="1">IFERROR(__xludf.DUMMYFUNCTION("IFERROR(VALUE(REGEXEXTRACT(TO_TEXT($F551), V$1 &amp; ""x(\d+)"")), """")"),"")</f>
        <v/>
      </c>
      <c r="W551" s="9"/>
      <c r="X551" s="9"/>
      <c r="Y551" s="9"/>
      <c r="Z551" s="9"/>
    </row>
    <row r="552" spans="1:26" ht="15.75" hidden="1" customHeight="1">
      <c r="A552" s="9" t="s">
        <v>210</v>
      </c>
      <c r="B552" s="9" t="s">
        <v>1631</v>
      </c>
      <c r="C552" s="9" t="s">
        <v>211</v>
      </c>
      <c r="D552" s="9" t="s">
        <v>48</v>
      </c>
      <c r="E552" s="9" t="s">
        <v>13</v>
      </c>
      <c r="F552" s="9" t="s">
        <v>1634</v>
      </c>
      <c r="G552" s="9">
        <v>40</v>
      </c>
      <c r="H552" s="9">
        <v>5</v>
      </c>
      <c r="I552" s="9">
        <v>1.0149999999999999</v>
      </c>
      <c r="J552" s="9">
        <v>52</v>
      </c>
      <c r="K552" s="9" t="s">
        <v>424</v>
      </c>
      <c r="L552" s="9"/>
      <c r="M552" s="9"/>
      <c r="N552" s="9" t="str">
        <f ca="1">IFERROR(__xludf.DUMMYFUNCTION("IFERROR(VALUE(REGEXEXTRACT(TO_TEXT($F552), N$1 &amp; ""x(\d+)"")), """")
"),"")</f>
        <v/>
      </c>
      <c r="O552" s="9" t="str">
        <f ca="1">IFERROR(__xludf.DUMMYFUNCTION("IFERROR(VALUE(REGEXEXTRACT(TO_TEXT($F552), O$1 &amp; ""x(\d+)"")), """")"),"")</f>
        <v/>
      </c>
      <c r="P552" s="9">
        <f ca="1">IFERROR(__xludf.DUMMYFUNCTION("IFERROR(VALUE(REGEXEXTRACT(TO_TEXT($F552), P$1 &amp; ""x(\d+)"")), """")"),1)</f>
        <v>1</v>
      </c>
      <c r="Q552" s="9" t="str">
        <f ca="1">IFERROR(__xludf.DUMMYFUNCTION("IFERROR(VALUE(REGEXEXTRACT(TO_TEXT($F552), Q$1 &amp; ""x(\d+)"")), """")"),"")</f>
        <v/>
      </c>
      <c r="R552" s="9">
        <f ca="1">IFERROR(__xludf.DUMMYFUNCTION("IFERROR(VALUE(REGEXEXTRACT(TO_TEXT($F552), R$1 &amp; ""x(\d+)"")), """")"),1)</f>
        <v>1</v>
      </c>
      <c r="S552" s="9" t="str">
        <f ca="1">IFERROR(__xludf.DUMMYFUNCTION("IFERROR(VALUE(REGEXEXTRACT(TO_TEXT($F552), S$1 &amp; ""x(\d+)"")), """")"),"")</f>
        <v/>
      </c>
      <c r="T552" s="9">
        <f ca="1">IFERROR(__xludf.DUMMYFUNCTION("IFERROR(VALUE(REGEXEXTRACT(TO_TEXT($F552), T$1 &amp; ""x(\d+)"")), """")"),1)</f>
        <v>1</v>
      </c>
      <c r="U552" s="9" t="str">
        <f ca="1">IFERROR(__xludf.DUMMYFUNCTION("IFERROR(VALUE(REGEXEXTRACT(TO_TEXT($F552), U$1 &amp; ""x(\d+)"")), """")"),"")</f>
        <v/>
      </c>
      <c r="V552" s="9" t="str">
        <f ca="1">IFERROR(__xludf.DUMMYFUNCTION("IFERROR(VALUE(REGEXEXTRACT(TO_TEXT($F552), V$1 &amp; ""x(\d+)"")), """")"),"")</f>
        <v/>
      </c>
      <c r="W552" s="9"/>
      <c r="X552" s="9"/>
      <c r="Y552" s="9"/>
      <c r="Z552" s="9"/>
    </row>
    <row r="553" spans="1:26" ht="15.75" hidden="1" customHeight="1">
      <c r="A553" s="9" t="s">
        <v>213</v>
      </c>
      <c r="B553" s="9" t="s">
        <v>1635</v>
      </c>
      <c r="C553" s="9" t="s">
        <v>214</v>
      </c>
      <c r="D553" s="9" t="s">
        <v>40</v>
      </c>
      <c r="E553" s="9" t="s">
        <v>11</v>
      </c>
      <c r="F553" s="9" t="s">
        <v>1180</v>
      </c>
      <c r="G553" s="9">
        <v>25</v>
      </c>
      <c r="H553" s="9">
        <v>4</v>
      </c>
      <c r="I553" s="9">
        <v>1.0149999999999999</v>
      </c>
      <c r="J553" s="9">
        <v>400</v>
      </c>
      <c r="K553" s="9" t="s">
        <v>442</v>
      </c>
      <c r="L553" s="9"/>
      <c r="M553" s="9"/>
      <c r="N553" s="9" t="str">
        <f ca="1">IFERROR(__xludf.DUMMYFUNCTION("IFERROR(VALUE(REGEXEXTRACT(TO_TEXT($F553), N$1 &amp; ""x(\d+)"")), """")
"),"")</f>
        <v/>
      </c>
      <c r="O553" s="9" t="str">
        <f ca="1">IFERROR(__xludf.DUMMYFUNCTION("IFERROR(VALUE(REGEXEXTRACT(TO_TEXT($F553), O$1 &amp; ""x(\d+)"")), """")"),"")</f>
        <v/>
      </c>
      <c r="P553" s="9" t="str">
        <f ca="1">IFERROR(__xludf.DUMMYFUNCTION("IFERROR(VALUE(REGEXEXTRACT(TO_TEXT($F553), P$1 &amp; ""x(\d+)"")), """")"),"")</f>
        <v/>
      </c>
      <c r="Q553" s="9" t="str">
        <f ca="1">IFERROR(__xludf.DUMMYFUNCTION("IFERROR(VALUE(REGEXEXTRACT(TO_TEXT($F553), Q$1 &amp; ""x(\d+)"")), """")"),"")</f>
        <v/>
      </c>
      <c r="R553" s="9" t="str">
        <f ca="1">IFERROR(__xludf.DUMMYFUNCTION("IFERROR(VALUE(REGEXEXTRACT(TO_TEXT($F553), R$1 &amp; ""x(\d+)"")), """")"),"")</f>
        <v/>
      </c>
      <c r="S553" s="9" t="str">
        <f ca="1">IFERROR(__xludf.DUMMYFUNCTION("IFERROR(VALUE(REGEXEXTRACT(TO_TEXT($F553), S$1 &amp; ""x(\d+)"")), """")"),"")</f>
        <v/>
      </c>
      <c r="T553" s="9" t="str">
        <f ca="1">IFERROR(__xludf.DUMMYFUNCTION("IFERROR(VALUE(REGEXEXTRACT(TO_TEXT($F553), T$1 &amp; ""x(\d+)"")), """")"),"")</f>
        <v/>
      </c>
      <c r="U553" s="9" t="str">
        <f ca="1">IFERROR(__xludf.DUMMYFUNCTION("IFERROR(VALUE(REGEXEXTRACT(TO_TEXT($F553), U$1 &amp; ""x(\d+)"")), """")"),"")</f>
        <v/>
      </c>
      <c r="V553" s="9" t="str">
        <f ca="1">IFERROR(__xludf.DUMMYFUNCTION("IFERROR(VALUE(REGEXEXTRACT(TO_TEXT($F553), V$1 &amp; ""x(\d+)"")), """")"),"")</f>
        <v/>
      </c>
      <c r="W553" s="9"/>
      <c r="X553" s="9"/>
      <c r="Y553" s="9"/>
      <c r="Z553" s="9"/>
    </row>
    <row r="554" spans="1:26" ht="15.75" hidden="1" customHeight="1">
      <c r="A554" s="9" t="s">
        <v>213</v>
      </c>
      <c r="B554" s="9" t="s">
        <v>1635</v>
      </c>
      <c r="C554" s="9" t="s">
        <v>214</v>
      </c>
      <c r="D554" s="9" t="s">
        <v>40</v>
      </c>
      <c r="E554" s="9" t="s">
        <v>12</v>
      </c>
      <c r="F554" s="9" t="s">
        <v>1636</v>
      </c>
      <c r="G554" s="9">
        <v>115</v>
      </c>
      <c r="H554" s="9">
        <v>4</v>
      </c>
      <c r="I554" s="9">
        <v>1.0149999999999999</v>
      </c>
      <c r="J554" s="9">
        <v>400</v>
      </c>
      <c r="K554" s="9" t="s">
        <v>442</v>
      </c>
      <c r="L554" s="9" t="s">
        <v>1015</v>
      </c>
      <c r="M554" s="9"/>
      <c r="N554" s="9" t="str">
        <f ca="1">IFERROR(__xludf.DUMMYFUNCTION("IFERROR(VALUE(REGEXEXTRACT(TO_TEXT($F554), N$1 &amp; ""x(\d+)"")), """")
"),"")</f>
        <v/>
      </c>
      <c r="O554" s="9" t="str">
        <f ca="1">IFERROR(__xludf.DUMMYFUNCTION("IFERROR(VALUE(REGEXEXTRACT(TO_TEXT($F554), O$1 &amp; ""x(\d+)"")), """")"),"")</f>
        <v/>
      </c>
      <c r="P554" s="9" t="str">
        <f ca="1">IFERROR(__xludf.DUMMYFUNCTION("IFERROR(VALUE(REGEXEXTRACT(TO_TEXT($F554), P$1 &amp; ""x(\d+)"")), """")"),"")</f>
        <v/>
      </c>
      <c r="Q554" s="9" t="str">
        <f ca="1">IFERROR(__xludf.DUMMYFUNCTION("IFERROR(VALUE(REGEXEXTRACT(TO_TEXT($F554), Q$1 &amp; ""x(\d+)"")), """")"),"")</f>
        <v/>
      </c>
      <c r="R554" s="9" t="str">
        <f ca="1">IFERROR(__xludf.DUMMYFUNCTION("IFERROR(VALUE(REGEXEXTRACT(TO_TEXT($F554), R$1 &amp; ""x(\d+)"")), """")"),"")</f>
        <v/>
      </c>
      <c r="S554" s="9">
        <f ca="1">IFERROR(__xludf.DUMMYFUNCTION("IFERROR(VALUE(REGEXEXTRACT(TO_TEXT($F554), S$1 &amp; ""x(\d+)"")), """")"),1)</f>
        <v>1</v>
      </c>
      <c r="T554" s="9" t="str">
        <f ca="1">IFERROR(__xludf.DUMMYFUNCTION("IFERROR(VALUE(REGEXEXTRACT(TO_TEXT($F554), T$1 &amp; ""x(\d+)"")), """")"),"")</f>
        <v/>
      </c>
      <c r="U554" s="9" t="str">
        <f ca="1">IFERROR(__xludf.DUMMYFUNCTION("IFERROR(VALUE(REGEXEXTRACT(TO_TEXT($F554), U$1 &amp; ""x(\d+)"")), """")"),"")</f>
        <v/>
      </c>
      <c r="V554" s="9" t="str">
        <f ca="1">IFERROR(__xludf.DUMMYFUNCTION("IFERROR(VALUE(REGEXEXTRACT(TO_TEXT($F554), V$1 &amp; ""x(\d+)"")), """")"),"")</f>
        <v/>
      </c>
      <c r="W554" s="9"/>
      <c r="X554" s="9"/>
      <c r="Y554" s="9"/>
      <c r="Z554" s="9"/>
    </row>
    <row r="555" spans="1:26" ht="15.75" hidden="1" customHeight="1">
      <c r="A555" s="9" t="s">
        <v>213</v>
      </c>
      <c r="B555" s="9" t="s">
        <v>1635</v>
      </c>
      <c r="C555" s="9" t="s">
        <v>214</v>
      </c>
      <c r="D555" s="9" t="s">
        <v>40</v>
      </c>
      <c r="E555" s="9" t="s">
        <v>13</v>
      </c>
      <c r="F555" s="9" t="s">
        <v>1133</v>
      </c>
      <c r="G555" s="9">
        <v>30</v>
      </c>
      <c r="H555" s="9">
        <v>4</v>
      </c>
      <c r="I555" s="9">
        <v>1.0149999999999999</v>
      </c>
      <c r="J555" s="9">
        <v>400</v>
      </c>
      <c r="K555" s="9" t="s">
        <v>442</v>
      </c>
      <c r="L555" s="9"/>
      <c r="M555" s="9"/>
      <c r="N555" s="9" t="str">
        <f ca="1">IFERROR(__xludf.DUMMYFUNCTION("IFERROR(VALUE(REGEXEXTRACT(TO_TEXT($F555), N$1 &amp; ""x(\d+)"")), """")
"),"")</f>
        <v/>
      </c>
      <c r="O555" s="9" t="str">
        <f ca="1">IFERROR(__xludf.DUMMYFUNCTION("IFERROR(VALUE(REGEXEXTRACT(TO_TEXT($F555), O$1 &amp; ""x(\d+)"")), """")"),"")</f>
        <v/>
      </c>
      <c r="P555" s="9" t="str">
        <f ca="1">IFERROR(__xludf.DUMMYFUNCTION("IFERROR(VALUE(REGEXEXTRACT(TO_TEXT($F555), P$1 &amp; ""x(\d+)"")), """")"),"")</f>
        <v/>
      </c>
      <c r="Q555" s="9" t="str">
        <f ca="1">IFERROR(__xludf.DUMMYFUNCTION("IFERROR(VALUE(REGEXEXTRACT(TO_TEXT($F555), Q$1 &amp; ""x(\d+)"")), """")"),"")</f>
        <v/>
      </c>
      <c r="R555" s="9" t="str">
        <f ca="1">IFERROR(__xludf.DUMMYFUNCTION("IFERROR(VALUE(REGEXEXTRACT(TO_TEXT($F555), R$1 &amp; ""x(\d+)"")), """")"),"")</f>
        <v/>
      </c>
      <c r="S555" s="9">
        <f ca="1">IFERROR(__xludf.DUMMYFUNCTION("IFERROR(VALUE(REGEXEXTRACT(TO_TEXT($F555), S$1 &amp; ""x(\d+)"")), """")"),1)</f>
        <v>1</v>
      </c>
      <c r="T555" s="9" t="str">
        <f ca="1">IFERROR(__xludf.DUMMYFUNCTION("IFERROR(VALUE(REGEXEXTRACT(TO_TEXT($F555), T$1 &amp; ""x(\d+)"")), """")"),"")</f>
        <v/>
      </c>
      <c r="U555" s="9" t="str">
        <f ca="1">IFERROR(__xludf.DUMMYFUNCTION("IFERROR(VALUE(REGEXEXTRACT(TO_TEXT($F555), U$1 &amp; ""x(\d+)"")), """")"),"")</f>
        <v/>
      </c>
      <c r="V555" s="9" t="str">
        <f ca="1">IFERROR(__xludf.DUMMYFUNCTION("IFERROR(VALUE(REGEXEXTRACT(TO_TEXT($F555), V$1 &amp; ""x(\d+)"")), """")"),"")</f>
        <v/>
      </c>
      <c r="W555" s="9"/>
      <c r="X555" s="9"/>
      <c r="Y555" s="9"/>
      <c r="Z555" s="9"/>
    </row>
    <row r="556" spans="1:26" ht="15.75" hidden="1" customHeight="1">
      <c r="A556" s="9" t="s">
        <v>198</v>
      </c>
      <c r="B556" s="9" t="s">
        <v>1637</v>
      </c>
      <c r="C556" s="9" t="s">
        <v>199</v>
      </c>
      <c r="D556" s="9" t="s">
        <v>40</v>
      </c>
      <c r="E556" s="9" t="s">
        <v>12</v>
      </c>
      <c r="F556" s="9" t="s">
        <v>1386</v>
      </c>
      <c r="G556" s="9">
        <v>315</v>
      </c>
      <c r="H556" s="9">
        <v>1</v>
      </c>
      <c r="I556" s="9">
        <v>1.0149999999999999</v>
      </c>
      <c r="J556" s="9">
        <v>412</v>
      </c>
      <c r="K556" s="9" t="s">
        <v>442</v>
      </c>
      <c r="L556" s="9"/>
      <c r="M556" s="9"/>
      <c r="N556" s="9" t="str">
        <f ca="1">IFERROR(__xludf.DUMMYFUNCTION("IFERROR(VALUE(REGEXEXTRACT(TO_TEXT($F556), N$1 &amp; ""x(\d+)"")), """")
"),"")</f>
        <v/>
      </c>
      <c r="O556" s="9">
        <f ca="1">IFERROR(__xludf.DUMMYFUNCTION("IFERROR(VALUE(REGEXEXTRACT(TO_TEXT($F556), O$1 &amp; ""x(\d+)"")), """")"),1)</f>
        <v>1</v>
      </c>
      <c r="P556" s="9" t="str">
        <f ca="1">IFERROR(__xludf.DUMMYFUNCTION("IFERROR(VALUE(REGEXEXTRACT(TO_TEXT($F556), P$1 &amp; ""x(\d+)"")), """")"),"")</f>
        <v/>
      </c>
      <c r="Q556" s="9" t="str">
        <f ca="1">IFERROR(__xludf.DUMMYFUNCTION("IFERROR(VALUE(REGEXEXTRACT(TO_TEXT($F556), Q$1 &amp; ""x(\d+)"")), """")"),"")</f>
        <v/>
      </c>
      <c r="R556" s="9" t="str">
        <f ca="1">IFERROR(__xludf.DUMMYFUNCTION("IFERROR(VALUE(REGEXEXTRACT(TO_TEXT($F556), R$1 &amp; ""x(\d+)"")), """")"),"")</f>
        <v/>
      </c>
      <c r="S556" s="9" t="str">
        <f ca="1">IFERROR(__xludf.DUMMYFUNCTION("IFERROR(VALUE(REGEXEXTRACT(TO_TEXT($F556), S$1 &amp; ""x(\d+)"")), """")"),"")</f>
        <v/>
      </c>
      <c r="T556" s="9">
        <f ca="1">IFERROR(__xludf.DUMMYFUNCTION("IFERROR(VALUE(REGEXEXTRACT(TO_TEXT($F556), T$1 &amp; ""x(\d+)"")), """")"),1)</f>
        <v>1</v>
      </c>
      <c r="U556" s="9" t="str">
        <f ca="1">IFERROR(__xludf.DUMMYFUNCTION("IFERROR(VALUE(REGEXEXTRACT(TO_TEXT($F556), U$1 &amp; ""x(\d+)"")), """")"),"")</f>
        <v/>
      </c>
      <c r="V556" s="9" t="str">
        <f ca="1">IFERROR(__xludf.DUMMYFUNCTION("IFERROR(VALUE(REGEXEXTRACT(TO_TEXT($F556), V$1 &amp; ""x(\d+)"")), """")"),"")</f>
        <v/>
      </c>
      <c r="W556" s="9"/>
      <c r="X556" s="9"/>
      <c r="Y556" s="9"/>
      <c r="Z556" s="9"/>
    </row>
    <row r="557" spans="1:26" ht="15.75" hidden="1" customHeight="1">
      <c r="A557" s="9" t="s">
        <v>198</v>
      </c>
      <c r="B557" s="9" t="s">
        <v>1637</v>
      </c>
      <c r="C557" s="9" t="s">
        <v>199</v>
      </c>
      <c r="D557" s="9" t="s">
        <v>40</v>
      </c>
      <c r="E557" s="9" t="s">
        <v>13</v>
      </c>
      <c r="F557" s="9" t="s">
        <v>1387</v>
      </c>
      <c r="G557" s="9">
        <v>30</v>
      </c>
      <c r="H557" s="9">
        <v>1</v>
      </c>
      <c r="I557" s="9">
        <v>1.0149999999999999</v>
      </c>
      <c r="J557" s="9">
        <v>412</v>
      </c>
      <c r="K557" s="9" t="s">
        <v>442</v>
      </c>
      <c r="L557" s="9"/>
      <c r="M557" s="9"/>
      <c r="N557" s="9" t="str">
        <f ca="1">IFERROR(__xludf.DUMMYFUNCTION("IFERROR(VALUE(REGEXEXTRACT(TO_TEXT($F557), N$1 &amp; ""x(\d+)"")), """")
"),"")</f>
        <v/>
      </c>
      <c r="O557" s="9">
        <f ca="1">IFERROR(__xludf.DUMMYFUNCTION("IFERROR(VALUE(REGEXEXTRACT(TO_TEXT($F557), O$1 &amp; ""x(\d+)"")), """")"),1)</f>
        <v>1</v>
      </c>
      <c r="P557" s="9" t="str">
        <f ca="1">IFERROR(__xludf.DUMMYFUNCTION("IFERROR(VALUE(REGEXEXTRACT(TO_TEXT($F557), P$1 &amp; ""x(\d+)"")), """")"),"")</f>
        <v/>
      </c>
      <c r="Q557" s="9" t="str">
        <f ca="1">IFERROR(__xludf.DUMMYFUNCTION("IFERROR(VALUE(REGEXEXTRACT(TO_TEXT($F557), Q$1 &amp; ""x(\d+)"")), """")"),"")</f>
        <v/>
      </c>
      <c r="R557" s="9" t="str">
        <f ca="1">IFERROR(__xludf.DUMMYFUNCTION("IFERROR(VALUE(REGEXEXTRACT(TO_TEXT($F557), R$1 &amp; ""x(\d+)"")), """")"),"")</f>
        <v/>
      </c>
      <c r="S557" s="9" t="str">
        <f ca="1">IFERROR(__xludf.DUMMYFUNCTION("IFERROR(VALUE(REGEXEXTRACT(TO_TEXT($F557), S$1 &amp; ""x(\d+)"")), """")"),"")</f>
        <v/>
      </c>
      <c r="T557" s="9">
        <f ca="1">IFERROR(__xludf.DUMMYFUNCTION("IFERROR(VALUE(REGEXEXTRACT(TO_TEXT($F557), T$1 &amp; ""x(\d+)"")), """")"),1)</f>
        <v>1</v>
      </c>
      <c r="U557" s="9" t="str">
        <f ca="1">IFERROR(__xludf.DUMMYFUNCTION("IFERROR(VALUE(REGEXEXTRACT(TO_TEXT($F557), U$1 &amp; ""x(\d+)"")), """")"),"")</f>
        <v/>
      </c>
      <c r="V557" s="9" t="str">
        <f ca="1">IFERROR(__xludf.DUMMYFUNCTION("IFERROR(VALUE(REGEXEXTRACT(TO_TEXT($F557), V$1 &amp; ""x(\d+)"")), """")"),"")</f>
        <v/>
      </c>
      <c r="W557" s="9"/>
      <c r="X557" s="9"/>
      <c r="Y557" s="9"/>
      <c r="Z557" s="9"/>
    </row>
    <row r="558" spans="1:26" ht="15.75" customHeight="1">
      <c r="A558" s="9" t="s">
        <v>184</v>
      </c>
      <c r="B558" s="9" t="s">
        <v>1638</v>
      </c>
      <c r="C558" s="9" t="s">
        <v>185</v>
      </c>
      <c r="D558" s="9" t="s">
        <v>33</v>
      </c>
      <c r="E558" s="9" t="s">
        <v>12</v>
      </c>
      <c r="F558" s="9" t="s">
        <v>1639</v>
      </c>
      <c r="G558" s="9">
        <v>190</v>
      </c>
      <c r="H558" s="9">
        <v>2</v>
      </c>
      <c r="I558" s="9">
        <v>1.0149999999999999</v>
      </c>
      <c r="J558" s="9">
        <v>18</v>
      </c>
      <c r="K558" s="9" t="s">
        <v>708</v>
      </c>
      <c r="L558" s="9" t="s">
        <v>1640</v>
      </c>
      <c r="M558" s="9"/>
      <c r="N558" s="9" t="str">
        <f ca="1">IFERROR(__xludf.DUMMYFUNCTION("IFERROR(VALUE(REGEXEXTRACT(TO_TEXT($F558), N$1 &amp; ""x(\d+)"")), """")
"),"")</f>
        <v/>
      </c>
      <c r="O558" s="9" t="str">
        <f ca="1">IFERROR(__xludf.DUMMYFUNCTION("IFERROR(VALUE(REGEXEXTRACT(TO_TEXT($F558), O$1 &amp; ""x(\d+)"")), """")"),"")</f>
        <v/>
      </c>
      <c r="P558" s="9" t="str">
        <f ca="1">IFERROR(__xludf.DUMMYFUNCTION("IFERROR(VALUE(REGEXEXTRACT(TO_TEXT($F558), P$1 &amp; ""x(\d+)"")), """")"),"")</f>
        <v/>
      </c>
      <c r="Q558" s="9" t="str">
        <f ca="1">IFERROR(__xludf.DUMMYFUNCTION("IFERROR(VALUE(REGEXEXTRACT(TO_TEXT($F558), Q$1 &amp; ""x(\d+)"")), """")"),"")</f>
        <v/>
      </c>
      <c r="R558" s="9" t="str">
        <f ca="1">IFERROR(__xludf.DUMMYFUNCTION("IFERROR(VALUE(REGEXEXTRACT(TO_TEXT($F558), R$1 &amp; ""x(\d+)"")), """")"),"")</f>
        <v/>
      </c>
      <c r="S558" s="9" t="str">
        <f ca="1">IFERROR(__xludf.DUMMYFUNCTION("IFERROR(VALUE(REGEXEXTRACT(TO_TEXT($F558), S$1 &amp; ""x(\d+)"")), """")"),"")</f>
        <v/>
      </c>
      <c r="T558" s="9" t="str">
        <f ca="1">IFERROR(__xludf.DUMMYFUNCTION("IFERROR(VALUE(REGEXEXTRACT(TO_TEXT($F558), T$1 &amp; ""x(\d+)"")), """")"),"")</f>
        <v/>
      </c>
      <c r="U558" s="9" t="str">
        <f ca="1">IFERROR(__xludf.DUMMYFUNCTION("IFERROR(VALUE(REGEXEXTRACT(TO_TEXT($F558), U$1 &amp; ""x(\d+)"")), """")"),"")</f>
        <v/>
      </c>
      <c r="V558" s="9" t="str">
        <f ca="1">IFERROR(__xludf.DUMMYFUNCTION("IFERROR(VALUE(REGEXEXTRACT(TO_TEXT($F558), V$1 &amp; ""x(\d+)"")), """")"),"")</f>
        <v/>
      </c>
      <c r="W558" s="9"/>
      <c r="X558" s="9"/>
      <c r="Y558" s="9"/>
      <c r="Z558" s="9"/>
    </row>
    <row r="559" spans="1:26" ht="15.75" customHeight="1">
      <c r="A559" s="9" t="s">
        <v>184</v>
      </c>
      <c r="B559" s="9" t="s">
        <v>1638</v>
      </c>
      <c r="C559" s="9" t="s">
        <v>185</v>
      </c>
      <c r="D559" s="9" t="s">
        <v>33</v>
      </c>
      <c r="E559" s="9" t="s">
        <v>13</v>
      </c>
      <c r="F559" s="9" t="s">
        <v>1641</v>
      </c>
      <c r="G559" s="9">
        <v>10</v>
      </c>
      <c r="H559" s="9">
        <v>2</v>
      </c>
      <c r="I559" s="9">
        <v>1.0149999999999999</v>
      </c>
      <c r="J559" s="9">
        <v>18</v>
      </c>
      <c r="K559" s="9" t="s">
        <v>708</v>
      </c>
      <c r="L559" s="9" t="s">
        <v>1640</v>
      </c>
      <c r="M559" s="9"/>
      <c r="N559" s="9" t="str">
        <f ca="1">IFERROR(__xludf.DUMMYFUNCTION("IFERROR(VALUE(REGEXEXTRACT(TO_TEXT($F559), N$1 &amp; ""x(\d+)"")), """")
"),"")</f>
        <v/>
      </c>
      <c r="O559" s="9" t="str">
        <f ca="1">IFERROR(__xludf.DUMMYFUNCTION("IFERROR(VALUE(REGEXEXTRACT(TO_TEXT($F559), O$1 &amp; ""x(\d+)"")), """")"),"")</f>
        <v/>
      </c>
      <c r="P559" s="9" t="str">
        <f ca="1">IFERROR(__xludf.DUMMYFUNCTION("IFERROR(VALUE(REGEXEXTRACT(TO_TEXT($F559), P$1 &amp; ""x(\d+)"")), """")"),"")</f>
        <v/>
      </c>
      <c r="Q559" s="9" t="str">
        <f ca="1">IFERROR(__xludf.DUMMYFUNCTION("IFERROR(VALUE(REGEXEXTRACT(TO_TEXT($F559), Q$1 &amp; ""x(\d+)"")), """")"),"")</f>
        <v/>
      </c>
      <c r="R559" s="9" t="str">
        <f ca="1">IFERROR(__xludf.DUMMYFUNCTION("IFERROR(VALUE(REGEXEXTRACT(TO_TEXT($F559), R$1 &amp; ""x(\d+)"")), """")"),"")</f>
        <v/>
      </c>
      <c r="S559" s="9" t="str">
        <f ca="1">IFERROR(__xludf.DUMMYFUNCTION("IFERROR(VALUE(REGEXEXTRACT(TO_TEXT($F559), S$1 &amp; ""x(\d+)"")), """")"),"")</f>
        <v/>
      </c>
      <c r="T559" s="9" t="str">
        <f ca="1">IFERROR(__xludf.DUMMYFUNCTION("IFERROR(VALUE(REGEXEXTRACT(TO_TEXT($F559), T$1 &amp; ""x(\d+)"")), """")"),"")</f>
        <v/>
      </c>
      <c r="U559" s="9" t="str">
        <f ca="1">IFERROR(__xludf.DUMMYFUNCTION("IFERROR(VALUE(REGEXEXTRACT(TO_TEXT($F559), U$1 &amp; ""x(\d+)"")), """")"),"")</f>
        <v/>
      </c>
      <c r="V559" s="9" t="str">
        <f ca="1">IFERROR(__xludf.DUMMYFUNCTION("IFERROR(VALUE(REGEXEXTRACT(TO_TEXT($F559), V$1 &amp; ""x(\d+)"")), """")"),"")</f>
        <v/>
      </c>
      <c r="W559" s="9"/>
      <c r="X559" s="9"/>
      <c r="Y559" s="9"/>
      <c r="Z559" s="9"/>
    </row>
    <row r="560" spans="1:26" ht="15.75" customHeight="1">
      <c r="A560" s="9" t="s">
        <v>184</v>
      </c>
      <c r="B560" s="9" t="s">
        <v>1638</v>
      </c>
      <c r="C560" s="9" t="s">
        <v>185</v>
      </c>
      <c r="D560" s="9" t="s">
        <v>33</v>
      </c>
      <c r="E560" s="9" t="s">
        <v>12</v>
      </c>
      <c r="F560" s="9" t="s">
        <v>1642</v>
      </c>
      <c r="G560" s="9">
        <v>40</v>
      </c>
      <c r="H560" s="9">
        <v>5</v>
      </c>
      <c r="I560" s="9">
        <v>1.0149999999999999</v>
      </c>
      <c r="J560" s="9">
        <v>18</v>
      </c>
      <c r="K560" s="9" t="s">
        <v>499</v>
      </c>
      <c r="L560" s="9" t="s">
        <v>1643</v>
      </c>
      <c r="M560" s="9"/>
      <c r="N560" s="9" t="str">
        <f ca="1">IFERROR(__xludf.DUMMYFUNCTION("IFERROR(VALUE(REGEXEXTRACT(TO_TEXT($F560), N$1 &amp; ""x(\d+)"")), """")
"),"")</f>
        <v/>
      </c>
      <c r="O560" s="9" t="str">
        <f ca="1">IFERROR(__xludf.DUMMYFUNCTION("IFERROR(VALUE(REGEXEXTRACT(TO_TEXT($F560), O$1 &amp; ""x(\d+)"")), """")"),"")</f>
        <v/>
      </c>
      <c r="P560" s="9" t="str">
        <f ca="1">IFERROR(__xludf.DUMMYFUNCTION("IFERROR(VALUE(REGEXEXTRACT(TO_TEXT($F560), P$1 &amp; ""x(\d+)"")), """")"),"")</f>
        <v/>
      </c>
      <c r="Q560" s="9" t="str">
        <f ca="1">IFERROR(__xludf.DUMMYFUNCTION("IFERROR(VALUE(REGEXEXTRACT(TO_TEXT($F560), Q$1 &amp; ""x(\d+)"")), """")"),"")</f>
        <v/>
      </c>
      <c r="R560" s="9" t="str">
        <f ca="1">IFERROR(__xludf.DUMMYFUNCTION("IFERROR(VALUE(REGEXEXTRACT(TO_TEXT($F560), R$1 &amp; ""x(\d+)"")), """")"),"")</f>
        <v/>
      </c>
      <c r="S560" s="9" t="str">
        <f ca="1">IFERROR(__xludf.DUMMYFUNCTION("IFERROR(VALUE(REGEXEXTRACT(TO_TEXT($F560), S$1 &amp; ""x(\d+)"")), """")"),"")</f>
        <v/>
      </c>
      <c r="T560" s="9" t="str">
        <f ca="1">IFERROR(__xludf.DUMMYFUNCTION("IFERROR(VALUE(REGEXEXTRACT(TO_TEXT($F560), T$1 &amp; ""x(\d+)"")), """")"),"")</f>
        <v/>
      </c>
      <c r="U560" s="9" t="str">
        <f ca="1">IFERROR(__xludf.DUMMYFUNCTION("IFERROR(VALUE(REGEXEXTRACT(TO_TEXT($F560), U$1 &amp; ""x(\d+)"")), """")"),"")</f>
        <v/>
      </c>
      <c r="V560" s="9" t="str">
        <f ca="1">IFERROR(__xludf.DUMMYFUNCTION("IFERROR(VALUE(REGEXEXTRACT(TO_TEXT($F560), V$1 &amp; ""x(\d+)"")), """")"),"")</f>
        <v/>
      </c>
      <c r="W560" s="9"/>
      <c r="X560" s="9"/>
      <c r="Y560" s="9"/>
      <c r="Z560" s="9"/>
    </row>
    <row r="561" spans="1:26" ht="15.75" customHeight="1">
      <c r="A561" s="9" t="s">
        <v>184</v>
      </c>
      <c r="B561" s="9" t="s">
        <v>1638</v>
      </c>
      <c r="C561" s="9" t="s">
        <v>185</v>
      </c>
      <c r="D561" s="9" t="s">
        <v>33</v>
      </c>
      <c r="E561" s="9" t="s">
        <v>13</v>
      </c>
      <c r="F561" s="9" t="s">
        <v>1644</v>
      </c>
      <c r="G561" s="9">
        <v>15</v>
      </c>
      <c r="H561" s="9">
        <v>5</v>
      </c>
      <c r="I561" s="9">
        <v>1.0149999999999999</v>
      </c>
      <c r="J561" s="9">
        <v>18</v>
      </c>
      <c r="K561" s="9" t="s">
        <v>499</v>
      </c>
      <c r="L561" s="9" t="s">
        <v>1643</v>
      </c>
      <c r="M561" s="9"/>
      <c r="N561" s="9" t="str">
        <f ca="1">IFERROR(__xludf.DUMMYFUNCTION("IFERROR(VALUE(REGEXEXTRACT(TO_TEXT($F561), N$1 &amp; ""x(\d+)"")), """")
"),"")</f>
        <v/>
      </c>
      <c r="O561" s="9" t="str">
        <f ca="1">IFERROR(__xludf.DUMMYFUNCTION("IFERROR(VALUE(REGEXEXTRACT(TO_TEXT($F561), O$1 &amp; ""x(\d+)"")), """")"),"")</f>
        <v/>
      </c>
      <c r="P561" s="9" t="str">
        <f ca="1">IFERROR(__xludf.DUMMYFUNCTION("IFERROR(VALUE(REGEXEXTRACT(TO_TEXT($F561), P$1 &amp; ""x(\d+)"")), """")"),"")</f>
        <v/>
      </c>
      <c r="Q561" s="9" t="str">
        <f ca="1">IFERROR(__xludf.DUMMYFUNCTION("IFERROR(VALUE(REGEXEXTRACT(TO_TEXT($F561), Q$1 &amp; ""x(\d+)"")), """")"),"")</f>
        <v/>
      </c>
      <c r="R561" s="9" t="str">
        <f ca="1">IFERROR(__xludf.DUMMYFUNCTION("IFERROR(VALUE(REGEXEXTRACT(TO_TEXT($F561), R$1 &amp; ""x(\d+)"")), """")"),"")</f>
        <v/>
      </c>
      <c r="S561" s="9" t="str">
        <f ca="1">IFERROR(__xludf.DUMMYFUNCTION("IFERROR(VALUE(REGEXEXTRACT(TO_TEXT($F561), S$1 &amp; ""x(\d+)"")), """")"),"")</f>
        <v/>
      </c>
      <c r="T561" s="9" t="str">
        <f ca="1">IFERROR(__xludf.DUMMYFUNCTION("IFERROR(VALUE(REGEXEXTRACT(TO_TEXT($F561), T$1 &amp; ""x(\d+)"")), """")"),"")</f>
        <v/>
      </c>
      <c r="U561" s="9" t="str">
        <f ca="1">IFERROR(__xludf.DUMMYFUNCTION("IFERROR(VALUE(REGEXEXTRACT(TO_TEXT($F561), U$1 &amp; ""x(\d+)"")), """")"),"")</f>
        <v/>
      </c>
      <c r="V561" s="9" t="str">
        <f ca="1">IFERROR(__xludf.DUMMYFUNCTION("IFERROR(VALUE(REGEXEXTRACT(TO_TEXT($F561), V$1 &amp; ""x(\d+)"")), """")"),"")</f>
        <v/>
      </c>
      <c r="W561" s="9"/>
      <c r="X561" s="9"/>
      <c r="Y561" s="9"/>
      <c r="Z561" s="9"/>
    </row>
    <row r="562" spans="1:26" ht="15.75" customHeight="1">
      <c r="A562" s="9" t="s">
        <v>1645</v>
      </c>
      <c r="B562" s="9" t="s">
        <v>1646</v>
      </c>
      <c r="C562" s="9" t="s">
        <v>501</v>
      </c>
      <c r="D562" s="9" t="s">
        <v>33</v>
      </c>
      <c r="E562" s="9" t="s">
        <v>11</v>
      </c>
      <c r="F562" s="9" t="s">
        <v>1186</v>
      </c>
      <c r="G562" s="9">
        <v>95</v>
      </c>
      <c r="H562" s="9">
        <v>4</v>
      </c>
      <c r="I562" s="9">
        <v>1.0149999999999999</v>
      </c>
      <c r="J562" s="9">
        <v>62</v>
      </c>
      <c r="K562" s="9" t="s">
        <v>442</v>
      </c>
      <c r="L562" s="9"/>
      <c r="M562" s="9"/>
      <c r="N562" s="9">
        <f ca="1">IFERROR(__xludf.DUMMYFUNCTION("IFERROR(VALUE(REGEXEXTRACT(TO_TEXT($F562), N$1 &amp; ""x(\d+)"")), """")
"),1)</f>
        <v>1</v>
      </c>
      <c r="O562" s="9">
        <f ca="1">IFERROR(__xludf.DUMMYFUNCTION("IFERROR(VALUE(REGEXEXTRACT(TO_TEXT($F562), O$1 &amp; ""x(\d+)"")), """")"),1)</f>
        <v>1</v>
      </c>
      <c r="P562" s="9" t="str">
        <f ca="1">IFERROR(__xludf.DUMMYFUNCTION("IFERROR(VALUE(REGEXEXTRACT(TO_TEXT($F562), P$1 &amp; ""x(\d+)"")), """")"),"")</f>
        <v/>
      </c>
      <c r="Q562" s="9" t="str">
        <f ca="1">IFERROR(__xludf.DUMMYFUNCTION("IFERROR(VALUE(REGEXEXTRACT(TO_TEXT($F562), Q$1 &amp; ""x(\d+)"")), """")"),"")</f>
        <v/>
      </c>
      <c r="R562" s="9" t="str">
        <f ca="1">IFERROR(__xludf.DUMMYFUNCTION("IFERROR(VALUE(REGEXEXTRACT(TO_TEXT($F562), R$1 &amp; ""x(\d+)"")), """")"),"")</f>
        <v/>
      </c>
      <c r="S562" s="9" t="str">
        <f ca="1">IFERROR(__xludf.DUMMYFUNCTION("IFERROR(VALUE(REGEXEXTRACT(TO_TEXT($F562), S$1 &amp; ""x(\d+)"")), """")"),"")</f>
        <v/>
      </c>
      <c r="T562" s="9" t="str">
        <f ca="1">IFERROR(__xludf.DUMMYFUNCTION("IFERROR(VALUE(REGEXEXTRACT(TO_TEXT($F562), T$1 &amp; ""x(\d+)"")), """")"),"")</f>
        <v/>
      </c>
      <c r="U562" s="9" t="str">
        <f ca="1">IFERROR(__xludf.DUMMYFUNCTION("IFERROR(VALUE(REGEXEXTRACT(TO_TEXT($F562), U$1 &amp; ""x(\d+)"")), """")"),"")</f>
        <v/>
      </c>
      <c r="V562" s="9" t="str">
        <f ca="1">IFERROR(__xludf.DUMMYFUNCTION("IFERROR(VALUE(REGEXEXTRACT(TO_TEXT($F562), V$1 &amp; ""x(\d+)"")), """")"),"")</f>
        <v/>
      </c>
      <c r="W562" s="9"/>
      <c r="X562" s="9"/>
      <c r="Y562" s="9"/>
      <c r="Z562" s="9"/>
    </row>
    <row r="563" spans="1:26" ht="15.75" customHeight="1">
      <c r="A563" s="9" t="s">
        <v>1645</v>
      </c>
      <c r="B563" s="9" t="s">
        <v>1646</v>
      </c>
      <c r="C563" s="9" t="s">
        <v>501</v>
      </c>
      <c r="D563" s="9" t="s">
        <v>33</v>
      </c>
      <c r="E563" s="9" t="s">
        <v>12</v>
      </c>
      <c r="F563" s="9" t="s">
        <v>1187</v>
      </c>
      <c r="G563" s="9">
        <v>80</v>
      </c>
      <c r="H563" s="9">
        <v>4</v>
      </c>
      <c r="I563" s="9">
        <v>1.0149999999999999</v>
      </c>
      <c r="J563" s="9">
        <v>62</v>
      </c>
      <c r="K563" s="9" t="s">
        <v>442</v>
      </c>
      <c r="L563" s="9"/>
      <c r="M563" s="9"/>
      <c r="N563" s="9" t="str">
        <f ca="1">IFERROR(__xludf.DUMMYFUNCTION("IFERROR(VALUE(REGEXEXTRACT(TO_TEXT($F563), N$1 &amp; ""x(\d+)"")), """")
"),"")</f>
        <v/>
      </c>
      <c r="O563" s="9">
        <f ca="1">IFERROR(__xludf.DUMMYFUNCTION("IFERROR(VALUE(REGEXEXTRACT(TO_TEXT($F563), O$1 &amp; ""x(\d+)"")), """")"),1)</f>
        <v>1</v>
      </c>
      <c r="P563" s="9" t="str">
        <f ca="1">IFERROR(__xludf.DUMMYFUNCTION("IFERROR(VALUE(REGEXEXTRACT(TO_TEXT($F563), P$1 &amp; ""x(\d+)"")), """")"),"")</f>
        <v/>
      </c>
      <c r="Q563" s="9" t="str">
        <f ca="1">IFERROR(__xludf.DUMMYFUNCTION("IFERROR(VALUE(REGEXEXTRACT(TO_TEXT($F563), Q$1 &amp; ""x(\d+)"")), """")"),"")</f>
        <v/>
      </c>
      <c r="R563" s="9" t="str">
        <f ca="1">IFERROR(__xludf.DUMMYFUNCTION("IFERROR(VALUE(REGEXEXTRACT(TO_TEXT($F563), R$1 &amp; ""x(\d+)"")), """")"),"")</f>
        <v/>
      </c>
      <c r="S563" s="9" t="str">
        <f ca="1">IFERROR(__xludf.DUMMYFUNCTION("IFERROR(VALUE(REGEXEXTRACT(TO_TEXT($F563), S$1 &amp; ""x(\d+)"")), """")"),"")</f>
        <v/>
      </c>
      <c r="T563" s="9" t="str">
        <f ca="1">IFERROR(__xludf.DUMMYFUNCTION("IFERROR(VALUE(REGEXEXTRACT(TO_TEXT($F563), T$1 &amp; ""x(\d+)"")), """")"),"")</f>
        <v/>
      </c>
      <c r="U563" s="9" t="str">
        <f ca="1">IFERROR(__xludf.DUMMYFUNCTION("IFERROR(VALUE(REGEXEXTRACT(TO_TEXT($F563), U$1 &amp; ""x(\d+)"")), """")"),"")</f>
        <v/>
      </c>
      <c r="V563" s="9" t="str">
        <f ca="1">IFERROR(__xludf.DUMMYFUNCTION("IFERROR(VALUE(REGEXEXTRACT(TO_TEXT($F563), V$1 &amp; ""x(\d+)"")), """")"),"")</f>
        <v/>
      </c>
      <c r="W563" s="9"/>
      <c r="X563" s="9"/>
      <c r="Y563" s="9"/>
      <c r="Z563" s="9"/>
    </row>
    <row r="564" spans="1:26" ht="15.75" customHeight="1">
      <c r="A564" s="9" t="s">
        <v>1645</v>
      </c>
      <c r="B564" s="9" t="s">
        <v>1646</v>
      </c>
      <c r="C564" s="9" t="s">
        <v>501</v>
      </c>
      <c r="D564" s="9" t="s">
        <v>33</v>
      </c>
      <c r="E564" s="9" t="s">
        <v>13</v>
      </c>
      <c r="F564" s="9" t="s">
        <v>1188</v>
      </c>
      <c r="G564" s="9">
        <v>30</v>
      </c>
      <c r="H564" s="9">
        <v>4</v>
      </c>
      <c r="I564" s="9">
        <v>1.0149999999999999</v>
      </c>
      <c r="J564" s="9">
        <v>62</v>
      </c>
      <c r="K564" s="9" t="s">
        <v>442</v>
      </c>
      <c r="L564" s="9"/>
      <c r="M564" s="9"/>
      <c r="N564" s="9" t="str">
        <f ca="1">IFERROR(__xludf.DUMMYFUNCTION("IFERROR(VALUE(REGEXEXTRACT(TO_TEXT($F564), N$1 &amp; ""x(\d+)"")), """")
"),"")</f>
        <v/>
      </c>
      <c r="O564" s="9">
        <f ca="1">IFERROR(__xludf.DUMMYFUNCTION("IFERROR(VALUE(REGEXEXTRACT(TO_TEXT($F564), O$1 &amp; ""x(\d+)"")), """")"),1)</f>
        <v>1</v>
      </c>
      <c r="P564" s="9" t="str">
        <f ca="1">IFERROR(__xludf.DUMMYFUNCTION("IFERROR(VALUE(REGEXEXTRACT(TO_TEXT($F564), P$1 &amp; ""x(\d+)"")), """")"),"")</f>
        <v/>
      </c>
      <c r="Q564" s="9" t="str">
        <f ca="1">IFERROR(__xludf.DUMMYFUNCTION("IFERROR(VALUE(REGEXEXTRACT(TO_TEXT($F564), Q$1 &amp; ""x(\d+)"")), """")"),"")</f>
        <v/>
      </c>
      <c r="R564" s="9" t="str">
        <f ca="1">IFERROR(__xludf.DUMMYFUNCTION("IFERROR(VALUE(REGEXEXTRACT(TO_TEXT($F564), R$1 &amp; ""x(\d+)"")), """")"),"")</f>
        <v/>
      </c>
      <c r="S564" s="9" t="str">
        <f ca="1">IFERROR(__xludf.DUMMYFUNCTION("IFERROR(VALUE(REGEXEXTRACT(TO_TEXT($F564), S$1 &amp; ""x(\d+)"")), """")"),"")</f>
        <v/>
      </c>
      <c r="T564" s="9" t="str">
        <f ca="1">IFERROR(__xludf.DUMMYFUNCTION("IFERROR(VALUE(REGEXEXTRACT(TO_TEXT($F564), T$1 &amp; ""x(\d+)"")), """")"),"")</f>
        <v/>
      </c>
      <c r="U564" s="9" t="str">
        <f ca="1">IFERROR(__xludf.DUMMYFUNCTION("IFERROR(VALUE(REGEXEXTRACT(TO_TEXT($F564), U$1 &amp; ""x(\d+)"")), """")"),"")</f>
        <v/>
      </c>
      <c r="V564" s="9" t="str">
        <f ca="1">IFERROR(__xludf.DUMMYFUNCTION("IFERROR(VALUE(REGEXEXTRACT(TO_TEXT($F564), V$1 &amp; ""x(\d+)"")), """")"),"")</f>
        <v/>
      </c>
      <c r="W564" s="9"/>
      <c r="X564" s="9"/>
      <c r="Y564" s="9"/>
      <c r="Z564" s="9"/>
    </row>
    <row r="565" spans="1:26" ht="15.75" customHeight="1">
      <c r="A565" s="9" t="s">
        <v>1647</v>
      </c>
      <c r="B565" s="9" t="s">
        <v>1648</v>
      </c>
      <c r="C565" s="9" t="s">
        <v>669</v>
      </c>
      <c r="D565" s="9" t="s">
        <v>33</v>
      </c>
      <c r="E565" s="9" t="s">
        <v>11</v>
      </c>
      <c r="F565" s="9" t="s">
        <v>1649</v>
      </c>
      <c r="G565" s="9">
        <v>75</v>
      </c>
      <c r="H565" s="9">
        <v>3</v>
      </c>
      <c r="I565" s="9">
        <v>1.0149999999999999</v>
      </c>
      <c r="J565" s="9">
        <v>52</v>
      </c>
      <c r="K565" s="9" t="s">
        <v>442</v>
      </c>
      <c r="L565" s="9"/>
      <c r="M565" s="9"/>
      <c r="N565" s="9">
        <f ca="1">IFERROR(__xludf.DUMMYFUNCTION("IFERROR(VALUE(REGEXEXTRACT(TO_TEXT($F565), N$1 &amp; ""x(\d+)"")), """")
"),1)</f>
        <v>1</v>
      </c>
      <c r="O565" s="9">
        <f ca="1">IFERROR(__xludf.DUMMYFUNCTION("IFERROR(VALUE(REGEXEXTRACT(TO_TEXT($F565), O$1 &amp; ""x(\d+)"")), """")"),1)</f>
        <v>1</v>
      </c>
      <c r="P565" s="9" t="str">
        <f ca="1">IFERROR(__xludf.DUMMYFUNCTION("IFERROR(VALUE(REGEXEXTRACT(TO_TEXT($F565), P$1 &amp; ""x(\d+)"")), """")"),"")</f>
        <v/>
      </c>
      <c r="Q565" s="9" t="str">
        <f ca="1">IFERROR(__xludf.DUMMYFUNCTION("IFERROR(VALUE(REGEXEXTRACT(TO_TEXT($F565), Q$1 &amp; ""x(\d+)"")), """")"),"")</f>
        <v/>
      </c>
      <c r="R565" s="9" t="str">
        <f ca="1">IFERROR(__xludf.DUMMYFUNCTION("IFERROR(VALUE(REGEXEXTRACT(TO_TEXT($F565), R$1 &amp; ""x(\d+)"")), """")"),"")</f>
        <v/>
      </c>
      <c r="S565" s="9" t="str">
        <f ca="1">IFERROR(__xludf.DUMMYFUNCTION("IFERROR(VALUE(REGEXEXTRACT(TO_TEXT($F565), S$1 &amp; ""x(\d+)"")), """")"),"")</f>
        <v/>
      </c>
      <c r="T565" s="9" t="str">
        <f ca="1">IFERROR(__xludf.DUMMYFUNCTION("IFERROR(VALUE(REGEXEXTRACT(TO_TEXT($F565), T$1 &amp; ""x(\d+)"")), """")"),"")</f>
        <v/>
      </c>
      <c r="U565" s="9" t="str">
        <f ca="1">IFERROR(__xludf.DUMMYFUNCTION("IFERROR(VALUE(REGEXEXTRACT(TO_TEXT($F565), U$1 &amp; ""x(\d+)"")), """")"),"")</f>
        <v/>
      </c>
      <c r="V565" s="9">
        <f ca="1">IFERROR(__xludf.DUMMYFUNCTION("IFERROR(VALUE(REGEXEXTRACT(TO_TEXT($F565), V$1 &amp; ""x(\d+)"")), """")"),1)</f>
        <v>1</v>
      </c>
      <c r="W565" s="9"/>
      <c r="X565" s="9"/>
      <c r="Y565" s="9"/>
      <c r="Z565" s="9"/>
    </row>
    <row r="566" spans="1:26" ht="15.75" customHeight="1">
      <c r="A566" s="9" t="s">
        <v>1647</v>
      </c>
      <c r="B566" s="9" t="s">
        <v>1648</v>
      </c>
      <c r="C566" s="9" t="s">
        <v>669</v>
      </c>
      <c r="D566" s="9" t="s">
        <v>33</v>
      </c>
      <c r="E566" s="9" t="s">
        <v>12</v>
      </c>
      <c r="F566" s="9" t="s">
        <v>1650</v>
      </c>
      <c r="G566" s="9">
        <v>120</v>
      </c>
      <c r="H566" s="9">
        <v>3</v>
      </c>
      <c r="I566" s="9">
        <v>1.0149999999999999</v>
      </c>
      <c r="J566" s="9">
        <v>52</v>
      </c>
      <c r="K566" s="9" t="s">
        <v>442</v>
      </c>
      <c r="L566" s="9" t="s">
        <v>1210</v>
      </c>
      <c r="M566" s="9"/>
      <c r="N566" s="9" t="str">
        <f ca="1">IFERROR(__xludf.DUMMYFUNCTION("IFERROR(VALUE(REGEXEXTRACT(TO_TEXT($F566), N$1 &amp; ""x(\d+)"")), """")
"),"")</f>
        <v/>
      </c>
      <c r="O566" s="9">
        <f ca="1">IFERROR(__xludf.DUMMYFUNCTION("IFERROR(VALUE(REGEXEXTRACT(TO_TEXT($F566), O$1 &amp; ""x(\d+)"")), """")"),1)</f>
        <v>1</v>
      </c>
      <c r="P566" s="9" t="str">
        <f ca="1">IFERROR(__xludf.DUMMYFUNCTION("IFERROR(VALUE(REGEXEXTRACT(TO_TEXT($F566), P$1 &amp; ""x(\d+)"")), """")"),"")</f>
        <v/>
      </c>
      <c r="Q566" s="9" t="str">
        <f ca="1">IFERROR(__xludf.DUMMYFUNCTION("IFERROR(VALUE(REGEXEXTRACT(TO_TEXT($F566), Q$1 &amp; ""x(\d+)"")), """")"),"")</f>
        <v/>
      </c>
      <c r="R566" s="9" t="str">
        <f ca="1">IFERROR(__xludf.DUMMYFUNCTION("IFERROR(VALUE(REGEXEXTRACT(TO_TEXT($F566), R$1 &amp; ""x(\d+)"")), """")"),"")</f>
        <v/>
      </c>
      <c r="S566" s="9" t="str">
        <f ca="1">IFERROR(__xludf.DUMMYFUNCTION("IFERROR(VALUE(REGEXEXTRACT(TO_TEXT($F566), S$1 &amp; ""x(\d+)"")), """")"),"")</f>
        <v/>
      </c>
      <c r="T566" s="9" t="str">
        <f ca="1">IFERROR(__xludf.DUMMYFUNCTION("IFERROR(VALUE(REGEXEXTRACT(TO_TEXT($F566), T$1 &amp; ""x(\d+)"")), """")"),"")</f>
        <v/>
      </c>
      <c r="U566" s="9" t="str">
        <f ca="1">IFERROR(__xludf.DUMMYFUNCTION("IFERROR(VALUE(REGEXEXTRACT(TO_TEXT($F566), U$1 &amp; ""x(\d+)"")), """")"),"")</f>
        <v/>
      </c>
      <c r="V566" s="9" t="str">
        <f ca="1">IFERROR(__xludf.DUMMYFUNCTION("IFERROR(VALUE(REGEXEXTRACT(TO_TEXT($F566), V$1 &amp; ""x(\d+)"")), """")"),"")</f>
        <v/>
      </c>
      <c r="W566" s="9"/>
      <c r="X566" s="9"/>
      <c r="Y566" s="9"/>
      <c r="Z566" s="9"/>
    </row>
    <row r="567" spans="1:26" ht="15.75" customHeight="1">
      <c r="A567" s="9" t="s">
        <v>1647</v>
      </c>
      <c r="B567" s="9" t="s">
        <v>1648</v>
      </c>
      <c r="C567" s="9" t="s">
        <v>669</v>
      </c>
      <c r="D567" s="9" t="s">
        <v>33</v>
      </c>
      <c r="E567" s="9" t="s">
        <v>13</v>
      </c>
      <c r="F567" s="9" t="s">
        <v>1651</v>
      </c>
      <c r="G567" s="9">
        <v>20</v>
      </c>
      <c r="H567" s="9">
        <v>3</v>
      </c>
      <c r="I567" s="9">
        <v>1.0149999999999999</v>
      </c>
      <c r="J567" s="9">
        <v>52</v>
      </c>
      <c r="K567" s="9" t="s">
        <v>442</v>
      </c>
      <c r="L567" s="9"/>
      <c r="M567" s="9"/>
      <c r="N567" s="9" t="str">
        <f ca="1">IFERROR(__xludf.DUMMYFUNCTION("IFERROR(VALUE(REGEXEXTRACT(TO_TEXT($F567), N$1 &amp; ""x(\d+)"")), """")
"),"")</f>
        <v/>
      </c>
      <c r="O567" s="9">
        <f ca="1">IFERROR(__xludf.DUMMYFUNCTION("IFERROR(VALUE(REGEXEXTRACT(TO_TEXT($F567), O$1 &amp; ""x(\d+)"")), """")"),1)</f>
        <v>1</v>
      </c>
      <c r="P567" s="9" t="str">
        <f ca="1">IFERROR(__xludf.DUMMYFUNCTION("IFERROR(VALUE(REGEXEXTRACT(TO_TEXT($F567), P$1 &amp; ""x(\d+)"")), """")"),"")</f>
        <v/>
      </c>
      <c r="Q567" s="9" t="str">
        <f ca="1">IFERROR(__xludf.DUMMYFUNCTION("IFERROR(VALUE(REGEXEXTRACT(TO_TEXT($F567), Q$1 &amp; ""x(\d+)"")), """")"),"")</f>
        <v/>
      </c>
      <c r="R567" s="9" t="str">
        <f ca="1">IFERROR(__xludf.DUMMYFUNCTION("IFERROR(VALUE(REGEXEXTRACT(TO_TEXT($F567), R$1 &amp; ""x(\d+)"")), """")"),"")</f>
        <v/>
      </c>
      <c r="S567" s="9" t="str">
        <f ca="1">IFERROR(__xludf.DUMMYFUNCTION("IFERROR(VALUE(REGEXEXTRACT(TO_TEXT($F567), S$1 &amp; ""x(\d+)"")), """")"),"")</f>
        <v/>
      </c>
      <c r="T567" s="9" t="str">
        <f ca="1">IFERROR(__xludf.DUMMYFUNCTION("IFERROR(VALUE(REGEXEXTRACT(TO_TEXT($F567), T$1 &amp; ""x(\d+)"")), """")"),"")</f>
        <v/>
      </c>
      <c r="U567" s="9" t="str">
        <f ca="1">IFERROR(__xludf.DUMMYFUNCTION("IFERROR(VALUE(REGEXEXTRACT(TO_TEXT($F567), U$1 &amp; ""x(\d+)"")), """")"),"")</f>
        <v/>
      </c>
      <c r="V567" s="9" t="str">
        <f ca="1">IFERROR(__xludf.DUMMYFUNCTION("IFERROR(VALUE(REGEXEXTRACT(TO_TEXT($F567), V$1 &amp; ""x(\d+)"")), """")"),"")</f>
        <v/>
      </c>
      <c r="W567" s="9"/>
      <c r="X567" s="9"/>
      <c r="Y567" s="9"/>
      <c r="Z567" s="9"/>
    </row>
    <row r="568" spans="1:26" ht="15.75" hidden="1" customHeight="1">
      <c r="A568" s="9" t="s">
        <v>1652</v>
      </c>
      <c r="B568" s="9" t="s">
        <v>1653</v>
      </c>
      <c r="C568" s="9" t="s">
        <v>778</v>
      </c>
      <c r="D568" s="9" t="s">
        <v>48</v>
      </c>
      <c r="E568" s="9" t="s">
        <v>11</v>
      </c>
      <c r="F568" s="9" t="s">
        <v>1180</v>
      </c>
      <c r="G568" s="9">
        <v>25</v>
      </c>
      <c r="H568" s="9">
        <v>4</v>
      </c>
      <c r="I568" s="9">
        <v>1.0149999999999999</v>
      </c>
      <c r="J568" s="9">
        <v>52</v>
      </c>
      <c r="K568" s="9" t="s">
        <v>424</v>
      </c>
      <c r="L568" s="9"/>
      <c r="M568" s="9"/>
      <c r="N568" s="9" t="str">
        <f ca="1">IFERROR(__xludf.DUMMYFUNCTION("IFERROR(VALUE(REGEXEXTRACT(TO_TEXT($F568), N$1 &amp; ""x(\d+)"")), """")
"),"")</f>
        <v/>
      </c>
      <c r="O568" s="9" t="str">
        <f ca="1">IFERROR(__xludf.DUMMYFUNCTION("IFERROR(VALUE(REGEXEXTRACT(TO_TEXT($F568), O$1 &amp; ""x(\d+)"")), """")"),"")</f>
        <v/>
      </c>
      <c r="P568" s="9" t="str">
        <f ca="1">IFERROR(__xludf.DUMMYFUNCTION("IFERROR(VALUE(REGEXEXTRACT(TO_TEXT($F568), P$1 &amp; ""x(\d+)"")), """")"),"")</f>
        <v/>
      </c>
      <c r="Q568" s="9" t="str">
        <f ca="1">IFERROR(__xludf.DUMMYFUNCTION("IFERROR(VALUE(REGEXEXTRACT(TO_TEXT($F568), Q$1 &amp; ""x(\d+)"")), """")"),"")</f>
        <v/>
      </c>
      <c r="R568" s="9" t="str">
        <f ca="1">IFERROR(__xludf.DUMMYFUNCTION("IFERROR(VALUE(REGEXEXTRACT(TO_TEXT($F568), R$1 &amp; ""x(\d+)"")), """")"),"")</f>
        <v/>
      </c>
      <c r="S568" s="9" t="str">
        <f ca="1">IFERROR(__xludf.DUMMYFUNCTION("IFERROR(VALUE(REGEXEXTRACT(TO_TEXT($F568), S$1 &amp; ""x(\d+)"")), """")"),"")</f>
        <v/>
      </c>
      <c r="T568" s="9" t="str">
        <f ca="1">IFERROR(__xludf.DUMMYFUNCTION("IFERROR(VALUE(REGEXEXTRACT(TO_TEXT($F568), T$1 &amp; ""x(\d+)"")), """")"),"")</f>
        <v/>
      </c>
      <c r="U568" s="9" t="str">
        <f ca="1">IFERROR(__xludf.DUMMYFUNCTION("IFERROR(VALUE(REGEXEXTRACT(TO_TEXT($F568), U$1 &amp; ""x(\d+)"")), """")"),"")</f>
        <v/>
      </c>
      <c r="V568" s="9" t="str">
        <f ca="1">IFERROR(__xludf.DUMMYFUNCTION("IFERROR(VALUE(REGEXEXTRACT(TO_TEXT($F568), V$1 &amp; ""x(\d+)"")), """")"),"")</f>
        <v/>
      </c>
      <c r="W568" s="9"/>
      <c r="X568" s="9"/>
      <c r="Y568" s="9"/>
      <c r="Z568" s="9"/>
    </row>
    <row r="569" spans="1:26" ht="15.75" hidden="1" customHeight="1">
      <c r="A569" s="9" t="s">
        <v>1652</v>
      </c>
      <c r="B569" s="9" t="s">
        <v>1653</v>
      </c>
      <c r="C569" s="9" t="s">
        <v>778</v>
      </c>
      <c r="D569" s="9" t="s">
        <v>48</v>
      </c>
      <c r="E569" s="9" t="s">
        <v>12</v>
      </c>
      <c r="F569" s="9" t="s">
        <v>1654</v>
      </c>
      <c r="G569" s="9">
        <v>140</v>
      </c>
      <c r="H569" s="9">
        <v>4</v>
      </c>
      <c r="I569" s="9">
        <v>1.0149999999999999</v>
      </c>
      <c r="J569" s="9">
        <v>52</v>
      </c>
      <c r="K569" s="9" t="s">
        <v>424</v>
      </c>
      <c r="L569" s="9" t="s">
        <v>1210</v>
      </c>
      <c r="M569" s="9"/>
      <c r="N569" s="9" t="str">
        <f ca="1">IFERROR(__xludf.DUMMYFUNCTION("IFERROR(VALUE(REGEXEXTRACT(TO_TEXT($F569), N$1 &amp; ""x(\d+)"")), """")
"),"")</f>
        <v/>
      </c>
      <c r="O569" s="9" t="str">
        <f ca="1">IFERROR(__xludf.DUMMYFUNCTION("IFERROR(VALUE(REGEXEXTRACT(TO_TEXT($F569), O$1 &amp; ""x(\d+)"")), """")"),"")</f>
        <v/>
      </c>
      <c r="P569" s="9">
        <f ca="1">IFERROR(__xludf.DUMMYFUNCTION("IFERROR(VALUE(REGEXEXTRACT(TO_TEXT($F569), P$1 &amp; ""x(\d+)"")), """")"),1)</f>
        <v>1</v>
      </c>
      <c r="Q569" s="9" t="str">
        <f ca="1">IFERROR(__xludf.DUMMYFUNCTION("IFERROR(VALUE(REGEXEXTRACT(TO_TEXT($F569), Q$1 &amp; ""x(\d+)"")), """")"),"")</f>
        <v/>
      </c>
      <c r="R569" s="9" t="str">
        <f ca="1">IFERROR(__xludf.DUMMYFUNCTION("IFERROR(VALUE(REGEXEXTRACT(TO_TEXT($F569), R$1 &amp; ""x(\d+)"")), """")"),"")</f>
        <v/>
      </c>
      <c r="S569" s="9" t="str">
        <f ca="1">IFERROR(__xludf.DUMMYFUNCTION("IFERROR(VALUE(REGEXEXTRACT(TO_TEXT($F569), S$1 &amp; ""x(\d+)"")), """")"),"")</f>
        <v/>
      </c>
      <c r="T569" s="9" t="str">
        <f ca="1">IFERROR(__xludf.DUMMYFUNCTION("IFERROR(VALUE(REGEXEXTRACT(TO_TEXT($F569), T$1 &amp; ""x(\d+)"")), """")"),"")</f>
        <v/>
      </c>
      <c r="U569" s="9" t="str">
        <f ca="1">IFERROR(__xludf.DUMMYFUNCTION("IFERROR(VALUE(REGEXEXTRACT(TO_TEXT($F569), U$1 &amp; ""x(\d+)"")), """")"),"")</f>
        <v/>
      </c>
      <c r="V569" s="9" t="str">
        <f ca="1">IFERROR(__xludf.DUMMYFUNCTION("IFERROR(VALUE(REGEXEXTRACT(TO_TEXT($F569), V$1 &amp; ""x(\d+)"")), """")"),"")</f>
        <v/>
      </c>
      <c r="W569" s="9"/>
      <c r="X569" s="9"/>
      <c r="Y569" s="9"/>
      <c r="Z569" s="9"/>
    </row>
    <row r="570" spans="1:26" ht="15.75" hidden="1" customHeight="1">
      <c r="A570" s="9" t="s">
        <v>1652</v>
      </c>
      <c r="B570" s="9" t="s">
        <v>1653</v>
      </c>
      <c r="C570" s="9" t="s">
        <v>778</v>
      </c>
      <c r="D570" s="9" t="s">
        <v>48</v>
      </c>
      <c r="E570" s="9" t="s">
        <v>13</v>
      </c>
      <c r="F570" s="9" t="s">
        <v>1655</v>
      </c>
      <c r="G570" s="9">
        <v>90</v>
      </c>
      <c r="H570" s="9">
        <v>4</v>
      </c>
      <c r="I570" s="9">
        <v>1.0149999999999999</v>
      </c>
      <c r="J570" s="9">
        <v>52</v>
      </c>
      <c r="K570" s="9" t="s">
        <v>424</v>
      </c>
      <c r="L570" s="9"/>
      <c r="M570" s="9"/>
      <c r="N570" s="9" t="str">
        <f ca="1">IFERROR(__xludf.DUMMYFUNCTION("IFERROR(VALUE(REGEXEXTRACT(TO_TEXT($F570), N$1 &amp; ""x(\d+)"")), """")
"),"")</f>
        <v/>
      </c>
      <c r="O570" s="9" t="str">
        <f ca="1">IFERROR(__xludf.DUMMYFUNCTION("IFERROR(VALUE(REGEXEXTRACT(TO_TEXT($F570), O$1 &amp; ""x(\d+)"")), """")"),"")</f>
        <v/>
      </c>
      <c r="P570" s="9">
        <f ca="1">IFERROR(__xludf.DUMMYFUNCTION("IFERROR(VALUE(REGEXEXTRACT(TO_TEXT($F570), P$1 &amp; ""x(\d+)"")), """")"),1)</f>
        <v>1</v>
      </c>
      <c r="Q570" s="9" t="str">
        <f ca="1">IFERROR(__xludf.DUMMYFUNCTION("IFERROR(VALUE(REGEXEXTRACT(TO_TEXT($F570), Q$1 &amp; ""x(\d+)"")), """")"),"")</f>
        <v/>
      </c>
      <c r="R570" s="9" t="str">
        <f ca="1">IFERROR(__xludf.DUMMYFUNCTION("IFERROR(VALUE(REGEXEXTRACT(TO_TEXT($F570), R$1 &amp; ""x(\d+)"")), """")"),"")</f>
        <v/>
      </c>
      <c r="S570" s="9" t="str">
        <f ca="1">IFERROR(__xludf.DUMMYFUNCTION("IFERROR(VALUE(REGEXEXTRACT(TO_TEXT($F570), S$1 &amp; ""x(\d+)"")), """")"),"")</f>
        <v/>
      </c>
      <c r="T570" s="9" t="str">
        <f ca="1">IFERROR(__xludf.DUMMYFUNCTION("IFERROR(VALUE(REGEXEXTRACT(TO_TEXT($F570), T$1 &amp; ""x(\d+)"")), """")"),"")</f>
        <v/>
      </c>
      <c r="U570" s="9" t="str">
        <f ca="1">IFERROR(__xludf.DUMMYFUNCTION("IFERROR(VALUE(REGEXEXTRACT(TO_TEXT($F570), U$1 &amp; ""x(\d+)"")), """")"),"")</f>
        <v/>
      </c>
      <c r="V570" s="9" t="str">
        <f ca="1">IFERROR(__xludf.DUMMYFUNCTION("IFERROR(VALUE(REGEXEXTRACT(TO_TEXT($F570), V$1 &amp; ""x(\d+)"")), """")"),"")</f>
        <v/>
      </c>
      <c r="W570" s="9"/>
      <c r="X570" s="9"/>
      <c r="Y570" s="9"/>
      <c r="Z570" s="9"/>
    </row>
    <row r="571" spans="1:26" ht="15.75" customHeight="1">
      <c r="A571" s="9" t="s">
        <v>1656</v>
      </c>
      <c r="B571" s="9" t="s">
        <v>1657</v>
      </c>
      <c r="C571" s="9" t="s">
        <v>851</v>
      </c>
      <c r="D571" s="9" t="s">
        <v>33</v>
      </c>
      <c r="E571" s="9" t="s">
        <v>11</v>
      </c>
      <c r="F571" s="9" t="s">
        <v>1629</v>
      </c>
      <c r="G571" s="9">
        <v>90</v>
      </c>
      <c r="H571" s="9">
        <v>3</v>
      </c>
      <c r="I571" s="9">
        <v>1.0149999999999999</v>
      </c>
      <c r="J571" s="9">
        <v>110</v>
      </c>
      <c r="K571" s="9" t="s">
        <v>442</v>
      </c>
      <c r="L571" s="9"/>
      <c r="M571" s="9"/>
      <c r="N571" s="9" t="str">
        <f ca="1">IFERROR(__xludf.DUMMYFUNCTION("IFERROR(VALUE(REGEXEXTRACT(TO_TEXT($F571), N$1 &amp; ""x(\d+)"")), """")
"),"")</f>
        <v/>
      </c>
      <c r="O571" s="9">
        <f ca="1">IFERROR(__xludf.DUMMYFUNCTION("IFERROR(VALUE(REGEXEXTRACT(TO_TEXT($F571), O$1 &amp; ""x(\d+)"")), """")"),1)</f>
        <v>1</v>
      </c>
      <c r="P571" s="9" t="str">
        <f ca="1">IFERROR(__xludf.DUMMYFUNCTION("IFERROR(VALUE(REGEXEXTRACT(TO_TEXT($F571), P$1 &amp; ""x(\d+)"")), """")"),"")</f>
        <v/>
      </c>
      <c r="Q571" s="9" t="str">
        <f ca="1">IFERROR(__xludf.DUMMYFUNCTION("IFERROR(VALUE(REGEXEXTRACT(TO_TEXT($F571), Q$1 &amp; ""x(\d+)"")), """")"),"")</f>
        <v/>
      </c>
      <c r="R571" s="9" t="str">
        <f ca="1">IFERROR(__xludf.DUMMYFUNCTION("IFERROR(VALUE(REGEXEXTRACT(TO_TEXT($F571), R$1 &amp; ""x(\d+)"")), """")"),"")</f>
        <v/>
      </c>
      <c r="S571" s="9" t="str">
        <f ca="1">IFERROR(__xludf.DUMMYFUNCTION("IFERROR(VALUE(REGEXEXTRACT(TO_TEXT($F571), S$1 &amp; ""x(\d+)"")), """")"),"")</f>
        <v/>
      </c>
      <c r="T571" s="9" t="str">
        <f ca="1">IFERROR(__xludf.DUMMYFUNCTION("IFERROR(VALUE(REGEXEXTRACT(TO_TEXT($F571), T$1 &amp; ""x(\d+)"")), """")"),"")</f>
        <v/>
      </c>
      <c r="U571" s="9" t="str">
        <f ca="1">IFERROR(__xludf.DUMMYFUNCTION("IFERROR(VALUE(REGEXEXTRACT(TO_TEXT($F571), U$1 &amp; ""x(\d+)"")), """")"),"")</f>
        <v/>
      </c>
      <c r="V571" s="9" t="str">
        <f ca="1">IFERROR(__xludf.DUMMYFUNCTION("IFERROR(VALUE(REGEXEXTRACT(TO_TEXT($F571), V$1 &amp; ""x(\d+)"")), """")"),"")</f>
        <v/>
      </c>
      <c r="W571" s="9"/>
      <c r="X571" s="9"/>
      <c r="Y571" s="9"/>
      <c r="Z571" s="9"/>
    </row>
    <row r="572" spans="1:26" ht="15.75" customHeight="1">
      <c r="A572" s="9" t="s">
        <v>1656</v>
      </c>
      <c r="B572" s="9" t="s">
        <v>1657</v>
      </c>
      <c r="C572" s="9" t="s">
        <v>851</v>
      </c>
      <c r="D572" s="9" t="s">
        <v>33</v>
      </c>
      <c r="E572" s="9" t="s">
        <v>12</v>
      </c>
      <c r="F572" s="9" t="s">
        <v>1630</v>
      </c>
      <c r="G572" s="9">
        <v>50</v>
      </c>
      <c r="H572" s="9">
        <v>3</v>
      </c>
      <c r="I572" s="9">
        <v>1.0149999999999999</v>
      </c>
      <c r="J572" s="9">
        <v>110</v>
      </c>
      <c r="K572" s="9" t="s">
        <v>442</v>
      </c>
      <c r="L572" s="9" t="s">
        <v>1015</v>
      </c>
      <c r="M572" s="9"/>
      <c r="N572" s="9" t="str">
        <f ca="1">IFERROR(__xludf.DUMMYFUNCTION("IFERROR(VALUE(REGEXEXTRACT(TO_TEXT($F572), N$1 &amp; ""x(\d+)"")), """")
"),"")</f>
        <v/>
      </c>
      <c r="O572" s="9">
        <f ca="1">IFERROR(__xludf.DUMMYFUNCTION("IFERROR(VALUE(REGEXEXTRACT(TO_TEXT($F572), O$1 &amp; ""x(\d+)"")), """")"),1)</f>
        <v>1</v>
      </c>
      <c r="P572" s="9" t="str">
        <f ca="1">IFERROR(__xludf.DUMMYFUNCTION("IFERROR(VALUE(REGEXEXTRACT(TO_TEXT($F572), P$1 &amp; ""x(\d+)"")), """")"),"")</f>
        <v/>
      </c>
      <c r="Q572" s="9" t="str">
        <f ca="1">IFERROR(__xludf.DUMMYFUNCTION("IFERROR(VALUE(REGEXEXTRACT(TO_TEXT($F572), Q$1 &amp; ""x(\d+)"")), """")"),"")</f>
        <v/>
      </c>
      <c r="R572" s="9" t="str">
        <f ca="1">IFERROR(__xludf.DUMMYFUNCTION("IFERROR(VALUE(REGEXEXTRACT(TO_TEXT($F572), R$1 &amp; ""x(\d+)"")), """")"),"")</f>
        <v/>
      </c>
      <c r="S572" s="9" t="str">
        <f ca="1">IFERROR(__xludf.DUMMYFUNCTION("IFERROR(VALUE(REGEXEXTRACT(TO_TEXT($F572), S$1 &amp; ""x(\d+)"")), """")"),"")</f>
        <v/>
      </c>
      <c r="T572" s="9" t="str">
        <f ca="1">IFERROR(__xludf.DUMMYFUNCTION("IFERROR(VALUE(REGEXEXTRACT(TO_TEXT($F572), T$1 &amp; ""x(\d+)"")), """")"),"")</f>
        <v/>
      </c>
      <c r="U572" s="9" t="str">
        <f ca="1">IFERROR(__xludf.DUMMYFUNCTION("IFERROR(VALUE(REGEXEXTRACT(TO_TEXT($F572), U$1 &amp; ""x(\d+)"")), """")"),"")</f>
        <v/>
      </c>
      <c r="V572" s="9" t="str">
        <f ca="1">IFERROR(__xludf.DUMMYFUNCTION("IFERROR(VALUE(REGEXEXTRACT(TO_TEXT($F572), V$1 &amp; ""x(\d+)"")), """")"),"")</f>
        <v/>
      </c>
      <c r="W572" s="9"/>
      <c r="X572" s="9"/>
      <c r="Y572" s="9"/>
      <c r="Z572" s="9"/>
    </row>
    <row r="573" spans="1:26" ht="15.75" customHeight="1">
      <c r="A573" s="9" t="s">
        <v>1656</v>
      </c>
      <c r="B573" s="9" t="s">
        <v>1657</v>
      </c>
      <c r="C573" s="9" t="s">
        <v>851</v>
      </c>
      <c r="D573" s="9" t="s">
        <v>33</v>
      </c>
      <c r="E573" s="9" t="s">
        <v>13</v>
      </c>
      <c r="F573" s="9" t="s">
        <v>1193</v>
      </c>
      <c r="G573" s="9">
        <v>10</v>
      </c>
      <c r="H573" s="9">
        <v>3</v>
      </c>
      <c r="I573" s="9">
        <v>1.0149999999999999</v>
      </c>
      <c r="J573" s="9">
        <v>110</v>
      </c>
      <c r="K573" s="9" t="s">
        <v>442</v>
      </c>
      <c r="L573" s="9"/>
      <c r="M573" s="9"/>
      <c r="N573" s="9" t="str">
        <f ca="1">IFERROR(__xludf.DUMMYFUNCTION("IFERROR(VALUE(REGEXEXTRACT(TO_TEXT($F573), N$1 &amp; ""x(\d+)"")), """")
"),"")</f>
        <v/>
      </c>
      <c r="O573" s="9">
        <f ca="1">IFERROR(__xludf.DUMMYFUNCTION("IFERROR(VALUE(REGEXEXTRACT(TO_TEXT($F573), O$1 &amp; ""x(\d+)"")), """")"),1)</f>
        <v>1</v>
      </c>
      <c r="P573" s="9" t="str">
        <f ca="1">IFERROR(__xludf.DUMMYFUNCTION("IFERROR(VALUE(REGEXEXTRACT(TO_TEXT($F573), P$1 &amp; ""x(\d+)"")), """")"),"")</f>
        <v/>
      </c>
      <c r="Q573" s="9" t="str">
        <f ca="1">IFERROR(__xludf.DUMMYFUNCTION("IFERROR(VALUE(REGEXEXTRACT(TO_TEXT($F573), Q$1 &amp; ""x(\d+)"")), """")"),"")</f>
        <v/>
      </c>
      <c r="R573" s="9" t="str">
        <f ca="1">IFERROR(__xludf.DUMMYFUNCTION("IFERROR(VALUE(REGEXEXTRACT(TO_TEXT($F573), R$1 &amp; ""x(\d+)"")), """")"),"")</f>
        <v/>
      </c>
      <c r="S573" s="9" t="str">
        <f ca="1">IFERROR(__xludf.DUMMYFUNCTION("IFERROR(VALUE(REGEXEXTRACT(TO_TEXT($F573), S$1 &amp; ""x(\d+)"")), """")"),"")</f>
        <v/>
      </c>
      <c r="T573" s="9" t="str">
        <f ca="1">IFERROR(__xludf.DUMMYFUNCTION("IFERROR(VALUE(REGEXEXTRACT(TO_TEXT($F573), T$1 &amp; ""x(\d+)"")), """")"),"")</f>
        <v/>
      </c>
      <c r="U573" s="9" t="str">
        <f ca="1">IFERROR(__xludf.DUMMYFUNCTION("IFERROR(VALUE(REGEXEXTRACT(TO_TEXT($F573), U$1 &amp; ""x(\d+)"")), """")"),"")</f>
        <v/>
      </c>
      <c r="V573" s="9" t="str">
        <f ca="1">IFERROR(__xludf.DUMMYFUNCTION("IFERROR(VALUE(REGEXEXTRACT(TO_TEXT($F573), V$1 &amp; ""x(\d+)"")), """")"),"")</f>
        <v/>
      </c>
      <c r="W573" s="9"/>
      <c r="X573" s="9"/>
      <c r="Y573" s="9"/>
      <c r="Z573" s="9"/>
    </row>
    <row r="574" spans="1:26" ht="15.75" customHeight="1">
      <c r="A574" s="9" t="s">
        <v>1658</v>
      </c>
      <c r="B574" s="9" t="s">
        <v>1659</v>
      </c>
      <c r="C574" s="9" t="s">
        <v>570</v>
      </c>
      <c r="D574" s="9" t="s">
        <v>33</v>
      </c>
      <c r="E574" s="9" t="s">
        <v>11</v>
      </c>
      <c r="F574" s="9" t="s">
        <v>1660</v>
      </c>
      <c r="G574" s="9">
        <v>40</v>
      </c>
      <c r="H574" s="9">
        <v>2</v>
      </c>
      <c r="I574" s="9">
        <v>1.0149999999999999</v>
      </c>
      <c r="J574" s="9">
        <v>99</v>
      </c>
      <c r="K574" s="9" t="s">
        <v>442</v>
      </c>
      <c r="L574" s="9"/>
      <c r="M574" s="9"/>
      <c r="N574" s="9" t="str">
        <f ca="1">IFERROR(__xludf.DUMMYFUNCTION("IFERROR(VALUE(REGEXEXTRACT(TO_TEXT($F574), N$1 &amp; ""x(\d+)"")), """")
"),"")</f>
        <v/>
      </c>
      <c r="O574" s="9">
        <f ca="1">IFERROR(__xludf.DUMMYFUNCTION("IFERROR(VALUE(REGEXEXTRACT(TO_TEXT($F574), O$1 &amp; ""x(\d+)"")), """")"),1)</f>
        <v>1</v>
      </c>
      <c r="P574" s="9" t="str">
        <f ca="1">IFERROR(__xludf.DUMMYFUNCTION("IFERROR(VALUE(REGEXEXTRACT(TO_TEXT($F574), P$1 &amp; ""x(\d+)"")), """")"),"")</f>
        <v/>
      </c>
      <c r="Q574" s="9" t="str">
        <f ca="1">IFERROR(__xludf.DUMMYFUNCTION("IFERROR(VALUE(REGEXEXTRACT(TO_TEXT($F574), Q$1 &amp; ""x(\d+)"")), """")"),"")</f>
        <v/>
      </c>
      <c r="R574" s="9" t="str">
        <f ca="1">IFERROR(__xludf.DUMMYFUNCTION("IFERROR(VALUE(REGEXEXTRACT(TO_TEXT($F574), R$1 &amp; ""x(\d+)"")), """")"),"")</f>
        <v/>
      </c>
      <c r="S574" s="9" t="str">
        <f ca="1">IFERROR(__xludf.DUMMYFUNCTION("IFERROR(VALUE(REGEXEXTRACT(TO_TEXT($F574), S$1 &amp; ""x(\d+)"")), """")"),"")</f>
        <v/>
      </c>
      <c r="T574" s="9" t="str">
        <f ca="1">IFERROR(__xludf.DUMMYFUNCTION("IFERROR(VALUE(REGEXEXTRACT(TO_TEXT($F574), T$1 &amp; ""x(\d+)"")), """")"),"")</f>
        <v/>
      </c>
      <c r="U574" s="9" t="str">
        <f ca="1">IFERROR(__xludf.DUMMYFUNCTION("IFERROR(VALUE(REGEXEXTRACT(TO_TEXT($F574), U$1 &amp; ""x(\d+)"")), """")"),"")</f>
        <v/>
      </c>
      <c r="V574" s="9" t="str">
        <f ca="1">IFERROR(__xludf.DUMMYFUNCTION("IFERROR(VALUE(REGEXEXTRACT(TO_TEXT($F574), V$1 &amp; ""x(\d+)"")), """")"),"")</f>
        <v/>
      </c>
      <c r="W574" s="9"/>
      <c r="X574" s="9"/>
      <c r="Y574" s="9"/>
      <c r="Z574" s="9"/>
    </row>
    <row r="575" spans="1:26" ht="15.75" customHeight="1">
      <c r="A575" s="9" t="s">
        <v>1658</v>
      </c>
      <c r="B575" s="9" t="s">
        <v>1659</v>
      </c>
      <c r="C575" s="9" t="s">
        <v>570</v>
      </c>
      <c r="D575" s="9" t="s">
        <v>33</v>
      </c>
      <c r="E575" s="9" t="s">
        <v>12</v>
      </c>
      <c r="F575" s="9" t="s">
        <v>1661</v>
      </c>
      <c r="G575" s="9">
        <v>175</v>
      </c>
      <c r="H575" s="9">
        <v>2</v>
      </c>
      <c r="I575" s="9">
        <v>1.0149999999999999</v>
      </c>
      <c r="J575" s="9">
        <v>99</v>
      </c>
      <c r="K575" s="9" t="s">
        <v>442</v>
      </c>
      <c r="L575" s="9"/>
      <c r="M575" s="9"/>
      <c r="N575" s="9" t="str">
        <f ca="1">IFERROR(__xludf.DUMMYFUNCTION("IFERROR(VALUE(REGEXEXTRACT(TO_TEXT($F575), N$1 &amp; ""x(\d+)"")), """")
"),"")</f>
        <v/>
      </c>
      <c r="O575" s="9">
        <f ca="1">IFERROR(__xludf.DUMMYFUNCTION("IFERROR(VALUE(REGEXEXTRACT(TO_TEXT($F575), O$1 &amp; ""x(\d+)"")), """")"),1)</f>
        <v>1</v>
      </c>
      <c r="P575" s="9" t="str">
        <f ca="1">IFERROR(__xludf.DUMMYFUNCTION("IFERROR(VALUE(REGEXEXTRACT(TO_TEXT($F575), P$1 &amp; ""x(\d+)"")), """")"),"")</f>
        <v/>
      </c>
      <c r="Q575" s="9" t="str">
        <f ca="1">IFERROR(__xludf.DUMMYFUNCTION("IFERROR(VALUE(REGEXEXTRACT(TO_TEXT($F575), Q$1 &amp; ""x(\d+)"")), """")"),"")</f>
        <v/>
      </c>
      <c r="R575" s="9" t="str">
        <f ca="1">IFERROR(__xludf.DUMMYFUNCTION("IFERROR(VALUE(REGEXEXTRACT(TO_TEXT($F575), R$1 &amp; ""x(\d+)"")), """")"),"")</f>
        <v/>
      </c>
      <c r="S575" s="9" t="str">
        <f ca="1">IFERROR(__xludf.DUMMYFUNCTION("IFERROR(VALUE(REGEXEXTRACT(TO_TEXT($F575), S$1 &amp; ""x(\d+)"")), """")"),"")</f>
        <v/>
      </c>
      <c r="T575" s="9" t="str">
        <f ca="1">IFERROR(__xludf.DUMMYFUNCTION("IFERROR(VALUE(REGEXEXTRACT(TO_TEXT($F575), T$1 &amp; ""x(\d+)"")), """")"),"")</f>
        <v/>
      </c>
      <c r="U575" s="9" t="str">
        <f ca="1">IFERROR(__xludf.DUMMYFUNCTION("IFERROR(VALUE(REGEXEXTRACT(TO_TEXT($F575), U$1 &amp; ""x(\d+)"")), """")"),"")</f>
        <v/>
      </c>
      <c r="V575" s="9" t="str">
        <f ca="1">IFERROR(__xludf.DUMMYFUNCTION("IFERROR(VALUE(REGEXEXTRACT(TO_TEXT($F575), V$1 &amp; ""x(\d+)"")), """")"),"")</f>
        <v/>
      </c>
      <c r="W575" s="9"/>
      <c r="X575" s="9"/>
      <c r="Y575" s="9"/>
      <c r="Z575" s="9"/>
    </row>
    <row r="576" spans="1:26" ht="15.75" customHeight="1">
      <c r="A576" s="9" t="s">
        <v>1658</v>
      </c>
      <c r="B576" s="9" t="s">
        <v>1659</v>
      </c>
      <c r="C576" s="9" t="s">
        <v>570</v>
      </c>
      <c r="D576" s="9" t="s">
        <v>33</v>
      </c>
      <c r="E576" s="9" t="s">
        <v>13</v>
      </c>
      <c r="F576" s="9" t="s">
        <v>1662</v>
      </c>
      <c r="G576" s="9">
        <v>20</v>
      </c>
      <c r="H576" s="9">
        <v>2</v>
      </c>
      <c r="I576" s="9">
        <v>1.0149999999999999</v>
      </c>
      <c r="J576" s="9">
        <v>99</v>
      </c>
      <c r="K576" s="9" t="s">
        <v>442</v>
      </c>
      <c r="L576" s="9"/>
      <c r="M576" s="9"/>
      <c r="N576" s="9" t="str">
        <f ca="1">IFERROR(__xludf.DUMMYFUNCTION("IFERROR(VALUE(REGEXEXTRACT(TO_TEXT($F576), N$1 &amp; ""x(\d+)"")), """")
"),"")</f>
        <v/>
      </c>
      <c r="O576" s="9">
        <f ca="1">IFERROR(__xludf.DUMMYFUNCTION("IFERROR(VALUE(REGEXEXTRACT(TO_TEXT($F576), O$1 &amp; ""x(\d+)"")), """")"),1)</f>
        <v>1</v>
      </c>
      <c r="P576" s="9" t="str">
        <f ca="1">IFERROR(__xludf.DUMMYFUNCTION("IFERROR(VALUE(REGEXEXTRACT(TO_TEXT($F576), P$1 &amp; ""x(\d+)"")), """")"),"")</f>
        <v/>
      </c>
      <c r="Q576" s="9" t="str">
        <f ca="1">IFERROR(__xludf.DUMMYFUNCTION("IFERROR(VALUE(REGEXEXTRACT(TO_TEXT($F576), Q$1 &amp; ""x(\d+)"")), """")"),"")</f>
        <v/>
      </c>
      <c r="R576" s="9" t="str">
        <f ca="1">IFERROR(__xludf.DUMMYFUNCTION("IFERROR(VALUE(REGEXEXTRACT(TO_TEXT($F576), R$1 &amp; ""x(\d+)"")), """")"),"")</f>
        <v/>
      </c>
      <c r="S576" s="9" t="str">
        <f ca="1">IFERROR(__xludf.DUMMYFUNCTION("IFERROR(VALUE(REGEXEXTRACT(TO_TEXT($F576), S$1 &amp; ""x(\d+)"")), """")"),"")</f>
        <v/>
      </c>
      <c r="T576" s="9" t="str">
        <f ca="1">IFERROR(__xludf.DUMMYFUNCTION("IFERROR(VALUE(REGEXEXTRACT(TO_TEXT($F576), T$1 &amp; ""x(\d+)"")), """")"),"")</f>
        <v/>
      </c>
      <c r="U576" s="9" t="str">
        <f ca="1">IFERROR(__xludf.DUMMYFUNCTION("IFERROR(VALUE(REGEXEXTRACT(TO_TEXT($F576), U$1 &amp; ""x(\d+)"")), """")"),"")</f>
        <v/>
      </c>
      <c r="V576" s="9" t="str">
        <f ca="1">IFERROR(__xludf.DUMMYFUNCTION("IFERROR(VALUE(REGEXEXTRACT(TO_TEXT($F576), V$1 &amp; ""x(\d+)"")), """")"),"")</f>
        <v/>
      </c>
      <c r="W576" s="9"/>
      <c r="X576" s="9"/>
      <c r="Y576" s="9"/>
      <c r="Z576" s="9"/>
    </row>
    <row r="577" spans="1:26" ht="15.75" customHeight="1">
      <c r="A577" s="9" t="s">
        <v>1663</v>
      </c>
      <c r="B577" s="9" t="s">
        <v>1664</v>
      </c>
      <c r="C577" s="9" t="s">
        <v>871</v>
      </c>
      <c r="D577" s="9" t="s">
        <v>33</v>
      </c>
      <c r="E577" s="9" t="s">
        <v>12</v>
      </c>
      <c r="F577" s="9" t="s">
        <v>1307</v>
      </c>
      <c r="G577" s="9">
        <v>335</v>
      </c>
      <c r="H577" s="9">
        <v>1</v>
      </c>
      <c r="I577" s="9">
        <v>1.0149999999999999</v>
      </c>
      <c r="J577" s="9">
        <v>56</v>
      </c>
      <c r="K577" s="9" t="s">
        <v>708</v>
      </c>
      <c r="L577" s="9"/>
      <c r="M577" s="9"/>
      <c r="N577" s="9" t="str">
        <f ca="1">IFERROR(__xludf.DUMMYFUNCTION("IFERROR(VALUE(REGEXEXTRACT(TO_TEXT($F577), N$1 &amp; ""x(\d+)"")), """")
"),"")</f>
        <v/>
      </c>
      <c r="O577" s="9" t="str">
        <f ca="1">IFERROR(__xludf.DUMMYFUNCTION("IFERROR(VALUE(REGEXEXTRACT(TO_TEXT($F577), O$1 &amp; ""x(\d+)"")), """")"),"")</f>
        <v/>
      </c>
      <c r="P577" s="9" t="str">
        <f ca="1">IFERROR(__xludf.DUMMYFUNCTION("IFERROR(VALUE(REGEXEXTRACT(TO_TEXT($F577), P$1 &amp; ""x(\d+)"")), """")"),"")</f>
        <v/>
      </c>
      <c r="Q577" s="9" t="str">
        <f ca="1">IFERROR(__xludf.DUMMYFUNCTION("IFERROR(VALUE(REGEXEXTRACT(TO_TEXT($F577), Q$1 &amp; ""x(\d+)"")), """")"),"")</f>
        <v/>
      </c>
      <c r="R577" s="9">
        <f ca="1">IFERROR(__xludf.DUMMYFUNCTION("IFERROR(VALUE(REGEXEXTRACT(TO_TEXT($F577), R$1 &amp; ""x(\d+)"")), """")"),1)</f>
        <v>1</v>
      </c>
      <c r="S577" s="9" t="str">
        <f ca="1">IFERROR(__xludf.DUMMYFUNCTION("IFERROR(VALUE(REGEXEXTRACT(TO_TEXT($F577), S$1 &amp; ""x(\d+)"")), """")"),"")</f>
        <v/>
      </c>
      <c r="T577" s="9" t="str">
        <f ca="1">IFERROR(__xludf.DUMMYFUNCTION("IFERROR(VALUE(REGEXEXTRACT(TO_TEXT($F577), T$1 &amp; ""x(\d+)"")), """")"),"")</f>
        <v/>
      </c>
      <c r="U577" s="9" t="str">
        <f ca="1">IFERROR(__xludf.DUMMYFUNCTION("IFERROR(VALUE(REGEXEXTRACT(TO_TEXT($F577), U$1 &amp; ""x(\d+)"")), """")"),"")</f>
        <v/>
      </c>
      <c r="V577" s="9" t="str">
        <f ca="1">IFERROR(__xludf.DUMMYFUNCTION("IFERROR(VALUE(REGEXEXTRACT(TO_TEXT($F577), V$1 &amp; ""x(\d+)"")), """")"),"")</f>
        <v/>
      </c>
      <c r="W577" s="9"/>
      <c r="X577" s="9"/>
      <c r="Y577" s="9"/>
      <c r="Z577" s="9"/>
    </row>
    <row r="578" spans="1:26" ht="15.75" customHeight="1">
      <c r="A578" s="9" t="s">
        <v>1663</v>
      </c>
      <c r="B578" s="9" t="s">
        <v>1664</v>
      </c>
      <c r="C578" s="9" t="s">
        <v>871</v>
      </c>
      <c r="D578" s="9" t="s">
        <v>33</v>
      </c>
      <c r="E578" s="9" t="s">
        <v>13</v>
      </c>
      <c r="F578" s="9" t="s">
        <v>1308</v>
      </c>
      <c r="G578" s="9">
        <v>30</v>
      </c>
      <c r="H578" s="9">
        <v>1</v>
      </c>
      <c r="I578" s="9">
        <v>1.0149999999999999</v>
      </c>
      <c r="J578" s="9">
        <v>56</v>
      </c>
      <c r="K578" s="9" t="s">
        <v>708</v>
      </c>
      <c r="L578" s="9"/>
      <c r="M578" s="9"/>
      <c r="N578" s="9" t="str">
        <f ca="1">IFERROR(__xludf.DUMMYFUNCTION("IFERROR(VALUE(REGEXEXTRACT(TO_TEXT($F578), N$1 &amp; ""x(\d+)"")), """")
"),"")</f>
        <v/>
      </c>
      <c r="O578" s="9" t="str">
        <f ca="1">IFERROR(__xludf.DUMMYFUNCTION("IFERROR(VALUE(REGEXEXTRACT(TO_TEXT($F578), O$1 &amp; ""x(\d+)"")), """")"),"")</f>
        <v/>
      </c>
      <c r="P578" s="9" t="str">
        <f ca="1">IFERROR(__xludf.DUMMYFUNCTION("IFERROR(VALUE(REGEXEXTRACT(TO_TEXT($F578), P$1 &amp; ""x(\d+)"")), """")"),"")</f>
        <v/>
      </c>
      <c r="Q578" s="9" t="str">
        <f ca="1">IFERROR(__xludf.DUMMYFUNCTION("IFERROR(VALUE(REGEXEXTRACT(TO_TEXT($F578), Q$1 &amp; ""x(\d+)"")), """")"),"")</f>
        <v/>
      </c>
      <c r="R578" s="9">
        <f ca="1">IFERROR(__xludf.DUMMYFUNCTION("IFERROR(VALUE(REGEXEXTRACT(TO_TEXT($F578), R$1 &amp; ""x(\d+)"")), """")"),1)</f>
        <v>1</v>
      </c>
      <c r="S578" s="9" t="str">
        <f ca="1">IFERROR(__xludf.DUMMYFUNCTION("IFERROR(VALUE(REGEXEXTRACT(TO_TEXT($F578), S$1 &amp; ""x(\d+)"")), """")"),"")</f>
        <v/>
      </c>
      <c r="T578" s="9" t="str">
        <f ca="1">IFERROR(__xludf.DUMMYFUNCTION("IFERROR(VALUE(REGEXEXTRACT(TO_TEXT($F578), T$1 &amp; ""x(\d+)"")), """")"),"")</f>
        <v/>
      </c>
      <c r="U578" s="9" t="str">
        <f ca="1">IFERROR(__xludf.DUMMYFUNCTION("IFERROR(VALUE(REGEXEXTRACT(TO_TEXT($F578), U$1 &amp; ""x(\d+)"")), """")"),"")</f>
        <v/>
      </c>
      <c r="V578" s="9" t="str">
        <f ca="1">IFERROR(__xludf.DUMMYFUNCTION("IFERROR(VALUE(REGEXEXTRACT(TO_TEXT($F578), V$1 &amp; ""x(\d+)"")), """")"),"")</f>
        <v/>
      </c>
      <c r="W578" s="9"/>
      <c r="X578" s="9"/>
      <c r="Y578" s="9"/>
      <c r="Z578" s="9"/>
    </row>
    <row r="579" spans="1:26" ht="15.75" customHeight="1">
      <c r="A579" s="9" t="s">
        <v>1663</v>
      </c>
      <c r="B579" s="9" t="s">
        <v>1664</v>
      </c>
      <c r="C579" s="9" t="s">
        <v>871</v>
      </c>
      <c r="D579" s="9" t="s">
        <v>33</v>
      </c>
      <c r="E579" s="9" t="s">
        <v>12</v>
      </c>
      <c r="F579" s="9" t="s">
        <v>1665</v>
      </c>
      <c r="G579" s="9">
        <v>75</v>
      </c>
      <c r="H579" s="9">
        <v>5</v>
      </c>
      <c r="I579" s="9">
        <v>1.0149999999999999</v>
      </c>
      <c r="J579" s="9">
        <v>56</v>
      </c>
      <c r="K579" s="9" t="s">
        <v>499</v>
      </c>
      <c r="L579" s="9"/>
      <c r="M579" s="9"/>
      <c r="N579" s="9" t="str">
        <f ca="1">IFERROR(__xludf.DUMMYFUNCTION("IFERROR(VALUE(REGEXEXTRACT(TO_TEXT($F579), N$1 &amp; ""x(\d+)"")), """")
"),"")</f>
        <v/>
      </c>
      <c r="O579" s="9">
        <f ca="1">IFERROR(__xludf.DUMMYFUNCTION("IFERROR(VALUE(REGEXEXTRACT(TO_TEXT($F579), O$1 &amp; ""x(\d+)"")), """")"),2)</f>
        <v>2</v>
      </c>
      <c r="P579" s="9" t="str">
        <f ca="1">IFERROR(__xludf.DUMMYFUNCTION("IFERROR(VALUE(REGEXEXTRACT(TO_TEXT($F579), P$1 &amp; ""x(\d+)"")), """")"),"")</f>
        <v/>
      </c>
      <c r="Q579" s="9" t="str">
        <f ca="1">IFERROR(__xludf.DUMMYFUNCTION("IFERROR(VALUE(REGEXEXTRACT(TO_TEXT($F579), Q$1 &amp; ""x(\d+)"")), """")"),"")</f>
        <v/>
      </c>
      <c r="R579" s="9" t="str">
        <f ca="1">IFERROR(__xludf.DUMMYFUNCTION("IFERROR(VALUE(REGEXEXTRACT(TO_TEXT($F579), R$1 &amp; ""x(\d+)"")), """")"),"")</f>
        <v/>
      </c>
      <c r="S579" s="9" t="str">
        <f ca="1">IFERROR(__xludf.DUMMYFUNCTION("IFERROR(VALUE(REGEXEXTRACT(TO_TEXT($F579), S$1 &amp; ""x(\d+)"")), """")"),"")</f>
        <v/>
      </c>
      <c r="T579" s="9" t="str">
        <f ca="1">IFERROR(__xludf.DUMMYFUNCTION("IFERROR(VALUE(REGEXEXTRACT(TO_TEXT($F579), T$1 &amp; ""x(\d+)"")), """")"),"")</f>
        <v/>
      </c>
      <c r="U579" s="9" t="str">
        <f ca="1">IFERROR(__xludf.DUMMYFUNCTION("IFERROR(VALUE(REGEXEXTRACT(TO_TEXT($F579), U$1 &amp; ""x(\d+)"")), """")"),"")</f>
        <v/>
      </c>
      <c r="V579" s="9" t="str">
        <f ca="1">IFERROR(__xludf.DUMMYFUNCTION("IFERROR(VALUE(REGEXEXTRACT(TO_TEXT($F579), V$1 &amp; ""x(\d+)"")), """")"),"")</f>
        <v/>
      </c>
      <c r="W579" s="9"/>
      <c r="X579" s="9"/>
      <c r="Y579" s="9"/>
      <c r="Z579" s="9"/>
    </row>
    <row r="580" spans="1:26" ht="15.75" customHeight="1">
      <c r="A580" s="9" t="s">
        <v>1663</v>
      </c>
      <c r="B580" s="9" t="s">
        <v>1664</v>
      </c>
      <c r="C580" s="9" t="s">
        <v>871</v>
      </c>
      <c r="D580" s="9" t="s">
        <v>33</v>
      </c>
      <c r="E580" s="9" t="s">
        <v>13</v>
      </c>
      <c r="F580" s="9" t="s">
        <v>1666</v>
      </c>
      <c r="G580" s="9">
        <v>15</v>
      </c>
      <c r="H580" s="9">
        <v>5</v>
      </c>
      <c r="I580" s="9">
        <v>1.0149999999999999</v>
      </c>
      <c r="J580" s="9">
        <v>56</v>
      </c>
      <c r="K580" s="9" t="s">
        <v>499</v>
      </c>
      <c r="L580" s="9"/>
      <c r="M580" s="9"/>
      <c r="N580" s="9" t="str">
        <f ca="1">IFERROR(__xludf.DUMMYFUNCTION("IFERROR(VALUE(REGEXEXTRACT(TO_TEXT($F580), N$1 &amp; ""x(\d+)"")), """")
"),"")</f>
        <v/>
      </c>
      <c r="O580" s="9">
        <f ca="1">IFERROR(__xludf.DUMMYFUNCTION("IFERROR(VALUE(REGEXEXTRACT(TO_TEXT($F580), O$1 &amp; ""x(\d+)"")), """")"),2)</f>
        <v>2</v>
      </c>
      <c r="P580" s="9" t="str">
        <f ca="1">IFERROR(__xludf.DUMMYFUNCTION("IFERROR(VALUE(REGEXEXTRACT(TO_TEXT($F580), P$1 &amp; ""x(\d+)"")), """")"),"")</f>
        <v/>
      </c>
      <c r="Q580" s="9" t="str">
        <f ca="1">IFERROR(__xludf.DUMMYFUNCTION("IFERROR(VALUE(REGEXEXTRACT(TO_TEXT($F580), Q$1 &amp; ""x(\d+)"")), """")"),"")</f>
        <v/>
      </c>
      <c r="R580" s="9" t="str">
        <f ca="1">IFERROR(__xludf.DUMMYFUNCTION("IFERROR(VALUE(REGEXEXTRACT(TO_TEXT($F580), R$1 &amp; ""x(\d+)"")), """")"),"")</f>
        <v/>
      </c>
      <c r="S580" s="9" t="str">
        <f ca="1">IFERROR(__xludf.DUMMYFUNCTION("IFERROR(VALUE(REGEXEXTRACT(TO_TEXT($F580), S$1 &amp; ""x(\d+)"")), """")"),"")</f>
        <v/>
      </c>
      <c r="T580" s="9" t="str">
        <f ca="1">IFERROR(__xludf.DUMMYFUNCTION("IFERROR(VALUE(REGEXEXTRACT(TO_TEXT($F580), T$1 &amp; ""x(\d+)"")), """")"),"")</f>
        <v/>
      </c>
      <c r="U580" s="9" t="str">
        <f ca="1">IFERROR(__xludf.DUMMYFUNCTION("IFERROR(VALUE(REGEXEXTRACT(TO_TEXT($F580), U$1 &amp; ""x(\d+)"")), """")"),"")</f>
        <v/>
      </c>
      <c r="V580" s="9" t="str">
        <f ca="1">IFERROR(__xludf.DUMMYFUNCTION("IFERROR(VALUE(REGEXEXTRACT(TO_TEXT($F580), V$1 &amp; ""x(\d+)"")), """")"),"")</f>
        <v/>
      </c>
      <c r="W580" s="9"/>
      <c r="X580" s="9"/>
      <c r="Y580" s="9"/>
      <c r="Z580" s="9"/>
    </row>
    <row r="581" spans="1:26" ht="15.75" customHeight="1">
      <c r="A581" s="9" t="s">
        <v>268</v>
      </c>
      <c r="B581" s="9" t="s">
        <v>1667</v>
      </c>
      <c r="C581" s="9" t="s">
        <v>269</v>
      </c>
      <c r="D581" s="9" t="s">
        <v>33</v>
      </c>
      <c r="E581" s="9" t="s">
        <v>11</v>
      </c>
      <c r="F581" s="9" t="s">
        <v>1668</v>
      </c>
      <c r="G581" s="9">
        <v>35</v>
      </c>
      <c r="H581" s="9">
        <v>3</v>
      </c>
      <c r="I581" s="9">
        <v>1.0149999999999999</v>
      </c>
      <c r="J581" s="9">
        <v>78</v>
      </c>
      <c r="K581" s="9" t="s">
        <v>442</v>
      </c>
      <c r="L581" s="9"/>
      <c r="M581" s="9"/>
      <c r="N581" s="9" t="str">
        <f ca="1">IFERROR(__xludf.DUMMYFUNCTION("IFERROR(VALUE(REGEXEXTRACT(TO_TEXT($F581), N$1 &amp; ""x(\d+)"")), """")
"),"")</f>
        <v/>
      </c>
      <c r="O581" s="9" t="str">
        <f ca="1">IFERROR(__xludf.DUMMYFUNCTION("IFERROR(VALUE(REGEXEXTRACT(TO_TEXT($F581), O$1 &amp; ""x(\d+)"")), """")"),"")</f>
        <v/>
      </c>
      <c r="P581" s="9" t="str">
        <f ca="1">IFERROR(__xludf.DUMMYFUNCTION("IFERROR(VALUE(REGEXEXTRACT(TO_TEXT($F581), P$1 &amp; ""x(\d+)"")), """")"),"")</f>
        <v/>
      </c>
      <c r="Q581" s="9" t="str">
        <f ca="1">IFERROR(__xludf.DUMMYFUNCTION("IFERROR(VALUE(REGEXEXTRACT(TO_TEXT($F581), Q$1 &amp; ""x(\d+)"")), """")"),"")</f>
        <v/>
      </c>
      <c r="R581" s="9" t="str">
        <f ca="1">IFERROR(__xludf.DUMMYFUNCTION("IFERROR(VALUE(REGEXEXTRACT(TO_TEXT($F581), R$1 &amp; ""x(\d+)"")), """")"),"")</f>
        <v/>
      </c>
      <c r="S581" s="9" t="str">
        <f ca="1">IFERROR(__xludf.DUMMYFUNCTION("IFERROR(VALUE(REGEXEXTRACT(TO_TEXT($F581), S$1 &amp; ""x(\d+)"")), """")"),"")</f>
        <v/>
      </c>
      <c r="T581" s="9" t="str">
        <f ca="1">IFERROR(__xludf.DUMMYFUNCTION("IFERROR(VALUE(REGEXEXTRACT(TO_TEXT($F581), T$1 &amp; ""x(\d+)"")), """")"),"")</f>
        <v/>
      </c>
      <c r="U581" s="9" t="str">
        <f ca="1">IFERROR(__xludf.DUMMYFUNCTION("IFERROR(VALUE(REGEXEXTRACT(TO_TEXT($F581), U$1 &amp; ""x(\d+)"")), """")"),"")</f>
        <v/>
      </c>
      <c r="V581" s="9" t="str">
        <f ca="1">IFERROR(__xludf.DUMMYFUNCTION("IFERROR(VALUE(REGEXEXTRACT(TO_TEXT($F581), V$1 &amp; ""x(\d+)"")), """")"),"")</f>
        <v/>
      </c>
      <c r="W581" s="9"/>
      <c r="X581" s="9"/>
      <c r="Y581" s="9"/>
      <c r="Z581" s="9"/>
    </row>
    <row r="582" spans="1:26" ht="15.75" customHeight="1">
      <c r="A582" s="9" t="s">
        <v>268</v>
      </c>
      <c r="B582" s="9" t="s">
        <v>1667</v>
      </c>
      <c r="C582" s="9" t="s">
        <v>269</v>
      </c>
      <c r="D582" s="9" t="s">
        <v>33</v>
      </c>
      <c r="E582" s="9" t="s">
        <v>12</v>
      </c>
      <c r="F582" s="9" t="s">
        <v>1669</v>
      </c>
      <c r="G582" s="9">
        <v>125</v>
      </c>
      <c r="H582" s="9">
        <v>3</v>
      </c>
      <c r="I582" s="9">
        <v>1.0149999999999999</v>
      </c>
      <c r="J582" s="9">
        <v>78</v>
      </c>
      <c r="K582" s="9" t="s">
        <v>442</v>
      </c>
      <c r="L582" s="9"/>
      <c r="M582" s="9"/>
      <c r="N582" s="9" t="str">
        <f ca="1">IFERROR(__xludf.DUMMYFUNCTION("IFERROR(VALUE(REGEXEXTRACT(TO_TEXT($F582), N$1 &amp; ""x(\d+)"")), """")
"),"")</f>
        <v/>
      </c>
      <c r="O582" s="9">
        <f ca="1">IFERROR(__xludf.DUMMYFUNCTION("IFERROR(VALUE(REGEXEXTRACT(TO_TEXT($F582), O$1 &amp; ""x(\d+)"")), """")"),1)</f>
        <v>1</v>
      </c>
      <c r="P582" s="9" t="str">
        <f ca="1">IFERROR(__xludf.DUMMYFUNCTION("IFERROR(VALUE(REGEXEXTRACT(TO_TEXT($F582), P$1 &amp; ""x(\d+)"")), """")"),"")</f>
        <v/>
      </c>
      <c r="Q582" s="9" t="str">
        <f ca="1">IFERROR(__xludf.DUMMYFUNCTION("IFERROR(VALUE(REGEXEXTRACT(TO_TEXT($F582), Q$1 &amp; ""x(\d+)"")), """")"),"")</f>
        <v/>
      </c>
      <c r="R582" s="9" t="str">
        <f ca="1">IFERROR(__xludf.DUMMYFUNCTION("IFERROR(VALUE(REGEXEXTRACT(TO_TEXT($F582), R$1 &amp; ""x(\d+)"")), """")"),"")</f>
        <v/>
      </c>
      <c r="S582" s="9" t="str">
        <f ca="1">IFERROR(__xludf.DUMMYFUNCTION("IFERROR(VALUE(REGEXEXTRACT(TO_TEXT($F582), S$1 &amp; ""x(\d+)"")), """")"),"")</f>
        <v/>
      </c>
      <c r="T582" s="9" t="str">
        <f ca="1">IFERROR(__xludf.DUMMYFUNCTION("IFERROR(VALUE(REGEXEXTRACT(TO_TEXT($F582), T$1 &amp; ""x(\d+)"")), """")"),"")</f>
        <v/>
      </c>
      <c r="U582" s="9" t="str">
        <f ca="1">IFERROR(__xludf.DUMMYFUNCTION("IFERROR(VALUE(REGEXEXTRACT(TO_TEXT($F582), U$1 &amp; ""x(\d+)"")), """")"),"")</f>
        <v/>
      </c>
      <c r="V582" s="9" t="str">
        <f ca="1">IFERROR(__xludf.DUMMYFUNCTION("IFERROR(VALUE(REGEXEXTRACT(TO_TEXT($F582), V$1 &amp; ""x(\d+)"")), """")"),"")</f>
        <v/>
      </c>
      <c r="W582" s="9"/>
      <c r="X582" s="9"/>
      <c r="Y582" s="9"/>
      <c r="Z582" s="9"/>
    </row>
    <row r="583" spans="1:26" ht="15.75" customHeight="1">
      <c r="A583" s="9" t="s">
        <v>268</v>
      </c>
      <c r="B583" s="9" t="s">
        <v>1667</v>
      </c>
      <c r="C583" s="9" t="s">
        <v>269</v>
      </c>
      <c r="D583" s="9" t="s">
        <v>33</v>
      </c>
      <c r="E583" s="9" t="s">
        <v>13</v>
      </c>
      <c r="F583" s="9" t="s">
        <v>1071</v>
      </c>
      <c r="G583" s="9">
        <v>15</v>
      </c>
      <c r="H583" s="9">
        <v>3</v>
      </c>
      <c r="I583" s="9">
        <v>1.0149999999999999</v>
      </c>
      <c r="J583" s="9">
        <v>78</v>
      </c>
      <c r="K583" s="9" t="s">
        <v>442</v>
      </c>
      <c r="L583" s="9"/>
      <c r="M583" s="9"/>
      <c r="N583" s="9" t="str">
        <f ca="1">IFERROR(__xludf.DUMMYFUNCTION("IFERROR(VALUE(REGEXEXTRACT(TO_TEXT($F583), N$1 &amp; ""x(\d+)"")), """")
"),"")</f>
        <v/>
      </c>
      <c r="O583" s="9">
        <f ca="1">IFERROR(__xludf.DUMMYFUNCTION("IFERROR(VALUE(REGEXEXTRACT(TO_TEXT($F583), O$1 &amp; ""x(\d+)"")), """")"),1)</f>
        <v>1</v>
      </c>
      <c r="P583" s="9" t="str">
        <f ca="1">IFERROR(__xludf.DUMMYFUNCTION("IFERROR(VALUE(REGEXEXTRACT(TO_TEXT($F583), P$1 &amp; ""x(\d+)"")), """")"),"")</f>
        <v/>
      </c>
      <c r="Q583" s="9" t="str">
        <f ca="1">IFERROR(__xludf.DUMMYFUNCTION("IFERROR(VALUE(REGEXEXTRACT(TO_TEXT($F583), Q$1 &amp; ""x(\d+)"")), """")"),"")</f>
        <v/>
      </c>
      <c r="R583" s="9" t="str">
        <f ca="1">IFERROR(__xludf.DUMMYFUNCTION("IFERROR(VALUE(REGEXEXTRACT(TO_TEXT($F583), R$1 &amp; ""x(\d+)"")), """")"),"")</f>
        <v/>
      </c>
      <c r="S583" s="9" t="str">
        <f ca="1">IFERROR(__xludf.DUMMYFUNCTION("IFERROR(VALUE(REGEXEXTRACT(TO_TEXT($F583), S$1 &amp; ""x(\d+)"")), """")"),"")</f>
        <v/>
      </c>
      <c r="T583" s="9" t="str">
        <f ca="1">IFERROR(__xludf.DUMMYFUNCTION("IFERROR(VALUE(REGEXEXTRACT(TO_TEXT($F583), T$1 &amp; ""x(\d+)"")), """")"),"")</f>
        <v/>
      </c>
      <c r="U583" s="9" t="str">
        <f ca="1">IFERROR(__xludf.DUMMYFUNCTION("IFERROR(VALUE(REGEXEXTRACT(TO_TEXT($F583), U$1 &amp; ""x(\d+)"")), """")"),"")</f>
        <v/>
      </c>
      <c r="V583" s="9" t="str">
        <f ca="1">IFERROR(__xludf.DUMMYFUNCTION("IFERROR(VALUE(REGEXEXTRACT(TO_TEXT($F583), V$1 &amp; ""x(\d+)"")), """")"),"")</f>
        <v/>
      </c>
      <c r="W583" s="9"/>
      <c r="X583" s="9"/>
      <c r="Y583" s="9"/>
      <c r="Z583" s="9"/>
    </row>
    <row r="584" spans="1:26" ht="15.75" customHeight="1">
      <c r="A584" s="9" t="s">
        <v>1670</v>
      </c>
      <c r="B584" s="9" t="s">
        <v>1671</v>
      </c>
      <c r="C584" s="9" t="s">
        <v>784</v>
      </c>
      <c r="D584" s="9" t="s">
        <v>33</v>
      </c>
      <c r="E584" s="9" t="s">
        <v>12</v>
      </c>
      <c r="F584" s="9" t="s">
        <v>1084</v>
      </c>
      <c r="G584" s="9">
        <v>50</v>
      </c>
      <c r="H584" s="9">
        <v>5</v>
      </c>
      <c r="I584" s="9">
        <v>1.0149999999999999</v>
      </c>
      <c r="J584" s="9">
        <v>88</v>
      </c>
      <c r="K584" s="9" t="s">
        <v>499</v>
      </c>
      <c r="L584" s="9" t="s">
        <v>1243</v>
      </c>
      <c r="M584" s="9"/>
      <c r="N584" s="9" t="str">
        <f ca="1">IFERROR(__xludf.DUMMYFUNCTION("IFERROR(VALUE(REGEXEXTRACT(TO_TEXT($F584), N$1 &amp; ""x(\d+)"")), """")
"),"")</f>
        <v/>
      </c>
      <c r="O584" s="9">
        <f ca="1">IFERROR(__xludf.DUMMYFUNCTION("IFERROR(VALUE(REGEXEXTRACT(TO_TEXT($F584), O$1 &amp; ""x(\d+)"")), """")"),1)</f>
        <v>1</v>
      </c>
      <c r="P584" s="9" t="str">
        <f ca="1">IFERROR(__xludf.DUMMYFUNCTION("IFERROR(VALUE(REGEXEXTRACT(TO_TEXT($F584), P$1 &amp; ""x(\d+)"")), """")"),"")</f>
        <v/>
      </c>
      <c r="Q584" s="9" t="str">
        <f ca="1">IFERROR(__xludf.DUMMYFUNCTION("IFERROR(VALUE(REGEXEXTRACT(TO_TEXT($F584), Q$1 &amp; ""x(\d+)"")), """")"),"")</f>
        <v/>
      </c>
      <c r="R584" s="9" t="str">
        <f ca="1">IFERROR(__xludf.DUMMYFUNCTION("IFERROR(VALUE(REGEXEXTRACT(TO_TEXT($F584), R$1 &amp; ""x(\d+)"")), """")"),"")</f>
        <v/>
      </c>
      <c r="S584" s="9" t="str">
        <f ca="1">IFERROR(__xludf.DUMMYFUNCTION("IFERROR(VALUE(REGEXEXTRACT(TO_TEXT($F584), S$1 &amp; ""x(\d+)"")), """")"),"")</f>
        <v/>
      </c>
      <c r="T584" s="9" t="str">
        <f ca="1">IFERROR(__xludf.DUMMYFUNCTION("IFERROR(VALUE(REGEXEXTRACT(TO_TEXT($F584), T$1 &amp; ""x(\d+)"")), """")"),"")</f>
        <v/>
      </c>
      <c r="U584" s="9" t="str">
        <f ca="1">IFERROR(__xludf.DUMMYFUNCTION("IFERROR(VALUE(REGEXEXTRACT(TO_TEXT($F584), U$1 &amp; ""x(\d+)"")), """")"),"")</f>
        <v/>
      </c>
      <c r="V584" s="9" t="str">
        <f ca="1">IFERROR(__xludf.DUMMYFUNCTION("IFERROR(VALUE(REGEXEXTRACT(TO_TEXT($F584), V$1 &amp; ""x(\d+)"")), """")"),"")</f>
        <v/>
      </c>
      <c r="W584" s="9"/>
      <c r="X584" s="9"/>
      <c r="Y584" s="9"/>
      <c r="Z584" s="9"/>
    </row>
    <row r="585" spans="1:26" ht="15.75" customHeight="1">
      <c r="A585" s="9" t="s">
        <v>1670</v>
      </c>
      <c r="B585" s="9" t="s">
        <v>1671</v>
      </c>
      <c r="C585" s="9" t="s">
        <v>784</v>
      </c>
      <c r="D585" s="9" t="s">
        <v>33</v>
      </c>
      <c r="E585" s="9" t="s">
        <v>13</v>
      </c>
      <c r="F585" s="9" t="s">
        <v>1672</v>
      </c>
      <c r="G585" s="9">
        <v>25</v>
      </c>
      <c r="H585" s="9">
        <v>5</v>
      </c>
      <c r="I585" s="9">
        <v>1.0149999999999999</v>
      </c>
      <c r="J585" s="9">
        <v>88</v>
      </c>
      <c r="K585" s="9" t="s">
        <v>499</v>
      </c>
      <c r="L585" s="9"/>
      <c r="M585" s="9"/>
      <c r="N585" s="9" t="str">
        <f ca="1">IFERROR(__xludf.DUMMYFUNCTION("IFERROR(VALUE(REGEXEXTRACT(TO_TEXT($F585), N$1 &amp; ""x(\d+)"")), """")
"),"")</f>
        <v/>
      </c>
      <c r="O585" s="9">
        <f ca="1">IFERROR(__xludf.DUMMYFUNCTION("IFERROR(VALUE(REGEXEXTRACT(TO_TEXT($F585), O$1 &amp; ""x(\d+)"")), """")"),1)</f>
        <v>1</v>
      </c>
      <c r="P585" s="9" t="str">
        <f ca="1">IFERROR(__xludf.DUMMYFUNCTION("IFERROR(VALUE(REGEXEXTRACT(TO_TEXT($F585), P$1 &amp; ""x(\d+)"")), """")"),"")</f>
        <v/>
      </c>
      <c r="Q585" s="9" t="str">
        <f ca="1">IFERROR(__xludf.DUMMYFUNCTION("IFERROR(VALUE(REGEXEXTRACT(TO_TEXT($F585), Q$1 &amp; ""x(\d+)"")), """")"),"")</f>
        <v/>
      </c>
      <c r="R585" s="9" t="str">
        <f ca="1">IFERROR(__xludf.DUMMYFUNCTION("IFERROR(VALUE(REGEXEXTRACT(TO_TEXT($F585), R$1 &amp; ""x(\d+)"")), """")"),"")</f>
        <v/>
      </c>
      <c r="S585" s="9" t="str">
        <f ca="1">IFERROR(__xludf.DUMMYFUNCTION("IFERROR(VALUE(REGEXEXTRACT(TO_TEXT($F585), S$1 &amp; ""x(\d+)"")), """")"),"")</f>
        <v/>
      </c>
      <c r="T585" s="9" t="str">
        <f ca="1">IFERROR(__xludf.DUMMYFUNCTION("IFERROR(VALUE(REGEXEXTRACT(TO_TEXT($F585), T$1 &amp; ""x(\d+)"")), """")"),"")</f>
        <v/>
      </c>
      <c r="U585" s="9" t="str">
        <f ca="1">IFERROR(__xludf.DUMMYFUNCTION("IFERROR(VALUE(REGEXEXTRACT(TO_TEXT($F585), U$1 &amp; ""x(\d+)"")), """")"),"")</f>
        <v/>
      </c>
      <c r="V585" s="9" t="str">
        <f ca="1">IFERROR(__xludf.DUMMYFUNCTION("IFERROR(VALUE(REGEXEXTRACT(TO_TEXT($F585), V$1 &amp; ""x(\d+)"")), """")"),"")</f>
        <v/>
      </c>
      <c r="W585" s="9"/>
      <c r="X585" s="9"/>
      <c r="Y585" s="9"/>
      <c r="Z585" s="9"/>
    </row>
    <row r="586" spans="1:26" ht="15.75" hidden="1" customHeight="1">
      <c r="A586" s="9" t="s">
        <v>1673</v>
      </c>
      <c r="B586" s="9" t="s">
        <v>1674</v>
      </c>
      <c r="C586" s="9" t="s">
        <v>661</v>
      </c>
      <c r="D586" s="9" t="s">
        <v>40</v>
      </c>
      <c r="E586" s="9" t="s">
        <v>12</v>
      </c>
      <c r="F586" s="9" t="s">
        <v>1284</v>
      </c>
      <c r="G586" s="9">
        <v>390</v>
      </c>
      <c r="H586" s="9">
        <v>1</v>
      </c>
      <c r="I586" s="9">
        <v>1.0149999999999999</v>
      </c>
      <c r="J586" s="9">
        <v>412</v>
      </c>
      <c r="K586" s="9" t="s">
        <v>442</v>
      </c>
      <c r="L586" s="9"/>
      <c r="M586" s="9"/>
      <c r="N586" s="9" t="str">
        <f ca="1">IFERROR(__xludf.DUMMYFUNCTION("IFERROR(VALUE(REGEXEXTRACT(TO_TEXT($F586), N$1 &amp; ""x(\d+)"")), """")
"),"")</f>
        <v/>
      </c>
      <c r="O586" s="9" t="str">
        <f ca="1">IFERROR(__xludf.DUMMYFUNCTION("IFERROR(VALUE(REGEXEXTRACT(TO_TEXT($F586), O$1 &amp; ""x(\d+)"")), """")"),"")</f>
        <v/>
      </c>
      <c r="P586" s="9" t="str">
        <f ca="1">IFERROR(__xludf.DUMMYFUNCTION("IFERROR(VALUE(REGEXEXTRACT(TO_TEXT($F586), P$1 &amp; ""x(\d+)"")), """")"),"")</f>
        <v/>
      </c>
      <c r="Q586" s="9" t="str">
        <f ca="1">IFERROR(__xludf.DUMMYFUNCTION("IFERROR(VALUE(REGEXEXTRACT(TO_TEXT($F586), Q$1 &amp; ""x(\d+)"")), """")"),"")</f>
        <v/>
      </c>
      <c r="R586" s="9" t="str">
        <f ca="1">IFERROR(__xludf.DUMMYFUNCTION("IFERROR(VALUE(REGEXEXTRACT(TO_TEXT($F586), R$1 &amp; ""x(\d+)"")), """")"),"")</f>
        <v/>
      </c>
      <c r="S586" s="9" t="str">
        <f ca="1">IFERROR(__xludf.DUMMYFUNCTION("IFERROR(VALUE(REGEXEXTRACT(TO_TEXT($F586), S$1 &amp; ""x(\d+)"")), """")"),"")</f>
        <v/>
      </c>
      <c r="T586" s="9">
        <f ca="1">IFERROR(__xludf.DUMMYFUNCTION("IFERROR(VALUE(REGEXEXTRACT(TO_TEXT($F586), T$1 &amp; ""x(\d+)"")), """")"),1)</f>
        <v>1</v>
      </c>
      <c r="U586" s="9" t="str">
        <f ca="1">IFERROR(__xludf.DUMMYFUNCTION("IFERROR(VALUE(REGEXEXTRACT(TO_TEXT($F586), U$1 &amp; ""x(\d+)"")), """")"),"")</f>
        <v/>
      </c>
      <c r="V586" s="9" t="str">
        <f ca="1">IFERROR(__xludf.DUMMYFUNCTION("IFERROR(VALUE(REGEXEXTRACT(TO_TEXT($F586), V$1 &amp; ""x(\d+)"")), """")"),"")</f>
        <v/>
      </c>
      <c r="W586" s="9"/>
      <c r="X586" s="9"/>
      <c r="Y586" s="9"/>
      <c r="Z586" s="9"/>
    </row>
    <row r="587" spans="1:26" ht="15.75" hidden="1" customHeight="1">
      <c r="A587" s="9" t="s">
        <v>1673</v>
      </c>
      <c r="B587" s="9" t="s">
        <v>1674</v>
      </c>
      <c r="C587" s="9" t="s">
        <v>661</v>
      </c>
      <c r="D587" s="9" t="s">
        <v>40</v>
      </c>
      <c r="E587" s="9" t="s">
        <v>13</v>
      </c>
      <c r="F587" s="9" t="s">
        <v>1285</v>
      </c>
      <c r="G587" s="9">
        <v>60</v>
      </c>
      <c r="H587" s="9">
        <v>1</v>
      </c>
      <c r="I587" s="9">
        <v>1.0149999999999999</v>
      </c>
      <c r="J587" s="9">
        <v>412</v>
      </c>
      <c r="K587" s="9" t="s">
        <v>442</v>
      </c>
      <c r="L587" s="9"/>
      <c r="M587" s="9"/>
      <c r="N587" s="9" t="str">
        <f ca="1">IFERROR(__xludf.DUMMYFUNCTION("IFERROR(VALUE(REGEXEXTRACT(TO_TEXT($F587), N$1 &amp; ""x(\d+)"")), """")
"),"")</f>
        <v/>
      </c>
      <c r="O587" s="9" t="str">
        <f ca="1">IFERROR(__xludf.DUMMYFUNCTION("IFERROR(VALUE(REGEXEXTRACT(TO_TEXT($F587), O$1 &amp; ""x(\d+)"")), """")"),"")</f>
        <v/>
      </c>
      <c r="P587" s="9" t="str">
        <f ca="1">IFERROR(__xludf.DUMMYFUNCTION("IFERROR(VALUE(REGEXEXTRACT(TO_TEXT($F587), P$1 &amp; ""x(\d+)"")), """")"),"")</f>
        <v/>
      </c>
      <c r="Q587" s="9" t="str">
        <f ca="1">IFERROR(__xludf.DUMMYFUNCTION("IFERROR(VALUE(REGEXEXTRACT(TO_TEXT($F587), Q$1 &amp; ""x(\d+)"")), """")"),"")</f>
        <v/>
      </c>
      <c r="R587" s="9" t="str">
        <f ca="1">IFERROR(__xludf.DUMMYFUNCTION("IFERROR(VALUE(REGEXEXTRACT(TO_TEXT($F587), R$1 &amp; ""x(\d+)"")), """")"),"")</f>
        <v/>
      </c>
      <c r="S587" s="9" t="str">
        <f ca="1">IFERROR(__xludf.DUMMYFUNCTION("IFERROR(VALUE(REGEXEXTRACT(TO_TEXT($F587), S$1 &amp; ""x(\d+)"")), """")"),"")</f>
        <v/>
      </c>
      <c r="T587" s="9">
        <f ca="1">IFERROR(__xludf.DUMMYFUNCTION("IFERROR(VALUE(REGEXEXTRACT(TO_TEXT($F587), T$1 &amp; ""x(\d+)"")), """")"),1)</f>
        <v>1</v>
      </c>
      <c r="U587" s="9" t="str">
        <f ca="1">IFERROR(__xludf.DUMMYFUNCTION("IFERROR(VALUE(REGEXEXTRACT(TO_TEXT($F587), U$1 &amp; ""x(\d+)"")), """")"),"")</f>
        <v/>
      </c>
      <c r="V587" s="9" t="str">
        <f ca="1">IFERROR(__xludf.DUMMYFUNCTION("IFERROR(VALUE(REGEXEXTRACT(TO_TEXT($F587), V$1 &amp; ""x(\d+)"")), """")"),"")</f>
        <v/>
      </c>
      <c r="W587" s="9"/>
      <c r="X587" s="9"/>
      <c r="Y587" s="9"/>
      <c r="Z587" s="9"/>
    </row>
    <row r="588" spans="1:26" ht="15.75" hidden="1" customHeight="1">
      <c r="A588" s="9" t="s">
        <v>1675</v>
      </c>
      <c r="B588" s="9" t="s">
        <v>1676</v>
      </c>
      <c r="C588" s="9" t="s">
        <v>1677</v>
      </c>
      <c r="D588" s="9" t="s">
        <v>40</v>
      </c>
      <c r="E588" s="9" t="s">
        <v>11</v>
      </c>
      <c r="F588" s="9" t="s">
        <v>1678</v>
      </c>
      <c r="G588" s="9">
        <v>20</v>
      </c>
      <c r="H588" s="9">
        <v>5</v>
      </c>
      <c r="I588" s="9">
        <v>1.0149999999999999</v>
      </c>
      <c r="J588" s="9">
        <v>412</v>
      </c>
      <c r="K588" s="9" t="s">
        <v>442</v>
      </c>
      <c r="L588" s="9"/>
      <c r="M588" s="9"/>
      <c r="N588" s="9" t="str">
        <f ca="1">IFERROR(__xludf.DUMMYFUNCTION("IFERROR(VALUE(REGEXEXTRACT(TO_TEXT($F588), N$1 &amp; ""x(\d+)"")), """")
"),"")</f>
        <v/>
      </c>
      <c r="O588" s="9" t="str">
        <f ca="1">IFERROR(__xludf.DUMMYFUNCTION("IFERROR(VALUE(REGEXEXTRACT(TO_TEXT($F588), O$1 &amp; ""x(\d+)"")), """")"),"")</f>
        <v/>
      </c>
      <c r="P588" s="9" t="str">
        <f ca="1">IFERROR(__xludf.DUMMYFUNCTION("IFERROR(VALUE(REGEXEXTRACT(TO_TEXT($F588), P$1 &amp; ""x(\d+)"")), """")"),"")</f>
        <v/>
      </c>
      <c r="Q588" s="9" t="str">
        <f ca="1">IFERROR(__xludf.DUMMYFUNCTION("IFERROR(VALUE(REGEXEXTRACT(TO_TEXT($F588), Q$1 &amp; ""x(\d+)"")), """")"),"")</f>
        <v/>
      </c>
      <c r="R588" s="9" t="str">
        <f ca="1">IFERROR(__xludf.DUMMYFUNCTION("IFERROR(VALUE(REGEXEXTRACT(TO_TEXT($F588), R$1 &amp; ""x(\d+)"")), """")"),"")</f>
        <v/>
      </c>
      <c r="S588" s="9" t="str">
        <f ca="1">IFERROR(__xludf.DUMMYFUNCTION("IFERROR(VALUE(REGEXEXTRACT(TO_TEXT($F588), S$1 &amp; ""x(\d+)"")), """")"),"")</f>
        <v/>
      </c>
      <c r="T588" s="9" t="str">
        <f ca="1">IFERROR(__xludf.DUMMYFUNCTION("IFERROR(VALUE(REGEXEXTRACT(TO_TEXT($F588), T$1 &amp; ""x(\d+)"")), """")"),"")</f>
        <v/>
      </c>
      <c r="U588" s="9" t="str">
        <f ca="1">IFERROR(__xludf.DUMMYFUNCTION("IFERROR(VALUE(REGEXEXTRACT(TO_TEXT($F588), U$1 &amp; ""x(\d+)"")), """")"),"")</f>
        <v/>
      </c>
      <c r="V588" s="9" t="str">
        <f ca="1">IFERROR(__xludf.DUMMYFUNCTION("IFERROR(VALUE(REGEXEXTRACT(TO_TEXT($F588), V$1 &amp; ""x(\d+)"")), """")"),"")</f>
        <v/>
      </c>
      <c r="W588" s="9"/>
      <c r="X588" s="9"/>
      <c r="Y588" s="9"/>
      <c r="Z588" s="9"/>
    </row>
    <row r="589" spans="1:26" ht="15.75" hidden="1" customHeight="1">
      <c r="A589" s="9" t="s">
        <v>1675</v>
      </c>
      <c r="B589" s="9" t="s">
        <v>1676</v>
      </c>
      <c r="C589" s="9" t="s">
        <v>1677</v>
      </c>
      <c r="D589" s="9" t="s">
        <v>40</v>
      </c>
      <c r="E589" s="9" t="s">
        <v>12</v>
      </c>
      <c r="F589" s="9" t="s">
        <v>1679</v>
      </c>
      <c r="G589" s="9">
        <v>80</v>
      </c>
      <c r="H589" s="9">
        <v>5</v>
      </c>
      <c r="I589" s="9">
        <v>1.0149999999999999</v>
      </c>
      <c r="J589" s="9">
        <v>412</v>
      </c>
      <c r="K589" s="9" t="s">
        <v>442</v>
      </c>
      <c r="L589" s="9" t="s">
        <v>1015</v>
      </c>
      <c r="M589" s="9"/>
      <c r="N589" s="9" t="str">
        <f ca="1">IFERROR(__xludf.DUMMYFUNCTION("IFERROR(VALUE(REGEXEXTRACT(TO_TEXT($F589), N$1 &amp; ""x(\d+)"")), """")
"),"")</f>
        <v/>
      </c>
      <c r="O589" s="9" t="str">
        <f ca="1">IFERROR(__xludf.DUMMYFUNCTION("IFERROR(VALUE(REGEXEXTRACT(TO_TEXT($F589), O$1 &amp; ""x(\d+)"")), """")"),"")</f>
        <v/>
      </c>
      <c r="P589" s="9" t="str">
        <f ca="1">IFERROR(__xludf.DUMMYFUNCTION("IFERROR(VALUE(REGEXEXTRACT(TO_TEXT($F589), P$1 &amp; ""x(\d+)"")), """")"),"")</f>
        <v/>
      </c>
      <c r="Q589" s="9" t="str">
        <f ca="1">IFERROR(__xludf.DUMMYFUNCTION("IFERROR(VALUE(REGEXEXTRACT(TO_TEXT($F589), Q$1 &amp; ""x(\d+)"")), """")"),"")</f>
        <v/>
      </c>
      <c r="R589" s="9" t="str">
        <f ca="1">IFERROR(__xludf.DUMMYFUNCTION("IFERROR(VALUE(REGEXEXTRACT(TO_TEXT($F589), R$1 &amp; ""x(\d+)"")), """")"),"")</f>
        <v/>
      </c>
      <c r="S589" s="9">
        <f ca="1">IFERROR(__xludf.DUMMYFUNCTION("IFERROR(VALUE(REGEXEXTRACT(TO_TEXT($F589), S$1 &amp; ""x(\d+)"")), """")"),1)</f>
        <v>1</v>
      </c>
      <c r="T589" s="9" t="str">
        <f ca="1">IFERROR(__xludf.DUMMYFUNCTION("IFERROR(VALUE(REGEXEXTRACT(TO_TEXT($F589), T$1 &amp; ""x(\d+)"")), """")"),"")</f>
        <v/>
      </c>
      <c r="U589" s="9" t="str">
        <f ca="1">IFERROR(__xludf.DUMMYFUNCTION("IFERROR(VALUE(REGEXEXTRACT(TO_TEXT($F589), U$1 &amp; ""x(\d+)"")), """")"),"")</f>
        <v/>
      </c>
      <c r="V589" s="9" t="str">
        <f ca="1">IFERROR(__xludf.DUMMYFUNCTION("IFERROR(VALUE(REGEXEXTRACT(TO_TEXT($F589), V$1 &amp; ""x(\d+)"")), """")"),"")</f>
        <v/>
      </c>
      <c r="W589" s="9"/>
      <c r="X589" s="9"/>
      <c r="Y589" s="9"/>
      <c r="Z589" s="9"/>
    </row>
    <row r="590" spans="1:26" ht="15.75" hidden="1" customHeight="1">
      <c r="A590" s="9" t="s">
        <v>1675</v>
      </c>
      <c r="B590" s="9" t="s">
        <v>1676</v>
      </c>
      <c r="C590" s="9" t="s">
        <v>1677</v>
      </c>
      <c r="D590" s="9" t="s">
        <v>40</v>
      </c>
      <c r="E590" s="9" t="s">
        <v>13</v>
      </c>
      <c r="F590" s="9" t="s">
        <v>1395</v>
      </c>
      <c r="G590" s="9">
        <v>30</v>
      </c>
      <c r="H590" s="9">
        <v>5</v>
      </c>
      <c r="I590" s="9">
        <v>1.0149999999999999</v>
      </c>
      <c r="J590" s="9">
        <v>412</v>
      </c>
      <c r="K590" s="9" t="s">
        <v>442</v>
      </c>
      <c r="L590" s="9"/>
      <c r="M590" s="9"/>
      <c r="N590" s="9" t="str">
        <f ca="1">IFERROR(__xludf.DUMMYFUNCTION("IFERROR(VALUE(REGEXEXTRACT(TO_TEXT($F590), N$1 &amp; ""x(\d+)"")), """")
"),"")</f>
        <v/>
      </c>
      <c r="O590" s="9" t="str">
        <f ca="1">IFERROR(__xludf.DUMMYFUNCTION("IFERROR(VALUE(REGEXEXTRACT(TO_TEXT($F590), O$1 &amp; ""x(\d+)"")), """")"),"")</f>
        <v/>
      </c>
      <c r="P590" s="9" t="str">
        <f ca="1">IFERROR(__xludf.DUMMYFUNCTION("IFERROR(VALUE(REGEXEXTRACT(TO_TEXT($F590), P$1 &amp; ""x(\d+)"")), """")"),"")</f>
        <v/>
      </c>
      <c r="Q590" s="9" t="str">
        <f ca="1">IFERROR(__xludf.DUMMYFUNCTION("IFERROR(VALUE(REGEXEXTRACT(TO_TEXT($F590), Q$1 &amp; ""x(\d+)"")), """")"),"")</f>
        <v/>
      </c>
      <c r="R590" s="9" t="str">
        <f ca="1">IFERROR(__xludf.DUMMYFUNCTION("IFERROR(VALUE(REGEXEXTRACT(TO_TEXT($F590), R$1 &amp; ""x(\d+)"")), """")"),"")</f>
        <v/>
      </c>
      <c r="S590" s="9">
        <f ca="1">IFERROR(__xludf.DUMMYFUNCTION("IFERROR(VALUE(REGEXEXTRACT(TO_TEXT($F590), S$1 &amp; ""x(\d+)"")), """")"),1)</f>
        <v>1</v>
      </c>
      <c r="T590" s="9" t="str">
        <f ca="1">IFERROR(__xludf.DUMMYFUNCTION("IFERROR(VALUE(REGEXEXTRACT(TO_TEXT($F590), T$1 &amp; ""x(\d+)"")), """")"),"")</f>
        <v/>
      </c>
      <c r="U590" s="9" t="str">
        <f ca="1">IFERROR(__xludf.DUMMYFUNCTION("IFERROR(VALUE(REGEXEXTRACT(TO_TEXT($F590), U$1 &amp; ""x(\d+)"")), """")"),"")</f>
        <v/>
      </c>
      <c r="V590" s="9" t="str">
        <f ca="1">IFERROR(__xludf.DUMMYFUNCTION("IFERROR(VALUE(REGEXEXTRACT(TO_TEXT($F590), V$1 &amp; ""x(\d+)"")), """")"),"")</f>
        <v/>
      </c>
      <c r="W590" s="9"/>
      <c r="X590" s="9"/>
      <c r="Y590" s="9"/>
      <c r="Z590" s="9"/>
    </row>
    <row r="591" spans="1:26" ht="15.75" customHeight="1">
      <c r="A591" s="9" t="s">
        <v>1680</v>
      </c>
      <c r="B591" s="9" t="s">
        <v>1681</v>
      </c>
      <c r="C591" s="9" t="s">
        <v>536</v>
      </c>
      <c r="D591" s="9" t="s">
        <v>33</v>
      </c>
      <c r="E591" s="9" t="s">
        <v>11</v>
      </c>
      <c r="F591" s="9" t="s">
        <v>1180</v>
      </c>
      <c r="G591" s="9">
        <v>25</v>
      </c>
      <c r="H591" s="9">
        <v>4</v>
      </c>
      <c r="I591" s="9">
        <v>1.0149999999999999</v>
      </c>
      <c r="J591" s="9">
        <v>412</v>
      </c>
      <c r="K591" s="9" t="s">
        <v>442</v>
      </c>
      <c r="L591" s="9"/>
      <c r="M591" s="9"/>
      <c r="N591" s="9" t="str">
        <f ca="1">IFERROR(__xludf.DUMMYFUNCTION("IFERROR(VALUE(REGEXEXTRACT(TO_TEXT($F591), N$1 &amp; ""x(\d+)"")), """")
"),"")</f>
        <v/>
      </c>
      <c r="O591" s="9" t="str">
        <f ca="1">IFERROR(__xludf.DUMMYFUNCTION("IFERROR(VALUE(REGEXEXTRACT(TO_TEXT($F591), O$1 &amp; ""x(\d+)"")), """")"),"")</f>
        <v/>
      </c>
      <c r="P591" s="9" t="str">
        <f ca="1">IFERROR(__xludf.DUMMYFUNCTION("IFERROR(VALUE(REGEXEXTRACT(TO_TEXT($F591), P$1 &amp; ""x(\d+)"")), """")"),"")</f>
        <v/>
      </c>
      <c r="Q591" s="9" t="str">
        <f ca="1">IFERROR(__xludf.DUMMYFUNCTION("IFERROR(VALUE(REGEXEXTRACT(TO_TEXT($F591), Q$1 &amp; ""x(\d+)"")), """")"),"")</f>
        <v/>
      </c>
      <c r="R591" s="9" t="str">
        <f ca="1">IFERROR(__xludf.DUMMYFUNCTION("IFERROR(VALUE(REGEXEXTRACT(TO_TEXT($F591), R$1 &amp; ""x(\d+)"")), """")"),"")</f>
        <v/>
      </c>
      <c r="S591" s="9" t="str">
        <f ca="1">IFERROR(__xludf.DUMMYFUNCTION("IFERROR(VALUE(REGEXEXTRACT(TO_TEXT($F591), S$1 &amp; ""x(\d+)"")), """")"),"")</f>
        <v/>
      </c>
      <c r="T591" s="9" t="str">
        <f ca="1">IFERROR(__xludf.DUMMYFUNCTION("IFERROR(VALUE(REGEXEXTRACT(TO_TEXT($F591), T$1 &amp; ""x(\d+)"")), """")"),"")</f>
        <v/>
      </c>
      <c r="U591" s="9" t="str">
        <f ca="1">IFERROR(__xludf.DUMMYFUNCTION("IFERROR(VALUE(REGEXEXTRACT(TO_TEXT($F591), U$1 &amp; ""x(\d+)"")), """")"),"")</f>
        <v/>
      </c>
      <c r="V591" s="9" t="str">
        <f ca="1">IFERROR(__xludf.DUMMYFUNCTION("IFERROR(VALUE(REGEXEXTRACT(TO_TEXT($F591), V$1 &amp; ""x(\d+)"")), """")"),"")</f>
        <v/>
      </c>
      <c r="W591" s="9"/>
      <c r="X591" s="9"/>
      <c r="Y591" s="9"/>
      <c r="Z591" s="9"/>
    </row>
    <row r="592" spans="1:26" ht="15.75" customHeight="1">
      <c r="A592" s="9" t="s">
        <v>1680</v>
      </c>
      <c r="B592" s="9" t="s">
        <v>1681</v>
      </c>
      <c r="C592" s="9" t="s">
        <v>536</v>
      </c>
      <c r="D592" s="9" t="s">
        <v>33</v>
      </c>
      <c r="E592" s="9" t="s">
        <v>12</v>
      </c>
      <c r="F592" s="9" t="s">
        <v>1057</v>
      </c>
      <c r="G592" s="9">
        <v>110</v>
      </c>
      <c r="H592" s="9">
        <v>4</v>
      </c>
      <c r="I592" s="9">
        <v>1.0149999999999999</v>
      </c>
      <c r="J592" s="9">
        <v>412</v>
      </c>
      <c r="K592" s="9" t="s">
        <v>442</v>
      </c>
      <c r="L592" s="9" t="s">
        <v>1015</v>
      </c>
      <c r="M592" s="9"/>
      <c r="N592" s="9" t="str">
        <f ca="1">IFERROR(__xludf.DUMMYFUNCTION("IFERROR(VALUE(REGEXEXTRACT(TO_TEXT($F592), N$1 &amp; ""x(\d+)"")), """")
"),"")</f>
        <v/>
      </c>
      <c r="O592" s="9">
        <f ca="1">IFERROR(__xludf.DUMMYFUNCTION("IFERROR(VALUE(REGEXEXTRACT(TO_TEXT($F592), O$1 &amp; ""x(\d+)"")), """")"),1)</f>
        <v>1</v>
      </c>
      <c r="P592" s="9" t="str">
        <f ca="1">IFERROR(__xludf.DUMMYFUNCTION("IFERROR(VALUE(REGEXEXTRACT(TO_TEXT($F592), P$1 &amp; ""x(\d+)"")), """")"),"")</f>
        <v/>
      </c>
      <c r="Q592" s="9" t="str">
        <f ca="1">IFERROR(__xludf.DUMMYFUNCTION("IFERROR(VALUE(REGEXEXTRACT(TO_TEXT($F592), Q$1 &amp; ""x(\d+)"")), """")"),"")</f>
        <v/>
      </c>
      <c r="R592" s="9" t="str">
        <f ca="1">IFERROR(__xludf.DUMMYFUNCTION("IFERROR(VALUE(REGEXEXTRACT(TO_TEXT($F592), R$1 &amp; ""x(\d+)"")), """")"),"")</f>
        <v/>
      </c>
      <c r="S592" s="9" t="str">
        <f ca="1">IFERROR(__xludf.DUMMYFUNCTION("IFERROR(VALUE(REGEXEXTRACT(TO_TEXT($F592), S$1 &amp; ""x(\d+)"")), """")"),"")</f>
        <v/>
      </c>
      <c r="T592" s="9" t="str">
        <f ca="1">IFERROR(__xludf.DUMMYFUNCTION("IFERROR(VALUE(REGEXEXTRACT(TO_TEXT($F592), T$1 &amp; ""x(\d+)"")), """")"),"")</f>
        <v/>
      </c>
      <c r="U592" s="9" t="str">
        <f ca="1">IFERROR(__xludf.DUMMYFUNCTION("IFERROR(VALUE(REGEXEXTRACT(TO_TEXT($F592), U$1 &amp; ""x(\d+)"")), """")"),"")</f>
        <v/>
      </c>
      <c r="V592" s="9" t="str">
        <f ca="1">IFERROR(__xludf.DUMMYFUNCTION("IFERROR(VALUE(REGEXEXTRACT(TO_TEXT($F592), V$1 &amp; ""x(\d+)"")), """")"),"")</f>
        <v/>
      </c>
      <c r="W592" s="9"/>
      <c r="X592" s="9"/>
      <c r="Y592" s="9"/>
      <c r="Z592" s="9"/>
    </row>
    <row r="593" spans="1:26" ht="15.75" customHeight="1">
      <c r="A593" s="9" t="s">
        <v>1680</v>
      </c>
      <c r="B593" s="9" t="s">
        <v>1681</v>
      </c>
      <c r="C593" s="9" t="s">
        <v>536</v>
      </c>
      <c r="D593" s="9" t="s">
        <v>33</v>
      </c>
      <c r="E593" s="9" t="s">
        <v>13</v>
      </c>
      <c r="F593" s="9" t="s">
        <v>1108</v>
      </c>
      <c r="G593" s="9">
        <v>20</v>
      </c>
      <c r="H593" s="9">
        <v>4</v>
      </c>
      <c r="I593" s="9">
        <v>1.0149999999999999</v>
      </c>
      <c r="J593" s="9">
        <v>412</v>
      </c>
      <c r="K593" s="9" t="s">
        <v>442</v>
      </c>
      <c r="L593" s="9"/>
      <c r="M593" s="9"/>
      <c r="N593" s="9" t="str">
        <f ca="1">IFERROR(__xludf.DUMMYFUNCTION("IFERROR(VALUE(REGEXEXTRACT(TO_TEXT($F593), N$1 &amp; ""x(\d+)"")), """")
"),"")</f>
        <v/>
      </c>
      <c r="O593" s="9">
        <f ca="1">IFERROR(__xludf.DUMMYFUNCTION("IFERROR(VALUE(REGEXEXTRACT(TO_TEXT($F593), O$1 &amp; ""x(\d+)"")), """")"),1)</f>
        <v>1</v>
      </c>
      <c r="P593" s="9" t="str">
        <f ca="1">IFERROR(__xludf.DUMMYFUNCTION("IFERROR(VALUE(REGEXEXTRACT(TO_TEXT($F593), P$1 &amp; ""x(\d+)"")), """")"),"")</f>
        <v/>
      </c>
      <c r="Q593" s="9" t="str">
        <f ca="1">IFERROR(__xludf.DUMMYFUNCTION("IFERROR(VALUE(REGEXEXTRACT(TO_TEXT($F593), Q$1 &amp; ""x(\d+)"")), """")"),"")</f>
        <v/>
      </c>
      <c r="R593" s="9" t="str">
        <f ca="1">IFERROR(__xludf.DUMMYFUNCTION("IFERROR(VALUE(REGEXEXTRACT(TO_TEXT($F593), R$1 &amp; ""x(\d+)"")), """")"),"")</f>
        <v/>
      </c>
      <c r="S593" s="9" t="str">
        <f ca="1">IFERROR(__xludf.DUMMYFUNCTION("IFERROR(VALUE(REGEXEXTRACT(TO_TEXT($F593), S$1 &amp; ""x(\d+)"")), """")"),"")</f>
        <v/>
      </c>
      <c r="T593" s="9" t="str">
        <f ca="1">IFERROR(__xludf.DUMMYFUNCTION("IFERROR(VALUE(REGEXEXTRACT(TO_TEXT($F593), T$1 &amp; ""x(\d+)"")), """")"),"")</f>
        <v/>
      </c>
      <c r="U593" s="9" t="str">
        <f ca="1">IFERROR(__xludf.DUMMYFUNCTION("IFERROR(VALUE(REGEXEXTRACT(TO_TEXT($F593), U$1 &amp; ""x(\d+)"")), """")"),"")</f>
        <v/>
      </c>
      <c r="V593" s="9" t="str">
        <f ca="1">IFERROR(__xludf.DUMMYFUNCTION("IFERROR(VALUE(REGEXEXTRACT(TO_TEXT($F593), V$1 &amp; ""x(\d+)"")), """")"),"")</f>
        <v/>
      </c>
      <c r="W593" s="9"/>
      <c r="X593" s="9"/>
      <c r="Y593" s="9"/>
      <c r="Z593" s="9"/>
    </row>
    <row r="594" spans="1:26" ht="15.75" customHeight="1">
      <c r="A594" s="9" t="s">
        <v>1682</v>
      </c>
      <c r="B594" s="9" t="s">
        <v>1683</v>
      </c>
      <c r="C594" s="9" t="s">
        <v>859</v>
      </c>
      <c r="D594" s="9" t="s">
        <v>33</v>
      </c>
      <c r="E594" s="9" t="s">
        <v>12</v>
      </c>
      <c r="F594" s="9" t="s">
        <v>1474</v>
      </c>
      <c r="G594" s="9">
        <v>100</v>
      </c>
      <c r="H594" s="9">
        <v>4</v>
      </c>
      <c r="I594" s="9">
        <v>1.0149999999999999</v>
      </c>
      <c r="J594" s="9">
        <v>103</v>
      </c>
      <c r="K594" s="9" t="s">
        <v>424</v>
      </c>
      <c r="L594" s="9" t="s">
        <v>1210</v>
      </c>
      <c r="M594" s="9"/>
      <c r="N594" s="9" t="str">
        <f ca="1">IFERROR(__xludf.DUMMYFUNCTION("IFERROR(VALUE(REGEXEXTRACT(TO_TEXT($F594), N$1 &amp; ""x(\d+)"")), """")
"),"")</f>
        <v/>
      </c>
      <c r="O594" s="9">
        <f ca="1">IFERROR(__xludf.DUMMYFUNCTION("IFERROR(VALUE(REGEXEXTRACT(TO_TEXT($F594), O$1 &amp; ""x(\d+)"")), """")"),1)</f>
        <v>1</v>
      </c>
      <c r="P594" s="9" t="str">
        <f ca="1">IFERROR(__xludf.DUMMYFUNCTION("IFERROR(VALUE(REGEXEXTRACT(TO_TEXT($F594), P$1 &amp; ""x(\d+)"")), """")"),"")</f>
        <v/>
      </c>
      <c r="Q594" s="9" t="str">
        <f ca="1">IFERROR(__xludf.DUMMYFUNCTION("IFERROR(VALUE(REGEXEXTRACT(TO_TEXT($F594), Q$1 &amp; ""x(\d+)"")), """")"),"")</f>
        <v/>
      </c>
      <c r="R594" s="9" t="str">
        <f ca="1">IFERROR(__xludf.DUMMYFUNCTION("IFERROR(VALUE(REGEXEXTRACT(TO_TEXT($F594), R$1 &amp; ""x(\d+)"")), """")"),"")</f>
        <v/>
      </c>
      <c r="S594" s="9" t="str">
        <f ca="1">IFERROR(__xludf.DUMMYFUNCTION("IFERROR(VALUE(REGEXEXTRACT(TO_TEXT($F594), S$1 &amp; ""x(\d+)"")), """")"),"")</f>
        <v/>
      </c>
      <c r="T594" s="9" t="str">
        <f ca="1">IFERROR(__xludf.DUMMYFUNCTION("IFERROR(VALUE(REGEXEXTRACT(TO_TEXT($F594), T$1 &amp; ""x(\d+)"")), """")"),"")</f>
        <v/>
      </c>
      <c r="U594" s="9" t="str">
        <f ca="1">IFERROR(__xludf.DUMMYFUNCTION("IFERROR(VALUE(REGEXEXTRACT(TO_TEXT($F594), U$1 &amp; ""x(\d+)"")), """")"),"")</f>
        <v/>
      </c>
      <c r="V594" s="9" t="str">
        <f ca="1">IFERROR(__xludf.DUMMYFUNCTION("IFERROR(VALUE(REGEXEXTRACT(TO_TEXT($F594), V$1 &amp; ""x(\d+)"")), """")"),"")</f>
        <v/>
      </c>
      <c r="W594" s="9"/>
      <c r="X594" s="9"/>
      <c r="Y594" s="9"/>
      <c r="Z594" s="9"/>
    </row>
    <row r="595" spans="1:26" ht="15.75" customHeight="1">
      <c r="A595" s="9" t="s">
        <v>1682</v>
      </c>
      <c r="B595" s="9" t="s">
        <v>1683</v>
      </c>
      <c r="C595" s="9" t="s">
        <v>859</v>
      </c>
      <c r="D595" s="9" t="s">
        <v>33</v>
      </c>
      <c r="E595" s="9" t="s">
        <v>13</v>
      </c>
      <c r="F595" s="9" t="s">
        <v>1108</v>
      </c>
      <c r="G595" s="9">
        <v>20</v>
      </c>
      <c r="H595" s="9">
        <v>4</v>
      </c>
      <c r="I595" s="9">
        <v>1.0149999999999999</v>
      </c>
      <c r="J595" s="9">
        <v>103</v>
      </c>
      <c r="K595" s="9" t="s">
        <v>424</v>
      </c>
      <c r="L595" s="9"/>
      <c r="M595" s="9"/>
      <c r="N595" s="9" t="str">
        <f ca="1">IFERROR(__xludf.DUMMYFUNCTION("IFERROR(VALUE(REGEXEXTRACT(TO_TEXT($F595), N$1 &amp; ""x(\d+)"")), """")
"),"")</f>
        <v/>
      </c>
      <c r="O595" s="9">
        <f ca="1">IFERROR(__xludf.DUMMYFUNCTION("IFERROR(VALUE(REGEXEXTRACT(TO_TEXT($F595), O$1 &amp; ""x(\d+)"")), """")"),1)</f>
        <v>1</v>
      </c>
      <c r="P595" s="9" t="str">
        <f ca="1">IFERROR(__xludf.DUMMYFUNCTION("IFERROR(VALUE(REGEXEXTRACT(TO_TEXT($F595), P$1 &amp; ""x(\d+)"")), """")"),"")</f>
        <v/>
      </c>
      <c r="Q595" s="9" t="str">
        <f ca="1">IFERROR(__xludf.DUMMYFUNCTION("IFERROR(VALUE(REGEXEXTRACT(TO_TEXT($F595), Q$1 &amp; ""x(\d+)"")), """")"),"")</f>
        <v/>
      </c>
      <c r="R595" s="9" t="str">
        <f ca="1">IFERROR(__xludf.DUMMYFUNCTION("IFERROR(VALUE(REGEXEXTRACT(TO_TEXT($F595), R$1 &amp; ""x(\d+)"")), """")"),"")</f>
        <v/>
      </c>
      <c r="S595" s="9" t="str">
        <f ca="1">IFERROR(__xludf.DUMMYFUNCTION("IFERROR(VALUE(REGEXEXTRACT(TO_TEXT($F595), S$1 &amp; ""x(\d+)"")), """")"),"")</f>
        <v/>
      </c>
      <c r="T595" s="9" t="str">
        <f ca="1">IFERROR(__xludf.DUMMYFUNCTION("IFERROR(VALUE(REGEXEXTRACT(TO_TEXT($F595), T$1 &amp; ""x(\d+)"")), """")"),"")</f>
        <v/>
      </c>
      <c r="U595" s="9" t="str">
        <f ca="1">IFERROR(__xludf.DUMMYFUNCTION("IFERROR(VALUE(REGEXEXTRACT(TO_TEXT($F595), U$1 &amp; ""x(\d+)"")), """")"),"")</f>
        <v/>
      </c>
      <c r="V595" s="9" t="str">
        <f ca="1">IFERROR(__xludf.DUMMYFUNCTION("IFERROR(VALUE(REGEXEXTRACT(TO_TEXT($F595), V$1 &amp; ""x(\d+)"")), """")"),"")</f>
        <v/>
      </c>
      <c r="W595" s="9"/>
      <c r="X595" s="9"/>
      <c r="Y595" s="9"/>
      <c r="Z595" s="9"/>
    </row>
    <row r="596" spans="1:26" ht="15.75" customHeight="1">
      <c r="A596" s="9" t="s">
        <v>1684</v>
      </c>
      <c r="B596" s="9" t="s">
        <v>1685</v>
      </c>
      <c r="C596" s="9" t="s">
        <v>523</v>
      </c>
      <c r="D596" s="9" t="s">
        <v>33</v>
      </c>
      <c r="E596" s="9" t="s">
        <v>12</v>
      </c>
      <c r="F596" s="9" t="s">
        <v>1236</v>
      </c>
      <c r="G596" s="9">
        <v>40</v>
      </c>
      <c r="H596" s="9">
        <v>4</v>
      </c>
      <c r="I596" s="9">
        <v>1.0149999999999999</v>
      </c>
      <c r="J596" s="9">
        <v>80</v>
      </c>
      <c r="K596" s="9" t="s">
        <v>499</v>
      </c>
      <c r="L596" s="9"/>
      <c r="M596" s="9"/>
      <c r="N596" s="9" t="str">
        <f ca="1">IFERROR(__xludf.DUMMYFUNCTION("IFERROR(VALUE(REGEXEXTRACT(TO_TEXT($F596), N$1 &amp; ""x(\d+)"")), """")
"),"")</f>
        <v/>
      </c>
      <c r="O596" s="9">
        <f ca="1">IFERROR(__xludf.DUMMYFUNCTION("IFERROR(VALUE(REGEXEXTRACT(TO_TEXT($F596), O$1 &amp; ""x(\d+)"")), """")"),1)</f>
        <v>1</v>
      </c>
      <c r="P596" s="9" t="str">
        <f ca="1">IFERROR(__xludf.DUMMYFUNCTION("IFERROR(VALUE(REGEXEXTRACT(TO_TEXT($F596), P$1 &amp; ""x(\d+)"")), """")"),"")</f>
        <v/>
      </c>
      <c r="Q596" s="9" t="str">
        <f ca="1">IFERROR(__xludf.DUMMYFUNCTION("IFERROR(VALUE(REGEXEXTRACT(TO_TEXT($F596), Q$1 &amp; ""x(\d+)"")), """")"),"")</f>
        <v/>
      </c>
      <c r="R596" s="9" t="str">
        <f ca="1">IFERROR(__xludf.DUMMYFUNCTION("IFERROR(VALUE(REGEXEXTRACT(TO_TEXT($F596), R$1 &amp; ""x(\d+)"")), """")"),"")</f>
        <v/>
      </c>
      <c r="S596" s="9" t="str">
        <f ca="1">IFERROR(__xludf.DUMMYFUNCTION("IFERROR(VALUE(REGEXEXTRACT(TO_TEXT($F596), S$1 &amp; ""x(\d+)"")), """")"),"")</f>
        <v/>
      </c>
      <c r="T596" s="9" t="str">
        <f ca="1">IFERROR(__xludf.DUMMYFUNCTION("IFERROR(VALUE(REGEXEXTRACT(TO_TEXT($F596), T$1 &amp; ""x(\d+)"")), """")"),"")</f>
        <v/>
      </c>
      <c r="U596" s="9" t="str">
        <f ca="1">IFERROR(__xludf.DUMMYFUNCTION("IFERROR(VALUE(REGEXEXTRACT(TO_TEXT($F596), U$1 &amp; ""x(\d+)"")), """")"),"")</f>
        <v/>
      </c>
      <c r="V596" s="9" t="str">
        <f ca="1">IFERROR(__xludf.DUMMYFUNCTION("IFERROR(VALUE(REGEXEXTRACT(TO_TEXT($F596), V$1 &amp; ""x(\d+)"")), """")"),"")</f>
        <v/>
      </c>
      <c r="W596" s="9"/>
      <c r="X596" s="9"/>
      <c r="Y596" s="9"/>
      <c r="Z596" s="9"/>
    </row>
    <row r="597" spans="1:26" ht="15.75" customHeight="1">
      <c r="A597" s="9" t="s">
        <v>1684</v>
      </c>
      <c r="B597" s="9" t="s">
        <v>1685</v>
      </c>
      <c r="C597" s="9" t="s">
        <v>523</v>
      </c>
      <c r="D597" s="9" t="s">
        <v>33</v>
      </c>
      <c r="E597" s="9" t="s">
        <v>13</v>
      </c>
      <c r="F597" s="9" t="s">
        <v>1108</v>
      </c>
      <c r="G597" s="9">
        <v>20</v>
      </c>
      <c r="H597" s="9">
        <v>4</v>
      </c>
      <c r="I597" s="9">
        <v>1.0149999999999999</v>
      </c>
      <c r="J597" s="9">
        <v>80</v>
      </c>
      <c r="K597" s="9" t="s">
        <v>499</v>
      </c>
      <c r="L597" s="9"/>
      <c r="M597" s="9"/>
      <c r="N597" s="9" t="str">
        <f ca="1">IFERROR(__xludf.DUMMYFUNCTION("IFERROR(VALUE(REGEXEXTRACT(TO_TEXT($F597), N$1 &amp; ""x(\d+)"")), """")
"),"")</f>
        <v/>
      </c>
      <c r="O597" s="9">
        <f ca="1">IFERROR(__xludf.DUMMYFUNCTION("IFERROR(VALUE(REGEXEXTRACT(TO_TEXT($F597), O$1 &amp; ""x(\d+)"")), """")"),1)</f>
        <v>1</v>
      </c>
      <c r="P597" s="9" t="str">
        <f ca="1">IFERROR(__xludf.DUMMYFUNCTION("IFERROR(VALUE(REGEXEXTRACT(TO_TEXT($F597), P$1 &amp; ""x(\d+)"")), """")"),"")</f>
        <v/>
      </c>
      <c r="Q597" s="9" t="str">
        <f ca="1">IFERROR(__xludf.DUMMYFUNCTION("IFERROR(VALUE(REGEXEXTRACT(TO_TEXT($F597), Q$1 &amp; ""x(\d+)"")), """")"),"")</f>
        <v/>
      </c>
      <c r="R597" s="9" t="str">
        <f ca="1">IFERROR(__xludf.DUMMYFUNCTION("IFERROR(VALUE(REGEXEXTRACT(TO_TEXT($F597), R$1 &amp; ""x(\d+)"")), """")"),"")</f>
        <v/>
      </c>
      <c r="S597" s="9" t="str">
        <f ca="1">IFERROR(__xludf.DUMMYFUNCTION("IFERROR(VALUE(REGEXEXTRACT(TO_TEXT($F597), S$1 &amp; ""x(\d+)"")), """")"),"")</f>
        <v/>
      </c>
      <c r="T597" s="9" t="str">
        <f ca="1">IFERROR(__xludf.DUMMYFUNCTION("IFERROR(VALUE(REGEXEXTRACT(TO_TEXT($F597), T$1 &amp; ""x(\d+)"")), """")"),"")</f>
        <v/>
      </c>
      <c r="U597" s="9" t="str">
        <f ca="1">IFERROR(__xludf.DUMMYFUNCTION("IFERROR(VALUE(REGEXEXTRACT(TO_TEXT($F597), U$1 &amp; ""x(\d+)"")), """")"),"")</f>
        <v/>
      </c>
      <c r="V597" s="9" t="str">
        <f ca="1">IFERROR(__xludf.DUMMYFUNCTION("IFERROR(VALUE(REGEXEXTRACT(TO_TEXT($F597), V$1 &amp; ""x(\d+)"")), """")"),"")</f>
        <v/>
      </c>
      <c r="W597" s="9"/>
      <c r="X597" s="9"/>
      <c r="Y597" s="9"/>
      <c r="Z597" s="9"/>
    </row>
    <row r="598" spans="1:26" ht="15.75" hidden="1" customHeight="1">
      <c r="A598" s="9" t="s">
        <v>1686</v>
      </c>
      <c r="B598" s="9" t="s">
        <v>1687</v>
      </c>
      <c r="C598" s="9" t="s">
        <v>546</v>
      </c>
      <c r="D598" s="9" t="s">
        <v>48</v>
      </c>
      <c r="E598" s="9" t="s">
        <v>11</v>
      </c>
      <c r="F598" s="9" t="s">
        <v>1688</v>
      </c>
      <c r="G598" s="9">
        <v>30</v>
      </c>
      <c r="H598" s="9">
        <v>3</v>
      </c>
      <c r="I598" s="9">
        <v>1.0149999999999999</v>
      </c>
      <c r="J598" s="9">
        <v>52</v>
      </c>
      <c r="K598" s="9" t="s">
        <v>424</v>
      </c>
      <c r="L598" s="9"/>
      <c r="M598" s="9"/>
      <c r="N598" s="9" t="str">
        <f ca="1">IFERROR(__xludf.DUMMYFUNCTION("IFERROR(VALUE(REGEXEXTRACT(TO_TEXT($F598), N$1 &amp; ""x(\d+)"")), """")
"),"")</f>
        <v/>
      </c>
      <c r="O598" s="9">
        <f ca="1">IFERROR(__xludf.DUMMYFUNCTION("IFERROR(VALUE(REGEXEXTRACT(TO_TEXT($F598), O$1 &amp; ""x(\d+)"")), """")"),1)</f>
        <v>1</v>
      </c>
      <c r="P598" s="9" t="str">
        <f ca="1">IFERROR(__xludf.DUMMYFUNCTION("IFERROR(VALUE(REGEXEXTRACT(TO_TEXT($F598), P$1 &amp; ""x(\d+)"")), """")"),"")</f>
        <v/>
      </c>
      <c r="Q598" s="9" t="str">
        <f ca="1">IFERROR(__xludf.DUMMYFUNCTION("IFERROR(VALUE(REGEXEXTRACT(TO_TEXT($F598), Q$1 &amp; ""x(\d+)"")), """")"),"")</f>
        <v/>
      </c>
      <c r="R598" s="9" t="str">
        <f ca="1">IFERROR(__xludf.DUMMYFUNCTION("IFERROR(VALUE(REGEXEXTRACT(TO_TEXT($F598), R$1 &amp; ""x(\d+)"")), """")"),"")</f>
        <v/>
      </c>
      <c r="S598" s="9" t="str">
        <f ca="1">IFERROR(__xludf.DUMMYFUNCTION("IFERROR(VALUE(REGEXEXTRACT(TO_TEXT($F598), S$1 &amp; ""x(\d+)"")), """")"),"")</f>
        <v/>
      </c>
      <c r="T598" s="9" t="str">
        <f ca="1">IFERROR(__xludf.DUMMYFUNCTION("IFERROR(VALUE(REGEXEXTRACT(TO_TEXT($F598), T$1 &amp; ""x(\d+)"")), """")"),"")</f>
        <v/>
      </c>
      <c r="U598" s="9" t="str">
        <f ca="1">IFERROR(__xludf.DUMMYFUNCTION("IFERROR(VALUE(REGEXEXTRACT(TO_TEXT($F598), U$1 &amp; ""x(\d+)"")), """")"),"")</f>
        <v/>
      </c>
      <c r="V598" s="9" t="str">
        <f ca="1">IFERROR(__xludf.DUMMYFUNCTION("IFERROR(VALUE(REGEXEXTRACT(TO_TEXT($F598), V$1 &amp; ""x(\d+)"")), """")"),"")</f>
        <v/>
      </c>
      <c r="W598" s="9"/>
      <c r="X598" s="9"/>
      <c r="Y598" s="9"/>
      <c r="Z598" s="9"/>
    </row>
    <row r="599" spans="1:26" ht="15.75" hidden="1" customHeight="1">
      <c r="A599" s="9" t="s">
        <v>1686</v>
      </c>
      <c r="B599" s="9" t="s">
        <v>1687</v>
      </c>
      <c r="C599" s="9" t="s">
        <v>546</v>
      </c>
      <c r="D599" s="9" t="s">
        <v>48</v>
      </c>
      <c r="E599" s="9" t="s">
        <v>12</v>
      </c>
      <c r="F599" s="9" t="s">
        <v>1689</v>
      </c>
      <c r="G599" s="9">
        <v>120</v>
      </c>
      <c r="H599" s="9">
        <v>3</v>
      </c>
      <c r="I599" s="9">
        <v>1.0149999999999999</v>
      </c>
      <c r="J599" s="9">
        <v>52</v>
      </c>
      <c r="K599" s="9" t="s">
        <v>424</v>
      </c>
      <c r="L599" s="9" t="s">
        <v>1035</v>
      </c>
      <c r="M599" s="9"/>
      <c r="N599" s="9" t="str">
        <f ca="1">IFERROR(__xludf.DUMMYFUNCTION("IFERROR(VALUE(REGEXEXTRACT(TO_TEXT($F599), N$1 &amp; ""x(\d+)"")), """")
"),"")</f>
        <v/>
      </c>
      <c r="O599" s="9">
        <f ca="1">IFERROR(__xludf.DUMMYFUNCTION("IFERROR(VALUE(REGEXEXTRACT(TO_TEXT($F599), O$1 &amp; ""x(\d+)"")), """")"),1)</f>
        <v>1</v>
      </c>
      <c r="P599" s="9">
        <f ca="1">IFERROR(__xludf.DUMMYFUNCTION("IFERROR(VALUE(REGEXEXTRACT(TO_TEXT($F599), P$1 &amp; ""x(\d+)"")), """")"),1)</f>
        <v>1</v>
      </c>
      <c r="Q599" s="9" t="str">
        <f ca="1">IFERROR(__xludf.DUMMYFUNCTION("IFERROR(VALUE(REGEXEXTRACT(TO_TEXT($F599), Q$1 &amp; ""x(\d+)"")), """")"),"")</f>
        <v/>
      </c>
      <c r="R599" s="9" t="str">
        <f ca="1">IFERROR(__xludf.DUMMYFUNCTION("IFERROR(VALUE(REGEXEXTRACT(TO_TEXT($F599), R$1 &amp; ""x(\d+)"")), """")"),"")</f>
        <v/>
      </c>
      <c r="S599" s="9" t="str">
        <f ca="1">IFERROR(__xludf.DUMMYFUNCTION("IFERROR(VALUE(REGEXEXTRACT(TO_TEXT($F599), S$1 &amp; ""x(\d+)"")), """")"),"")</f>
        <v/>
      </c>
      <c r="T599" s="9" t="str">
        <f ca="1">IFERROR(__xludf.DUMMYFUNCTION("IFERROR(VALUE(REGEXEXTRACT(TO_TEXT($F599), T$1 &amp; ""x(\d+)"")), """")"),"")</f>
        <v/>
      </c>
      <c r="U599" s="9" t="str">
        <f ca="1">IFERROR(__xludf.DUMMYFUNCTION("IFERROR(VALUE(REGEXEXTRACT(TO_TEXT($F599), U$1 &amp; ""x(\d+)"")), """")"),"")</f>
        <v/>
      </c>
      <c r="V599" s="9" t="str">
        <f ca="1">IFERROR(__xludf.DUMMYFUNCTION("IFERROR(VALUE(REGEXEXTRACT(TO_TEXT($F599), V$1 &amp; ""x(\d+)"")), """")"),"")</f>
        <v/>
      </c>
      <c r="W599" s="9"/>
      <c r="X599" s="9"/>
      <c r="Y599" s="9"/>
      <c r="Z599" s="9"/>
    </row>
    <row r="600" spans="1:26" ht="15.75" hidden="1" customHeight="1">
      <c r="A600" s="9" t="s">
        <v>1686</v>
      </c>
      <c r="B600" s="9" t="s">
        <v>1687</v>
      </c>
      <c r="C600" s="9" t="s">
        <v>546</v>
      </c>
      <c r="D600" s="9" t="s">
        <v>48</v>
      </c>
      <c r="E600" s="9" t="s">
        <v>13</v>
      </c>
      <c r="F600" s="9" t="s">
        <v>1690</v>
      </c>
      <c r="G600" s="9">
        <v>60</v>
      </c>
      <c r="H600" s="9">
        <v>3</v>
      </c>
      <c r="I600" s="9">
        <v>1.0149999999999999</v>
      </c>
      <c r="J600" s="9">
        <v>52</v>
      </c>
      <c r="K600" s="9" t="s">
        <v>424</v>
      </c>
      <c r="L600" s="9"/>
      <c r="M600" s="9"/>
      <c r="N600" s="9" t="str">
        <f ca="1">IFERROR(__xludf.DUMMYFUNCTION("IFERROR(VALUE(REGEXEXTRACT(TO_TEXT($F600), N$1 &amp; ""x(\d+)"")), """")
"),"")</f>
        <v/>
      </c>
      <c r="O600" s="9">
        <f ca="1">IFERROR(__xludf.DUMMYFUNCTION("IFERROR(VALUE(REGEXEXTRACT(TO_TEXT($F600), O$1 &amp; ""x(\d+)"")), """")"),1)</f>
        <v>1</v>
      </c>
      <c r="P600" s="9">
        <f ca="1">IFERROR(__xludf.DUMMYFUNCTION("IFERROR(VALUE(REGEXEXTRACT(TO_TEXT($F600), P$1 &amp; ""x(\d+)"")), """")"),1)</f>
        <v>1</v>
      </c>
      <c r="Q600" s="9" t="str">
        <f ca="1">IFERROR(__xludf.DUMMYFUNCTION("IFERROR(VALUE(REGEXEXTRACT(TO_TEXT($F600), Q$1 &amp; ""x(\d+)"")), """")"),"")</f>
        <v/>
      </c>
      <c r="R600" s="9" t="str">
        <f ca="1">IFERROR(__xludf.DUMMYFUNCTION("IFERROR(VALUE(REGEXEXTRACT(TO_TEXT($F600), R$1 &amp; ""x(\d+)"")), """")"),"")</f>
        <v/>
      </c>
      <c r="S600" s="9" t="str">
        <f ca="1">IFERROR(__xludf.DUMMYFUNCTION("IFERROR(VALUE(REGEXEXTRACT(TO_TEXT($F600), S$1 &amp; ""x(\d+)"")), """")"),"")</f>
        <v/>
      </c>
      <c r="T600" s="9" t="str">
        <f ca="1">IFERROR(__xludf.DUMMYFUNCTION("IFERROR(VALUE(REGEXEXTRACT(TO_TEXT($F600), T$1 &amp; ""x(\d+)"")), """")"),"")</f>
        <v/>
      </c>
      <c r="U600" s="9" t="str">
        <f ca="1">IFERROR(__xludf.DUMMYFUNCTION("IFERROR(VALUE(REGEXEXTRACT(TO_TEXT($F600), U$1 &amp; ""x(\d+)"")), """")"),"")</f>
        <v/>
      </c>
      <c r="V600" s="9" t="str">
        <f ca="1">IFERROR(__xludf.DUMMYFUNCTION("IFERROR(VALUE(REGEXEXTRACT(TO_TEXT($F600), V$1 &amp; ""x(\d+)"")), """")"),"")</f>
        <v/>
      </c>
      <c r="W600" s="9"/>
      <c r="X600" s="9"/>
      <c r="Y600" s="9"/>
      <c r="Z600" s="9"/>
    </row>
    <row r="601" spans="1:26" ht="15.75" hidden="1" customHeight="1">
      <c r="A601" s="9" t="s">
        <v>1691</v>
      </c>
      <c r="B601" s="9" t="s">
        <v>1692</v>
      </c>
      <c r="C601" s="9" t="s">
        <v>475</v>
      </c>
      <c r="D601" s="9" t="s">
        <v>48</v>
      </c>
      <c r="E601" s="9" t="s">
        <v>11</v>
      </c>
      <c r="F601" s="9" t="s">
        <v>1204</v>
      </c>
      <c r="G601" s="9">
        <v>30</v>
      </c>
      <c r="H601" s="9">
        <v>3</v>
      </c>
      <c r="I601" s="9">
        <v>1.0149999999999999</v>
      </c>
      <c r="J601" s="9">
        <v>52</v>
      </c>
      <c r="K601" s="9" t="s">
        <v>424</v>
      </c>
      <c r="L601" s="9"/>
      <c r="M601" s="9"/>
      <c r="N601" s="9" t="str">
        <f ca="1">IFERROR(__xludf.DUMMYFUNCTION("IFERROR(VALUE(REGEXEXTRACT(TO_TEXT($F601), N$1 &amp; ""x(\d+)"")), """")
"),"")</f>
        <v/>
      </c>
      <c r="O601" s="9" t="str">
        <f ca="1">IFERROR(__xludf.DUMMYFUNCTION("IFERROR(VALUE(REGEXEXTRACT(TO_TEXT($F601), O$1 &amp; ""x(\d+)"")), """")"),"")</f>
        <v/>
      </c>
      <c r="P601" s="9" t="str">
        <f ca="1">IFERROR(__xludf.DUMMYFUNCTION("IFERROR(VALUE(REGEXEXTRACT(TO_TEXT($F601), P$1 &amp; ""x(\d+)"")), """")"),"")</f>
        <v/>
      </c>
      <c r="Q601" s="9" t="str">
        <f ca="1">IFERROR(__xludf.DUMMYFUNCTION("IFERROR(VALUE(REGEXEXTRACT(TO_TEXT($F601), Q$1 &amp; ""x(\d+)"")), """")"),"")</f>
        <v/>
      </c>
      <c r="R601" s="9" t="str">
        <f ca="1">IFERROR(__xludf.DUMMYFUNCTION("IFERROR(VALUE(REGEXEXTRACT(TO_TEXT($F601), R$1 &amp; ""x(\d+)"")), """")"),"")</f>
        <v/>
      </c>
      <c r="S601" s="9" t="str">
        <f ca="1">IFERROR(__xludf.DUMMYFUNCTION("IFERROR(VALUE(REGEXEXTRACT(TO_TEXT($F601), S$1 &amp; ""x(\d+)"")), """")"),"")</f>
        <v/>
      </c>
      <c r="T601" s="9" t="str">
        <f ca="1">IFERROR(__xludf.DUMMYFUNCTION("IFERROR(VALUE(REGEXEXTRACT(TO_TEXT($F601), T$1 &amp; ""x(\d+)"")), """")"),"")</f>
        <v/>
      </c>
      <c r="U601" s="9" t="str">
        <f ca="1">IFERROR(__xludf.DUMMYFUNCTION("IFERROR(VALUE(REGEXEXTRACT(TO_TEXT($F601), U$1 &amp; ""x(\d+)"")), """")"),"")</f>
        <v/>
      </c>
      <c r="V601" s="9" t="str">
        <f ca="1">IFERROR(__xludf.DUMMYFUNCTION("IFERROR(VALUE(REGEXEXTRACT(TO_TEXT($F601), V$1 &amp; ""x(\d+)"")), """")"),"")</f>
        <v/>
      </c>
      <c r="W601" s="9"/>
      <c r="X601" s="9"/>
      <c r="Y601" s="9"/>
      <c r="Z601" s="9"/>
    </row>
    <row r="602" spans="1:26" ht="15.75" hidden="1" customHeight="1">
      <c r="A602" s="9" t="s">
        <v>1691</v>
      </c>
      <c r="B602" s="9" t="s">
        <v>1692</v>
      </c>
      <c r="C602" s="9" t="s">
        <v>475</v>
      </c>
      <c r="D602" s="9" t="s">
        <v>48</v>
      </c>
      <c r="E602" s="9" t="s">
        <v>12</v>
      </c>
      <c r="F602" s="9" t="s">
        <v>1693</v>
      </c>
      <c r="G602" s="9">
        <v>180</v>
      </c>
      <c r="H602" s="9">
        <v>3</v>
      </c>
      <c r="I602" s="9">
        <v>1.0149999999999999</v>
      </c>
      <c r="J602" s="9">
        <v>52</v>
      </c>
      <c r="K602" s="9" t="s">
        <v>424</v>
      </c>
      <c r="L602" s="9" t="s">
        <v>1210</v>
      </c>
      <c r="M602" s="9"/>
      <c r="N602" s="9" t="str">
        <f ca="1">IFERROR(__xludf.DUMMYFUNCTION("IFERROR(VALUE(REGEXEXTRACT(TO_TEXT($F602), N$1 &amp; ""x(\d+)"")), """")
"),"")</f>
        <v/>
      </c>
      <c r="O602" s="9" t="str">
        <f ca="1">IFERROR(__xludf.DUMMYFUNCTION("IFERROR(VALUE(REGEXEXTRACT(TO_TEXT($F602), O$1 &amp; ""x(\d+)"")), """")"),"")</f>
        <v/>
      </c>
      <c r="P602" s="9">
        <f ca="1">IFERROR(__xludf.DUMMYFUNCTION("IFERROR(VALUE(REGEXEXTRACT(TO_TEXT($F602), P$1 &amp; ""x(\d+)"")), """")"),1)</f>
        <v>1</v>
      </c>
      <c r="Q602" s="9" t="str">
        <f ca="1">IFERROR(__xludf.DUMMYFUNCTION("IFERROR(VALUE(REGEXEXTRACT(TO_TEXT($F602), Q$1 &amp; ""x(\d+)"")), """")"),"")</f>
        <v/>
      </c>
      <c r="R602" s="9" t="str">
        <f ca="1">IFERROR(__xludf.DUMMYFUNCTION("IFERROR(VALUE(REGEXEXTRACT(TO_TEXT($F602), R$1 &amp; ""x(\d+)"")), """")"),"")</f>
        <v/>
      </c>
      <c r="S602" s="9" t="str">
        <f ca="1">IFERROR(__xludf.DUMMYFUNCTION("IFERROR(VALUE(REGEXEXTRACT(TO_TEXT($F602), S$1 &amp; ""x(\d+)"")), """")"),"")</f>
        <v/>
      </c>
      <c r="T602" s="9" t="str">
        <f ca="1">IFERROR(__xludf.DUMMYFUNCTION("IFERROR(VALUE(REGEXEXTRACT(TO_TEXT($F602), T$1 &amp; ""x(\d+)"")), """")"),"")</f>
        <v/>
      </c>
      <c r="U602" s="9" t="str">
        <f ca="1">IFERROR(__xludf.DUMMYFUNCTION("IFERROR(VALUE(REGEXEXTRACT(TO_TEXT($F602), U$1 &amp; ""x(\d+)"")), """")"),"")</f>
        <v/>
      </c>
      <c r="V602" s="9" t="str">
        <f ca="1">IFERROR(__xludf.DUMMYFUNCTION("IFERROR(VALUE(REGEXEXTRACT(TO_TEXT($F602), V$1 &amp; ""x(\d+)"")), """")"),"")</f>
        <v/>
      </c>
      <c r="W602" s="9"/>
      <c r="X602" s="9"/>
      <c r="Y602" s="9"/>
      <c r="Z602" s="9"/>
    </row>
    <row r="603" spans="1:26" ht="15.75" hidden="1" customHeight="1">
      <c r="A603" s="9" t="s">
        <v>1691</v>
      </c>
      <c r="B603" s="9" t="s">
        <v>1692</v>
      </c>
      <c r="C603" s="9" t="s">
        <v>475</v>
      </c>
      <c r="D603" s="9" t="s">
        <v>48</v>
      </c>
      <c r="E603" s="9" t="s">
        <v>13</v>
      </c>
      <c r="F603" s="9" t="s">
        <v>1694</v>
      </c>
      <c r="G603" s="9">
        <v>30</v>
      </c>
      <c r="H603" s="9">
        <v>3</v>
      </c>
      <c r="I603" s="9">
        <v>1.0149999999999999</v>
      </c>
      <c r="J603" s="9">
        <v>52</v>
      </c>
      <c r="K603" s="9" t="s">
        <v>424</v>
      </c>
      <c r="L603" s="9"/>
      <c r="M603" s="9"/>
      <c r="N603" s="9" t="str">
        <f ca="1">IFERROR(__xludf.DUMMYFUNCTION("IFERROR(VALUE(REGEXEXTRACT(TO_TEXT($F603), N$1 &amp; ""x(\d+)"")), """")
"),"")</f>
        <v/>
      </c>
      <c r="O603" s="9" t="str">
        <f ca="1">IFERROR(__xludf.DUMMYFUNCTION("IFERROR(VALUE(REGEXEXTRACT(TO_TEXT($F603), O$1 &amp; ""x(\d+)"")), """")"),"")</f>
        <v/>
      </c>
      <c r="P603" s="9">
        <f ca="1">IFERROR(__xludf.DUMMYFUNCTION("IFERROR(VALUE(REGEXEXTRACT(TO_TEXT($F603), P$1 &amp; ""x(\d+)"")), """")"),1)</f>
        <v>1</v>
      </c>
      <c r="Q603" s="9" t="str">
        <f ca="1">IFERROR(__xludf.DUMMYFUNCTION("IFERROR(VALUE(REGEXEXTRACT(TO_TEXT($F603), Q$1 &amp; ""x(\d+)"")), """")"),"")</f>
        <v/>
      </c>
      <c r="R603" s="9" t="str">
        <f ca="1">IFERROR(__xludf.DUMMYFUNCTION("IFERROR(VALUE(REGEXEXTRACT(TO_TEXT($F603), R$1 &amp; ""x(\d+)"")), """")"),"")</f>
        <v/>
      </c>
      <c r="S603" s="9" t="str">
        <f ca="1">IFERROR(__xludf.DUMMYFUNCTION("IFERROR(VALUE(REGEXEXTRACT(TO_TEXT($F603), S$1 &amp; ""x(\d+)"")), """")"),"")</f>
        <v/>
      </c>
      <c r="T603" s="9" t="str">
        <f ca="1">IFERROR(__xludf.DUMMYFUNCTION("IFERROR(VALUE(REGEXEXTRACT(TO_TEXT($F603), T$1 &amp; ""x(\d+)"")), """")"),"")</f>
        <v/>
      </c>
      <c r="U603" s="9" t="str">
        <f ca="1">IFERROR(__xludf.DUMMYFUNCTION("IFERROR(VALUE(REGEXEXTRACT(TO_TEXT($F603), U$1 &amp; ""x(\d+)"")), """")"),"")</f>
        <v/>
      </c>
      <c r="V603" s="9" t="str">
        <f ca="1">IFERROR(__xludf.DUMMYFUNCTION("IFERROR(VALUE(REGEXEXTRACT(TO_TEXT($F603), V$1 &amp; ""x(\d+)"")), """")"),"")</f>
        <v/>
      </c>
      <c r="W603" s="9"/>
      <c r="X603" s="9"/>
      <c r="Y603" s="9"/>
      <c r="Z603" s="9"/>
    </row>
    <row r="604" spans="1:26" ht="15.75" hidden="1" customHeight="1">
      <c r="A604" s="9" t="s">
        <v>1695</v>
      </c>
      <c r="B604" s="9" t="s">
        <v>1696</v>
      </c>
      <c r="C604" s="9" t="s">
        <v>861</v>
      </c>
      <c r="D604" s="9" t="s">
        <v>40</v>
      </c>
      <c r="E604" s="9" t="s">
        <v>11</v>
      </c>
      <c r="F604" s="9" t="s">
        <v>1401</v>
      </c>
      <c r="G604" s="9">
        <v>20</v>
      </c>
      <c r="H604" s="9">
        <v>4</v>
      </c>
      <c r="I604" s="9">
        <v>1.0149999999999999</v>
      </c>
      <c r="J604" s="9">
        <v>200</v>
      </c>
      <c r="K604" s="9" t="s">
        <v>442</v>
      </c>
      <c r="L604" s="9"/>
      <c r="M604" s="9"/>
      <c r="N604" s="9" t="str">
        <f ca="1">IFERROR(__xludf.DUMMYFUNCTION("IFERROR(VALUE(REGEXEXTRACT(TO_TEXT($F604), N$1 &amp; ""x(\d+)"")), """")
"),"")</f>
        <v/>
      </c>
      <c r="O604" s="9" t="str">
        <f ca="1">IFERROR(__xludf.DUMMYFUNCTION("IFERROR(VALUE(REGEXEXTRACT(TO_TEXT($F604), O$1 &amp; ""x(\d+)"")), """")"),"")</f>
        <v/>
      </c>
      <c r="P604" s="9" t="str">
        <f ca="1">IFERROR(__xludf.DUMMYFUNCTION("IFERROR(VALUE(REGEXEXTRACT(TO_TEXT($F604), P$1 &amp; ""x(\d+)"")), """")"),"")</f>
        <v/>
      </c>
      <c r="Q604" s="9" t="str">
        <f ca="1">IFERROR(__xludf.DUMMYFUNCTION("IFERROR(VALUE(REGEXEXTRACT(TO_TEXT($F604), Q$1 &amp; ""x(\d+)"")), """")"),"")</f>
        <v/>
      </c>
      <c r="R604" s="9" t="str">
        <f ca="1">IFERROR(__xludf.DUMMYFUNCTION("IFERROR(VALUE(REGEXEXTRACT(TO_TEXT($F604), R$1 &amp; ""x(\d+)"")), """")"),"")</f>
        <v/>
      </c>
      <c r="S604" s="9" t="str">
        <f ca="1">IFERROR(__xludf.DUMMYFUNCTION("IFERROR(VALUE(REGEXEXTRACT(TO_TEXT($F604), S$1 &amp; ""x(\d+)"")), """")"),"")</f>
        <v/>
      </c>
      <c r="T604" s="9" t="str">
        <f ca="1">IFERROR(__xludf.DUMMYFUNCTION("IFERROR(VALUE(REGEXEXTRACT(TO_TEXT($F604), T$1 &amp; ""x(\d+)"")), """")"),"")</f>
        <v/>
      </c>
      <c r="U604" s="9" t="str">
        <f ca="1">IFERROR(__xludf.DUMMYFUNCTION("IFERROR(VALUE(REGEXEXTRACT(TO_TEXT($F604), U$1 &amp; ""x(\d+)"")), """")"),"")</f>
        <v/>
      </c>
      <c r="V604" s="9" t="str">
        <f ca="1">IFERROR(__xludf.DUMMYFUNCTION("IFERROR(VALUE(REGEXEXTRACT(TO_TEXT($F604), V$1 &amp; ""x(\d+)"")), """")"),"")</f>
        <v/>
      </c>
      <c r="W604" s="9"/>
      <c r="X604" s="9"/>
      <c r="Y604" s="9"/>
      <c r="Z604" s="9"/>
    </row>
    <row r="605" spans="1:26" ht="15.75" hidden="1" customHeight="1">
      <c r="A605" s="9" t="s">
        <v>1695</v>
      </c>
      <c r="B605" s="9" t="s">
        <v>1696</v>
      </c>
      <c r="C605" s="9" t="s">
        <v>861</v>
      </c>
      <c r="D605" s="9" t="s">
        <v>40</v>
      </c>
      <c r="E605" s="9" t="s">
        <v>12</v>
      </c>
      <c r="F605" s="9" t="s">
        <v>1376</v>
      </c>
      <c r="G605" s="9">
        <v>100</v>
      </c>
      <c r="H605" s="9">
        <v>4</v>
      </c>
      <c r="I605" s="9">
        <v>1.0149999999999999</v>
      </c>
      <c r="J605" s="9">
        <v>200</v>
      </c>
      <c r="K605" s="9" t="s">
        <v>442</v>
      </c>
      <c r="L605" s="9" t="s">
        <v>1210</v>
      </c>
      <c r="M605" s="9"/>
      <c r="N605" s="9" t="str">
        <f ca="1">IFERROR(__xludf.DUMMYFUNCTION("IFERROR(VALUE(REGEXEXTRACT(TO_TEXT($F605), N$1 &amp; ""x(\d+)"")), """")
"),"")</f>
        <v/>
      </c>
      <c r="O605" s="9" t="str">
        <f ca="1">IFERROR(__xludf.DUMMYFUNCTION("IFERROR(VALUE(REGEXEXTRACT(TO_TEXT($F605), O$1 &amp; ""x(\d+)"")), """")"),"")</f>
        <v/>
      </c>
      <c r="P605" s="9" t="str">
        <f ca="1">IFERROR(__xludf.DUMMYFUNCTION("IFERROR(VALUE(REGEXEXTRACT(TO_TEXT($F605), P$1 &amp; ""x(\d+)"")), """")"),"")</f>
        <v/>
      </c>
      <c r="Q605" s="9" t="str">
        <f ca="1">IFERROR(__xludf.DUMMYFUNCTION("IFERROR(VALUE(REGEXEXTRACT(TO_TEXT($F605), Q$1 &amp; ""x(\d+)"")), """")"),"")</f>
        <v/>
      </c>
      <c r="R605" s="9" t="str">
        <f ca="1">IFERROR(__xludf.DUMMYFUNCTION("IFERROR(VALUE(REGEXEXTRACT(TO_TEXT($F605), R$1 &amp; ""x(\d+)"")), """")"),"")</f>
        <v/>
      </c>
      <c r="S605" s="9">
        <f ca="1">IFERROR(__xludf.DUMMYFUNCTION("IFERROR(VALUE(REGEXEXTRACT(TO_TEXT($F605), S$1 &amp; ""x(\d+)"")), """")"),1)</f>
        <v>1</v>
      </c>
      <c r="T605" s="9" t="str">
        <f ca="1">IFERROR(__xludf.DUMMYFUNCTION("IFERROR(VALUE(REGEXEXTRACT(TO_TEXT($F605), T$1 &amp; ""x(\d+)"")), """")"),"")</f>
        <v/>
      </c>
      <c r="U605" s="9" t="str">
        <f ca="1">IFERROR(__xludf.DUMMYFUNCTION("IFERROR(VALUE(REGEXEXTRACT(TO_TEXT($F605), U$1 &amp; ""x(\d+)"")), """")"),"")</f>
        <v/>
      </c>
      <c r="V605" s="9" t="str">
        <f ca="1">IFERROR(__xludf.DUMMYFUNCTION("IFERROR(VALUE(REGEXEXTRACT(TO_TEXT($F605), V$1 &amp; ""x(\d+)"")), """")"),"")</f>
        <v/>
      </c>
      <c r="W605" s="9"/>
      <c r="X605" s="9"/>
      <c r="Y605" s="9"/>
      <c r="Z605" s="9"/>
    </row>
    <row r="606" spans="1:26" ht="15.75" hidden="1" customHeight="1">
      <c r="A606" s="9" t="s">
        <v>1695</v>
      </c>
      <c r="B606" s="9" t="s">
        <v>1696</v>
      </c>
      <c r="C606" s="9" t="s">
        <v>861</v>
      </c>
      <c r="D606" s="9" t="s">
        <v>40</v>
      </c>
      <c r="E606" s="9" t="s">
        <v>13</v>
      </c>
      <c r="F606" s="9" t="s">
        <v>1697</v>
      </c>
      <c r="G606" s="9">
        <v>45</v>
      </c>
      <c r="H606" s="9">
        <v>4</v>
      </c>
      <c r="I606" s="9">
        <v>1.0149999999999999</v>
      </c>
      <c r="J606" s="9">
        <v>200</v>
      </c>
      <c r="K606" s="9" t="s">
        <v>442</v>
      </c>
      <c r="L606" s="9"/>
      <c r="M606" s="9"/>
      <c r="N606" s="9" t="str">
        <f ca="1">IFERROR(__xludf.DUMMYFUNCTION("IFERROR(VALUE(REGEXEXTRACT(TO_TEXT($F606), N$1 &amp; ""x(\d+)"")), """")
"),"")</f>
        <v/>
      </c>
      <c r="O606" s="9" t="str">
        <f ca="1">IFERROR(__xludf.DUMMYFUNCTION("IFERROR(VALUE(REGEXEXTRACT(TO_TEXT($F606), O$1 &amp; ""x(\d+)"")), """")"),"")</f>
        <v/>
      </c>
      <c r="P606" s="9" t="str">
        <f ca="1">IFERROR(__xludf.DUMMYFUNCTION("IFERROR(VALUE(REGEXEXTRACT(TO_TEXT($F606), P$1 &amp; ""x(\d+)"")), """")"),"")</f>
        <v/>
      </c>
      <c r="Q606" s="9" t="str">
        <f ca="1">IFERROR(__xludf.DUMMYFUNCTION("IFERROR(VALUE(REGEXEXTRACT(TO_TEXT($F606), Q$1 &amp; ""x(\d+)"")), """")"),"")</f>
        <v/>
      </c>
      <c r="R606" s="9" t="str">
        <f ca="1">IFERROR(__xludf.DUMMYFUNCTION("IFERROR(VALUE(REGEXEXTRACT(TO_TEXT($F606), R$1 &amp; ""x(\d+)"")), """")"),"")</f>
        <v/>
      </c>
      <c r="S606" s="9">
        <f ca="1">IFERROR(__xludf.DUMMYFUNCTION("IFERROR(VALUE(REGEXEXTRACT(TO_TEXT($F606), S$1 &amp; ""x(\d+)"")), """")"),1)</f>
        <v>1</v>
      </c>
      <c r="T606" s="9" t="str">
        <f ca="1">IFERROR(__xludf.DUMMYFUNCTION("IFERROR(VALUE(REGEXEXTRACT(TO_TEXT($F606), T$1 &amp; ""x(\d+)"")), """")"),"")</f>
        <v/>
      </c>
      <c r="U606" s="9" t="str">
        <f ca="1">IFERROR(__xludf.DUMMYFUNCTION("IFERROR(VALUE(REGEXEXTRACT(TO_TEXT($F606), U$1 &amp; ""x(\d+)"")), """")"),"")</f>
        <v/>
      </c>
      <c r="V606" s="9" t="str">
        <f ca="1">IFERROR(__xludf.DUMMYFUNCTION("IFERROR(VALUE(REGEXEXTRACT(TO_TEXT($F606), V$1 &amp; ""x(\d+)"")), """")"),"")</f>
        <v/>
      </c>
      <c r="W606" s="9"/>
      <c r="X606" s="9"/>
      <c r="Y606" s="9"/>
      <c r="Z606" s="9"/>
    </row>
    <row r="607" spans="1:26" ht="15.75" hidden="1" customHeight="1">
      <c r="A607" s="9" t="s">
        <v>1698</v>
      </c>
      <c r="B607" s="9" t="s">
        <v>1699</v>
      </c>
      <c r="C607" s="9" t="s">
        <v>863</v>
      </c>
      <c r="D607" s="9" t="s">
        <v>48</v>
      </c>
      <c r="E607" s="9" t="s">
        <v>11</v>
      </c>
      <c r="F607" s="9" t="s">
        <v>1700</v>
      </c>
      <c r="G607" s="9">
        <v>70</v>
      </c>
      <c r="H607" s="9">
        <v>3</v>
      </c>
      <c r="I607" s="9">
        <v>1.0149999999999999</v>
      </c>
      <c r="J607" s="9">
        <v>50</v>
      </c>
      <c r="K607" s="9" t="s">
        <v>424</v>
      </c>
      <c r="L607" s="9"/>
      <c r="M607" s="9"/>
      <c r="N607" s="9" t="str">
        <f ca="1">IFERROR(__xludf.DUMMYFUNCTION("IFERROR(VALUE(REGEXEXTRACT(TO_TEXT($F607), N$1 &amp; ""x(\d+)"")), """")
"),"")</f>
        <v/>
      </c>
      <c r="O607" s="9">
        <f ca="1">IFERROR(__xludf.DUMMYFUNCTION("IFERROR(VALUE(REGEXEXTRACT(TO_TEXT($F607), O$1 &amp; ""x(\d+)"")), """")"),1)</f>
        <v>1</v>
      </c>
      <c r="P607" s="9" t="str">
        <f ca="1">IFERROR(__xludf.DUMMYFUNCTION("IFERROR(VALUE(REGEXEXTRACT(TO_TEXT($F607), P$1 &amp; ""x(\d+)"")), """")"),"")</f>
        <v/>
      </c>
      <c r="Q607" s="9" t="str">
        <f ca="1">IFERROR(__xludf.DUMMYFUNCTION("IFERROR(VALUE(REGEXEXTRACT(TO_TEXT($F607), Q$1 &amp; ""x(\d+)"")), """")"),"")</f>
        <v/>
      </c>
      <c r="R607" s="9" t="str">
        <f ca="1">IFERROR(__xludf.DUMMYFUNCTION("IFERROR(VALUE(REGEXEXTRACT(TO_TEXT($F607), R$1 &amp; ""x(\d+)"")), """")"),"")</f>
        <v/>
      </c>
      <c r="S607" s="9" t="str">
        <f ca="1">IFERROR(__xludf.DUMMYFUNCTION("IFERROR(VALUE(REGEXEXTRACT(TO_TEXT($F607), S$1 &amp; ""x(\d+)"")), """")"),"")</f>
        <v/>
      </c>
      <c r="T607" s="9" t="str">
        <f ca="1">IFERROR(__xludf.DUMMYFUNCTION("IFERROR(VALUE(REGEXEXTRACT(TO_TEXT($F607), T$1 &amp; ""x(\d+)"")), """")"),"")</f>
        <v/>
      </c>
      <c r="U607" s="9" t="str">
        <f ca="1">IFERROR(__xludf.DUMMYFUNCTION("IFERROR(VALUE(REGEXEXTRACT(TO_TEXT($F607), U$1 &amp; ""x(\d+)"")), """")"),"")</f>
        <v/>
      </c>
      <c r="V607" s="9" t="str">
        <f ca="1">IFERROR(__xludf.DUMMYFUNCTION("IFERROR(VALUE(REGEXEXTRACT(TO_TEXT($F607), V$1 &amp; ""x(\d+)"")), """")"),"")</f>
        <v/>
      </c>
      <c r="W607" s="9"/>
      <c r="X607" s="9"/>
      <c r="Y607" s="9"/>
      <c r="Z607" s="9"/>
    </row>
    <row r="608" spans="1:26" ht="15.75" hidden="1" customHeight="1">
      <c r="A608" s="9" t="s">
        <v>1698</v>
      </c>
      <c r="B608" s="9" t="s">
        <v>1699</v>
      </c>
      <c r="C608" s="9" t="s">
        <v>863</v>
      </c>
      <c r="D608" s="9" t="s">
        <v>48</v>
      </c>
      <c r="E608" s="9" t="s">
        <v>12</v>
      </c>
      <c r="F608" s="9" t="s">
        <v>1701</v>
      </c>
      <c r="G608" s="9">
        <v>130</v>
      </c>
      <c r="H608" s="9">
        <v>3</v>
      </c>
      <c r="I608" s="9">
        <v>1.0149999999999999</v>
      </c>
      <c r="J608" s="9">
        <v>50</v>
      </c>
      <c r="K608" s="9" t="s">
        <v>424</v>
      </c>
      <c r="L608" s="9"/>
      <c r="M608" s="9"/>
      <c r="N608" s="9" t="str">
        <f ca="1">IFERROR(__xludf.DUMMYFUNCTION("IFERROR(VALUE(REGEXEXTRACT(TO_TEXT($F608), N$1 &amp; ""x(\d+)"")), """")
"),"")</f>
        <v/>
      </c>
      <c r="O608" s="9">
        <f ca="1">IFERROR(__xludf.DUMMYFUNCTION("IFERROR(VALUE(REGEXEXTRACT(TO_TEXT($F608), O$1 &amp; ""x(\d+)"")), """")"),1)</f>
        <v>1</v>
      </c>
      <c r="P608" s="9">
        <f ca="1">IFERROR(__xludf.DUMMYFUNCTION("IFERROR(VALUE(REGEXEXTRACT(TO_TEXT($F608), P$1 &amp; ""x(\d+)"")), """")"),1)</f>
        <v>1</v>
      </c>
      <c r="Q608" s="9" t="str">
        <f ca="1">IFERROR(__xludf.DUMMYFUNCTION("IFERROR(VALUE(REGEXEXTRACT(TO_TEXT($F608), Q$1 &amp; ""x(\d+)"")), """")"),"")</f>
        <v/>
      </c>
      <c r="R608" s="9" t="str">
        <f ca="1">IFERROR(__xludf.DUMMYFUNCTION("IFERROR(VALUE(REGEXEXTRACT(TO_TEXT($F608), R$1 &amp; ""x(\d+)"")), """")"),"")</f>
        <v/>
      </c>
      <c r="S608" s="9" t="str">
        <f ca="1">IFERROR(__xludf.DUMMYFUNCTION("IFERROR(VALUE(REGEXEXTRACT(TO_TEXT($F608), S$1 &amp; ""x(\d+)"")), """")"),"")</f>
        <v/>
      </c>
      <c r="T608" s="9" t="str">
        <f ca="1">IFERROR(__xludf.DUMMYFUNCTION("IFERROR(VALUE(REGEXEXTRACT(TO_TEXT($F608), T$1 &amp; ""x(\d+)"")), """")"),"")</f>
        <v/>
      </c>
      <c r="U608" s="9" t="str">
        <f ca="1">IFERROR(__xludf.DUMMYFUNCTION("IFERROR(VALUE(REGEXEXTRACT(TO_TEXT($F608), U$1 &amp; ""x(\d+)"")), """")"),"")</f>
        <v/>
      </c>
      <c r="V608" s="9" t="str">
        <f ca="1">IFERROR(__xludf.DUMMYFUNCTION("IFERROR(VALUE(REGEXEXTRACT(TO_TEXT($F608), V$1 &amp; ""x(\d+)"")), """")"),"")</f>
        <v/>
      </c>
      <c r="W608" s="9"/>
      <c r="X608" s="9"/>
      <c r="Y608" s="9"/>
      <c r="Z608" s="9"/>
    </row>
    <row r="609" spans="1:26" ht="15.75" hidden="1" customHeight="1">
      <c r="A609" s="9" t="s">
        <v>1698</v>
      </c>
      <c r="B609" s="9" t="s">
        <v>1699</v>
      </c>
      <c r="C609" s="9" t="s">
        <v>863</v>
      </c>
      <c r="D609" s="9" t="s">
        <v>48</v>
      </c>
      <c r="E609" s="9" t="s">
        <v>13</v>
      </c>
      <c r="F609" s="9" t="s">
        <v>1593</v>
      </c>
      <c r="G609" s="9">
        <v>30</v>
      </c>
      <c r="H609" s="9">
        <v>3</v>
      </c>
      <c r="I609" s="9">
        <v>1.0149999999999999</v>
      </c>
      <c r="J609" s="9">
        <v>50</v>
      </c>
      <c r="K609" s="9" t="s">
        <v>424</v>
      </c>
      <c r="L609" s="9"/>
      <c r="M609" s="9"/>
      <c r="N609" s="9" t="str">
        <f ca="1">IFERROR(__xludf.DUMMYFUNCTION("IFERROR(VALUE(REGEXEXTRACT(TO_TEXT($F609), N$1 &amp; ""x(\d+)"")), """")
"),"")</f>
        <v/>
      </c>
      <c r="O609" s="9">
        <f ca="1">IFERROR(__xludf.DUMMYFUNCTION("IFERROR(VALUE(REGEXEXTRACT(TO_TEXT($F609), O$1 &amp; ""x(\d+)"")), """")"),1)</f>
        <v>1</v>
      </c>
      <c r="P609" s="9">
        <f ca="1">IFERROR(__xludf.DUMMYFUNCTION("IFERROR(VALUE(REGEXEXTRACT(TO_TEXT($F609), P$1 &amp; ""x(\d+)"")), """")"),1)</f>
        <v>1</v>
      </c>
      <c r="Q609" s="9" t="str">
        <f ca="1">IFERROR(__xludf.DUMMYFUNCTION("IFERROR(VALUE(REGEXEXTRACT(TO_TEXT($F609), Q$1 &amp; ""x(\d+)"")), """")"),"")</f>
        <v/>
      </c>
      <c r="R609" s="9" t="str">
        <f ca="1">IFERROR(__xludf.DUMMYFUNCTION("IFERROR(VALUE(REGEXEXTRACT(TO_TEXT($F609), R$1 &amp; ""x(\d+)"")), """")"),"")</f>
        <v/>
      </c>
      <c r="S609" s="9" t="str">
        <f ca="1">IFERROR(__xludf.DUMMYFUNCTION("IFERROR(VALUE(REGEXEXTRACT(TO_TEXT($F609), S$1 &amp; ""x(\d+)"")), """")"),"")</f>
        <v/>
      </c>
      <c r="T609" s="9" t="str">
        <f ca="1">IFERROR(__xludf.DUMMYFUNCTION("IFERROR(VALUE(REGEXEXTRACT(TO_TEXT($F609), T$1 &amp; ""x(\d+)"")), """")"),"")</f>
        <v/>
      </c>
      <c r="U609" s="9" t="str">
        <f ca="1">IFERROR(__xludf.DUMMYFUNCTION("IFERROR(VALUE(REGEXEXTRACT(TO_TEXT($F609), U$1 &amp; ""x(\d+)"")), """")"),"")</f>
        <v/>
      </c>
      <c r="V609" s="9" t="str">
        <f ca="1">IFERROR(__xludf.DUMMYFUNCTION("IFERROR(VALUE(REGEXEXTRACT(TO_TEXT($F609), V$1 &amp; ""x(\d+)"")), """")"),"")</f>
        <v/>
      </c>
      <c r="W609" s="9"/>
      <c r="X609" s="9"/>
      <c r="Y609" s="9"/>
      <c r="Z609" s="9"/>
    </row>
    <row r="610" spans="1:26" ht="15.75" hidden="1" customHeight="1">
      <c r="A610" s="9" t="s">
        <v>1702</v>
      </c>
      <c r="B610" s="9" t="s">
        <v>1703</v>
      </c>
      <c r="C610" s="9" t="s">
        <v>530</v>
      </c>
      <c r="D610" s="9" t="s">
        <v>40</v>
      </c>
      <c r="E610" s="9" t="s">
        <v>11</v>
      </c>
      <c r="F610" s="9" t="s">
        <v>1533</v>
      </c>
      <c r="G610" s="9">
        <v>20</v>
      </c>
      <c r="H610" s="9">
        <v>2</v>
      </c>
      <c r="I610" s="9">
        <v>1.0149999999999999</v>
      </c>
      <c r="J610" s="9">
        <v>400</v>
      </c>
      <c r="K610" s="9" t="s">
        <v>442</v>
      </c>
      <c r="L610" s="9"/>
      <c r="M610" s="9"/>
      <c r="N610" s="9" t="str">
        <f ca="1">IFERROR(__xludf.DUMMYFUNCTION("IFERROR(VALUE(REGEXEXTRACT(TO_TEXT($F610), N$1 &amp; ""x(\d+)"")), """")
"),"")</f>
        <v/>
      </c>
      <c r="O610" s="9" t="str">
        <f ca="1">IFERROR(__xludf.DUMMYFUNCTION("IFERROR(VALUE(REGEXEXTRACT(TO_TEXT($F610), O$1 &amp; ""x(\d+)"")), """")"),"")</f>
        <v/>
      </c>
      <c r="P610" s="9" t="str">
        <f ca="1">IFERROR(__xludf.DUMMYFUNCTION("IFERROR(VALUE(REGEXEXTRACT(TO_TEXT($F610), P$1 &amp; ""x(\d+)"")), """")"),"")</f>
        <v/>
      </c>
      <c r="Q610" s="9" t="str">
        <f ca="1">IFERROR(__xludf.DUMMYFUNCTION("IFERROR(VALUE(REGEXEXTRACT(TO_TEXT($F610), Q$1 &amp; ""x(\d+)"")), """")"),"")</f>
        <v/>
      </c>
      <c r="R610" s="9" t="str">
        <f ca="1">IFERROR(__xludf.DUMMYFUNCTION("IFERROR(VALUE(REGEXEXTRACT(TO_TEXT($F610), R$1 &amp; ""x(\d+)"")), """")"),"")</f>
        <v/>
      </c>
      <c r="S610" s="9" t="str">
        <f ca="1">IFERROR(__xludf.DUMMYFUNCTION("IFERROR(VALUE(REGEXEXTRACT(TO_TEXT($F610), S$1 &amp; ""x(\d+)"")), """")"),"")</f>
        <v/>
      </c>
      <c r="T610" s="9" t="str">
        <f ca="1">IFERROR(__xludf.DUMMYFUNCTION("IFERROR(VALUE(REGEXEXTRACT(TO_TEXT($F610), T$1 &amp; ""x(\d+)"")), """")"),"")</f>
        <v/>
      </c>
      <c r="U610" s="9" t="str">
        <f ca="1">IFERROR(__xludf.DUMMYFUNCTION("IFERROR(VALUE(REGEXEXTRACT(TO_TEXT($F610), U$1 &amp; ""x(\d+)"")), """")"),"")</f>
        <v/>
      </c>
      <c r="V610" s="9" t="str">
        <f ca="1">IFERROR(__xludf.DUMMYFUNCTION("IFERROR(VALUE(REGEXEXTRACT(TO_TEXT($F610), V$1 &amp; ""x(\d+)"")), """")"),"")</f>
        <v/>
      </c>
      <c r="W610" s="9"/>
      <c r="X610" s="9"/>
      <c r="Y610" s="9"/>
      <c r="Z610" s="9"/>
    </row>
    <row r="611" spans="1:26" ht="15.75" hidden="1" customHeight="1">
      <c r="A611" s="9" t="s">
        <v>1702</v>
      </c>
      <c r="B611" s="9" t="s">
        <v>1703</v>
      </c>
      <c r="C611" s="9" t="s">
        <v>530</v>
      </c>
      <c r="D611" s="9" t="s">
        <v>40</v>
      </c>
      <c r="E611" s="9" t="s">
        <v>12</v>
      </c>
      <c r="F611" s="9" t="s">
        <v>1534</v>
      </c>
      <c r="G611" s="9">
        <v>180</v>
      </c>
      <c r="H611" s="9">
        <v>2</v>
      </c>
      <c r="I611" s="9">
        <v>1.0149999999999999</v>
      </c>
      <c r="J611" s="9">
        <v>400</v>
      </c>
      <c r="K611" s="9" t="s">
        <v>442</v>
      </c>
      <c r="L611" s="9" t="s">
        <v>1030</v>
      </c>
      <c r="M611" s="9"/>
      <c r="N611" s="9" t="str">
        <f ca="1">IFERROR(__xludf.DUMMYFUNCTION("IFERROR(VALUE(REGEXEXTRACT(TO_TEXT($F611), N$1 &amp; ""x(\d+)"")), """")
"),"")</f>
        <v/>
      </c>
      <c r="O611" s="9">
        <f ca="1">IFERROR(__xludf.DUMMYFUNCTION("IFERROR(VALUE(REGEXEXTRACT(TO_TEXT($F611), O$1 &amp; ""x(\d+)"")), """")"),1)</f>
        <v>1</v>
      </c>
      <c r="P611" s="9" t="str">
        <f ca="1">IFERROR(__xludf.DUMMYFUNCTION("IFERROR(VALUE(REGEXEXTRACT(TO_TEXT($F611), P$1 &amp; ""x(\d+)"")), """")"),"")</f>
        <v/>
      </c>
      <c r="Q611" s="9" t="str">
        <f ca="1">IFERROR(__xludf.DUMMYFUNCTION("IFERROR(VALUE(REGEXEXTRACT(TO_TEXT($F611), Q$1 &amp; ""x(\d+)"")), """")"),"")</f>
        <v/>
      </c>
      <c r="R611" s="9" t="str">
        <f ca="1">IFERROR(__xludf.DUMMYFUNCTION("IFERROR(VALUE(REGEXEXTRACT(TO_TEXT($F611), R$1 &amp; ""x(\d+)"")), """")"),"")</f>
        <v/>
      </c>
      <c r="S611" s="9">
        <f ca="1">IFERROR(__xludf.DUMMYFUNCTION("IFERROR(VALUE(REGEXEXTRACT(TO_TEXT($F611), S$1 &amp; ""x(\d+)"")), """")"),1)</f>
        <v>1</v>
      </c>
      <c r="T611" s="9" t="str">
        <f ca="1">IFERROR(__xludf.DUMMYFUNCTION("IFERROR(VALUE(REGEXEXTRACT(TO_TEXT($F611), T$1 &amp; ""x(\d+)"")), """")"),"")</f>
        <v/>
      </c>
      <c r="U611" s="9" t="str">
        <f ca="1">IFERROR(__xludf.DUMMYFUNCTION("IFERROR(VALUE(REGEXEXTRACT(TO_TEXT($F611), U$1 &amp; ""x(\d+)"")), """")"),"")</f>
        <v/>
      </c>
      <c r="V611" s="9" t="str">
        <f ca="1">IFERROR(__xludf.DUMMYFUNCTION("IFERROR(VALUE(REGEXEXTRACT(TO_TEXT($F611), V$1 &amp; ""x(\d+)"")), """")"),"")</f>
        <v/>
      </c>
      <c r="W611" s="9"/>
      <c r="X611" s="9"/>
      <c r="Y611" s="9"/>
      <c r="Z611" s="9"/>
    </row>
    <row r="612" spans="1:26" ht="15.75" hidden="1" customHeight="1">
      <c r="A612" s="9" t="s">
        <v>1702</v>
      </c>
      <c r="B612" s="9" t="s">
        <v>1703</v>
      </c>
      <c r="C612" s="9" t="s">
        <v>530</v>
      </c>
      <c r="D612" s="9" t="s">
        <v>40</v>
      </c>
      <c r="E612" s="9" t="s">
        <v>13</v>
      </c>
      <c r="F612" s="9" t="s">
        <v>1535</v>
      </c>
      <c r="G612" s="9">
        <v>30</v>
      </c>
      <c r="H612" s="9">
        <v>2</v>
      </c>
      <c r="I612" s="9">
        <v>1.0149999999999999</v>
      </c>
      <c r="J612" s="9">
        <v>400</v>
      </c>
      <c r="K612" s="9" t="s">
        <v>442</v>
      </c>
      <c r="L612" s="9"/>
      <c r="M612" s="9"/>
      <c r="N612" s="9" t="str">
        <f ca="1">IFERROR(__xludf.DUMMYFUNCTION("IFERROR(VALUE(REGEXEXTRACT(TO_TEXT($F612), N$1 &amp; ""x(\d+)"")), """")
"),"")</f>
        <v/>
      </c>
      <c r="O612" s="9">
        <f ca="1">IFERROR(__xludf.DUMMYFUNCTION("IFERROR(VALUE(REGEXEXTRACT(TO_TEXT($F612), O$1 &amp; ""x(\d+)"")), """")"),1)</f>
        <v>1</v>
      </c>
      <c r="P612" s="9" t="str">
        <f ca="1">IFERROR(__xludf.DUMMYFUNCTION("IFERROR(VALUE(REGEXEXTRACT(TO_TEXT($F612), P$1 &amp; ""x(\d+)"")), """")"),"")</f>
        <v/>
      </c>
      <c r="Q612" s="9" t="str">
        <f ca="1">IFERROR(__xludf.DUMMYFUNCTION("IFERROR(VALUE(REGEXEXTRACT(TO_TEXT($F612), Q$1 &amp; ""x(\d+)"")), """")"),"")</f>
        <v/>
      </c>
      <c r="R612" s="9" t="str">
        <f ca="1">IFERROR(__xludf.DUMMYFUNCTION("IFERROR(VALUE(REGEXEXTRACT(TO_TEXT($F612), R$1 &amp; ""x(\d+)"")), """")"),"")</f>
        <v/>
      </c>
      <c r="S612" s="9">
        <f ca="1">IFERROR(__xludf.DUMMYFUNCTION("IFERROR(VALUE(REGEXEXTRACT(TO_TEXT($F612), S$1 &amp; ""x(\d+)"")), """")"),1)</f>
        <v>1</v>
      </c>
      <c r="T612" s="9" t="str">
        <f ca="1">IFERROR(__xludf.DUMMYFUNCTION("IFERROR(VALUE(REGEXEXTRACT(TO_TEXT($F612), T$1 &amp; ""x(\d+)"")), """")"),"")</f>
        <v/>
      </c>
      <c r="U612" s="9" t="str">
        <f ca="1">IFERROR(__xludf.DUMMYFUNCTION("IFERROR(VALUE(REGEXEXTRACT(TO_TEXT($F612), U$1 &amp; ""x(\d+)"")), """")"),"")</f>
        <v/>
      </c>
      <c r="V612" s="9" t="str">
        <f ca="1">IFERROR(__xludf.DUMMYFUNCTION("IFERROR(VALUE(REGEXEXTRACT(TO_TEXT($F612), V$1 &amp; ""x(\d+)"")), """")"),"")</f>
        <v/>
      </c>
      <c r="W612" s="9"/>
      <c r="X612" s="9"/>
      <c r="Y612" s="9"/>
      <c r="Z612" s="9"/>
    </row>
    <row r="613" spans="1:26" ht="15.75" customHeight="1">
      <c r="A613" s="9" t="s">
        <v>217</v>
      </c>
      <c r="B613" s="9" t="s">
        <v>1704</v>
      </c>
      <c r="C613" s="9" t="s">
        <v>218</v>
      </c>
      <c r="D613" s="9" t="s">
        <v>33</v>
      </c>
      <c r="E613" s="9" t="s">
        <v>11</v>
      </c>
      <c r="F613" s="9" t="s">
        <v>1705</v>
      </c>
      <c r="G613" s="9">
        <v>45</v>
      </c>
      <c r="H613" s="9">
        <v>4</v>
      </c>
      <c r="I613" s="9">
        <v>1.0149999999999999</v>
      </c>
      <c r="J613" s="9">
        <v>79.5</v>
      </c>
      <c r="K613" s="9" t="s">
        <v>442</v>
      </c>
      <c r="L613" s="9"/>
      <c r="M613" s="9"/>
      <c r="N613" s="9">
        <f ca="1">IFERROR(__xludf.DUMMYFUNCTION("IFERROR(VALUE(REGEXEXTRACT(TO_TEXT($F613), N$1 &amp; ""x(\d+)"")), """")
"),1)</f>
        <v>1</v>
      </c>
      <c r="O613" s="9" t="str">
        <f ca="1">IFERROR(__xludf.DUMMYFUNCTION("IFERROR(VALUE(REGEXEXTRACT(TO_TEXT($F613), O$1 &amp; ""x(\d+)"")), """")"),"")</f>
        <v/>
      </c>
      <c r="P613" s="9" t="str">
        <f ca="1">IFERROR(__xludf.DUMMYFUNCTION("IFERROR(VALUE(REGEXEXTRACT(TO_TEXT($F613), P$1 &amp; ""x(\d+)"")), """")"),"")</f>
        <v/>
      </c>
      <c r="Q613" s="9" t="str">
        <f ca="1">IFERROR(__xludf.DUMMYFUNCTION("IFERROR(VALUE(REGEXEXTRACT(TO_TEXT($F613), Q$1 &amp; ""x(\d+)"")), """")"),"")</f>
        <v/>
      </c>
      <c r="R613" s="9" t="str">
        <f ca="1">IFERROR(__xludf.DUMMYFUNCTION("IFERROR(VALUE(REGEXEXTRACT(TO_TEXT($F613), R$1 &amp; ""x(\d+)"")), """")"),"")</f>
        <v/>
      </c>
      <c r="S613" s="9" t="str">
        <f ca="1">IFERROR(__xludf.DUMMYFUNCTION("IFERROR(VALUE(REGEXEXTRACT(TO_TEXT($F613), S$1 &amp; ""x(\d+)"")), """")"),"")</f>
        <v/>
      </c>
      <c r="T613" s="9" t="str">
        <f ca="1">IFERROR(__xludf.DUMMYFUNCTION("IFERROR(VALUE(REGEXEXTRACT(TO_TEXT($F613), T$1 &amp; ""x(\d+)"")), """")"),"")</f>
        <v/>
      </c>
      <c r="U613" s="9" t="str">
        <f ca="1">IFERROR(__xludf.DUMMYFUNCTION("IFERROR(VALUE(REGEXEXTRACT(TO_TEXT($F613), U$1 &amp; ""x(\d+)"")), """")"),"")</f>
        <v/>
      </c>
      <c r="V613" s="9">
        <f ca="1">IFERROR(__xludf.DUMMYFUNCTION("IFERROR(VALUE(REGEXEXTRACT(TO_TEXT($F613), V$1 &amp; ""x(\d+)"")), """")"),1)</f>
        <v>1</v>
      </c>
      <c r="W613" s="9"/>
      <c r="X613" s="9"/>
      <c r="Y613" s="9"/>
      <c r="Z613" s="9"/>
    </row>
    <row r="614" spans="1:26" ht="15.75" customHeight="1">
      <c r="A614" s="9" t="s">
        <v>217</v>
      </c>
      <c r="B614" s="9" t="s">
        <v>1704</v>
      </c>
      <c r="C614" s="9" t="s">
        <v>218</v>
      </c>
      <c r="D614" s="9" t="s">
        <v>33</v>
      </c>
      <c r="E614" s="9" t="s">
        <v>12</v>
      </c>
      <c r="F614" s="9" t="s">
        <v>1066</v>
      </c>
      <c r="G614" s="9">
        <v>105</v>
      </c>
      <c r="H614" s="9">
        <v>4</v>
      </c>
      <c r="I614" s="9">
        <v>1.0149999999999999</v>
      </c>
      <c r="J614" s="9">
        <v>79.5</v>
      </c>
      <c r="K614" s="9" t="s">
        <v>442</v>
      </c>
      <c r="L614" s="9"/>
      <c r="M614" s="9"/>
      <c r="N614" s="9" t="str">
        <f ca="1">IFERROR(__xludf.DUMMYFUNCTION("IFERROR(VALUE(REGEXEXTRACT(TO_TEXT($F614), N$1 &amp; ""x(\d+)"")), """")
"),"")</f>
        <v/>
      </c>
      <c r="O614" s="9">
        <f ca="1">IFERROR(__xludf.DUMMYFUNCTION("IFERROR(VALUE(REGEXEXTRACT(TO_TEXT($F614), O$1 &amp; ""x(\d+)"")), """")"),1)</f>
        <v>1</v>
      </c>
      <c r="P614" s="9" t="str">
        <f ca="1">IFERROR(__xludf.DUMMYFUNCTION("IFERROR(VALUE(REGEXEXTRACT(TO_TEXT($F614), P$1 &amp; ""x(\d+)"")), """")"),"")</f>
        <v/>
      </c>
      <c r="Q614" s="9" t="str">
        <f ca="1">IFERROR(__xludf.DUMMYFUNCTION("IFERROR(VALUE(REGEXEXTRACT(TO_TEXT($F614), Q$1 &amp; ""x(\d+)"")), """")"),"")</f>
        <v/>
      </c>
      <c r="R614" s="9" t="str">
        <f ca="1">IFERROR(__xludf.DUMMYFUNCTION("IFERROR(VALUE(REGEXEXTRACT(TO_TEXT($F614), R$1 &amp; ""x(\d+)"")), """")"),"")</f>
        <v/>
      </c>
      <c r="S614" s="9" t="str">
        <f ca="1">IFERROR(__xludf.DUMMYFUNCTION("IFERROR(VALUE(REGEXEXTRACT(TO_TEXT($F614), S$1 &amp; ""x(\d+)"")), """")"),"")</f>
        <v/>
      </c>
      <c r="T614" s="9" t="str">
        <f ca="1">IFERROR(__xludf.DUMMYFUNCTION("IFERROR(VALUE(REGEXEXTRACT(TO_TEXT($F614), T$1 &amp; ""x(\d+)"")), """")"),"")</f>
        <v/>
      </c>
      <c r="U614" s="9" t="str">
        <f ca="1">IFERROR(__xludf.DUMMYFUNCTION("IFERROR(VALUE(REGEXEXTRACT(TO_TEXT($F614), U$1 &amp; ""x(\d+)"")), """")"),"")</f>
        <v/>
      </c>
      <c r="V614" s="9" t="str">
        <f ca="1">IFERROR(__xludf.DUMMYFUNCTION("IFERROR(VALUE(REGEXEXTRACT(TO_TEXT($F614), V$1 &amp; ""x(\d+)"")), """")"),"")</f>
        <v/>
      </c>
      <c r="W614" s="9"/>
      <c r="X614" s="9"/>
      <c r="Y614" s="9"/>
      <c r="Z614" s="9"/>
    </row>
    <row r="615" spans="1:26" ht="15.75" customHeight="1">
      <c r="A615" s="9" t="s">
        <v>217</v>
      </c>
      <c r="B615" s="9" t="s">
        <v>1704</v>
      </c>
      <c r="C615" s="9" t="s">
        <v>218</v>
      </c>
      <c r="D615" s="9" t="s">
        <v>33</v>
      </c>
      <c r="E615" s="9" t="s">
        <v>13</v>
      </c>
      <c r="F615" s="9" t="s">
        <v>1108</v>
      </c>
      <c r="G615" s="9">
        <v>20</v>
      </c>
      <c r="H615" s="9">
        <v>4</v>
      </c>
      <c r="I615" s="9">
        <v>1.0149999999999999</v>
      </c>
      <c r="J615" s="9">
        <v>79.5</v>
      </c>
      <c r="K615" s="9" t="s">
        <v>442</v>
      </c>
      <c r="L615" s="9"/>
      <c r="M615" s="9"/>
      <c r="N615" s="9" t="str">
        <f ca="1">IFERROR(__xludf.DUMMYFUNCTION("IFERROR(VALUE(REGEXEXTRACT(TO_TEXT($F615), N$1 &amp; ""x(\d+)"")), """")
"),"")</f>
        <v/>
      </c>
      <c r="O615" s="9">
        <f ca="1">IFERROR(__xludf.DUMMYFUNCTION("IFERROR(VALUE(REGEXEXTRACT(TO_TEXT($F615), O$1 &amp; ""x(\d+)"")), """")"),1)</f>
        <v>1</v>
      </c>
      <c r="P615" s="9" t="str">
        <f ca="1">IFERROR(__xludf.DUMMYFUNCTION("IFERROR(VALUE(REGEXEXTRACT(TO_TEXT($F615), P$1 &amp; ""x(\d+)"")), """")"),"")</f>
        <v/>
      </c>
      <c r="Q615" s="9" t="str">
        <f ca="1">IFERROR(__xludf.DUMMYFUNCTION("IFERROR(VALUE(REGEXEXTRACT(TO_TEXT($F615), Q$1 &amp; ""x(\d+)"")), """")"),"")</f>
        <v/>
      </c>
      <c r="R615" s="9" t="str">
        <f ca="1">IFERROR(__xludf.DUMMYFUNCTION("IFERROR(VALUE(REGEXEXTRACT(TO_TEXT($F615), R$1 &amp; ""x(\d+)"")), """")"),"")</f>
        <v/>
      </c>
      <c r="S615" s="9" t="str">
        <f ca="1">IFERROR(__xludf.DUMMYFUNCTION("IFERROR(VALUE(REGEXEXTRACT(TO_TEXT($F615), S$1 &amp; ""x(\d+)"")), """")"),"")</f>
        <v/>
      </c>
      <c r="T615" s="9" t="str">
        <f ca="1">IFERROR(__xludf.DUMMYFUNCTION("IFERROR(VALUE(REGEXEXTRACT(TO_TEXT($F615), T$1 &amp; ""x(\d+)"")), """")"),"")</f>
        <v/>
      </c>
      <c r="U615" s="9" t="str">
        <f ca="1">IFERROR(__xludf.DUMMYFUNCTION("IFERROR(VALUE(REGEXEXTRACT(TO_TEXT($F615), U$1 &amp; ""x(\d+)"")), """")"),"")</f>
        <v/>
      </c>
      <c r="V615" s="9" t="str">
        <f ca="1">IFERROR(__xludf.DUMMYFUNCTION("IFERROR(VALUE(REGEXEXTRACT(TO_TEXT($F615), V$1 &amp; ""x(\d+)"")), """")"),"")</f>
        <v/>
      </c>
      <c r="W615" s="9"/>
      <c r="X615" s="9"/>
      <c r="Y615" s="9"/>
      <c r="Z615" s="9"/>
    </row>
    <row r="616" spans="1:26" ht="15.75" hidden="1" customHeight="1">
      <c r="A616" s="9" t="s">
        <v>142</v>
      </c>
      <c r="B616" s="9" t="s">
        <v>1706</v>
      </c>
      <c r="C616" s="9" t="s">
        <v>143</v>
      </c>
      <c r="D616" s="9" t="s">
        <v>74</v>
      </c>
      <c r="E616" s="9" t="s">
        <v>11</v>
      </c>
      <c r="F616" s="9" t="s">
        <v>1221</v>
      </c>
      <c r="G616" s="9">
        <v>25</v>
      </c>
      <c r="H616" s="9">
        <v>2</v>
      </c>
      <c r="I616" s="9">
        <v>1.0149999999999999</v>
      </c>
      <c r="J616" s="9">
        <v>103</v>
      </c>
      <c r="K616" s="9" t="s">
        <v>424</v>
      </c>
      <c r="L616" s="9"/>
      <c r="M616" s="9"/>
      <c r="N616" s="9" t="str">
        <f ca="1">IFERROR(__xludf.DUMMYFUNCTION("IFERROR(VALUE(REGEXEXTRACT(TO_TEXT($F616), N$1 &amp; ""x(\d+)"")), """")
"),"")</f>
        <v/>
      </c>
      <c r="O616" s="9" t="str">
        <f ca="1">IFERROR(__xludf.DUMMYFUNCTION("IFERROR(VALUE(REGEXEXTRACT(TO_TEXT($F616), O$1 &amp; ""x(\d+)"")), """")"),"")</f>
        <v/>
      </c>
      <c r="P616" s="9" t="str">
        <f ca="1">IFERROR(__xludf.DUMMYFUNCTION("IFERROR(VALUE(REGEXEXTRACT(TO_TEXT($F616), P$1 &amp; ""x(\d+)"")), """")"),"")</f>
        <v/>
      </c>
      <c r="Q616" s="9" t="str">
        <f ca="1">IFERROR(__xludf.DUMMYFUNCTION("IFERROR(VALUE(REGEXEXTRACT(TO_TEXT($F616), Q$1 &amp; ""x(\d+)"")), """")"),"")</f>
        <v/>
      </c>
      <c r="R616" s="9" t="str">
        <f ca="1">IFERROR(__xludf.DUMMYFUNCTION("IFERROR(VALUE(REGEXEXTRACT(TO_TEXT($F616), R$1 &amp; ""x(\d+)"")), """")"),"")</f>
        <v/>
      </c>
      <c r="S616" s="9" t="str">
        <f ca="1">IFERROR(__xludf.DUMMYFUNCTION("IFERROR(VALUE(REGEXEXTRACT(TO_TEXT($F616), S$1 &amp; ""x(\d+)"")), """")"),"")</f>
        <v/>
      </c>
      <c r="T616" s="9" t="str">
        <f ca="1">IFERROR(__xludf.DUMMYFUNCTION("IFERROR(VALUE(REGEXEXTRACT(TO_TEXT($F616), T$1 &amp; ""x(\d+)"")), """")"),"")</f>
        <v/>
      </c>
      <c r="U616" s="9" t="str">
        <f ca="1">IFERROR(__xludf.DUMMYFUNCTION("IFERROR(VALUE(REGEXEXTRACT(TO_TEXT($F616), U$1 &amp; ""x(\d+)"")), """")"),"")</f>
        <v/>
      </c>
      <c r="V616" s="9" t="str">
        <f ca="1">IFERROR(__xludf.DUMMYFUNCTION("IFERROR(VALUE(REGEXEXTRACT(TO_TEXT($F616), V$1 &amp; ""x(\d+)"")), """")"),"")</f>
        <v/>
      </c>
      <c r="W616" s="9"/>
      <c r="X616" s="9"/>
      <c r="Y616" s="9"/>
      <c r="Z616" s="9"/>
    </row>
    <row r="617" spans="1:26" ht="15.75" hidden="1" customHeight="1">
      <c r="A617" s="9" t="s">
        <v>142</v>
      </c>
      <c r="B617" s="9" t="s">
        <v>1706</v>
      </c>
      <c r="C617" s="9" t="s">
        <v>143</v>
      </c>
      <c r="D617" s="9" t="s">
        <v>74</v>
      </c>
      <c r="E617" s="9" t="s">
        <v>12</v>
      </c>
      <c r="F617" s="9" t="s">
        <v>1124</v>
      </c>
      <c r="G617" s="9">
        <v>180</v>
      </c>
      <c r="H617" s="9">
        <v>2</v>
      </c>
      <c r="I617" s="9">
        <v>1.0149999999999999</v>
      </c>
      <c r="J617" s="9">
        <v>103</v>
      </c>
      <c r="K617" s="9" t="s">
        <v>424</v>
      </c>
      <c r="L617" s="9" t="s">
        <v>1222</v>
      </c>
      <c r="M617" s="9"/>
      <c r="N617" s="9" t="str">
        <f ca="1">IFERROR(__xludf.DUMMYFUNCTION("IFERROR(VALUE(REGEXEXTRACT(TO_TEXT($F617), N$1 &amp; ""x(\d+)"")), """")
"),"")</f>
        <v/>
      </c>
      <c r="O617" s="9" t="str">
        <f ca="1">IFERROR(__xludf.DUMMYFUNCTION("IFERROR(VALUE(REGEXEXTRACT(TO_TEXT($F617), O$1 &amp; ""x(\d+)"")), """")"),"")</f>
        <v/>
      </c>
      <c r="P617" s="9" t="str">
        <f ca="1">IFERROR(__xludf.DUMMYFUNCTION("IFERROR(VALUE(REGEXEXTRACT(TO_TEXT($F617), P$1 &amp; ""x(\d+)"")), """")"),"")</f>
        <v/>
      </c>
      <c r="Q617" s="9">
        <f ca="1">IFERROR(__xludf.DUMMYFUNCTION("IFERROR(VALUE(REGEXEXTRACT(TO_TEXT($F617), Q$1 &amp; ""x(\d+)"")), """")"),1)</f>
        <v>1</v>
      </c>
      <c r="R617" s="9" t="str">
        <f ca="1">IFERROR(__xludf.DUMMYFUNCTION("IFERROR(VALUE(REGEXEXTRACT(TO_TEXT($F617), R$1 &amp; ""x(\d+)"")), """")"),"")</f>
        <v/>
      </c>
      <c r="S617" s="9" t="str">
        <f ca="1">IFERROR(__xludf.DUMMYFUNCTION("IFERROR(VALUE(REGEXEXTRACT(TO_TEXT($F617), S$1 &amp; ""x(\d+)"")), """")"),"")</f>
        <v/>
      </c>
      <c r="T617" s="9" t="str">
        <f ca="1">IFERROR(__xludf.DUMMYFUNCTION("IFERROR(VALUE(REGEXEXTRACT(TO_TEXT($F617), T$1 &amp; ""x(\d+)"")), """")"),"")</f>
        <v/>
      </c>
      <c r="U617" s="9" t="str">
        <f ca="1">IFERROR(__xludf.DUMMYFUNCTION("IFERROR(VALUE(REGEXEXTRACT(TO_TEXT($F617), U$1 &amp; ""x(\d+)"")), """")"),"")</f>
        <v/>
      </c>
      <c r="V617" s="9" t="str">
        <f ca="1">IFERROR(__xludf.DUMMYFUNCTION("IFERROR(VALUE(REGEXEXTRACT(TO_TEXT($F617), V$1 &amp; ""x(\d+)"")), """")"),"")</f>
        <v/>
      </c>
      <c r="W617" s="9"/>
      <c r="X617" s="9"/>
      <c r="Y617" s="9"/>
      <c r="Z617" s="9"/>
    </row>
    <row r="618" spans="1:26" ht="15.75" hidden="1" customHeight="1">
      <c r="A618" s="9" t="s">
        <v>142</v>
      </c>
      <c r="B618" s="9" t="s">
        <v>1706</v>
      </c>
      <c r="C618" s="9" t="s">
        <v>143</v>
      </c>
      <c r="D618" s="9" t="s">
        <v>74</v>
      </c>
      <c r="E618" s="9" t="s">
        <v>13</v>
      </c>
      <c r="F618" s="9" t="s">
        <v>1571</v>
      </c>
      <c r="G618" s="9">
        <v>30</v>
      </c>
      <c r="H618" s="9">
        <v>2</v>
      </c>
      <c r="I618" s="9">
        <v>1.0149999999999999</v>
      </c>
      <c r="J618" s="9">
        <v>103</v>
      </c>
      <c r="K618" s="9" t="s">
        <v>424</v>
      </c>
      <c r="L618" s="9"/>
      <c r="M618" s="9"/>
      <c r="N618" s="9" t="str">
        <f ca="1">IFERROR(__xludf.DUMMYFUNCTION("IFERROR(VALUE(REGEXEXTRACT(TO_TEXT($F618), N$1 &amp; ""x(\d+)"")), """")
"),"")</f>
        <v/>
      </c>
      <c r="O618" s="9" t="str">
        <f ca="1">IFERROR(__xludf.DUMMYFUNCTION("IFERROR(VALUE(REGEXEXTRACT(TO_TEXT($F618), O$1 &amp; ""x(\d+)"")), """")"),"")</f>
        <v/>
      </c>
      <c r="P618" s="9" t="str">
        <f ca="1">IFERROR(__xludf.DUMMYFUNCTION("IFERROR(VALUE(REGEXEXTRACT(TO_TEXT($F618), P$1 &amp; ""x(\d+)"")), """")"),"")</f>
        <v/>
      </c>
      <c r="Q618" s="9">
        <f ca="1">IFERROR(__xludf.DUMMYFUNCTION("IFERROR(VALUE(REGEXEXTRACT(TO_TEXT($F618), Q$1 &amp; ""x(\d+)"")), """")"),1)</f>
        <v>1</v>
      </c>
      <c r="R618" s="9" t="str">
        <f ca="1">IFERROR(__xludf.DUMMYFUNCTION("IFERROR(VALUE(REGEXEXTRACT(TO_TEXT($F618), R$1 &amp; ""x(\d+)"")), """")"),"")</f>
        <v/>
      </c>
      <c r="S618" s="9" t="str">
        <f ca="1">IFERROR(__xludf.DUMMYFUNCTION("IFERROR(VALUE(REGEXEXTRACT(TO_TEXT($F618), S$1 &amp; ""x(\d+)"")), """")"),"")</f>
        <v/>
      </c>
      <c r="T618" s="9" t="str">
        <f ca="1">IFERROR(__xludf.DUMMYFUNCTION("IFERROR(VALUE(REGEXEXTRACT(TO_TEXT($F618), T$1 &amp; ""x(\d+)"")), """")"),"")</f>
        <v/>
      </c>
      <c r="U618" s="9" t="str">
        <f ca="1">IFERROR(__xludf.DUMMYFUNCTION("IFERROR(VALUE(REGEXEXTRACT(TO_TEXT($F618), U$1 &amp; ""x(\d+)"")), """")"),"")</f>
        <v/>
      </c>
      <c r="V618" s="9" t="str">
        <f ca="1">IFERROR(__xludf.DUMMYFUNCTION("IFERROR(VALUE(REGEXEXTRACT(TO_TEXT($F618), V$1 &amp; ""x(\d+)"")), """")"),"")</f>
        <v/>
      </c>
      <c r="W618" s="9"/>
      <c r="X618" s="9"/>
      <c r="Y618" s="9"/>
      <c r="Z618" s="9"/>
    </row>
    <row r="619" spans="1:26" ht="15.75" hidden="1" customHeight="1">
      <c r="A619" s="9" t="s">
        <v>142</v>
      </c>
      <c r="B619" s="9" t="s">
        <v>1706</v>
      </c>
      <c r="C619" s="9" t="s">
        <v>143</v>
      </c>
      <c r="D619" s="9" t="s">
        <v>48</v>
      </c>
      <c r="E619" s="9" t="s">
        <v>11</v>
      </c>
      <c r="F619" s="9" t="s">
        <v>1672</v>
      </c>
      <c r="G619" s="9">
        <v>25</v>
      </c>
      <c r="H619" s="9">
        <v>5</v>
      </c>
      <c r="I619" s="9">
        <v>1.0149999999999999</v>
      </c>
      <c r="J619" s="9">
        <v>52</v>
      </c>
      <c r="K619" s="9" t="s">
        <v>424</v>
      </c>
      <c r="L619" s="9"/>
      <c r="M619" s="9"/>
      <c r="N619" s="9" t="str">
        <f ca="1">IFERROR(__xludf.DUMMYFUNCTION("IFERROR(VALUE(REGEXEXTRACT(TO_TEXT($F619), N$1 &amp; ""x(\d+)"")), """")
"),"")</f>
        <v/>
      </c>
      <c r="O619" s="9">
        <f ca="1">IFERROR(__xludf.DUMMYFUNCTION("IFERROR(VALUE(REGEXEXTRACT(TO_TEXT($F619), O$1 &amp; ""x(\d+)"")), """")"),1)</f>
        <v>1</v>
      </c>
      <c r="P619" s="9" t="str">
        <f ca="1">IFERROR(__xludf.DUMMYFUNCTION("IFERROR(VALUE(REGEXEXTRACT(TO_TEXT($F619), P$1 &amp; ""x(\d+)"")), """")"),"")</f>
        <v/>
      </c>
      <c r="Q619" s="9" t="str">
        <f ca="1">IFERROR(__xludf.DUMMYFUNCTION("IFERROR(VALUE(REGEXEXTRACT(TO_TEXT($F619), Q$1 &amp; ""x(\d+)"")), """")"),"")</f>
        <v/>
      </c>
      <c r="R619" s="9" t="str">
        <f ca="1">IFERROR(__xludf.DUMMYFUNCTION("IFERROR(VALUE(REGEXEXTRACT(TO_TEXT($F619), R$1 &amp; ""x(\d+)"")), """")"),"")</f>
        <v/>
      </c>
      <c r="S619" s="9" t="str">
        <f ca="1">IFERROR(__xludf.DUMMYFUNCTION("IFERROR(VALUE(REGEXEXTRACT(TO_TEXT($F619), S$1 &amp; ""x(\d+)"")), """")"),"")</f>
        <v/>
      </c>
      <c r="T619" s="9" t="str">
        <f ca="1">IFERROR(__xludf.DUMMYFUNCTION("IFERROR(VALUE(REGEXEXTRACT(TO_TEXT($F619), T$1 &amp; ""x(\d+)"")), """")"),"")</f>
        <v/>
      </c>
      <c r="U619" s="9" t="str">
        <f ca="1">IFERROR(__xludf.DUMMYFUNCTION("IFERROR(VALUE(REGEXEXTRACT(TO_TEXT($F619), U$1 &amp; ""x(\d+)"")), """")"),"")</f>
        <v/>
      </c>
      <c r="V619" s="9" t="str">
        <f ca="1">IFERROR(__xludf.DUMMYFUNCTION("IFERROR(VALUE(REGEXEXTRACT(TO_TEXT($F619), V$1 &amp; ""x(\d+)"")), """")"),"")</f>
        <v/>
      </c>
      <c r="W619" s="9"/>
      <c r="X619" s="9"/>
      <c r="Y619" s="9"/>
      <c r="Z619" s="9"/>
    </row>
    <row r="620" spans="1:26" ht="15.75" hidden="1" customHeight="1">
      <c r="A620" s="9" t="s">
        <v>142</v>
      </c>
      <c r="B620" s="9" t="s">
        <v>1706</v>
      </c>
      <c r="C620" s="9" t="s">
        <v>143</v>
      </c>
      <c r="D620" s="9" t="s">
        <v>48</v>
      </c>
      <c r="E620" s="9" t="s">
        <v>12</v>
      </c>
      <c r="F620" s="9" t="s">
        <v>1707</v>
      </c>
      <c r="G620" s="9">
        <v>130</v>
      </c>
      <c r="H620" s="9">
        <v>5</v>
      </c>
      <c r="I620" s="9">
        <v>1.0149999999999999</v>
      </c>
      <c r="J620" s="9">
        <v>52</v>
      </c>
      <c r="K620" s="9" t="s">
        <v>424</v>
      </c>
      <c r="L620" s="9" t="s">
        <v>1222</v>
      </c>
      <c r="M620" s="9"/>
      <c r="N620" s="9" t="str">
        <f ca="1">IFERROR(__xludf.DUMMYFUNCTION("IFERROR(VALUE(REGEXEXTRACT(TO_TEXT($F620), N$1 &amp; ""x(\d+)"")), """")
"),"")</f>
        <v/>
      </c>
      <c r="O620" s="9" t="str">
        <f ca="1">IFERROR(__xludf.DUMMYFUNCTION("IFERROR(VALUE(REGEXEXTRACT(TO_TEXT($F620), O$1 &amp; ""x(\d+)"")), """")"),"")</f>
        <v/>
      </c>
      <c r="P620" s="9">
        <f ca="1">IFERROR(__xludf.DUMMYFUNCTION("IFERROR(VALUE(REGEXEXTRACT(TO_TEXT($F620), P$1 &amp; ""x(\d+)"")), """")"),1)</f>
        <v>1</v>
      </c>
      <c r="Q620" s="9" t="str">
        <f ca="1">IFERROR(__xludf.DUMMYFUNCTION("IFERROR(VALUE(REGEXEXTRACT(TO_TEXT($F620), Q$1 &amp; ""x(\d+)"")), """")"),"")</f>
        <v/>
      </c>
      <c r="R620" s="9" t="str">
        <f ca="1">IFERROR(__xludf.DUMMYFUNCTION("IFERROR(VALUE(REGEXEXTRACT(TO_TEXT($F620), R$1 &amp; ""x(\d+)"")), """")"),"")</f>
        <v/>
      </c>
      <c r="S620" s="9" t="str">
        <f ca="1">IFERROR(__xludf.DUMMYFUNCTION("IFERROR(VALUE(REGEXEXTRACT(TO_TEXT($F620), S$1 &amp; ""x(\d+)"")), """")"),"")</f>
        <v/>
      </c>
      <c r="T620" s="9" t="str">
        <f ca="1">IFERROR(__xludf.DUMMYFUNCTION("IFERROR(VALUE(REGEXEXTRACT(TO_TEXT($F620), T$1 &amp; ""x(\d+)"")), """")"),"")</f>
        <v/>
      </c>
      <c r="U620" s="9" t="str">
        <f ca="1">IFERROR(__xludf.DUMMYFUNCTION("IFERROR(VALUE(REGEXEXTRACT(TO_TEXT($F620), U$1 &amp; ""x(\d+)"")), """")"),"")</f>
        <v/>
      </c>
      <c r="V620" s="9" t="str">
        <f ca="1">IFERROR(__xludf.DUMMYFUNCTION("IFERROR(VALUE(REGEXEXTRACT(TO_TEXT($F620), V$1 &amp; ""x(\d+)"")), """")"),"")</f>
        <v/>
      </c>
      <c r="W620" s="9"/>
      <c r="X620" s="9"/>
      <c r="Y620" s="9"/>
      <c r="Z620" s="9"/>
    </row>
    <row r="621" spans="1:26" ht="15.75" hidden="1" customHeight="1">
      <c r="A621" s="9" t="s">
        <v>142</v>
      </c>
      <c r="B621" s="9" t="s">
        <v>1706</v>
      </c>
      <c r="C621" s="9" t="s">
        <v>143</v>
      </c>
      <c r="D621" s="9" t="s">
        <v>48</v>
      </c>
      <c r="E621" s="9" t="s">
        <v>13</v>
      </c>
      <c r="F621" s="9" t="s">
        <v>1708</v>
      </c>
      <c r="G621" s="9">
        <v>30</v>
      </c>
      <c r="H621" s="9">
        <v>5</v>
      </c>
      <c r="I621" s="9">
        <v>1.0149999999999999</v>
      </c>
      <c r="J621" s="9">
        <v>52</v>
      </c>
      <c r="K621" s="9" t="s">
        <v>424</v>
      </c>
      <c r="L621" s="9"/>
      <c r="M621" s="9"/>
      <c r="N621" s="9" t="str">
        <f ca="1">IFERROR(__xludf.DUMMYFUNCTION("IFERROR(VALUE(REGEXEXTRACT(TO_TEXT($F621), N$1 &amp; ""x(\d+)"")), """")
"),"")</f>
        <v/>
      </c>
      <c r="O621" s="9" t="str">
        <f ca="1">IFERROR(__xludf.DUMMYFUNCTION("IFERROR(VALUE(REGEXEXTRACT(TO_TEXT($F621), O$1 &amp; ""x(\d+)"")), """")"),"")</f>
        <v/>
      </c>
      <c r="P621" s="9">
        <f ca="1">IFERROR(__xludf.DUMMYFUNCTION("IFERROR(VALUE(REGEXEXTRACT(TO_TEXT($F621), P$1 &amp; ""x(\d+)"")), """")"),1)</f>
        <v>1</v>
      </c>
      <c r="Q621" s="9" t="str">
        <f ca="1">IFERROR(__xludf.DUMMYFUNCTION("IFERROR(VALUE(REGEXEXTRACT(TO_TEXT($F621), Q$1 &amp; ""x(\d+)"")), """")"),"")</f>
        <v/>
      </c>
      <c r="R621" s="9" t="str">
        <f ca="1">IFERROR(__xludf.DUMMYFUNCTION("IFERROR(VALUE(REGEXEXTRACT(TO_TEXT($F621), R$1 &amp; ""x(\d+)"")), """")"),"")</f>
        <v/>
      </c>
      <c r="S621" s="9" t="str">
        <f ca="1">IFERROR(__xludf.DUMMYFUNCTION("IFERROR(VALUE(REGEXEXTRACT(TO_TEXT($F621), S$1 &amp; ""x(\d+)"")), """")"),"")</f>
        <v/>
      </c>
      <c r="T621" s="9" t="str">
        <f ca="1">IFERROR(__xludf.DUMMYFUNCTION("IFERROR(VALUE(REGEXEXTRACT(TO_TEXT($F621), T$1 &amp; ""x(\d+)"")), """")"),"")</f>
        <v/>
      </c>
      <c r="U621" s="9" t="str">
        <f ca="1">IFERROR(__xludf.DUMMYFUNCTION("IFERROR(VALUE(REGEXEXTRACT(TO_TEXT($F621), U$1 &amp; ""x(\d+)"")), """")"),"")</f>
        <v/>
      </c>
      <c r="V621" s="9" t="str">
        <f ca="1">IFERROR(__xludf.DUMMYFUNCTION("IFERROR(VALUE(REGEXEXTRACT(TO_TEXT($F621), V$1 &amp; ""x(\d+)"")), """")"),"")</f>
        <v/>
      </c>
      <c r="W621" s="9"/>
      <c r="X621" s="9"/>
      <c r="Y621" s="9"/>
      <c r="Z621" s="9"/>
    </row>
    <row r="622" spans="1:26" ht="15.75" hidden="1" customHeight="1">
      <c r="A622" s="9" t="s">
        <v>1709</v>
      </c>
      <c r="B622" s="9" t="s">
        <v>1710</v>
      </c>
      <c r="C622" s="9" t="s">
        <v>1711</v>
      </c>
      <c r="D622" s="9" t="s">
        <v>40</v>
      </c>
      <c r="E622" s="9" t="s">
        <v>11</v>
      </c>
      <c r="F622" s="9" t="s">
        <v>1712</v>
      </c>
      <c r="G622" s="9">
        <v>80</v>
      </c>
      <c r="H622" s="9">
        <v>3</v>
      </c>
      <c r="I622" s="9">
        <v>1.0149999999999999</v>
      </c>
      <c r="J622" s="9">
        <v>310</v>
      </c>
      <c r="K622" s="9" t="s">
        <v>442</v>
      </c>
      <c r="L622" s="9"/>
      <c r="M622" s="9"/>
      <c r="N622" s="9" t="str">
        <f ca="1">IFERROR(__xludf.DUMMYFUNCTION("IFERROR(VALUE(REGEXEXTRACT(TO_TEXT($F622), N$1 &amp; ""x(\d+)"")), """")
"),"")</f>
        <v/>
      </c>
      <c r="O622" s="9">
        <f ca="1">IFERROR(__xludf.DUMMYFUNCTION("IFERROR(VALUE(REGEXEXTRACT(TO_TEXT($F622), O$1 &amp; ""x(\d+)"")), """")"),1)</f>
        <v>1</v>
      </c>
      <c r="P622" s="9" t="str">
        <f ca="1">IFERROR(__xludf.DUMMYFUNCTION("IFERROR(VALUE(REGEXEXTRACT(TO_TEXT($F622), P$1 &amp; ""x(\d+)"")), """")"),"")</f>
        <v/>
      </c>
      <c r="Q622" s="9" t="str">
        <f ca="1">IFERROR(__xludf.DUMMYFUNCTION("IFERROR(VALUE(REGEXEXTRACT(TO_TEXT($F622), Q$1 &amp; ""x(\d+)"")), """")"),"")</f>
        <v/>
      </c>
      <c r="R622" s="9" t="str">
        <f ca="1">IFERROR(__xludf.DUMMYFUNCTION("IFERROR(VALUE(REGEXEXTRACT(TO_TEXT($F622), R$1 &amp; ""x(\d+)"")), """")"),"")</f>
        <v/>
      </c>
      <c r="S622" s="9" t="str">
        <f ca="1">IFERROR(__xludf.DUMMYFUNCTION("IFERROR(VALUE(REGEXEXTRACT(TO_TEXT($F622), S$1 &amp; ""x(\d+)"")), """")"),"")</f>
        <v/>
      </c>
      <c r="T622" s="9" t="str">
        <f ca="1">IFERROR(__xludf.DUMMYFUNCTION("IFERROR(VALUE(REGEXEXTRACT(TO_TEXT($F622), T$1 &amp; ""x(\d+)"")), """")"),"")</f>
        <v/>
      </c>
      <c r="U622" s="9" t="str">
        <f ca="1">IFERROR(__xludf.DUMMYFUNCTION("IFERROR(VALUE(REGEXEXTRACT(TO_TEXT($F622), U$1 &amp; ""x(\d+)"")), """")"),"")</f>
        <v/>
      </c>
      <c r="V622" s="9" t="str">
        <f ca="1">IFERROR(__xludf.DUMMYFUNCTION("IFERROR(VALUE(REGEXEXTRACT(TO_TEXT($F622), V$1 &amp; ""x(\d+)"")), """")"),"")</f>
        <v/>
      </c>
      <c r="W622" s="9"/>
      <c r="X622" s="9"/>
      <c r="Y622" s="9"/>
      <c r="Z622" s="9"/>
    </row>
    <row r="623" spans="1:26" ht="15.75" hidden="1" customHeight="1">
      <c r="A623" s="9" t="s">
        <v>1709</v>
      </c>
      <c r="B623" s="9" t="s">
        <v>1710</v>
      </c>
      <c r="C623" s="9" t="s">
        <v>1711</v>
      </c>
      <c r="D623" s="9" t="s">
        <v>40</v>
      </c>
      <c r="E623" s="9" t="s">
        <v>12</v>
      </c>
      <c r="F623" s="9" t="s">
        <v>1053</v>
      </c>
      <c r="G623" s="9">
        <v>120</v>
      </c>
      <c r="H623" s="9">
        <v>3</v>
      </c>
      <c r="I623" s="9">
        <v>1.0149999999999999</v>
      </c>
      <c r="J623" s="9">
        <v>310</v>
      </c>
      <c r="K623" s="9" t="s">
        <v>442</v>
      </c>
      <c r="L623" s="9"/>
      <c r="M623" s="9"/>
      <c r="N623" s="9" t="str">
        <f ca="1">IFERROR(__xludf.DUMMYFUNCTION("IFERROR(VALUE(REGEXEXTRACT(TO_TEXT($F623), N$1 &amp; ""x(\d+)"")), """")
"),"")</f>
        <v/>
      </c>
      <c r="O623" s="9" t="str">
        <f ca="1">IFERROR(__xludf.DUMMYFUNCTION("IFERROR(VALUE(REGEXEXTRACT(TO_TEXT($F623), O$1 &amp; ""x(\d+)"")), """")"),"")</f>
        <v/>
      </c>
      <c r="P623" s="9" t="str">
        <f ca="1">IFERROR(__xludf.DUMMYFUNCTION("IFERROR(VALUE(REGEXEXTRACT(TO_TEXT($F623), P$1 &amp; ""x(\d+)"")), """")"),"")</f>
        <v/>
      </c>
      <c r="Q623" s="9" t="str">
        <f ca="1">IFERROR(__xludf.DUMMYFUNCTION("IFERROR(VALUE(REGEXEXTRACT(TO_TEXT($F623), Q$1 &amp; ""x(\d+)"")), """")"),"")</f>
        <v/>
      </c>
      <c r="R623" s="9" t="str">
        <f ca="1">IFERROR(__xludf.DUMMYFUNCTION("IFERROR(VALUE(REGEXEXTRACT(TO_TEXT($F623), R$1 &amp; ""x(\d+)"")), """")"),"")</f>
        <v/>
      </c>
      <c r="S623" s="9">
        <f ca="1">IFERROR(__xludf.DUMMYFUNCTION("IFERROR(VALUE(REGEXEXTRACT(TO_TEXT($F623), S$1 &amp; ""x(\d+)"")), """")"),1)</f>
        <v>1</v>
      </c>
      <c r="T623" s="9" t="str">
        <f ca="1">IFERROR(__xludf.DUMMYFUNCTION("IFERROR(VALUE(REGEXEXTRACT(TO_TEXT($F623), T$1 &amp; ""x(\d+)"")), """")"),"")</f>
        <v/>
      </c>
      <c r="U623" s="9" t="str">
        <f ca="1">IFERROR(__xludf.DUMMYFUNCTION("IFERROR(VALUE(REGEXEXTRACT(TO_TEXT($F623), U$1 &amp; ""x(\d+)"")), """")"),"")</f>
        <v/>
      </c>
      <c r="V623" s="9" t="str">
        <f ca="1">IFERROR(__xludf.DUMMYFUNCTION("IFERROR(VALUE(REGEXEXTRACT(TO_TEXT($F623), V$1 &amp; ""x(\d+)"")), """")"),"")</f>
        <v/>
      </c>
      <c r="W623" s="9"/>
      <c r="X623" s="9"/>
      <c r="Y623" s="9"/>
      <c r="Z623" s="9"/>
    </row>
    <row r="624" spans="1:26" ht="15.75" hidden="1" customHeight="1">
      <c r="A624" s="9" t="s">
        <v>1709</v>
      </c>
      <c r="B624" s="9" t="s">
        <v>1710</v>
      </c>
      <c r="C624" s="9" t="s">
        <v>1711</v>
      </c>
      <c r="D624" s="9" t="s">
        <v>40</v>
      </c>
      <c r="E624" s="9" t="s">
        <v>13</v>
      </c>
      <c r="F624" s="9" t="s">
        <v>1111</v>
      </c>
      <c r="G624" s="9">
        <v>30</v>
      </c>
      <c r="H624" s="9">
        <v>3</v>
      </c>
      <c r="I624" s="9">
        <v>1.0149999999999999</v>
      </c>
      <c r="J624" s="9">
        <v>310</v>
      </c>
      <c r="K624" s="9" t="s">
        <v>442</v>
      </c>
      <c r="L624" s="9"/>
      <c r="M624" s="9"/>
      <c r="N624" s="9" t="str">
        <f ca="1">IFERROR(__xludf.DUMMYFUNCTION("IFERROR(VALUE(REGEXEXTRACT(TO_TEXT($F624), N$1 &amp; ""x(\d+)"")), """")
"),"")</f>
        <v/>
      </c>
      <c r="O624" s="9" t="str">
        <f ca="1">IFERROR(__xludf.DUMMYFUNCTION("IFERROR(VALUE(REGEXEXTRACT(TO_TEXT($F624), O$1 &amp; ""x(\d+)"")), """")"),"")</f>
        <v/>
      </c>
      <c r="P624" s="9" t="str">
        <f ca="1">IFERROR(__xludf.DUMMYFUNCTION("IFERROR(VALUE(REGEXEXTRACT(TO_TEXT($F624), P$1 &amp; ""x(\d+)"")), """")"),"")</f>
        <v/>
      </c>
      <c r="Q624" s="9" t="str">
        <f ca="1">IFERROR(__xludf.DUMMYFUNCTION("IFERROR(VALUE(REGEXEXTRACT(TO_TEXT($F624), Q$1 &amp; ""x(\d+)"")), """")"),"")</f>
        <v/>
      </c>
      <c r="R624" s="9" t="str">
        <f ca="1">IFERROR(__xludf.DUMMYFUNCTION("IFERROR(VALUE(REGEXEXTRACT(TO_TEXT($F624), R$1 &amp; ""x(\d+)"")), """")"),"")</f>
        <v/>
      </c>
      <c r="S624" s="9">
        <f ca="1">IFERROR(__xludf.DUMMYFUNCTION("IFERROR(VALUE(REGEXEXTRACT(TO_TEXT($F624), S$1 &amp; ""x(\d+)"")), """")"),1)</f>
        <v>1</v>
      </c>
      <c r="T624" s="9" t="str">
        <f ca="1">IFERROR(__xludf.DUMMYFUNCTION("IFERROR(VALUE(REGEXEXTRACT(TO_TEXT($F624), T$1 &amp; ""x(\d+)"")), """")"),"")</f>
        <v/>
      </c>
      <c r="U624" s="9" t="str">
        <f ca="1">IFERROR(__xludf.DUMMYFUNCTION("IFERROR(VALUE(REGEXEXTRACT(TO_TEXT($F624), U$1 &amp; ""x(\d+)"")), """")"),"")</f>
        <v/>
      </c>
      <c r="V624" s="9" t="str">
        <f ca="1">IFERROR(__xludf.DUMMYFUNCTION("IFERROR(VALUE(REGEXEXTRACT(TO_TEXT($F624), V$1 &amp; ""x(\d+)"")), """")"),"")</f>
        <v/>
      </c>
      <c r="W624" s="9"/>
      <c r="X624" s="9"/>
      <c r="Y624" s="9"/>
      <c r="Z624" s="9"/>
    </row>
    <row r="625" spans="1:26" ht="15.75" customHeight="1">
      <c r="A625" s="9" t="s">
        <v>1713</v>
      </c>
      <c r="B625" s="9" t="s">
        <v>1714</v>
      </c>
      <c r="C625" s="9" t="s">
        <v>218</v>
      </c>
      <c r="D625" s="9" t="s">
        <v>33</v>
      </c>
      <c r="E625" s="9" t="s">
        <v>11</v>
      </c>
      <c r="F625" s="9" t="s">
        <v>1705</v>
      </c>
      <c r="G625" s="9">
        <v>45</v>
      </c>
      <c r="H625" s="9">
        <v>4</v>
      </c>
      <c r="I625" s="9">
        <v>1.0149999999999999</v>
      </c>
      <c r="J625" s="9">
        <v>79.5</v>
      </c>
      <c r="K625" s="9" t="s">
        <v>424</v>
      </c>
      <c r="L625" s="9"/>
      <c r="M625" s="9"/>
      <c r="N625" s="9">
        <f ca="1">IFERROR(__xludf.DUMMYFUNCTION("IFERROR(VALUE(REGEXEXTRACT(TO_TEXT($F625), N$1 &amp; ""x(\d+)"")), """")
"),1)</f>
        <v>1</v>
      </c>
      <c r="O625" s="9" t="str">
        <f ca="1">IFERROR(__xludf.DUMMYFUNCTION("IFERROR(VALUE(REGEXEXTRACT(TO_TEXT($F625), O$1 &amp; ""x(\d+)"")), """")"),"")</f>
        <v/>
      </c>
      <c r="P625" s="9" t="str">
        <f ca="1">IFERROR(__xludf.DUMMYFUNCTION("IFERROR(VALUE(REGEXEXTRACT(TO_TEXT($F625), P$1 &amp; ""x(\d+)"")), """")"),"")</f>
        <v/>
      </c>
      <c r="Q625" s="9" t="str">
        <f ca="1">IFERROR(__xludf.DUMMYFUNCTION("IFERROR(VALUE(REGEXEXTRACT(TO_TEXT($F625), Q$1 &amp; ""x(\d+)"")), """")"),"")</f>
        <v/>
      </c>
      <c r="R625" s="9" t="str">
        <f ca="1">IFERROR(__xludf.DUMMYFUNCTION("IFERROR(VALUE(REGEXEXTRACT(TO_TEXT($F625), R$1 &amp; ""x(\d+)"")), """")"),"")</f>
        <v/>
      </c>
      <c r="S625" s="9" t="str">
        <f ca="1">IFERROR(__xludf.DUMMYFUNCTION("IFERROR(VALUE(REGEXEXTRACT(TO_TEXT($F625), S$1 &amp; ""x(\d+)"")), """")"),"")</f>
        <v/>
      </c>
      <c r="T625" s="9" t="str">
        <f ca="1">IFERROR(__xludf.DUMMYFUNCTION("IFERROR(VALUE(REGEXEXTRACT(TO_TEXT($F625), T$1 &amp; ""x(\d+)"")), """")"),"")</f>
        <v/>
      </c>
      <c r="U625" s="9" t="str">
        <f ca="1">IFERROR(__xludf.DUMMYFUNCTION("IFERROR(VALUE(REGEXEXTRACT(TO_TEXT($F625), U$1 &amp; ""x(\d+)"")), """")"),"")</f>
        <v/>
      </c>
      <c r="V625" s="9">
        <f ca="1">IFERROR(__xludf.DUMMYFUNCTION("IFERROR(VALUE(REGEXEXTRACT(TO_TEXT($F625), V$1 &amp; ""x(\d+)"")), """")"),1)</f>
        <v>1</v>
      </c>
      <c r="W625" s="9"/>
      <c r="X625" s="9"/>
      <c r="Y625" s="9"/>
      <c r="Z625" s="9"/>
    </row>
    <row r="626" spans="1:26" ht="15.75" customHeight="1">
      <c r="A626" s="9" t="s">
        <v>1713</v>
      </c>
      <c r="B626" s="9" t="s">
        <v>1714</v>
      </c>
      <c r="C626" s="9" t="s">
        <v>218</v>
      </c>
      <c r="D626" s="9" t="s">
        <v>33</v>
      </c>
      <c r="E626" s="9" t="s">
        <v>12</v>
      </c>
      <c r="F626" s="9" t="s">
        <v>1066</v>
      </c>
      <c r="G626" s="9">
        <v>105</v>
      </c>
      <c r="H626" s="9">
        <v>4</v>
      </c>
      <c r="I626" s="9">
        <v>1.0149999999999999</v>
      </c>
      <c r="J626" s="9">
        <v>79.5</v>
      </c>
      <c r="K626" s="9" t="s">
        <v>424</v>
      </c>
      <c r="L626" s="9"/>
      <c r="M626" s="9"/>
      <c r="N626" s="9" t="str">
        <f ca="1">IFERROR(__xludf.DUMMYFUNCTION("IFERROR(VALUE(REGEXEXTRACT(TO_TEXT($F626), N$1 &amp; ""x(\d+)"")), """")
"),"")</f>
        <v/>
      </c>
      <c r="O626" s="9">
        <f ca="1">IFERROR(__xludf.DUMMYFUNCTION("IFERROR(VALUE(REGEXEXTRACT(TO_TEXT($F626), O$1 &amp; ""x(\d+)"")), """")"),1)</f>
        <v>1</v>
      </c>
      <c r="P626" s="9" t="str">
        <f ca="1">IFERROR(__xludf.DUMMYFUNCTION("IFERROR(VALUE(REGEXEXTRACT(TO_TEXT($F626), P$1 &amp; ""x(\d+)"")), """")"),"")</f>
        <v/>
      </c>
      <c r="Q626" s="9" t="str">
        <f ca="1">IFERROR(__xludf.DUMMYFUNCTION("IFERROR(VALUE(REGEXEXTRACT(TO_TEXT($F626), Q$1 &amp; ""x(\d+)"")), """")"),"")</f>
        <v/>
      </c>
      <c r="R626" s="9" t="str">
        <f ca="1">IFERROR(__xludf.DUMMYFUNCTION("IFERROR(VALUE(REGEXEXTRACT(TO_TEXT($F626), R$1 &amp; ""x(\d+)"")), """")"),"")</f>
        <v/>
      </c>
      <c r="S626" s="9" t="str">
        <f ca="1">IFERROR(__xludf.DUMMYFUNCTION("IFERROR(VALUE(REGEXEXTRACT(TO_TEXT($F626), S$1 &amp; ""x(\d+)"")), """")"),"")</f>
        <v/>
      </c>
      <c r="T626" s="9" t="str">
        <f ca="1">IFERROR(__xludf.DUMMYFUNCTION("IFERROR(VALUE(REGEXEXTRACT(TO_TEXT($F626), T$1 &amp; ""x(\d+)"")), """")"),"")</f>
        <v/>
      </c>
      <c r="U626" s="9" t="str">
        <f ca="1">IFERROR(__xludf.DUMMYFUNCTION("IFERROR(VALUE(REGEXEXTRACT(TO_TEXT($F626), U$1 &amp; ""x(\d+)"")), """")"),"")</f>
        <v/>
      </c>
      <c r="V626" s="9" t="str">
        <f ca="1">IFERROR(__xludf.DUMMYFUNCTION("IFERROR(VALUE(REGEXEXTRACT(TO_TEXT($F626), V$1 &amp; ""x(\d+)"")), """")"),"")</f>
        <v/>
      </c>
      <c r="W626" s="9"/>
      <c r="X626" s="9"/>
      <c r="Y626" s="9"/>
      <c r="Z626" s="9"/>
    </row>
    <row r="627" spans="1:26" ht="15.75" customHeight="1">
      <c r="A627" s="9" t="s">
        <v>1713</v>
      </c>
      <c r="B627" s="9" t="s">
        <v>1714</v>
      </c>
      <c r="C627" s="9" t="s">
        <v>218</v>
      </c>
      <c r="D627" s="9" t="s">
        <v>33</v>
      </c>
      <c r="E627" s="9" t="s">
        <v>13</v>
      </c>
      <c r="F627" s="9" t="s">
        <v>1108</v>
      </c>
      <c r="G627" s="9">
        <v>20</v>
      </c>
      <c r="H627" s="9">
        <v>4</v>
      </c>
      <c r="I627" s="9">
        <v>1.0149999999999999</v>
      </c>
      <c r="J627" s="9">
        <v>79.5</v>
      </c>
      <c r="K627" s="9" t="s">
        <v>424</v>
      </c>
      <c r="L627" s="9"/>
      <c r="M627" s="9"/>
      <c r="N627" s="9" t="str">
        <f ca="1">IFERROR(__xludf.DUMMYFUNCTION("IFERROR(VALUE(REGEXEXTRACT(TO_TEXT($F627), N$1 &amp; ""x(\d+)"")), """")
"),"")</f>
        <v/>
      </c>
      <c r="O627" s="9">
        <f ca="1">IFERROR(__xludf.DUMMYFUNCTION("IFERROR(VALUE(REGEXEXTRACT(TO_TEXT($F627), O$1 &amp; ""x(\d+)"")), """")"),1)</f>
        <v>1</v>
      </c>
      <c r="P627" s="9" t="str">
        <f ca="1">IFERROR(__xludf.DUMMYFUNCTION("IFERROR(VALUE(REGEXEXTRACT(TO_TEXT($F627), P$1 &amp; ""x(\d+)"")), """")"),"")</f>
        <v/>
      </c>
      <c r="Q627" s="9" t="str">
        <f ca="1">IFERROR(__xludf.DUMMYFUNCTION("IFERROR(VALUE(REGEXEXTRACT(TO_TEXT($F627), Q$1 &amp; ""x(\d+)"")), """")"),"")</f>
        <v/>
      </c>
      <c r="R627" s="9" t="str">
        <f ca="1">IFERROR(__xludf.DUMMYFUNCTION("IFERROR(VALUE(REGEXEXTRACT(TO_TEXT($F627), R$1 &amp; ""x(\d+)"")), """")"),"")</f>
        <v/>
      </c>
      <c r="S627" s="9" t="str">
        <f ca="1">IFERROR(__xludf.DUMMYFUNCTION("IFERROR(VALUE(REGEXEXTRACT(TO_TEXT($F627), S$1 &amp; ""x(\d+)"")), """")"),"")</f>
        <v/>
      </c>
      <c r="T627" s="9" t="str">
        <f ca="1">IFERROR(__xludf.DUMMYFUNCTION("IFERROR(VALUE(REGEXEXTRACT(TO_TEXT($F627), T$1 &amp; ""x(\d+)"")), """")"),"")</f>
        <v/>
      </c>
      <c r="U627" s="9" t="str">
        <f ca="1">IFERROR(__xludf.DUMMYFUNCTION("IFERROR(VALUE(REGEXEXTRACT(TO_TEXT($F627), U$1 &amp; ""x(\d+)"")), """")"),"")</f>
        <v/>
      </c>
      <c r="V627" s="9" t="str">
        <f ca="1">IFERROR(__xludf.DUMMYFUNCTION("IFERROR(VALUE(REGEXEXTRACT(TO_TEXT($F627), V$1 &amp; ""x(\d+)"")), """")"),"")</f>
        <v/>
      </c>
      <c r="W627" s="9"/>
      <c r="X627" s="9"/>
      <c r="Y627" s="9"/>
      <c r="Z627" s="9"/>
    </row>
    <row r="628" spans="1:26" ht="15.75" hidden="1" customHeight="1">
      <c r="A628" s="9" t="s">
        <v>1715</v>
      </c>
      <c r="B628" s="9" t="s">
        <v>1716</v>
      </c>
      <c r="C628" s="9" t="s">
        <v>927</v>
      </c>
      <c r="D628" s="9" t="s">
        <v>48</v>
      </c>
      <c r="E628" s="9" t="s">
        <v>11</v>
      </c>
      <c r="F628" s="9" t="s">
        <v>1717</v>
      </c>
      <c r="G628" s="9">
        <v>45</v>
      </c>
      <c r="H628" s="9">
        <v>4</v>
      </c>
      <c r="I628" s="9">
        <v>1.0149999999999999</v>
      </c>
      <c r="J628" s="9">
        <v>52</v>
      </c>
      <c r="K628" s="9" t="s">
        <v>424</v>
      </c>
      <c r="L628" s="9"/>
      <c r="M628" s="9"/>
      <c r="N628" s="9">
        <f ca="1">IFERROR(__xludf.DUMMYFUNCTION("IFERROR(VALUE(REGEXEXTRACT(TO_TEXT($F628), N$1 &amp; ""x(\d+)"")), """")
"),1)</f>
        <v>1</v>
      </c>
      <c r="O628" s="9">
        <f ca="1">IFERROR(__xludf.DUMMYFUNCTION("IFERROR(VALUE(REGEXEXTRACT(TO_TEXT($F628), O$1 &amp; ""x(\d+)"")), """")"),1)</f>
        <v>1</v>
      </c>
      <c r="P628" s="9" t="str">
        <f ca="1">IFERROR(__xludf.DUMMYFUNCTION("IFERROR(VALUE(REGEXEXTRACT(TO_TEXT($F628), P$1 &amp; ""x(\d+)"")), """")"),"")</f>
        <v/>
      </c>
      <c r="Q628" s="9" t="str">
        <f ca="1">IFERROR(__xludf.DUMMYFUNCTION("IFERROR(VALUE(REGEXEXTRACT(TO_TEXT($F628), Q$1 &amp; ""x(\d+)"")), """")"),"")</f>
        <v/>
      </c>
      <c r="R628" s="9" t="str">
        <f ca="1">IFERROR(__xludf.DUMMYFUNCTION("IFERROR(VALUE(REGEXEXTRACT(TO_TEXT($F628), R$1 &amp; ""x(\d+)"")), """")"),"")</f>
        <v/>
      </c>
      <c r="S628" s="9" t="str">
        <f ca="1">IFERROR(__xludf.DUMMYFUNCTION("IFERROR(VALUE(REGEXEXTRACT(TO_TEXT($F628), S$1 &amp; ""x(\d+)"")), """")"),"")</f>
        <v/>
      </c>
      <c r="T628" s="9" t="str">
        <f ca="1">IFERROR(__xludf.DUMMYFUNCTION("IFERROR(VALUE(REGEXEXTRACT(TO_TEXT($F628), T$1 &amp; ""x(\d+)"")), """")"),"")</f>
        <v/>
      </c>
      <c r="U628" s="9" t="str">
        <f ca="1">IFERROR(__xludf.DUMMYFUNCTION("IFERROR(VALUE(REGEXEXTRACT(TO_TEXT($F628), U$1 &amp; ""x(\d+)"")), """")"),"")</f>
        <v/>
      </c>
      <c r="V628" s="9" t="str">
        <f ca="1">IFERROR(__xludf.DUMMYFUNCTION("IFERROR(VALUE(REGEXEXTRACT(TO_TEXT($F628), V$1 &amp; ""x(\d+)"")), """")"),"")</f>
        <v/>
      </c>
      <c r="W628" s="9"/>
      <c r="X628" s="9"/>
      <c r="Y628" s="9"/>
      <c r="Z628" s="9"/>
    </row>
    <row r="629" spans="1:26" ht="15.75" hidden="1" customHeight="1">
      <c r="A629" s="9" t="s">
        <v>1715</v>
      </c>
      <c r="B629" s="9" t="s">
        <v>1716</v>
      </c>
      <c r="C629" s="9" t="s">
        <v>927</v>
      </c>
      <c r="D629" s="9" t="s">
        <v>48</v>
      </c>
      <c r="E629" s="9" t="s">
        <v>12</v>
      </c>
      <c r="F629" s="9" t="s">
        <v>1718</v>
      </c>
      <c r="G629" s="9">
        <v>115</v>
      </c>
      <c r="H629" s="9">
        <v>4</v>
      </c>
      <c r="I629" s="9">
        <v>1.0149999999999999</v>
      </c>
      <c r="J629" s="9">
        <v>52</v>
      </c>
      <c r="K629" s="9" t="s">
        <v>424</v>
      </c>
      <c r="L629" s="9"/>
      <c r="M629" s="9"/>
      <c r="N629" s="9" t="str">
        <f ca="1">IFERROR(__xludf.DUMMYFUNCTION("IFERROR(VALUE(REGEXEXTRACT(TO_TEXT($F629), N$1 &amp; ""x(\d+)"")), """")
"),"")</f>
        <v/>
      </c>
      <c r="O629" s="9">
        <f ca="1">IFERROR(__xludf.DUMMYFUNCTION("IFERROR(VALUE(REGEXEXTRACT(TO_TEXT($F629), O$1 &amp; ""x(\d+)"")), """")"),1)</f>
        <v>1</v>
      </c>
      <c r="P629" s="9">
        <f ca="1">IFERROR(__xludf.DUMMYFUNCTION("IFERROR(VALUE(REGEXEXTRACT(TO_TEXT($F629), P$1 &amp; ""x(\d+)"")), """")"),1)</f>
        <v>1</v>
      </c>
      <c r="Q629" s="9" t="str">
        <f ca="1">IFERROR(__xludf.DUMMYFUNCTION("IFERROR(VALUE(REGEXEXTRACT(TO_TEXT($F629), Q$1 &amp; ""x(\d+)"")), """")"),"")</f>
        <v/>
      </c>
      <c r="R629" s="9" t="str">
        <f ca="1">IFERROR(__xludf.DUMMYFUNCTION("IFERROR(VALUE(REGEXEXTRACT(TO_TEXT($F629), R$1 &amp; ""x(\d+)"")), """")"),"")</f>
        <v/>
      </c>
      <c r="S629" s="9" t="str">
        <f ca="1">IFERROR(__xludf.DUMMYFUNCTION("IFERROR(VALUE(REGEXEXTRACT(TO_TEXT($F629), S$1 &amp; ""x(\d+)"")), """")"),"")</f>
        <v/>
      </c>
      <c r="T629" s="9" t="str">
        <f ca="1">IFERROR(__xludf.DUMMYFUNCTION("IFERROR(VALUE(REGEXEXTRACT(TO_TEXT($F629), T$1 &amp; ""x(\d+)"")), """")"),"")</f>
        <v/>
      </c>
      <c r="U629" s="9" t="str">
        <f ca="1">IFERROR(__xludf.DUMMYFUNCTION("IFERROR(VALUE(REGEXEXTRACT(TO_TEXT($F629), U$1 &amp; ""x(\d+)"")), """")"),"")</f>
        <v/>
      </c>
      <c r="V629" s="9" t="str">
        <f ca="1">IFERROR(__xludf.DUMMYFUNCTION("IFERROR(VALUE(REGEXEXTRACT(TO_TEXT($F629), V$1 &amp; ""x(\d+)"")), """")"),"")</f>
        <v/>
      </c>
      <c r="W629" s="9"/>
      <c r="X629" s="9"/>
      <c r="Y629" s="9"/>
      <c r="Z629" s="9"/>
    </row>
    <row r="630" spans="1:26" ht="15.75" hidden="1" customHeight="1">
      <c r="A630" s="9" t="s">
        <v>1715</v>
      </c>
      <c r="B630" s="9" t="s">
        <v>1716</v>
      </c>
      <c r="C630" s="9" t="s">
        <v>927</v>
      </c>
      <c r="D630" s="9" t="s">
        <v>48</v>
      </c>
      <c r="E630" s="9" t="s">
        <v>13</v>
      </c>
      <c r="F630" s="9" t="s">
        <v>1719</v>
      </c>
      <c r="G630" s="9">
        <v>90</v>
      </c>
      <c r="H630" s="9">
        <v>4</v>
      </c>
      <c r="I630" s="9">
        <v>1.0149999999999999</v>
      </c>
      <c r="J630" s="9">
        <v>52</v>
      </c>
      <c r="K630" s="9" t="s">
        <v>424</v>
      </c>
      <c r="L630" s="9"/>
      <c r="M630" s="9"/>
      <c r="N630" s="9" t="str">
        <f ca="1">IFERROR(__xludf.DUMMYFUNCTION("IFERROR(VALUE(REGEXEXTRACT(TO_TEXT($F630), N$1 &amp; ""x(\d+)"")), """")
"),"")</f>
        <v/>
      </c>
      <c r="O630" s="9">
        <f ca="1">IFERROR(__xludf.DUMMYFUNCTION("IFERROR(VALUE(REGEXEXTRACT(TO_TEXT($F630), O$1 &amp; ""x(\d+)"")), """")"),1)</f>
        <v>1</v>
      </c>
      <c r="P630" s="9">
        <f ca="1">IFERROR(__xludf.DUMMYFUNCTION("IFERROR(VALUE(REGEXEXTRACT(TO_TEXT($F630), P$1 &amp; ""x(\d+)"")), """")"),1)</f>
        <v>1</v>
      </c>
      <c r="Q630" s="9" t="str">
        <f ca="1">IFERROR(__xludf.DUMMYFUNCTION("IFERROR(VALUE(REGEXEXTRACT(TO_TEXT($F630), Q$1 &amp; ""x(\d+)"")), """")"),"")</f>
        <v/>
      </c>
      <c r="R630" s="9" t="str">
        <f ca="1">IFERROR(__xludf.DUMMYFUNCTION("IFERROR(VALUE(REGEXEXTRACT(TO_TEXT($F630), R$1 &amp; ""x(\d+)"")), """")"),"")</f>
        <v/>
      </c>
      <c r="S630" s="9" t="str">
        <f ca="1">IFERROR(__xludf.DUMMYFUNCTION("IFERROR(VALUE(REGEXEXTRACT(TO_TEXT($F630), S$1 &amp; ""x(\d+)"")), """")"),"")</f>
        <v/>
      </c>
      <c r="T630" s="9" t="str">
        <f ca="1">IFERROR(__xludf.DUMMYFUNCTION("IFERROR(VALUE(REGEXEXTRACT(TO_TEXT($F630), T$1 &amp; ""x(\d+)"")), """")"),"")</f>
        <v/>
      </c>
      <c r="U630" s="9" t="str">
        <f ca="1">IFERROR(__xludf.DUMMYFUNCTION("IFERROR(VALUE(REGEXEXTRACT(TO_TEXT($F630), U$1 &amp; ""x(\d+)"")), """")"),"")</f>
        <v/>
      </c>
      <c r="V630" s="9" t="str">
        <f ca="1">IFERROR(__xludf.DUMMYFUNCTION("IFERROR(VALUE(REGEXEXTRACT(TO_TEXT($F630), V$1 &amp; ""x(\d+)"")), """")"),"")</f>
        <v/>
      </c>
      <c r="W630" s="9"/>
      <c r="X630" s="9"/>
      <c r="Y630" s="9"/>
      <c r="Z630" s="9"/>
    </row>
    <row r="631" spans="1:26" ht="15.75" customHeight="1">
      <c r="A631" s="9" t="s">
        <v>1720</v>
      </c>
      <c r="B631" s="9" t="s">
        <v>1721</v>
      </c>
      <c r="C631" s="9" t="s">
        <v>647</v>
      </c>
      <c r="D631" s="9" t="s">
        <v>33</v>
      </c>
      <c r="E631" s="9" t="s">
        <v>11</v>
      </c>
      <c r="F631" s="9" t="s">
        <v>1722</v>
      </c>
      <c r="G631" s="9">
        <v>100</v>
      </c>
      <c r="H631" s="9">
        <v>5</v>
      </c>
      <c r="I631" s="9">
        <v>1.0149999999999999</v>
      </c>
      <c r="J631" s="9">
        <v>100</v>
      </c>
      <c r="K631" s="9" t="s">
        <v>442</v>
      </c>
      <c r="L631" s="9"/>
      <c r="M631" s="9"/>
      <c r="N631" s="9" t="str">
        <f ca="1">IFERROR(__xludf.DUMMYFUNCTION("IFERROR(VALUE(REGEXEXTRACT(TO_TEXT($F631), N$1 &amp; ""x(\d+)"")), """")
"),"")</f>
        <v/>
      </c>
      <c r="O631" s="9">
        <f ca="1">IFERROR(__xludf.DUMMYFUNCTION("IFERROR(VALUE(REGEXEXTRACT(TO_TEXT($F631), O$1 &amp; ""x(\d+)"")), """")"),1)</f>
        <v>1</v>
      </c>
      <c r="P631" s="9" t="str">
        <f ca="1">IFERROR(__xludf.DUMMYFUNCTION("IFERROR(VALUE(REGEXEXTRACT(TO_TEXT($F631), P$1 &amp; ""x(\d+)"")), """")"),"")</f>
        <v/>
      </c>
      <c r="Q631" s="9" t="str">
        <f ca="1">IFERROR(__xludf.DUMMYFUNCTION("IFERROR(VALUE(REGEXEXTRACT(TO_TEXT($F631), Q$1 &amp; ""x(\d+)"")), """")"),"")</f>
        <v/>
      </c>
      <c r="R631" s="9" t="str">
        <f ca="1">IFERROR(__xludf.DUMMYFUNCTION("IFERROR(VALUE(REGEXEXTRACT(TO_TEXT($F631), R$1 &amp; ""x(\d+)"")), """")"),"")</f>
        <v/>
      </c>
      <c r="S631" s="9" t="str">
        <f ca="1">IFERROR(__xludf.DUMMYFUNCTION("IFERROR(VALUE(REGEXEXTRACT(TO_TEXT($F631), S$1 &amp; ""x(\d+)"")), """")"),"")</f>
        <v/>
      </c>
      <c r="T631" s="9" t="str">
        <f ca="1">IFERROR(__xludf.DUMMYFUNCTION("IFERROR(VALUE(REGEXEXTRACT(TO_TEXT($F631), T$1 &amp; ""x(\d+)"")), """")"),"")</f>
        <v/>
      </c>
      <c r="U631" s="9" t="str">
        <f ca="1">IFERROR(__xludf.DUMMYFUNCTION("IFERROR(VALUE(REGEXEXTRACT(TO_TEXT($F631), U$1 &amp; ""x(\d+)"")), """")"),"")</f>
        <v/>
      </c>
      <c r="V631" s="9" t="str">
        <f ca="1">IFERROR(__xludf.DUMMYFUNCTION("IFERROR(VALUE(REGEXEXTRACT(TO_TEXT($F631), V$1 &amp; ""x(\d+)"")), """")"),"")</f>
        <v/>
      </c>
      <c r="W631" s="9"/>
      <c r="X631" s="9"/>
      <c r="Y631" s="9"/>
      <c r="Z631" s="9"/>
    </row>
    <row r="632" spans="1:26" ht="15.75" customHeight="1">
      <c r="A632" s="9" t="s">
        <v>1720</v>
      </c>
      <c r="B632" s="9" t="s">
        <v>1721</v>
      </c>
      <c r="C632" s="9" t="s">
        <v>647</v>
      </c>
      <c r="D632" s="9" t="s">
        <v>33</v>
      </c>
      <c r="E632" s="9" t="s">
        <v>12</v>
      </c>
      <c r="F632" s="9" t="s">
        <v>1723</v>
      </c>
      <c r="G632" s="9">
        <v>30</v>
      </c>
      <c r="H632" s="9">
        <v>5</v>
      </c>
      <c r="I632" s="9">
        <v>1.0149999999999999</v>
      </c>
      <c r="J632" s="9">
        <v>100</v>
      </c>
      <c r="K632" s="9" t="s">
        <v>442</v>
      </c>
      <c r="L632" s="9"/>
      <c r="M632" s="9"/>
      <c r="N632" s="9" t="str">
        <f ca="1">IFERROR(__xludf.DUMMYFUNCTION("IFERROR(VALUE(REGEXEXTRACT(TO_TEXT($F632), N$1 &amp; ""x(\d+)"")), """")
"),"")</f>
        <v/>
      </c>
      <c r="O632" s="9">
        <f ca="1">IFERROR(__xludf.DUMMYFUNCTION("IFERROR(VALUE(REGEXEXTRACT(TO_TEXT($F632), O$1 &amp; ""x(\d+)"")), """")"),1)</f>
        <v>1</v>
      </c>
      <c r="P632" s="9" t="str">
        <f ca="1">IFERROR(__xludf.DUMMYFUNCTION("IFERROR(VALUE(REGEXEXTRACT(TO_TEXT($F632), P$1 &amp; ""x(\d+)"")), """")"),"")</f>
        <v/>
      </c>
      <c r="Q632" s="9" t="str">
        <f ca="1">IFERROR(__xludf.DUMMYFUNCTION("IFERROR(VALUE(REGEXEXTRACT(TO_TEXT($F632), Q$1 &amp; ""x(\d+)"")), """")"),"")</f>
        <v/>
      </c>
      <c r="R632" s="9" t="str">
        <f ca="1">IFERROR(__xludf.DUMMYFUNCTION("IFERROR(VALUE(REGEXEXTRACT(TO_TEXT($F632), R$1 &amp; ""x(\d+)"")), """")"),"")</f>
        <v/>
      </c>
      <c r="S632" s="9" t="str">
        <f ca="1">IFERROR(__xludf.DUMMYFUNCTION("IFERROR(VALUE(REGEXEXTRACT(TO_TEXT($F632), S$1 &amp; ""x(\d+)"")), """")"),"")</f>
        <v/>
      </c>
      <c r="T632" s="9" t="str">
        <f ca="1">IFERROR(__xludf.DUMMYFUNCTION("IFERROR(VALUE(REGEXEXTRACT(TO_TEXT($F632), T$1 &amp; ""x(\d+)"")), """")"),"")</f>
        <v/>
      </c>
      <c r="U632" s="9" t="str">
        <f ca="1">IFERROR(__xludf.DUMMYFUNCTION("IFERROR(VALUE(REGEXEXTRACT(TO_TEXT($F632), U$1 &amp; ""x(\d+)"")), """")"),"")</f>
        <v/>
      </c>
      <c r="V632" s="9" t="str">
        <f ca="1">IFERROR(__xludf.DUMMYFUNCTION("IFERROR(VALUE(REGEXEXTRACT(TO_TEXT($F632), V$1 &amp; ""x(\d+)"")), """")"),"")</f>
        <v/>
      </c>
      <c r="W632" s="9"/>
      <c r="X632" s="9"/>
      <c r="Y632" s="9"/>
      <c r="Z632" s="9"/>
    </row>
    <row r="633" spans="1:26" ht="15.75" customHeight="1">
      <c r="A633" s="9" t="s">
        <v>1720</v>
      </c>
      <c r="B633" s="9" t="s">
        <v>1721</v>
      </c>
      <c r="C633" s="9" t="s">
        <v>647</v>
      </c>
      <c r="D633" s="9" t="s">
        <v>33</v>
      </c>
      <c r="E633" s="9" t="s">
        <v>13</v>
      </c>
      <c r="F633" s="9" t="s">
        <v>1009</v>
      </c>
      <c r="G633" s="9">
        <v>15</v>
      </c>
      <c r="H633" s="9">
        <v>5</v>
      </c>
      <c r="I633" s="9">
        <v>1.0149999999999999</v>
      </c>
      <c r="J633" s="9">
        <v>100</v>
      </c>
      <c r="K633" s="9" t="s">
        <v>442</v>
      </c>
      <c r="L633" s="9"/>
      <c r="M633" s="9"/>
      <c r="N633" s="9" t="str">
        <f ca="1">IFERROR(__xludf.DUMMYFUNCTION("IFERROR(VALUE(REGEXEXTRACT(TO_TEXT($F633), N$1 &amp; ""x(\d+)"")), """")
"),"")</f>
        <v/>
      </c>
      <c r="O633" s="9">
        <f ca="1">IFERROR(__xludf.DUMMYFUNCTION("IFERROR(VALUE(REGEXEXTRACT(TO_TEXT($F633), O$1 &amp; ""x(\d+)"")), """")"),1)</f>
        <v>1</v>
      </c>
      <c r="P633" s="9" t="str">
        <f ca="1">IFERROR(__xludf.DUMMYFUNCTION("IFERROR(VALUE(REGEXEXTRACT(TO_TEXT($F633), P$1 &amp; ""x(\d+)"")), """")"),"")</f>
        <v/>
      </c>
      <c r="Q633" s="9" t="str">
        <f ca="1">IFERROR(__xludf.DUMMYFUNCTION("IFERROR(VALUE(REGEXEXTRACT(TO_TEXT($F633), Q$1 &amp; ""x(\d+)"")), """")"),"")</f>
        <v/>
      </c>
      <c r="R633" s="9" t="str">
        <f ca="1">IFERROR(__xludf.DUMMYFUNCTION("IFERROR(VALUE(REGEXEXTRACT(TO_TEXT($F633), R$1 &amp; ""x(\d+)"")), """")"),"")</f>
        <v/>
      </c>
      <c r="S633" s="9" t="str">
        <f ca="1">IFERROR(__xludf.DUMMYFUNCTION("IFERROR(VALUE(REGEXEXTRACT(TO_TEXT($F633), S$1 &amp; ""x(\d+)"")), """")"),"")</f>
        <v/>
      </c>
      <c r="T633" s="9" t="str">
        <f ca="1">IFERROR(__xludf.DUMMYFUNCTION("IFERROR(VALUE(REGEXEXTRACT(TO_TEXT($F633), T$1 &amp; ""x(\d+)"")), """")"),"")</f>
        <v/>
      </c>
      <c r="U633" s="9" t="str">
        <f ca="1">IFERROR(__xludf.DUMMYFUNCTION("IFERROR(VALUE(REGEXEXTRACT(TO_TEXT($F633), U$1 &amp; ""x(\d+)"")), """")"),"")</f>
        <v/>
      </c>
      <c r="V633" s="9" t="str">
        <f ca="1">IFERROR(__xludf.DUMMYFUNCTION("IFERROR(VALUE(REGEXEXTRACT(TO_TEXT($F633), V$1 &amp; ""x(\d+)"")), """")"),"")</f>
        <v/>
      </c>
      <c r="W633" s="9"/>
      <c r="X633" s="9"/>
      <c r="Y633" s="9"/>
      <c r="Z633" s="9"/>
    </row>
    <row r="634" spans="1:26" ht="15.75" customHeight="1">
      <c r="A634" s="9" t="s">
        <v>304</v>
      </c>
      <c r="B634" s="9" t="s">
        <v>1724</v>
      </c>
      <c r="C634" s="9" t="s">
        <v>305</v>
      </c>
      <c r="D634" s="9" t="s">
        <v>33</v>
      </c>
      <c r="E634" s="9" t="s">
        <v>11</v>
      </c>
      <c r="F634" s="9" t="s">
        <v>1725</v>
      </c>
      <c r="G634" s="9">
        <v>100</v>
      </c>
      <c r="H634" s="9">
        <v>3</v>
      </c>
      <c r="I634" s="9">
        <v>1.0149999999999999</v>
      </c>
      <c r="J634" s="9">
        <v>75</v>
      </c>
      <c r="K634" s="9" t="s">
        <v>442</v>
      </c>
      <c r="L634" s="9"/>
      <c r="M634" s="9"/>
      <c r="N634" s="9" t="str">
        <f ca="1">IFERROR(__xludf.DUMMYFUNCTION("IFERROR(VALUE(REGEXEXTRACT(TO_TEXT($F634), N$1 &amp; ""x(\d+)"")), """")
"),"")</f>
        <v/>
      </c>
      <c r="O634" s="9">
        <f ca="1">IFERROR(__xludf.DUMMYFUNCTION("IFERROR(VALUE(REGEXEXTRACT(TO_TEXT($F634), O$1 &amp; ""x(\d+)"")), """")"),1)</f>
        <v>1</v>
      </c>
      <c r="P634" s="9" t="str">
        <f ca="1">IFERROR(__xludf.DUMMYFUNCTION("IFERROR(VALUE(REGEXEXTRACT(TO_TEXT($F634), P$1 &amp; ""x(\d+)"")), """")"),"")</f>
        <v/>
      </c>
      <c r="Q634" s="9" t="str">
        <f ca="1">IFERROR(__xludf.DUMMYFUNCTION("IFERROR(VALUE(REGEXEXTRACT(TO_TEXT($F634), Q$1 &amp; ""x(\d+)"")), """")"),"")</f>
        <v/>
      </c>
      <c r="R634" s="9" t="str">
        <f ca="1">IFERROR(__xludf.DUMMYFUNCTION("IFERROR(VALUE(REGEXEXTRACT(TO_TEXT($F634), R$1 &amp; ""x(\d+)"")), """")"),"")</f>
        <v/>
      </c>
      <c r="S634" s="9" t="str">
        <f ca="1">IFERROR(__xludf.DUMMYFUNCTION("IFERROR(VALUE(REGEXEXTRACT(TO_TEXT($F634), S$1 &amp; ""x(\d+)"")), """")"),"")</f>
        <v/>
      </c>
      <c r="T634" s="9" t="str">
        <f ca="1">IFERROR(__xludf.DUMMYFUNCTION("IFERROR(VALUE(REGEXEXTRACT(TO_TEXT($F634), T$1 &amp; ""x(\d+)"")), """")"),"")</f>
        <v/>
      </c>
      <c r="U634" s="9" t="str">
        <f ca="1">IFERROR(__xludf.DUMMYFUNCTION("IFERROR(VALUE(REGEXEXTRACT(TO_TEXT($F634), U$1 &amp; ""x(\d+)"")), """")"),"")</f>
        <v/>
      </c>
      <c r="V634" s="9" t="str">
        <f ca="1">IFERROR(__xludf.DUMMYFUNCTION("IFERROR(VALUE(REGEXEXTRACT(TO_TEXT($F634), V$1 &amp; ""x(\d+)"")), """")"),"")</f>
        <v/>
      </c>
      <c r="W634" s="9"/>
      <c r="X634" s="9"/>
      <c r="Y634" s="9"/>
      <c r="Z634" s="9"/>
    </row>
    <row r="635" spans="1:26" ht="15.75" customHeight="1">
      <c r="A635" s="9" t="s">
        <v>304</v>
      </c>
      <c r="B635" s="9" t="s">
        <v>1724</v>
      </c>
      <c r="C635" s="9" t="s">
        <v>305</v>
      </c>
      <c r="D635" s="9" t="s">
        <v>33</v>
      </c>
      <c r="E635" s="9" t="s">
        <v>12</v>
      </c>
      <c r="F635" s="9" t="s">
        <v>1726</v>
      </c>
      <c r="G635" s="9">
        <v>160</v>
      </c>
      <c r="H635" s="9">
        <v>3</v>
      </c>
      <c r="I635" s="9">
        <v>1.0149999999999999</v>
      </c>
      <c r="J635" s="9">
        <v>75</v>
      </c>
      <c r="K635" s="9" t="s">
        <v>442</v>
      </c>
      <c r="L635" s="9" t="s">
        <v>1243</v>
      </c>
      <c r="M635" s="9"/>
      <c r="N635" s="9" t="str">
        <f ca="1">IFERROR(__xludf.DUMMYFUNCTION("IFERROR(VALUE(REGEXEXTRACT(TO_TEXT($F635), N$1 &amp; ""x(\d+)"")), """")
"),"")</f>
        <v/>
      </c>
      <c r="O635" s="9">
        <f ca="1">IFERROR(__xludf.DUMMYFUNCTION("IFERROR(VALUE(REGEXEXTRACT(TO_TEXT($F635), O$1 &amp; ""x(\d+)"")), """")"),1)</f>
        <v>1</v>
      </c>
      <c r="P635" s="9" t="str">
        <f ca="1">IFERROR(__xludf.DUMMYFUNCTION("IFERROR(VALUE(REGEXEXTRACT(TO_TEXT($F635), P$1 &amp; ""x(\d+)"")), """")"),"")</f>
        <v/>
      </c>
      <c r="Q635" s="9" t="str">
        <f ca="1">IFERROR(__xludf.DUMMYFUNCTION("IFERROR(VALUE(REGEXEXTRACT(TO_TEXT($F635), Q$1 &amp; ""x(\d+)"")), """")"),"")</f>
        <v/>
      </c>
      <c r="R635" s="9" t="str">
        <f ca="1">IFERROR(__xludf.DUMMYFUNCTION("IFERROR(VALUE(REGEXEXTRACT(TO_TEXT($F635), R$1 &amp; ""x(\d+)"")), """")"),"")</f>
        <v/>
      </c>
      <c r="S635" s="9" t="str">
        <f ca="1">IFERROR(__xludf.DUMMYFUNCTION("IFERROR(VALUE(REGEXEXTRACT(TO_TEXT($F635), S$1 &amp; ""x(\d+)"")), """")"),"")</f>
        <v/>
      </c>
      <c r="T635" s="9" t="str">
        <f ca="1">IFERROR(__xludf.DUMMYFUNCTION("IFERROR(VALUE(REGEXEXTRACT(TO_TEXT($F635), T$1 &amp; ""x(\d+)"")), """")"),"")</f>
        <v/>
      </c>
      <c r="U635" s="9" t="str">
        <f ca="1">IFERROR(__xludf.DUMMYFUNCTION("IFERROR(VALUE(REGEXEXTRACT(TO_TEXT($F635), U$1 &amp; ""x(\d+)"")), """")"),"")</f>
        <v/>
      </c>
      <c r="V635" s="9" t="str">
        <f ca="1">IFERROR(__xludf.DUMMYFUNCTION("IFERROR(VALUE(REGEXEXTRACT(TO_TEXT($F635), V$1 &amp; ""x(\d+)"")), """")"),"")</f>
        <v/>
      </c>
      <c r="W635" s="9"/>
      <c r="X635" s="9"/>
      <c r="Y635" s="9"/>
      <c r="Z635" s="9"/>
    </row>
    <row r="636" spans="1:26" ht="15.75" customHeight="1">
      <c r="A636" s="9" t="s">
        <v>304</v>
      </c>
      <c r="B636" s="9" t="s">
        <v>1724</v>
      </c>
      <c r="C636" s="9" t="s">
        <v>305</v>
      </c>
      <c r="D636" s="9" t="s">
        <v>33</v>
      </c>
      <c r="E636" s="9" t="s">
        <v>13</v>
      </c>
      <c r="F636" s="9" t="s">
        <v>1071</v>
      </c>
      <c r="G636" s="9">
        <v>15</v>
      </c>
      <c r="H636" s="9">
        <v>3</v>
      </c>
      <c r="I636" s="9">
        <v>1.0149999999999999</v>
      </c>
      <c r="J636" s="9">
        <v>75</v>
      </c>
      <c r="K636" s="9" t="s">
        <v>442</v>
      </c>
      <c r="L636" s="9"/>
      <c r="M636" s="9"/>
      <c r="N636" s="9" t="str">
        <f ca="1">IFERROR(__xludf.DUMMYFUNCTION("IFERROR(VALUE(REGEXEXTRACT(TO_TEXT($F636), N$1 &amp; ""x(\d+)"")), """")
"),"")</f>
        <v/>
      </c>
      <c r="O636" s="9">
        <f ca="1">IFERROR(__xludf.DUMMYFUNCTION("IFERROR(VALUE(REGEXEXTRACT(TO_TEXT($F636), O$1 &amp; ""x(\d+)"")), """")"),1)</f>
        <v>1</v>
      </c>
      <c r="P636" s="9" t="str">
        <f ca="1">IFERROR(__xludf.DUMMYFUNCTION("IFERROR(VALUE(REGEXEXTRACT(TO_TEXT($F636), P$1 &amp; ""x(\d+)"")), """")"),"")</f>
        <v/>
      </c>
      <c r="Q636" s="9" t="str">
        <f ca="1">IFERROR(__xludf.DUMMYFUNCTION("IFERROR(VALUE(REGEXEXTRACT(TO_TEXT($F636), Q$1 &amp; ""x(\d+)"")), """")"),"")</f>
        <v/>
      </c>
      <c r="R636" s="9" t="str">
        <f ca="1">IFERROR(__xludf.DUMMYFUNCTION("IFERROR(VALUE(REGEXEXTRACT(TO_TEXT($F636), R$1 &amp; ""x(\d+)"")), """")"),"")</f>
        <v/>
      </c>
      <c r="S636" s="9" t="str">
        <f ca="1">IFERROR(__xludf.DUMMYFUNCTION("IFERROR(VALUE(REGEXEXTRACT(TO_TEXT($F636), S$1 &amp; ""x(\d+)"")), """")"),"")</f>
        <v/>
      </c>
      <c r="T636" s="9" t="str">
        <f ca="1">IFERROR(__xludf.DUMMYFUNCTION("IFERROR(VALUE(REGEXEXTRACT(TO_TEXT($F636), T$1 &amp; ""x(\d+)"")), """")"),"")</f>
        <v/>
      </c>
      <c r="U636" s="9" t="str">
        <f ca="1">IFERROR(__xludf.DUMMYFUNCTION("IFERROR(VALUE(REGEXEXTRACT(TO_TEXT($F636), U$1 &amp; ""x(\d+)"")), """")"),"")</f>
        <v/>
      </c>
      <c r="V636" s="9" t="str">
        <f ca="1">IFERROR(__xludf.DUMMYFUNCTION("IFERROR(VALUE(REGEXEXTRACT(TO_TEXT($F636), V$1 &amp; ""x(\d+)"")), """")"),"")</f>
        <v/>
      </c>
      <c r="W636" s="9"/>
      <c r="X636" s="9"/>
      <c r="Y636" s="9"/>
      <c r="Z636" s="9"/>
    </row>
    <row r="637" spans="1:26" ht="15.75" customHeight="1">
      <c r="A637" s="9" t="s">
        <v>287</v>
      </c>
      <c r="B637" s="9" t="s">
        <v>1727</v>
      </c>
      <c r="C637" s="9" t="s">
        <v>288</v>
      </c>
      <c r="D637" s="9" t="s">
        <v>33</v>
      </c>
      <c r="E637" s="9" t="s">
        <v>11</v>
      </c>
      <c r="F637" s="9" t="s">
        <v>1725</v>
      </c>
      <c r="G637" s="9">
        <v>100</v>
      </c>
      <c r="H637" s="9">
        <v>3</v>
      </c>
      <c r="I637" s="9">
        <v>1.0149999999999999</v>
      </c>
      <c r="J637" s="9">
        <v>75</v>
      </c>
      <c r="K637" s="9" t="s">
        <v>442</v>
      </c>
      <c r="L637" s="9"/>
      <c r="M637" s="9"/>
      <c r="N637" s="9" t="str">
        <f ca="1">IFERROR(__xludf.DUMMYFUNCTION("IFERROR(VALUE(REGEXEXTRACT(TO_TEXT($F637), N$1 &amp; ""x(\d+)"")), """")
"),"")</f>
        <v/>
      </c>
      <c r="O637" s="9">
        <f ca="1">IFERROR(__xludf.DUMMYFUNCTION("IFERROR(VALUE(REGEXEXTRACT(TO_TEXT($F637), O$1 &amp; ""x(\d+)"")), """")"),1)</f>
        <v>1</v>
      </c>
      <c r="P637" s="9" t="str">
        <f ca="1">IFERROR(__xludf.DUMMYFUNCTION("IFERROR(VALUE(REGEXEXTRACT(TO_TEXT($F637), P$1 &amp; ""x(\d+)"")), """")"),"")</f>
        <v/>
      </c>
      <c r="Q637" s="9" t="str">
        <f ca="1">IFERROR(__xludf.DUMMYFUNCTION("IFERROR(VALUE(REGEXEXTRACT(TO_TEXT($F637), Q$1 &amp; ""x(\d+)"")), """")"),"")</f>
        <v/>
      </c>
      <c r="R637" s="9" t="str">
        <f ca="1">IFERROR(__xludf.DUMMYFUNCTION("IFERROR(VALUE(REGEXEXTRACT(TO_TEXT($F637), R$1 &amp; ""x(\d+)"")), """")"),"")</f>
        <v/>
      </c>
      <c r="S637" s="9" t="str">
        <f ca="1">IFERROR(__xludf.DUMMYFUNCTION("IFERROR(VALUE(REGEXEXTRACT(TO_TEXT($F637), S$1 &amp; ""x(\d+)"")), """")"),"")</f>
        <v/>
      </c>
      <c r="T637" s="9" t="str">
        <f ca="1">IFERROR(__xludf.DUMMYFUNCTION("IFERROR(VALUE(REGEXEXTRACT(TO_TEXT($F637), T$1 &amp; ""x(\d+)"")), """")"),"")</f>
        <v/>
      </c>
      <c r="U637" s="9" t="str">
        <f ca="1">IFERROR(__xludf.DUMMYFUNCTION("IFERROR(VALUE(REGEXEXTRACT(TO_TEXT($F637), U$1 &amp; ""x(\d+)"")), """")"),"")</f>
        <v/>
      </c>
      <c r="V637" s="9" t="str">
        <f ca="1">IFERROR(__xludf.DUMMYFUNCTION("IFERROR(VALUE(REGEXEXTRACT(TO_TEXT($F637), V$1 &amp; ""x(\d+)"")), """")"),"")</f>
        <v/>
      </c>
      <c r="W637" s="9"/>
      <c r="X637" s="9"/>
      <c r="Y637" s="9"/>
      <c r="Z637" s="9"/>
    </row>
    <row r="638" spans="1:26" ht="15.75" customHeight="1">
      <c r="A638" s="9" t="s">
        <v>287</v>
      </c>
      <c r="B638" s="9" t="s">
        <v>1727</v>
      </c>
      <c r="C638" s="9" t="s">
        <v>288</v>
      </c>
      <c r="D638" s="9" t="s">
        <v>33</v>
      </c>
      <c r="E638" s="9" t="s">
        <v>12</v>
      </c>
      <c r="F638" s="9" t="s">
        <v>1726</v>
      </c>
      <c r="G638" s="9">
        <v>160</v>
      </c>
      <c r="H638" s="9">
        <v>3</v>
      </c>
      <c r="I638" s="9">
        <v>1.0149999999999999</v>
      </c>
      <c r="J638" s="9">
        <v>75</v>
      </c>
      <c r="K638" s="9" t="s">
        <v>442</v>
      </c>
      <c r="L638" s="9" t="s">
        <v>1243</v>
      </c>
      <c r="M638" s="9"/>
      <c r="N638" s="9" t="str">
        <f ca="1">IFERROR(__xludf.DUMMYFUNCTION("IFERROR(VALUE(REGEXEXTRACT(TO_TEXT($F638), N$1 &amp; ""x(\d+)"")), """")
"),"")</f>
        <v/>
      </c>
      <c r="O638" s="9">
        <f ca="1">IFERROR(__xludf.DUMMYFUNCTION("IFERROR(VALUE(REGEXEXTRACT(TO_TEXT($F638), O$1 &amp; ""x(\d+)"")), """")"),1)</f>
        <v>1</v>
      </c>
      <c r="P638" s="9" t="str">
        <f ca="1">IFERROR(__xludf.DUMMYFUNCTION("IFERROR(VALUE(REGEXEXTRACT(TO_TEXT($F638), P$1 &amp; ""x(\d+)"")), """")"),"")</f>
        <v/>
      </c>
      <c r="Q638" s="9" t="str">
        <f ca="1">IFERROR(__xludf.DUMMYFUNCTION("IFERROR(VALUE(REGEXEXTRACT(TO_TEXT($F638), Q$1 &amp; ""x(\d+)"")), """")"),"")</f>
        <v/>
      </c>
      <c r="R638" s="9" t="str">
        <f ca="1">IFERROR(__xludf.DUMMYFUNCTION("IFERROR(VALUE(REGEXEXTRACT(TO_TEXT($F638), R$1 &amp; ""x(\d+)"")), """")"),"")</f>
        <v/>
      </c>
      <c r="S638" s="9" t="str">
        <f ca="1">IFERROR(__xludf.DUMMYFUNCTION("IFERROR(VALUE(REGEXEXTRACT(TO_TEXT($F638), S$1 &amp; ""x(\d+)"")), """")"),"")</f>
        <v/>
      </c>
      <c r="T638" s="9" t="str">
        <f ca="1">IFERROR(__xludf.DUMMYFUNCTION("IFERROR(VALUE(REGEXEXTRACT(TO_TEXT($F638), T$1 &amp; ""x(\d+)"")), """")"),"")</f>
        <v/>
      </c>
      <c r="U638" s="9" t="str">
        <f ca="1">IFERROR(__xludf.DUMMYFUNCTION("IFERROR(VALUE(REGEXEXTRACT(TO_TEXT($F638), U$1 &amp; ""x(\d+)"")), """")"),"")</f>
        <v/>
      </c>
      <c r="V638" s="9" t="str">
        <f ca="1">IFERROR(__xludf.DUMMYFUNCTION("IFERROR(VALUE(REGEXEXTRACT(TO_TEXT($F638), V$1 &amp; ""x(\d+)"")), """")"),"")</f>
        <v/>
      </c>
      <c r="W638" s="9"/>
      <c r="X638" s="9"/>
      <c r="Y638" s="9"/>
      <c r="Z638" s="9"/>
    </row>
    <row r="639" spans="1:26" ht="15.75" customHeight="1">
      <c r="A639" s="9" t="s">
        <v>287</v>
      </c>
      <c r="B639" s="9" t="s">
        <v>1727</v>
      </c>
      <c r="C639" s="9" t="s">
        <v>288</v>
      </c>
      <c r="D639" s="9" t="s">
        <v>33</v>
      </c>
      <c r="E639" s="9" t="s">
        <v>13</v>
      </c>
      <c r="F639" s="9" t="s">
        <v>1071</v>
      </c>
      <c r="G639" s="9">
        <v>15</v>
      </c>
      <c r="H639" s="9">
        <v>3</v>
      </c>
      <c r="I639" s="9">
        <v>1.0149999999999999</v>
      </c>
      <c r="J639" s="9">
        <v>75</v>
      </c>
      <c r="K639" s="9" t="s">
        <v>442</v>
      </c>
      <c r="L639" s="9"/>
      <c r="M639" s="9"/>
      <c r="N639" s="9" t="str">
        <f ca="1">IFERROR(__xludf.DUMMYFUNCTION("IFERROR(VALUE(REGEXEXTRACT(TO_TEXT($F639), N$1 &amp; ""x(\d+)"")), """")
"),"")</f>
        <v/>
      </c>
      <c r="O639" s="9">
        <f ca="1">IFERROR(__xludf.DUMMYFUNCTION("IFERROR(VALUE(REGEXEXTRACT(TO_TEXT($F639), O$1 &amp; ""x(\d+)"")), """")"),1)</f>
        <v>1</v>
      </c>
      <c r="P639" s="9" t="str">
        <f ca="1">IFERROR(__xludf.DUMMYFUNCTION("IFERROR(VALUE(REGEXEXTRACT(TO_TEXT($F639), P$1 &amp; ""x(\d+)"")), """")"),"")</f>
        <v/>
      </c>
      <c r="Q639" s="9" t="str">
        <f ca="1">IFERROR(__xludf.DUMMYFUNCTION("IFERROR(VALUE(REGEXEXTRACT(TO_TEXT($F639), Q$1 &amp; ""x(\d+)"")), """")"),"")</f>
        <v/>
      </c>
      <c r="R639" s="9" t="str">
        <f ca="1">IFERROR(__xludf.DUMMYFUNCTION("IFERROR(VALUE(REGEXEXTRACT(TO_TEXT($F639), R$1 &amp; ""x(\d+)"")), """")"),"")</f>
        <v/>
      </c>
      <c r="S639" s="9" t="str">
        <f ca="1">IFERROR(__xludf.DUMMYFUNCTION("IFERROR(VALUE(REGEXEXTRACT(TO_TEXT($F639), S$1 &amp; ""x(\d+)"")), """")"),"")</f>
        <v/>
      </c>
      <c r="T639" s="9" t="str">
        <f ca="1">IFERROR(__xludf.DUMMYFUNCTION("IFERROR(VALUE(REGEXEXTRACT(TO_TEXT($F639), T$1 &amp; ""x(\d+)"")), """")"),"")</f>
        <v/>
      </c>
      <c r="U639" s="9" t="str">
        <f ca="1">IFERROR(__xludf.DUMMYFUNCTION("IFERROR(VALUE(REGEXEXTRACT(TO_TEXT($F639), U$1 &amp; ""x(\d+)"")), """")"),"")</f>
        <v/>
      </c>
      <c r="V639" s="9" t="str">
        <f ca="1">IFERROR(__xludf.DUMMYFUNCTION("IFERROR(VALUE(REGEXEXTRACT(TO_TEXT($F639), V$1 &amp; ""x(\d+)"")), """")"),"")</f>
        <v/>
      </c>
      <c r="W639" s="9"/>
      <c r="X639" s="9"/>
      <c r="Y639" s="9"/>
      <c r="Z639" s="9"/>
    </row>
    <row r="640" spans="1:26" ht="15.75" customHeight="1">
      <c r="A640" s="9" t="s">
        <v>1728</v>
      </c>
      <c r="B640" s="9" t="s">
        <v>1729</v>
      </c>
      <c r="C640" s="9" t="s">
        <v>492</v>
      </c>
      <c r="D640" s="9" t="s">
        <v>33</v>
      </c>
      <c r="E640" s="9" t="s">
        <v>11</v>
      </c>
      <c r="F640" s="9" t="s">
        <v>1725</v>
      </c>
      <c r="G640" s="9">
        <v>100</v>
      </c>
      <c r="H640" s="9">
        <v>3</v>
      </c>
      <c r="I640" s="9">
        <v>1.0149999999999999</v>
      </c>
      <c r="J640" s="9">
        <v>71.5</v>
      </c>
      <c r="K640" s="9" t="s">
        <v>442</v>
      </c>
      <c r="L640" s="9"/>
      <c r="M640" s="9"/>
      <c r="N640" s="9" t="str">
        <f ca="1">IFERROR(__xludf.DUMMYFUNCTION("IFERROR(VALUE(REGEXEXTRACT(TO_TEXT($F640), N$1 &amp; ""x(\d+)"")), """")
"),"")</f>
        <v/>
      </c>
      <c r="O640" s="9">
        <f ca="1">IFERROR(__xludf.DUMMYFUNCTION("IFERROR(VALUE(REGEXEXTRACT(TO_TEXT($F640), O$1 &amp; ""x(\d+)"")), """")"),1)</f>
        <v>1</v>
      </c>
      <c r="P640" s="9" t="str">
        <f ca="1">IFERROR(__xludf.DUMMYFUNCTION("IFERROR(VALUE(REGEXEXTRACT(TO_TEXT($F640), P$1 &amp; ""x(\d+)"")), """")"),"")</f>
        <v/>
      </c>
      <c r="Q640" s="9" t="str">
        <f ca="1">IFERROR(__xludf.DUMMYFUNCTION("IFERROR(VALUE(REGEXEXTRACT(TO_TEXT($F640), Q$1 &amp; ""x(\d+)"")), """")"),"")</f>
        <v/>
      </c>
      <c r="R640" s="9" t="str">
        <f ca="1">IFERROR(__xludf.DUMMYFUNCTION("IFERROR(VALUE(REGEXEXTRACT(TO_TEXT($F640), R$1 &amp; ""x(\d+)"")), """")"),"")</f>
        <v/>
      </c>
      <c r="S640" s="9" t="str">
        <f ca="1">IFERROR(__xludf.DUMMYFUNCTION("IFERROR(VALUE(REGEXEXTRACT(TO_TEXT($F640), S$1 &amp; ""x(\d+)"")), """")"),"")</f>
        <v/>
      </c>
      <c r="T640" s="9" t="str">
        <f ca="1">IFERROR(__xludf.DUMMYFUNCTION("IFERROR(VALUE(REGEXEXTRACT(TO_TEXT($F640), T$1 &amp; ""x(\d+)"")), """")"),"")</f>
        <v/>
      </c>
      <c r="U640" s="9" t="str">
        <f ca="1">IFERROR(__xludf.DUMMYFUNCTION("IFERROR(VALUE(REGEXEXTRACT(TO_TEXT($F640), U$1 &amp; ""x(\d+)"")), """")"),"")</f>
        <v/>
      </c>
      <c r="V640" s="9" t="str">
        <f ca="1">IFERROR(__xludf.DUMMYFUNCTION("IFERROR(VALUE(REGEXEXTRACT(TO_TEXT($F640), V$1 &amp; ""x(\d+)"")), """")"),"")</f>
        <v/>
      </c>
      <c r="W640" s="9"/>
      <c r="X640" s="9"/>
      <c r="Y640" s="9"/>
      <c r="Z640" s="9"/>
    </row>
    <row r="641" spans="1:26" ht="15.75" customHeight="1">
      <c r="A641" s="9" t="s">
        <v>1728</v>
      </c>
      <c r="B641" s="9" t="s">
        <v>1729</v>
      </c>
      <c r="C641" s="9" t="s">
        <v>492</v>
      </c>
      <c r="D641" s="9" t="s">
        <v>33</v>
      </c>
      <c r="E641" s="9" t="s">
        <v>12</v>
      </c>
      <c r="F641" s="9" t="s">
        <v>1726</v>
      </c>
      <c r="G641" s="9">
        <v>160</v>
      </c>
      <c r="H641" s="9">
        <v>3</v>
      </c>
      <c r="I641" s="9">
        <v>1.0149999999999999</v>
      </c>
      <c r="J641" s="9">
        <v>71.5</v>
      </c>
      <c r="K641" s="9" t="s">
        <v>442</v>
      </c>
      <c r="L641" s="9" t="s">
        <v>1169</v>
      </c>
      <c r="M641" s="9"/>
      <c r="N641" s="9" t="str">
        <f ca="1">IFERROR(__xludf.DUMMYFUNCTION("IFERROR(VALUE(REGEXEXTRACT(TO_TEXT($F641), N$1 &amp; ""x(\d+)"")), """")
"),"")</f>
        <v/>
      </c>
      <c r="O641" s="9">
        <f ca="1">IFERROR(__xludf.DUMMYFUNCTION("IFERROR(VALUE(REGEXEXTRACT(TO_TEXT($F641), O$1 &amp; ""x(\d+)"")), """")"),1)</f>
        <v>1</v>
      </c>
      <c r="P641" s="9" t="str">
        <f ca="1">IFERROR(__xludf.DUMMYFUNCTION("IFERROR(VALUE(REGEXEXTRACT(TO_TEXT($F641), P$1 &amp; ""x(\d+)"")), """")"),"")</f>
        <v/>
      </c>
      <c r="Q641" s="9" t="str">
        <f ca="1">IFERROR(__xludf.DUMMYFUNCTION("IFERROR(VALUE(REGEXEXTRACT(TO_TEXT($F641), Q$1 &amp; ""x(\d+)"")), """")"),"")</f>
        <v/>
      </c>
      <c r="R641" s="9" t="str">
        <f ca="1">IFERROR(__xludf.DUMMYFUNCTION("IFERROR(VALUE(REGEXEXTRACT(TO_TEXT($F641), R$1 &amp; ""x(\d+)"")), """")"),"")</f>
        <v/>
      </c>
      <c r="S641" s="9" t="str">
        <f ca="1">IFERROR(__xludf.DUMMYFUNCTION("IFERROR(VALUE(REGEXEXTRACT(TO_TEXT($F641), S$1 &amp; ""x(\d+)"")), """")"),"")</f>
        <v/>
      </c>
      <c r="T641" s="9" t="str">
        <f ca="1">IFERROR(__xludf.DUMMYFUNCTION("IFERROR(VALUE(REGEXEXTRACT(TO_TEXT($F641), T$1 &amp; ""x(\d+)"")), """")"),"")</f>
        <v/>
      </c>
      <c r="U641" s="9" t="str">
        <f ca="1">IFERROR(__xludf.DUMMYFUNCTION("IFERROR(VALUE(REGEXEXTRACT(TO_TEXT($F641), U$1 &amp; ""x(\d+)"")), """")"),"")</f>
        <v/>
      </c>
      <c r="V641" s="9" t="str">
        <f ca="1">IFERROR(__xludf.DUMMYFUNCTION("IFERROR(VALUE(REGEXEXTRACT(TO_TEXT($F641), V$1 &amp; ""x(\d+)"")), """")"),"")</f>
        <v/>
      </c>
      <c r="W641" s="9"/>
      <c r="X641" s="9"/>
      <c r="Y641" s="9"/>
      <c r="Z641" s="9"/>
    </row>
    <row r="642" spans="1:26" ht="15.75" customHeight="1">
      <c r="A642" s="9" t="s">
        <v>1728</v>
      </c>
      <c r="B642" s="9" t="s">
        <v>1729</v>
      </c>
      <c r="C642" s="9" t="s">
        <v>492</v>
      </c>
      <c r="D642" s="9" t="s">
        <v>33</v>
      </c>
      <c r="E642" s="9" t="s">
        <v>13</v>
      </c>
      <c r="F642" s="9" t="s">
        <v>1071</v>
      </c>
      <c r="G642" s="9">
        <v>15</v>
      </c>
      <c r="H642" s="9">
        <v>3</v>
      </c>
      <c r="I642" s="9">
        <v>1.0149999999999999</v>
      </c>
      <c r="J642" s="9">
        <v>71.5</v>
      </c>
      <c r="K642" s="9" t="s">
        <v>442</v>
      </c>
      <c r="L642" s="9"/>
      <c r="M642" s="9"/>
      <c r="N642" s="9" t="str">
        <f ca="1">IFERROR(__xludf.DUMMYFUNCTION("IFERROR(VALUE(REGEXEXTRACT(TO_TEXT($F642), N$1 &amp; ""x(\d+)"")), """")
"),"")</f>
        <v/>
      </c>
      <c r="O642" s="9">
        <f ca="1">IFERROR(__xludf.DUMMYFUNCTION("IFERROR(VALUE(REGEXEXTRACT(TO_TEXT($F642), O$1 &amp; ""x(\d+)"")), """")"),1)</f>
        <v>1</v>
      </c>
      <c r="P642" s="9" t="str">
        <f ca="1">IFERROR(__xludf.DUMMYFUNCTION("IFERROR(VALUE(REGEXEXTRACT(TO_TEXT($F642), P$1 &amp; ""x(\d+)"")), """")"),"")</f>
        <v/>
      </c>
      <c r="Q642" s="9" t="str">
        <f ca="1">IFERROR(__xludf.DUMMYFUNCTION("IFERROR(VALUE(REGEXEXTRACT(TO_TEXT($F642), Q$1 &amp; ""x(\d+)"")), """")"),"")</f>
        <v/>
      </c>
      <c r="R642" s="9" t="str">
        <f ca="1">IFERROR(__xludf.DUMMYFUNCTION("IFERROR(VALUE(REGEXEXTRACT(TO_TEXT($F642), R$1 &amp; ""x(\d+)"")), """")"),"")</f>
        <v/>
      </c>
      <c r="S642" s="9" t="str">
        <f ca="1">IFERROR(__xludf.DUMMYFUNCTION("IFERROR(VALUE(REGEXEXTRACT(TO_TEXT($F642), S$1 &amp; ""x(\d+)"")), """")"),"")</f>
        <v/>
      </c>
      <c r="T642" s="9" t="str">
        <f ca="1">IFERROR(__xludf.DUMMYFUNCTION("IFERROR(VALUE(REGEXEXTRACT(TO_TEXT($F642), T$1 &amp; ""x(\d+)"")), """")"),"")</f>
        <v/>
      </c>
      <c r="U642" s="9" t="str">
        <f ca="1">IFERROR(__xludf.DUMMYFUNCTION("IFERROR(VALUE(REGEXEXTRACT(TO_TEXT($F642), U$1 &amp; ""x(\d+)"")), """")"),"")</f>
        <v/>
      </c>
      <c r="V642" s="9" t="str">
        <f ca="1">IFERROR(__xludf.DUMMYFUNCTION("IFERROR(VALUE(REGEXEXTRACT(TO_TEXT($F642), V$1 &amp; ""x(\d+)"")), """")"),"")</f>
        <v/>
      </c>
      <c r="W642" s="9"/>
      <c r="X642" s="9"/>
      <c r="Y642" s="9"/>
      <c r="Z642" s="9"/>
    </row>
    <row r="643" spans="1:26" ht="15.75" customHeight="1">
      <c r="A643" s="9" t="s">
        <v>1730</v>
      </c>
      <c r="B643" s="9" t="s">
        <v>1731</v>
      </c>
      <c r="C643" s="9" t="s">
        <v>494</v>
      </c>
      <c r="D643" s="9" t="s">
        <v>33</v>
      </c>
      <c r="E643" s="9" t="s">
        <v>11</v>
      </c>
      <c r="F643" s="9" t="s">
        <v>1725</v>
      </c>
      <c r="G643" s="9">
        <v>100</v>
      </c>
      <c r="H643" s="9">
        <v>3</v>
      </c>
      <c r="I643" s="9">
        <v>1.0149999999999999</v>
      </c>
      <c r="J643" s="9">
        <v>71.5</v>
      </c>
      <c r="K643" s="9" t="s">
        <v>442</v>
      </c>
      <c r="L643" s="9"/>
      <c r="M643" s="9"/>
      <c r="N643" s="9" t="str">
        <f ca="1">IFERROR(__xludf.DUMMYFUNCTION("IFERROR(VALUE(REGEXEXTRACT(TO_TEXT($F643), N$1 &amp; ""x(\d+)"")), """")
"),"")</f>
        <v/>
      </c>
      <c r="O643" s="9">
        <f ca="1">IFERROR(__xludf.DUMMYFUNCTION("IFERROR(VALUE(REGEXEXTRACT(TO_TEXT($F643), O$1 &amp; ""x(\d+)"")), """")"),1)</f>
        <v>1</v>
      </c>
      <c r="P643" s="9" t="str">
        <f ca="1">IFERROR(__xludf.DUMMYFUNCTION("IFERROR(VALUE(REGEXEXTRACT(TO_TEXT($F643), P$1 &amp; ""x(\d+)"")), """")"),"")</f>
        <v/>
      </c>
      <c r="Q643" s="9" t="str">
        <f ca="1">IFERROR(__xludf.DUMMYFUNCTION("IFERROR(VALUE(REGEXEXTRACT(TO_TEXT($F643), Q$1 &amp; ""x(\d+)"")), """")"),"")</f>
        <v/>
      </c>
      <c r="R643" s="9" t="str">
        <f ca="1">IFERROR(__xludf.DUMMYFUNCTION("IFERROR(VALUE(REGEXEXTRACT(TO_TEXT($F643), R$1 &amp; ""x(\d+)"")), """")"),"")</f>
        <v/>
      </c>
      <c r="S643" s="9" t="str">
        <f ca="1">IFERROR(__xludf.DUMMYFUNCTION("IFERROR(VALUE(REGEXEXTRACT(TO_TEXT($F643), S$1 &amp; ""x(\d+)"")), """")"),"")</f>
        <v/>
      </c>
      <c r="T643" s="9" t="str">
        <f ca="1">IFERROR(__xludf.DUMMYFUNCTION("IFERROR(VALUE(REGEXEXTRACT(TO_TEXT($F643), T$1 &amp; ""x(\d+)"")), """")"),"")</f>
        <v/>
      </c>
      <c r="U643" s="9" t="str">
        <f ca="1">IFERROR(__xludf.DUMMYFUNCTION("IFERROR(VALUE(REGEXEXTRACT(TO_TEXT($F643), U$1 &amp; ""x(\d+)"")), """")"),"")</f>
        <v/>
      </c>
      <c r="V643" s="9" t="str">
        <f ca="1">IFERROR(__xludf.DUMMYFUNCTION("IFERROR(VALUE(REGEXEXTRACT(TO_TEXT($F643), V$1 &amp; ""x(\d+)"")), """")"),"")</f>
        <v/>
      </c>
      <c r="W643" s="9"/>
      <c r="X643" s="9"/>
      <c r="Y643" s="9"/>
      <c r="Z643" s="9"/>
    </row>
    <row r="644" spans="1:26" ht="15.75" customHeight="1">
      <c r="A644" s="9" t="s">
        <v>1730</v>
      </c>
      <c r="B644" s="9" t="s">
        <v>1731</v>
      </c>
      <c r="C644" s="9" t="s">
        <v>494</v>
      </c>
      <c r="D644" s="9" t="s">
        <v>33</v>
      </c>
      <c r="E644" s="9" t="s">
        <v>12</v>
      </c>
      <c r="F644" s="9" t="s">
        <v>1726</v>
      </c>
      <c r="G644" s="9">
        <v>160</v>
      </c>
      <c r="H644" s="9">
        <v>3</v>
      </c>
      <c r="I644" s="9">
        <v>1.0149999999999999</v>
      </c>
      <c r="J644" s="9">
        <v>71.5</v>
      </c>
      <c r="K644" s="9" t="s">
        <v>442</v>
      </c>
      <c r="L644" s="9" t="s">
        <v>1169</v>
      </c>
      <c r="M644" s="9"/>
      <c r="N644" s="9" t="str">
        <f ca="1">IFERROR(__xludf.DUMMYFUNCTION("IFERROR(VALUE(REGEXEXTRACT(TO_TEXT($F644), N$1 &amp; ""x(\d+)"")), """")
"),"")</f>
        <v/>
      </c>
      <c r="O644" s="9">
        <f ca="1">IFERROR(__xludf.DUMMYFUNCTION("IFERROR(VALUE(REGEXEXTRACT(TO_TEXT($F644), O$1 &amp; ""x(\d+)"")), """")"),1)</f>
        <v>1</v>
      </c>
      <c r="P644" s="9" t="str">
        <f ca="1">IFERROR(__xludf.DUMMYFUNCTION("IFERROR(VALUE(REGEXEXTRACT(TO_TEXT($F644), P$1 &amp; ""x(\d+)"")), """")"),"")</f>
        <v/>
      </c>
      <c r="Q644" s="9" t="str">
        <f ca="1">IFERROR(__xludf.DUMMYFUNCTION("IFERROR(VALUE(REGEXEXTRACT(TO_TEXT($F644), Q$1 &amp; ""x(\d+)"")), """")"),"")</f>
        <v/>
      </c>
      <c r="R644" s="9" t="str">
        <f ca="1">IFERROR(__xludf.DUMMYFUNCTION("IFERROR(VALUE(REGEXEXTRACT(TO_TEXT($F644), R$1 &amp; ""x(\d+)"")), """")"),"")</f>
        <v/>
      </c>
      <c r="S644" s="9" t="str">
        <f ca="1">IFERROR(__xludf.DUMMYFUNCTION("IFERROR(VALUE(REGEXEXTRACT(TO_TEXT($F644), S$1 &amp; ""x(\d+)"")), """")"),"")</f>
        <v/>
      </c>
      <c r="T644" s="9" t="str">
        <f ca="1">IFERROR(__xludf.DUMMYFUNCTION("IFERROR(VALUE(REGEXEXTRACT(TO_TEXT($F644), T$1 &amp; ""x(\d+)"")), """")"),"")</f>
        <v/>
      </c>
      <c r="U644" s="9" t="str">
        <f ca="1">IFERROR(__xludf.DUMMYFUNCTION("IFERROR(VALUE(REGEXEXTRACT(TO_TEXT($F644), U$1 &amp; ""x(\d+)"")), """")"),"")</f>
        <v/>
      </c>
      <c r="V644" s="9" t="str">
        <f ca="1">IFERROR(__xludf.DUMMYFUNCTION("IFERROR(VALUE(REGEXEXTRACT(TO_TEXT($F644), V$1 &amp; ""x(\d+)"")), """")"),"")</f>
        <v/>
      </c>
      <c r="W644" s="9"/>
      <c r="X644" s="9"/>
      <c r="Y644" s="9"/>
      <c r="Z644" s="9"/>
    </row>
    <row r="645" spans="1:26" ht="15.75" customHeight="1">
      <c r="A645" s="9" t="s">
        <v>1730</v>
      </c>
      <c r="B645" s="9" t="s">
        <v>1731</v>
      </c>
      <c r="C645" s="9" t="s">
        <v>494</v>
      </c>
      <c r="D645" s="9" t="s">
        <v>33</v>
      </c>
      <c r="E645" s="9" t="s">
        <v>13</v>
      </c>
      <c r="F645" s="9" t="s">
        <v>1071</v>
      </c>
      <c r="G645" s="9">
        <v>15</v>
      </c>
      <c r="H645" s="9">
        <v>3</v>
      </c>
      <c r="I645" s="9">
        <v>1.0149999999999999</v>
      </c>
      <c r="J645" s="9">
        <v>71.5</v>
      </c>
      <c r="K645" s="9" t="s">
        <v>442</v>
      </c>
      <c r="L645" s="9"/>
      <c r="M645" s="9"/>
      <c r="N645" s="9" t="str">
        <f ca="1">IFERROR(__xludf.DUMMYFUNCTION("IFERROR(VALUE(REGEXEXTRACT(TO_TEXT($F645), N$1 &amp; ""x(\d+)"")), """")
"),"")</f>
        <v/>
      </c>
      <c r="O645" s="9">
        <f ca="1">IFERROR(__xludf.DUMMYFUNCTION("IFERROR(VALUE(REGEXEXTRACT(TO_TEXT($F645), O$1 &amp; ""x(\d+)"")), """")"),1)</f>
        <v>1</v>
      </c>
      <c r="P645" s="9" t="str">
        <f ca="1">IFERROR(__xludf.DUMMYFUNCTION("IFERROR(VALUE(REGEXEXTRACT(TO_TEXT($F645), P$1 &amp; ""x(\d+)"")), """")"),"")</f>
        <v/>
      </c>
      <c r="Q645" s="9" t="str">
        <f ca="1">IFERROR(__xludf.DUMMYFUNCTION("IFERROR(VALUE(REGEXEXTRACT(TO_TEXT($F645), Q$1 &amp; ""x(\d+)"")), """")"),"")</f>
        <v/>
      </c>
      <c r="R645" s="9" t="str">
        <f ca="1">IFERROR(__xludf.DUMMYFUNCTION("IFERROR(VALUE(REGEXEXTRACT(TO_TEXT($F645), R$1 &amp; ""x(\d+)"")), """")"),"")</f>
        <v/>
      </c>
      <c r="S645" s="9" t="str">
        <f ca="1">IFERROR(__xludf.DUMMYFUNCTION("IFERROR(VALUE(REGEXEXTRACT(TO_TEXT($F645), S$1 &amp; ""x(\d+)"")), """")"),"")</f>
        <v/>
      </c>
      <c r="T645" s="9" t="str">
        <f ca="1">IFERROR(__xludf.DUMMYFUNCTION("IFERROR(VALUE(REGEXEXTRACT(TO_TEXT($F645), T$1 &amp; ""x(\d+)"")), """")"),"")</f>
        <v/>
      </c>
      <c r="U645" s="9" t="str">
        <f ca="1">IFERROR(__xludf.DUMMYFUNCTION("IFERROR(VALUE(REGEXEXTRACT(TO_TEXT($F645), U$1 &amp; ""x(\d+)"")), """")"),"")</f>
        <v/>
      </c>
      <c r="V645" s="9" t="str">
        <f ca="1">IFERROR(__xludf.DUMMYFUNCTION("IFERROR(VALUE(REGEXEXTRACT(TO_TEXT($F645), V$1 &amp; ""x(\d+)"")), """")"),"")</f>
        <v/>
      </c>
      <c r="W645" s="9"/>
      <c r="X645" s="9"/>
      <c r="Y645" s="9"/>
      <c r="Z645" s="9"/>
    </row>
    <row r="646" spans="1:26" ht="15.75" customHeight="1">
      <c r="A646" s="9" t="s">
        <v>1732</v>
      </c>
      <c r="B646" s="9" t="s">
        <v>1733</v>
      </c>
      <c r="C646" s="9" t="s">
        <v>503</v>
      </c>
      <c r="D646" s="9" t="s">
        <v>33</v>
      </c>
      <c r="E646" s="9" t="s">
        <v>11</v>
      </c>
      <c r="F646" s="9" t="s">
        <v>1240</v>
      </c>
      <c r="G646" s="9">
        <v>55</v>
      </c>
      <c r="H646" s="9">
        <v>5</v>
      </c>
      <c r="I646" s="9">
        <v>1.0149999999999999</v>
      </c>
      <c r="J646" s="9">
        <v>100</v>
      </c>
      <c r="K646" s="9" t="s">
        <v>442</v>
      </c>
      <c r="L646" s="9"/>
      <c r="M646" s="9"/>
      <c r="N646" s="9" t="str">
        <f ca="1">IFERROR(__xludf.DUMMYFUNCTION("IFERROR(VALUE(REGEXEXTRACT(TO_TEXT($F646), N$1 &amp; ""x(\d+)"")), """")
"),"")</f>
        <v/>
      </c>
      <c r="O646" s="9">
        <f ca="1">IFERROR(__xludf.DUMMYFUNCTION("IFERROR(VALUE(REGEXEXTRACT(TO_TEXT($F646), O$1 &amp; ""x(\d+)"")), """")"),1)</f>
        <v>1</v>
      </c>
      <c r="P646" s="9" t="str">
        <f ca="1">IFERROR(__xludf.DUMMYFUNCTION("IFERROR(VALUE(REGEXEXTRACT(TO_TEXT($F646), P$1 &amp; ""x(\d+)"")), """")"),"")</f>
        <v/>
      </c>
      <c r="Q646" s="9" t="str">
        <f ca="1">IFERROR(__xludf.DUMMYFUNCTION("IFERROR(VALUE(REGEXEXTRACT(TO_TEXT($F646), Q$1 &amp; ""x(\d+)"")), """")"),"")</f>
        <v/>
      </c>
      <c r="R646" s="9" t="str">
        <f ca="1">IFERROR(__xludf.DUMMYFUNCTION("IFERROR(VALUE(REGEXEXTRACT(TO_TEXT($F646), R$1 &amp; ""x(\d+)"")), """")"),"")</f>
        <v/>
      </c>
      <c r="S646" s="9" t="str">
        <f ca="1">IFERROR(__xludf.DUMMYFUNCTION("IFERROR(VALUE(REGEXEXTRACT(TO_TEXT($F646), S$1 &amp; ""x(\d+)"")), """")"),"")</f>
        <v/>
      </c>
      <c r="T646" s="9" t="str">
        <f ca="1">IFERROR(__xludf.DUMMYFUNCTION("IFERROR(VALUE(REGEXEXTRACT(TO_TEXT($F646), T$1 &amp; ""x(\d+)"")), """")"),"")</f>
        <v/>
      </c>
      <c r="U646" s="9" t="str">
        <f ca="1">IFERROR(__xludf.DUMMYFUNCTION("IFERROR(VALUE(REGEXEXTRACT(TO_TEXT($F646), U$1 &amp; ""x(\d+)"")), """")"),"")</f>
        <v/>
      </c>
      <c r="V646" s="9" t="str">
        <f ca="1">IFERROR(__xludf.DUMMYFUNCTION("IFERROR(VALUE(REGEXEXTRACT(TO_TEXT($F646), V$1 &amp; ""x(\d+)"")), """")"),"")</f>
        <v/>
      </c>
      <c r="W646" s="9"/>
      <c r="X646" s="9"/>
      <c r="Y646" s="9"/>
      <c r="Z646" s="9"/>
    </row>
    <row r="647" spans="1:26" ht="15.75" customHeight="1">
      <c r="A647" s="9" t="s">
        <v>1732</v>
      </c>
      <c r="B647" s="9" t="s">
        <v>1733</v>
      </c>
      <c r="C647" s="9" t="s">
        <v>503</v>
      </c>
      <c r="D647" s="9" t="s">
        <v>33</v>
      </c>
      <c r="E647" s="9" t="s">
        <v>12</v>
      </c>
      <c r="F647" s="9" t="s">
        <v>1734</v>
      </c>
      <c r="G647" s="9">
        <v>65</v>
      </c>
      <c r="H647" s="9">
        <v>5</v>
      </c>
      <c r="I647" s="9">
        <v>1.0149999999999999</v>
      </c>
      <c r="J647" s="9">
        <v>100</v>
      </c>
      <c r="K647" s="9" t="s">
        <v>442</v>
      </c>
      <c r="L647" s="9"/>
      <c r="M647" s="9"/>
      <c r="N647" s="9" t="str">
        <f ca="1">IFERROR(__xludf.DUMMYFUNCTION("IFERROR(VALUE(REGEXEXTRACT(TO_TEXT($F647), N$1 &amp; ""x(\d+)"")), """")
"),"")</f>
        <v/>
      </c>
      <c r="O647" s="9">
        <f ca="1">IFERROR(__xludf.DUMMYFUNCTION("IFERROR(VALUE(REGEXEXTRACT(TO_TEXT($F647), O$1 &amp; ""x(\d+)"")), """")"),1)</f>
        <v>1</v>
      </c>
      <c r="P647" s="9" t="str">
        <f ca="1">IFERROR(__xludf.DUMMYFUNCTION("IFERROR(VALUE(REGEXEXTRACT(TO_TEXT($F647), P$1 &amp; ""x(\d+)"")), """")"),"")</f>
        <v/>
      </c>
      <c r="Q647" s="9" t="str">
        <f ca="1">IFERROR(__xludf.DUMMYFUNCTION("IFERROR(VALUE(REGEXEXTRACT(TO_TEXT($F647), Q$1 &amp; ""x(\d+)"")), """")"),"")</f>
        <v/>
      </c>
      <c r="R647" s="9" t="str">
        <f ca="1">IFERROR(__xludf.DUMMYFUNCTION("IFERROR(VALUE(REGEXEXTRACT(TO_TEXT($F647), R$1 &amp; ""x(\d+)"")), """")"),"")</f>
        <v/>
      </c>
      <c r="S647" s="9" t="str">
        <f ca="1">IFERROR(__xludf.DUMMYFUNCTION("IFERROR(VALUE(REGEXEXTRACT(TO_TEXT($F647), S$1 &amp; ""x(\d+)"")), """")"),"")</f>
        <v/>
      </c>
      <c r="T647" s="9" t="str">
        <f ca="1">IFERROR(__xludf.DUMMYFUNCTION("IFERROR(VALUE(REGEXEXTRACT(TO_TEXT($F647), T$1 &amp; ""x(\d+)"")), """")"),"")</f>
        <v/>
      </c>
      <c r="U647" s="9" t="str">
        <f ca="1">IFERROR(__xludf.DUMMYFUNCTION("IFERROR(VALUE(REGEXEXTRACT(TO_TEXT($F647), U$1 &amp; ""x(\d+)"")), """")"),"")</f>
        <v/>
      </c>
      <c r="V647" s="9" t="str">
        <f ca="1">IFERROR(__xludf.DUMMYFUNCTION("IFERROR(VALUE(REGEXEXTRACT(TO_TEXT($F647), V$1 &amp; ""x(\d+)"")), """")"),"")</f>
        <v/>
      </c>
      <c r="W647" s="9"/>
      <c r="X647" s="9"/>
      <c r="Y647" s="9"/>
      <c r="Z647" s="9"/>
    </row>
    <row r="648" spans="1:26" ht="15.75" customHeight="1">
      <c r="A648" s="9" t="s">
        <v>1732</v>
      </c>
      <c r="B648" s="9" t="s">
        <v>1733</v>
      </c>
      <c r="C648" s="9" t="s">
        <v>503</v>
      </c>
      <c r="D648" s="9" t="s">
        <v>33</v>
      </c>
      <c r="E648" s="9" t="s">
        <v>13</v>
      </c>
      <c r="F648" s="9" t="s">
        <v>1735</v>
      </c>
      <c r="G648" s="9">
        <v>30</v>
      </c>
      <c r="H648" s="9">
        <v>5</v>
      </c>
      <c r="I648" s="9">
        <v>1.0149999999999999</v>
      </c>
      <c r="J648" s="9">
        <v>100</v>
      </c>
      <c r="K648" s="9" t="s">
        <v>442</v>
      </c>
      <c r="L648" s="9"/>
      <c r="M648" s="9"/>
      <c r="N648" s="9" t="str">
        <f ca="1">IFERROR(__xludf.DUMMYFUNCTION("IFERROR(VALUE(REGEXEXTRACT(TO_TEXT($F648), N$1 &amp; ""x(\d+)"")), """")
"),"")</f>
        <v/>
      </c>
      <c r="O648" s="9">
        <f ca="1">IFERROR(__xludf.DUMMYFUNCTION("IFERROR(VALUE(REGEXEXTRACT(TO_TEXT($F648), O$1 &amp; ""x(\d+)"")), """")"),1)</f>
        <v>1</v>
      </c>
      <c r="P648" s="9" t="str">
        <f ca="1">IFERROR(__xludf.DUMMYFUNCTION("IFERROR(VALUE(REGEXEXTRACT(TO_TEXT($F648), P$1 &amp; ""x(\d+)"")), """")"),"")</f>
        <v/>
      </c>
      <c r="Q648" s="9" t="str">
        <f ca="1">IFERROR(__xludf.DUMMYFUNCTION("IFERROR(VALUE(REGEXEXTRACT(TO_TEXT($F648), Q$1 &amp; ""x(\d+)"")), """")"),"")</f>
        <v/>
      </c>
      <c r="R648" s="9" t="str">
        <f ca="1">IFERROR(__xludf.DUMMYFUNCTION("IFERROR(VALUE(REGEXEXTRACT(TO_TEXT($F648), R$1 &amp; ""x(\d+)"")), """")"),"")</f>
        <v/>
      </c>
      <c r="S648" s="9" t="str">
        <f ca="1">IFERROR(__xludf.DUMMYFUNCTION("IFERROR(VALUE(REGEXEXTRACT(TO_TEXT($F648), S$1 &amp; ""x(\d+)"")), """")"),"")</f>
        <v/>
      </c>
      <c r="T648" s="9" t="str">
        <f ca="1">IFERROR(__xludf.DUMMYFUNCTION("IFERROR(VALUE(REGEXEXTRACT(TO_TEXT($F648), T$1 &amp; ""x(\d+)"")), """")"),"")</f>
        <v/>
      </c>
      <c r="U648" s="9" t="str">
        <f ca="1">IFERROR(__xludf.DUMMYFUNCTION("IFERROR(VALUE(REGEXEXTRACT(TO_TEXT($F648), U$1 &amp; ""x(\d+)"")), """")"),"")</f>
        <v/>
      </c>
      <c r="V648" s="9" t="str">
        <f ca="1">IFERROR(__xludf.DUMMYFUNCTION("IFERROR(VALUE(REGEXEXTRACT(TO_TEXT($F648), V$1 &amp; ""x(\d+)"")), """")"),"")</f>
        <v/>
      </c>
      <c r="W648" s="9"/>
      <c r="X648" s="9"/>
      <c r="Y648" s="9"/>
      <c r="Z648" s="9"/>
    </row>
    <row r="649" spans="1:26" ht="15.75" hidden="1" customHeight="1">
      <c r="A649" s="9" t="s">
        <v>324</v>
      </c>
      <c r="B649" s="9" t="s">
        <v>1736</v>
      </c>
      <c r="C649" s="9" t="s">
        <v>325</v>
      </c>
      <c r="D649" s="9" t="s">
        <v>48</v>
      </c>
      <c r="E649" s="9" t="s">
        <v>11</v>
      </c>
      <c r="F649" s="9" t="s">
        <v>1737</v>
      </c>
      <c r="G649" s="9">
        <v>35</v>
      </c>
      <c r="H649" s="9">
        <v>3</v>
      </c>
      <c r="I649" s="9">
        <v>1.0149999999999999</v>
      </c>
      <c r="J649" s="9">
        <v>52</v>
      </c>
      <c r="K649" s="9" t="s">
        <v>424</v>
      </c>
      <c r="L649" s="9"/>
      <c r="M649" s="9"/>
      <c r="N649" s="9">
        <f ca="1">IFERROR(__xludf.DUMMYFUNCTION("IFERROR(VALUE(REGEXEXTRACT(TO_TEXT($F649), N$1 &amp; ""x(\d+)"")), """")
"),1)</f>
        <v>1</v>
      </c>
      <c r="O649" s="9" t="str">
        <f ca="1">IFERROR(__xludf.DUMMYFUNCTION("IFERROR(VALUE(REGEXEXTRACT(TO_TEXT($F649), O$1 &amp; ""x(\d+)"")), """")"),"")</f>
        <v/>
      </c>
      <c r="P649" s="9" t="str">
        <f ca="1">IFERROR(__xludf.DUMMYFUNCTION("IFERROR(VALUE(REGEXEXTRACT(TO_TEXT($F649), P$1 &amp; ""x(\d+)"")), """")"),"")</f>
        <v/>
      </c>
      <c r="Q649" s="9" t="str">
        <f ca="1">IFERROR(__xludf.DUMMYFUNCTION("IFERROR(VALUE(REGEXEXTRACT(TO_TEXT($F649), Q$1 &amp; ""x(\d+)"")), """")"),"")</f>
        <v/>
      </c>
      <c r="R649" s="9" t="str">
        <f ca="1">IFERROR(__xludf.DUMMYFUNCTION("IFERROR(VALUE(REGEXEXTRACT(TO_TEXT($F649), R$1 &amp; ""x(\d+)"")), """")"),"")</f>
        <v/>
      </c>
      <c r="S649" s="9" t="str">
        <f ca="1">IFERROR(__xludf.DUMMYFUNCTION("IFERROR(VALUE(REGEXEXTRACT(TO_TEXT($F649), S$1 &amp; ""x(\d+)"")), """")"),"")</f>
        <v/>
      </c>
      <c r="T649" s="9" t="str">
        <f ca="1">IFERROR(__xludf.DUMMYFUNCTION("IFERROR(VALUE(REGEXEXTRACT(TO_TEXT($F649), T$1 &amp; ""x(\d+)"")), """")"),"")</f>
        <v/>
      </c>
      <c r="U649" s="9" t="str">
        <f ca="1">IFERROR(__xludf.DUMMYFUNCTION("IFERROR(VALUE(REGEXEXTRACT(TO_TEXT($F649), U$1 &amp; ""x(\d+)"")), """")"),"")</f>
        <v/>
      </c>
      <c r="V649" s="9" t="str">
        <f ca="1">IFERROR(__xludf.DUMMYFUNCTION("IFERROR(VALUE(REGEXEXTRACT(TO_TEXT($F649), V$1 &amp; ""x(\d+)"")), """")"),"")</f>
        <v/>
      </c>
      <c r="W649" s="9"/>
      <c r="X649" s="9"/>
      <c r="Y649" s="9"/>
      <c r="Z649" s="9"/>
    </row>
    <row r="650" spans="1:26" ht="15.75" hidden="1" customHeight="1">
      <c r="A650" s="9" t="s">
        <v>324</v>
      </c>
      <c r="B650" s="9" t="s">
        <v>1736</v>
      </c>
      <c r="C650" s="9" t="s">
        <v>325</v>
      </c>
      <c r="D650" s="9" t="s">
        <v>48</v>
      </c>
      <c r="E650" s="9" t="s">
        <v>12</v>
      </c>
      <c r="F650" s="9" t="s">
        <v>1738</v>
      </c>
      <c r="G650" s="9">
        <v>125</v>
      </c>
      <c r="H650" s="9">
        <v>3</v>
      </c>
      <c r="I650" s="9">
        <v>1.0149999999999999</v>
      </c>
      <c r="J650" s="9">
        <v>52</v>
      </c>
      <c r="K650" s="9" t="s">
        <v>424</v>
      </c>
      <c r="L650" s="9" t="s">
        <v>1243</v>
      </c>
      <c r="M650" s="9"/>
      <c r="N650" s="9" t="str">
        <f ca="1">IFERROR(__xludf.DUMMYFUNCTION("IFERROR(VALUE(REGEXEXTRACT(TO_TEXT($F650), N$1 &amp; ""x(\d+)"")), """")
"),"")</f>
        <v/>
      </c>
      <c r="O650" s="9" t="str">
        <f ca="1">IFERROR(__xludf.DUMMYFUNCTION("IFERROR(VALUE(REGEXEXTRACT(TO_TEXT($F650), O$1 &amp; ""x(\d+)"")), """")"),"")</f>
        <v/>
      </c>
      <c r="P650" s="9">
        <f ca="1">IFERROR(__xludf.DUMMYFUNCTION("IFERROR(VALUE(REGEXEXTRACT(TO_TEXT($F650), P$1 &amp; ""x(\d+)"")), """")"),1)</f>
        <v>1</v>
      </c>
      <c r="Q650" s="9" t="str">
        <f ca="1">IFERROR(__xludf.DUMMYFUNCTION("IFERROR(VALUE(REGEXEXTRACT(TO_TEXT($F650), Q$1 &amp; ""x(\d+)"")), """")"),"")</f>
        <v/>
      </c>
      <c r="R650" s="9" t="str">
        <f ca="1">IFERROR(__xludf.DUMMYFUNCTION("IFERROR(VALUE(REGEXEXTRACT(TO_TEXT($F650), R$1 &amp; ""x(\d+)"")), """")"),"")</f>
        <v/>
      </c>
      <c r="S650" s="9" t="str">
        <f ca="1">IFERROR(__xludf.DUMMYFUNCTION("IFERROR(VALUE(REGEXEXTRACT(TO_TEXT($F650), S$1 &amp; ""x(\d+)"")), """")"),"")</f>
        <v/>
      </c>
      <c r="T650" s="9" t="str">
        <f ca="1">IFERROR(__xludf.DUMMYFUNCTION("IFERROR(VALUE(REGEXEXTRACT(TO_TEXT($F650), T$1 &amp; ""x(\d+)"")), """")"),"")</f>
        <v/>
      </c>
      <c r="U650" s="9" t="str">
        <f ca="1">IFERROR(__xludf.DUMMYFUNCTION("IFERROR(VALUE(REGEXEXTRACT(TO_TEXT($F650), U$1 &amp; ""x(\d+)"")), """")"),"")</f>
        <v/>
      </c>
      <c r="V650" s="9" t="str">
        <f ca="1">IFERROR(__xludf.DUMMYFUNCTION("IFERROR(VALUE(REGEXEXTRACT(TO_TEXT($F650), V$1 &amp; ""x(\d+)"")), """")"),"")</f>
        <v/>
      </c>
      <c r="W650" s="9"/>
      <c r="X650" s="9"/>
      <c r="Y650" s="9"/>
      <c r="Z650" s="9"/>
    </row>
    <row r="651" spans="1:26" ht="15.75" hidden="1" customHeight="1">
      <c r="A651" s="9" t="s">
        <v>324</v>
      </c>
      <c r="B651" s="9" t="s">
        <v>1736</v>
      </c>
      <c r="C651" s="9" t="s">
        <v>325</v>
      </c>
      <c r="D651" s="9" t="s">
        <v>48</v>
      </c>
      <c r="E651" s="9" t="s">
        <v>13</v>
      </c>
      <c r="F651" s="9" t="s">
        <v>1206</v>
      </c>
      <c r="G651" s="9">
        <v>30</v>
      </c>
      <c r="H651" s="9">
        <v>3</v>
      </c>
      <c r="I651" s="9">
        <v>1.0149999999999999</v>
      </c>
      <c r="J651" s="9">
        <v>52</v>
      </c>
      <c r="K651" s="9" t="s">
        <v>424</v>
      </c>
      <c r="L651" s="9"/>
      <c r="M651" s="9"/>
      <c r="N651" s="9" t="str">
        <f ca="1">IFERROR(__xludf.DUMMYFUNCTION("IFERROR(VALUE(REGEXEXTRACT(TO_TEXT($F651), N$1 &amp; ""x(\d+)"")), """")
"),"")</f>
        <v/>
      </c>
      <c r="O651" s="9" t="str">
        <f ca="1">IFERROR(__xludf.DUMMYFUNCTION("IFERROR(VALUE(REGEXEXTRACT(TO_TEXT($F651), O$1 &amp; ""x(\d+)"")), """")"),"")</f>
        <v/>
      </c>
      <c r="P651" s="9">
        <f ca="1">IFERROR(__xludf.DUMMYFUNCTION("IFERROR(VALUE(REGEXEXTRACT(TO_TEXT($F651), P$1 &amp; ""x(\d+)"")), """")"),1)</f>
        <v>1</v>
      </c>
      <c r="Q651" s="9" t="str">
        <f ca="1">IFERROR(__xludf.DUMMYFUNCTION("IFERROR(VALUE(REGEXEXTRACT(TO_TEXT($F651), Q$1 &amp; ""x(\d+)"")), """")"),"")</f>
        <v/>
      </c>
      <c r="R651" s="9" t="str">
        <f ca="1">IFERROR(__xludf.DUMMYFUNCTION("IFERROR(VALUE(REGEXEXTRACT(TO_TEXT($F651), R$1 &amp; ""x(\d+)"")), """")"),"")</f>
        <v/>
      </c>
      <c r="S651" s="9" t="str">
        <f ca="1">IFERROR(__xludf.DUMMYFUNCTION("IFERROR(VALUE(REGEXEXTRACT(TO_TEXT($F651), S$1 &amp; ""x(\d+)"")), """")"),"")</f>
        <v/>
      </c>
      <c r="T651" s="9" t="str">
        <f ca="1">IFERROR(__xludf.DUMMYFUNCTION("IFERROR(VALUE(REGEXEXTRACT(TO_TEXT($F651), T$1 &amp; ""x(\d+)"")), """")"),"")</f>
        <v/>
      </c>
      <c r="U651" s="9" t="str">
        <f ca="1">IFERROR(__xludf.DUMMYFUNCTION("IFERROR(VALUE(REGEXEXTRACT(TO_TEXT($F651), U$1 &amp; ""x(\d+)"")), """")"),"")</f>
        <v/>
      </c>
      <c r="V651" s="9" t="str">
        <f ca="1">IFERROR(__xludf.DUMMYFUNCTION("IFERROR(VALUE(REGEXEXTRACT(TO_TEXT($F651), V$1 &amp; ""x(\d+)"")), """")"),"")</f>
        <v/>
      </c>
      <c r="W651" s="9"/>
      <c r="X651" s="9"/>
      <c r="Y651" s="9"/>
      <c r="Z651" s="9"/>
    </row>
    <row r="652" spans="1:26" ht="15.75" customHeight="1">
      <c r="A652" s="9" t="s">
        <v>1739</v>
      </c>
      <c r="B652" s="9" t="s">
        <v>1740</v>
      </c>
      <c r="C652" s="9" t="s">
        <v>618</v>
      </c>
      <c r="D652" s="9" t="s">
        <v>33</v>
      </c>
      <c r="E652" s="9" t="s">
        <v>11</v>
      </c>
      <c r="F652" s="9" t="s">
        <v>1741</v>
      </c>
      <c r="G652" s="9">
        <v>20</v>
      </c>
      <c r="H652" s="9">
        <v>13</v>
      </c>
      <c r="I652" s="9">
        <v>1.0149999999999999</v>
      </c>
      <c r="J652" s="9">
        <v>35</v>
      </c>
      <c r="K652" s="9" t="s">
        <v>442</v>
      </c>
      <c r="L652" s="9"/>
      <c r="M652" s="9"/>
      <c r="N652" s="9" t="str">
        <f ca="1">IFERROR(__xludf.DUMMYFUNCTION("IFERROR(VALUE(REGEXEXTRACT(TO_TEXT($F652), N$1 &amp; ""x(\d+)"")), """")
"),"")</f>
        <v/>
      </c>
      <c r="O652" s="9" t="str">
        <f ca="1">IFERROR(__xludf.DUMMYFUNCTION("IFERROR(VALUE(REGEXEXTRACT(TO_TEXT($F652), O$1 &amp; ""x(\d+)"")), """")"),"")</f>
        <v/>
      </c>
      <c r="P652" s="9" t="str">
        <f ca="1">IFERROR(__xludf.DUMMYFUNCTION("IFERROR(VALUE(REGEXEXTRACT(TO_TEXT($F652), P$1 &amp; ""x(\d+)"")), """")"),"")</f>
        <v/>
      </c>
      <c r="Q652" s="9" t="str">
        <f ca="1">IFERROR(__xludf.DUMMYFUNCTION("IFERROR(VALUE(REGEXEXTRACT(TO_TEXT($F652), Q$1 &amp; ""x(\d+)"")), """")"),"")</f>
        <v/>
      </c>
      <c r="R652" s="9" t="str">
        <f ca="1">IFERROR(__xludf.DUMMYFUNCTION("IFERROR(VALUE(REGEXEXTRACT(TO_TEXT($F652), R$1 &amp; ""x(\d+)"")), """")"),"")</f>
        <v/>
      </c>
      <c r="S652" s="9" t="str">
        <f ca="1">IFERROR(__xludf.DUMMYFUNCTION("IFERROR(VALUE(REGEXEXTRACT(TO_TEXT($F652), S$1 &amp; ""x(\d+)"")), """")"),"")</f>
        <v/>
      </c>
      <c r="T652" s="9" t="str">
        <f ca="1">IFERROR(__xludf.DUMMYFUNCTION("IFERROR(VALUE(REGEXEXTRACT(TO_TEXT($F652), T$1 &amp; ""x(\d+)"")), """")"),"")</f>
        <v/>
      </c>
      <c r="U652" s="9" t="str">
        <f ca="1">IFERROR(__xludf.DUMMYFUNCTION("IFERROR(VALUE(REGEXEXTRACT(TO_TEXT($F652), U$1 &amp; ""x(\d+)"")), """")"),"")</f>
        <v/>
      </c>
      <c r="V652" s="9" t="str">
        <f ca="1">IFERROR(__xludf.DUMMYFUNCTION("IFERROR(VALUE(REGEXEXTRACT(TO_TEXT($F652), V$1 &amp; ""x(\d+)"")), """")"),"")</f>
        <v/>
      </c>
      <c r="W652" s="9"/>
      <c r="X652" s="9"/>
      <c r="Y652" s="9"/>
      <c r="Z652" s="9"/>
    </row>
    <row r="653" spans="1:26" ht="15.75" customHeight="1">
      <c r="A653" s="9" t="s">
        <v>1739</v>
      </c>
      <c r="B653" s="9" t="s">
        <v>1740</v>
      </c>
      <c r="C653" s="9" t="s">
        <v>618</v>
      </c>
      <c r="D653" s="9" t="s">
        <v>33</v>
      </c>
      <c r="E653" s="9" t="s">
        <v>12</v>
      </c>
      <c r="F653" s="9" t="s">
        <v>1742</v>
      </c>
      <c r="G653" s="9">
        <v>35</v>
      </c>
      <c r="H653" s="9">
        <v>13</v>
      </c>
      <c r="I653" s="9">
        <v>1.0149999999999999</v>
      </c>
      <c r="J653" s="9">
        <v>35</v>
      </c>
      <c r="K653" s="9" t="s">
        <v>442</v>
      </c>
      <c r="L653" s="9"/>
      <c r="M653" s="9"/>
      <c r="N653" s="9" t="str">
        <f ca="1">IFERROR(__xludf.DUMMYFUNCTION("IFERROR(VALUE(REGEXEXTRACT(TO_TEXT($F653), N$1 &amp; ""x(\d+)"")), """")
"),"")</f>
        <v/>
      </c>
      <c r="O653" s="9">
        <f ca="1">IFERROR(__xludf.DUMMYFUNCTION("IFERROR(VALUE(REGEXEXTRACT(TO_TEXT($F653), O$1 &amp; ""x(\d+)"")), """")"),1)</f>
        <v>1</v>
      </c>
      <c r="P653" s="9" t="str">
        <f ca="1">IFERROR(__xludf.DUMMYFUNCTION("IFERROR(VALUE(REGEXEXTRACT(TO_TEXT($F653), P$1 &amp; ""x(\d+)"")), """")"),"")</f>
        <v/>
      </c>
      <c r="Q653" s="9" t="str">
        <f ca="1">IFERROR(__xludf.DUMMYFUNCTION("IFERROR(VALUE(REGEXEXTRACT(TO_TEXT($F653), Q$1 &amp; ""x(\d+)"")), """")"),"")</f>
        <v/>
      </c>
      <c r="R653" s="9" t="str">
        <f ca="1">IFERROR(__xludf.DUMMYFUNCTION("IFERROR(VALUE(REGEXEXTRACT(TO_TEXT($F653), R$1 &amp; ""x(\d+)"")), """")"),"")</f>
        <v/>
      </c>
      <c r="S653" s="9" t="str">
        <f ca="1">IFERROR(__xludf.DUMMYFUNCTION("IFERROR(VALUE(REGEXEXTRACT(TO_TEXT($F653), S$1 &amp; ""x(\d+)"")), """")"),"")</f>
        <v/>
      </c>
      <c r="T653" s="9" t="str">
        <f ca="1">IFERROR(__xludf.DUMMYFUNCTION("IFERROR(VALUE(REGEXEXTRACT(TO_TEXT($F653), T$1 &amp; ""x(\d+)"")), """")"),"")</f>
        <v/>
      </c>
      <c r="U653" s="9" t="str">
        <f ca="1">IFERROR(__xludf.DUMMYFUNCTION("IFERROR(VALUE(REGEXEXTRACT(TO_TEXT($F653), U$1 &amp; ""x(\d+)"")), """")"),"")</f>
        <v/>
      </c>
      <c r="V653" s="9" t="str">
        <f ca="1">IFERROR(__xludf.DUMMYFUNCTION("IFERROR(VALUE(REGEXEXTRACT(TO_TEXT($F653), V$1 &amp; ""x(\d+)"")), """")"),"")</f>
        <v/>
      </c>
      <c r="W653" s="9"/>
      <c r="X653" s="9"/>
      <c r="Y653" s="9"/>
      <c r="Z653" s="9"/>
    </row>
    <row r="654" spans="1:26" ht="15.75" customHeight="1">
      <c r="A654" s="9" t="s">
        <v>1739</v>
      </c>
      <c r="B654" s="9" t="s">
        <v>1740</v>
      </c>
      <c r="C654" s="9" t="s">
        <v>618</v>
      </c>
      <c r="D654" s="9" t="s">
        <v>33</v>
      </c>
      <c r="E654" s="9" t="s">
        <v>13</v>
      </c>
      <c r="F654" s="9" t="s">
        <v>1743</v>
      </c>
      <c r="G654" s="9">
        <v>10</v>
      </c>
      <c r="H654" s="9">
        <v>13</v>
      </c>
      <c r="I654" s="9">
        <v>1.0149999999999999</v>
      </c>
      <c r="J654" s="9">
        <v>35</v>
      </c>
      <c r="K654" s="9" t="s">
        <v>442</v>
      </c>
      <c r="L654" s="9"/>
      <c r="M654" s="9"/>
      <c r="N654" s="9" t="str">
        <f ca="1">IFERROR(__xludf.DUMMYFUNCTION("IFERROR(VALUE(REGEXEXTRACT(TO_TEXT($F654), N$1 &amp; ""x(\d+)"")), """")
"),"")</f>
        <v/>
      </c>
      <c r="O654" s="9">
        <f ca="1">IFERROR(__xludf.DUMMYFUNCTION("IFERROR(VALUE(REGEXEXTRACT(TO_TEXT($F654), O$1 &amp; ""x(\d+)"")), """")"),1)</f>
        <v>1</v>
      </c>
      <c r="P654" s="9" t="str">
        <f ca="1">IFERROR(__xludf.DUMMYFUNCTION("IFERROR(VALUE(REGEXEXTRACT(TO_TEXT($F654), P$1 &amp; ""x(\d+)"")), """")"),"")</f>
        <v/>
      </c>
      <c r="Q654" s="9" t="str">
        <f ca="1">IFERROR(__xludf.DUMMYFUNCTION("IFERROR(VALUE(REGEXEXTRACT(TO_TEXT($F654), Q$1 &amp; ""x(\d+)"")), """")"),"")</f>
        <v/>
      </c>
      <c r="R654" s="9" t="str">
        <f ca="1">IFERROR(__xludf.DUMMYFUNCTION("IFERROR(VALUE(REGEXEXTRACT(TO_TEXT($F654), R$1 &amp; ""x(\d+)"")), """")"),"")</f>
        <v/>
      </c>
      <c r="S654" s="9" t="str">
        <f ca="1">IFERROR(__xludf.DUMMYFUNCTION("IFERROR(VALUE(REGEXEXTRACT(TO_TEXT($F654), S$1 &amp; ""x(\d+)"")), """")"),"")</f>
        <v/>
      </c>
      <c r="T654" s="9" t="str">
        <f ca="1">IFERROR(__xludf.DUMMYFUNCTION("IFERROR(VALUE(REGEXEXTRACT(TO_TEXT($F654), T$1 &amp; ""x(\d+)"")), """")"),"")</f>
        <v/>
      </c>
      <c r="U654" s="9" t="str">
        <f ca="1">IFERROR(__xludf.DUMMYFUNCTION("IFERROR(VALUE(REGEXEXTRACT(TO_TEXT($F654), U$1 &amp; ""x(\d+)"")), """")"),"")</f>
        <v/>
      </c>
      <c r="V654" s="9" t="str">
        <f ca="1">IFERROR(__xludf.DUMMYFUNCTION("IFERROR(VALUE(REGEXEXTRACT(TO_TEXT($F654), V$1 &amp; ""x(\d+)"")), """")"),"")</f>
        <v/>
      </c>
      <c r="W654" s="9"/>
      <c r="X654" s="9"/>
      <c r="Y654" s="9"/>
      <c r="Z654" s="9"/>
    </row>
    <row r="655" spans="1:26" ht="15.75" customHeight="1">
      <c r="A655" s="9" t="s">
        <v>1744</v>
      </c>
      <c r="B655" s="9" t="s">
        <v>515</v>
      </c>
      <c r="C655" s="9" t="s">
        <v>516</v>
      </c>
      <c r="D655" s="9" t="s">
        <v>33</v>
      </c>
      <c r="E655" s="9" t="s">
        <v>12</v>
      </c>
      <c r="F655" s="9" t="s">
        <v>1498</v>
      </c>
      <c r="G655" s="9">
        <v>60</v>
      </c>
      <c r="H655" s="9">
        <v>2</v>
      </c>
      <c r="I655" s="9">
        <v>1.0149999999999999</v>
      </c>
      <c r="J655" s="9">
        <v>110</v>
      </c>
      <c r="K655" s="9" t="s">
        <v>442</v>
      </c>
      <c r="L655" s="9"/>
      <c r="M655" s="9"/>
      <c r="N655" s="9" t="str">
        <f ca="1">IFERROR(__xludf.DUMMYFUNCTION("IFERROR(VALUE(REGEXEXTRACT(TO_TEXT($F655), N$1 &amp; ""x(\d+)"")), """")
"),"")</f>
        <v/>
      </c>
      <c r="O655" s="9">
        <f ca="1">IFERROR(__xludf.DUMMYFUNCTION("IFERROR(VALUE(REGEXEXTRACT(TO_TEXT($F655), O$1 &amp; ""x(\d+)"")), """")"),1)</f>
        <v>1</v>
      </c>
      <c r="P655" s="9" t="str">
        <f ca="1">IFERROR(__xludf.DUMMYFUNCTION("IFERROR(VALUE(REGEXEXTRACT(TO_TEXT($F655), P$1 &amp; ""x(\d+)"")), """")"),"")</f>
        <v/>
      </c>
      <c r="Q655" s="9" t="str">
        <f ca="1">IFERROR(__xludf.DUMMYFUNCTION("IFERROR(VALUE(REGEXEXTRACT(TO_TEXT($F655), Q$1 &amp; ""x(\d+)"")), """")"),"")</f>
        <v/>
      </c>
      <c r="R655" s="9" t="str">
        <f ca="1">IFERROR(__xludf.DUMMYFUNCTION("IFERROR(VALUE(REGEXEXTRACT(TO_TEXT($F655), R$1 &amp; ""x(\d+)"")), """")"),"")</f>
        <v/>
      </c>
      <c r="S655" s="9" t="str">
        <f ca="1">IFERROR(__xludf.DUMMYFUNCTION("IFERROR(VALUE(REGEXEXTRACT(TO_TEXT($F655), S$1 &amp; ""x(\d+)"")), """")"),"")</f>
        <v/>
      </c>
      <c r="T655" s="9" t="str">
        <f ca="1">IFERROR(__xludf.DUMMYFUNCTION("IFERROR(VALUE(REGEXEXTRACT(TO_TEXT($F655), T$1 &amp; ""x(\d+)"")), """")"),"")</f>
        <v/>
      </c>
      <c r="U655" s="9" t="str">
        <f ca="1">IFERROR(__xludf.DUMMYFUNCTION("IFERROR(VALUE(REGEXEXTRACT(TO_TEXT($F655), U$1 &amp; ""x(\d+)"")), """")"),"")</f>
        <v/>
      </c>
      <c r="V655" s="9" t="str">
        <f ca="1">IFERROR(__xludf.DUMMYFUNCTION("IFERROR(VALUE(REGEXEXTRACT(TO_TEXT($F655), V$1 &amp; ""x(\d+)"")), """")"),"")</f>
        <v/>
      </c>
      <c r="W655" s="9"/>
      <c r="X655" s="9"/>
      <c r="Y655" s="9"/>
      <c r="Z655" s="9"/>
    </row>
    <row r="656" spans="1:26" ht="15.75" customHeight="1">
      <c r="A656" s="9" t="s">
        <v>1744</v>
      </c>
      <c r="B656" s="9" t="s">
        <v>515</v>
      </c>
      <c r="C656" s="9" t="s">
        <v>516</v>
      </c>
      <c r="D656" s="9" t="s">
        <v>33</v>
      </c>
      <c r="E656" s="9" t="s">
        <v>13</v>
      </c>
      <c r="F656" s="9" t="s">
        <v>1369</v>
      </c>
      <c r="G656" s="9">
        <v>15</v>
      </c>
      <c r="H656" s="9">
        <v>2</v>
      </c>
      <c r="I656" s="9">
        <v>1.0149999999999999</v>
      </c>
      <c r="J656" s="9">
        <v>110</v>
      </c>
      <c r="K656" s="9" t="s">
        <v>442</v>
      </c>
      <c r="L656" s="9"/>
      <c r="M656" s="9"/>
      <c r="N656" s="9" t="str">
        <f ca="1">IFERROR(__xludf.DUMMYFUNCTION("IFERROR(VALUE(REGEXEXTRACT(TO_TEXT($F656), N$1 &amp; ""x(\d+)"")), """")
"),"")</f>
        <v/>
      </c>
      <c r="O656" s="9">
        <f ca="1">IFERROR(__xludf.DUMMYFUNCTION("IFERROR(VALUE(REGEXEXTRACT(TO_TEXT($F656), O$1 &amp; ""x(\d+)"")), """")"),1)</f>
        <v>1</v>
      </c>
      <c r="P656" s="9" t="str">
        <f ca="1">IFERROR(__xludf.DUMMYFUNCTION("IFERROR(VALUE(REGEXEXTRACT(TO_TEXT($F656), P$1 &amp; ""x(\d+)"")), """")"),"")</f>
        <v/>
      </c>
      <c r="Q656" s="9" t="str">
        <f ca="1">IFERROR(__xludf.DUMMYFUNCTION("IFERROR(VALUE(REGEXEXTRACT(TO_TEXT($F656), Q$1 &amp; ""x(\d+)"")), """")"),"")</f>
        <v/>
      </c>
      <c r="R656" s="9" t="str">
        <f ca="1">IFERROR(__xludf.DUMMYFUNCTION("IFERROR(VALUE(REGEXEXTRACT(TO_TEXT($F656), R$1 &amp; ""x(\d+)"")), """")"),"")</f>
        <v/>
      </c>
      <c r="S656" s="9" t="str">
        <f ca="1">IFERROR(__xludf.DUMMYFUNCTION("IFERROR(VALUE(REGEXEXTRACT(TO_TEXT($F656), S$1 &amp; ""x(\d+)"")), """")"),"")</f>
        <v/>
      </c>
      <c r="T656" s="9" t="str">
        <f ca="1">IFERROR(__xludf.DUMMYFUNCTION("IFERROR(VALUE(REGEXEXTRACT(TO_TEXT($F656), T$1 &amp; ""x(\d+)"")), """")"),"")</f>
        <v/>
      </c>
      <c r="U656" s="9" t="str">
        <f ca="1">IFERROR(__xludf.DUMMYFUNCTION("IFERROR(VALUE(REGEXEXTRACT(TO_TEXT($F656), U$1 &amp; ""x(\d+)"")), """")"),"")</f>
        <v/>
      </c>
      <c r="V656" s="9" t="str">
        <f ca="1">IFERROR(__xludf.DUMMYFUNCTION("IFERROR(VALUE(REGEXEXTRACT(TO_TEXT($F656), V$1 &amp; ""x(\d+)"")), """")"),"")</f>
        <v/>
      </c>
      <c r="W656" s="9"/>
      <c r="X656" s="9"/>
      <c r="Y656" s="9"/>
      <c r="Z656" s="9"/>
    </row>
    <row r="657" spans="1:26" ht="15.75" customHeight="1">
      <c r="A657" s="9" t="s">
        <v>1745</v>
      </c>
      <c r="B657" s="9" t="s">
        <v>1746</v>
      </c>
      <c r="C657" s="9" t="s">
        <v>933</v>
      </c>
      <c r="D657" s="9" t="s">
        <v>33</v>
      </c>
      <c r="E657" s="9" t="s">
        <v>12</v>
      </c>
      <c r="F657" s="9" t="s">
        <v>1498</v>
      </c>
      <c r="G657" s="9">
        <v>60</v>
      </c>
      <c r="H657" s="9">
        <v>2</v>
      </c>
      <c r="I657" s="9">
        <v>1.0149999999999999</v>
      </c>
      <c r="J657" s="9">
        <v>110</v>
      </c>
      <c r="K657" s="9" t="s">
        <v>442</v>
      </c>
      <c r="L657" s="9"/>
      <c r="M657" s="9"/>
      <c r="N657" s="9" t="str">
        <f ca="1">IFERROR(__xludf.DUMMYFUNCTION("IFERROR(VALUE(REGEXEXTRACT(TO_TEXT($F657), N$1 &amp; ""x(\d+)"")), """")
"),"")</f>
        <v/>
      </c>
      <c r="O657" s="9">
        <f ca="1">IFERROR(__xludf.DUMMYFUNCTION("IFERROR(VALUE(REGEXEXTRACT(TO_TEXT($F657), O$1 &amp; ""x(\d+)"")), """")"),1)</f>
        <v>1</v>
      </c>
      <c r="P657" s="9" t="str">
        <f ca="1">IFERROR(__xludf.DUMMYFUNCTION("IFERROR(VALUE(REGEXEXTRACT(TO_TEXT($F657), P$1 &amp; ""x(\d+)"")), """")"),"")</f>
        <v/>
      </c>
      <c r="Q657" s="9" t="str">
        <f ca="1">IFERROR(__xludf.DUMMYFUNCTION("IFERROR(VALUE(REGEXEXTRACT(TO_TEXT($F657), Q$1 &amp; ""x(\d+)"")), """")"),"")</f>
        <v/>
      </c>
      <c r="R657" s="9" t="str">
        <f ca="1">IFERROR(__xludf.DUMMYFUNCTION("IFERROR(VALUE(REGEXEXTRACT(TO_TEXT($F657), R$1 &amp; ""x(\d+)"")), """")"),"")</f>
        <v/>
      </c>
      <c r="S657" s="9" t="str">
        <f ca="1">IFERROR(__xludf.DUMMYFUNCTION("IFERROR(VALUE(REGEXEXTRACT(TO_TEXT($F657), S$1 &amp; ""x(\d+)"")), """")"),"")</f>
        <v/>
      </c>
      <c r="T657" s="9" t="str">
        <f ca="1">IFERROR(__xludf.DUMMYFUNCTION("IFERROR(VALUE(REGEXEXTRACT(TO_TEXT($F657), T$1 &amp; ""x(\d+)"")), """")"),"")</f>
        <v/>
      </c>
      <c r="U657" s="9" t="str">
        <f ca="1">IFERROR(__xludf.DUMMYFUNCTION("IFERROR(VALUE(REGEXEXTRACT(TO_TEXT($F657), U$1 &amp; ""x(\d+)"")), """")"),"")</f>
        <v/>
      </c>
      <c r="V657" s="9" t="str">
        <f ca="1">IFERROR(__xludf.DUMMYFUNCTION("IFERROR(VALUE(REGEXEXTRACT(TO_TEXT($F657), V$1 &amp; ""x(\d+)"")), """")"),"")</f>
        <v/>
      </c>
      <c r="W657" s="9"/>
      <c r="X657" s="9"/>
      <c r="Y657" s="9"/>
      <c r="Z657" s="9"/>
    </row>
    <row r="658" spans="1:26" ht="15.75" customHeight="1">
      <c r="A658" s="9" t="s">
        <v>1745</v>
      </c>
      <c r="B658" s="9" t="s">
        <v>1746</v>
      </c>
      <c r="C658" s="9" t="s">
        <v>933</v>
      </c>
      <c r="D658" s="9" t="s">
        <v>33</v>
      </c>
      <c r="E658" s="9" t="s">
        <v>13</v>
      </c>
      <c r="F658" s="9" t="s">
        <v>1369</v>
      </c>
      <c r="G658" s="9">
        <v>15</v>
      </c>
      <c r="H658" s="9">
        <v>2</v>
      </c>
      <c r="I658" s="9">
        <v>1.0149999999999999</v>
      </c>
      <c r="J658" s="9">
        <v>110</v>
      </c>
      <c r="K658" s="9" t="s">
        <v>442</v>
      </c>
      <c r="L658" s="9"/>
      <c r="M658" s="9"/>
      <c r="N658" s="9" t="str">
        <f ca="1">IFERROR(__xludf.DUMMYFUNCTION("IFERROR(VALUE(REGEXEXTRACT(TO_TEXT($F658), N$1 &amp; ""x(\d+)"")), """")
"),"")</f>
        <v/>
      </c>
      <c r="O658" s="9">
        <f ca="1">IFERROR(__xludf.DUMMYFUNCTION("IFERROR(VALUE(REGEXEXTRACT(TO_TEXT($F658), O$1 &amp; ""x(\d+)"")), """")"),1)</f>
        <v>1</v>
      </c>
      <c r="P658" s="9" t="str">
        <f ca="1">IFERROR(__xludf.DUMMYFUNCTION("IFERROR(VALUE(REGEXEXTRACT(TO_TEXT($F658), P$1 &amp; ""x(\d+)"")), """")"),"")</f>
        <v/>
      </c>
      <c r="Q658" s="9" t="str">
        <f ca="1">IFERROR(__xludf.DUMMYFUNCTION("IFERROR(VALUE(REGEXEXTRACT(TO_TEXT($F658), Q$1 &amp; ""x(\d+)"")), """")"),"")</f>
        <v/>
      </c>
      <c r="R658" s="9" t="str">
        <f ca="1">IFERROR(__xludf.DUMMYFUNCTION("IFERROR(VALUE(REGEXEXTRACT(TO_TEXT($F658), R$1 &amp; ""x(\d+)"")), """")"),"")</f>
        <v/>
      </c>
      <c r="S658" s="9" t="str">
        <f ca="1">IFERROR(__xludf.DUMMYFUNCTION("IFERROR(VALUE(REGEXEXTRACT(TO_TEXT($F658), S$1 &amp; ""x(\d+)"")), """")"),"")</f>
        <v/>
      </c>
      <c r="T658" s="9" t="str">
        <f ca="1">IFERROR(__xludf.DUMMYFUNCTION("IFERROR(VALUE(REGEXEXTRACT(TO_TEXT($F658), T$1 &amp; ""x(\d+)"")), """")"),"")</f>
        <v/>
      </c>
      <c r="U658" s="9" t="str">
        <f ca="1">IFERROR(__xludf.DUMMYFUNCTION("IFERROR(VALUE(REGEXEXTRACT(TO_TEXT($F658), U$1 &amp; ""x(\d+)"")), """")"),"")</f>
        <v/>
      </c>
      <c r="V658" s="9" t="str">
        <f ca="1">IFERROR(__xludf.DUMMYFUNCTION("IFERROR(VALUE(REGEXEXTRACT(TO_TEXT($F658), V$1 &amp; ""x(\d+)"")), """")"),"")</f>
        <v/>
      </c>
      <c r="W658" s="9"/>
      <c r="X658" s="9"/>
      <c r="Y658" s="9"/>
      <c r="Z658" s="9"/>
    </row>
    <row r="659" spans="1:26" ht="15.75" customHeight="1">
      <c r="A659" s="9" t="s">
        <v>1747</v>
      </c>
      <c r="B659" s="9" t="s">
        <v>1748</v>
      </c>
      <c r="C659" s="9" t="s">
        <v>625</v>
      </c>
      <c r="D659" s="9" t="s">
        <v>33</v>
      </c>
      <c r="E659" s="9" t="s">
        <v>12</v>
      </c>
      <c r="F659" s="9" t="s">
        <v>1148</v>
      </c>
      <c r="G659" s="9">
        <v>60</v>
      </c>
      <c r="H659" s="9">
        <v>2</v>
      </c>
      <c r="I659" s="9">
        <v>1.0149999999999999</v>
      </c>
      <c r="J659" s="9">
        <v>110</v>
      </c>
      <c r="K659" s="9" t="s">
        <v>442</v>
      </c>
      <c r="L659" s="9"/>
      <c r="M659" s="9"/>
      <c r="N659" s="9" t="str">
        <f ca="1">IFERROR(__xludf.DUMMYFUNCTION("IFERROR(VALUE(REGEXEXTRACT(TO_TEXT($F659), N$1 &amp; ""x(\d+)"")), """")
"),"")</f>
        <v/>
      </c>
      <c r="O659" s="9">
        <f ca="1">IFERROR(__xludf.DUMMYFUNCTION("IFERROR(VALUE(REGEXEXTRACT(TO_TEXT($F659), O$1 &amp; ""x(\d+)"")), """")"),1)</f>
        <v>1</v>
      </c>
      <c r="P659" s="9" t="str">
        <f ca="1">IFERROR(__xludf.DUMMYFUNCTION("IFERROR(VALUE(REGEXEXTRACT(TO_TEXT($F659), P$1 &amp; ""x(\d+)"")), """")"),"")</f>
        <v/>
      </c>
      <c r="Q659" s="9" t="str">
        <f ca="1">IFERROR(__xludf.DUMMYFUNCTION("IFERROR(VALUE(REGEXEXTRACT(TO_TEXT($F659), Q$1 &amp; ""x(\d+)"")), """")"),"")</f>
        <v/>
      </c>
      <c r="R659" s="9" t="str">
        <f ca="1">IFERROR(__xludf.DUMMYFUNCTION("IFERROR(VALUE(REGEXEXTRACT(TO_TEXT($F659), R$1 &amp; ""x(\d+)"")), """")"),"")</f>
        <v/>
      </c>
      <c r="S659" s="9" t="str">
        <f ca="1">IFERROR(__xludf.DUMMYFUNCTION("IFERROR(VALUE(REGEXEXTRACT(TO_TEXT($F659), S$1 &amp; ""x(\d+)"")), """")"),"")</f>
        <v/>
      </c>
      <c r="T659" s="9" t="str">
        <f ca="1">IFERROR(__xludf.DUMMYFUNCTION("IFERROR(VALUE(REGEXEXTRACT(TO_TEXT($F659), T$1 &amp; ""x(\d+)"")), """")"),"")</f>
        <v/>
      </c>
      <c r="U659" s="9" t="str">
        <f ca="1">IFERROR(__xludf.DUMMYFUNCTION("IFERROR(VALUE(REGEXEXTRACT(TO_TEXT($F659), U$1 &amp; ""x(\d+)"")), """")"),"")</f>
        <v/>
      </c>
      <c r="V659" s="9" t="str">
        <f ca="1">IFERROR(__xludf.DUMMYFUNCTION("IFERROR(VALUE(REGEXEXTRACT(TO_TEXT($F659), V$1 &amp; ""x(\d+)"")), """")"),"")</f>
        <v/>
      </c>
      <c r="W659" s="9"/>
      <c r="X659" s="9"/>
      <c r="Y659" s="9"/>
      <c r="Z659" s="9"/>
    </row>
    <row r="660" spans="1:26" ht="15.75" customHeight="1">
      <c r="A660" s="9" t="s">
        <v>1747</v>
      </c>
      <c r="B660" s="9" t="s">
        <v>1748</v>
      </c>
      <c r="C660" s="9" t="s">
        <v>625</v>
      </c>
      <c r="D660" s="9" t="s">
        <v>33</v>
      </c>
      <c r="E660" s="9" t="s">
        <v>13</v>
      </c>
      <c r="F660" s="9" t="s">
        <v>1149</v>
      </c>
      <c r="G660" s="9">
        <v>15</v>
      </c>
      <c r="H660" s="9">
        <v>2</v>
      </c>
      <c r="I660" s="9">
        <v>1.0149999999999999</v>
      </c>
      <c r="J660" s="9">
        <v>110</v>
      </c>
      <c r="K660" s="9" t="s">
        <v>442</v>
      </c>
      <c r="L660" s="9"/>
      <c r="M660" s="9"/>
      <c r="N660" s="9" t="str">
        <f ca="1">IFERROR(__xludf.DUMMYFUNCTION("IFERROR(VALUE(REGEXEXTRACT(TO_TEXT($F660), N$1 &amp; ""x(\d+)"")), """")
"),"")</f>
        <v/>
      </c>
      <c r="O660" s="9">
        <f ca="1">IFERROR(__xludf.DUMMYFUNCTION("IFERROR(VALUE(REGEXEXTRACT(TO_TEXT($F660), O$1 &amp; ""x(\d+)"")), """")"),1)</f>
        <v>1</v>
      </c>
      <c r="P660" s="9" t="str">
        <f ca="1">IFERROR(__xludf.DUMMYFUNCTION("IFERROR(VALUE(REGEXEXTRACT(TO_TEXT($F660), P$1 &amp; ""x(\d+)"")), """")"),"")</f>
        <v/>
      </c>
      <c r="Q660" s="9" t="str">
        <f ca="1">IFERROR(__xludf.DUMMYFUNCTION("IFERROR(VALUE(REGEXEXTRACT(TO_TEXT($F660), Q$1 &amp; ""x(\d+)"")), """")"),"")</f>
        <v/>
      </c>
      <c r="R660" s="9" t="str">
        <f ca="1">IFERROR(__xludf.DUMMYFUNCTION("IFERROR(VALUE(REGEXEXTRACT(TO_TEXT($F660), R$1 &amp; ""x(\d+)"")), """")"),"")</f>
        <v/>
      </c>
      <c r="S660" s="9" t="str">
        <f ca="1">IFERROR(__xludf.DUMMYFUNCTION("IFERROR(VALUE(REGEXEXTRACT(TO_TEXT($F660), S$1 &amp; ""x(\d+)"")), """")"),"")</f>
        <v/>
      </c>
      <c r="T660" s="9" t="str">
        <f ca="1">IFERROR(__xludf.DUMMYFUNCTION("IFERROR(VALUE(REGEXEXTRACT(TO_TEXT($F660), T$1 &amp; ""x(\d+)"")), """")"),"")</f>
        <v/>
      </c>
      <c r="U660" s="9" t="str">
        <f ca="1">IFERROR(__xludf.DUMMYFUNCTION("IFERROR(VALUE(REGEXEXTRACT(TO_TEXT($F660), U$1 &amp; ""x(\d+)"")), """")"),"")</f>
        <v/>
      </c>
      <c r="V660" s="9" t="str">
        <f ca="1">IFERROR(__xludf.DUMMYFUNCTION("IFERROR(VALUE(REGEXEXTRACT(TO_TEXT($F660), V$1 &amp; ""x(\d+)"")), """")"),"")</f>
        <v/>
      </c>
      <c r="W660" s="9"/>
      <c r="X660" s="9"/>
      <c r="Y660" s="9"/>
      <c r="Z660" s="9"/>
    </row>
    <row r="661" spans="1:26" ht="15.75" hidden="1" customHeight="1">
      <c r="A661" s="9" t="s">
        <v>1749</v>
      </c>
      <c r="B661" s="9" t="s">
        <v>1750</v>
      </c>
      <c r="C661" s="9" t="s">
        <v>961</v>
      </c>
      <c r="D661" s="9" t="s">
        <v>40</v>
      </c>
      <c r="E661" s="9" t="s">
        <v>11</v>
      </c>
      <c r="F661" s="9" t="s">
        <v>1751</v>
      </c>
      <c r="G661" s="9">
        <v>20</v>
      </c>
      <c r="H661" s="9">
        <v>4</v>
      </c>
      <c r="I661" s="9">
        <v>1.0149999999999999</v>
      </c>
      <c r="J661" s="9">
        <v>412</v>
      </c>
      <c r="K661" s="9" t="s">
        <v>442</v>
      </c>
      <c r="L661" s="9"/>
      <c r="M661" s="9"/>
      <c r="N661" s="9" t="str">
        <f ca="1">IFERROR(__xludf.DUMMYFUNCTION("IFERROR(VALUE(REGEXEXTRACT(TO_TEXT($F661), N$1 &amp; ""x(\d+)"")), """")
"),"")</f>
        <v/>
      </c>
      <c r="O661" s="9" t="str">
        <f ca="1">IFERROR(__xludf.DUMMYFUNCTION("IFERROR(VALUE(REGEXEXTRACT(TO_TEXT($F661), O$1 &amp; ""x(\d+)"")), """")"),"")</f>
        <v/>
      </c>
      <c r="P661" s="9" t="str">
        <f ca="1">IFERROR(__xludf.DUMMYFUNCTION("IFERROR(VALUE(REGEXEXTRACT(TO_TEXT($F661), P$1 &amp; ""x(\d+)"")), """")"),"")</f>
        <v/>
      </c>
      <c r="Q661" s="9" t="str">
        <f ca="1">IFERROR(__xludf.DUMMYFUNCTION("IFERROR(VALUE(REGEXEXTRACT(TO_TEXT($F661), Q$1 &amp; ""x(\d+)"")), """")"),"")</f>
        <v/>
      </c>
      <c r="R661" s="9" t="str">
        <f ca="1">IFERROR(__xludf.DUMMYFUNCTION("IFERROR(VALUE(REGEXEXTRACT(TO_TEXT($F661), R$1 &amp; ""x(\d+)"")), """")"),"")</f>
        <v/>
      </c>
      <c r="S661" s="9" t="str">
        <f ca="1">IFERROR(__xludf.DUMMYFUNCTION("IFERROR(VALUE(REGEXEXTRACT(TO_TEXT($F661), S$1 &amp; ""x(\d+)"")), """")"),"")</f>
        <v/>
      </c>
      <c r="T661" s="9" t="str">
        <f ca="1">IFERROR(__xludf.DUMMYFUNCTION("IFERROR(VALUE(REGEXEXTRACT(TO_TEXT($F661), T$1 &amp; ""x(\d+)"")), """")"),"")</f>
        <v/>
      </c>
      <c r="U661" s="9" t="str">
        <f ca="1">IFERROR(__xludf.DUMMYFUNCTION("IFERROR(VALUE(REGEXEXTRACT(TO_TEXT($F661), U$1 &amp; ""x(\d+)"")), """")"),"")</f>
        <v/>
      </c>
      <c r="V661" s="9" t="str">
        <f ca="1">IFERROR(__xludf.DUMMYFUNCTION("IFERROR(VALUE(REGEXEXTRACT(TO_TEXT($F661), V$1 &amp; ""x(\d+)"")), """")"),"")</f>
        <v/>
      </c>
      <c r="W661" s="9"/>
      <c r="X661" s="9"/>
      <c r="Y661" s="9"/>
      <c r="Z661" s="9"/>
    </row>
    <row r="662" spans="1:26" ht="15.75" hidden="1" customHeight="1">
      <c r="A662" s="9" t="s">
        <v>1749</v>
      </c>
      <c r="B662" s="9" t="s">
        <v>1750</v>
      </c>
      <c r="C662" s="9" t="s">
        <v>961</v>
      </c>
      <c r="D662" s="9" t="s">
        <v>40</v>
      </c>
      <c r="E662" s="9" t="s">
        <v>12</v>
      </c>
      <c r="F662" s="9" t="s">
        <v>1752</v>
      </c>
      <c r="G662" s="9">
        <v>115</v>
      </c>
      <c r="H662" s="9">
        <v>4</v>
      </c>
      <c r="I662" s="9">
        <v>1.0149999999999999</v>
      </c>
      <c r="J662" s="9">
        <v>412</v>
      </c>
      <c r="K662" s="9" t="s">
        <v>442</v>
      </c>
      <c r="L662" s="9" t="s">
        <v>1015</v>
      </c>
      <c r="M662" s="9"/>
      <c r="N662" s="9" t="str">
        <f ca="1">IFERROR(__xludf.DUMMYFUNCTION("IFERROR(VALUE(REGEXEXTRACT(TO_TEXT($F662), N$1 &amp; ""x(\d+)"")), """")
"),"")</f>
        <v/>
      </c>
      <c r="O662" s="9" t="str">
        <f ca="1">IFERROR(__xludf.DUMMYFUNCTION("IFERROR(VALUE(REGEXEXTRACT(TO_TEXT($F662), O$1 &amp; ""x(\d+)"")), """")"),"")</f>
        <v/>
      </c>
      <c r="P662" s="9" t="str">
        <f ca="1">IFERROR(__xludf.DUMMYFUNCTION("IFERROR(VALUE(REGEXEXTRACT(TO_TEXT($F662), P$1 &amp; ""x(\d+)"")), """")"),"")</f>
        <v/>
      </c>
      <c r="Q662" s="9" t="str">
        <f ca="1">IFERROR(__xludf.DUMMYFUNCTION("IFERROR(VALUE(REGEXEXTRACT(TO_TEXT($F662), Q$1 &amp; ""x(\d+)"")), """")"),"")</f>
        <v/>
      </c>
      <c r="R662" s="9" t="str">
        <f ca="1">IFERROR(__xludf.DUMMYFUNCTION("IFERROR(VALUE(REGEXEXTRACT(TO_TEXT($F662), R$1 &amp; ""x(\d+)"")), """")"),"")</f>
        <v/>
      </c>
      <c r="S662" s="9">
        <f ca="1">IFERROR(__xludf.DUMMYFUNCTION("IFERROR(VALUE(REGEXEXTRACT(TO_TEXT($F662), S$1 &amp; ""x(\d+)"")), """")"),1)</f>
        <v>1</v>
      </c>
      <c r="T662" s="9" t="str">
        <f ca="1">IFERROR(__xludf.DUMMYFUNCTION("IFERROR(VALUE(REGEXEXTRACT(TO_TEXT($F662), T$1 &amp; ""x(\d+)"")), """")"),"")</f>
        <v/>
      </c>
      <c r="U662" s="9" t="str">
        <f ca="1">IFERROR(__xludf.DUMMYFUNCTION("IFERROR(VALUE(REGEXEXTRACT(TO_TEXT($F662), U$1 &amp; ""x(\d+)"")), """")"),"")</f>
        <v/>
      </c>
      <c r="V662" s="9" t="str">
        <f ca="1">IFERROR(__xludf.DUMMYFUNCTION("IFERROR(VALUE(REGEXEXTRACT(TO_TEXT($F662), V$1 &amp; ""x(\d+)"")), """")"),"")</f>
        <v/>
      </c>
      <c r="W662" s="9"/>
      <c r="X662" s="9"/>
      <c r="Y662" s="9"/>
      <c r="Z662" s="9"/>
    </row>
    <row r="663" spans="1:26" ht="15.75" hidden="1" customHeight="1">
      <c r="A663" s="9" t="s">
        <v>1749</v>
      </c>
      <c r="B663" s="9" t="s">
        <v>1750</v>
      </c>
      <c r="C663" s="9" t="s">
        <v>961</v>
      </c>
      <c r="D663" s="9" t="s">
        <v>40</v>
      </c>
      <c r="E663" s="9" t="s">
        <v>13</v>
      </c>
      <c r="F663" s="9" t="s">
        <v>1753</v>
      </c>
      <c r="G663" s="9">
        <v>30</v>
      </c>
      <c r="H663" s="9">
        <v>4</v>
      </c>
      <c r="I663" s="9">
        <v>1.0149999999999999</v>
      </c>
      <c r="J663" s="9">
        <v>412</v>
      </c>
      <c r="K663" s="9" t="s">
        <v>442</v>
      </c>
      <c r="L663" s="9"/>
      <c r="M663" s="9"/>
      <c r="N663" s="9" t="str">
        <f ca="1">IFERROR(__xludf.DUMMYFUNCTION("IFERROR(VALUE(REGEXEXTRACT(TO_TEXT($F663), N$1 &amp; ""x(\d+)"")), """")
"),"")</f>
        <v/>
      </c>
      <c r="O663" s="9" t="str">
        <f ca="1">IFERROR(__xludf.DUMMYFUNCTION("IFERROR(VALUE(REGEXEXTRACT(TO_TEXT($F663), O$1 &amp; ""x(\d+)"")), """")"),"")</f>
        <v/>
      </c>
      <c r="P663" s="9" t="str">
        <f ca="1">IFERROR(__xludf.DUMMYFUNCTION("IFERROR(VALUE(REGEXEXTRACT(TO_TEXT($F663), P$1 &amp; ""x(\d+)"")), """")"),"")</f>
        <v/>
      </c>
      <c r="Q663" s="9" t="str">
        <f ca="1">IFERROR(__xludf.DUMMYFUNCTION("IFERROR(VALUE(REGEXEXTRACT(TO_TEXT($F663), Q$1 &amp; ""x(\d+)"")), """")"),"")</f>
        <v/>
      </c>
      <c r="R663" s="9" t="str">
        <f ca="1">IFERROR(__xludf.DUMMYFUNCTION("IFERROR(VALUE(REGEXEXTRACT(TO_TEXT($F663), R$1 &amp; ""x(\d+)"")), """")"),"")</f>
        <v/>
      </c>
      <c r="S663" s="9">
        <f ca="1">IFERROR(__xludf.DUMMYFUNCTION("IFERROR(VALUE(REGEXEXTRACT(TO_TEXT($F663), S$1 &amp; ""x(\d+)"")), """")"),1)</f>
        <v>1</v>
      </c>
      <c r="T663" s="9" t="str">
        <f ca="1">IFERROR(__xludf.DUMMYFUNCTION("IFERROR(VALUE(REGEXEXTRACT(TO_TEXT($F663), T$1 &amp; ""x(\d+)"")), """")"),"")</f>
        <v/>
      </c>
      <c r="U663" s="9" t="str">
        <f ca="1">IFERROR(__xludf.DUMMYFUNCTION("IFERROR(VALUE(REGEXEXTRACT(TO_TEXT($F663), U$1 &amp; ""x(\d+)"")), """")"),"")</f>
        <v/>
      </c>
      <c r="V663" s="9" t="str">
        <f ca="1">IFERROR(__xludf.DUMMYFUNCTION("IFERROR(VALUE(REGEXEXTRACT(TO_TEXT($F663), V$1 &amp; ""x(\d+)"")), """")"),"")</f>
        <v/>
      </c>
      <c r="W663" s="9"/>
      <c r="X663" s="9"/>
      <c r="Y663" s="9"/>
      <c r="Z663" s="9"/>
    </row>
    <row r="664" spans="1:26" ht="15.75" hidden="1" customHeight="1">
      <c r="A664" s="9" t="s">
        <v>1754</v>
      </c>
      <c r="B664" s="9" t="s">
        <v>1755</v>
      </c>
      <c r="C664" s="9" t="s">
        <v>608</v>
      </c>
      <c r="D664" s="9" t="s">
        <v>40</v>
      </c>
      <c r="E664" s="9" t="s">
        <v>11</v>
      </c>
      <c r="F664" s="9" t="s">
        <v>1756</v>
      </c>
      <c r="G664" s="9">
        <v>20</v>
      </c>
      <c r="H664" s="9">
        <v>5</v>
      </c>
      <c r="I664" s="9">
        <v>1.0149999999999999</v>
      </c>
      <c r="J664" s="9">
        <v>412</v>
      </c>
      <c r="K664" s="9" t="s">
        <v>442</v>
      </c>
      <c r="L664" s="9"/>
      <c r="M664" s="9"/>
      <c r="N664" s="9" t="str">
        <f ca="1">IFERROR(__xludf.DUMMYFUNCTION("IFERROR(VALUE(REGEXEXTRACT(TO_TEXT($F664), N$1 &amp; ""x(\d+)"")), """")
"),"")</f>
        <v/>
      </c>
      <c r="O664" s="9" t="str">
        <f ca="1">IFERROR(__xludf.DUMMYFUNCTION("IFERROR(VALUE(REGEXEXTRACT(TO_TEXT($F664), O$1 &amp; ""x(\d+)"")), """")"),"")</f>
        <v/>
      </c>
      <c r="P664" s="9" t="str">
        <f ca="1">IFERROR(__xludf.DUMMYFUNCTION("IFERROR(VALUE(REGEXEXTRACT(TO_TEXT($F664), P$1 &amp; ""x(\d+)"")), """")"),"")</f>
        <v/>
      </c>
      <c r="Q664" s="9" t="str">
        <f ca="1">IFERROR(__xludf.DUMMYFUNCTION("IFERROR(VALUE(REGEXEXTRACT(TO_TEXT($F664), Q$1 &amp; ""x(\d+)"")), """")"),"")</f>
        <v/>
      </c>
      <c r="R664" s="9" t="str">
        <f ca="1">IFERROR(__xludf.DUMMYFUNCTION("IFERROR(VALUE(REGEXEXTRACT(TO_TEXT($F664), R$1 &amp; ""x(\d+)"")), """")"),"")</f>
        <v/>
      </c>
      <c r="S664" s="9" t="str">
        <f ca="1">IFERROR(__xludf.DUMMYFUNCTION("IFERROR(VALUE(REGEXEXTRACT(TO_TEXT($F664), S$1 &amp; ""x(\d+)"")), """")"),"")</f>
        <v/>
      </c>
      <c r="T664" s="9" t="str">
        <f ca="1">IFERROR(__xludf.DUMMYFUNCTION("IFERROR(VALUE(REGEXEXTRACT(TO_TEXT($F664), T$1 &amp; ""x(\d+)"")), """")"),"")</f>
        <v/>
      </c>
      <c r="U664" s="9" t="str">
        <f ca="1">IFERROR(__xludf.DUMMYFUNCTION("IFERROR(VALUE(REGEXEXTRACT(TO_TEXT($F664), U$1 &amp; ""x(\d+)"")), """")"),"")</f>
        <v/>
      </c>
      <c r="V664" s="9" t="str">
        <f ca="1">IFERROR(__xludf.DUMMYFUNCTION("IFERROR(VALUE(REGEXEXTRACT(TO_TEXT($F664), V$1 &amp; ""x(\d+)"")), """")"),"")</f>
        <v/>
      </c>
      <c r="W664" s="9"/>
      <c r="X664" s="9"/>
      <c r="Y664" s="9"/>
      <c r="Z664" s="9"/>
    </row>
    <row r="665" spans="1:26" ht="15.75" hidden="1" customHeight="1">
      <c r="A665" s="9" t="s">
        <v>1754</v>
      </c>
      <c r="B665" s="9" t="s">
        <v>1755</v>
      </c>
      <c r="C665" s="9" t="s">
        <v>608</v>
      </c>
      <c r="D665" s="9" t="s">
        <v>40</v>
      </c>
      <c r="E665" s="9" t="s">
        <v>12</v>
      </c>
      <c r="F665" s="9" t="s">
        <v>1679</v>
      </c>
      <c r="G665" s="9">
        <v>80</v>
      </c>
      <c r="H665" s="9">
        <v>5</v>
      </c>
      <c r="I665" s="9">
        <v>1.0149999999999999</v>
      </c>
      <c r="J665" s="9">
        <v>412</v>
      </c>
      <c r="K665" s="9" t="s">
        <v>442</v>
      </c>
      <c r="L665" s="9" t="s">
        <v>1015</v>
      </c>
      <c r="M665" s="9"/>
      <c r="N665" s="9" t="str">
        <f ca="1">IFERROR(__xludf.DUMMYFUNCTION("IFERROR(VALUE(REGEXEXTRACT(TO_TEXT($F665), N$1 &amp; ""x(\d+)"")), """")
"),"")</f>
        <v/>
      </c>
      <c r="O665" s="9" t="str">
        <f ca="1">IFERROR(__xludf.DUMMYFUNCTION("IFERROR(VALUE(REGEXEXTRACT(TO_TEXT($F665), O$1 &amp; ""x(\d+)"")), """")"),"")</f>
        <v/>
      </c>
      <c r="P665" s="9" t="str">
        <f ca="1">IFERROR(__xludf.DUMMYFUNCTION("IFERROR(VALUE(REGEXEXTRACT(TO_TEXT($F665), P$1 &amp; ""x(\d+)"")), """")"),"")</f>
        <v/>
      </c>
      <c r="Q665" s="9" t="str">
        <f ca="1">IFERROR(__xludf.DUMMYFUNCTION("IFERROR(VALUE(REGEXEXTRACT(TO_TEXT($F665), Q$1 &amp; ""x(\d+)"")), """")"),"")</f>
        <v/>
      </c>
      <c r="R665" s="9" t="str">
        <f ca="1">IFERROR(__xludf.DUMMYFUNCTION("IFERROR(VALUE(REGEXEXTRACT(TO_TEXT($F665), R$1 &amp; ""x(\d+)"")), """")"),"")</f>
        <v/>
      </c>
      <c r="S665" s="9">
        <f ca="1">IFERROR(__xludf.DUMMYFUNCTION("IFERROR(VALUE(REGEXEXTRACT(TO_TEXT($F665), S$1 &amp; ""x(\d+)"")), """")"),1)</f>
        <v>1</v>
      </c>
      <c r="T665" s="9" t="str">
        <f ca="1">IFERROR(__xludf.DUMMYFUNCTION("IFERROR(VALUE(REGEXEXTRACT(TO_TEXT($F665), T$1 &amp; ""x(\d+)"")), """")"),"")</f>
        <v/>
      </c>
      <c r="U665" s="9" t="str">
        <f ca="1">IFERROR(__xludf.DUMMYFUNCTION("IFERROR(VALUE(REGEXEXTRACT(TO_TEXT($F665), U$1 &amp; ""x(\d+)"")), """")"),"")</f>
        <v/>
      </c>
      <c r="V665" s="9" t="str">
        <f ca="1">IFERROR(__xludf.DUMMYFUNCTION("IFERROR(VALUE(REGEXEXTRACT(TO_TEXT($F665), V$1 &amp; ""x(\d+)"")), """")"),"")</f>
        <v/>
      </c>
      <c r="W665" s="9"/>
      <c r="X665" s="9"/>
      <c r="Y665" s="9"/>
      <c r="Z665" s="9"/>
    </row>
    <row r="666" spans="1:26" ht="15.75" hidden="1" customHeight="1">
      <c r="A666" s="9" t="s">
        <v>1754</v>
      </c>
      <c r="B666" s="9" t="s">
        <v>1755</v>
      </c>
      <c r="C666" s="9" t="s">
        <v>608</v>
      </c>
      <c r="D666" s="9" t="s">
        <v>40</v>
      </c>
      <c r="E666" s="9" t="s">
        <v>13</v>
      </c>
      <c r="F666" s="9" t="s">
        <v>1395</v>
      </c>
      <c r="G666" s="9">
        <v>30</v>
      </c>
      <c r="H666" s="9">
        <v>5</v>
      </c>
      <c r="I666" s="9">
        <v>1.0149999999999999</v>
      </c>
      <c r="J666" s="9">
        <v>412</v>
      </c>
      <c r="K666" s="9" t="s">
        <v>442</v>
      </c>
      <c r="L666" s="9"/>
      <c r="M666" s="9"/>
      <c r="N666" s="9" t="str">
        <f ca="1">IFERROR(__xludf.DUMMYFUNCTION("IFERROR(VALUE(REGEXEXTRACT(TO_TEXT($F666), N$1 &amp; ""x(\d+)"")), """")
"),"")</f>
        <v/>
      </c>
      <c r="O666" s="9" t="str">
        <f ca="1">IFERROR(__xludf.DUMMYFUNCTION("IFERROR(VALUE(REGEXEXTRACT(TO_TEXT($F666), O$1 &amp; ""x(\d+)"")), """")"),"")</f>
        <v/>
      </c>
      <c r="P666" s="9" t="str">
        <f ca="1">IFERROR(__xludf.DUMMYFUNCTION("IFERROR(VALUE(REGEXEXTRACT(TO_TEXT($F666), P$1 &amp; ""x(\d+)"")), """")"),"")</f>
        <v/>
      </c>
      <c r="Q666" s="9" t="str">
        <f ca="1">IFERROR(__xludf.DUMMYFUNCTION("IFERROR(VALUE(REGEXEXTRACT(TO_TEXT($F666), Q$1 &amp; ""x(\d+)"")), """")"),"")</f>
        <v/>
      </c>
      <c r="R666" s="9" t="str">
        <f ca="1">IFERROR(__xludf.DUMMYFUNCTION("IFERROR(VALUE(REGEXEXTRACT(TO_TEXT($F666), R$1 &amp; ""x(\d+)"")), """")"),"")</f>
        <v/>
      </c>
      <c r="S666" s="9">
        <f ca="1">IFERROR(__xludf.DUMMYFUNCTION("IFERROR(VALUE(REGEXEXTRACT(TO_TEXT($F666), S$1 &amp; ""x(\d+)"")), """")"),1)</f>
        <v>1</v>
      </c>
      <c r="T666" s="9" t="str">
        <f ca="1">IFERROR(__xludf.DUMMYFUNCTION("IFERROR(VALUE(REGEXEXTRACT(TO_TEXT($F666), T$1 &amp; ""x(\d+)"")), """")"),"")</f>
        <v/>
      </c>
      <c r="U666" s="9" t="str">
        <f ca="1">IFERROR(__xludf.DUMMYFUNCTION("IFERROR(VALUE(REGEXEXTRACT(TO_TEXT($F666), U$1 &amp; ""x(\d+)"")), """")"),"")</f>
        <v/>
      </c>
      <c r="V666" s="9" t="str">
        <f ca="1">IFERROR(__xludf.DUMMYFUNCTION("IFERROR(VALUE(REGEXEXTRACT(TO_TEXT($F666), V$1 &amp; ""x(\d+)"")), """")"),"")</f>
        <v/>
      </c>
      <c r="W666" s="9"/>
      <c r="X666" s="9"/>
      <c r="Y666" s="9"/>
      <c r="Z666" s="9"/>
    </row>
    <row r="667" spans="1:26" ht="15.75" customHeight="1">
      <c r="A667" s="9" t="s">
        <v>114</v>
      </c>
      <c r="B667" s="9" t="s">
        <v>1757</v>
      </c>
      <c r="C667" s="9" t="s">
        <v>115</v>
      </c>
      <c r="D667" s="9" t="s">
        <v>33</v>
      </c>
      <c r="E667" s="9" t="s">
        <v>11</v>
      </c>
      <c r="F667" s="9" t="s">
        <v>1319</v>
      </c>
      <c r="G667" s="9">
        <v>25</v>
      </c>
      <c r="H667" s="9">
        <v>5</v>
      </c>
      <c r="I667" s="9">
        <v>1.0149999999999999</v>
      </c>
      <c r="J667" s="9">
        <v>100</v>
      </c>
      <c r="K667" s="9" t="s">
        <v>442</v>
      </c>
      <c r="L667" s="9"/>
      <c r="M667" s="9"/>
      <c r="N667" s="9" t="str">
        <f ca="1">IFERROR(__xludf.DUMMYFUNCTION("IFERROR(VALUE(REGEXEXTRACT(TO_TEXT($F667), N$1 &amp; ""x(\d+)"")), """")
"),"")</f>
        <v/>
      </c>
      <c r="O667" s="9" t="str">
        <f ca="1">IFERROR(__xludf.DUMMYFUNCTION("IFERROR(VALUE(REGEXEXTRACT(TO_TEXT($F667), O$1 &amp; ""x(\d+)"")), """")"),"")</f>
        <v/>
      </c>
      <c r="P667" s="9" t="str">
        <f ca="1">IFERROR(__xludf.DUMMYFUNCTION("IFERROR(VALUE(REGEXEXTRACT(TO_TEXT($F667), P$1 &amp; ""x(\d+)"")), """")"),"")</f>
        <v/>
      </c>
      <c r="Q667" s="9" t="str">
        <f ca="1">IFERROR(__xludf.DUMMYFUNCTION("IFERROR(VALUE(REGEXEXTRACT(TO_TEXT($F667), Q$1 &amp; ""x(\d+)"")), """")"),"")</f>
        <v/>
      </c>
      <c r="R667" s="9" t="str">
        <f ca="1">IFERROR(__xludf.DUMMYFUNCTION("IFERROR(VALUE(REGEXEXTRACT(TO_TEXT($F667), R$1 &amp; ""x(\d+)"")), """")"),"")</f>
        <v/>
      </c>
      <c r="S667" s="9" t="str">
        <f ca="1">IFERROR(__xludf.DUMMYFUNCTION("IFERROR(VALUE(REGEXEXTRACT(TO_TEXT($F667), S$1 &amp; ""x(\d+)"")), """")"),"")</f>
        <v/>
      </c>
      <c r="T667" s="9" t="str">
        <f ca="1">IFERROR(__xludf.DUMMYFUNCTION("IFERROR(VALUE(REGEXEXTRACT(TO_TEXT($F667), T$1 &amp; ""x(\d+)"")), """")"),"")</f>
        <v/>
      </c>
      <c r="U667" s="9" t="str">
        <f ca="1">IFERROR(__xludf.DUMMYFUNCTION("IFERROR(VALUE(REGEXEXTRACT(TO_TEXT($F667), U$1 &amp; ""x(\d+)"")), """")"),"")</f>
        <v/>
      </c>
      <c r="V667" s="9" t="str">
        <f ca="1">IFERROR(__xludf.DUMMYFUNCTION("IFERROR(VALUE(REGEXEXTRACT(TO_TEXT($F667), V$1 &amp; ""x(\d+)"")), """")"),"")</f>
        <v/>
      </c>
      <c r="W667" s="9"/>
      <c r="X667" s="9"/>
      <c r="Y667" s="9"/>
      <c r="Z667" s="9"/>
    </row>
    <row r="668" spans="1:26" ht="15.75" customHeight="1">
      <c r="A668" s="9" t="s">
        <v>114</v>
      </c>
      <c r="B668" s="9" t="s">
        <v>1757</v>
      </c>
      <c r="C668" s="9" t="s">
        <v>115</v>
      </c>
      <c r="D668" s="9" t="s">
        <v>33</v>
      </c>
      <c r="E668" s="9" t="s">
        <v>12</v>
      </c>
      <c r="F668" s="9" t="s">
        <v>1293</v>
      </c>
      <c r="G668" s="9">
        <v>80</v>
      </c>
      <c r="H668" s="9">
        <v>5</v>
      </c>
      <c r="I668" s="9">
        <v>1.0149999999999999</v>
      </c>
      <c r="J668" s="9">
        <v>100</v>
      </c>
      <c r="K668" s="9" t="s">
        <v>442</v>
      </c>
      <c r="L668" s="9"/>
      <c r="M668" s="9"/>
      <c r="N668" s="9" t="str">
        <f ca="1">IFERROR(__xludf.DUMMYFUNCTION("IFERROR(VALUE(REGEXEXTRACT(TO_TEXT($F668), N$1 &amp; ""x(\d+)"")), """")
"),"")</f>
        <v/>
      </c>
      <c r="O668" s="9">
        <f ca="1">IFERROR(__xludf.DUMMYFUNCTION("IFERROR(VALUE(REGEXEXTRACT(TO_TEXT($F668), O$1 &amp; ""x(\d+)"")), """")"),1)</f>
        <v>1</v>
      </c>
      <c r="P668" s="9" t="str">
        <f ca="1">IFERROR(__xludf.DUMMYFUNCTION("IFERROR(VALUE(REGEXEXTRACT(TO_TEXT($F668), P$1 &amp; ""x(\d+)"")), """")"),"")</f>
        <v/>
      </c>
      <c r="Q668" s="9" t="str">
        <f ca="1">IFERROR(__xludf.DUMMYFUNCTION("IFERROR(VALUE(REGEXEXTRACT(TO_TEXT($F668), Q$1 &amp; ""x(\d+)"")), """")"),"")</f>
        <v/>
      </c>
      <c r="R668" s="9" t="str">
        <f ca="1">IFERROR(__xludf.DUMMYFUNCTION("IFERROR(VALUE(REGEXEXTRACT(TO_TEXT($F668), R$1 &amp; ""x(\d+)"")), """")"),"")</f>
        <v/>
      </c>
      <c r="S668" s="9" t="str">
        <f ca="1">IFERROR(__xludf.DUMMYFUNCTION("IFERROR(VALUE(REGEXEXTRACT(TO_TEXT($F668), S$1 &amp; ""x(\d+)"")), """")"),"")</f>
        <v/>
      </c>
      <c r="T668" s="9" t="str">
        <f ca="1">IFERROR(__xludf.DUMMYFUNCTION("IFERROR(VALUE(REGEXEXTRACT(TO_TEXT($F668), T$1 &amp; ""x(\d+)"")), """")"),"")</f>
        <v/>
      </c>
      <c r="U668" s="9" t="str">
        <f ca="1">IFERROR(__xludf.DUMMYFUNCTION("IFERROR(VALUE(REGEXEXTRACT(TO_TEXT($F668), U$1 &amp; ""x(\d+)"")), """")"),"")</f>
        <v/>
      </c>
      <c r="V668" s="9" t="str">
        <f ca="1">IFERROR(__xludf.DUMMYFUNCTION("IFERROR(VALUE(REGEXEXTRACT(TO_TEXT($F668), V$1 &amp; ""x(\d+)"")), """")"),"")</f>
        <v/>
      </c>
      <c r="W668" s="9"/>
      <c r="X668" s="9"/>
      <c r="Y668" s="9"/>
      <c r="Z668" s="9"/>
    </row>
    <row r="669" spans="1:26" ht="15.75" customHeight="1">
      <c r="A669" s="9" t="s">
        <v>114</v>
      </c>
      <c r="B669" s="9" t="s">
        <v>1757</v>
      </c>
      <c r="C669" s="9" t="s">
        <v>115</v>
      </c>
      <c r="D669" s="9" t="s">
        <v>33</v>
      </c>
      <c r="E669" s="9" t="s">
        <v>13</v>
      </c>
      <c r="F669" s="9" t="s">
        <v>1130</v>
      </c>
      <c r="G669" s="9">
        <v>15</v>
      </c>
      <c r="H669" s="9">
        <v>5</v>
      </c>
      <c r="I669" s="9">
        <v>1.0149999999999999</v>
      </c>
      <c r="J669" s="9">
        <v>100</v>
      </c>
      <c r="K669" s="9" t="s">
        <v>442</v>
      </c>
      <c r="L669" s="9"/>
      <c r="M669" s="9"/>
      <c r="N669" s="9" t="str">
        <f ca="1">IFERROR(__xludf.DUMMYFUNCTION("IFERROR(VALUE(REGEXEXTRACT(TO_TEXT($F669), N$1 &amp; ""x(\d+)"")), """")
"),"")</f>
        <v/>
      </c>
      <c r="O669" s="9">
        <f ca="1">IFERROR(__xludf.DUMMYFUNCTION("IFERROR(VALUE(REGEXEXTRACT(TO_TEXT($F669), O$1 &amp; ""x(\d+)"")), """")"),1)</f>
        <v>1</v>
      </c>
      <c r="P669" s="9" t="str">
        <f ca="1">IFERROR(__xludf.DUMMYFUNCTION("IFERROR(VALUE(REGEXEXTRACT(TO_TEXT($F669), P$1 &amp; ""x(\d+)"")), """")"),"")</f>
        <v/>
      </c>
      <c r="Q669" s="9" t="str">
        <f ca="1">IFERROR(__xludf.DUMMYFUNCTION("IFERROR(VALUE(REGEXEXTRACT(TO_TEXT($F669), Q$1 &amp; ""x(\d+)"")), """")"),"")</f>
        <v/>
      </c>
      <c r="R669" s="9" t="str">
        <f ca="1">IFERROR(__xludf.DUMMYFUNCTION("IFERROR(VALUE(REGEXEXTRACT(TO_TEXT($F669), R$1 &amp; ""x(\d+)"")), """")"),"")</f>
        <v/>
      </c>
      <c r="S669" s="9" t="str">
        <f ca="1">IFERROR(__xludf.DUMMYFUNCTION("IFERROR(VALUE(REGEXEXTRACT(TO_TEXT($F669), S$1 &amp; ""x(\d+)"")), """")"),"")</f>
        <v/>
      </c>
      <c r="T669" s="9" t="str">
        <f ca="1">IFERROR(__xludf.DUMMYFUNCTION("IFERROR(VALUE(REGEXEXTRACT(TO_TEXT($F669), T$1 &amp; ""x(\d+)"")), """")"),"")</f>
        <v/>
      </c>
      <c r="U669" s="9" t="str">
        <f ca="1">IFERROR(__xludf.DUMMYFUNCTION("IFERROR(VALUE(REGEXEXTRACT(TO_TEXT($F669), U$1 &amp; ""x(\d+)"")), """")"),"")</f>
        <v/>
      </c>
      <c r="V669" s="9" t="str">
        <f ca="1">IFERROR(__xludf.DUMMYFUNCTION("IFERROR(VALUE(REGEXEXTRACT(TO_TEXT($F669), V$1 &amp; ""x(\d+)"")), """")"),"")</f>
        <v/>
      </c>
      <c r="W669" s="9"/>
      <c r="X669" s="9"/>
      <c r="Y669" s="9"/>
      <c r="Z669" s="9"/>
    </row>
    <row r="670" spans="1:26" ht="15.75" customHeight="1">
      <c r="A670" s="9" t="s">
        <v>327</v>
      </c>
      <c r="B670" s="9" t="s">
        <v>1758</v>
      </c>
      <c r="C670" s="9" t="s">
        <v>328</v>
      </c>
      <c r="D670" s="9" t="s">
        <v>33</v>
      </c>
      <c r="E670" s="9" t="s">
        <v>11</v>
      </c>
      <c r="F670" s="9" t="s">
        <v>1180</v>
      </c>
      <c r="G670" s="9">
        <v>25</v>
      </c>
      <c r="H670" s="9">
        <v>4</v>
      </c>
      <c r="I670" s="9">
        <v>1.0149999999999999</v>
      </c>
      <c r="J670" s="9">
        <v>100</v>
      </c>
      <c r="K670" s="9" t="s">
        <v>442</v>
      </c>
      <c r="L670" s="9"/>
      <c r="M670" s="9"/>
      <c r="N670" s="9" t="str">
        <f ca="1">IFERROR(__xludf.DUMMYFUNCTION("IFERROR(VALUE(REGEXEXTRACT(TO_TEXT($F670), N$1 &amp; ""x(\d+)"")), """")
"),"")</f>
        <v/>
      </c>
      <c r="O670" s="9" t="str">
        <f ca="1">IFERROR(__xludf.DUMMYFUNCTION("IFERROR(VALUE(REGEXEXTRACT(TO_TEXT($F670), O$1 &amp; ""x(\d+)"")), """")"),"")</f>
        <v/>
      </c>
      <c r="P670" s="9" t="str">
        <f ca="1">IFERROR(__xludf.DUMMYFUNCTION("IFERROR(VALUE(REGEXEXTRACT(TO_TEXT($F670), P$1 &amp; ""x(\d+)"")), """")"),"")</f>
        <v/>
      </c>
      <c r="Q670" s="9" t="str">
        <f ca="1">IFERROR(__xludf.DUMMYFUNCTION("IFERROR(VALUE(REGEXEXTRACT(TO_TEXT($F670), Q$1 &amp; ""x(\d+)"")), """")"),"")</f>
        <v/>
      </c>
      <c r="R670" s="9" t="str">
        <f ca="1">IFERROR(__xludf.DUMMYFUNCTION("IFERROR(VALUE(REGEXEXTRACT(TO_TEXT($F670), R$1 &amp; ""x(\d+)"")), """")"),"")</f>
        <v/>
      </c>
      <c r="S670" s="9" t="str">
        <f ca="1">IFERROR(__xludf.DUMMYFUNCTION("IFERROR(VALUE(REGEXEXTRACT(TO_TEXT($F670), S$1 &amp; ""x(\d+)"")), """")"),"")</f>
        <v/>
      </c>
      <c r="T670" s="9" t="str">
        <f ca="1">IFERROR(__xludf.DUMMYFUNCTION("IFERROR(VALUE(REGEXEXTRACT(TO_TEXT($F670), T$1 &amp; ""x(\d+)"")), """")"),"")</f>
        <v/>
      </c>
      <c r="U670" s="9" t="str">
        <f ca="1">IFERROR(__xludf.DUMMYFUNCTION("IFERROR(VALUE(REGEXEXTRACT(TO_TEXT($F670), U$1 &amp; ""x(\d+)"")), """")"),"")</f>
        <v/>
      </c>
      <c r="V670" s="9" t="str">
        <f ca="1">IFERROR(__xludf.DUMMYFUNCTION("IFERROR(VALUE(REGEXEXTRACT(TO_TEXT($F670), V$1 &amp; ""x(\d+)"")), """")"),"")</f>
        <v/>
      </c>
      <c r="W670" s="9"/>
      <c r="X670" s="9"/>
      <c r="Y670" s="9"/>
      <c r="Z670" s="9"/>
    </row>
    <row r="671" spans="1:26" ht="15.75" customHeight="1">
      <c r="A671" s="9" t="s">
        <v>327</v>
      </c>
      <c r="B671" s="9" t="s">
        <v>1758</v>
      </c>
      <c r="C671" s="9" t="s">
        <v>328</v>
      </c>
      <c r="D671" s="9" t="s">
        <v>33</v>
      </c>
      <c r="E671" s="9" t="s">
        <v>12</v>
      </c>
      <c r="F671" s="9" t="s">
        <v>1057</v>
      </c>
      <c r="G671" s="9">
        <v>110</v>
      </c>
      <c r="H671" s="9">
        <v>4</v>
      </c>
      <c r="I671" s="9">
        <v>1.0149999999999999</v>
      </c>
      <c r="J671" s="9">
        <v>100</v>
      </c>
      <c r="K671" s="9" t="s">
        <v>442</v>
      </c>
      <c r="L671" s="9"/>
      <c r="M671" s="9"/>
      <c r="N671" s="9" t="str">
        <f ca="1">IFERROR(__xludf.DUMMYFUNCTION("IFERROR(VALUE(REGEXEXTRACT(TO_TEXT($F671), N$1 &amp; ""x(\d+)"")), """")
"),"")</f>
        <v/>
      </c>
      <c r="O671" s="9">
        <f ca="1">IFERROR(__xludf.DUMMYFUNCTION("IFERROR(VALUE(REGEXEXTRACT(TO_TEXT($F671), O$1 &amp; ""x(\d+)"")), """")"),1)</f>
        <v>1</v>
      </c>
      <c r="P671" s="9" t="str">
        <f ca="1">IFERROR(__xludf.DUMMYFUNCTION("IFERROR(VALUE(REGEXEXTRACT(TO_TEXT($F671), P$1 &amp; ""x(\d+)"")), """")"),"")</f>
        <v/>
      </c>
      <c r="Q671" s="9" t="str">
        <f ca="1">IFERROR(__xludf.DUMMYFUNCTION("IFERROR(VALUE(REGEXEXTRACT(TO_TEXT($F671), Q$1 &amp; ""x(\d+)"")), """")"),"")</f>
        <v/>
      </c>
      <c r="R671" s="9" t="str">
        <f ca="1">IFERROR(__xludf.DUMMYFUNCTION("IFERROR(VALUE(REGEXEXTRACT(TO_TEXT($F671), R$1 &amp; ""x(\d+)"")), """")"),"")</f>
        <v/>
      </c>
      <c r="S671" s="9" t="str">
        <f ca="1">IFERROR(__xludf.DUMMYFUNCTION("IFERROR(VALUE(REGEXEXTRACT(TO_TEXT($F671), S$1 &amp; ""x(\d+)"")), """")"),"")</f>
        <v/>
      </c>
      <c r="T671" s="9" t="str">
        <f ca="1">IFERROR(__xludf.DUMMYFUNCTION("IFERROR(VALUE(REGEXEXTRACT(TO_TEXT($F671), T$1 &amp; ""x(\d+)"")), """")"),"")</f>
        <v/>
      </c>
      <c r="U671" s="9" t="str">
        <f ca="1">IFERROR(__xludf.DUMMYFUNCTION("IFERROR(VALUE(REGEXEXTRACT(TO_TEXT($F671), U$1 &amp; ""x(\d+)"")), """")"),"")</f>
        <v/>
      </c>
      <c r="V671" s="9" t="str">
        <f ca="1">IFERROR(__xludf.DUMMYFUNCTION("IFERROR(VALUE(REGEXEXTRACT(TO_TEXT($F671), V$1 &amp; ""x(\d+)"")), """")"),"")</f>
        <v/>
      </c>
      <c r="W671" s="9"/>
      <c r="X671" s="9"/>
      <c r="Y671" s="9"/>
      <c r="Z671" s="9"/>
    </row>
    <row r="672" spans="1:26" ht="15.75" customHeight="1">
      <c r="A672" s="9" t="s">
        <v>327</v>
      </c>
      <c r="B672" s="9" t="s">
        <v>1758</v>
      </c>
      <c r="C672" s="9" t="s">
        <v>328</v>
      </c>
      <c r="D672" s="9" t="s">
        <v>33</v>
      </c>
      <c r="E672" s="9" t="s">
        <v>13</v>
      </c>
      <c r="F672" s="9" t="s">
        <v>1058</v>
      </c>
      <c r="G672" s="9">
        <v>15</v>
      </c>
      <c r="H672" s="9">
        <v>4</v>
      </c>
      <c r="I672" s="9">
        <v>1.0149999999999999</v>
      </c>
      <c r="J672" s="9">
        <v>100</v>
      </c>
      <c r="K672" s="9" t="s">
        <v>442</v>
      </c>
      <c r="L672" s="9"/>
      <c r="M672" s="9"/>
      <c r="N672" s="9" t="str">
        <f ca="1">IFERROR(__xludf.DUMMYFUNCTION("IFERROR(VALUE(REGEXEXTRACT(TO_TEXT($F672), N$1 &amp; ""x(\d+)"")), """")
"),"")</f>
        <v/>
      </c>
      <c r="O672" s="9">
        <f ca="1">IFERROR(__xludf.DUMMYFUNCTION("IFERROR(VALUE(REGEXEXTRACT(TO_TEXT($F672), O$1 &amp; ""x(\d+)"")), """")"),1)</f>
        <v>1</v>
      </c>
      <c r="P672" s="9" t="str">
        <f ca="1">IFERROR(__xludf.DUMMYFUNCTION("IFERROR(VALUE(REGEXEXTRACT(TO_TEXT($F672), P$1 &amp; ""x(\d+)"")), """")"),"")</f>
        <v/>
      </c>
      <c r="Q672" s="9" t="str">
        <f ca="1">IFERROR(__xludf.DUMMYFUNCTION("IFERROR(VALUE(REGEXEXTRACT(TO_TEXT($F672), Q$1 &amp; ""x(\d+)"")), """")"),"")</f>
        <v/>
      </c>
      <c r="R672" s="9" t="str">
        <f ca="1">IFERROR(__xludf.DUMMYFUNCTION("IFERROR(VALUE(REGEXEXTRACT(TO_TEXT($F672), R$1 &amp; ""x(\d+)"")), """")"),"")</f>
        <v/>
      </c>
      <c r="S672" s="9" t="str">
        <f ca="1">IFERROR(__xludf.DUMMYFUNCTION("IFERROR(VALUE(REGEXEXTRACT(TO_TEXT($F672), S$1 &amp; ""x(\d+)"")), """")"),"")</f>
        <v/>
      </c>
      <c r="T672" s="9" t="str">
        <f ca="1">IFERROR(__xludf.DUMMYFUNCTION("IFERROR(VALUE(REGEXEXTRACT(TO_TEXT($F672), T$1 &amp; ""x(\d+)"")), """")"),"")</f>
        <v/>
      </c>
      <c r="U672" s="9" t="str">
        <f ca="1">IFERROR(__xludf.DUMMYFUNCTION("IFERROR(VALUE(REGEXEXTRACT(TO_TEXT($F672), U$1 &amp; ""x(\d+)"")), """")"),"")</f>
        <v/>
      </c>
      <c r="V672" s="9" t="str">
        <f ca="1">IFERROR(__xludf.DUMMYFUNCTION("IFERROR(VALUE(REGEXEXTRACT(TO_TEXT($F672), V$1 &amp; ""x(\d+)"")), """")"),"")</f>
        <v/>
      </c>
      <c r="W672" s="9"/>
      <c r="X672" s="9"/>
      <c r="Y672" s="9"/>
      <c r="Z672" s="9"/>
    </row>
    <row r="673" spans="1:26" ht="15.75" customHeight="1">
      <c r="A673" s="9" t="s">
        <v>1759</v>
      </c>
      <c r="B673" s="9" t="s">
        <v>1760</v>
      </c>
      <c r="C673" s="9" t="s">
        <v>616</v>
      </c>
      <c r="D673" s="9" t="s">
        <v>33</v>
      </c>
      <c r="E673" s="9" t="s">
        <v>11</v>
      </c>
      <c r="F673" s="9" t="s">
        <v>1761</v>
      </c>
      <c r="G673" s="9">
        <v>100</v>
      </c>
      <c r="H673" s="9">
        <v>3</v>
      </c>
      <c r="I673" s="9">
        <v>1.0149999999999999</v>
      </c>
      <c r="J673" s="9">
        <v>98</v>
      </c>
      <c r="K673" s="9" t="s">
        <v>442</v>
      </c>
      <c r="L673" s="9"/>
      <c r="M673" s="9"/>
      <c r="N673" s="9">
        <f ca="1">IFERROR(__xludf.DUMMYFUNCTION("IFERROR(VALUE(REGEXEXTRACT(TO_TEXT($F673), N$1 &amp; ""x(\d+)"")), """")
"),1)</f>
        <v>1</v>
      </c>
      <c r="O673" s="9">
        <f ca="1">IFERROR(__xludf.DUMMYFUNCTION("IFERROR(VALUE(REGEXEXTRACT(TO_TEXT($F673), O$1 &amp; ""x(\d+)"")), """")"),1)</f>
        <v>1</v>
      </c>
      <c r="P673" s="9" t="str">
        <f ca="1">IFERROR(__xludf.DUMMYFUNCTION("IFERROR(VALUE(REGEXEXTRACT(TO_TEXT($F673), P$1 &amp; ""x(\d+)"")), """")"),"")</f>
        <v/>
      </c>
      <c r="Q673" s="9" t="str">
        <f ca="1">IFERROR(__xludf.DUMMYFUNCTION("IFERROR(VALUE(REGEXEXTRACT(TO_TEXT($F673), Q$1 &amp; ""x(\d+)"")), """")"),"")</f>
        <v/>
      </c>
      <c r="R673" s="9" t="str">
        <f ca="1">IFERROR(__xludf.DUMMYFUNCTION("IFERROR(VALUE(REGEXEXTRACT(TO_TEXT($F673), R$1 &amp; ""x(\d+)"")), """")"),"")</f>
        <v/>
      </c>
      <c r="S673" s="9" t="str">
        <f ca="1">IFERROR(__xludf.DUMMYFUNCTION("IFERROR(VALUE(REGEXEXTRACT(TO_TEXT($F673), S$1 &amp; ""x(\d+)"")), """")"),"")</f>
        <v/>
      </c>
      <c r="T673" s="9" t="str">
        <f ca="1">IFERROR(__xludf.DUMMYFUNCTION("IFERROR(VALUE(REGEXEXTRACT(TO_TEXT($F673), T$1 &amp; ""x(\d+)"")), """")"),"")</f>
        <v/>
      </c>
      <c r="U673" s="9" t="str">
        <f ca="1">IFERROR(__xludf.DUMMYFUNCTION("IFERROR(VALUE(REGEXEXTRACT(TO_TEXT($F673), U$1 &amp; ""x(\d+)"")), """")"),"")</f>
        <v/>
      </c>
      <c r="V673" s="9" t="str">
        <f ca="1">IFERROR(__xludf.DUMMYFUNCTION("IFERROR(VALUE(REGEXEXTRACT(TO_TEXT($F673), V$1 &amp; ""x(\d+)"")), """")"),"")</f>
        <v/>
      </c>
      <c r="W673" s="9"/>
      <c r="X673" s="9"/>
      <c r="Y673" s="9"/>
      <c r="Z673" s="9"/>
    </row>
    <row r="674" spans="1:26" ht="15.75" customHeight="1">
      <c r="A674" s="9" t="s">
        <v>1759</v>
      </c>
      <c r="B674" s="9" t="s">
        <v>1760</v>
      </c>
      <c r="C674" s="9" t="s">
        <v>616</v>
      </c>
      <c r="D674" s="9" t="s">
        <v>33</v>
      </c>
      <c r="E674" s="9" t="s">
        <v>12</v>
      </c>
      <c r="F674" s="9" t="s">
        <v>1762</v>
      </c>
      <c r="G674" s="9">
        <v>130</v>
      </c>
      <c r="H674" s="9">
        <v>3</v>
      </c>
      <c r="I674" s="9">
        <v>1.0149999999999999</v>
      </c>
      <c r="J674" s="9">
        <v>98</v>
      </c>
      <c r="K674" s="9" t="s">
        <v>442</v>
      </c>
      <c r="L674" s="9"/>
      <c r="M674" s="9"/>
      <c r="N674" s="9">
        <f ca="1">IFERROR(__xludf.DUMMYFUNCTION("IFERROR(VALUE(REGEXEXTRACT(TO_TEXT($F674), N$1 &amp; ""x(\d+)"")), """")
"),1)</f>
        <v>1</v>
      </c>
      <c r="O674" s="9">
        <f ca="1">IFERROR(__xludf.DUMMYFUNCTION("IFERROR(VALUE(REGEXEXTRACT(TO_TEXT($F674), O$1 &amp; ""x(\d+)"")), """")"),2)</f>
        <v>2</v>
      </c>
      <c r="P674" s="9" t="str">
        <f ca="1">IFERROR(__xludf.DUMMYFUNCTION("IFERROR(VALUE(REGEXEXTRACT(TO_TEXT($F674), P$1 &amp; ""x(\d+)"")), """")"),"")</f>
        <v/>
      </c>
      <c r="Q674" s="9" t="str">
        <f ca="1">IFERROR(__xludf.DUMMYFUNCTION("IFERROR(VALUE(REGEXEXTRACT(TO_TEXT($F674), Q$1 &amp; ""x(\d+)"")), """")"),"")</f>
        <v/>
      </c>
      <c r="R674" s="9" t="str">
        <f ca="1">IFERROR(__xludf.DUMMYFUNCTION("IFERROR(VALUE(REGEXEXTRACT(TO_TEXT($F674), R$1 &amp; ""x(\d+)"")), """")"),"")</f>
        <v/>
      </c>
      <c r="S674" s="9" t="str">
        <f ca="1">IFERROR(__xludf.DUMMYFUNCTION("IFERROR(VALUE(REGEXEXTRACT(TO_TEXT($F674), S$1 &amp; ""x(\d+)"")), """")"),"")</f>
        <v/>
      </c>
      <c r="T674" s="9" t="str">
        <f ca="1">IFERROR(__xludf.DUMMYFUNCTION("IFERROR(VALUE(REGEXEXTRACT(TO_TEXT($F674), T$1 &amp; ""x(\d+)"")), """")"),"")</f>
        <v/>
      </c>
      <c r="U674" s="9" t="str">
        <f ca="1">IFERROR(__xludf.DUMMYFUNCTION("IFERROR(VALUE(REGEXEXTRACT(TO_TEXT($F674), U$1 &amp; ""x(\d+)"")), """")"),"")</f>
        <v/>
      </c>
      <c r="V674" s="9" t="str">
        <f ca="1">IFERROR(__xludf.DUMMYFUNCTION("IFERROR(VALUE(REGEXEXTRACT(TO_TEXT($F674), V$1 &amp; ""x(\d+)"")), """")"),"")</f>
        <v/>
      </c>
      <c r="W674" s="9"/>
      <c r="X674" s="9"/>
      <c r="Y674" s="9"/>
      <c r="Z674" s="9"/>
    </row>
    <row r="675" spans="1:26" ht="15.75" customHeight="1">
      <c r="A675" s="9" t="s">
        <v>1759</v>
      </c>
      <c r="B675" s="9" t="s">
        <v>1760</v>
      </c>
      <c r="C675" s="9" t="s">
        <v>616</v>
      </c>
      <c r="D675" s="9" t="s">
        <v>33</v>
      </c>
      <c r="E675" s="9" t="s">
        <v>13</v>
      </c>
      <c r="F675" s="9" t="s">
        <v>1763</v>
      </c>
      <c r="G675" s="9">
        <v>30</v>
      </c>
      <c r="H675" s="9">
        <v>3</v>
      </c>
      <c r="I675" s="9">
        <v>1.0149999999999999</v>
      </c>
      <c r="J675" s="9">
        <v>98</v>
      </c>
      <c r="K675" s="9" t="s">
        <v>442</v>
      </c>
      <c r="L675" s="9"/>
      <c r="M675" s="9"/>
      <c r="N675" s="9">
        <f ca="1">IFERROR(__xludf.DUMMYFUNCTION("IFERROR(VALUE(REGEXEXTRACT(TO_TEXT($F675), N$1 &amp; ""x(\d+)"")), """")
"),1)</f>
        <v>1</v>
      </c>
      <c r="O675" s="9">
        <f ca="1">IFERROR(__xludf.DUMMYFUNCTION("IFERROR(VALUE(REGEXEXTRACT(TO_TEXT($F675), O$1 &amp; ""x(\d+)"")), """")"),2)</f>
        <v>2</v>
      </c>
      <c r="P675" s="9" t="str">
        <f ca="1">IFERROR(__xludf.DUMMYFUNCTION("IFERROR(VALUE(REGEXEXTRACT(TO_TEXT($F675), P$1 &amp; ""x(\d+)"")), """")"),"")</f>
        <v/>
      </c>
      <c r="Q675" s="9" t="str">
        <f ca="1">IFERROR(__xludf.DUMMYFUNCTION("IFERROR(VALUE(REGEXEXTRACT(TO_TEXT($F675), Q$1 &amp; ""x(\d+)"")), """")"),"")</f>
        <v/>
      </c>
      <c r="R675" s="9" t="str">
        <f ca="1">IFERROR(__xludf.DUMMYFUNCTION("IFERROR(VALUE(REGEXEXTRACT(TO_TEXT($F675), R$1 &amp; ""x(\d+)"")), """")"),"")</f>
        <v/>
      </c>
      <c r="S675" s="9" t="str">
        <f ca="1">IFERROR(__xludf.DUMMYFUNCTION("IFERROR(VALUE(REGEXEXTRACT(TO_TEXT($F675), S$1 &amp; ""x(\d+)"")), """")"),"")</f>
        <v/>
      </c>
      <c r="T675" s="9" t="str">
        <f ca="1">IFERROR(__xludf.DUMMYFUNCTION("IFERROR(VALUE(REGEXEXTRACT(TO_TEXT($F675), T$1 &amp; ""x(\d+)"")), """")"),"")</f>
        <v/>
      </c>
      <c r="U675" s="9" t="str">
        <f ca="1">IFERROR(__xludf.DUMMYFUNCTION("IFERROR(VALUE(REGEXEXTRACT(TO_TEXT($F675), U$1 &amp; ""x(\d+)"")), """")"),"")</f>
        <v/>
      </c>
      <c r="V675" s="9" t="str">
        <f ca="1">IFERROR(__xludf.DUMMYFUNCTION("IFERROR(VALUE(REGEXEXTRACT(TO_TEXT($F675), V$1 &amp; ""x(\d+)"")), """")"),"")</f>
        <v/>
      </c>
      <c r="W675" s="9"/>
      <c r="X675" s="9"/>
      <c r="Y675" s="9"/>
      <c r="Z675" s="9"/>
    </row>
    <row r="676" spans="1:26" ht="15.75" customHeight="1">
      <c r="A676" s="9" t="s">
        <v>1764</v>
      </c>
      <c r="B676" s="9" t="s">
        <v>1765</v>
      </c>
      <c r="C676" s="9" t="s">
        <v>611</v>
      </c>
      <c r="D676" s="9" t="s">
        <v>33</v>
      </c>
      <c r="E676" s="9" t="s">
        <v>11</v>
      </c>
      <c r="F676" s="9" t="s">
        <v>1766</v>
      </c>
      <c r="G676" s="9">
        <v>30</v>
      </c>
      <c r="H676" s="9">
        <v>5</v>
      </c>
      <c r="I676" s="9">
        <v>1.0149999999999999</v>
      </c>
      <c r="J676" s="9">
        <v>100</v>
      </c>
      <c r="K676" s="9" t="s">
        <v>442</v>
      </c>
      <c r="L676" s="9"/>
      <c r="M676" s="9"/>
      <c r="N676" s="9" t="str">
        <f ca="1">IFERROR(__xludf.DUMMYFUNCTION("IFERROR(VALUE(REGEXEXTRACT(TO_TEXT($F676), N$1 &amp; ""x(\d+)"")), """")
"),"")</f>
        <v/>
      </c>
      <c r="O676" s="9">
        <f ca="1">IFERROR(__xludf.DUMMYFUNCTION("IFERROR(VALUE(REGEXEXTRACT(TO_TEXT($F676), O$1 &amp; ""x(\d+)"")), """")"),1)</f>
        <v>1</v>
      </c>
      <c r="P676" s="9" t="str">
        <f ca="1">IFERROR(__xludf.DUMMYFUNCTION("IFERROR(VALUE(REGEXEXTRACT(TO_TEXT($F676), P$1 &amp; ""x(\d+)"")), """")"),"")</f>
        <v/>
      </c>
      <c r="Q676" s="9" t="str">
        <f ca="1">IFERROR(__xludf.DUMMYFUNCTION("IFERROR(VALUE(REGEXEXTRACT(TO_TEXT($F676), Q$1 &amp; ""x(\d+)"")), """")"),"")</f>
        <v/>
      </c>
      <c r="R676" s="9" t="str">
        <f ca="1">IFERROR(__xludf.DUMMYFUNCTION("IFERROR(VALUE(REGEXEXTRACT(TO_TEXT($F676), R$1 &amp; ""x(\d+)"")), """")"),"")</f>
        <v/>
      </c>
      <c r="S676" s="9" t="str">
        <f ca="1">IFERROR(__xludf.DUMMYFUNCTION("IFERROR(VALUE(REGEXEXTRACT(TO_TEXT($F676), S$1 &amp; ""x(\d+)"")), """")"),"")</f>
        <v/>
      </c>
      <c r="T676" s="9" t="str">
        <f ca="1">IFERROR(__xludf.DUMMYFUNCTION("IFERROR(VALUE(REGEXEXTRACT(TO_TEXT($F676), T$1 &amp; ""x(\d+)"")), """")"),"")</f>
        <v/>
      </c>
      <c r="U676" s="9" t="str">
        <f ca="1">IFERROR(__xludf.DUMMYFUNCTION("IFERROR(VALUE(REGEXEXTRACT(TO_TEXT($F676), U$1 &amp; ""x(\d+)"")), """")"),"")</f>
        <v/>
      </c>
      <c r="V676" s="9" t="str">
        <f ca="1">IFERROR(__xludf.DUMMYFUNCTION("IFERROR(VALUE(REGEXEXTRACT(TO_TEXT($F676), V$1 &amp; ""x(\d+)"")), """")"),"")</f>
        <v/>
      </c>
      <c r="W676" s="9"/>
      <c r="X676" s="9"/>
      <c r="Y676" s="9"/>
      <c r="Z676" s="9"/>
    </row>
    <row r="677" spans="1:26" ht="15.75" customHeight="1">
      <c r="A677" s="9" t="s">
        <v>1764</v>
      </c>
      <c r="B677" s="9" t="s">
        <v>1765</v>
      </c>
      <c r="C677" s="9" t="s">
        <v>611</v>
      </c>
      <c r="D677" s="9" t="s">
        <v>33</v>
      </c>
      <c r="E677" s="9" t="s">
        <v>12</v>
      </c>
      <c r="F677" s="9" t="s">
        <v>1767</v>
      </c>
      <c r="G677" s="9">
        <v>75</v>
      </c>
      <c r="H677" s="9">
        <v>5</v>
      </c>
      <c r="I677" s="9">
        <v>1.0149999999999999</v>
      </c>
      <c r="J677" s="9">
        <v>100</v>
      </c>
      <c r="K677" s="9" t="s">
        <v>442</v>
      </c>
      <c r="L677" s="9" t="s">
        <v>1210</v>
      </c>
      <c r="M677" s="9"/>
      <c r="N677" s="9" t="str">
        <f ca="1">IFERROR(__xludf.DUMMYFUNCTION("IFERROR(VALUE(REGEXEXTRACT(TO_TEXT($F677), N$1 &amp; ""x(\d+)"")), """")
"),"")</f>
        <v/>
      </c>
      <c r="O677" s="9">
        <f ca="1">IFERROR(__xludf.DUMMYFUNCTION("IFERROR(VALUE(REGEXEXTRACT(TO_TEXT($F677), O$1 &amp; ""x(\d+)"")), """")"),1)</f>
        <v>1</v>
      </c>
      <c r="P677" s="9" t="str">
        <f ca="1">IFERROR(__xludf.DUMMYFUNCTION("IFERROR(VALUE(REGEXEXTRACT(TO_TEXT($F677), P$1 &amp; ""x(\d+)"")), """")"),"")</f>
        <v/>
      </c>
      <c r="Q677" s="9" t="str">
        <f ca="1">IFERROR(__xludf.DUMMYFUNCTION("IFERROR(VALUE(REGEXEXTRACT(TO_TEXT($F677), Q$1 &amp; ""x(\d+)"")), """")"),"")</f>
        <v/>
      </c>
      <c r="R677" s="9" t="str">
        <f ca="1">IFERROR(__xludf.DUMMYFUNCTION("IFERROR(VALUE(REGEXEXTRACT(TO_TEXT($F677), R$1 &amp; ""x(\d+)"")), """")"),"")</f>
        <v/>
      </c>
      <c r="S677" s="9" t="str">
        <f ca="1">IFERROR(__xludf.DUMMYFUNCTION("IFERROR(VALUE(REGEXEXTRACT(TO_TEXT($F677), S$1 &amp; ""x(\d+)"")), """")"),"")</f>
        <v/>
      </c>
      <c r="T677" s="9" t="str">
        <f ca="1">IFERROR(__xludf.DUMMYFUNCTION("IFERROR(VALUE(REGEXEXTRACT(TO_TEXT($F677), T$1 &amp; ""x(\d+)"")), """")"),"")</f>
        <v/>
      </c>
      <c r="U677" s="9" t="str">
        <f ca="1">IFERROR(__xludf.DUMMYFUNCTION("IFERROR(VALUE(REGEXEXTRACT(TO_TEXT($F677), U$1 &amp; ""x(\d+)"")), """")"),"")</f>
        <v/>
      </c>
      <c r="V677" s="9" t="str">
        <f ca="1">IFERROR(__xludf.DUMMYFUNCTION("IFERROR(VALUE(REGEXEXTRACT(TO_TEXT($F677), V$1 &amp; ""x(\d+)"")), """")"),"")</f>
        <v/>
      </c>
      <c r="W677" s="9"/>
      <c r="X677" s="9"/>
      <c r="Y677" s="9"/>
      <c r="Z677" s="9"/>
    </row>
    <row r="678" spans="1:26" ht="15.75" customHeight="1">
      <c r="A678" s="9" t="s">
        <v>1764</v>
      </c>
      <c r="B678" s="9" t="s">
        <v>1765</v>
      </c>
      <c r="C678" s="9" t="s">
        <v>611</v>
      </c>
      <c r="D678" s="9" t="s">
        <v>33</v>
      </c>
      <c r="E678" s="9" t="s">
        <v>13</v>
      </c>
      <c r="F678" s="9" t="s">
        <v>1130</v>
      </c>
      <c r="G678" s="9">
        <v>15</v>
      </c>
      <c r="H678" s="9">
        <v>5</v>
      </c>
      <c r="I678" s="9">
        <v>1.0149999999999999</v>
      </c>
      <c r="J678" s="9">
        <v>100</v>
      </c>
      <c r="K678" s="9" t="s">
        <v>442</v>
      </c>
      <c r="L678" s="9"/>
      <c r="M678" s="9"/>
      <c r="N678" s="9" t="str">
        <f ca="1">IFERROR(__xludf.DUMMYFUNCTION("IFERROR(VALUE(REGEXEXTRACT(TO_TEXT($F678), N$1 &amp; ""x(\d+)"")), """")
"),"")</f>
        <v/>
      </c>
      <c r="O678" s="9">
        <f ca="1">IFERROR(__xludf.DUMMYFUNCTION("IFERROR(VALUE(REGEXEXTRACT(TO_TEXT($F678), O$1 &amp; ""x(\d+)"")), """")"),1)</f>
        <v>1</v>
      </c>
      <c r="P678" s="9" t="str">
        <f ca="1">IFERROR(__xludf.DUMMYFUNCTION("IFERROR(VALUE(REGEXEXTRACT(TO_TEXT($F678), P$1 &amp; ""x(\d+)"")), """")"),"")</f>
        <v/>
      </c>
      <c r="Q678" s="9" t="str">
        <f ca="1">IFERROR(__xludf.DUMMYFUNCTION("IFERROR(VALUE(REGEXEXTRACT(TO_TEXT($F678), Q$1 &amp; ""x(\d+)"")), """")"),"")</f>
        <v/>
      </c>
      <c r="R678" s="9" t="str">
        <f ca="1">IFERROR(__xludf.DUMMYFUNCTION("IFERROR(VALUE(REGEXEXTRACT(TO_TEXT($F678), R$1 &amp; ""x(\d+)"")), """")"),"")</f>
        <v/>
      </c>
      <c r="S678" s="9" t="str">
        <f ca="1">IFERROR(__xludf.DUMMYFUNCTION("IFERROR(VALUE(REGEXEXTRACT(TO_TEXT($F678), S$1 &amp; ""x(\d+)"")), """")"),"")</f>
        <v/>
      </c>
      <c r="T678" s="9" t="str">
        <f ca="1">IFERROR(__xludf.DUMMYFUNCTION("IFERROR(VALUE(REGEXEXTRACT(TO_TEXT($F678), T$1 &amp; ""x(\d+)"")), """")"),"")</f>
        <v/>
      </c>
      <c r="U678" s="9" t="str">
        <f ca="1">IFERROR(__xludf.DUMMYFUNCTION("IFERROR(VALUE(REGEXEXTRACT(TO_TEXT($F678), U$1 &amp; ""x(\d+)"")), """")"),"")</f>
        <v/>
      </c>
      <c r="V678" s="9" t="str">
        <f ca="1">IFERROR(__xludf.DUMMYFUNCTION("IFERROR(VALUE(REGEXEXTRACT(TO_TEXT($F678), V$1 &amp; ""x(\d+)"")), """")"),"")</f>
        <v/>
      </c>
      <c r="W678" s="9"/>
      <c r="X678" s="9"/>
      <c r="Y678" s="9"/>
      <c r="Z678" s="9"/>
    </row>
    <row r="679" spans="1:26" ht="15.75" hidden="1" customHeight="1">
      <c r="A679" s="9" t="s">
        <v>1768</v>
      </c>
      <c r="B679" s="9" t="s">
        <v>1769</v>
      </c>
      <c r="C679" s="9" t="s">
        <v>613</v>
      </c>
      <c r="D679" s="9" t="s">
        <v>48</v>
      </c>
      <c r="E679" s="9" t="s">
        <v>11</v>
      </c>
      <c r="F679" s="9" t="s">
        <v>1337</v>
      </c>
      <c r="G679" s="9">
        <v>30</v>
      </c>
      <c r="H679" s="9">
        <v>5</v>
      </c>
      <c r="I679" s="9">
        <v>1.0149999999999999</v>
      </c>
      <c r="J679" s="9">
        <v>52</v>
      </c>
      <c r="K679" s="9" t="s">
        <v>424</v>
      </c>
      <c r="L679" s="9"/>
      <c r="M679" s="9"/>
      <c r="N679" s="9" t="str">
        <f ca="1">IFERROR(__xludf.DUMMYFUNCTION("IFERROR(VALUE(REGEXEXTRACT(TO_TEXT($F679), N$1 &amp; ""x(\d+)"")), """")
"),"")</f>
        <v/>
      </c>
      <c r="O679" s="9" t="str">
        <f ca="1">IFERROR(__xludf.DUMMYFUNCTION("IFERROR(VALUE(REGEXEXTRACT(TO_TEXT($F679), O$1 &amp; ""x(\d+)"")), """")"),"")</f>
        <v/>
      </c>
      <c r="P679" s="9" t="str">
        <f ca="1">IFERROR(__xludf.DUMMYFUNCTION("IFERROR(VALUE(REGEXEXTRACT(TO_TEXT($F679), P$1 &amp; ""x(\d+)"")), """")"),"")</f>
        <v/>
      </c>
      <c r="Q679" s="9" t="str">
        <f ca="1">IFERROR(__xludf.DUMMYFUNCTION("IFERROR(VALUE(REGEXEXTRACT(TO_TEXT($F679), Q$1 &amp; ""x(\d+)"")), """")"),"")</f>
        <v/>
      </c>
      <c r="R679" s="9" t="str">
        <f ca="1">IFERROR(__xludf.DUMMYFUNCTION("IFERROR(VALUE(REGEXEXTRACT(TO_TEXT($F679), R$1 &amp; ""x(\d+)"")), """")"),"")</f>
        <v/>
      </c>
      <c r="S679" s="9" t="str">
        <f ca="1">IFERROR(__xludf.DUMMYFUNCTION("IFERROR(VALUE(REGEXEXTRACT(TO_TEXT($F679), S$1 &amp; ""x(\d+)"")), """")"),"")</f>
        <v/>
      </c>
      <c r="T679" s="9" t="str">
        <f ca="1">IFERROR(__xludf.DUMMYFUNCTION("IFERROR(VALUE(REGEXEXTRACT(TO_TEXT($F679), T$1 &amp; ""x(\d+)"")), """")"),"")</f>
        <v/>
      </c>
      <c r="U679" s="9" t="str">
        <f ca="1">IFERROR(__xludf.DUMMYFUNCTION("IFERROR(VALUE(REGEXEXTRACT(TO_TEXT($F679), U$1 &amp; ""x(\d+)"")), """")"),"")</f>
        <v/>
      </c>
      <c r="V679" s="9" t="str">
        <f ca="1">IFERROR(__xludf.DUMMYFUNCTION("IFERROR(VALUE(REGEXEXTRACT(TO_TEXT($F679), V$1 &amp; ""x(\d+)"")), """")"),"")</f>
        <v/>
      </c>
      <c r="W679" s="9"/>
      <c r="X679" s="9"/>
      <c r="Y679" s="9"/>
      <c r="Z679" s="9"/>
    </row>
    <row r="680" spans="1:26" ht="15.75" hidden="1" customHeight="1">
      <c r="A680" s="9" t="s">
        <v>1768</v>
      </c>
      <c r="B680" s="9" t="s">
        <v>1769</v>
      </c>
      <c r="C680" s="9" t="s">
        <v>613</v>
      </c>
      <c r="D680" s="9" t="s">
        <v>48</v>
      </c>
      <c r="E680" s="9" t="s">
        <v>12</v>
      </c>
      <c r="F680" s="9" t="s">
        <v>1302</v>
      </c>
      <c r="G680" s="9">
        <v>140</v>
      </c>
      <c r="H680" s="9">
        <v>5</v>
      </c>
      <c r="I680" s="9">
        <v>1.0149999999999999</v>
      </c>
      <c r="J680" s="9">
        <v>52</v>
      </c>
      <c r="K680" s="9" t="s">
        <v>424</v>
      </c>
      <c r="L680" s="9" t="s">
        <v>1210</v>
      </c>
      <c r="M680" s="9"/>
      <c r="N680" s="9" t="str">
        <f ca="1">IFERROR(__xludf.DUMMYFUNCTION("IFERROR(VALUE(REGEXEXTRACT(TO_TEXT($F680), N$1 &amp; ""x(\d+)"")), """")
"),"")</f>
        <v/>
      </c>
      <c r="O680" s="9" t="str">
        <f ca="1">IFERROR(__xludf.DUMMYFUNCTION("IFERROR(VALUE(REGEXEXTRACT(TO_TEXT($F680), O$1 &amp; ""x(\d+)"")), """")"),"")</f>
        <v/>
      </c>
      <c r="P680" s="9">
        <f ca="1">IFERROR(__xludf.DUMMYFUNCTION("IFERROR(VALUE(REGEXEXTRACT(TO_TEXT($F680), P$1 &amp; ""x(\d+)"")), """")"),1)</f>
        <v>1</v>
      </c>
      <c r="Q680" s="9" t="str">
        <f ca="1">IFERROR(__xludf.DUMMYFUNCTION("IFERROR(VALUE(REGEXEXTRACT(TO_TEXT($F680), Q$1 &amp; ""x(\d+)"")), """")"),"")</f>
        <v/>
      </c>
      <c r="R680" s="9" t="str">
        <f ca="1">IFERROR(__xludf.DUMMYFUNCTION("IFERROR(VALUE(REGEXEXTRACT(TO_TEXT($F680), R$1 &amp; ""x(\d+)"")), """")"),"")</f>
        <v/>
      </c>
      <c r="S680" s="9" t="str">
        <f ca="1">IFERROR(__xludf.DUMMYFUNCTION("IFERROR(VALUE(REGEXEXTRACT(TO_TEXT($F680), S$1 &amp; ""x(\d+)"")), """")"),"")</f>
        <v/>
      </c>
      <c r="T680" s="9" t="str">
        <f ca="1">IFERROR(__xludf.DUMMYFUNCTION("IFERROR(VALUE(REGEXEXTRACT(TO_TEXT($F680), T$1 &amp; ""x(\d+)"")), """")"),"")</f>
        <v/>
      </c>
      <c r="U680" s="9" t="str">
        <f ca="1">IFERROR(__xludf.DUMMYFUNCTION("IFERROR(VALUE(REGEXEXTRACT(TO_TEXT($F680), U$1 &amp; ""x(\d+)"")), """")"),"")</f>
        <v/>
      </c>
      <c r="V680" s="9" t="str">
        <f ca="1">IFERROR(__xludf.DUMMYFUNCTION("IFERROR(VALUE(REGEXEXTRACT(TO_TEXT($F680), V$1 &amp; ""x(\d+)"")), """")"),"")</f>
        <v/>
      </c>
      <c r="W680" s="9"/>
      <c r="X680" s="9"/>
      <c r="Y680" s="9"/>
      <c r="Z680" s="9"/>
    </row>
    <row r="681" spans="1:26" ht="15.75" hidden="1" customHeight="1">
      <c r="A681" s="9" t="s">
        <v>1768</v>
      </c>
      <c r="B681" s="9" t="s">
        <v>1769</v>
      </c>
      <c r="C681" s="9" t="s">
        <v>613</v>
      </c>
      <c r="D681" s="9" t="s">
        <v>48</v>
      </c>
      <c r="E681" s="9" t="s">
        <v>13</v>
      </c>
      <c r="F681" s="9" t="s">
        <v>1216</v>
      </c>
      <c r="G681" s="9">
        <v>30</v>
      </c>
      <c r="H681" s="9">
        <v>5</v>
      </c>
      <c r="I681" s="9">
        <v>1.0149999999999999</v>
      </c>
      <c r="J681" s="9">
        <v>52</v>
      </c>
      <c r="K681" s="9" t="s">
        <v>424</v>
      </c>
      <c r="L681" s="9"/>
      <c r="M681" s="9"/>
      <c r="N681" s="9" t="str">
        <f ca="1">IFERROR(__xludf.DUMMYFUNCTION("IFERROR(VALUE(REGEXEXTRACT(TO_TEXT($F681), N$1 &amp; ""x(\d+)"")), """")
"),"")</f>
        <v/>
      </c>
      <c r="O681" s="9" t="str">
        <f ca="1">IFERROR(__xludf.DUMMYFUNCTION("IFERROR(VALUE(REGEXEXTRACT(TO_TEXT($F681), O$1 &amp; ""x(\d+)"")), """")"),"")</f>
        <v/>
      </c>
      <c r="P681" s="9">
        <f ca="1">IFERROR(__xludf.DUMMYFUNCTION("IFERROR(VALUE(REGEXEXTRACT(TO_TEXT($F681), P$1 &amp; ""x(\d+)"")), """")"),1)</f>
        <v>1</v>
      </c>
      <c r="Q681" s="9" t="str">
        <f ca="1">IFERROR(__xludf.DUMMYFUNCTION("IFERROR(VALUE(REGEXEXTRACT(TO_TEXT($F681), Q$1 &amp; ""x(\d+)"")), """")"),"")</f>
        <v/>
      </c>
      <c r="R681" s="9" t="str">
        <f ca="1">IFERROR(__xludf.DUMMYFUNCTION("IFERROR(VALUE(REGEXEXTRACT(TO_TEXT($F681), R$1 &amp; ""x(\d+)"")), """")"),"")</f>
        <v/>
      </c>
      <c r="S681" s="9" t="str">
        <f ca="1">IFERROR(__xludf.DUMMYFUNCTION("IFERROR(VALUE(REGEXEXTRACT(TO_TEXT($F681), S$1 &amp; ""x(\d+)"")), """")"),"")</f>
        <v/>
      </c>
      <c r="T681" s="9" t="str">
        <f ca="1">IFERROR(__xludf.DUMMYFUNCTION("IFERROR(VALUE(REGEXEXTRACT(TO_TEXT($F681), T$1 &amp; ""x(\d+)"")), """")"),"")</f>
        <v/>
      </c>
      <c r="U681" s="9" t="str">
        <f ca="1">IFERROR(__xludf.DUMMYFUNCTION("IFERROR(VALUE(REGEXEXTRACT(TO_TEXT($F681), U$1 &amp; ""x(\d+)"")), """")"),"")</f>
        <v/>
      </c>
      <c r="V681" s="9" t="str">
        <f ca="1">IFERROR(__xludf.DUMMYFUNCTION("IFERROR(VALUE(REGEXEXTRACT(TO_TEXT($F681), V$1 &amp; ""x(\d+)"")), """")"),"")</f>
        <v/>
      </c>
      <c r="W681" s="9"/>
      <c r="X681" s="9"/>
      <c r="Y681" s="9"/>
      <c r="Z681" s="9"/>
    </row>
    <row r="682" spans="1:26" ht="15.75" hidden="1" customHeight="1">
      <c r="A682" s="9" t="s">
        <v>1770</v>
      </c>
      <c r="B682" s="9" t="s">
        <v>1771</v>
      </c>
      <c r="C682" s="9" t="s">
        <v>727</v>
      </c>
      <c r="D682" s="9" t="s">
        <v>40</v>
      </c>
      <c r="E682" s="9" t="s">
        <v>11</v>
      </c>
      <c r="F682" s="9" t="s">
        <v>1772</v>
      </c>
      <c r="G682" s="9">
        <v>40</v>
      </c>
      <c r="H682" s="9">
        <v>3</v>
      </c>
      <c r="I682" s="9">
        <v>1.0149999999999999</v>
      </c>
      <c r="J682" s="9">
        <v>412</v>
      </c>
      <c r="K682" s="9" t="s">
        <v>442</v>
      </c>
      <c r="L682" s="9"/>
      <c r="M682" s="9"/>
      <c r="N682" s="9" t="str">
        <f ca="1">IFERROR(__xludf.DUMMYFUNCTION("IFERROR(VALUE(REGEXEXTRACT(TO_TEXT($F682), N$1 &amp; ""x(\d+)"")), """")
"),"")</f>
        <v/>
      </c>
      <c r="O682" s="9" t="str">
        <f ca="1">IFERROR(__xludf.DUMMYFUNCTION("IFERROR(VALUE(REGEXEXTRACT(TO_TEXT($F682), O$1 &amp; ""x(\d+)"")), """")"),"")</f>
        <v/>
      </c>
      <c r="P682" s="9" t="str">
        <f ca="1">IFERROR(__xludf.DUMMYFUNCTION("IFERROR(VALUE(REGEXEXTRACT(TO_TEXT($F682), P$1 &amp; ""x(\d+)"")), """")"),"")</f>
        <v/>
      </c>
      <c r="Q682" s="9" t="str">
        <f ca="1">IFERROR(__xludf.DUMMYFUNCTION("IFERROR(VALUE(REGEXEXTRACT(TO_TEXT($F682), Q$1 &amp; ""x(\d+)"")), """")"),"")</f>
        <v/>
      </c>
      <c r="R682" s="9" t="str">
        <f ca="1">IFERROR(__xludf.DUMMYFUNCTION("IFERROR(VALUE(REGEXEXTRACT(TO_TEXT($F682), R$1 &amp; ""x(\d+)"")), """")"),"")</f>
        <v/>
      </c>
      <c r="S682" s="9" t="str">
        <f ca="1">IFERROR(__xludf.DUMMYFUNCTION("IFERROR(VALUE(REGEXEXTRACT(TO_TEXT($F682), S$1 &amp; ""x(\d+)"")), """")"),"")</f>
        <v/>
      </c>
      <c r="T682" s="9" t="str">
        <f ca="1">IFERROR(__xludf.DUMMYFUNCTION("IFERROR(VALUE(REGEXEXTRACT(TO_TEXT($F682), T$1 &amp; ""x(\d+)"")), """")"),"")</f>
        <v/>
      </c>
      <c r="U682" s="9" t="str">
        <f ca="1">IFERROR(__xludf.DUMMYFUNCTION("IFERROR(VALUE(REGEXEXTRACT(TO_TEXT($F682), U$1 &amp; ""x(\d+)"")), """")"),"")</f>
        <v/>
      </c>
      <c r="V682" s="9" t="str">
        <f ca="1">IFERROR(__xludf.DUMMYFUNCTION("IFERROR(VALUE(REGEXEXTRACT(TO_TEXT($F682), V$1 &amp; ""x(\d+)"")), """")"),"")</f>
        <v/>
      </c>
      <c r="W682" s="9"/>
      <c r="X682" s="9"/>
      <c r="Y682" s="9"/>
      <c r="Z682" s="9"/>
    </row>
    <row r="683" spans="1:26" ht="15.75" hidden="1" customHeight="1">
      <c r="A683" s="9" t="s">
        <v>1770</v>
      </c>
      <c r="B683" s="9" t="s">
        <v>1771</v>
      </c>
      <c r="C683" s="9" t="s">
        <v>727</v>
      </c>
      <c r="D683" s="9" t="s">
        <v>40</v>
      </c>
      <c r="E683" s="9" t="s">
        <v>12</v>
      </c>
      <c r="F683" s="9" t="s">
        <v>1510</v>
      </c>
      <c r="G683" s="9">
        <v>130</v>
      </c>
      <c r="H683" s="9">
        <v>3</v>
      </c>
      <c r="I683" s="9">
        <v>1.0149999999999999</v>
      </c>
      <c r="J683" s="9">
        <v>412</v>
      </c>
      <c r="K683" s="9" t="s">
        <v>442</v>
      </c>
      <c r="L683" s="9" t="s">
        <v>1210</v>
      </c>
      <c r="M683" s="9"/>
      <c r="N683" s="9" t="str">
        <f ca="1">IFERROR(__xludf.DUMMYFUNCTION("IFERROR(VALUE(REGEXEXTRACT(TO_TEXT($F683), N$1 &amp; ""x(\d+)"")), """")
"),"")</f>
        <v/>
      </c>
      <c r="O683" s="9">
        <f ca="1">IFERROR(__xludf.DUMMYFUNCTION("IFERROR(VALUE(REGEXEXTRACT(TO_TEXT($F683), O$1 &amp; ""x(\d+)"")), """")"),1)</f>
        <v>1</v>
      </c>
      <c r="P683" s="9" t="str">
        <f ca="1">IFERROR(__xludf.DUMMYFUNCTION("IFERROR(VALUE(REGEXEXTRACT(TO_TEXT($F683), P$1 &amp; ""x(\d+)"")), """")"),"")</f>
        <v/>
      </c>
      <c r="Q683" s="9" t="str">
        <f ca="1">IFERROR(__xludf.DUMMYFUNCTION("IFERROR(VALUE(REGEXEXTRACT(TO_TEXT($F683), Q$1 &amp; ""x(\d+)"")), """")"),"")</f>
        <v/>
      </c>
      <c r="R683" s="9" t="str">
        <f ca="1">IFERROR(__xludf.DUMMYFUNCTION("IFERROR(VALUE(REGEXEXTRACT(TO_TEXT($F683), R$1 &amp; ""x(\d+)"")), """")"),"")</f>
        <v/>
      </c>
      <c r="S683" s="9">
        <f ca="1">IFERROR(__xludf.DUMMYFUNCTION("IFERROR(VALUE(REGEXEXTRACT(TO_TEXT($F683), S$1 &amp; ""x(\d+)"")), """")"),1)</f>
        <v>1</v>
      </c>
      <c r="T683" s="9" t="str">
        <f ca="1">IFERROR(__xludf.DUMMYFUNCTION("IFERROR(VALUE(REGEXEXTRACT(TO_TEXT($F683), T$1 &amp; ""x(\d+)"")), """")"),"")</f>
        <v/>
      </c>
      <c r="U683" s="9" t="str">
        <f ca="1">IFERROR(__xludf.DUMMYFUNCTION("IFERROR(VALUE(REGEXEXTRACT(TO_TEXT($F683), U$1 &amp; ""x(\d+)"")), """")"),"")</f>
        <v/>
      </c>
      <c r="V683" s="9" t="str">
        <f ca="1">IFERROR(__xludf.DUMMYFUNCTION("IFERROR(VALUE(REGEXEXTRACT(TO_TEXT($F683), V$1 &amp; ""x(\d+)"")), """")"),"")</f>
        <v/>
      </c>
      <c r="W683" s="9"/>
      <c r="X683" s="9"/>
      <c r="Y683" s="9"/>
      <c r="Z683" s="9"/>
    </row>
    <row r="684" spans="1:26" ht="15.75" hidden="1" customHeight="1">
      <c r="A684" s="9" t="s">
        <v>1770</v>
      </c>
      <c r="B684" s="9" t="s">
        <v>1771</v>
      </c>
      <c r="C684" s="9" t="s">
        <v>727</v>
      </c>
      <c r="D684" s="9" t="s">
        <v>40</v>
      </c>
      <c r="E684" s="9" t="s">
        <v>13</v>
      </c>
      <c r="F684" s="9" t="s">
        <v>1511</v>
      </c>
      <c r="G684" s="9">
        <v>30</v>
      </c>
      <c r="H684" s="9">
        <v>3</v>
      </c>
      <c r="I684" s="9">
        <v>1.0149999999999999</v>
      </c>
      <c r="J684" s="9">
        <v>412</v>
      </c>
      <c r="K684" s="9" t="s">
        <v>442</v>
      </c>
      <c r="L684" s="9"/>
      <c r="M684" s="9"/>
      <c r="N684" s="9" t="str">
        <f ca="1">IFERROR(__xludf.DUMMYFUNCTION("IFERROR(VALUE(REGEXEXTRACT(TO_TEXT($F684), N$1 &amp; ""x(\d+)"")), """")
"),"")</f>
        <v/>
      </c>
      <c r="O684" s="9">
        <f ca="1">IFERROR(__xludf.DUMMYFUNCTION("IFERROR(VALUE(REGEXEXTRACT(TO_TEXT($F684), O$1 &amp; ""x(\d+)"")), """")"),1)</f>
        <v>1</v>
      </c>
      <c r="P684" s="9" t="str">
        <f ca="1">IFERROR(__xludf.DUMMYFUNCTION("IFERROR(VALUE(REGEXEXTRACT(TO_TEXT($F684), P$1 &amp; ""x(\d+)"")), """")"),"")</f>
        <v/>
      </c>
      <c r="Q684" s="9" t="str">
        <f ca="1">IFERROR(__xludf.DUMMYFUNCTION("IFERROR(VALUE(REGEXEXTRACT(TO_TEXT($F684), Q$1 &amp; ""x(\d+)"")), """")"),"")</f>
        <v/>
      </c>
      <c r="R684" s="9" t="str">
        <f ca="1">IFERROR(__xludf.DUMMYFUNCTION("IFERROR(VALUE(REGEXEXTRACT(TO_TEXT($F684), R$1 &amp; ""x(\d+)"")), """")"),"")</f>
        <v/>
      </c>
      <c r="S684" s="9">
        <f ca="1">IFERROR(__xludf.DUMMYFUNCTION("IFERROR(VALUE(REGEXEXTRACT(TO_TEXT($F684), S$1 &amp; ""x(\d+)"")), """")"),1)</f>
        <v>1</v>
      </c>
      <c r="T684" s="9" t="str">
        <f ca="1">IFERROR(__xludf.DUMMYFUNCTION("IFERROR(VALUE(REGEXEXTRACT(TO_TEXT($F684), T$1 &amp; ""x(\d+)"")), """")"),"")</f>
        <v/>
      </c>
      <c r="U684" s="9" t="str">
        <f ca="1">IFERROR(__xludf.DUMMYFUNCTION("IFERROR(VALUE(REGEXEXTRACT(TO_TEXT($F684), U$1 &amp; ""x(\d+)"")), """")"),"")</f>
        <v/>
      </c>
      <c r="V684" s="9" t="str">
        <f ca="1">IFERROR(__xludf.DUMMYFUNCTION("IFERROR(VALUE(REGEXEXTRACT(TO_TEXT($F684), V$1 &amp; ""x(\d+)"")), """")"),"")</f>
        <v/>
      </c>
      <c r="W684" s="9"/>
      <c r="X684" s="9"/>
      <c r="Y684" s="9"/>
      <c r="Z684" s="9"/>
    </row>
    <row r="685" spans="1:26" ht="15.75" customHeight="1">
      <c r="A685" s="9" t="s">
        <v>1773</v>
      </c>
      <c r="B685" s="9" t="s">
        <v>1774</v>
      </c>
      <c r="C685" s="9" t="s">
        <v>729</v>
      </c>
      <c r="D685" s="9" t="s">
        <v>33</v>
      </c>
      <c r="E685" s="9" t="s">
        <v>11</v>
      </c>
      <c r="F685" s="9" t="s">
        <v>1775</v>
      </c>
      <c r="G685" s="9">
        <v>35</v>
      </c>
      <c r="H685" s="9">
        <v>6</v>
      </c>
      <c r="I685" s="9">
        <v>1.0149999999999999</v>
      </c>
      <c r="J685" s="9">
        <v>100</v>
      </c>
      <c r="K685" s="9" t="s">
        <v>442</v>
      </c>
      <c r="L685" s="9"/>
      <c r="M685" s="9"/>
      <c r="N685" s="9" t="str">
        <f ca="1">IFERROR(__xludf.DUMMYFUNCTION("IFERROR(VALUE(REGEXEXTRACT(TO_TEXT($F685), N$1 &amp; ""x(\d+)"")), """")
"),"")</f>
        <v/>
      </c>
      <c r="O685" s="9" t="str">
        <f ca="1">IFERROR(__xludf.DUMMYFUNCTION("IFERROR(VALUE(REGEXEXTRACT(TO_TEXT($F685), O$1 &amp; ""x(\d+)"")), """")"),"")</f>
        <v/>
      </c>
      <c r="P685" s="9" t="str">
        <f ca="1">IFERROR(__xludf.DUMMYFUNCTION("IFERROR(VALUE(REGEXEXTRACT(TO_TEXT($F685), P$1 &amp; ""x(\d+)"")), """")"),"")</f>
        <v/>
      </c>
      <c r="Q685" s="9" t="str">
        <f ca="1">IFERROR(__xludf.DUMMYFUNCTION("IFERROR(VALUE(REGEXEXTRACT(TO_TEXT($F685), Q$1 &amp; ""x(\d+)"")), """")"),"")</f>
        <v/>
      </c>
      <c r="R685" s="9" t="str">
        <f ca="1">IFERROR(__xludf.DUMMYFUNCTION("IFERROR(VALUE(REGEXEXTRACT(TO_TEXT($F685), R$1 &amp; ""x(\d+)"")), """")"),"")</f>
        <v/>
      </c>
      <c r="S685" s="9" t="str">
        <f ca="1">IFERROR(__xludf.DUMMYFUNCTION("IFERROR(VALUE(REGEXEXTRACT(TO_TEXT($F685), S$1 &amp; ""x(\d+)"")), """")"),"")</f>
        <v/>
      </c>
      <c r="T685" s="9" t="str">
        <f ca="1">IFERROR(__xludf.DUMMYFUNCTION("IFERROR(VALUE(REGEXEXTRACT(TO_TEXT($F685), T$1 &amp; ""x(\d+)"")), """")"),"")</f>
        <v/>
      </c>
      <c r="U685" s="9" t="str">
        <f ca="1">IFERROR(__xludf.DUMMYFUNCTION("IFERROR(VALUE(REGEXEXTRACT(TO_TEXT($F685), U$1 &amp; ""x(\d+)"")), """")"),"")</f>
        <v/>
      </c>
      <c r="V685" s="9" t="str">
        <f ca="1">IFERROR(__xludf.DUMMYFUNCTION("IFERROR(VALUE(REGEXEXTRACT(TO_TEXT($F685), V$1 &amp; ""x(\d+)"")), """")"),"")</f>
        <v/>
      </c>
      <c r="W685" s="9"/>
      <c r="X685" s="9"/>
      <c r="Y685" s="9"/>
      <c r="Z685" s="9"/>
    </row>
    <row r="686" spans="1:26" ht="15.75" customHeight="1">
      <c r="A686" s="9" t="s">
        <v>1773</v>
      </c>
      <c r="B686" s="9" t="s">
        <v>1774</v>
      </c>
      <c r="C686" s="9" t="s">
        <v>729</v>
      </c>
      <c r="D686" s="9" t="s">
        <v>33</v>
      </c>
      <c r="E686" s="9" t="s">
        <v>12</v>
      </c>
      <c r="F686" s="9" t="s">
        <v>1776</v>
      </c>
      <c r="G686" s="9">
        <v>60</v>
      </c>
      <c r="H686" s="9">
        <v>6</v>
      </c>
      <c r="I686" s="9">
        <v>1.0149999999999999</v>
      </c>
      <c r="J686" s="9">
        <v>100</v>
      </c>
      <c r="K686" s="9" t="s">
        <v>442</v>
      </c>
      <c r="L686" s="9" t="s">
        <v>1777</v>
      </c>
      <c r="M686" s="9"/>
      <c r="N686" s="9" t="str">
        <f ca="1">IFERROR(__xludf.DUMMYFUNCTION("IFERROR(VALUE(REGEXEXTRACT(TO_TEXT($F686), N$1 &amp; ""x(\d+)"")), """")
"),"")</f>
        <v/>
      </c>
      <c r="O686" s="9">
        <f ca="1">IFERROR(__xludf.DUMMYFUNCTION("IFERROR(VALUE(REGEXEXTRACT(TO_TEXT($F686), O$1 &amp; ""x(\d+)"")), """")"),1)</f>
        <v>1</v>
      </c>
      <c r="P686" s="9" t="str">
        <f ca="1">IFERROR(__xludf.DUMMYFUNCTION("IFERROR(VALUE(REGEXEXTRACT(TO_TEXT($F686), P$1 &amp; ""x(\d+)"")), """")"),"")</f>
        <v/>
      </c>
      <c r="Q686" s="9" t="str">
        <f ca="1">IFERROR(__xludf.DUMMYFUNCTION("IFERROR(VALUE(REGEXEXTRACT(TO_TEXT($F686), Q$1 &amp; ""x(\d+)"")), """")"),"")</f>
        <v/>
      </c>
      <c r="R686" s="9" t="str">
        <f ca="1">IFERROR(__xludf.DUMMYFUNCTION("IFERROR(VALUE(REGEXEXTRACT(TO_TEXT($F686), R$1 &amp; ""x(\d+)"")), """")"),"")</f>
        <v/>
      </c>
      <c r="S686" s="9" t="str">
        <f ca="1">IFERROR(__xludf.DUMMYFUNCTION("IFERROR(VALUE(REGEXEXTRACT(TO_TEXT($F686), S$1 &amp; ""x(\d+)"")), """")"),"")</f>
        <v/>
      </c>
      <c r="T686" s="9" t="str">
        <f ca="1">IFERROR(__xludf.DUMMYFUNCTION("IFERROR(VALUE(REGEXEXTRACT(TO_TEXT($F686), T$1 &amp; ""x(\d+)"")), """")"),"")</f>
        <v/>
      </c>
      <c r="U686" s="9" t="str">
        <f ca="1">IFERROR(__xludf.DUMMYFUNCTION("IFERROR(VALUE(REGEXEXTRACT(TO_TEXT($F686), U$1 &amp; ""x(\d+)"")), """")"),"")</f>
        <v/>
      </c>
      <c r="V686" s="9" t="str">
        <f ca="1">IFERROR(__xludf.DUMMYFUNCTION("IFERROR(VALUE(REGEXEXTRACT(TO_TEXT($F686), V$1 &amp; ""x(\d+)"")), """")"),"")</f>
        <v/>
      </c>
      <c r="W686" s="9"/>
      <c r="X686" s="9"/>
      <c r="Y686" s="9"/>
      <c r="Z686" s="9"/>
    </row>
    <row r="687" spans="1:26" ht="15.75" customHeight="1">
      <c r="A687" s="9" t="s">
        <v>1773</v>
      </c>
      <c r="B687" s="9" t="s">
        <v>1774</v>
      </c>
      <c r="C687" s="9" t="s">
        <v>729</v>
      </c>
      <c r="D687" s="9" t="s">
        <v>33</v>
      </c>
      <c r="E687" s="9" t="s">
        <v>13</v>
      </c>
      <c r="F687" s="9" t="s">
        <v>1778</v>
      </c>
      <c r="G687" s="9">
        <v>15</v>
      </c>
      <c r="H687" s="9">
        <v>6</v>
      </c>
      <c r="I687" s="9">
        <v>1.0149999999999999</v>
      </c>
      <c r="J687" s="9">
        <v>100</v>
      </c>
      <c r="K687" s="9" t="s">
        <v>442</v>
      </c>
      <c r="L687" s="9" t="s">
        <v>1777</v>
      </c>
      <c r="M687" s="9"/>
      <c r="N687" s="9" t="str">
        <f ca="1">IFERROR(__xludf.DUMMYFUNCTION("IFERROR(VALUE(REGEXEXTRACT(TO_TEXT($F687), N$1 &amp; ""x(\d+)"")), """")
"),"")</f>
        <v/>
      </c>
      <c r="O687" s="9">
        <f ca="1">IFERROR(__xludf.DUMMYFUNCTION("IFERROR(VALUE(REGEXEXTRACT(TO_TEXT($F687), O$1 &amp; ""x(\d+)"")), """")"),1)</f>
        <v>1</v>
      </c>
      <c r="P687" s="9" t="str">
        <f ca="1">IFERROR(__xludf.DUMMYFUNCTION("IFERROR(VALUE(REGEXEXTRACT(TO_TEXT($F687), P$1 &amp; ""x(\d+)"")), """")"),"")</f>
        <v/>
      </c>
      <c r="Q687" s="9" t="str">
        <f ca="1">IFERROR(__xludf.DUMMYFUNCTION("IFERROR(VALUE(REGEXEXTRACT(TO_TEXT($F687), Q$1 &amp; ""x(\d+)"")), """")"),"")</f>
        <v/>
      </c>
      <c r="R687" s="9" t="str">
        <f ca="1">IFERROR(__xludf.DUMMYFUNCTION("IFERROR(VALUE(REGEXEXTRACT(TO_TEXT($F687), R$1 &amp; ""x(\d+)"")), """")"),"")</f>
        <v/>
      </c>
      <c r="S687" s="9" t="str">
        <f ca="1">IFERROR(__xludf.DUMMYFUNCTION("IFERROR(VALUE(REGEXEXTRACT(TO_TEXT($F687), S$1 &amp; ""x(\d+)"")), """")"),"")</f>
        <v/>
      </c>
      <c r="T687" s="9" t="str">
        <f ca="1">IFERROR(__xludf.DUMMYFUNCTION("IFERROR(VALUE(REGEXEXTRACT(TO_TEXT($F687), T$1 &amp; ""x(\d+)"")), """")"),"")</f>
        <v/>
      </c>
      <c r="U687" s="9" t="str">
        <f ca="1">IFERROR(__xludf.DUMMYFUNCTION("IFERROR(VALUE(REGEXEXTRACT(TO_TEXT($F687), U$1 &amp; ""x(\d+)"")), """")"),"")</f>
        <v/>
      </c>
      <c r="V687" s="9" t="str">
        <f ca="1">IFERROR(__xludf.DUMMYFUNCTION("IFERROR(VALUE(REGEXEXTRACT(TO_TEXT($F687), V$1 &amp; ""x(\d+)"")), """")"),"")</f>
        <v/>
      </c>
      <c r="W687" s="9"/>
      <c r="X687" s="9"/>
      <c r="Y687" s="9"/>
      <c r="Z687" s="9"/>
    </row>
    <row r="688" spans="1:26" ht="15.75" customHeight="1">
      <c r="A688" s="9" t="s">
        <v>1773</v>
      </c>
      <c r="B688" s="9" t="s">
        <v>1774</v>
      </c>
      <c r="C688" s="9" t="s">
        <v>729</v>
      </c>
      <c r="D688" s="9" t="s">
        <v>33</v>
      </c>
      <c r="E688" s="9" t="s">
        <v>12</v>
      </c>
      <c r="F688" s="9" t="s">
        <v>1779</v>
      </c>
      <c r="G688" s="9">
        <v>30</v>
      </c>
      <c r="H688" s="9">
        <v>12</v>
      </c>
      <c r="I688" s="9">
        <v>1.0149999999999999</v>
      </c>
      <c r="J688" s="9">
        <v>100</v>
      </c>
      <c r="K688" s="9" t="s">
        <v>442</v>
      </c>
      <c r="L688" s="9" t="s">
        <v>1643</v>
      </c>
      <c r="M688" s="9"/>
      <c r="N688" s="9" t="str">
        <f ca="1">IFERROR(__xludf.DUMMYFUNCTION("IFERROR(VALUE(REGEXEXTRACT(TO_TEXT($F688), N$1 &amp; ""x(\d+)"")), """")
"),"")</f>
        <v/>
      </c>
      <c r="O688" s="9">
        <f ca="1">IFERROR(__xludf.DUMMYFUNCTION("IFERROR(VALUE(REGEXEXTRACT(TO_TEXT($F688), O$1 &amp; ""x(\d+)"")), """")"),1)</f>
        <v>1</v>
      </c>
      <c r="P688" s="9" t="str">
        <f ca="1">IFERROR(__xludf.DUMMYFUNCTION("IFERROR(VALUE(REGEXEXTRACT(TO_TEXT($F688), P$1 &amp; ""x(\d+)"")), """")"),"")</f>
        <v/>
      </c>
      <c r="Q688" s="9" t="str">
        <f ca="1">IFERROR(__xludf.DUMMYFUNCTION("IFERROR(VALUE(REGEXEXTRACT(TO_TEXT($F688), Q$1 &amp; ""x(\d+)"")), """")"),"")</f>
        <v/>
      </c>
      <c r="R688" s="9" t="str">
        <f ca="1">IFERROR(__xludf.DUMMYFUNCTION("IFERROR(VALUE(REGEXEXTRACT(TO_TEXT($F688), R$1 &amp; ""x(\d+)"")), """")"),"")</f>
        <v/>
      </c>
      <c r="S688" s="9" t="str">
        <f ca="1">IFERROR(__xludf.DUMMYFUNCTION("IFERROR(VALUE(REGEXEXTRACT(TO_TEXT($F688), S$1 &amp; ""x(\d+)"")), """")"),"")</f>
        <v/>
      </c>
      <c r="T688" s="9" t="str">
        <f ca="1">IFERROR(__xludf.DUMMYFUNCTION("IFERROR(VALUE(REGEXEXTRACT(TO_TEXT($F688), T$1 &amp; ""x(\d+)"")), """")"),"")</f>
        <v/>
      </c>
      <c r="U688" s="9" t="str">
        <f ca="1">IFERROR(__xludf.DUMMYFUNCTION("IFERROR(VALUE(REGEXEXTRACT(TO_TEXT($F688), U$1 &amp; ""x(\d+)"")), """")"),"")</f>
        <v/>
      </c>
      <c r="V688" s="9" t="str">
        <f ca="1">IFERROR(__xludf.DUMMYFUNCTION("IFERROR(VALUE(REGEXEXTRACT(TO_TEXT($F688), V$1 &amp; ""x(\d+)"")), """")"),"")</f>
        <v/>
      </c>
      <c r="W688" s="9"/>
      <c r="X688" s="9"/>
      <c r="Y688" s="9"/>
      <c r="Z688" s="9"/>
    </row>
    <row r="689" spans="1:26" ht="15.75" customHeight="1">
      <c r="A689" s="9" t="s">
        <v>1773</v>
      </c>
      <c r="B689" s="9" t="s">
        <v>1774</v>
      </c>
      <c r="C689" s="9" t="s">
        <v>729</v>
      </c>
      <c r="D689" s="9" t="s">
        <v>33</v>
      </c>
      <c r="E689" s="9" t="s">
        <v>13</v>
      </c>
      <c r="F689" s="9" t="s">
        <v>1780</v>
      </c>
      <c r="G689" s="9">
        <v>10</v>
      </c>
      <c r="H689" s="9">
        <v>12</v>
      </c>
      <c r="I689" s="9">
        <v>1.0149999999999999</v>
      </c>
      <c r="J689" s="9">
        <v>100</v>
      </c>
      <c r="K689" s="9" t="s">
        <v>442</v>
      </c>
      <c r="L689" s="9" t="s">
        <v>1643</v>
      </c>
      <c r="M689" s="9"/>
      <c r="N689" s="9" t="str">
        <f ca="1">IFERROR(__xludf.DUMMYFUNCTION("IFERROR(VALUE(REGEXEXTRACT(TO_TEXT($F689), N$1 &amp; ""x(\d+)"")), """")
"),"")</f>
        <v/>
      </c>
      <c r="O689" s="9">
        <f ca="1">IFERROR(__xludf.DUMMYFUNCTION("IFERROR(VALUE(REGEXEXTRACT(TO_TEXT($F689), O$1 &amp; ""x(\d+)"")), """")"),1)</f>
        <v>1</v>
      </c>
      <c r="P689" s="9" t="str">
        <f ca="1">IFERROR(__xludf.DUMMYFUNCTION("IFERROR(VALUE(REGEXEXTRACT(TO_TEXT($F689), P$1 &amp; ""x(\d+)"")), """")"),"")</f>
        <v/>
      </c>
      <c r="Q689" s="9" t="str">
        <f ca="1">IFERROR(__xludf.DUMMYFUNCTION("IFERROR(VALUE(REGEXEXTRACT(TO_TEXT($F689), Q$1 &amp; ""x(\d+)"")), """")"),"")</f>
        <v/>
      </c>
      <c r="R689" s="9" t="str">
        <f ca="1">IFERROR(__xludf.DUMMYFUNCTION("IFERROR(VALUE(REGEXEXTRACT(TO_TEXT($F689), R$1 &amp; ""x(\d+)"")), """")"),"")</f>
        <v/>
      </c>
      <c r="S689" s="9" t="str">
        <f ca="1">IFERROR(__xludf.DUMMYFUNCTION("IFERROR(VALUE(REGEXEXTRACT(TO_TEXT($F689), S$1 &amp; ""x(\d+)"")), """")"),"")</f>
        <v/>
      </c>
      <c r="T689" s="9" t="str">
        <f ca="1">IFERROR(__xludf.DUMMYFUNCTION("IFERROR(VALUE(REGEXEXTRACT(TO_TEXT($F689), T$1 &amp; ""x(\d+)"")), """")"),"")</f>
        <v/>
      </c>
      <c r="U689" s="9" t="str">
        <f ca="1">IFERROR(__xludf.DUMMYFUNCTION("IFERROR(VALUE(REGEXEXTRACT(TO_TEXT($F689), U$1 &amp; ""x(\d+)"")), """")"),"")</f>
        <v/>
      </c>
      <c r="V689" s="9" t="str">
        <f ca="1">IFERROR(__xludf.DUMMYFUNCTION("IFERROR(VALUE(REGEXEXTRACT(TO_TEXT($F689), V$1 &amp; ""x(\d+)"")), """")"),"")</f>
        <v/>
      </c>
      <c r="W689" s="9"/>
      <c r="X689" s="9"/>
      <c r="Y689" s="9"/>
      <c r="Z689" s="9"/>
    </row>
    <row r="690" spans="1:26" ht="15.75" hidden="1" customHeight="1">
      <c r="A690" s="9" t="s">
        <v>1781</v>
      </c>
      <c r="B690" s="9" t="s">
        <v>1782</v>
      </c>
      <c r="C690" s="9" t="s">
        <v>733</v>
      </c>
      <c r="D690" s="9" t="s">
        <v>74</v>
      </c>
      <c r="E690" s="9" t="s">
        <v>11</v>
      </c>
      <c r="F690" s="9" t="s">
        <v>1254</v>
      </c>
      <c r="G690" s="9">
        <v>30</v>
      </c>
      <c r="H690" s="9">
        <v>2</v>
      </c>
      <c r="I690" s="9">
        <v>1.0149999999999999</v>
      </c>
      <c r="J690" s="9">
        <v>109</v>
      </c>
      <c r="K690" s="9" t="s">
        <v>424</v>
      </c>
      <c r="L690" s="9"/>
      <c r="M690" s="9"/>
      <c r="N690" s="9" t="str">
        <f ca="1">IFERROR(__xludf.DUMMYFUNCTION("IFERROR(VALUE(REGEXEXTRACT(TO_TEXT($F690), N$1 &amp; ""x(\d+)"")), """")
"),"")</f>
        <v/>
      </c>
      <c r="O690" s="9" t="str">
        <f ca="1">IFERROR(__xludf.DUMMYFUNCTION("IFERROR(VALUE(REGEXEXTRACT(TO_TEXT($F690), O$1 &amp; ""x(\d+)"")), """")"),"")</f>
        <v/>
      </c>
      <c r="P690" s="9" t="str">
        <f ca="1">IFERROR(__xludf.DUMMYFUNCTION("IFERROR(VALUE(REGEXEXTRACT(TO_TEXT($F690), P$1 &amp; ""x(\d+)"")), """")"),"")</f>
        <v/>
      </c>
      <c r="Q690" s="9" t="str">
        <f ca="1">IFERROR(__xludf.DUMMYFUNCTION("IFERROR(VALUE(REGEXEXTRACT(TO_TEXT($F690), Q$1 &amp; ""x(\d+)"")), """")"),"")</f>
        <v/>
      </c>
      <c r="R690" s="9" t="str">
        <f ca="1">IFERROR(__xludf.DUMMYFUNCTION("IFERROR(VALUE(REGEXEXTRACT(TO_TEXT($F690), R$1 &amp; ""x(\d+)"")), """")"),"")</f>
        <v/>
      </c>
      <c r="S690" s="9" t="str">
        <f ca="1">IFERROR(__xludf.DUMMYFUNCTION("IFERROR(VALUE(REGEXEXTRACT(TO_TEXT($F690), S$1 &amp; ""x(\d+)"")), """")"),"")</f>
        <v/>
      </c>
      <c r="T690" s="9" t="str">
        <f ca="1">IFERROR(__xludf.DUMMYFUNCTION("IFERROR(VALUE(REGEXEXTRACT(TO_TEXT($F690), T$1 &amp; ""x(\d+)"")), """")"),"")</f>
        <v/>
      </c>
      <c r="U690" s="9" t="str">
        <f ca="1">IFERROR(__xludf.DUMMYFUNCTION("IFERROR(VALUE(REGEXEXTRACT(TO_TEXT($F690), U$1 &amp; ""x(\d+)"")), """")"),"")</f>
        <v/>
      </c>
      <c r="V690" s="9" t="str">
        <f ca="1">IFERROR(__xludf.DUMMYFUNCTION("IFERROR(VALUE(REGEXEXTRACT(TO_TEXT($F690), V$1 &amp; ""x(\d+)"")), """")"),"")</f>
        <v/>
      </c>
      <c r="W690" s="9"/>
      <c r="X690" s="9"/>
      <c r="Y690" s="9"/>
      <c r="Z690" s="9"/>
    </row>
    <row r="691" spans="1:26" ht="15.75" hidden="1" customHeight="1">
      <c r="A691" s="9" t="s">
        <v>1781</v>
      </c>
      <c r="B691" s="9" t="s">
        <v>1782</v>
      </c>
      <c r="C691" s="9" t="s">
        <v>733</v>
      </c>
      <c r="D691" s="9" t="s">
        <v>74</v>
      </c>
      <c r="E691" s="9" t="s">
        <v>12</v>
      </c>
      <c r="F691" s="9" t="s">
        <v>1570</v>
      </c>
      <c r="G691" s="9">
        <v>170</v>
      </c>
      <c r="H691" s="9">
        <v>2</v>
      </c>
      <c r="I691" s="9">
        <v>1.0149999999999999</v>
      </c>
      <c r="J691" s="9">
        <v>109</v>
      </c>
      <c r="K691" s="9" t="s">
        <v>424</v>
      </c>
      <c r="L691" s="9" t="s">
        <v>1210</v>
      </c>
      <c r="M691" s="9"/>
      <c r="N691" s="9" t="str">
        <f ca="1">IFERROR(__xludf.DUMMYFUNCTION("IFERROR(VALUE(REGEXEXTRACT(TO_TEXT($F691), N$1 &amp; ""x(\d+)"")), """")
"),"")</f>
        <v/>
      </c>
      <c r="O691" s="9" t="str">
        <f ca="1">IFERROR(__xludf.DUMMYFUNCTION("IFERROR(VALUE(REGEXEXTRACT(TO_TEXT($F691), O$1 &amp; ""x(\d+)"")), """")"),"")</f>
        <v/>
      </c>
      <c r="P691" s="9" t="str">
        <f ca="1">IFERROR(__xludf.DUMMYFUNCTION("IFERROR(VALUE(REGEXEXTRACT(TO_TEXT($F691), P$1 &amp; ""x(\d+)"")), """")"),"")</f>
        <v/>
      </c>
      <c r="Q691" s="9">
        <f ca="1">IFERROR(__xludf.DUMMYFUNCTION("IFERROR(VALUE(REGEXEXTRACT(TO_TEXT($F691), Q$1 &amp; ""x(\d+)"")), """")"),1)</f>
        <v>1</v>
      </c>
      <c r="R691" s="9" t="str">
        <f ca="1">IFERROR(__xludf.DUMMYFUNCTION("IFERROR(VALUE(REGEXEXTRACT(TO_TEXT($F691), R$1 &amp; ""x(\d+)"")), """")"),"")</f>
        <v/>
      </c>
      <c r="S691" s="9" t="str">
        <f ca="1">IFERROR(__xludf.DUMMYFUNCTION("IFERROR(VALUE(REGEXEXTRACT(TO_TEXT($F691), S$1 &amp; ""x(\d+)"")), """")"),"")</f>
        <v/>
      </c>
      <c r="T691" s="9" t="str">
        <f ca="1">IFERROR(__xludf.DUMMYFUNCTION("IFERROR(VALUE(REGEXEXTRACT(TO_TEXT($F691), T$1 &amp; ""x(\d+)"")), """")"),"")</f>
        <v/>
      </c>
      <c r="U691" s="9" t="str">
        <f ca="1">IFERROR(__xludf.DUMMYFUNCTION("IFERROR(VALUE(REGEXEXTRACT(TO_TEXT($F691), U$1 &amp; ""x(\d+)"")), """")"),"")</f>
        <v/>
      </c>
      <c r="V691" s="9" t="str">
        <f ca="1">IFERROR(__xludf.DUMMYFUNCTION("IFERROR(VALUE(REGEXEXTRACT(TO_TEXT($F691), V$1 &amp; ""x(\d+)"")), """")"),"")</f>
        <v/>
      </c>
      <c r="W691" s="9"/>
      <c r="X691" s="9"/>
      <c r="Y691" s="9"/>
      <c r="Z691" s="9"/>
    </row>
    <row r="692" spans="1:26" ht="15.75" hidden="1" customHeight="1">
      <c r="A692" s="9" t="s">
        <v>1781</v>
      </c>
      <c r="B692" s="9" t="s">
        <v>1782</v>
      </c>
      <c r="C692" s="9" t="s">
        <v>733</v>
      </c>
      <c r="D692" s="9" t="s">
        <v>74</v>
      </c>
      <c r="E692" s="9" t="s">
        <v>13</v>
      </c>
      <c r="F692" s="9" t="s">
        <v>1125</v>
      </c>
      <c r="G692" s="9">
        <v>40</v>
      </c>
      <c r="H692" s="9">
        <v>2</v>
      </c>
      <c r="I692" s="9">
        <v>1.0149999999999999</v>
      </c>
      <c r="J692" s="9">
        <v>109</v>
      </c>
      <c r="K692" s="9" t="s">
        <v>424</v>
      </c>
      <c r="L692" s="9"/>
      <c r="M692" s="9"/>
      <c r="N692" s="9" t="str">
        <f ca="1">IFERROR(__xludf.DUMMYFUNCTION("IFERROR(VALUE(REGEXEXTRACT(TO_TEXT($F692), N$1 &amp; ""x(\d+)"")), """")
"),"")</f>
        <v/>
      </c>
      <c r="O692" s="9" t="str">
        <f ca="1">IFERROR(__xludf.DUMMYFUNCTION("IFERROR(VALUE(REGEXEXTRACT(TO_TEXT($F692), O$1 &amp; ""x(\d+)"")), """")"),"")</f>
        <v/>
      </c>
      <c r="P692" s="9" t="str">
        <f ca="1">IFERROR(__xludf.DUMMYFUNCTION("IFERROR(VALUE(REGEXEXTRACT(TO_TEXT($F692), P$1 &amp; ""x(\d+)"")), """")"),"")</f>
        <v/>
      </c>
      <c r="Q692" s="9">
        <f ca="1">IFERROR(__xludf.DUMMYFUNCTION("IFERROR(VALUE(REGEXEXTRACT(TO_TEXT($F692), Q$1 &amp; ""x(\d+)"")), """")"),1)</f>
        <v>1</v>
      </c>
      <c r="R692" s="9" t="str">
        <f ca="1">IFERROR(__xludf.DUMMYFUNCTION("IFERROR(VALUE(REGEXEXTRACT(TO_TEXT($F692), R$1 &amp; ""x(\d+)"")), """")"),"")</f>
        <v/>
      </c>
      <c r="S692" s="9" t="str">
        <f ca="1">IFERROR(__xludf.DUMMYFUNCTION("IFERROR(VALUE(REGEXEXTRACT(TO_TEXT($F692), S$1 &amp; ""x(\d+)"")), """")"),"")</f>
        <v/>
      </c>
      <c r="T692" s="9" t="str">
        <f ca="1">IFERROR(__xludf.DUMMYFUNCTION("IFERROR(VALUE(REGEXEXTRACT(TO_TEXT($F692), T$1 &amp; ""x(\d+)"")), """")"),"")</f>
        <v/>
      </c>
      <c r="U692" s="9" t="str">
        <f ca="1">IFERROR(__xludf.DUMMYFUNCTION("IFERROR(VALUE(REGEXEXTRACT(TO_TEXT($F692), U$1 &amp; ""x(\d+)"")), """")"),"")</f>
        <v/>
      </c>
      <c r="V692" s="9" t="str">
        <f ca="1">IFERROR(__xludf.DUMMYFUNCTION("IFERROR(VALUE(REGEXEXTRACT(TO_TEXT($F692), V$1 &amp; ""x(\d+)"")), """")"),"")</f>
        <v/>
      </c>
      <c r="W692" s="9"/>
      <c r="X692" s="9"/>
      <c r="Y692" s="9"/>
      <c r="Z692" s="9"/>
    </row>
    <row r="693" spans="1:26" ht="15.75" customHeight="1">
      <c r="A693" s="9" t="s">
        <v>1783</v>
      </c>
      <c r="B693" s="9" t="s">
        <v>1784</v>
      </c>
      <c r="C693" s="9" t="s">
        <v>737</v>
      </c>
      <c r="D693" s="9" t="s">
        <v>33</v>
      </c>
      <c r="E693" s="9" t="s">
        <v>11</v>
      </c>
      <c r="F693" s="9" t="s">
        <v>1785</v>
      </c>
      <c r="G693" s="9">
        <v>100</v>
      </c>
      <c r="H693" s="9">
        <v>3</v>
      </c>
      <c r="I693" s="9">
        <v>1.0149999999999999</v>
      </c>
      <c r="J693" s="9">
        <v>101.7</v>
      </c>
      <c r="K693" s="9" t="s">
        <v>442</v>
      </c>
      <c r="L693" s="9"/>
      <c r="M693" s="9"/>
      <c r="N693" s="9">
        <f ca="1">IFERROR(__xludf.DUMMYFUNCTION("IFERROR(VALUE(REGEXEXTRACT(TO_TEXT($F693), N$1 &amp; ""x(\d+)"")), """")
"),1)</f>
        <v>1</v>
      </c>
      <c r="O693" s="9">
        <f ca="1">IFERROR(__xludf.DUMMYFUNCTION("IFERROR(VALUE(REGEXEXTRACT(TO_TEXT($F693), O$1 &amp; ""x(\d+)"")), """")"),1)</f>
        <v>1</v>
      </c>
      <c r="P693" s="9" t="str">
        <f ca="1">IFERROR(__xludf.DUMMYFUNCTION("IFERROR(VALUE(REGEXEXTRACT(TO_TEXT($F693), P$1 &amp; ""x(\d+)"")), """")"),"")</f>
        <v/>
      </c>
      <c r="Q693" s="9" t="str">
        <f ca="1">IFERROR(__xludf.DUMMYFUNCTION("IFERROR(VALUE(REGEXEXTRACT(TO_TEXT($F693), Q$1 &amp; ""x(\d+)"")), """")"),"")</f>
        <v/>
      </c>
      <c r="R693" s="9" t="str">
        <f ca="1">IFERROR(__xludf.DUMMYFUNCTION("IFERROR(VALUE(REGEXEXTRACT(TO_TEXT($F693), R$1 &amp; ""x(\d+)"")), """")"),"")</f>
        <v/>
      </c>
      <c r="S693" s="9" t="str">
        <f ca="1">IFERROR(__xludf.DUMMYFUNCTION("IFERROR(VALUE(REGEXEXTRACT(TO_TEXT($F693), S$1 &amp; ""x(\d+)"")), """")"),"")</f>
        <v/>
      </c>
      <c r="T693" s="9" t="str">
        <f ca="1">IFERROR(__xludf.DUMMYFUNCTION("IFERROR(VALUE(REGEXEXTRACT(TO_TEXT($F693), T$1 &amp; ""x(\d+)"")), """")"),"")</f>
        <v/>
      </c>
      <c r="U693" s="9" t="str">
        <f ca="1">IFERROR(__xludf.DUMMYFUNCTION("IFERROR(VALUE(REGEXEXTRACT(TO_TEXT($F693), U$1 &amp; ""x(\d+)"")), """")"),"")</f>
        <v/>
      </c>
      <c r="V693" s="9" t="str">
        <f ca="1">IFERROR(__xludf.DUMMYFUNCTION("IFERROR(VALUE(REGEXEXTRACT(TO_TEXT($F693), V$1 &amp; ""x(\d+)"")), """")"),"")</f>
        <v/>
      </c>
      <c r="W693" s="9"/>
      <c r="X693" s="9"/>
      <c r="Y693" s="9"/>
      <c r="Z693" s="9"/>
    </row>
    <row r="694" spans="1:26" ht="15.75" customHeight="1">
      <c r="A694" s="9" t="s">
        <v>1783</v>
      </c>
      <c r="B694" s="9" t="s">
        <v>1784</v>
      </c>
      <c r="C694" s="9" t="s">
        <v>737</v>
      </c>
      <c r="D694" s="9" t="s">
        <v>33</v>
      </c>
      <c r="E694" s="9" t="s">
        <v>12</v>
      </c>
      <c r="F694" s="9" t="s">
        <v>1786</v>
      </c>
      <c r="G694" s="9">
        <v>115</v>
      </c>
      <c r="H694" s="9">
        <v>3</v>
      </c>
      <c r="I694" s="9">
        <v>1.0149999999999999</v>
      </c>
      <c r="J694" s="9">
        <v>101.7</v>
      </c>
      <c r="K694" s="9" t="s">
        <v>442</v>
      </c>
      <c r="L694" s="9"/>
      <c r="M694" s="9"/>
      <c r="N694" s="9">
        <f ca="1">IFERROR(__xludf.DUMMYFUNCTION("IFERROR(VALUE(REGEXEXTRACT(TO_TEXT($F694), N$1 &amp; ""x(\d+)"")), """")
"),1)</f>
        <v>1</v>
      </c>
      <c r="O694" s="9">
        <f ca="1">IFERROR(__xludf.DUMMYFUNCTION("IFERROR(VALUE(REGEXEXTRACT(TO_TEXT($F694), O$1 &amp; ""x(\d+)"")), """")"),2)</f>
        <v>2</v>
      </c>
      <c r="P694" s="9" t="str">
        <f ca="1">IFERROR(__xludf.DUMMYFUNCTION("IFERROR(VALUE(REGEXEXTRACT(TO_TEXT($F694), P$1 &amp; ""x(\d+)"")), """")"),"")</f>
        <v/>
      </c>
      <c r="Q694" s="9" t="str">
        <f ca="1">IFERROR(__xludf.DUMMYFUNCTION("IFERROR(VALUE(REGEXEXTRACT(TO_TEXT($F694), Q$1 &amp; ""x(\d+)"")), """")"),"")</f>
        <v/>
      </c>
      <c r="R694" s="9" t="str">
        <f ca="1">IFERROR(__xludf.DUMMYFUNCTION("IFERROR(VALUE(REGEXEXTRACT(TO_TEXT($F694), R$1 &amp; ""x(\d+)"")), """")"),"")</f>
        <v/>
      </c>
      <c r="S694" s="9" t="str">
        <f ca="1">IFERROR(__xludf.DUMMYFUNCTION("IFERROR(VALUE(REGEXEXTRACT(TO_TEXT($F694), S$1 &amp; ""x(\d+)"")), """")"),"")</f>
        <v/>
      </c>
      <c r="T694" s="9" t="str">
        <f ca="1">IFERROR(__xludf.DUMMYFUNCTION("IFERROR(VALUE(REGEXEXTRACT(TO_TEXT($F694), T$1 &amp; ""x(\d+)"")), """")"),"")</f>
        <v/>
      </c>
      <c r="U694" s="9" t="str">
        <f ca="1">IFERROR(__xludf.DUMMYFUNCTION("IFERROR(VALUE(REGEXEXTRACT(TO_TEXT($F694), U$1 &amp; ""x(\d+)"")), """")"),"")</f>
        <v/>
      </c>
      <c r="V694" s="9" t="str">
        <f ca="1">IFERROR(__xludf.DUMMYFUNCTION("IFERROR(VALUE(REGEXEXTRACT(TO_TEXT($F694), V$1 &amp; ""x(\d+)"")), """")"),"")</f>
        <v/>
      </c>
      <c r="W694" s="9"/>
      <c r="X694" s="9"/>
      <c r="Y694" s="9"/>
      <c r="Z694" s="9"/>
    </row>
    <row r="695" spans="1:26" ht="15.75" customHeight="1">
      <c r="A695" s="9" t="s">
        <v>1783</v>
      </c>
      <c r="B695" s="9" t="s">
        <v>1784</v>
      </c>
      <c r="C695" s="9" t="s">
        <v>737</v>
      </c>
      <c r="D695" s="9" t="s">
        <v>33</v>
      </c>
      <c r="E695" s="9" t="s">
        <v>13</v>
      </c>
      <c r="F695" s="9" t="s">
        <v>1787</v>
      </c>
      <c r="G695" s="9">
        <v>50</v>
      </c>
      <c r="H695" s="9">
        <v>3</v>
      </c>
      <c r="I695" s="9">
        <v>1.0149999999999999</v>
      </c>
      <c r="J695" s="9">
        <v>101.7</v>
      </c>
      <c r="K695" s="9" t="s">
        <v>442</v>
      </c>
      <c r="L695" s="9"/>
      <c r="M695" s="9"/>
      <c r="N695" s="9">
        <f ca="1">IFERROR(__xludf.DUMMYFUNCTION("IFERROR(VALUE(REGEXEXTRACT(TO_TEXT($F695), N$1 &amp; ""x(\d+)"")), """")
"),1)</f>
        <v>1</v>
      </c>
      <c r="O695" s="9">
        <f ca="1">IFERROR(__xludf.DUMMYFUNCTION("IFERROR(VALUE(REGEXEXTRACT(TO_TEXT($F695), O$1 &amp; ""x(\d+)"")), """")"),2)</f>
        <v>2</v>
      </c>
      <c r="P695" s="9" t="str">
        <f ca="1">IFERROR(__xludf.DUMMYFUNCTION("IFERROR(VALUE(REGEXEXTRACT(TO_TEXT($F695), P$1 &amp; ""x(\d+)"")), """")"),"")</f>
        <v/>
      </c>
      <c r="Q695" s="9" t="str">
        <f ca="1">IFERROR(__xludf.DUMMYFUNCTION("IFERROR(VALUE(REGEXEXTRACT(TO_TEXT($F695), Q$1 &amp; ""x(\d+)"")), """")"),"")</f>
        <v/>
      </c>
      <c r="R695" s="9" t="str">
        <f ca="1">IFERROR(__xludf.DUMMYFUNCTION("IFERROR(VALUE(REGEXEXTRACT(TO_TEXT($F695), R$1 &amp; ""x(\d+)"")), """")"),"")</f>
        <v/>
      </c>
      <c r="S695" s="9" t="str">
        <f ca="1">IFERROR(__xludf.DUMMYFUNCTION("IFERROR(VALUE(REGEXEXTRACT(TO_TEXT($F695), S$1 &amp; ""x(\d+)"")), """")"),"")</f>
        <v/>
      </c>
      <c r="T695" s="9" t="str">
        <f ca="1">IFERROR(__xludf.DUMMYFUNCTION("IFERROR(VALUE(REGEXEXTRACT(TO_TEXT($F695), T$1 &amp; ""x(\d+)"")), """")"),"")</f>
        <v/>
      </c>
      <c r="U695" s="9" t="str">
        <f ca="1">IFERROR(__xludf.DUMMYFUNCTION("IFERROR(VALUE(REGEXEXTRACT(TO_TEXT($F695), U$1 &amp; ""x(\d+)"")), """")"),"")</f>
        <v/>
      </c>
      <c r="V695" s="9" t="str">
        <f ca="1">IFERROR(__xludf.DUMMYFUNCTION("IFERROR(VALUE(REGEXEXTRACT(TO_TEXT($F695), V$1 &amp; ""x(\d+)"")), """")"),"")</f>
        <v/>
      </c>
      <c r="W695" s="9"/>
      <c r="X695" s="9"/>
      <c r="Y695" s="9"/>
      <c r="Z695" s="9"/>
    </row>
    <row r="696" spans="1:26" ht="15.75" hidden="1" customHeight="1">
      <c r="A696" s="9" t="s">
        <v>1788</v>
      </c>
      <c r="B696" s="9" t="s">
        <v>1789</v>
      </c>
      <c r="C696" s="9" t="s">
        <v>739</v>
      </c>
      <c r="D696" s="9" t="s">
        <v>40</v>
      </c>
      <c r="E696" s="9" t="s">
        <v>11</v>
      </c>
      <c r="F696" s="9" t="s">
        <v>1790</v>
      </c>
      <c r="G696" s="9">
        <v>65</v>
      </c>
      <c r="H696" s="9">
        <v>4</v>
      </c>
      <c r="I696" s="9">
        <v>1.0149999999999999</v>
      </c>
      <c r="J696" s="9">
        <v>412</v>
      </c>
      <c r="K696" s="9" t="s">
        <v>442</v>
      </c>
      <c r="L696" s="9"/>
      <c r="M696" s="9"/>
      <c r="N696" s="9" t="str">
        <f ca="1">IFERROR(__xludf.DUMMYFUNCTION("IFERROR(VALUE(REGEXEXTRACT(TO_TEXT($F696), N$1 &amp; ""x(\d+)"")), """")
"),"")</f>
        <v/>
      </c>
      <c r="O696" s="9">
        <f ca="1">IFERROR(__xludf.DUMMYFUNCTION("IFERROR(VALUE(REGEXEXTRACT(TO_TEXT($F696), O$1 &amp; ""x(\d+)"")), """")"),1)</f>
        <v>1</v>
      </c>
      <c r="P696" s="9" t="str">
        <f ca="1">IFERROR(__xludf.DUMMYFUNCTION("IFERROR(VALUE(REGEXEXTRACT(TO_TEXT($F696), P$1 &amp; ""x(\d+)"")), """")"),"")</f>
        <v/>
      </c>
      <c r="Q696" s="9" t="str">
        <f ca="1">IFERROR(__xludf.DUMMYFUNCTION("IFERROR(VALUE(REGEXEXTRACT(TO_TEXT($F696), Q$1 &amp; ""x(\d+)"")), """")"),"")</f>
        <v/>
      </c>
      <c r="R696" s="9" t="str">
        <f ca="1">IFERROR(__xludf.DUMMYFUNCTION("IFERROR(VALUE(REGEXEXTRACT(TO_TEXT($F696), R$1 &amp; ""x(\d+)"")), """")"),"")</f>
        <v/>
      </c>
      <c r="S696" s="9" t="str">
        <f ca="1">IFERROR(__xludf.DUMMYFUNCTION("IFERROR(VALUE(REGEXEXTRACT(TO_TEXT($F696), S$1 &amp; ""x(\d+)"")), """")"),"")</f>
        <v/>
      </c>
      <c r="T696" s="9" t="str">
        <f ca="1">IFERROR(__xludf.DUMMYFUNCTION("IFERROR(VALUE(REGEXEXTRACT(TO_TEXT($F696), T$1 &amp; ""x(\d+)"")), """")"),"")</f>
        <v/>
      </c>
      <c r="U696" s="9" t="str">
        <f ca="1">IFERROR(__xludf.DUMMYFUNCTION("IFERROR(VALUE(REGEXEXTRACT(TO_TEXT($F696), U$1 &amp; ""x(\d+)"")), """")"),"")</f>
        <v/>
      </c>
      <c r="V696" s="9" t="str">
        <f ca="1">IFERROR(__xludf.DUMMYFUNCTION("IFERROR(VALUE(REGEXEXTRACT(TO_TEXT($F696), V$1 &amp; ""x(\d+)"")), """")"),"")</f>
        <v/>
      </c>
      <c r="W696" s="9"/>
      <c r="X696" s="9"/>
      <c r="Y696" s="9"/>
      <c r="Z696" s="9"/>
    </row>
    <row r="697" spans="1:26" ht="15.75" hidden="1" customHeight="1">
      <c r="A697" s="9" t="s">
        <v>1788</v>
      </c>
      <c r="B697" s="9" t="s">
        <v>1789</v>
      </c>
      <c r="C697" s="9" t="s">
        <v>739</v>
      </c>
      <c r="D697" s="9" t="s">
        <v>40</v>
      </c>
      <c r="E697" s="9" t="s">
        <v>12</v>
      </c>
      <c r="F697" s="9" t="s">
        <v>1752</v>
      </c>
      <c r="G697" s="9">
        <v>115</v>
      </c>
      <c r="H697" s="9">
        <v>4</v>
      </c>
      <c r="I697" s="9">
        <v>1.0149999999999999</v>
      </c>
      <c r="J697" s="9">
        <v>412</v>
      </c>
      <c r="K697" s="9" t="s">
        <v>442</v>
      </c>
      <c r="L697" s="9" t="s">
        <v>1015</v>
      </c>
      <c r="M697" s="9"/>
      <c r="N697" s="9" t="str">
        <f ca="1">IFERROR(__xludf.DUMMYFUNCTION("IFERROR(VALUE(REGEXEXTRACT(TO_TEXT($F697), N$1 &amp; ""x(\d+)"")), """")
"),"")</f>
        <v/>
      </c>
      <c r="O697" s="9" t="str">
        <f ca="1">IFERROR(__xludf.DUMMYFUNCTION("IFERROR(VALUE(REGEXEXTRACT(TO_TEXT($F697), O$1 &amp; ""x(\d+)"")), """")"),"")</f>
        <v/>
      </c>
      <c r="P697" s="9" t="str">
        <f ca="1">IFERROR(__xludf.DUMMYFUNCTION("IFERROR(VALUE(REGEXEXTRACT(TO_TEXT($F697), P$1 &amp; ""x(\d+)"")), """")"),"")</f>
        <v/>
      </c>
      <c r="Q697" s="9" t="str">
        <f ca="1">IFERROR(__xludf.DUMMYFUNCTION("IFERROR(VALUE(REGEXEXTRACT(TO_TEXT($F697), Q$1 &amp; ""x(\d+)"")), """")"),"")</f>
        <v/>
      </c>
      <c r="R697" s="9" t="str">
        <f ca="1">IFERROR(__xludf.DUMMYFUNCTION("IFERROR(VALUE(REGEXEXTRACT(TO_TEXT($F697), R$1 &amp; ""x(\d+)"")), """")"),"")</f>
        <v/>
      </c>
      <c r="S697" s="9">
        <f ca="1">IFERROR(__xludf.DUMMYFUNCTION("IFERROR(VALUE(REGEXEXTRACT(TO_TEXT($F697), S$1 &amp; ""x(\d+)"")), """")"),1)</f>
        <v>1</v>
      </c>
      <c r="T697" s="9" t="str">
        <f ca="1">IFERROR(__xludf.DUMMYFUNCTION("IFERROR(VALUE(REGEXEXTRACT(TO_TEXT($F697), T$1 &amp; ""x(\d+)"")), """")"),"")</f>
        <v/>
      </c>
      <c r="U697" s="9" t="str">
        <f ca="1">IFERROR(__xludf.DUMMYFUNCTION("IFERROR(VALUE(REGEXEXTRACT(TO_TEXT($F697), U$1 &amp; ""x(\d+)"")), """")"),"")</f>
        <v/>
      </c>
      <c r="V697" s="9" t="str">
        <f ca="1">IFERROR(__xludf.DUMMYFUNCTION("IFERROR(VALUE(REGEXEXTRACT(TO_TEXT($F697), V$1 &amp; ""x(\d+)"")), """")"),"")</f>
        <v/>
      </c>
      <c r="W697" s="9"/>
      <c r="X697" s="9"/>
      <c r="Y697" s="9"/>
      <c r="Z697" s="9"/>
    </row>
    <row r="698" spans="1:26" ht="15.75" hidden="1" customHeight="1">
      <c r="A698" s="9" t="s">
        <v>1788</v>
      </c>
      <c r="B698" s="9" t="s">
        <v>1789</v>
      </c>
      <c r="C698" s="9" t="s">
        <v>739</v>
      </c>
      <c r="D698" s="9" t="s">
        <v>40</v>
      </c>
      <c r="E698" s="9" t="s">
        <v>13</v>
      </c>
      <c r="F698" s="9" t="s">
        <v>1753</v>
      </c>
      <c r="G698" s="9">
        <v>30</v>
      </c>
      <c r="H698" s="9">
        <v>4</v>
      </c>
      <c r="I698" s="9">
        <v>1.0149999999999999</v>
      </c>
      <c r="J698" s="9">
        <v>412</v>
      </c>
      <c r="K698" s="9" t="s">
        <v>442</v>
      </c>
      <c r="L698" s="9"/>
      <c r="M698" s="9"/>
      <c r="N698" s="9" t="str">
        <f ca="1">IFERROR(__xludf.DUMMYFUNCTION("IFERROR(VALUE(REGEXEXTRACT(TO_TEXT($F698), N$1 &amp; ""x(\d+)"")), """")
"),"")</f>
        <v/>
      </c>
      <c r="O698" s="9" t="str">
        <f ca="1">IFERROR(__xludf.DUMMYFUNCTION("IFERROR(VALUE(REGEXEXTRACT(TO_TEXT($F698), O$1 &amp; ""x(\d+)"")), """")"),"")</f>
        <v/>
      </c>
      <c r="P698" s="9" t="str">
        <f ca="1">IFERROR(__xludf.DUMMYFUNCTION("IFERROR(VALUE(REGEXEXTRACT(TO_TEXT($F698), P$1 &amp; ""x(\d+)"")), """")"),"")</f>
        <v/>
      </c>
      <c r="Q698" s="9" t="str">
        <f ca="1">IFERROR(__xludf.DUMMYFUNCTION("IFERROR(VALUE(REGEXEXTRACT(TO_TEXT($F698), Q$1 &amp; ""x(\d+)"")), """")"),"")</f>
        <v/>
      </c>
      <c r="R698" s="9" t="str">
        <f ca="1">IFERROR(__xludf.DUMMYFUNCTION("IFERROR(VALUE(REGEXEXTRACT(TO_TEXT($F698), R$1 &amp; ""x(\d+)"")), """")"),"")</f>
        <v/>
      </c>
      <c r="S698" s="9">
        <f ca="1">IFERROR(__xludf.DUMMYFUNCTION("IFERROR(VALUE(REGEXEXTRACT(TO_TEXT($F698), S$1 &amp; ""x(\d+)"")), """")"),1)</f>
        <v>1</v>
      </c>
      <c r="T698" s="9" t="str">
        <f ca="1">IFERROR(__xludf.DUMMYFUNCTION("IFERROR(VALUE(REGEXEXTRACT(TO_TEXT($F698), T$1 &amp; ""x(\d+)"")), """")"),"")</f>
        <v/>
      </c>
      <c r="U698" s="9" t="str">
        <f ca="1">IFERROR(__xludf.DUMMYFUNCTION("IFERROR(VALUE(REGEXEXTRACT(TO_TEXT($F698), U$1 &amp; ""x(\d+)"")), """")"),"")</f>
        <v/>
      </c>
      <c r="V698" s="9" t="str">
        <f ca="1">IFERROR(__xludf.DUMMYFUNCTION("IFERROR(VALUE(REGEXEXTRACT(TO_TEXT($F698), V$1 &amp; ""x(\d+)"")), """")"),"")</f>
        <v/>
      </c>
      <c r="W698" s="9"/>
      <c r="X698" s="9"/>
      <c r="Y698" s="9"/>
      <c r="Z698" s="9"/>
    </row>
    <row r="699" spans="1:26" ht="15.75" hidden="1" customHeight="1">
      <c r="A699" s="9" t="s">
        <v>1791</v>
      </c>
      <c r="B699" s="9" t="s">
        <v>1792</v>
      </c>
      <c r="C699" s="9" t="s">
        <v>946</v>
      </c>
      <c r="D699" s="9" t="s">
        <v>48</v>
      </c>
      <c r="E699" s="9" t="s">
        <v>11</v>
      </c>
      <c r="F699" s="9" t="s">
        <v>1793</v>
      </c>
      <c r="G699" s="9">
        <v>40</v>
      </c>
      <c r="H699" s="9">
        <v>3</v>
      </c>
      <c r="I699" s="9">
        <v>1.0149999999999999</v>
      </c>
      <c r="J699" s="9">
        <v>52</v>
      </c>
      <c r="K699" s="9" t="s">
        <v>424</v>
      </c>
      <c r="L699" s="9"/>
      <c r="M699" s="9"/>
      <c r="N699" s="9" t="str">
        <f ca="1">IFERROR(__xludf.DUMMYFUNCTION("IFERROR(VALUE(REGEXEXTRACT(TO_TEXT($F699), N$1 &amp; ""x(\d+)"")), """")
"),"")</f>
        <v/>
      </c>
      <c r="O699" s="9">
        <f ca="1">IFERROR(__xludf.DUMMYFUNCTION("IFERROR(VALUE(REGEXEXTRACT(TO_TEXT($F699), O$1 &amp; ""x(\d+)"")), """")"),1)</f>
        <v>1</v>
      </c>
      <c r="P699" s="9" t="str">
        <f ca="1">IFERROR(__xludf.DUMMYFUNCTION("IFERROR(VALUE(REGEXEXTRACT(TO_TEXT($F699), P$1 &amp; ""x(\d+)"")), """")"),"")</f>
        <v/>
      </c>
      <c r="Q699" s="9" t="str">
        <f ca="1">IFERROR(__xludf.DUMMYFUNCTION("IFERROR(VALUE(REGEXEXTRACT(TO_TEXT($F699), Q$1 &amp; ""x(\d+)"")), """")"),"")</f>
        <v/>
      </c>
      <c r="R699" s="9" t="str">
        <f ca="1">IFERROR(__xludf.DUMMYFUNCTION("IFERROR(VALUE(REGEXEXTRACT(TO_TEXT($F699), R$1 &amp; ""x(\d+)"")), """")"),"")</f>
        <v/>
      </c>
      <c r="S699" s="9" t="str">
        <f ca="1">IFERROR(__xludf.DUMMYFUNCTION("IFERROR(VALUE(REGEXEXTRACT(TO_TEXT($F699), S$1 &amp; ""x(\d+)"")), """")"),"")</f>
        <v/>
      </c>
      <c r="T699" s="9" t="str">
        <f ca="1">IFERROR(__xludf.DUMMYFUNCTION("IFERROR(VALUE(REGEXEXTRACT(TO_TEXT($F699), T$1 &amp; ""x(\d+)"")), """")"),"")</f>
        <v/>
      </c>
      <c r="U699" s="9" t="str">
        <f ca="1">IFERROR(__xludf.DUMMYFUNCTION("IFERROR(VALUE(REGEXEXTRACT(TO_TEXT($F699), U$1 &amp; ""x(\d+)"")), """")"),"")</f>
        <v/>
      </c>
      <c r="V699" s="9" t="str">
        <f ca="1">IFERROR(__xludf.DUMMYFUNCTION("IFERROR(VALUE(REGEXEXTRACT(TO_TEXT($F699), V$1 &amp; ""x(\d+)"")), """")"),"")</f>
        <v/>
      </c>
      <c r="W699" s="9"/>
      <c r="X699" s="9"/>
      <c r="Y699" s="9"/>
      <c r="Z699" s="9"/>
    </row>
    <row r="700" spans="1:26" ht="15.75" hidden="1" customHeight="1">
      <c r="A700" s="9" t="s">
        <v>1791</v>
      </c>
      <c r="B700" s="9" t="s">
        <v>1792</v>
      </c>
      <c r="C700" s="9" t="s">
        <v>946</v>
      </c>
      <c r="D700" s="9" t="s">
        <v>48</v>
      </c>
      <c r="E700" s="9" t="s">
        <v>12</v>
      </c>
      <c r="F700" s="9" t="s">
        <v>1794</v>
      </c>
      <c r="G700" s="9">
        <v>120</v>
      </c>
      <c r="H700" s="9">
        <v>3</v>
      </c>
      <c r="I700" s="9">
        <v>1.0149999999999999</v>
      </c>
      <c r="J700" s="9">
        <v>52</v>
      </c>
      <c r="K700" s="9" t="s">
        <v>424</v>
      </c>
      <c r="L700" s="9" t="s">
        <v>1015</v>
      </c>
      <c r="M700" s="9"/>
      <c r="N700" s="9" t="str">
        <f ca="1">IFERROR(__xludf.DUMMYFUNCTION("IFERROR(VALUE(REGEXEXTRACT(TO_TEXT($F700), N$1 &amp; ""x(\d+)"")), """")
"),"")</f>
        <v/>
      </c>
      <c r="O700" s="9" t="str">
        <f ca="1">IFERROR(__xludf.DUMMYFUNCTION("IFERROR(VALUE(REGEXEXTRACT(TO_TEXT($F700), O$1 &amp; ""x(\d+)"")), """")"),"")</f>
        <v/>
      </c>
      <c r="P700" s="9">
        <f ca="1">IFERROR(__xludf.DUMMYFUNCTION("IFERROR(VALUE(REGEXEXTRACT(TO_TEXT($F700), P$1 &amp; ""x(\d+)"")), """")"),1)</f>
        <v>1</v>
      </c>
      <c r="Q700" s="9" t="str">
        <f ca="1">IFERROR(__xludf.DUMMYFUNCTION("IFERROR(VALUE(REGEXEXTRACT(TO_TEXT($F700), Q$1 &amp; ""x(\d+)"")), """")"),"")</f>
        <v/>
      </c>
      <c r="R700" s="9" t="str">
        <f ca="1">IFERROR(__xludf.DUMMYFUNCTION("IFERROR(VALUE(REGEXEXTRACT(TO_TEXT($F700), R$1 &amp; ""x(\d+)"")), """")"),"")</f>
        <v/>
      </c>
      <c r="S700" s="9" t="str">
        <f ca="1">IFERROR(__xludf.DUMMYFUNCTION("IFERROR(VALUE(REGEXEXTRACT(TO_TEXT($F700), S$1 &amp; ""x(\d+)"")), """")"),"")</f>
        <v/>
      </c>
      <c r="T700" s="9" t="str">
        <f ca="1">IFERROR(__xludf.DUMMYFUNCTION("IFERROR(VALUE(REGEXEXTRACT(TO_TEXT($F700), T$1 &amp; ""x(\d+)"")), """")"),"")</f>
        <v/>
      </c>
      <c r="U700" s="9" t="str">
        <f ca="1">IFERROR(__xludf.DUMMYFUNCTION("IFERROR(VALUE(REGEXEXTRACT(TO_TEXT($F700), U$1 &amp; ""x(\d+)"")), """")"),"")</f>
        <v/>
      </c>
      <c r="V700" s="9" t="str">
        <f ca="1">IFERROR(__xludf.DUMMYFUNCTION("IFERROR(VALUE(REGEXEXTRACT(TO_TEXT($F700), V$1 &amp; ""x(\d+)"")), """")"),"")</f>
        <v/>
      </c>
      <c r="W700" s="9"/>
      <c r="X700" s="9"/>
      <c r="Y700" s="9"/>
      <c r="Z700" s="9"/>
    </row>
    <row r="701" spans="1:26" ht="15.75" hidden="1" customHeight="1">
      <c r="A701" s="9" t="s">
        <v>1791</v>
      </c>
      <c r="B701" s="9" t="s">
        <v>1792</v>
      </c>
      <c r="C701" s="9" t="s">
        <v>946</v>
      </c>
      <c r="D701" s="9" t="s">
        <v>48</v>
      </c>
      <c r="E701" s="9" t="s">
        <v>13</v>
      </c>
      <c r="F701" s="9" t="s">
        <v>1206</v>
      </c>
      <c r="G701" s="9">
        <v>30</v>
      </c>
      <c r="H701" s="9">
        <v>3</v>
      </c>
      <c r="I701" s="9">
        <v>1.0149999999999999</v>
      </c>
      <c r="J701" s="9">
        <v>52</v>
      </c>
      <c r="K701" s="9" t="s">
        <v>424</v>
      </c>
      <c r="L701" s="9"/>
      <c r="M701" s="9"/>
      <c r="N701" s="9" t="str">
        <f ca="1">IFERROR(__xludf.DUMMYFUNCTION("IFERROR(VALUE(REGEXEXTRACT(TO_TEXT($F701), N$1 &amp; ""x(\d+)"")), """")
"),"")</f>
        <v/>
      </c>
      <c r="O701" s="9" t="str">
        <f ca="1">IFERROR(__xludf.DUMMYFUNCTION("IFERROR(VALUE(REGEXEXTRACT(TO_TEXT($F701), O$1 &amp; ""x(\d+)"")), """")"),"")</f>
        <v/>
      </c>
      <c r="P701" s="9">
        <f ca="1">IFERROR(__xludf.DUMMYFUNCTION("IFERROR(VALUE(REGEXEXTRACT(TO_TEXT($F701), P$1 &amp; ""x(\d+)"")), """")"),1)</f>
        <v>1</v>
      </c>
      <c r="Q701" s="9" t="str">
        <f ca="1">IFERROR(__xludf.DUMMYFUNCTION("IFERROR(VALUE(REGEXEXTRACT(TO_TEXT($F701), Q$1 &amp; ""x(\d+)"")), """")"),"")</f>
        <v/>
      </c>
      <c r="R701" s="9" t="str">
        <f ca="1">IFERROR(__xludf.DUMMYFUNCTION("IFERROR(VALUE(REGEXEXTRACT(TO_TEXT($F701), R$1 &amp; ""x(\d+)"")), """")"),"")</f>
        <v/>
      </c>
      <c r="S701" s="9" t="str">
        <f ca="1">IFERROR(__xludf.DUMMYFUNCTION("IFERROR(VALUE(REGEXEXTRACT(TO_TEXT($F701), S$1 &amp; ""x(\d+)"")), """")"),"")</f>
        <v/>
      </c>
      <c r="T701" s="9" t="str">
        <f ca="1">IFERROR(__xludf.DUMMYFUNCTION("IFERROR(VALUE(REGEXEXTRACT(TO_TEXT($F701), T$1 &amp; ""x(\d+)"")), """")"),"")</f>
        <v/>
      </c>
      <c r="U701" s="9" t="str">
        <f ca="1">IFERROR(__xludf.DUMMYFUNCTION("IFERROR(VALUE(REGEXEXTRACT(TO_TEXT($F701), U$1 &amp; ""x(\d+)"")), """")"),"")</f>
        <v/>
      </c>
      <c r="V701" s="9" t="str">
        <f ca="1">IFERROR(__xludf.DUMMYFUNCTION("IFERROR(VALUE(REGEXEXTRACT(TO_TEXT($F701), V$1 &amp; ""x(\d+)"")), """")"),"")</f>
        <v/>
      </c>
      <c r="W701" s="9"/>
      <c r="X701" s="9"/>
      <c r="Y701" s="9"/>
      <c r="Z701" s="9"/>
    </row>
    <row r="702" spans="1:26" ht="15.75" customHeight="1">
      <c r="A702" s="9" t="s">
        <v>1795</v>
      </c>
      <c r="B702" s="9" t="s">
        <v>1796</v>
      </c>
      <c r="C702" s="9" t="s">
        <v>833</v>
      </c>
      <c r="D702" s="9" t="s">
        <v>33</v>
      </c>
      <c r="E702" s="9" t="s">
        <v>11</v>
      </c>
      <c r="F702" s="9" t="s">
        <v>1797</v>
      </c>
      <c r="G702" s="9">
        <v>30</v>
      </c>
      <c r="H702" s="9">
        <v>4</v>
      </c>
      <c r="I702" s="9">
        <v>1.0149999999999999</v>
      </c>
      <c r="J702" s="9">
        <v>103</v>
      </c>
      <c r="K702" s="9" t="s">
        <v>442</v>
      </c>
      <c r="L702" s="9"/>
      <c r="M702" s="9"/>
      <c r="N702" s="9" t="str">
        <f ca="1">IFERROR(__xludf.DUMMYFUNCTION("IFERROR(VALUE(REGEXEXTRACT(TO_TEXT($F702), N$1 &amp; ""x(\d+)"")), """")
"),"")</f>
        <v/>
      </c>
      <c r="O702" s="9" t="str">
        <f ca="1">IFERROR(__xludf.DUMMYFUNCTION("IFERROR(VALUE(REGEXEXTRACT(TO_TEXT($F702), O$1 &amp; ""x(\d+)"")), """")"),"")</f>
        <v/>
      </c>
      <c r="P702" s="9" t="str">
        <f ca="1">IFERROR(__xludf.DUMMYFUNCTION("IFERROR(VALUE(REGEXEXTRACT(TO_TEXT($F702), P$1 &amp; ""x(\d+)"")), """")"),"")</f>
        <v/>
      </c>
      <c r="Q702" s="9" t="str">
        <f ca="1">IFERROR(__xludf.DUMMYFUNCTION("IFERROR(VALUE(REGEXEXTRACT(TO_TEXT($F702), Q$1 &amp; ""x(\d+)"")), """")"),"")</f>
        <v/>
      </c>
      <c r="R702" s="9" t="str">
        <f ca="1">IFERROR(__xludf.DUMMYFUNCTION("IFERROR(VALUE(REGEXEXTRACT(TO_TEXT($F702), R$1 &amp; ""x(\d+)"")), """")"),"")</f>
        <v/>
      </c>
      <c r="S702" s="9" t="str">
        <f ca="1">IFERROR(__xludf.DUMMYFUNCTION("IFERROR(VALUE(REGEXEXTRACT(TO_TEXT($F702), S$1 &amp; ""x(\d+)"")), """")"),"")</f>
        <v/>
      </c>
      <c r="T702" s="9" t="str">
        <f ca="1">IFERROR(__xludf.DUMMYFUNCTION("IFERROR(VALUE(REGEXEXTRACT(TO_TEXT($F702), T$1 &amp; ""x(\d+)"")), """")"),"")</f>
        <v/>
      </c>
      <c r="U702" s="9" t="str">
        <f ca="1">IFERROR(__xludf.DUMMYFUNCTION("IFERROR(VALUE(REGEXEXTRACT(TO_TEXT($F702), U$1 &amp; ""x(\d+)"")), """")"),"")</f>
        <v/>
      </c>
      <c r="V702" s="9" t="str">
        <f ca="1">IFERROR(__xludf.DUMMYFUNCTION("IFERROR(VALUE(REGEXEXTRACT(TO_TEXT($F702), V$1 &amp; ""x(\d+)"")), """")"),"")</f>
        <v/>
      </c>
      <c r="W702" s="9"/>
      <c r="X702" s="9"/>
      <c r="Y702" s="9"/>
      <c r="Z702" s="9"/>
    </row>
    <row r="703" spans="1:26" ht="15.75" customHeight="1">
      <c r="A703" s="9" t="s">
        <v>1795</v>
      </c>
      <c r="B703" s="9" t="s">
        <v>1796</v>
      </c>
      <c r="C703" s="9" t="s">
        <v>833</v>
      </c>
      <c r="D703" s="9" t="s">
        <v>33</v>
      </c>
      <c r="E703" s="9" t="s">
        <v>12</v>
      </c>
      <c r="F703" s="9" t="s">
        <v>1057</v>
      </c>
      <c r="G703" s="9">
        <v>110</v>
      </c>
      <c r="H703" s="9">
        <v>4</v>
      </c>
      <c r="I703" s="9">
        <v>1.0149999999999999</v>
      </c>
      <c r="J703" s="9">
        <v>103</v>
      </c>
      <c r="K703" s="9" t="s">
        <v>442</v>
      </c>
      <c r="L703" s="9" t="s">
        <v>1210</v>
      </c>
      <c r="M703" s="9"/>
      <c r="N703" s="9" t="str">
        <f ca="1">IFERROR(__xludf.DUMMYFUNCTION("IFERROR(VALUE(REGEXEXTRACT(TO_TEXT($F703), N$1 &amp; ""x(\d+)"")), """")
"),"")</f>
        <v/>
      </c>
      <c r="O703" s="9">
        <f ca="1">IFERROR(__xludf.DUMMYFUNCTION("IFERROR(VALUE(REGEXEXTRACT(TO_TEXT($F703), O$1 &amp; ""x(\d+)"")), """")"),1)</f>
        <v>1</v>
      </c>
      <c r="P703" s="9" t="str">
        <f ca="1">IFERROR(__xludf.DUMMYFUNCTION("IFERROR(VALUE(REGEXEXTRACT(TO_TEXT($F703), P$1 &amp; ""x(\d+)"")), """")"),"")</f>
        <v/>
      </c>
      <c r="Q703" s="9" t="str">
        <f ca="1">IFERROR(__xludf.DUMMYFUNCTION("IFERROR(VALUE(REGEXEXTRACT(TO_TEXT($F703), Q$1 &amp; ""x(\d+)"")), """")"),"")</f>
        <v/>
      </c>
      <c r="R703" s="9" t="str">
        <f ca="1">IFERROR(__xludf.DUMMYFUNCTION("IFERROR(VALUE(REGEXEXTRACT(TO_TEXT($F703), R$1 &amp; ""x(\d+)"")), """")"),"")</f>
        <v/>
      </c>
      <c r="S703" s="9" t="str">
        <f ca="1">IFERROR(__xludf.DUMMYFUNCTION("IFERROR(VALUE(REGEXEXTRACT(TO_TEXT($F703), S$1 &amp; ""x(\d+)"")), """")"),"")</f>
        <v/>
      </c>
      <c r="T703" s="9" t="str">
        <f ca="1">IFERROR(__xludf.DUMMYFUNCTION("IFERROR(VALUE(REGEXEXTRACT(TO_TEXT($F703), T$1 &amp; ""x(\d+)"")), """")"),"")</f>
        <v/>
      </c>
      <c r="U703" s="9" t="str">
        <f ca="1">IFERROR(__xludf.DUMMYFUNCTION("IFERROR(VALUE(REGEXEXTRACT(TO_TEXT($F703), U$1 &amp; ""x(\d+)"")), """")"),"")</f>
        <v/>
      </c>
      <c r="V703" s="9" t="str">
        <f ca="1">IFERROR(__xludf.DUMMYFUNCTION("IFERROR(VALUE(REGEXEXTRACT(TO_TEXT($F703), V$1 &amp; ""x(\d+)"")), """")"),"")</f>
        <v/>
      </c>
      <c r="W703" s="9"/>
      <c r="X703" s="9"/>
      <c r="Y703" s="9"/>
      <c r="Z703" s="9"/>
    </row>
    <row r="704" spans="1:26" ht="15.75" customHeight="1">
      <c r="A704" s="9" t="s">
        <v>1795</v>
      </c>
      <c r="B704" s="9" t="s">
        <v>1796</v>
      </c>
      <c r="C704" s="9" t="s">
        <v>833</v>
      </c>
      <c r="D704" s="9" t="s">
        <v>33</v>
      </c>
      <c r="E704" s="9" t="s">
        <v>13</v>
      </c>
      <c r="F704" s="9" t="s">
        <v>1058</v>
      </c>
      <c r="G704" s="9">
        <v>15</v>
      </c>
      <c r="H704" s="9">
        <v>4</v>
      </c>
      <c r="I704" s="9">
        <v>1.0149999999999999</v>
      </c>
      <c r="J704" s="9">
        <v>103</v>
      </c>
      <c r="K704" s="9" t="s">
        <v>442</v>
      </c>
      <c r="L704" s="9"/>
      <c r="M704" s="9"/>
      <c r="N704" s="9" t="str">
        <f ca="1">IFERROR(__xludf.DUMMYFUNCTION("IFERROR(VALUE(REGEXEXTRACT(TO_TEXT($F704), N$1 &amp; ""x(\d+)"")), """")
"),"")</f>
        <v/>
      </c>
      <c r="O704" s="9">
        <f ca="1">IFERROR(__xludf.DUMMYFUNCTION("IFERROR(VALUE(REGEXEXTRACT(TO_TEXT($F704), O$1 &amp; ""x(\d+)"")), """")"),1)</f>
        <v>1</v>
      </c>
      <c r="P704" s="9" t="str">
        <f ca="1">IFERROR(__xludf.DUMMYFUNCTION("IFERROR(VALUE(REGEXEXTRACT(TO_TEXT($F704), P$1 &amp; ""x(\d+)"")), """")"),"")</f>
        <v/>
      </c>
      <c r="Q704" s="9" t="str">
        <f ca="1">IFERROR(__xludf.DUMMYFUNCTION("IFERROR(VALUE(REGEXEXTRACT(TO_TEXT($F704), Q$1 &amp; ""x(\d+)"")), """")"),"")</f>
        <v/>
      </c>
      <c r="R704" s="9" t="str">
        <f ca="1">IFERROR(__xludf.DUMMYFUNCTION("IFERROR(VALUE(REGEXEXTRACT(TO_TEXT($F704), R$1 &amp; ""x(\d+)"")), """")"),"")</f>
        <v/>
      </c>
      <c r="S704" s="9" t="str">
        <f ca="1">IFERROR(__xludf.DUMMYFUNCTION("IFERROR(VALUE(REGEXEXTRACT(TO_TEXT($F704), S$1 &amp; ""x(\d+)"")), """")"),"")</f>
        <v/>
      </c>
      <c r="T704" s="9" t="str">
        <f ca="1">IFERROR(__xludf.DUMMYFUNCTION("IFERROR(VALUE(REGEXEXTRACT(TO_TEXT($F704), T$1 &amp; ""x(\d+)"")), """")"),"")</f>
        <v/>
      </c>
      <c r="U704" s="9" t="str">
        <f ca="1">IFERROR(__xludf.DUMMYFUNCTION("IFERROR(VALUE(REGEXEXTRACT(TO_TEXT($F704), U$1 &amp; ""x(\d+)"")), """")"),"")</f>
        <v/>
      </c>
      <c r="V704" s="9" t="str">
        <f ca="1">IFERROR(__xludf.DUMMYFUNCTION("IFERROR(VALUE(REGEXEXTRACT(TO_TEXT($F704), V$1 &amp; ""x(\d+)"")), """")"),"")</f>
        <v/>
      </c>
      <c r="W704" s="9"/>
      <c r="X704" s="9"/>
      <c r="Y704" s="9"/>
      <c r="Z704" s="9"/>
    </row>
    <row r="705" spans="1:26" ht="15.75" customHeight="1">
      <c r="A705" s="9" t="s">
        <v>1798</v>
      </c>
      <c r="B705" s="9" t="s">
        <v>1796</v>
      </c>
      <c r="C705" s="9" t="s">
        <v>914</v>
      </c>
      <c r="D705" s="9" t="s">
        <v>33</v>
      </c>
      <c r="E705" s="9" t="s">
        <v>11</v>
      </c>
      <c r="F705" s="9" t="s">
        <v>1799</v>
      </c>
      <c r="G705" s="9">
        <v>30</v>
      </c>
      <c r="H705" s="9">
        <v>4</v>
      </c>
      <c r="I705" s="9">
        <v>1.0149999999999999</v>
      </c>
      <c r="J705" s="9">
        <v>103</v>
      </c>
      <c r="K705" s="9" t="s">
        <v>442</v>
      </c>
      <c r="L705" s="9" t="s">
        <v>1210</v>
      </c>
      <c r="M705" s="9"/>
      <c r="N705" s="9" t="str">
        <f ca="1">IFERROR(__xludf.DUMMYFUNCTION("IFERROR(VALUE(REGEXEXTRACT(TO_TEXT($F705), N$1 &amp; ""x(\d+)"")), """")
"),"")</f>
        <v/>
      </c>
      <c r="O705" s="9" t="str">
        <f ca="1">IFERROR(__xludf.DUMMYFUNCTION("IFERROR(VALUE(REGEXEXTRACT(TO_TEXT($F705), O$1 &amp; ""x(\d+)"")), """")"),"")</f>
        <v/>
      </c>
      <c r="P705" s="9" t="str">
        <f ca="1">IFERROR(__xludf.DUMMYFUNCTION("IFERROR(VALUE(REGEXEXTRACT(TO_TEXT($F705), P$1 &amp; ""x(\d+)"")), """")"),"")</f>
        <v/>
      </c>
      <c r="Q705" s="9" t="str">
        <f ca="1">IFERROR(__xludf.DUMMYFUNCTION("IFERROR(VALUE(REGEXEXTRACT(TO_TEXT($F705), Q$1 &amp; ""x(\d+)"")), """")"),"")</f>
        <v/>
      </c>
      <c r="R705" s="9" t="str">
        <f ca="1">IFERROR(__xludf.DUMMYFUNCTION("IFERROR(VALUE(REGEXEXTRACT(TO_TEXT($F705), R$1 &amp; ""x(\d+)"")), """")"),"")</f>
        <v/>
      </c>
      <c r="S705" s="9" t="str">
        <f ca="1">IFERROR(__xludf.DUMMYFUNCTION("IFERROR(VALUE(REGEXEXTRACT(TO_TEXT($F705), S$1 &amp; ""x(\d+)"")), """")"),"")</f>
        <v/>
      </c>
      <c r="T705" s="9" t="str">
        <f ca="1">IFERROR(__xludf.DUMMYFUNCTION("IFERROR(VALUE(REGEXEXTRACT(TO_TEXT($F705), T$1 &amp; ""x(\d+)"")), """")"),"")</f>
        <v/>
      </c>
      <c r="U705" s="9" t="str">
        <f ca="1">IFERROR(__xludf.DUMMYFUNCTION("IFERROR(VALUE(REGEXEXTRACT(TO_TEXT($F705), U$1 &amp; ""x(\d+)"")), """")"),"")</f>
        <v/>
      </c>
      <c r="V705" s="9" t="str">
        <f ca="1">IFERROR(__xludf.DUMMYFUNCTION("IFERROR(VALUE(REGEXEXTRACT(TO_TEXT($F705), V$1 &amp; ""x(\d+)"")), """")"),"")</f>
        <v/>
      </c>
      <c r="W705" s="9"/>
      <c r="X705" s="9"/>
      <c r="Y705" s="9"/>
      <c r="Z705" s="9"/>
    </row>
    <row r="706" spans="1:26" ht="15.75" customHeight="1">
      <c r="A706" s="9" t="s">
        <v>1798</v>
      </c>
      <c r="B706" s="9" t="s">
        <v>1796</v>
      </c>
      <c r="C706" s="9" t="s">
        <v>914</v>
      </c>
      <c r="D706" s="9" t="s">
        <v>33</v>
      </c>
      <c r="E706" s="9" t="s">
        <v>12</v>
      </c>
      <c r="F706" s="9" t="s">
        <v>1057</v>
      </c>
      <c r="G706" s="9">
        <v>110</v>
      </c>
      <c r="H706" s="9">
        <v>4</v>
      </c>
      <c r="I706" s="9">
        <v>1.0149999999999999</v>
      </c>
      <c r="J706" s="9">
        <v>103</v>
      </c>
      <c r="K706" s="9" t="s">
        <v>442</v>
      </c>
      <c r="L706" s="9"/>
      <c r="M706" s="9"/>
      <c r="N706" s="9" t="str">
        <f ca="1">IFERROR(__xludf.DUMMYFUNCTION("IFERROR(VALUE(REGEXEXTRACT(TO_TEXT($F706), N$1 &amp; ""x(\d+)"")), """")
"),"")</f>
        <v/>
      </c>
      <c r="O706" s="9">
        <f ca="1">IFERROR(__xludf.DUMMYFUNCTION("IFERROR(VALUE(REGEXEXTRACT(TO_TEXT($F706), O$1 &amp; ""x(\d+)"")), """")"),1)</f>
        <v>1</v>
      </c>
      <c r="P706" s="9" t="str">
        <f ca="1">IFERROR(__xludf.DUMMYFUNCTION("IFERROR(VALUE(REGEXEXTRACT(TO_TEXT($F706), P$1 &amp; ""x(\d+)"")), """")"),"")</f>
        <v/>
      </c>
      <c r="Q706" s="9" t="str">
        <f ca="1">IFERROR(__xludf.DUMMYFUNCTION("IFERROR(VALUE(REGEXEXTRACT(TO_TEXT($F706), Q$1 &amp; ""x(\d+)"")), """")"),"")</f>
        <v/>
      </c>
      <c r="R706" s="9" t="str">
        <f ca="1">IFERROR(__xludf.DUMMYFUNCTION("IFERROR(VALUE(REGEXEXTRACT(TO_TEXT($F706), R$1 &amp; ""x(\d+)"")), """")"),"")</f>
        <v/>
      </c>
      <c r="S706" s="9" t="str">
        <f ca="1">IFERROR(__xludf.DUMMYFUNCTION("IFERROR(VALUE(REGEXEXTRACT(TO_TEXT($F706), S$1 &amp; ""x(\d+)"")), """")"),"")</f>
        <v/>
      </c>
      <c r="T706" s="9" t="str">
        <f ca="1">IFERROR(__xludf.DUMMYFUNCTION("IFERROR(VALUE(REGEXEXTRACT(TO_TEXT($F706), T$1 &amp; ""x(\d+)"")), """")"),"")</f>
        <v/>
      </c>
      <c r="U706" s="9" t="str">
        <f ca="1">IFERROR(__xludf.DUMMYFUNCTION("IFERROR(VALUE(REGEXEXTRACT(TO_TEXT($F706), U$1 &amp; ""x(\d+)"")), """")"),"")</f>
        <v/>
      </c>
      <c r="V706" s="9" t="str">
        <f ca="1">IFERROR(__xludf.DUMMYFUNCTION("IFERROR(VALUE(REGEXEXTRACT(TO_TEXT($F706), V$1 &amp; ""x(\d+)"")), """")"),"")</f>
        <v/>
      </c>
      <c r="W706" s="9"/>
      <c r="X706" s="9"/>
      <c r="Y706" s="9"/>
      <c r="Z706" s="9"/>
    </row>
    <row r="707" spans="1:26" ht="15.75" customHeight="1">
      <c r="A707" s="9" t="s">
        <v>1798</v>
      </c>
      <c r="B707" s="9" t="s">
        <v>1796</v>
      </c>
      <c r="C707" s="9" t="s">
        <v>914</v>
      </c>
      <c r="D707" s="9" t="s">
        <v>33</v>
      </c>
      <c r="E707" s="9" t="s">
        <v>13</v>
      </c>
      <c r="F707" s="9" t="s">
        <v>1058</v>
      </c>
      <c r="G707" s="9">
        <v>15</v>
      </c>
      <c r="H707" s="9">
        <v>4</v>
      </c>
      <c r="I707" s="9">
        <v>1.0149999999999999</v>
      </c>
      <c r="J707" s="9">
        <v>103</v>
      </c>
      <c r="K707" s="9" t="s">
        <v>442</v>
      </c>
      <c r="L707" s="9"/>
      <c r="M707" s="9"/>
      <c r="N707" s="9" t="str">
        <f ca="1">IFERROR(__xludf.DUMMYFUNCTION("IFERROR(VALUE(REGEXEXTRACT(TO_TEXT($F707), N$1 &amp; ""x(\d+)"")), """")
"),"")</f>
        <v/>
      </c>
      <c r="O707" s="9">
        <f ca="1">IFERROR(__xludf.DUMMYFUNCTION("IFERROR(VALUE(REGEXEXTRACT(TO_TEXT($F707), O$1 &amp; ""x(\d+)"")), """")"),1)</f>
        <v>1</v>
      </c>
      <c r="P707" s="9" t="str">
        <f ca="1">IFERROR(__xludf.DUMMYFUNCTION("IFERROR(VALUE(REGEXEXTRACT(TO_TEXT($F707), P$1 &amp; ""x(\d+)"")), """")"),"")</f>
        <v/>
      </c>
      <c r="Q707" s="9" t="str">
        <f ca="1">IFERROR(__xludf.DUMMYFUNCTION("IFERROR(VALUE(REGEXEXTRACT(TO_TEXT($F707), Q$1 &amp; ""x(\d+)"")), """")"),"")</f>
        <v/>
      </c>
      <c r="R707" s="9" t="str">
        <f ca="1">IFERROR(__xludf.DUMMYFUNCTION("IFERROR(VALUE(REGEXEXTRACT(TO_TEXT($F707), R$1 &amp; ""x(\d+)"")), """")"),"")</f>
        <v/>
      </c>
      <c r="S707" s="9" t="str">
        <f ca="1">IFERROR(__xludf.DUMMYFUNCTION("IFERROR(VALUE(REGEXEXTRACT(TO_TEXT($F707), S$1 &amp; ""x(\d+)"")), """")"),"")</f>
        <v/>
      </c>
      <c r="T707" s="9" t="str">
        <f ca="1">IFERROR(__xludf.DUMMYFUNCTION("IFERROR(VALUE(REGEXEXTRACT(TO_TEXT($F707), T$1 &amp; ""x(\d+)"")), """")"),"")</f>
        <v/>
      </c>
      <c r="U707" s="9" t="str">
        <f ca="1">IFERROR(__xludf.DUMMYFUNCTION("IFERROR(VALUE(REGEXEXTRACT(TO_TEXT($F707), U$1 &amp; ""x(\d+)"")), """")"),"")</f>
        <v/>
      </c>
      <c r="V707" s="9" t="str">
        <f ca="1">IFERROR(__xludf.DUMMYFUNCTION("IFERROR(VALUE(REGEXEXTRACT(TO_TEXT($F707), V$1 &amp; ""x(\d+)"")), """")"),"")</f>
        <v/>
      </c>
      <c r="W707" s="9"/>
      <c r="X707" s="9"/>
      <c r="Y707" s="9"/>
      <c r="Z707" s="9"/>
    </row>
    <row r="708" spans="1:26" ht="15.75" customHeight="1">
      <c r="A708" s="9" t="s">
        <v>1800</v>
      </c>
      <c r="B708" s="9" t="s">
        <v>1796</v>
      </c>
      <c r="C708" s="9" t="s">
        <v>916</v>
      </c>
      <c r="D708" s="9" t="s">
        <v>33</v>
      </c>
      <c r="E708" s="9" t="s">
        <v>11</v>
      </c>
      <c r="F708" s="9" t="s">
        <v>1799</v>
      </c>
      <c r="G708" s="9">
        <v>30</v>
      </c>
      <c r="H708" s="9">
        <v>4</v>
      </c>
      <c r="I708" s="9">
        <v>1.0149999999999999</v>
      </c>
      <c r="J708" s="9">
        <v>103</v>
      </c>
      <c r="K708" s="9" t="s">
        <v>442</v>
      </c>
      <c r="L708" s="9" t="s">
        <v>1210</v>
      </c>
      <c r="M708" s="9"/>
      <c r="N708" s="9" t="str">
        <f ca="1">IFERROR(__xludf.DUMMYFUNCTION("IFERROR(VALUE(REGEXEXTRACT(TO_TEXT($F708), N$1 &amp; ""x(\d+)"")), """")
"),"")</f>
        <v/>
      </c>
      <c r="O708" s="9" t="str">
        <f ca="1">IFERROR(__xludf.DUMMYFUNCTION("IFERROR(VALUE(REGEXEXTRACT(TO_TEXT($F708), O$1 &amp; ""x(\d+)"")), """")"),"")</f>
        <v/>
      </c>
      <c r="P708" s="9" t="str">
        <f ca="1">IFERROR(__xludf.DUMMYFUNCTION("IFERROR(VALUE(REGEXEXTRACT(TO_TEXT($F708), P$1 &amp; ""x(\d+)"")), """")"),"")</f>
        <v/>
      </c>
      <c r="Q708" s="9" t="str">
        <f ca="1">IFERROR(__xludf.DUMMYFUNCTION("IFERROR(VALUE(REGEXEXTRACT(TO_TEXT($F708), Q$1 &amp; ""x(\d+)"")), """")"),"")</f>
        <v/>
      </c>
      <c r="R708" s="9" t="str">
        <f ca="1">IFERROR(__xludf.DUMMYFUNCTION("IFERROR(VALUE(REGEXEXTRACT(TO_TEXT($F708), R$1 &amp; ""x(\d+)"")), """")"),"")</f>
        <v/>
      </c>
      <c r="S708" s="9" t="str">
        <f ca="1">IFERROR(__xludf.DUMMYFUNCTION("IFERROR(VALUE(REGEXEXTRACT(TO_TEXT($F708), S$1 &amp; ""x(\d+)"")), """")"),"")</f>
        <v/>
      </c>
      <c r="T708" s="9" t="str">
        <f ca="1">IFERROR(__xludf.DUMMYFUNCTION("IFERROR(VALUE(REGEXEXTRACT(TO_TEXT($F708), T$1 &amp; ""x(\d+)"")), """")"),"")</f>
        <v/>
      </c>
      <c r="U708" s="9" t="str">
        <f ca="1">IFERROR(__xludf.DUMMYFUNCTION("IFERROR(VALUE(REGEXEXTRACT(TO_TEXT($F708), U$1 &amp; ""x(\d+)"")), """")"),"")</f>
        <v/>
      </c>
      <c r="V708" s="9" t="str">
        <f ca="1">IFERROR(__xludf.DUMMYFUNCTION("IFERROR(VALUE(REGEXEXTRACT(TO_TEXT($F708), V$1 &amp; ""x(\d+)"")), """")"),"")</f>
        <v/>
      </c>
      <c r="W708" s="9"/>
      <c r="X708" s="9"/>
      <c r="Y708" s="9"/>
      <c r="Z708" s="9"/>
    </row>
    <row r="709" spans="1:26" ht="15.75" customHeight="1">
      <c r="A709" s="9" t="s">
        <v>1800</v>
      </c>
      <c r="B709" s="9" t="s">
        <v>1796</v>
      </c>
      <c r="C709" s="9" t="s">
        <v>916</v>
      </c>
      <c r="D709" s="9" t="s">
        <v>33</v>
      </c>
      <c r="E709" s="9" t="s">
        <v>12</v>
      </c>
      <c r="F709" s="9" t="s">
        <v>1057</v>
      </c>
      <c r="G709" s="9">
        <v>110</v>
      </c>
      <c r="H709" s="9">
        <v>4</v>
      </c>
      <c r="I709" s="9">
        <v>1.0149999999999999</v>
      </c>
      <c r="J709" s="9">
        <v>103</v>
      </c>
      <c r="K709" s="9" t="s">
        <v>442</v>
      </c>
      <c r="L709" s="9"/>
      <c r="M709" s="9"/>
      <c r="N709" s="9" t="str">
        <f ca="1">IFERROR(__xludf.DUMMYFUNCTION("IFERROR(VALUE(REGEXEXTRACT(TO_TEXT($F709), N$1 &amp; ""x(\d+)"")), """")
"),"")</f>
        <v/>
      </c>
      <c r="O709" s="9">
        <f ca="1">IFERROR(__xludf.DUMMYFUNCTION("IFERROR(VALUE(REGEXEXTRACT(TO_TEXT($F709), O$1 &amp; ""x(\d+)"")), """")"),1)</f>
        <v>1</v>
      </c>
      <c r="P709" s="9" t="str">
        <f ca="1">IFERROR(__xludf.DUMMYFUNCTION("IFERROR(VALUE(REGEXEXTRACT(TO_TEXT($F709), P$1 &amp; ""x(\d+)"")), """")"),"")</f>
        <v/>
      </c>
      <c r="Q709" s="9" t="str">
        <f ca="1">IFERROR(__xludf.DUMMYFUNCTION("IFERROR(VALUE(REGEXEXTRACT(TO_TEXT($F709), Q$1 &amp; ""x(\d+)"")), """")"),"")</f>
        <v/>
      </c>
      <c r="R709" s="9" t="str">
        <f ca="1">IFERROR(__xludf.DUMMYFUNCTION("IFERROR(VALUE(REGEXEXTRACT(TO_TEXT($F709), R$1 &amp; ""x(\d+)"")), """")"),"")</f>
        <v/>
      </c>
      <c r="S709" s="9" t="str">
        <f ca="1">IFERROR(__xludf.DUMMYFUNCTION("IFERROR(VALUE(REGEXEXTRACT(TO_TEXT($F709), S$1 &amp; ""x(\d+)"")), """")"),"")</f>
        <v/>
      </c>
      <c r="T709" s="9" t="str">
        <f ca="1">IFERROR(__xludf.DUMMYFUNCTION("IFERROR(VALUE(REGEXEXTRACT(TO_TEXT($F709), T$1 &amp; ""x(\d+)"")), """")"),"")</f>
        <v/>
      </c>
      <c r="U709" s="9" t="str">
        <f ca="1">IFERROR(__xludf.DUMMYFUNCTION("IFERROR(VALUE(REGEXEXTRACT(TO_TEXT($F709), U$1 &amp; ""x(\d+)"")), """")"),"")</f>
        <v/>
      </c>
      <c r="V709" s="9" t="str">
        <f ca="1">IFERROR(__xludf.DUMMYFUNCTION("IFERROR(VALUE(REGEXEXTRACT(TO_TEXT($F709), V$1 &amp; ""x(\d+)"")), """")"),"")</f>
        <v/>
      </c>
      <c r="W709" s="9"/>
      <c r="X709" s="9"/>
      <c r="Y709" s="9"/>
      <c r="Z709" s="9"/>
    </row>
    <row r="710" spans="1:26" ht="15.75" customHeight="1">
      <c r="A710" s="9" t="s">
        <v>1800</v>
      </c>
      <c r="B710" s="9" t="s">
        <v>1796</v>
      </c>
      <c r="C710" s="9" t="s">
        <v>916</v>
      </c>
      <c r="D710" s="9" t="s">
        <v>33</v>
      </c>
      <c r="E710" s="9" t="s">
        <v>13</v>
      </c>
      <c r="F710" s="9" t="s">
        <v>1058</v>
      </c>
      <c r="G710" s="9">
        <v>15</v>
      </c>
      <c r="H710" s="9">
        <v>4</v>
      </c>
      <c r="I710" s="9">
        <v>1.0149999999999999</v>
      </c>
      <c r="J710" s="9">
        <v>103</v>
      </c>
      <c r="K710" s="9" t="s">
        <v>442</v>
      </c>
      <c r="L710" s="9"/>
      <c r="M710" s="9"/>
      <c r="N710" s="9" t="str">
        <f ca="1">IFERROR(__xludf.DUMMYFUNCTION("IFERROR(VALUE(REGEXEXTRACT(TO_TEXT($F710), N$1 &amp; ""x(\d+)"")), """")
"),"")</f>
        <v/>
      </c>
      <c r="O710" s="9">
        <f ca="1">IFERROR(__xludf.DUMMYFUNCTION("IFERROR(VALUE(REGEXEXTRACT(TO_TEXT($F710), O$1 &amp; ""x(\d+)"")), """")"),1)</f>
        <v>1</v>
      </c>
      <c r="P710" s="9" t="str">
        <f ca="1">IFERROR(__xludf.DUMMYFUNCTION("IFERROR(VALUE(REGEXEXTRACT(TO_TEXT($F710), P$1 &amp; ""x(\d+)"")), """")"),"")</f>
        <v/>
      </c>
      <c r="Q710" s="9" t="str">
        <f ca="1">IFERROR(__xludf.DUMMYFUNCTION("IFERROR(VALUE(REGEXEXTRACT(TO_TEXT($F710), Q$1 &amp; ""x(\d+)"")), """")"),"")</f>
        <v/>
      </c>
      <c r="R710" s="9" t="str">
        <f ca="1">IFERROR(__xludf.DUMMYFUNCTION("IFERROR(VALUE(REGEXEXTRACT(TO_TEXT($F710), R$1 &amp; ""x(\d+)"")), """")"),"")</f>
        <v/>
      </c>
      <c r="S710" s="9" t="str">
        <f ca="1">IFERROR(__xludf.DUMMYFUNCTION("IFERROR(VALUE(REGEXEXTRACT(TO_TEXT($F710), S$1 &amp; ""x(\d+)"")), """")"),"")</f>
        <v/>
      </c>
      <c r="T710" s="9" t="str">
        <f ca="1">IFERROR(__xludf.DUMMYFUNCTION("IFERROR(VALUE(REGEXEXTRACT(TO_TEXT($F710), T$1 &amp; ""x(\d+)"")), """")"),"")</f>
        <v/>
      </c>
      <c r="U710" s="9" t="str">
        <f ca="1">IFERROR(__xludf.DUMMYFUNCTION("IFERROR(VALUE(REGEXEXTRACT(TO_TEXT($F710), U$1 &amp; ""x(\d+)"")), """")"),"")</f>
        <v/>
      </c>
      <c r="V710" s="9" t="str">
        <f ca="1">IFERROR(__xludf.DUMMYFUNCTION("IFERROR(VALUE(REGEXEXTRACT(TO_TEXT($F710), V$1 &amp; ""x(\d+)"")), """")"),"")</f>
        <v/>
      </c>
      <c r="W710" s="9"/>
      <c r="X710" s="9"/>
      <c r="Y710" s="9"/>
      <c r="Z710" s="9"/>
    </row>
    <row r="711" spans="1:26" ht="15.75" hidden="1" customHeight="1">
      <c r="A711" s="9" t="s">
        <v>1801</v>
      </c>
      <c r="B711" s="9" t="s">
        <v>1802</v>
      </c>
      <c r="C711" s="9" t="s">
        <v>959</v>
      </c>
      <c r="D711" s="9" t="s">
        <v>74</v>
      </c>
      <c r="E711" s="9" t="s">
        <v>11</v>
      </c>
      <c r="F711" s="9" t="s">
        <v>1204</v>
      </c>
      <c r="G711" s="9">
        <v>30</v>
      </c>
      <c r="H711" s="9">
        <v>3</v>
      </c>
      <c r="I711" s="9">
        <v>1.0149999999999999</v>
      </c>
      <c r="J711" s="9">
        <v>100</v>
      </c>
      <c r="K711" s="9" t="s">
        <v>424</v>
      </c>
      <c r="L711" s="9"/>
      <c r="M711" s="9"/>
      <c r="N711" s="9" t="str">
        <f ca="1">IFERROR(__xludf.DUMMYFUNCTION("IFERROR(VALUE(REGEXEXTRACT(TO_TEXT($F711), N$1 &amp; ""x(\d+)"")), """")
"),"")</f>
        <v/>
      </c>
      <c r="O711" s="9" t="str">
        <f ca="1">IFERROR(__xludf.DUMMYFUNCTION("IFERROR(VALUE(REGEXEXTRACT(TO_TEXT($F711), O$1 &amp; ""x(\d+)"")), """")"),"")</f>
        <v/>
      </c>
      <c r="P711" s="9" t="str">
        <f ca="1">IFERROR(__xludf.DUMMYFUNCTION("IFERROR(VALUE(REGEXEXTRACT(TO_TEXT($F711), P$1 &amp; ""x(\d+)"")), """")"),"")</f>
        <v/>
      </c>
      <c r="Q711" s="9" t="str">
        <f ca="1">IFERROR(__xludf.DUMMYFUNCTION("IFERROR(VALUE(REGEXEXTRACT(TO_TEXT($F711), Q$1 &amp; ""x(\d+)"")), """")"),"")</f>
        <v/>
      </c>
      <c r="R711" s="9" t="str">
        <f ca="1">IFERROR(__xludf.DUMMYFUNCTION("IFERROR(VALUE(REGEXEXTRACT(TO_TEXT($F711), R$1 &amp; ""x(\d+)"")), """")"),"")</f>
        <v/>
      </c>
      <c r="S711" s="9" t="str">
        <f ca="1">IFERROR(__xludf.DUMMYFUNCTION("IFERROR(VALUE(REGEXEXTRACT(TO_TEXT($F711), S$1 &amp; ""x(\d+)"")), """")"),"")</f>
        <v/>
      </c>
      <c r="T711" s="9" t="str">
        <f ca="1">IFERROR(__xludf.DUMMYFUNCTION("IFERROR(VALUE(REGEXEXTRACT(TO_TEXT($F711), T$1 &amp; ""x(\d+)"")), """")"),"")</f>
        <v/>
      </c>
      <c r="U711" s="9" t="str">
        <f ca="1">IFERROR(__xludf.DUMMYFUNCTION("IFERROR(VALUE(REGEXEXTRACT(TO_TEXT($F711), U$1 &amp; ""x(\d+)"")), """")"),"")</f>
        <v/>
      </c>
      <c r="V711" s="9" t="str">
        <f ca="1">IFERROR(__xludf.DUMMYFUNCTION("IFERROR(VALUE(REGEXEXTRACT(TO_TEXT($F711), V$1 &amp; ""x(\d+)"")), """")"),"")</f>
        <v/>
      </c>
      <c r="W711" s="9"/>
      <c r="X711" s="9"/>
      <c r="Y711" s="9"/>
      <c r="Z711" s="9"/>
    </row>
    <row r="712" spans="1:26" ht="15.75" hidden="1" customHeight="1">
      <c r="A712" s="9" t="s">
        <v>1801</v>
      </c>
      <c r="B712" s="9" t="s">
        <v>1802</v>
      </c>
      <c r="C712" s="9" t="s">
        <v>959</v>
      </c>
      <c r="D712" s="9" t="s">
        <v>74</v>
      </c>
      <c r="E712" s="9" t="s">
        <v>12</v>
      </c>
      <c r="F712" s="9" t="s">
        <v>1232</v>
      </c>
      <c r="G712" s="9">
        <v>190</v>
      </c>
      <c r="H712" s="9">
        <v>3</v>
      </c>
      <c r="I712" s="9">
        <v>1.0149999999999999</v>
      </c>
      <c r="J712" s="9">
        <v>100</v>
      </c>
      <c r="K712" s="9" t="s">
        <v>424</v>
      </c>
      <c r="L712" s="9" t="s">
        <v>1210</v>
      </c>
      <c r="M712" s="9"/>
      <c r="N712" s="9" t="str">
        <f ca="1">IFERROR(__xludf.DUMMYFUNCTION("IFERROR(VALUE(REGEXEXTRACT(TO_TEXT($F712), N$1 &amp; ""x(\d+)"")), """")
"),"")</f>
        <v/>
      </c>
      <c r="O712" s="9" t="str">
        <f ca="1">IFERROR(__xludf.DUMMYFUNCTION("IFERROR(VALUE(REGEXEXTRACT(TO_TEXT($F712), O$1 &amp; ""x(\d+)"")), """")"),"")</f>
        <v/>
      </c>
      <c r="P712" s="9" t="str">
        <f ca="1">IFERROR(__xludf.DUMMYFUNCTION("IFERROR(VALUE(REGEXEXTRACT(TO_TEXT($F712), P$1 &amp; ""x(\d+)"")), """")"),"")</f>
        <v/>
      </c>
      <c r="Q712" s="9">
        <f ca="1">IFERROR(__xludf.DUMMYFUNCTION("IFERROR(VALUE(REGEXEXTRACT(TO_TEXT($F712), Q$1 &amp; ""x(\d+)"")), """")"),1)</f>
        <v>1</v>
      </c>
      <c r="R712" s="9" t="str">
        <f ca="1">IFERROR(__xludf.DUMMYFUNCTION("IFERROR(VALUE(REGEXEXTRACT(TO_TEXT($F712), R$1 &amp; ""x(\d+)"")), """")"),"")</f>
        <v/>
      </c>
      <c r="S712" s="9" t="str">
        <f ca="1">IFERROR(__xludf.DUMMYFUNCTION("IFERROR(VALUE(REGEXEXTRACT(TO_TEXT($F712), S$1 &amp; ""x(\d+)"")), """")"),"")</f>
        <v/>
      </c>
      <c r="T712" s="9" t="str">
        <f ca="1">IFERROR(__xludf.DUMMYFUNCTION("IFERROR(VALUE(REGEXEXTRACT(TO_TEXT($F712), T$1 &amp; ""x(\d+)"")), """")"),"")</f>
        <v/>
      </c>
      <c r="U712" s="9" t="str">
        <f ca="1">IFERROR(__xludf.DUMMYFUNCTION("IFERROR(VALUE(REGEXEXTRACT(TO_TEXT($F712), U$1 &amp; ""x(\d+)"")), """")"),"")</f>
        <v/>
      </c>
      <c r="V712" s="9" t="str">
        <f ca="1">IFERROR(__xludf.DUMMYFUNCTION("IFERROR(VALUE(REGEXEXTRACT(TO_TEXT($F712), V$1 &amp; ""x(\d+)"")), """")"),"")</f>
        <v/>
      </c>
      <c r="W712" s="9"/>
      <c r="X712" s="9"/>
      <c r="Y712" s="9"/>
      <c r="Z712" s="9"/>
    </row>
    <row r="713" spans="1:26" ht="15.75" hidden="1" customHeight="1">
      <c r="A713" s="9" t="s">
        <v>1801</v>
      </c>
      <c r="B713" s="9" t="s">
        <v>1802</v>
      </c>
      <c r="C713" s="9" t="s">
        <v>959</v>
      </c>
      <c r="D713" s="9" t="s">
        <v>74</v>
      </c>
      <c r="E713" s="9" t="s">
        <v>13</v>
      </c>
      <c r="F713" s="9" t="s">
        <v>1233</v>
      </c>
      <c r="G713" s="9">
        <v>40</v>
      </c>
      <c r="H713" s="9">
        <v>3</v>
      </c>
      <c r="I713" s="9">
        <v>1.0149999999999999</v>
      </c>
      <c r="J713" s="9">
        <v>100</v>
      </c>
      <c r="K713" s="9" t="s">
        <v>424</v>
      </c>
      <c r="L713" s="9"/>
      <c r="M713" s="9"/>
      <c r="N713" s="9" t="str">
        <f ca="1">IFERROR(__xludf.DUMMYFUNCTION("IFERROR(VALUE(REGEXEXTRACT(TO_TEXT($F713), N$1 &amp; ""x(\d+)"")), """")
"),"")</f>
        <v/>
      </c>
      <c r="O713" s="9" t="str">
        <f ca="1">IFERROR(__xludf.DUMMYFUNCTION("IFERROR(VALUE(REGEXEXTRACT(TO_TEXT($F713), O$1 &amp; ""x(\d+)"")), """")"),"")</f>
        <v/>
      </c>
      <c r="P713" s="9" t="str">
        <f ca="1">IFERROR(__xludf.DUMMYFUNCTION("IFERROR(VALUE(REGEXEXTRACT(TO_TEXT($F713), P$1 &amp; ""x(\d+)"")), """")"),"")</f>
        <v/>
      </c>
      <c r="Q713" s="9">
        <f ca="1">IFERROR(__xludf.DUMMYFUNCTION("IFERROR(VALUE(REGEXEXTRACT(TO_TEXT($F713), Q$1 &amp; ""x(\d+)"")), """")"),1)</f>
        <v>1</v>
      </c>
      <c r="R713" s="9" t="str">
        <f ca="1">IFERROR(__xludf.DUMMYFUNCTION("IFERROR(VALUE(REGEXEXTRACT(TO_TEXT($F713), R$1 &amp; ""x(\d+)"")), """")"),"")</f>
        <v/>
      </c>
      <c r="S713" s="9" t="str">
        <f ca="1">IFERROR(__xludf.DUMMYFUNCTION("IFERROR(VALUE(REGEXEXTRACT(TO_TEXT($F713), S$1 &amp; ""x(\d+)"")), """")"),"")</f>
        <v/>
      </c>
      <c r="T713" s="9" t="str">
        <f ca="1">IFERROR(__xludf.DUMMYFUNCTION("IFERROR(VALUE(REGEXEXTRACT(TO_TEXT($F713), T$1 &amp; ""x(\d+)"")), """")"),"")</f>
        <v/>
      </c>
      <c r="U713" s="9" t="str">
        <f ca="1">IFERROR(__xludf.DUMMYFUNCTION("IFERROR(VALUE(REGEXEXTRACT(TO_TEXT($F713), U$1 &amp; ""x(\d+)"")), """")"),"")</f>
        <v/>
      </c>
      <c r="V713" s="9" t="str">
        <f ca="1">IFERROR(__xludf.DUMMYFUNCTION("IFERROR(VALUE(REGEXEXTRACT(TO_TEXT($F713), V$1 &amp; ""x(\d+)"")), """")"),"")</f>
        <v/>
      </c>
      <c r="W713" s="9"/>
      <c r="X713" s="9"/>
      <c r="Y713" s="9"/>
      <c r="Z713" s="9"/>
    </row>
    <row r="714" spans="1:26" ht="15.75" hidden="1" customHeight="1">
      <c r="A714" s="9" t="s">
        <v>1803</v>
      </c>
      <c r="B714" s="9" t="s">
        <v>1804</v>
      </c>
      <c r="C714" s="9" t="s">
        <v>957</v>
      </c>
      <c r="D714" s="9" t="s">
        <v>48</v>
      </c>
      <c r="E714" s="9" t="s">
        <v>11</v>
      </c>
      <c r="F714" s="9" t="s">
        <v>1805</v>
      </c>
      <c r="G714" s="9">
        <v>40</v>
      </c>
      <c r="H714" s="9">
        <v>5</v>
      </c>
      <c r="I714" s="9">
        <v>1.0149999999999999</v>
      </c>
      <c r="J714" s="9">
        <v>52</v>
      </c>
      <c r="K714" s="9" t="s">
        <v>424</v>
      </c>
      <c r="L714" s="9"/>
      <c r="M714" s="9"/>
      <c r="N714" s="9" t="str">
        <f ca="1">IFERROR(__xludf.DUMMYFUNCTION("IFERROR(VALUE(REGEXEXTRACT(TO_TEXT($F714), N$1 &amp; ""x(\d+)"")), """")
"),"")</f>
        <v/>
      </c>
      <c r="O714" s="9" t="str">
        <f ca="1">IFERROR(__xludf.DUMMYFUNCTION("IFERROR(VALUE(REGEXEXTRACT(TO_TEXT($F714), O$1 &amp; ""x(\d+)"")), """")"),"")</f>
        <v/>
      </c>
      <c r="P714" s="9" t="str">
        <f ca="1">IFERROR(__xludf.DUMMYFUNCTION("IFERROR(VALUE(REGEXEXTRACT(TO_TEXT($F714), P$1 &amp; ""x(\d+)"")), """")"),"")</f>
        <v/>
      </c>
      <c r="Q714" s="9" t="str">
        <f ca="1">IFERROR(__xludf.DUMMYFUNCTION("IFERROR(VALUE(REGEXEXTRACT(TO_TEXT($F714), Q$1 &amp; ""x(\d+)"")), """")"),"")</f>
        <v/>
      </c>
      <c r="R714" s="9" t="str">
        <f ca="1">IFERROR(__xludf.DUMMYFUNCTION("IFERROR(VALUE(REGEXEXTRACT(TO_TEXT($F714), R$1 &amp; ""x(\d+)"")), """")"),"")</f>
        <v/>
      </c>
      <c r="S714" s="9" t="str">
        <f ca="1">IFERROR(__xludf.DUMMYFUNCTION("IFERROR(VALUE(REGEXEXTRACT(TO_TEXT($F714), S$1 &amp; ""x(\d+)"")), """")"),"")</f>
        <v/>
      </c>
      <c r="T714" s="9" t="str">
        <f ca="1">IFERROR(__xludf.DUMMYFUNCTION("IFERROR(VALUE(REGEXEXTRACT(TO_TEXT($F714), T$1 &amp; ""x(\d+)"")), """")"),"")</f>
        <v/>
      </c>
      <c r="U714" s="9" t="str">
        <f ca="1">IFERROR(__xludf.DUMMYFUNCTION("IFERROR(VALUE(REGEXEXTRACT(TO_TEXT($F714), U$1 &amp; ""x(\d+)"")), """")"),"")</f>
        <v/>
      </c>
      <c r="V714" s="9" t="str">
        <f ca="1">IFERROR(__xludf.DUMMYFUNCTION("IFERROR(VALUE(REGEXEXTRACT(TO_TEXT($F714), V$1 &amp; ""x(\d+)"")), """")"),"")</f>
        <v/>
      </c>
      <c r="W714" s="9"/>
      <c r="X714" s="9"/>
      <c r="Y714" s="9"/>
      <c r="Z714" s="9"/>
    </row>
    <row r="715" spans="1:26" ht="15.75" hidden="1" customHeight="1">
      <c r="A715" s="9" t="s">
        <v>1803</v>
      </c>
      <c r="B715" s="9" t="s">
        <v>1804</v>
      </c>
      <c r="C715" s="9" t="s">
        <v>957</v>
      </c>
      <c r="D715" s="9" t="s">
        <v>48</v>
      </c>
      <c r="E715" s="9" t="s">
        <v>12</v>
      </c>
      <c r="F715" s="9" t="s">
        <v>1806</v>
      </c>
      <c r="G715" s="9">
        <v>140</v>
      </c>
      <c r="H715" s="9">
        <v>5</v>
      </c>
      <c r="I715" s="9">
        <v>1.0149999999999999</v>
      </c>
      <c r="J715" s="9">
        <v>52</v>
      </c>
      <c r="K715" s="9" t="s">
        <v>424</v>
      </c>
      <c r="L715" s="9" t="s">
        <v>1210</v>
      </c>
      <c r="M715" s="9"/>
      <c r="N715" s="9" t="str">
        <f ca="1">IFERROR(__xludf.DUMMYFUNCTION("IFERROR(VALUE(REGEXEXTRACT(TO_TEXT($F715), N$1 &amp; ""x(\d+)"")), """")
"),"")</f>
        <v/>
      </c>
      <c r="O715" s="9" t="str">
        <f ca="1">IFERROR(__xludf.DUMMYFUNCTION("IFERROR(VALUE(REGEXEXTRACT(TO_TEXT($F715), O$1 &amp; ""x(\d+)"")), """")"),"")</f>
        <v/>
      </c>
      <c r="P715" s="9">
        <f ca="1">IFERROR(__xludf.DUMMYFUNCTION("IFERROR(VALUE(REGEXEXTRACT(TO_TEXT($F715), P$1 &amp; ""x(\d+)"")), """")"),1)</f>
        <v>1</v>
      </c>
      <c r="Q715" s="9" t="str">
        <f ca="1">IFERROR(__xludf.DUMMYFUNCTION("IFERROR(VALUE(REGEXEXTRACT(TO_TEXT($F715), Q$1 &amp; ""x(\d+)"")), """")"),"")</f>
        <v/>
      </c>
      <c r="R715" s="9" t="str">
        <f ca="1">IFERROR(__xludf.DUMMYFUNCTION("IFERROR(VALUE(REGEXEXTRACT(TO_TEXT($F715), R$1 &amp; ""x(\d+)"")), """")"),"")</f>
        <v/>
      </c>
      <c r="S715" s="9" t="str">
        <f ca="1">IFERROR(__xludf.DUMMYFUNCTION("IFERROR(VALUE(REGEXEXTRACT(TO_TEXT($F715), S$1 &amp; ""x(\d+)"")), """")"),"")</f>
        <v/>
      </c>
      <c r="T715" s="9" t="str">
        <f ca="1">IFERROR(__xludf.DUMMYFUNCTION("IFERROR(VALUE(REGEXEXTRACT(TO_TEXT($F715), T$1 &amp; ""x(\d+)"")), """")"),"")</f>
        <v/>
      </c>
      <c r="U715" s="9" t="str">
        <f ca="1">IFERROR(__xludf.DUMMYFUNCTION("IFERROR(VALUE(REGEXEXTRACT(TO_TEXT($F715), U$1 &amp; ""x(\d+)"")), """")"),"")</f>
        <v/>
      </c>
      <c r="V715" s="9" t="str">
        <f ca="1">IFERROR(__xludf.DUMMYFUNCTION("IFERROR(VALUE(REGEXEXTRACT(TO_TEXT($F715), V$1 &amp; ""x(\d+)"")), """")"),"")</f>
        <v/>
      </c>
      <c r="W715" s="9"/>
      <c r="X715" s="9"/>
      <c r="Y715" s="9"/>
      <c r="Z715" s="9"/>
    </row>
    <row r="716" spans="1:26" ht="15.75" hidden="1" customHeight="1">
      <c r="A716" s="9" t="s">
        <v>1803</v>
      </c>
      <c r="B716" s="9" t="s">
        <v>1804</v>
      </c>
      <c r="C716" s="9" t="s">
        <v>957</v>
      </c>
      <c r="D716" s="9" t="s">
        <v>48</v>
      </c>
      <c r="E716" s="9" t="s">
        <v>13</v>
      </c>
      <c r="F716" s="9" t="s">
        <v>1253</v>
      </c>
      <c r="G716" s="9">
        <v>30</v>
      </c>
      <c r="H716" s="9">
        <v>5</v>
      </c>
      <c r="I716" s="9">
        <v>1.0149999999999999</v>
      </c>
      <c r="J716" s="9">
        <v>52</v>
      </c>
      <c r="K716" s="9" t="s">
        <v>424</v>
      </c>
      <c r="L716" s="9"/>
      <c r="M716" s="9"/>
      <c r="N716" s="9" t="str">
        <f ca="1">IFERROR(__xludf.DUMMYFUNCTION("IFERROR(VALUE(REGEXEXTRACT(TO_TEXT($F716), N$1 &amp; ""x(\d+)"")), """")
"),"")</f>
        <v/>
      </c>
      <c r="O716" s="9" t="str">
        <f ca="1">IFERROR(__xludf.DUMMYFUNCTION("IFERROR(VALUE(REGEXEXTRACT(TO_TEXT($F716), O$1 &amp; ""x(\d+)"")), """")"),"")</f>
        <v/>
      </c>
      <c r="P716" s="9">
        <f ca="1">IFERROR(__xludf.DUMMYFUNCTION("IFERROR(VALUE(REGEXEXTRACT(TO_TEXT($F716), P$1 &amp; ""x(\d+)"")), """")"),1)</f>
        <v>1</v>
      </c>
      <c r="Q716" s="9" t="str">
        <f ca="1">IFERROR(__xludf.DUMMYFUNCTION("IFERROR(VALUE(REGEXEXTRACT(TO_TEXT($F716), Q$1 &amp; ""x(\d+)"")), """")"),"")</f>
        <v/>
      </c>
      <c r="R716" s="9" t="str">
        <f ca="1">IFERROR(__xludf.DUMMYFUNCTION("IFERROR(VALUE(REGEXEXTRACT(TO_TEXT($F716), R$1 &amp; ""x(\d+)"")), """")"),"")</f>
        <v/>
      </c>
      <c r="S716" s="9" t="str">
        <f ca="1">IFERROR(__xludf.DUMMYFUNCTION("IFERROR(VALUE(REGEXEXTRACT(TO_TEXT($F716), S$1 &amp; ""x(\d+)"")), """")"),"")</f>
        <v/>
      </c>
      <c r="T716" s="9" t="str">
        <f ca="1">IFERROR(__xludf.DUMMYFUNCTION("IFERROR(VALUE(REGEXEXTRACT(TO_TEXT($F716), T$1 &amp; ""x(\d+)"")), """")"),"")</f>
        <v/>
      </c>
      <c r="U716" s="9" t="str">
        <f ca="1">IFERROR(__xludf.DUMMYFUNCTION("IFERROR(VALUE(REGEXEXTRACT(TO_TEXT($F716), U$1 &amp; ""x(\d+)"")), """")"),"")</f>
        <v/>
      </c>
      <c r="V716" s="9" t="str">
        <f ca="1">IFERROR(__xludf.DUMMYFUNCTION("IFERROR(VALUE(REGEXEXTRACT(TO_TEXT($F716), V$1 &amp; ""x(\d+)"")), """")"),"")</f>
        <v/>
      </c>
      <c r="W716" s="9"/>
      <c r="X716" s="9"/>
      <c r="Y716" s="9"/>
      <c r="Z716" s="9"/>
    </row>
    <row r="717" spans="1:26" ht="15.75" hidden="1" customHeight="1">
      <c r="A717" s="9" t="s">
        <v>1803</v>
      </c>
      <c r="B717" s="9" t="s">
        <v>1804</v>
      </c>
      <c r="C717" s="9" t="s">
        <v>957</v>
      </c>
      <c r="D717" s="9" t="s">
        <v>74</v>
      </c>
      <c r="E717" s="9" t="s">
        <v>11</v>
      </c>
      <c r="F717" s="9" t="s">
        <v>1380</v>
      </c>
      <c r="G717" s="9">
        <v>40</v>
      </c>
      <c r="H717" s="9">
        <v>2</v>
      </c>
      <c r="I717" s="9">
        <v>1.0149999999999999</v>
      </c>
      <c r="J717" s="9">
        <v>103</v>
      </c>
      <c r="K717" s="9" t="s">
        <v>424</v>
      </c>
      <c r="L717" s="9"/>
      <c r="M717" s="9"/>
      <c r="N717" s="9" t="str">
        <f ca="1">IFERROR(__xludf.DUMMYFUNCTION("IFERROR(VALUE(REGEXEXTRACT(TO_TEXT($F717), N$1 &amp; ""x(\d+)"")), """")
"),"")</f>
        <v/>
      </c>
      <c r="O717" s="9" t="str">
        <f ca="1">IFERROR(__xludf.DUMMYFUNCTION("IFERROR(VALUE(REGEXEXTRACT(TO_TEXT($F717), O$1 &amp; ""x(\d+)"")), """")"),"")</f>
        <v/>
      </c>
      <c r="P717" s="9" t="str">
        <f ca="1">IFERROR(__xludf.DUMMYFUNCTION("IFERROR(VALUE(REGEXEXTRACT(TO_TEXT($F717), P$1 &amp; ""x(\d+)"")), """")"),"")</f>
        <v/>
      </c>
      <c r="Q717" s="9" t="str">
        <f ca="1">IFERROR(__xludf.DUMMYFUNCTION("IFERROR(VALUE(REGEXEXTRACT(TO_TEXT($F717), Q$1 &amp; ""x(\d+)"")), """")"),"")</f>
        <v/>
      </c>
      <c r="R717" s="9" t="str">
        <f ca="1">IFERROR(__xludf.DUMMYFUNCTION("IFERROR(VALUE(REGEXEXTRACT(TO_TEXT($F717), R$1 &amp; ""x(\d+)"")), """")"),"")</f>
        <v/>
      </c>
      <c r="S717" s="9" t="str">
        <f ca="1">IFERROR(__xludf.DUMMYFUNCTION("IFERROR(VALUE(REGEXEXTRACT(TO_TEXT($F717), S$1 &amp; ""x(\d+)"")), """")"),"")</f>
        <v/>
      </c>
      <c r="T717" s="9" t="str">
        <f ca="1">IFERROR(__xludf.DUMMYFUNCTION("IFERROR(VALUE(REGEXEXTRACT(TO_TEXT($F717), T$1 &amp; ""x(\d+)"")), """")"),"")</f>
        <v/>
      </c>
      <c r="U717" s="9" t="str">
        <f ca="1">IFERROR(__xludf.DUMMYFUNCTION("IFERROR(VALUE(REGEXEXTRACT(TO_TEXT($F717), U$1 &amp; ""x(\d+)"")), """")"),"")</f>
        <v/>
      </c>
      <c r="V717" s="9" t="str">
        <f ca="1">IFERROR(__xludf.DUMMYFUNCTION("IFERROR(VALUE(REGEXEXTRACT(TO_TEXT($F717), V$1 &amp; ""x(\d+)"")), """")"),"")</f>
        <v/>
      </c>
      <c r="W717" s="9"/>
      <c r="X717" s="9"/>
      <c r="Y717" s="9"/>
      <c r="Z717" s="9"/>
    </row>
    <row r="718" spans="1:26" ht="15.75" hidden="1" customHeight="1">
      <c r="A718" s="9" t="s">
        <v>1803</v>
      </c>
      <c r="B718" s="9" t="s">
        <v>1804</v>
      </c>
      <c r="C718" s="9" t="s">
        <v>957</v>
      </c>
      <c r="D718" s="9" t="s">
        <v>74</v>
      </c>
      <c r="E718" s="9" t="s">
        <v>12</v>
      </c>
      <c r="F718" s="9" t="s">
        <v>1124</v>
      </c>
      <c r="G718" s="9">
        <v>180</v>
      </c>
      <c r="H718" s="9">
        <v>2</v>
      </c>
      <c r="I718" s="9">
        <v>1.0149999999999999</v>
      </c>
      <c r="J718" s="9">
        <v>103</v>
      </c>
      <c r="K718" s="9" t="s">
        <v>424</v>
      </c>
      <c r="L718" s="9" t="s">
        <v>1210</v>
      </c>
      <c r="M718" s="9"/>
      <c r="N718" s="9" t="str">
        <f ca="1">IFERROR(__xludf.DUMMYFUNCTION("IFERROR(VALUE(REGEXEXTRACT(TO_TEXT($F718), N$1 &amp; ""x(\d+)"")), """")
"),"")</f>
        <v/>
      </c>
      <c r="O718" s="9" t="str">
        <f ca="1">IFERROR(__xludf.DUMMYFUNCTION("IFERROR(VALUE(REGEXEXTRACT(TO_TEXT($F718), O$1 &amp; ""x(\d+)"")), """")"),"")</f>
        <v/>
      </c>
      <c r="P718" s="9" t="str">
        <f ca="1">IFERROR(__xludf.DUMMYFUNCTION("IFERROR(VALUE(REGEXEXTRACT(TO_TEXT($F718), P$1 &amp; ""x(\d+)"")), """")"),"")</f>
        <v/>
      </c>
      <c r="Q718" s="9">
        <f ca="1">IFERROR(__xludf.DUMMYFUNCTION("IFERROR(VALUE(REGEXEXTRACT(TO_TEXT($F718), Q$1 &amp; ""x(\d+)"")), """")"),1)</f>
        <v>1</v>
      </c>
      <c r="R718" s="9" t="str">
        <f ca="1">IFERROR(__xludf.DUMMYFUNCTION("IFERROR(VALUE(REGEXEXTRACT(TO_TEXT($F718), R$1 &amp; ""x(\d+)"")), """")"),"")</f>
        <v/>
      </c>
      <c r="S718" s="9" t="str">
        <f ca="1">IFERROR(__xludf.DUMMYFUNCTION("IFERROR(VALUE(REGEXEXTRACT(TO_TEXT($F718), S$1 &amp; ""x(\d+)"")), """")"),"")</f>
        <v/>
      </c>
      <c r="T718" s="9" t="str">
        <f ca="1">IFERROR(__xludf.DUMMYFUNCTION("IFERROR(VALUE(REGEXEXTRACT(TO_TEXT($F718), T$1 &amp; ""x(\d+)"")), """")"),"")</f>
        <v/>
      </c>
      <c r="U718" s="9" t="str">
        <f ca="1">IFERROR(__xludf.DUMMYFUNCTION("IFERROR(VALUE(REGEXEXTRACT(TO_TEXT($F718), U$1 &amp; ""x(\d+)"")), """")"),"")</f>
        <v/>
      </c>
      <c r="V718" s="9" t="str">
        <f ca="1">IFERROR(__xludf.DUMMYFUNCTION("IFERROR(VALUE(REGEXEXTRACT(TO_TEXT($F718), V$1 &amp; ""x(\d+)"")), """")"),"")</f>
        <v/>
      </c>
      <c r="W718" s="9"/>
      <c r="X718" s="9"/>
      <c r="Y718" s="9"/>
      <c r="Z718" s="9"/>
    </row>
    <row r="719" spans="1:26" ht="15.75" hidden="1" customHeight="1">
      <c r="A719" s="9" t="s">
        <v>1803</v>
      </c>
      <c r="B719" s="9" t="s">
        <v>1804</v>
      </c>
      <c r="C719" s="9" t="s">
        <v>957</v>
      </c>
      <c r="D719" s="9" t="s">
        <v>74</v>
      </c>
      <c r="E719" s="9" t="s">
        <v>13</v>
      </c>
      <c r="F719" s="9" t="s">
        <v>1125</v>
      </c>
      <c r="G719" s="9">
        <v>40</v>
      </c>
      <c r="H719" s="9">
        <v>2</v>
      </c>
      <c r="I719" s="9">
        <v>1.0149999999999999</v>
      </c>
      <c r="J719" s="9">
        <v>103</v>
      </c>
      <c r="K719" s="9" t="s">
        <v>424</v>
      </c>
      <c r="L719" s="9"/>
      <c r="M719" s="9"/>
      <c r="N719" s="9" t="str">
        <f ca="1">IFERROR(__xludf.DUMMYFUNCTION("IFERROR(VALUE(REGEXEXTRACT(TO_TEXT($F719), N$1 &amp; ""x(\d+)"")), """")
"),"")</f>
        <v/>
      </c>
      <c r="O719" s="9" t="str">
        <f ca="1">IFERROR(__xludf.DUMMYFUNCTION("IFERROR(VALUE(REGEXEXTRACT(TO_TEXT($F719), O$1 &amp; ""x(\d+)"")), """")"),"")</f>
        <v/>
      </c>
      <c r="P719" s="9" t="str">
        <f ca="1">IFERROR(__xludf.DUMMYFUNCTION("IFERROR(VALUE(REGEXEXTRACT(TO_TEXT($F719), P$1 &amp; ""x(\d+)"")), """")"),"")</f>
        <v/>
      </c>
      <c r="Q719" s="9">
        <f ca="1">IFERROR(__xludf.DUMMYFUNCTION("IFERROR(VALUE(REGEXEXTRACT(TO_TEXT($F719), Q$1 &amp; ""x(\d+)"")), """")"),1)</f>
        <v>1</v>
      </c>
      <c r="R719" s="9" t="str">
        <f ca="1">IFERROR(__xludf.DUMMYFUNCTION("IFERROR(VALUE(REGEXEXTRACT(TO_TEXT($F719), R$1 &amp; ""x(\d+)"")), """")"),"")</f>
        <v/>
      </c>
      <c r="S719" s="9" t="str">
        <f ca="1">IFERROR(__xludf.DUMMYFUNCTION("IFERROR(VALUE(REGEXEXTRACT(TO_TEXT($F719), S$1 &amp; ""x(\d+)"")), """")"),"")</f>
        <v/>
      </c>
      <c r="T719" s="9" t="str">
        <f ca="1">IFERROR(__xludf.DUMMYFUNCTION("IFERROR(VALUE(REGEXEXTRACT(TO_TEXT($F719), T$1 &amp; ""x(\d+)"")), """")"),"")</f>
        <v/>
      </c>
      <c r="U719" s="9" t="str">
        <f ca="1">IFERROR(__xludf.DUMMYFUNCTION("IFERROR(VALUE(REGEXEXTRACT(TO_TEXT($F719), U$1 &amp; ""x(\d+)"")), """")"),"")</f>
        <v/>
      </c>
      <c r="V719" s="9" t="str">
        <f ca="1">IFERROR(__xludf.DUMMYFUNCTION("IFERROR(VALUE(REGEXEXTRACT(TO_TEXT($F719), V$1 &amp; ""x(\d+)"")), """")"),"")</f>
        <v/>
      </c>
      <c r="W719" s="9"/>
      <c r="X719" s="9"/>
      <c r="Y719" s="9"/>
      <c r="Z719" s="9"/>
    </row>
    <row r="720" spans="1:26" ht="15.75" customHeight="1">
      <c r="A720" s="9" t="s">
        <v>1807</v>
      </c>
      <c r="B720" s="9" t="s">
        <v>1808</v>
      </c>
      <c r="C720" s="9" t="s">
        <v>601</v>
      </c>
      <c r="D720" s="9" t="s">
        <v>33</v>
      </c>
      <c r="E720" s="9" t="s">
        <v>11</v>
      </c>
      <c r="F720" s="9" t="s">
        <v>1809</v>
      </c>
      <c r="G720" s="9">
        <v>90</v>
      </c>
      <c r="H720" s="9">
        <v>3</v>
      </c>
      <c r="I720" s="9">
        <v>1.0149999999999999</v>
      </c>
      <c r="J720" s="9">
        <v>100</v>
      </c>
      <c r="K720" s="9" t="s">
        <v>442</v>
      </c>
      <c r="L720" s="9"/>
      <c r="M720" s="9"/>
      <c r="N720" s="9" t="str">
        <f ca="1">IFERROR(__xludf.DUMMYFUNCTION("IFERROR(VALUE(REGEXEXTRACT(TO_TEXT($F720), N$1 &amp; ""x(\d+)"")), """")
"),"")</f>
        <v/>
      </c>
      <c r="O720" s="9">
        <f ca="1">IFERROR(__xludf.DUMMYFUNCTION("IFERROR(VALUE(REGEXEXTRACT(TO_TEXT($F720), O$1 &amp; ""x(\d+)"")), """")"),1)</f>
        <v>1</v>
      </c>
      <c r="P720" s="9" t="str">
        <f ca="1">IFERROR(__xludf.DUMMYFUNCTION("IFERROR(VALUE(REGEXEXTRACT(TO_TEXT($F720), P$1 &amp; ""x(\d+)"")), """")"),"")</f>
        <v/>
      </c>
      <c r="Q720" s="9" t="str">
        <f ca="1">IFERROR(__xludf.DUMMYFUNCTION("IFERROR(VALUE(REGEXEXTRACT(TO_TEXT($F720), Q$1 &amp; ""x(\d+)"")), """")"),"")</f>
        <v/>
      </c>
      <c r="R720" s="9" t="str">
        <f ca="1">IFERROR(__xludf.DUMMYFUNCTION("IFERROR(VALUE(REGEXEXTRACT(TO_TEXT($F720), R$1 &amp; ""x(\d+)"")), """")"),"")</f>
        <v/>
      </c>
      <c r="S720" s="9" t="str">
        <f ca="1">IFERROR(__xludf.DUMMYFUNCTION("IFERROR(VALUE(REGEXEXTRACT(TO_TEXT($F720), S$1 &amp; ""x(\d+)"")), """")"),"")</f>
        <v/>
      </c>
      <c r="T720" s="9" t="str">
        <f ca="1">IFERROR(__xludf.DUMMYFUNCTION("IFERROR(VALUE(REGEXEXTRACT(TO_TEXT($F720), T$1 &amp; ""x(\d+)"")), """")"),"")</f>
        <v/>
      </c>
      <c r="U720" s="9" t="str">
        <f ca="1">IFERROR(__xludf.DUMMYFUNCTION("IFERROR(VALUE(REGEXEXTRACT(TO_TEXT($F720), U$1 &amp; ""x(\d+)"")), """")"),"")</f>
        <v/>
      </c>
      <c r="V720" s="9" t="str">
        <f ca="1">IFERROR(__xludf.DUMMYFUNCTION("IFERROR(VALUE(REGEXEXTRACT(TO_TEXT($F720), V$1 &amp; ""x(\d+)"")), """")"),"")</f>
        <v/>
      </c>
      <c r="W720" s="9"/>
      <c r="X720" s="9"/>
      <c r="Y720" s="9"/>
      <c r="Z720" s="9"/>
    </row>
    <row r="721" spans="1:26" ht="15.75" customHeight="1">
      <c r="A721" s="9" t="s">
        <v>1807</v>
      </c>
      <c r="B721" s="9" t="s">
        <v>1808</v>
      </c>
      <c r="C721" s="9" t="s">
        <v>601</v>
      </c>
      <c r="D721" s="9" t="s">
        <v>33</v>
      </c>
      <c r="E721" s="9" t="s">
        <v>12</v>
      </c>
      <c r="F721" s="9" t="s">
        <v>1630</v>
      </c>
      <c r="G721" s="9">
        <v>50</v>
      </c>
      <c r="H721" s="9">
        <v>3</v>
      </c>
      <c r="I721" s="9">
        <v>1.0149999999999999</v>
      </c>
      <c r="J721" s="9">
        <v>100</v>
      </c>
      <c r="K721" s="9" t="s">
        <v>442</v>
      </c>
      <c r="L721" s="9" t="s">
        <v>1222</v>
      </c>
      <c r="M721" s="9"/>
      <c r="N721" s="9" t="str">
        <f ca="1">IFERROR(__xludf.DUMMYFUNCTION("IFERROR(VALUE(REGEXEXTRACT(TO_TEXT($F721), N$1 &amp; ""x(\d+)"")), """")
"),"")</f>
        <v/>
      </c>
      <c r="O721" s="9">
        <f ca="1">IFERROR(__xludf.DUMMYFUNCTION("IFERROR(VALUE(REGEXEXTRACT(TO_TEXT($F721), O$1 &amp; ""x(\d+)"")), """")"),1)</f>
        <v>1</v>
      </c>
      <c r="P721" s="9" t="str">
        <f ca="1">IFERROR(__xludf.DUMMYFUNCTION("IFERROR(VALUE(REGEXEXTRACT(TO_TEXT($F721), P$1 &amp; ""x(\d+)"")), """")"),"")</f>
        <v/>
      </c>
      <c r="Q721" s="9" t="str">
        <f ca="1">IFERROR(__xludf.DUMMYFUNCTION("IFERROR(VALUE(REGEXEXTRACT(TO_TEXT($F721), Q$1 &amp; ""x(\d+)"")), """")"),"")</f>
        <v/>
      </c>
      <c r="R721" s="9" t="str">
        <f ca="1">IFERROR(__xludf.DUMMYFUNCTION("IFERROR(VALUE(REGEXEXTRACT(TO_TEXT($F721), R$1 &amp; ""x(\d+)"")), """")"),"")</f>
        <v/>
      </c>
      <c r="S721" s="9" t="str">
        <f ca="1">IFERROR(__xludf.DUMMYFUNCTION("IFERROR(VALUE(REGEXEXTRACT(TO_TEXT($F721), S$1 &amp; ""x(\d+)"")), """")"),"")</f>
        <v/>
      </c>
      <c r="T721" s="9" t="str">
        <f ca="1">IFERROR(__xludf.DUMMYFUNCTION("IFERROR(VALUE(REGEXEXTRACT(TO_TEXT($F721), T$1 &amp; ""x(\d+)"")), """")"),"")</f>
        <v/>
      </c>
      <c r="U721" s="9" t="str">
        <f ca="1">IFERROR(__xludf.DUMMYFUNCTION("IFERROR(VALUE(REGEXEXTRACT(TO_TEXT($F721), U$1 &amp; ""x(\d+)"")), """")"),"")</f>
        <v/>
      </c>
      <c r="V721" s="9" t="str">
        <f ca="1">IFERROR(__xludf.DUMMYFUNCTION("IFERROR(VALUE(REGEXEXTRACT(TO_TEXT($F721), V$1 &amp; ""x(\d+)"")), """")"),"")</f>
        <v/>
      </c>
      <c r="W721" s="9"/>
      <c r="X721" s="9"/>
      <c r="Y721" s="9"/>
      <c r="Z721" s="9"/>
    </row>
    <row r="722" spans="1:26" ht="15.75" customHeight="1">
      <c r="A722" s="9" t="s">
        <v>1807</v>
      </c>
      <c r="B722" s="9" t="s">
        <v>1808</v>
      </c>
      <c r="C722" s="9" t="s">
        <v>601</v>
      </c>
      <c r="D722" s="9" t="s">
        <v>33</v>
      </c>
      <c r="E722" s="9" t="s">
        <v>13</v>
      </c>
      <c r="F722" s="9" t="s">
        <v>1193</v>
      </c>
      <c r="G722" s="9">
        <v>10</v>
      </c>
      <c r="H722" s="9">
        <v>3</v>
      </c>
      <c r="I722" s="9">
        <v>1.0149999999999999</v>
      </c>
      <c r="J722" s="9">
        <v>100</v>
      </c>
      <c r="K722" s="9" t="s">
        <v>442</v>
      </c>
      <c r="L722" s="9"/>
      <c r="M722" s="9"/>
      <c r="N722" s="9" t="str">
        <f ca="1">IFERROR(__xludf.DUMMYFUNCTION("IFERROR(VALUE(REGEXEXTRACT(TO_TEXT($F722), N$1 &amp; ""x(\d+)"")), """")
"),"")</f>
        <v/>
      </c>
      <c r="O722" s="9">
        <f ca="1">IFERROR(__xludf.DUMMYFUNCTION("IFERROR(VALUE(REGEXEXTRACT(TO_TEXT($F722), O$1 &amp; ""x(\d+)"")), """")"),1)</f>
        <v>1</v>
      </c>
      <c r="P722" s="9" t="str">
        <f ca="1">IFERROR(__xludf.DUMMYFUNCTION("IFERROR(VALUE(REGEXEXTRACT(TO_TEXT($F722), P$1 &amp; ""x(\d+)"")), """")"),"")</f>
        <v/>
      </c>
      <c r="Q722" s="9" t="str">
        <f ca="1">IFERROR(__xludf.DUMMYFUNCTION("IFERROR(VALUE(REGEXEXTRACT(TO_TEXT($F722), Q$1 &amp; ""x(\d+)"")), """")"),"")</f>
        <v/>
      </c>
      <c r="R722" s="9" t="str">
        <f ca="1">IFERROR(__xludf.DUMMYFUNCTION("IFERROR(VALUE(REGEXEXTRACT(TO_TEXT($F722), R$1 &amp; ""x(\d+)"")), """")"),"")</f>
        <v/>
      </c>
      <c r="S722" s="9" t="str">
        <f ca="1">IFERROR(__xludf.DUMMYFUNCTION("IFERROR(VALUE(REGEXEXTRACT(TO_TEXT($F722), S$1 &amp; ""x(\d+)"")), """")"),"")</f>
        <v/>
      </c>
      <c r="T722" s="9" t="str">
        <f ca="1">IFERROR(__xludf.DUMMYFUNCTION("IFERROR(VALUE(REGEXEXTRACT(TO_TEXT($F722), T$1 &amp; ""x(\d+)"")), """")"),"")</f>
        <v/>
      </c>
      <c r="U722" s="9" t="str">
        <f ca="1">IFERROR(__xludf.DUMMYFUNCTION("IFERROR(VALUE(REGEXEXTRACT(TO_TEXT($F722), U$1 &amp; ""x(\d+)"")), """")"),"")</f>
        <v/>
      </c>
      <c r="V722" s="9" t="str">
        <f ca="1">IFERROR(__xludf.DUMMYFUNCTION("IFERROR(VALUE(REGEXEXTRACT(TO_TEXT($F722), V$1 &amp; ""x(\d+)"")), """")"),"")</f>
        <v/>
      </c>
      <c r="W722" s="9"/>
      <c r="X722" s="9"/>
      <c r="Y722" s="9"/>
      <c r="Z722" s="9"/>
    </row>
    <row r="723" spans="1:26" ht="15.75" hidden="1" customHeight="1">
      <c r="A723" s="9" t="s">
        <v>1810</v>
      </c>
      <c r="B723" s="9" t="s">
        <v>1811</v>
      </c>
      <c r="C723" s="9" t="s">
        <v>603</v>
      </c>
      <c r="D723" s="9" t="s">
        <v>48</v>
      </c>
      <c r="E723" s="9" t="s">
        <v>11</v>
      </c>
      <c r="F723" s="9" t="s">
        <v>1799</v>
      </c>
      <c r="G723" s="9">
        <v>30</v>
      </c>
      <c r="H723" s="9">
        <v>4</v>
      </c>
      <c r="I723" s="9">
        <v>1.0149999999999999</v>
      </c>
      <c r="J723" s="9">
        <v>52</v>
      </c>
      <c r="K723" s="9" t="s">
        <v>424</v>
      </c>
      <c r="L723" s="9"/>
      <c r="M723" s="9"/>
      <c r="N723" s="9" t="str">
        <f ca="1">IFERROR(__xludf.DUMMYFUNCTION("IFERROR(VALUE(REGEXEXTRACT(TO_TEXT($F723), N$1 &amp; ""x(\d+)"")), """")
"),"")</f>
        <v/>
      </c>
      <c r="O723" s="9" t="str">
        <f ca="1">IFERROR(__xludf.DUMMYFUNCTION("IFERROR(VALUE(REGEXEXTRACT(TO_TEXT($F723), O$1 &amp; ""x(\d+)"")), """")"),"")</f>
        <v/>
      </c>
      <c r="P723" s="9" t="str">
        <f ca="1">IFERROR(__xludf.DUMMYFUNCTION("IFERROR(VALUE(REGEXEXTRACT(TO_TEXT($F723), P$1 &amp; ""x(\d+)"")), """")"),"")</f>
        <v/>
      </c>
      <c r="Q723" s="9" t="str">
        <f ca="1">IFERROR(__xludf.DUMMYFUNCTION("IFERROR(VALUE(REGEXEXTRACT(TO_TEXT($F723), Q$1 &amp; ""x(\d+)"")), """")"),"")</f>
        <v/>
      </c>
      <c r="R723" s="9" t="str">
        <f ca="1">IFERROR(__xludf.DUMMYFUNCTION("IFERROR(VALUE(REGEXEXTRACT(TO_TEXT($F723), R$1 &amp; ""x(\d+)"")), """")"),"")</f>
        <v/>
      </c>
      <c r="S723" s="9" t="str">
        <f ca="1">IFERROR(__xludf.DUMMYFUNCTION("IFERROR(VALUE(REGEXEXTRACT(TO_TEXT($F723), S$1 &amp; ""x(\d+)"")), """")"),"")</f>
        <v/>
      </c>
      <c r="T723" s="9" t="str">
        <f ca="1">IFERROR(__xludf.DUMMYFUNCTION("IFERROR(VALUE(REGEXEXTRACT(TO_TEXT($F723), T$1 &amp; ""x(\d+)"")), """")"),"")</f>
        <v/>
      </c>
      <c r="U723" s="9" t="str">
        <f ca="1">IFERROR(__xludf.DUMMYFUNCTION("IFERROR(VALUE(REGEXEXTRACT(TO_TEXT($F723), U$1 &amp; ""x(\d+)"")), """")"),"")</f>
        <v/>
      </c>
      <c r="V723" s="9" t="str">
        <f ca="1">IFERROR(__xludf.DUMMYFUNCTION("IFERROR(VALUE(REGEXEXTRACT(TO_TEXT($F723), V$1 &amp; ""x(\d+)"")), """")"),"")</f>
        <v/>
      </c>
      <c r="W723" s="9"/>
      <c r="X723" s="9"/>
      <c r="Y723" s="9"/>
      <c r="Z723" s="9"/>
    </row>
    <row r="724" spans="1:26" ht="15.75" hidden="1" customHeight="1">
      <c r="A724" s="9" t="s">
        <v>1810</v>
      </c>
      <c r="B724" s="9" t="s">
        <v>1811</v>
      </c>
      <c r="C724" s="9" t="s">
        <v>603</v>
      </c>
      <c r="D724" s="9" t="s">
        <v>48</v>
      </c>
      <c r="E724" s="9" t="s">
        <v>12</v>
      </c>
      <c r="F724" s="9" t="s">
        <v>1812</v>
      </c>
      <c r="G724" s="9">
        <v>155</v>
      </c>
      <c r="H724" s="9">
        <v>4</v>
      </c>
      <c r="I724" s="9">
        <v>1.0149999999999999</v>
      </c>
      <c r="J724" s="9">
        <v>52</v>
      </c>
      <c r="K724" s="9" t="s">
        <v>424</v>
      </c>
      <c r="L724" s="9" t="s">
        <v>1169</v>
      </c>
      <c r="M724" s="9"/>
      <c r="N724" s="9" t="str">
        <f ca="1">IFERROR(__xludf.DUMMYFUNCTION("IFERROR(VALUE(REGEXEXTRACT(TO_TEXT($F724), N$1 &amp; ""x(\d+)"")), """")
"),"")</f>
        <v/>
      </c>
      <c r="O724" s="9" t="str">
        <f ca="1">IFERROR(__xludf.DUMMYFUNCTION("IFERROR(VALUE(REGEXEXTRACT(TO_TEXT($F724), O$1 &amp; ""x(\d+)"")), """")"),"")</f>
        <v/>
      </c>
      <c r="P724" s="9">
        <f ca="1">IFERROR(__xludf.DUMMYFUNCTION("IFERROR(VALUE(REGEXEXTRACT(TO_TEXT($F724), P$1 &amp; ""x(\d+)"")), """")"),1)</f>
        <v>1</v>
      </c>
      <c r="Q724" s="9" t="str">
        <f ca="1">IFERROR(__xludf.DUMMYFUNCTION("IFERROR(VALUE(REGEXEXTRACT(TO_TEXT($F724), Q$1 &amp; ""x(\d+)"")), """")"),"")</f>
        <v/>
      </c>
      <c r="R724" s="9" t="str">
        <f ca="1">IFERROR(__xludf.DUMMYFUNCTION("IFERROR(VALUE(REGEXEXTRACT(TO_TEXT($F724), R$1 &amp; ""x(\d+)"")), """")"),"")</f>
        <v/>
      </c>
      <c r="S724" s="9" t="str">
        <f ca="1">IFERROR(__xludf.DUMMYFUNCTION("IFERROR(VALUE(REGEXEXTRACT(TO_TEXT($F724), S$1 &amp; ""x(\d+)"")), """")"),"")</f>
        <v/>
      </c>
      <c r="T724" s="9" t="str">
        <f ca="1">IFERROR(__xludf.DUMMYFUNCTION("IFERROR(VALUE(REGEXEXTRACT(TO_TEXT($F724), T$1 &amp; ""x(\d+)"")), """")"),"")</f>
        <v/>
      </c>
      <c r="U724" s="9" t="str">
        <f ca="1">IFERROR(__xludf.DUMMYFUNCTION("IFERROR(VALUE(REGEXEXTRACT(TO_TEXT($F724), U$1 &amp; ""x(\d+)"")), """")"),"")</f>
        <v/>
      </c>
      <c r="V724" s="9" t="str">
        <f ca="1">IFERROR(__xludf.DUMMYFUNCTION("IFERROR(VALUE(REGEXEXTRACT(TO_TEXT($F724), V$1 &amp; ""x(\d+)"")), """")"),"")</f>
        <v/>
      </c>
      <c r="W724" s="9"/>
      <c r="X724" s="9"/>
      <c r="Y724" s="9"/>
      <c r="Z724" s="9"/>
    </row>
    <row r="725" spans="1:26" ht="15.75" hidden="1" customHeight="1">
      <c r="A725" s="9" t="s">
        <v>1810</v>
      </c>
      <c r="B725" s="9" t="s">
        <v>1811</v>
      </c>
      <c r="C725" s="9" t="s">
        <v>603</v>
      </c>
      <c r="D725" s="9" t="s">
        <v>48</v>
      </c>
      <c r="E725" s="9" t="s">
        <v>13</v>
      </c>
      <c r="F725" s="9" t="s">
        <v>1269</v>
      </c>
      <c r="G725" s="9">
        <v>30</v>
      </c>
      <c r="H725" s="9">
        <v>4</v>
      </c>
      <c r="I725" s="9">
        <v>1.0149999999999999</v>
      </c>
      <c r="J725" s="9">
        <v>52</v>
      </c>
      <c r="K725" s="9" t="s">
        <v>424</v>
      </c>
      <c r="L725" s="9"/>
      <c r="M725" s="9"/>
      <c r="N725" s="9" t="str">
        <f ca="1">IFERROR(__xludf.DUMMYFUNCTION("IFERROR(VALUE(REGEXEXTRACT(TO_TEXT($F725), N$1 &amp; ""x(\d+)"")), """")
"),"")</f>
        <v/>
      </c>
      <c r="O725" s="9" t="str">
        <f ca="1">IFERROR(__xludf.DUMMYFUNCTION("IFERROR(VALUE(REGEXEXTRACT(TO_TEXT($F725), O$1 &amp; ""x(\d+)"")), """")"),"")</f>
        <v/>
      </c>
      <c r="P725" s="9">
        <f ca="1">IFERROR(__xludf.DUMMYFUNCTION("IFERROR(VALUE(REGEXEXTRACT(TO_TEXT($F725), P$1 &amp; ""x(\d+)"")), """")"),1)</f>
        <v>1</v>
      </c>
      <c r="Q725" s="9" t="str">
        <f ca="1">IFERROR(__xludf.DUMMYFUNCTION("IFERROR(VALUE(REGEXEXTRACT(TO_TEXT($F725), Q$1 &amp; ""x(\d+)"")), """")"),"")</f>
        <v/>
      </c>
      <c r="R725" s="9" t="str">
        <f ca="1">IFERROR(__xludf.DUMMYFUNCTION("IFERROR(VALUE(REGEXEXTRACT(TO_TEXT($F725), R$1 &amp; ""x(\d+)"")), """")"),"")</f>
        <v/>
      </c>
      <c r="S725" s="9" t="str">
        <f ca="1">IFERROR(__xludf.DUMMYFUNCTION("IFERROR(VALUE(REGEXEXTRACT(TO_TEXT($F725), S$1 &amp; ""x(\d+)"")), """")"),"")</f>
        <v/>
      </c>
      <c r="T725" s="9" t="str">
        <f ca="1">IFERROR(__xludf.DUMMYFUNCTION("IFERROR(VALUE(REGEXEXTRACT(TO_TEXT($F725), T$1 &amp; ""x(\d+)"")), """")"),"")</f>
        <v/>
      </c>
      <c r="U725" s="9" t="str">
        <f ca="1">IFERROR(__xludf.DUMMYFUNCTION("IFERROR(VALUE(REGEXEXTRACT(TO_TEXT($F725), U$1 &amp; ""x(\d+)"")), """")"),"")</f>
        <v/>
      </c>
      <c r="V725" s="9" t="str">
        <f ca="1">IFERROR(__xludf.DUMMYFUNCTION("IFERROR(VALUE(REGEXEXTRACT(TO_TEXT($F725), V$1 &amp; ""x(\d+)"")), """")"),"")</f>
        <v/>
      </c>
      <c r="W725" s="9"/>
      <c r="X725" s="9"/>
      <c r="Y725" s="9"/>
      <c r="Z725" s="9"/>
    </row>
    <row r="726" spans="1:26" ht="15.75" customHeight="1">
      <c r="A726" s="9" t="s">
        <v>1813</v>
      </c>
      <c r="B726" s="9" t="s">
        <v>1814</v>
      </c>
      <c r="C726" s="9" t="s">
        <v>805</v>
      </c>
      <c r="D726" s="9" t="s">
        <v>33</v>
      </c>
      <c r="E726" s="9" t="s">
        <v>12</v>
      </c>
      <c r="F726" s="9" t="s">
        <v>1815</v>
      </c>
      <c r="G726" s="9">
        <v>40</v>
      </c>
      <c r="H726" s="9">
        <v>1</v>
      </c>
      <c r="I726" s="9">
        <v>1.0149999999999999</v>
      </c>
      <c r="J726" s="9">
        <v>62</v>
      </c>
      <c r="K726" s="9" t="s">
        <v>499</v>
      </c>
      <c r="L726" s="9" t="s">
        <v>1643</v>
      </c>
      <c r="M726" s="9"/>
      <c r="N726" s="9" t="str">
        <f ca="1">IFERROR(__xludf.DUMMYFUNCTION("IFERROR(VALUE(REGEXEXTRACT(TO_TEXT($F726), N$1 &amp; ""x(\d+)"")), """")
"),"")</f>
        <v/>
      </c>
      <c r="O726" s="9">
        <f ca="1">IFERROR(__xludf.DUMMYFUNCTION("IFERROR(VALUE(REGEXEXTRACT(TO_TEXT($F726), O$1 &amp; ""x(\d+)"")), """")"),1)</f>
        <v>1</v>
      </c>
      <c r="P726" s="9" t="str">
        <f ca="1">IFERROR(__xludf.DUMMYFUNCTION("IFERROR(VALUE(REGEXEXTRACT(TO_TEXT($F726), P$1 &amp; ""x(\d+)"")), """")"),"")</f>
        <v/>
      </c>
      <c r="Q726" s="9" t="str">
        <f ca="1">IFERROR(__xludf.DUMMYFUNCTION("IFERROR(VALUE(REGEXEXTRACT(TO_TEXT($F726), Q$1 &amp; ""x(\d+)"")), """")"),"")</f>
        <v/>
      </c>
      <c r="R726" s="9" t="str">
        <f ca="1">IFERROR(__xludf.DUMMYFUNCTION("IFERROR(VALUE(REGEXEXTRACT(TO_TEXT($F726), R$1 &amp; ""x(\d+)"")), """")"),"")</f>
        <v/>
      </c>
      <c r="S726" s="9" t="str">
        <f ca="1">IFERROR(__xludf.DUMMYFUNCTION("IFERROR(VALUE(REGEXEXTRACT(TO_TEXT($F726), S$1 &amp; ""x(\d+)"")), """")"),"")</f>
        <v/>
      </c>
      <c r="T726" s="9" t="str">
        <f ca="1">IFERROR(__xludf.DUMMYFUNCTION("IFERROR(VALUE(REGEXEXTRACT(TO_TEXT($F726), T$1 &amp; ""x(\d+)"")), """")"),"")</f>
        <v/>
      </c>
      <c r="U726" s="9" t="str">
        <f ca="1">IFERROR(__xludf.DUMMYFUNCTION("IFERROR(VALUE(REGEXEXTRACT(TO_TEXT($F726), U$1 &amp; ""x(\d+)"")), """")"),"")</f>
        <v/>
      </c>
      <c r="V726" s="9" t="str">
        <f ca="1">IFERROR(__xludf.DUMMYFUNCTION("IFERROR(VALUE(REGEXEXTRACT(TO_TEXT($F726), V$1 &amp; ""x(\d+)"")), """")"),"")</f>
        <v/>
      </c>
      <c r="W726" s="9"/>
      <c r="X726" s="9"/>
      <c r="Y726" s="9"/>
      <c r="Z726" s="9"/>
    </row>
    <row r="727" spans="1:26" ht="15.75" customHeight="1">
      <c r="A727" s="9" t="s">
        <v>1813</v>
      </c>
      <c r="B727" s="9" t="s">
        <v>1814</v>
      </c>
      <c r="C727" s="9" t="s">
        <v>805</v>
      </c>
      <c r="D727" s="9" t="s">
        <v>33</v>
      </c>
      <c r="E727" s="9" t="s">
        <v>13</v>
      </c>
      <c r="F727" s="9" t="s">
        <v>1009</v>
      </c>
      <c r="G727" s="9">
        <v>15</v>
      </c>
      <c r="H727" s="9">
        <v>1</v>
      </c>
      <c r="I727" s="9">
        <v>1.0149999999999999</v>
      </c>
      <c r="J727" s="9">
        <v>62</v>
      </c>
      <c r="K727" s="9" t="s">
        <v>499</v>
      </c>
      <c r="L727" s="9" t="s">
        <v>1643</v>
      </c>
      <c r="M727" s="9"/>
      <c r="N727" s="9" t="str">
        <f ca="1">IFERROR(__xludf.DUMMYFUNCTION("IFERROR(VALUE(REGEXEXTRACT(TO_TEXT($F727), N$1 &amp; ""x(\d+)"")), """")
"),"")</f>
        <v/>
      </c>
      <c r="O727" s="9">
        <f ca="1">IFERROR(__xludf.DUMMYFUNCTION("IFERROR(VALUE(REGEXEXTRACT(TO_TEXT($F727), O$1 &amp; ""x(\d+)"")), """")"),1)</f>
        <v>1</v>
      </c>
      <c r="P727" s="9" t="str">
        <f ca="1">IFERROR(__xludf.DUMMYFUNCTION("IFERROR(VALUE(REGEXEXTRACT(TO_TEXT($F727), P$1 &amp; ""x(\d+)"")), """")"),"")</f>
        <v/>
      </c>
      <c r="Q727" s="9" t="str">
        <f ca="1">IFERROR(__xludf.DUMMYFUNCTION("IFERROR(VALUE(REGEXEXTRACT(TO_TEXT($F727), Q$1 &amp; ""x(\d+)"")), """")"),"")</f>
        <v/>
      </c>
      <c r="R727" s="9" t="str">
        <f ca="1">IFERROR(__xludf.DUMMYFUNCTION("IFERROR(VALUE(REGEXEXTRACT(TO_TEXT($F727), R$1 &amp; ""x(\d+)"")), """")"),"")</f>
        <v/>
      </c>
      <c r="S727" s="9" t="str">
        <f ca="1">IFERROR(__xludf.DUMMYFUNCTION("IFERROR(VALUE(REGEXEXTRACT(TO_TEXT($F727), S$1 &amp; ""x(\d+)"")), """")"),"")</f>
        <v/>
      </c>
      <c r="T727" s="9" t="str">
        <f ca="1">IFERROR(__xludf.DUMMYFUNCTION("IFERROR(VALUE(REGEXEXTRACT(TO_TEXT($F727), T$1 &amp; ""x(\d+)"")), """")"),"")</f>
        <v/>
      </c>
      <c r="U727" s="9" t="str">
        <f ca="1">IFERROR(__xludf.DUMMYFUNCTION("IFERROR(VALUE(REGEXEXTRACT(TO_TEXT($F727), U$1 &amp; ""x(\d+)"")), """")"),"")</f>
        <v/>
      </c>
      <c r="V727" s="9" t="str">
        <f ca="1">IFERROR(__xludf.DUMMYFUNCTION("IFERROR(VALUE(REGEXEXTRACT(TO_TEXT($F727), V$1 &amp; ""x(\d+)"")), """")"),"")</f>
        <v/>
      </c>
      <c r="W727" s="9"/>
      <c r="X727" s="9"/>
      <c r="Y727" s="9"/>
      <c r="Z727" s="9"/>
    </row>
    <row r="728" spans="1:26" ht="15.75" customHeight="1">
      <c r="A728" s="9" t="s">
        <v>1813</v>
      </c>
      <c r="B728" s="9" t="s">
        <v>1814</v>
      </c>
      <c r="C728" s="9" t="s">
        <v>805</v>
      </c>
      <c r="D728" s="9" t="s">
        <v>33</v>
      </c>
      <c r="E728" s="9" t="s">
        <v>12</v>
      </c>
      <c r="F728" s="9" t="s">
        <v>1816</v>
      </c>
      <c r="G728" s="9">
        <v>190</v>
      </c>
      <c r="H728" s="9">
        <v>2</v>
      </c>
      <c r="I728" s="9">
        <v>1.0149999999999999</v>
      </c>
      <c r="J728" s="9">
        <v>62</v>
      </c>
      <c r="K728" s="9" t="s">
        <v>708</v>
      </c>
      <c r="L728" s="9" t="s">
        <v>1640</v>
      </c>
      <c r="M728" s="9"/>
      <c r="N728" s="9" t="str">
        <f ca="1">IFERROR(__xludf.DUMMYFUNCTION("IFERROR(VALUE(REGEXEXTRACT(TO_TEXT($F728), N$1 &amp; ""x(\d+)"")), """")
"),"")</f>
        <v/>
      </c>
      <c r="O728" s="9" t="str">
        <f ca="1">IFERROR(__xludf.DUMMYFUNCTION("IFERROR(VALUE(REGEXEXTRACT(TO_TEXT($F728), O$1 &amp; ""x(\d+)"")), """")"),"")</f>
        <v/>
      </c>
      <c r="P728" s="9" t="str">
        <f ca="1">IFERROR(__xludf.DUMMYFUNCTION("IFERROR(VALUE(REGEXEXTRACT(TO_TEXT($F728), P$1 &amp; ""x(\d+)"")), """")"),"")</f>
        <v/>
      </c>
      <c r="Q728" s="9" t="str">
        <f ca="1">IFERROR(__xludf.DUMMYFUNCTION("IFERROR(VALUE(REGEXEXTRACT(TO_TEXT($F728), Q$1 &amp; ""x(\d+)"")), """")"),"")</f>
        <v/>
      </c>
      <c r="R728" s="9">
        <f ca="1">IFERROR(__xludf.DUMMYFUNCTION("IFERROR(VALUE(REGEXEXTRACT(TO_TEXT($F728), R$1 &amp; ""x(\d+)"")), """")"),1)</f>
        <v>1</v>
      </c>
      <c r="S728" s="9" t="str">
        <f ca="1">IFERROR(__xludf.DUMMYFUNCTION("IFERROR(VALUE(REGEXEXTRACT(TO_TEXT($F728), S$1 &amp; ""x(\d+)"")), """")"),"")</f>
        <v/>
      </c>
      <c r="T728" s="9" t="str">
        <f ca="1">IFERROR(__xludf.DUMMYFUNCTION("IFERROR(VALUE(REGEXEXTRACT(TO_TEXT($F728), T$1 &amp; ""x(\d+)"")), """")"),"")</f>
        <v/>
      </c>
      <c r="U728" s="9" t="str">
        <f ca="1">IFERROR(__xludf.DUMMYFUNCTION("IFERROR(VALUE(REGEXEXTRACT(TO_TEXT($F728), U$1 &amp; ""x(\d+)"")), """")"),"")</f>
        <v/>
      </c>
      <c r="V728" s="9" t="str">
        <f ca="1">IFERROR(__xludf.DUMMYFUNCTION("IFERROR(VALUE(REGEXEXTRACT(TO_TEXT($F728), V$1 &amp; ""x(\d+)"")), """")"),"")</f>
        <v/>
      </c>
      <c r="W728" s="9"/>
      <c r="X728" s="9"/>
      <c r="Y728" s="9"/>
      <c r="Z728" s="9"/>
    </row>
    <row r="729" spans="1:26" ht="15.75" customHeight="1">
      <c r="A729" s="9" t="s">
        <v>1813</v>
      </c>
      <c r="B729" s="9" t="s">
        <v>1814</v>
      </c>
      <c r="C729" s="9" t="s">
        <v>805</v>
      </c>
      <c r="D729" s="9" t="s">
        <v>33</v>
      </c>
      <c r="E729" s="9" t="s">
        <v>13</v>
      </c>
      <c r="F729" s="9" t="s">
        <v>1817</v>
      </c>
      <c r="G729" s="9">
        <v>15</v>
      </c>
      <c r="H729" s="9">
        <v>2</v>
      </c>
      <c r="I729" s="9">
        <v>1.0149999999999999</v>
      </c>
      <c r="J729" s="9">
        <v>62</v>
      </c>
      <c r="K729" s="9" t="s">
        <v>708</v>
      </c>
      <c r="L729" s="9" t="s">
        <v>1640</v>
      </c>
      <c r="M729" s="9"/>
      <c r="N729" s="9" t="str">
        <f ca="1">IFERROR(__xludf.DUMMYFUNCTION("IFERROR(VALUE(REGEXEXTRACT(TO_TEXT($F729), N$1 &amp; ""x(\d+)"")), """")
"),"")</f>
        <v/>
      </c>
      <c r="O729" s="9" t="str">
        <f ca="1">IFERROR(__xludf.DUMMYFUNCTION("IFERROR(VALUE(REGEXEXTRACT(TO_TEXT($F729), O$1 &amp; ""x(\d+)"")), """")"),"")</f>
        <v/>
      </c>
      <c r="P729" s="9" t="str">
        <f ca="1">IFERROR(__xludf.DUMMYFUNCTION("IFERROR(VALUE(REGEXEXTRACT(TO_TEXT($F729), P$1 &amp; ""x(\d+)"")), """")"),"")</f>
        <v/>
      </c>
      <c r="Q729" s="9" t="str">
        <f ca="1">IFERROR(__xludf.DUMMYFUNCTION("IFERROR(VALUE(REGEXEXTRACT(TO_TEXT($F729), Q$1 &amp; ""x(\d+)"")), """")"),"")</f>
        <v/>
      </c>
      <c r="R729" s="9">
        <f ca="1">IFERROR(__xludf.DUMMYFUNCTION("IFERROR(VALUE(REGEXEXTRACT(TO_TEXT($F729), R$1 &amp; ""x(\d+)"")), """")"),1)</f>
        <v>1</v>
      </c>
      <c r="S729" s="9" t="str">
        <f ca="1">IFERROR(__xludf.DUMMYFUNCTION("IFERROR(VALUE(REGEXEXTRACT(TO_TEXT($F729), S$1 &amp; ""x(\d+)"")), """")"),"")</f>
        <v/>
      </c>
      <c r="T729" s="9" t="str">
        <f ca="1">IFERROR(__xludf.DUMMYFUNCTION("IFERROR(VALUE(REGEXEXTRACT(TO_TEXT($F729), T$1 &amp; ""x(\d+)"")), """")"),"")</f>
        <v/>
      </c>
      <c r="U729" s="9" t="str">
        <f ca="1">IFERROR(__xludf.DUMMYFUNCTION("IFERROR(VALUE(REGEXEXTRACT(TO_TEXT($F729), U$1 &amp; ""x(\d+)"")), """")"),"")</f>
        <v/>
      </c>
      <c r="V729" s="9" t="str">
        <f ca="1">IFERROR(__xludf.DUMMYFUNCTION("IFERROR(VALUE(REGEXEXTRACT(TO_TEXT($F729), V$1 &amp; ""x(\d+)"")), """")"),"")</f>
        <v/>
      </c>
      <c r="W729" s="9"/>
      <c r="X729" s="9"/>
      <c r="Y729" s="9"/>
      <c r="Z729" s="9"/>
    </row>
    <row r="730" spans="1:26" ht="15.75" hidden="1" customHeight="1">
      <c r="A730" s="9" t="s">
        <v>1818</v>
      </c>
      <c r="B730" s="9" t="s">
        <v>1819</v>
      </c>
      <c r="C730" s="9" t="s">
        <v>691</v>
      </c>
      <c r="D730" s="9" t="s">
        <v>48</v>
      </c>
      <c r="E730" s="9" t="s">
        <v>11</v>
      </c>
      <c r="F730" s="9" t="s">
        <v>1820</v>
      </c>
      <c r="G730" s="9">
        <v>75</v>
      </c>
      <c r="H730" s="9">
        <v>8</v>
      </c>
      <c r="I730" s="9">
        <v>1.0149999999999999</v>
      </c>
      <c r="J730" s="9">
        <v>52</v>
      </c>
      <c r="K730" s="9" t="s">
        <v>424</v>
      </c>
      <c r="L730" s="9"/>
      <c r="M730" s="9"/>
      <c r="N730" s="9" t="str">
        <f ca="1">IFERROR(__xludf.DUMMYFUNCTION("IFERROR(VALUE(REGEXEXTRACT(TO_TEXT($F730), N$1 &amp; ""x(\d+)"")), """")
"),"")</f>
        <v/>
      </c>
      <c r="O730" s="9">
        <f ca="1">IFERROR(__xludf.DUMMYFUNCTION("IFERROR(VALUE(REGEXEXTRACT(TO_TEXT($F730), O$1 &amp; ""x(\d+)"")), """")"),1)</f>
        <v>1</v>
      </c>
      <c r="P730" s="9" t="str">
        <f ca="1">IFERROR(__xludf.DUMMYFUNCTION("IFERROR(VALUE(REGEXEXTRACT(TO_TEXT($F730), P$1 &amp; ""x(\d+)"")), """")"),"")</f>
        <v/>
      </c>
      <c r="Q730" s="9" t="str">
        <f ca="1">IFERROR(__xludf.DUMMYFUNCTION("IFERROR(VALUE(REGEXEXTRACT(TO_TEXT($F730), Q$1 &amp; ""x(\d+)"")), """")"),"")</f>
        <v/>
      </c>
      <c r="R730" s="9" t="str">
        <f ca="1">IFERROR(__xludf.DUMMYFUNCTION("IFERROR(VALUE(REGEXEXTRACT(TO_TEXT($F730), R$1 &amp; ""x(\d+)"")), """")"),"")</f>
        <v/>
      </c>
      <c r="S730" s="9" t="str">
        <f ca="1">IFERROR(__xludf.DUMMYFUNCTION("IFERROR(VALUE(REGEXEXTRACT(TO_TEXT($F730), S$1 &amp; ""x(\d+)"")), """")"),"")</f>
        <v/>
      </c>
      <c r="T730" s="9" t="str">
        <f ca="1">IFERROR(__xludf.DUMMYFUNCTION("IFERROR(VALUE(REGEXEXTRACT(TO_TEXT($F730), T$1 &amp; ""x(\d+)"")), """")"),"")</f>
        <v/>
      </c>
      <c r="U730" s="9" t="str">
        <f ca="1">IFERROR(__xludf.DUMMYFUNCTION("IFERROR(VALUE(REGEXEXTRACT(TO_TEXT($F730), U$1 &amp; ""x(\d+)"")), """")"),"")</f>
        <v/>
      </c>
      <c r="V730" s="9" t="str">
        <f ca="1">IFERROR(__xludf.DUMMYFUNCTION("IFERROR(VALUE(REGEXEXTRACT(TO_TEXT($F730), V$1 &amp; ""x(\d+)"")), """")"),"")</f>
        <v/>
      </c>
      <c r="W730" s="9"/>
      <c r="X730" s="9"/>
      <c r="Y730" s="9"/>
      <c r="Z730" s="9"/>
    </row>
    <row r="731" spans="1:26" ht="15.75" hidden="1" customHeight="1">
      <c r="A731" s="9" t="s">
        <v>1818</v>
      </c>
      <c r="B731" s="9" t="s">
        <v>1819</v>
      </c>
      <c r="C731" s="9" t="s">
        <v>691</v>
      </c>
      <c r="D731" s="9" t="s">
        <v>48</v>
      </c>
      <c r="E731" s="9" t="s">
        <v>12</v>
      </c>
      <c r="F731" s="9" t="s">
        <v>1821</v>
      </c>
      <c r="G731" s="9">
        <v>50</v>
      </c>
      <c r="H731" s="9">
        <v>8</v>
      </c>
      <c r="I731" s="9">
        <v>1.0149999999999999</v>
      </c>
      <c r="J731" s="9">
        <v>52</v>
      </c>
      <c r="K731" s="9" t="s">
        <v>424</v>
      </c>
      <c r="L731" s="9" t="s">
        <v>1015</v>
      </c>
      <c r="M731" s="9"/>
      <c r="N731" s="9" t="str">
        <f ca="1">IFERROR(__xludf.DUMMYFUNCTION("IFERROR(VALUE(REGEXEXTRACT(TO_TEXT($F731), N$1 &amp; ""x(\d+)"")), """")
"),"")</f>
        <v/>
      </c>
      <c r="O731" s="9" t="str">
        <f ca="1">IFERROR(__xludf.DUMMYFUNCTION("IFERROR(VALUE(REGEXEXTRACT(TO_TEXT($F731), O$1 &amp; ""x(\d+)"")), """")"),"")</f>
        <v/>
      </c>
      <c r="P731" s="9">
        <f ca="1">IFERROR(__xludf.DUMMYFUNCTION("IFERROR(VALUE(REGEXEXTRACT(TO_TEXT($F731), P$1 &amp; ""x(\d+)"")), """")"),1)</f>
        <v>1</v>
      </c>
      <c r="Q731" s="9" t="str">
        <f ca="1">IFERROR(__xludf.DUMMYFUNCTION("IFERROR(VALUE(REGEXEXTRACT(TO_TEXT($F731), Q$1 &amp; ""x(\d+)"")), """")"),"")</f>
        <v/>
      </c>
      <c r="R731" s="9" t="str">
        <f ca="1">IFERROR(__xludf.DUMMYFUNCTION("IFERROR(VALUE(REGEXEXTRACT(TO_TEXT($F731), R$1 &amp; ""x(\d+)"")), """")"),"")</f>
        <v/>
      </c>
      <c r="S731" s="9" t="str">
        <f ca="1">IFERROR(__xludf.DUMMYFUNCTION("IFERROR(VALUE(REGEXEXTRACT(TO_TEXT($F731), S$1 &amp; ""x(\d+)"")), """")"),"")</f>
        <v/>
      </c>
      <c r="T731" s="9" t="str">
        <f ca="1">IFERROR(__xludf.DUMMYFUNCTION("IFERROR(VALUE(REGEXEXTRACT(TO_TEXT($F731), T$1 &amp; ""x(\d+)"")), """")"),"")</f>
        <v/>
      </c>
      <c r="U731" s="9" t="str">
        <f ca="1">IFERROR(__xludf.DUMMYFUNCTION("IFERROR(VALUE(REGEXEXTRACT(TO_TEXT($F731), U$1 &amp; ""x(\d+)"")), """")"),"")</f>
        <v/>
      </c>
      <c r="V731" s="9" t="str">
        <f ca="1">IFERROR(__xludf.DUMMYFUNCTION("IFERROR(VALUE(REGEXEXTRACT(TO_TEXT($F731), V$1 &amp; ""x(\d+)"")), """")"),"")</f>
        <v/>
      </c>
      <c r="W731" s="9"/>
      <c r="X731" s="9"/>
      <c r="Y731" s="9"/>
      <c r="Z731" s="9"/>
    </row>
    <row r="732" spans="1:26" ht="15.75" hidden="1" customHeight="1">
      <c r="A732" s="9" t="s">
        <v>1818</v>
      </c>
      <c r="B732" s="9" t="s">
        <v>1819</v>
      </c>
      <c r="C732" s="9" t="s">
        <v>691</v>
      </c>
      <c r="D732" s="9" t="s">
        <v>48</v>
      </c>
      <c r="E732" s="9" t="s">
        <v>13</v>
      </c>
      <c r="F732" s="9" t="s">
        <v>1822</v>
      </c>
      <c r="G732" s="9">
        <v>30</v>
      </c>
      <c r="H732" s="9">
        <v>8</v>
      </c>
      <c r="I732" s="9">
        <v>1.0149999999999999</v>
      </c>
      <c r="J732" s="9">
        <v>52</v>
      </c>
      <c r="K732" s="9" t="s">
        <v>424</v>
      </c>
      <c r="L732" s="9"/>
      <c r="M732" s="9"/>
      <c r="N732" s="9" t="str">
        <f ca="1">IFERROR(__xludf.DUMMYFUNCTION("IFERROR(VALUE(REGEXEXTRACT(TO_TEXT($F732), N$1 &amp; ""x(\d+)"")), """")
"),"")</f>
        <v/>
      </c>
      <c r="O732" s="9" t="str">
        <f ca="1">IFERROR(__xludf.DUMMYFUNCTION("IFERROR(VALUE(REGEXEXTRACT(TO_TEXT($F732), O$1 &amp; ""x(\d+)"")), """")"),"")</f>
        <v/>
      </c>
      <c r="P732" s="9">
        <f ca="1">IFERROR(__xludf.DUMMYFUNCTION("IFERROR(VALUE(REGEXEXTRACT(TO_TEXT($F732), P$1 &amp; ""x(\d+)"")), """")"),1)</f>
        <v>1</v>
      </c>
      <c r="Q732" s="9" t="str">
        <f ca="1">IFERROR(__xludf.DUMMYFUNCTION("IFERROR(VALUE(REGEXEXTRACT(TO_TEXT($F732), Q$1 &amp; ""x(\d+)"")), """")"),"")</f>
        <v/>
      </c>
      <c r="R732" s="9" t="str">
        <f ca="1">IFERROR(__xludf.DUMMYFUNCTION("IFERROR(VALUE(REGEXEXTRACT(TO_TEXT($F732), R$1 &amp; ""x(\d+)"")), """")"),"")</f>
        <v/>
      </c>
      <c r="S732" s="9" t="str">
        <f ca="1">IFERROR(__xludf.DUMMYFUNCTION("IFERROR(VALUE(REGEXEXTRACT(TO_TEXT($F732), S$1 &amp; ""x(\d+)"")), """")"),"")</f>
        <v/>
      </c>
      <c r="T732" s="9" t="str">
        <f ca="1">IFERROR(__xludf.DUMMYFUNCTION("IFERROR(VALUE(REGEXEXTRACT(TO_TEXT($F732), T$1 &amp; ""x(\d+)"")), """")"),"")</f>
        <v/>
      </c>
      <c r="U732" s="9" t="str">
        <f ca="1">IFERROR(__xludf.DUMMYFUNCTION("IFERROR(VALUE(REGEXEXTRACT(TO_TEXT($F732), U$1 &amp; ""x(\d+)"")), """")"),"")</f>
        <v/>
      </c>
      <c r="V732" s="9" t="str">
        <f ca="1">IFERROR(__xludf.DUMMYFUNCTION("IFERROR(VALUE(REGEXEXTRACT(TO_TEXT($F732), V$1 &amp; ""x(\d+)"")), """")"),"")</f>
        <v/>
      </c>
      <c r="W732" s="9"/>
      <c r="X732" s="9"/>
      <c r="Y732" s="9"/>
      <c r="Z732" s="9"/>
    </row>
    <row r="733" spans="1:26" ht="15.75" customHeight="1">
      <c r="A733" s="9" t="s">
        <v>1823</v>
      </c>
      <c r="B733" s="9" t="s">
        <v>1824</v>
      </c>
      <c r="C733" s="9" t="s">
        <v>807</v>
      </c>
      <c r="D733" s="9" t="s">
        <v>33</v>
      </c>
      <c r="E733" s="9" t="s">
        <v>11</v>
      </c>
      <c r="F733" s="9" t="s">
        <v>1280</v>
      </c>
      <c r="G733" s="9">
        <v>90</v>
      </c>
      <c r="H733" s="9">
        <v>4</v>
      </c>
      <c r="I733" s="9">
        <v>1.0149999999999999</v>
      </c>
      <c r="J733" s="9">
        <v>100</v>
      </c>
      <c r="K733" s="9" t="s">
        <v>442</v>
      </c>
      <c r="L733" s="9"/>
      <c r="M733" s="9"/>
      <c r="N733" s="9" t="str">
        <f ca="1">IFERROR(__xludf.DUMMYFUNCTION("IFERROR(VALUE(REGEXEXTRACT(TO_TEXT($F733), N$1 &amp; ""x(\d+)"")), """")
"),"")</f>
        <v/>
      </c>
      <c r="O733" s="9">
        <f ca="1">IFERROR(__xludf.DUMMYFUNCTION("IFERROR(VALUE(REGEXEXTRACT(TO_TEXT($F733), O$1 &amp; ""x(\d+)"")), """")"),1)</f>
        <v>1</v>
      </c>
      <c r="P733" s="9" t="str">
        <f ca="1">IFERROR(__xludf.DUMMYFUNCTION("IFERROR(VALUE(REGEXEXTRACT(TO_TEXT($F733), P$1 &amp; ""x(\d+)"")), """")"),"")</f>
        <v/>
      </c>
      <c r="Q733" s="9" t="str">
        <f ca="1">IFERROR(__xludf.DUMMYFUNCTION("IFERROR(VALUE(REGEXEXTRACT(TO_TEXT($F733), Q$1 &amp; ""x(\d+)"")), """")"),"")</f>
        <v/>
      </c>
      <c r="R733" s="9" t="str">
        <f ca="1">IFERROR(__xludf.DUMMYFUNCTION("IFERROR(VALUE(REGEXEXTRACT(TO_TEXT($F733), R$1 &amp; ""x(\d+)"")), """")"),"")</f>
        <v/>
      </c>
      <c r="S733" s="9" t="str">
        <f ca="1">IFERROR(__xludf.DUMMYFUNCTION("IFERROR(VALUE(REGEXEXTRACT(TO_TEXT($F733), S$1 &amp; ""x(\d+)"")), """")"),"")</f>
        <v/>
      </c>
      <c r="T733" s="9" t="str">
        <f ca="1">IFERROR(__xludf.DUMMYFUNCTION("IFERROR(VALUE(REGEXEXTRACT(TO_TEXT($F733), T$1 &amp; ""x(\d+)"")), """")"),"")</f>
        <v/>
      </c>
      <c r="U733" s="9" t="str">
        <f ca="1">IFERROR(__xludf.DUMMYFUNCTION("IFERROR(VALUE(REGEXEXTRACT(TO_TEXT($F733), U$1 &amp; ""x(\d+)"")), """")"),"")</f>
        <v/>
      </c>
      <c r="V733" s="9" t="str">
        <f ca="1">IFERROR(__xludf.DUMMYFUNCTION("IFERROR(VALUE(REGEXEXTRACT(TO_TEXT($F733), V$1 &amp; ""x(\d+)"")), """")"),"")</f>
        <v/>
      </c>
      <c r="W733" s="9"/>
      <c r="X733" s="9"/>
      <c r="Y733" s="9"/>
      <c r="Z733" s="9"/>
    </row>
    <row r="734" spans="1:26" ht="15.75" customHeight="1">
      <c r="A734" s="9" t="s">
        <v>1823</v>
      </c>
      <c r="B734" s="9" t="s">
        <v>1824</v>
      </c>
      <c r="C734" s="9" t="s">
        <v>807</v>
      </c>
      <c r="D734" s="9" t="s">
        <v>33</v>
      </c>
      <c r="E734" s="9" t="s">
        <v>12</v>
      </c>
      <c r="F734" s="9" t="s">
        <v>1094</v>
      </c>
      <c r="G734" s="9">
        <v>55</v>
      </c>
      <c r="H734" s="9">
        <v>4</v>
      </c>
      <c r="I734" s="9">
        <v>1.0149999999999999</v>
      </c>
      <c r="J734" s="9">
        <v>100</v>
      </c>
      <c r="K734" s="9" t="s">
        <v>442</v>
      </c>
      <c r="L734" s="9"/>
      <c r="M734" s="9"/>
      <c r="N734" s="9" t="str">
        <f ca="1">IFERROR(__xludf.DUMMYFUNCTION("IFERROR(VALUE(REGEXEXTRACT(TO_TEXT($F734), N$1 &amp; ""x(\d+)"")), """")
"),"")</f>
        <v/>
      </c>
      <c r="O734" s="9">
        <f ca="1">IFERROR(__xludf.DUMMYFUNCTION("IFERROR(VALUE(REGEXEXTRACT(TO_TEXT($F734), O$1 &amp; ""x(\d+)"")), """")"),1)</f>
        <v>1</v>
      </c>
      <c r="P734" s="9" t="str">
        <f ca="1">IFERROR(__xludf.DUMMYFUNCTION("IFERROR(VALUE(REGEXEXTRACT(TO_TEXT($F734), P$1 &amp; ""x(\d+)"")), """")"),"")</f>
        <v/>
      </c>
      <c r="Q734" s="9" t="str">
        <f ca="1">IFERROR(__xludf.DUMMYFUNCTION("IFERROR(VALUE(REGEXEXTRACT(TO_TEXT($F734), Q$1 &amp; ""x(\d+)"")), """")"),"")</f>
        <v/>
      </c>
      <c r="R734" s="9" t="str">
        <f ca="1">IFERROR(__xludf.DUMMYFUNCTION("IFERROR(VALUE(REGEXEXTRACT(TO_TEXT($F734), R$1 &amp; ""x(\d+)"")), """")"),"")</f>
        <v/>
      </c>
      <c r="S734" s="9" t="str">
        <f ca="1">IFERROR(__xludf.DUMMYFUNCTION("IFERROR(VALUE(REGEXEXTRACT(TO_TEXT($F734), S$1 &amp; ""x(\d+)"")), """")"),"")</f>
        <v/>
      </c>
      <c r="T734" s="9" t="str">
        <f ca="1">IFERROR(__xludf.DUMMYFUNCTION("IFERROR(VALUE(REGEXEXTRACT(TO_TEXT($F734), T$1 &amp; ""x(\d+)"")), """")"),"")</f>
        <v/>
      </c>
      <c r="U734" s="9" t="str">
        <f ca="1">IFERROR(__xludf.DUMMYFUNCTION("IFERROR(VALUE(REGEXEXTRACT(TO_TEXT($F734), U$1 &amp; ""x(\d+)"")), """")"),"")</f>
        <v/>
      </c>
      <c r="V734" s="9" t="str">
        <f ca="1">IFERROR(__xludf.DUMMYFUNCTION("IFERROR(VALUE(REGEXEXTRACT(TO_TEXT($F734), V$1 &amp; ""x(\d+)"")), """")"),"")</f>
        <v/>
      </c>
      <c r="W734" s="9"/>
      <c r="X734" s="9"/>
      <c r="Y734" s="9"/>
      <c r="Z734" s="9"/>
    </row>
    <row r="735" spans="1:26" ht="15.75" customHeight="1">
      <c r="A735" s="9" t="s">
        <v>1823</v>
      </c>
      <c r="B735" s="9" t="s">
        <v>1824</v>
      </c>
      <c r="C735" s="9" t="s">
        <v>807</v>
      </c>
      <c r="D735" s="9" t="s">
        <v>33</v>
      </c>
      <c r="E735" s="9" t="s">
        <v>13</v>
      </c>
      <c r="F735" s="9" t="s">
        <v>1095</v>
      </c>
      <c r="G735" s="9">
        <v>10</v>
      </c>
      <c r="H735" s="9">
        <v>4</v>
      </c>
      <c r="I735" s="9">
        <v>1.0149999999999999</v>
      </c>
      <c r="J735" s="9">
        <v>100</v>
      </c>
      <c r="K735" s="9" t="s">
        <v>442</v>
      </c>
      <c r="L735" s="9"/>
      <c r="M735" s="9"/>
      <c r="N735" s="9" t="str">
        <f ca="1">IFERROR(__xludf.DUMMYFUNCTION("IFERROR(VALUE(REGEXEXTRACT(TO_TEXT($F735), N$1 &amp; ""x(\d+)"")), """")
"),"")</f>
        <v/>
      </c>
      <c r="O735" s="9">
        <f ca="1">IFERROR(__xludf.DUMMYFUNCTION("IFERROR(VALUE(REGEXEXTRACT(TO_TEXT($F735), O$1 &amp; ""x(\d+)"")), """")"),1)</f>
        <v>1</v>
      </c>
      <c r="P735" s="9" t="str">
        <f ca="1">IFERROR(__xludf.DUMMYFUNCTION("IFERROR(VALUE(REGEXEXTRACT(TO_TEXT($F735), P$1 &amp; ""x(\d+)"")), """")"),"")</f>
        <v/>
      </c>
      <c r="Q735" s="9" t="str">
        <f ca="1">IFERROR(__xludf.DUMMYFUNCTION("IFERROR(VALUE(REGEXEXTRACT(TO_TEXT($F735), Q$1 &amp; ""x(\d+)"")), """")"),"")</f>
        <v/>
      </c>
      <c r="R735" s="9" t="str">
        <f ca="1">IFERROR(__xludf.DUMMYFUNCTION("IFERROR(VALUE(REGEXEXTRACT(TO_TEXT($F735), R$1 &amp; ""x(\d+)"")), """")"),"")</f>
        <v/>
      </c>
      <c r="S735" s="9" t="str">
        <f ca="1">IFERROR(__xludf.DUMMYFUNCTION("IFERROR(VALUE(REGEXEXTRACT(TO_TEXT($F735), S$1 &amp; ""x(\d+)"")), """")"),"")</f>
        <v/>
      </c>
      <c r="T735" s="9" t="str">
        <f ca="1">IFERROR(__xludf.DUMMYFUNCTION("IFERROR(VALUE(REGEXEXTRACT(TO_TEXT($F735), T$1 &amp; ""x(\d+)"")), """")"),"")</f>
        <v/>
      </c>
      <c r="U735" s="9" t="str">
        <f ca="1">IFERROR(__xludf.DUMMYFUNCTION("IFERROR(VALUE(REGEXEXTRACT(TO_TEXT($F735), U$1 &amp; ""x(\d+)"")), """")"),"")</f>
        <v/>
      </c>
      <c r="V735" s="9" t="str">
        <f ca="1">IFERROR(__xludf.DUMMYFUNCTION("IFERROR(VALUE(REGEXEXTRACT(TO_TEXT($F735), V$1 &amp; ""x(\d+)"")), """")"),"")</f>
        <v/>
      </c>
      <c r="W735" s="9"/>
      <c r="X735" s="9"/>
      <c r="Y735" s="9"/>
      <c r="Z735" s="9"/>
    </row>
    <row r="736" spans="1:26" ht="15.75" hidden="1" customHeight="1">
      <c r="A736" s="9" t="s">
        <v>1825</v>
      </c>
      <c r="B736" s="9" t="s">
        <v>1826</v>
      </c>
      <c r="C736" s="9" t="s">
        <v>974</v>
      </c>
      <c r="D736" s="9" t="s">
        <v>687</v>
      </c>
      <c r="E736" s="9" t="s">
        <v>11</v>
      </c>
      <c r="F736" s="9" t="s">
        <v>1428</v>
      </c>
      <c r="G736" s="9">
        <v>15</v>
      </c>
      <c r="H736" s="9">
        <v>1</v>
      </c>
      <c r="I736" s="9">
        <v>1.0149999999999999</v>
      </c>
      <c r="J736" s="9">
        <v>18</v>
      </c>
      <c r="K736" s="9" t="s">
        <v>424</v>
      </c>
      <c r="L736" s="9"/>
      <c r="M736" s="9"/>
      <c r="N736" s="9" t="str">
        <f ca="1">IFERROR(__xludf.DUMMYFUNCTION("IFERROR(VALUE(REGEXEXTRACT(TO_TEXT($F736), N$1 &amp; ""x(\d+)"")), """")
"),"")</f>
        <v/>
      </c>
      <c r="O736" s="9" t="str">
        <f ca="1">IFERROR(__xludf.DUMMYFUNCTION("IFERROR(VALUE(REGEXEXTRACT(TO_TEXT($F736), O$1 &amp; ""x(\d+)"")), """")"),"")</f>
        <v/>
      </c>
      <c r="P736" s="9" t="str">
        <f ca="1">IFERROR(__xludf.DUMMYFUNCTION("IFERROR(VALUE(REGEXEXTRACT(TO_TEXT($F736), P$1 &amp; ""x(\d+)"")), """")"),"")</f>
        <v/>
      </c>
      <c r="Q736" s="9" t="str">
        <f ca="1">IFERROR(__xludf.DUMMYFUNCTION("IFERROR(VALUE(REGEXEXTRACT(TO_TEXT($F736), Q$1 &amp; ""x(\d+)"")), """")"),"")</f>
        <v/>
      </c>
      <c r="R736" s="9" t="str">
        <f ca="1">IFERROR(__xludf.DUMMYFUNCTION("IFERROR(VALUE(REGEXEXTRACT(TO_TEXT($F736), R$1 &amp; ""x(\d+)"")), """")"),"")</f>
        <v/>
      </c>
      <c r="S736" s="9" t="str">
        <f ca="1">IFERROR(__xludf.DUMMYFUNCTION("IFERROR(VALUE(REGEXEXTRACT(TO_TEXT($F736), S$1 &amp; ""x(\d+)"")), """")"),"")</f>
        <v/>
      </c>
      <c r="T736" s="9" t="str">
        <f ca="1">IFERROR(__xludf.DUMMYFUNCTION("IFERROR(VALUE(REGEXEXTRACT(TO_TEXT($F736), T$1 &amp; ""x(\d+)"")), """")"),"")</f>
        <v/>
      </c>
      <c r="U736" s="9" t="str">
        <f ca="1">IFERROR(__xludf.DUMMYFUNCTION("IFERROR(VALUE(REGEXEXTRACT(TO_TEXT($F736), U$1 &amp; ""x(\d+)"")), """")"),"")</f>
        <v/>
      </c>
      <c r="V736" s="9" t="str">
        <f ca="1">IFERROR(__xludf.DUMMYFUNCTION("IFERROR(VALUE(REGEXEXTRACT(TO_TEXT($F736), V$1 &amp; ""x(\d+)"")), """")"),"")</f>
        <v/>
      </c>
      <c r="W736" s="9"/>
      <c r="X736" s="9"/>
      <c r="Y736" s="9"/>
      <c r="Z736" s="9"/>
    </row>
    <row r="737" spans="1:26" ht="15.75" hidden="1" customHeight="1">
      <c r="A737" s="9" t="s">
        <v>1825</v>
      </c>
      <c r="B737" s="9" t="s">
        <v>1826</v>
      </c>
      <c r="C737" s="9" t="s">
        <v>974</v>
      </c>
      <c r="D737" s="9" t="s">
        <v>687</v>
      </c>
      <c r="E737" s="9" t="s">
        <v>12</v>
      </c>
      <c r="F737" s="9" t="s">
        <v>1827</v>
      </c>
      <c r="G737" s="9">
        <v>140</v>
      </c>
      <c r="H737" s="9">
        <v>1</v>
      </c>
      <c r="I737" s="9">
        <v>1.0149999999999999</v>
      </c>
      <c r="J737" s="9">
        <v>18</v>
      </c>
      <c r="K737" s="9" t="s">
        <v>424</v>
      </c>
      <c r="L737" s="9"/>
      <c r="M737" s="9"/>
      <c r="N737" s="9" t="str">
        <f ca="1">IFERROR(__xludf.DUMMYFUNCTION("IFERROR(VALUE(REGEXEXTRACT(TO_TEXT($F737), N$1 &amp; ""x(\d+)"")), """")
"),"")</f>
        <v/>
      </c>
      <c r="O737" s="9" t="str">
        <f ca="1">IFERROR(__xludf.DUMMYFUNCTION("IFERROR(VALUE(REGEXEXTRACT(TO_TEXT($F737), O$1 &amp; ""x(\d+)"")), """")"),"")</f>
        <v/>
      </c>
      <c r="P737" s="9" t="str">
        <f ca="1">IFERROR(__xludf.DUMMYFUNCTION("IFERROR(VALUE(REGEXEXTRACT(TO_TEXT($F737), P$1 &amp; ""x(\d+)"")), """")"),"")</f>
        <v/>
      </c>
      <c r="Q737" s="9" t="str">
        <f ca="1">IFERROR(__xludf.DUMMYFUNCTION("IFERROR(VALUE(REGEXEXTRACT(TO_TEXT($F737), Q$1 &amp; ""x(\d+)"")), """")"),"")</f>
        <v/>
      </c>
      <c r="R737" s="9" t="str">
        <f ca="1">IFERROR(__xludf.DUMMYFUNCTION("IFERROR(VALUE(REGEXEXTRACT(TO_TEXT($F737), R$1 &amp; ""x(\d+)"")), """")"),"")</f>
        <v/>
      </c>
      <c r="S737" s="9" t="str">
        <f ca="1">IFERROR(__xludf.DUMMYFUNCTION("IFERROR(VALUE(REGEXEXTRACT(TO_TEXT($F737), S$1 &amp; ""x(\d+)"")), """")"),"")</f>
        <v/>
      </c>
      <c r="T737" s="9" t="str">
        <f ca="1">IFERROR(__xludf.DUMMYFUNCTION("IFERROR(VALUE(REGEXEXTRACT(TO_TEXT($F737), T$1 &amp; ""x(\d+)"")), """")"),"")</f>
        <v/>
      </c>
      <c r="U737" s="9">
        <f ca="1">IFERROR(__xludf.DUMMYFUNCTION("IFERROR(VALUE(REGEXEXTRACT(TO_TEXT($F737), U$1 &amp; ""x(\d+)"")), """")"),1)</f>
        <v>1</v>
      </c>
      <c r="V737" s="9" t="str">
        <f ca="1">IFERROR(__xludf.DUMMYFUNCTION("IFERROR(VALUE(REGEXEXTRACT(TO_TEXT($F737), V$1 &amp; ""x(\d+)"")), """")"),"")</f>
        <v/>
      </c>
      <c r="W737" s="9"/>
      <c r="X737" s="9"/>
      <c r="Y737" s="9"/>
      <c r="Z737" s="9"/>
    </row>
    <row r="738" spans="1:26" ht="15.75" hidden="1" customHeight="1">
      <c r="A738" s="9" t="s">
        <v>1825</v>
      </c>
      <c r="B738" s="9" t="s">
        <v>1826</v>
      </c>
      <c r="C738" s="9" t="s">
        <v>974</v>
      </c>
      <c r="D738" s="9" t="s">
        <v>687</v>
      </c>
      <c r="E738" s="9" t="s">
        <v>13</v>
      </c>
      <c r="F738" s="9" t="s">
        <v>1828</v>
      </c>
      <c r="G738" s="9">
        <v>30</v>
      </c>
      <c r="H738" s="9">
        <v>1</v>
      </c>
      <c r="I738" s="9">
        <v>1.0149999999999999</v>
      </c>
      <c r="J738" s="9">
        <v>18</v>
      </c>
      <c r="K738" s="9" t="s">
        <v>424</v>
      </c>
      <c r="L738" s="9"/>
      <c r="M738" s="9"/>
      <c r="N738" s="9" t="str">
        <f ca="1">IFERROR(__xludf.DUMMYFUNCTION("IFERROR(VALUE(REGEXEXTRACT(TO_TEXT($F738), N$1 &amp; ""x(\d+)"")), """")
"),"")</f>
        <v/>
      </c>
      <c r="O738" s="9" t="str">
        <f ca="1">IFERROR(__xludf.DUMMYFUNCTION("IFERROR(VALUE(REGEXEXTRACT(TO_TEXT($F738), O$1 &amp; ""x(\d+)"")), """")"),"")</f>
        <v/>
      </c>
      <c r="P738" s="9" t="str">
        <f ca="1">IFERROR(__xludf.DUMMYFUNCTION("IFERROR(VALUE(REGEXEXTRACT(TO_TEXT($F738), P$1 &amp; ""x(\d+)"")), """")"),"")</f>
        <v/>
      </c>
      <c r="Q738" s="9" t="str">
        <f ca="1">IFERROR(__xludf.DUMMYFUNCTION("IFERROR(VALUE(REGEXEXTRACT(TO_TEXT($F738), Q$1 &amp; ""x(\d+)"")), """")"),"")</f>
        <v/>
      </c>
      <c r="R738" s="9" t="str">
        <f ca="1">IFERROR(__xludf.DUMMYFUNCTION("IFERROR(VALUE(REGEXEXTRACT(TO_TEXT($F738), R$1 &amp; ""x(\d+)"")), """")"),"")</f>
        <v/>
      </c>
      <c r="S738" s="9" t="str">
        <f ca="1">IFERROR(__xludf.DUMMYFUNCTION("IFERROR(VALUE(REGEXEXTRACT(TO_TEXT($F738), S$1 &amp; ""x(\d+)"")), """")"),"")</f>
        <v/>
      </c>
      <c r="T738" s="9" t="str">
        <f ca="1">IFERROR(__xludf.DUMMYFUNCTION("IFERROR(VALUE(REGEXEXTRACT(TO_TEXT($F738), T$1 &amp; ""x(\d+)"")), """")"),"")</f>
        <v/>
      </c>
      <c r="U738" s="9">
        <f ca="1">IFERROR(__xludf.DUMMYFUNCTION("IFERROR(VALUE(REGEXEXTRACT(TO_TEXT($F738), U$1 &amp; ""x(\d+)"")), """")"),1)</f>
        <v>1</v>
      </c>
      <c r="V738" s="9" t="str">
        <f ca="1">IFERROR(__xludf.DUMMYFUNCTION("IFERROR(VALUE(REGEXEXTRACT(TO_TEXT($F738), V$1 &amp; ""x(\d+)"")), """")"),"")</f>
        <v/>
      </c>
      <c r="W738" s="9"/>
      <c r="X738" s="9"/>
      <c r="Y738" s="9"/>
      <c r="Z738" s="9"/>
    </row>
    <row r="739" spans="1:26" ht="15.75" customHeight="1">
      <c r="A739" s="9" t="s">
        <v>1829</v>
      </c>
      <c r="B739" s="9" t="s">
        <v>1830</v>
      </c>
      <c r="C739" s="9" t="s">
        <v>801</v>
      </c>
      <c r="D739" s="9" t="s">
        <v>33</v>
      </c>
      <c r="E739" s="9" t="s">
        <v>11</v>
      </c>
      <c r="F739" s="9" t="s">
        <v>1831</v>
      </c>
      <c r="G739" s="9">
        <v>20</v>
      </c>
      <c r="H739" s="9">
        <v>8</v>
      </c>
      <c r="I739" s="9">
        <v>1.0149999999999999</v>
      </c>
      <c r="J739" s="9">
        <v>35</v>
      </c>
      <c r="K739" s="9" t="s">
        <v>442</v>
      </c>
      <c r="L739" s="9"/>
      <c r="M739" s="9"/>
      <c r="N739" s="9" t="str">
        <f ca="1">IFERROR(__xludf.DUMMYFUNCTION("IFERROR(VALUE(REGEXEXTRACT(TO_TEXT($F739), N$1 &amp; ""x(\d+)"")), """")
"),"")</f>
        <v/>
      </c>
      <c r="O739" s="9" t="str">
        <f ca="1">IFERROR(__xludf.DUMMYFUNCTION("IFERROR(VALUE(REGEXEXTRACT(TO_TEXT($F739), O$1 &amp; ""x(\d+)"")), """")"),"")</f>
        <v/>
      </c>
      <c r="P739" s="9" t="str">
        <f ca="1">IFERROR(__xludf.DUMMYFUNCTION("IFERROR(VALUE(REGEXEXTRACT(TO_TEXT($F739), P$1 &amp; ""x(\d+)"")), """")"),"")</f>
        <v/>
      </c>
      <c r="Q739" s="9" t="str">
        <f ca="1">IFERROR(__xludf.DUMMYFUNCTION("IFERROR(VALUE(REGEXEXTRACT(TO_TEXT($F739), Q$1 &amp; ""x(\d+)"")), """")"),"")</f>
        <v/>
      </c>
      <c r="R739" s="9" t="str">
        <f ca="1">IFERROR(__xludf.DUMMYFUNCTION("IFERROR(VALUE(REGEXEXTRACT(TO_TEXT($F739), R$1 &amp; ""x(\d+)"")), """")"),"")</f>
        <v/>
      </c>
      <c r="S739" s="9" t="str">
        <f ca="1">IFERROR(__xludf.DUMMYFUNCTION("IFERROR(VALUE(REGEXEXTRACT(TO_TEXT($F739), S$1 &amp; ""x(\d+)"")), """")"),"")</f>
        <v/>
      </c>
      <c r="T739" s="9" t="str">
        <f ca="1">IFERROR(__xludf.DUMMYFUNCTION("IFERROR(VALUE(REGEXEXTRACT(TO_TEXT($F739), T$1 &amp; ""x(\d+)"")), """")"),"")</f>
        <v/>
      </c>
      <c r="U739" s="9" t="str">
        <f ca="1">IFERROR(__xludf.DUMMYFUNCTION("IFERROR(VALUE(REGEXEXTRACT(TO_TEXT($F739), U$1 &amp; ""x(\d+)"")), """")"),"")</f>
        <v/>
      </c>
      <c r="V739" s="9" t="str">
        <f ca="1">IFERROR(__xludf.DUMMYFUNCTION("IFERROR(VALUE(REGEXEXTRACT(TO_TEXT($F739), V$1 &amp; ""x(\d+)"")), """")"),"")</f>
        <v/>
      </c>
      <c r="W739" s="9"/>
      <c r="X739" s="9"/>
      <c r="Y739" s="9"/>
      <c r="Z739" s="9"/>
    </row>
    <row r="740" spans="1:26" ht="15.75" customHeight="1">
      <c r="A740" s="9" t="s">
        <v>1829</v>
      </c>
      <c r="B740" s="9" t="s">
        <v>1830</v>
      </c>
      <c r="C740" s="9" t="s">
        <v>801</v>
      </c>
      <c r="D740" s="9" t="s">
        <v>33</v>
      </c>
      <c r="E740" s="9" t="s">
        <v>12</v>
      </c>
      <c r="F740" s="9" t="s">
        <v>1832</v>
      </c>
      <c r="G740" s="9">
        <v>55</v>
      </c>
      <c r="H740" s="9">
        <v>8</v>
      </c>
      <c r="I740" s="9">
        <v>1.0149999999999999</v>
      </c>
      <c r="J740" s="9">
        <v>35</v>
      </c>
      <c r="K740" s="9" t="s">
        <v>442</v>
      </c>
      <c r="L740" s="9"/>
      <c r="M740" s="9"/>
      <c r="N740" s="9" t="str">
        <f ca="1">IFERROR(__xludf.DUMMYFUNCTION("IFERROR(VALUE(REGEXEXTRACT(TO_TEXT($F740), N$1 &amp; ""x(\d+)"")), """")
"),"")</f>
        <v/>
      </c>
      <c r="O740" s="9">
        <f ca="1">IFERROR(__xludf.DUMMYFUNCTION("IFERROR(VALUE(REGEXEXTRACT(TO_TEXT($F740), O$1 &amp; ""x(\d+)"")), """")"),1)</f>
        <v>1</v>
      </c>
      <c r="P740" s="9" t="str">
        <f ca="1">IFERROR(__xludf.DUMMYFUNCTION("IFERROR(VALUE(REGEXEXTRACT(TO_TEXT($F740), P$1 &amp; ""x(\d+)"")), """")"),"")</f>
        <v/>
      </c>
      <c r="Q740" s="9" t="str">
        <f ca="1">IFERROR(__xludf.DUMMYFUNCTION("IFERROR(VALUE(REGEXEXTRACT(TO_TEXT($F740), Q$1 &amp; ""x(\d+)"")), """")"),"")</f>
        <v/>
      </c>
      <c r="R740" s="9" t="str">
        <f ca="1">IFERROR(__xludf.DUMMYFUNCTION("IFERROR(VALUE(REGEXEXTRACT(TO_TEXT($F740), R$1 &amp; ""x(\d+)"")), """")"),"")</f>
        <v/>
      </c>
      <c r="S740" s="9" t="str">
        <f ca="1">IFERROR(__xludf.DUMMYFUNCTION("IFERROR(VALUE(REGEXEXTRACT(TO_TEXT($F740), S$1 &amp; ""x(\d+)"")), """")"),"")</f>
        <v/>
      </c>
      <c r="T740" s="9" t="str">
        <f ca="1">IFERROR(__xludf.DUMMYFUNCTION("IFERROR(VALUE(REGEXEXTRACT(TO_TEXT($F740), T$1 &amp; ""x(\d+)"")), """")"),"")</f>
        <v/>
      </c>
      <c r="U740" s="9" t="str">
        <f ca="1">IFERROR(__xludf.DUMMYFUNCTION("IFERROR(VALUE(REGEXEXTRACT(TO_TEXT($F740), U$1 &amp; ""x(\d+)"")), """")"),"")</f>
        <v/>
      </c>
      <c r="V740" s="9" t="str">
        <f ca="1">IFERROR(__xludf.DUMMYFUNCTION("IFERROR(VALUE(REGEXEXTRACT(TO_TEXT($F740), V$1 &amp; ""x(\d+)"")), """")"),"")</f>
        <v/>
      </c>
      <c r="W740" s="9"/>
      <c r="X740" s="9"/>
      <c r="Y740" s="9"/>
      <c r="Z740" s="9"/>
    </row>
    <row r="741" spans="1:26" ht="15.75" customHeight="1">
      <c r="A741" s="9" t="s">
        <v>1829</v>
      </c>
      <c r="B741" s="9" t="s">
        <v>1830</v>
      </c>
      <c r="C741" s="9" t="s">
        <v>801</v>
      </c>
      <c r="D741" s="9" t="s">
        <v>33</v>
      </c>
      <c r="E741" s="9" t="s">
        <v>13</v>
      </c>
      <c r="F741" s="9" t="s">
        <v>1833</v>
      </c>
      <c r="G741" s="9">
        <v>15</v>
      </c>
      <c r="H741" s="9">
        <v>8</v>
      </c>
      <c r="I741" s="9">
        <v>1.0149999999999999</v>
      </c>
      <c r="J741" s="9">
        <v>35</v>
      </c>
      <c r="K741" s="9" t="s">
        <v>442</v>
      </c>
      <c r="L741" s="9"/>
      <c r="M741" s="9"/>
      <c r="N741" s="9" t="str">
        <f ca="1">IFERROR(__xludf.DUMMYFUNCTION("IFERROR(VALUE(REGEXEXTRACT(TO_TEXT($F741), N$1 &amp; ""x(\d+)"")), """")
"),"")</f>
        <v/>
      </c>
      <c r="O741" s="9">
        <f ca="1">IFERROR(__xludf.DUMMYFUNCTION("IFERROR(VALUE(REGEXEXTRACT(TO_TEXT($F741), O$1 &amp; ""x(\d+)"")), """")"),1)</f>
        <v>1</v>
      </c>
      <c r="P741" s="9" t="str">
        <f ca="1">IFERROR(__xludf.DUMMYFUNCTION("IFERROR(VALUE(REGEXEXTRACT(TO_TEXT($F741), P$1 &amp; ""x(\d+)"")), """")"),"")</f>
        <v/>
      </c>
      <c r="Q741" s="9" t="str">
        <f ca="1">IFERROR(__xludf.DUMMYFUNCTION("IFERROR(VALUE(REGEXEXTRACT(TO_TEXT($F741), Q$1 &amp; ""x(\d+)"")), """")"),"")</f>
        <v/>
      </c>
      <c r="R741" s="9" t="str">
        <f ca="1">IFERROR(__xludf.DUMMYFUNCTION("IFERROR(VALUE(REGEXEXTRACT(TO_TEXT($F741), R$1 &amp; ""x(\d+)"")), """")"),"")</f>
        <v/>
      </c>
      <c r="S741" s="9" t="str">
        <f ca="1">IFERROR(__xludf.DUMMYFUNCTION("IFERROR(VALUE(REGEXEXTRACT(TO_TEXT($F741), S$1 &amp; ""x(\d+)"")), """")"),"")</f>
        <v/>
      </c>
      <c r="T741" s="9" t="str">
        <f ca="1">IFERROR(__xludf.DUMMYFUNCTION("IFERROR(VALUE(REGEXEXTRACT(TO_TEXT($F741), T$1 &amp; ""x(\d+)"")), """")"),"")</f>
        <v/>
      </c>
      <c r="U741" s="9" t="str">
        <f ca="1">IFERROR(__xludf.DUMMYFUNCTION("IFERROR(VALUE(REGEXEXTRACT(TO_TEXT($F741), U$1 &amp; ""x(\d+)"")), """")"),"")</f>
        <v/>
      </c>
      <c r="V741" s="9" t="str">
        <f ca="1">IFERROR(__xludf.DUMMYFUNCTION("IFERROR(VALUE(REGEXEXTRACT(TO_TEXT($F741), V$1 &amp; ""x(\d+)"")), """")"),"")</f>
        <v/>
      </c>
      <c r="W741" s="9"/>
      <c r="X741" s="9"/>
      <c r="Y741" s="9"/>
      <c r="Z741" s="9"/>
    </row>
    <row r="742" spans="1:26" ht="15.75" customHeight="1">
      <c r="A742" s="9" t="s">
        <v>1834</v>
      </c>
      <c r="B742" s="9" t="s">
        <v>1835</v>
      </c>
      <c r="C742" s="9" t="s">
        <v>745</v>
      </c>
      <c r="D742" s="9" t="s">
        <v>33</v>
      </c>
      <c r="E742" s="9" t="s">
        <v>11</v>
      </c>
      <c r="F742" s="9" t="s">
        <v>1831</v>
      </c>
      <c r="G742" s="9">
        <v>20</v>
      </c>
      <c r="H742" s="9">
        <v>8</v>
      </c>
      <c r="I742" s="9">
        <v>1.0149999999999999</v>
      </c>
      <c r="J742" s="9">
        <v>35</v>
      </c>
      <c r="K742" s="9" t="s">
        <v>442</v>
      </c>
      <c r="L742" s="9"/>
      <c r="M742" s="9"/>
      <c r="N742" s="9" t="str">
        <f ca="1">IFERROR(__xludf.DUMMYFUNCTION("IFERROR(VALUE(REGEXEXTRACT(TO_TEXT($F742), N$1 &amp; ""x(\d+)"")), """")
"),"")</f>
        <v/>
      </c>
      <c r="O742" s="9" t="str">
        <f ca="1">IFERROR(__xludf.DUMMYFUNCTION("IFERROR(VALUE(REGEXEXTRACT(TO_TEXT($F742), O$1 &amp; ""x(\d+)"")), """")"),"")</f>
        <v/>
      </c>
      <c r="P742" s="9" t="str">
        <f ca="1">IFERROR(__xludf.DUMMYFUNCTION("IFERROR(VALUE(REGEXEXTRACT(TO_TEXT($F742), P$1 &amp; ""x(\d+)"")), """")"),"")</f>
        <v/>
      </c>
      <c r="Q742" s="9" t="str">
        <f ca="1">IFERROR(__xludf.DUMMYFUNCTION("IFERROR(VALUE(REGEXEXTRACT(TO_TEXT($F742), Q$1 &amp; ""x(\d+)"")), """")"),"")</f>
        <v/>
      </c>
      <c r="R742" s="9" t="str">
        <f ca="1">IFERROR(__xludf.DUMMYFUNCTION("IFERROR(VALUE(REGEXEXTRACT(TO_TEXT($F742), R$1 &amp; ""x(\d+)"")), """")"),"")</f>
        <v/>
      </c>
      <c r="S742" s="9" t="str">
        <f ca="1">IFERROR(__xludf.DUMMYFUNCTION("IFERROR(VALUE(REGEXEXTRACT(TO_TEXT($F742), S$1 &amp; ""x(\d+)"")), """")"),"")</f>
        <v/>
      </c>
      <c r="T742" s="9" t="str">
        <f ca="1">IFERROR(__xludf.DUMMYFUNCTION("IFERROR(VALUE(REGEXEXTRACT(TO_TEXT($F742), T$1 &amp; ""x(\d+)"")), """")"),"")</f>
        <v/>
      </c>
      <c r="U742" s="9" t="str">
        <f ca="1">IFERROR(__xludf.DUMMYFUNCTION("IFERROR(VALUE(REGEXEXTRACT(TO_TEXT($F742), U$1 &amp; ""x(\d+)"")), """")"),"")</f>
        <v/>
      </c>
      <c r="V742" s="9" t="str">
        <f ca="1">IFERROR(__xludf.DUMMYFUNCTION("IFERROR(VALUE(REGEXEXTRACT(TO_TEXT($F742), V$1 &amp; ""x(\d+)"")), """")"),"")</f>
        <v/>
      </c>
      <c r="W742" s="9"/>
      <c r="X742" s="9"/>
      <c r="Y742" s="9"/>
      <c r="Z742" s="9"/>
    </row>
    <row r="743" spans="1:26" ht="15.75" customHeight="1">
      <c r="A743" s="9" t="s">
        <v>1834</v>
      </c>
      <c r="B743" s="9" t="s">
        <v>1835</v>
      </c>
      <c r="C743" s="9" t="s">
        <v>745</v>
      </c>
      <c r="D743" s="9" t="s">
        <v>33</v>
      </c>
      <c r="E743" s="9" t="s">
        <v>12</v>
      </c>
      <c r="F743" s="9" t="s">
        <v>1832</v>
      </c>
      <c r="G743" s="9">
        <v>55</v>
      </c>
      <c r="H743" s="9">
        <v>8</v>
      </c>
      <c r="I743" s="9">
        <v>1.0149999999999999</v>
      </c>
      <c r="J743" s="9">
        <v>35</v>
      </c>
      <c r="K743" s="9" t="s">
        <v>442</v>
      </c>
      <c r="L743" s="9"/>
      <c r="M743" s="9"/>
      <c r="N743" s="9" t="str">
        <f ca="1">IFERROR(__xludf.DUMMYFUNCTION("IFERROR(VALUE(REGEXEXTRACT(TO_TEXT($F743), N$1 &amp; ""x(\d+)"")), """")
"),"")</f>
        <v/>
      </c>
      <c r="O743" s="9">
        <f ca="1">IFERROR(__xludf.DUMMYFUNCTION("IFERROR(VALUE(REGEXEXTRACT(TO_TEXT($F743), O$1 &amp; ""x(\d+)"")), """")"),1)</f>
        <v>1</v>
      </c>
      <c r="P743" s="9" t="str">
        <f ca="1">IFERROR(__xludf.DUMMYFUNCTION("IFERROR(VALUE(REGEXEXTRACT(TO_TEXT($F743), P$1 &amp; ""x(\d+)"")), """")"),"")</f>
        <v/>
      </c>
      <c r="Q743" s="9" t="str">
        <f ca="1">IFERROR(__xludf.DUMMYFUNCTION("IFERROR(VALUE(REGEXEXTRACT(TO_TEXT($F743), Q$1 &amp; ""x(\d+)"")), """")"),"")</f>
        <v/>
      </c>
      <c r="R743" s="9" t="str">
        <f ca="1">IFERROR(__xludf.DUMMYFUNCTION("IFERROR(VALUE(REGEXEXTRACT(TO_TEXT($F743), R$1 &amp; ""x(\d+)"")), """")"),"")</f>
        <v/>
      </c>
      <c r="S743" s="9" t="str">
        <f ca="1">IFERROR(__xludf.DUMMYFUNCTION("IFERROR(VALUE(REGEXEXTRACT(TO_TEXT($F743), S$1 &amp; ""x(\d+)"")), """")"),"")</f>
        <v/>
      </c>
      <c r="T743" s="9" t="str">
        <f ca="1">IFERROR(__xludf.DUMMYFUNCTION("IFERROR(VALUE(REGEXEXTRACT(TO_TEXT($F743), T$1 &amp; ""x(\d+)"")), """")"),"")</f>
        <v/>
      </c>
      <c r="U743" s="9" t="str">
        <f ca="1">IFERROR(__xludf.DUMMYFUNCTION("IFERROR(VALUE(REGEXEXTRACT(TO_TEXT($F743), U$1 &amp; ""x(\d+)"")), """")"),"")</f>
        <v/>
      </c>
      <c r="V743" s="9" t="str">
        <f ca="1">IFERROR(__xludf.DUMMYFUNCTION("IFERROR(VALUE(REGEXEXTRACT(TO_TEXT($F743), V$1 &amp; ""x(\d+)"")), """")"),"")</f>
        <v/>
      </c>
      <c r="W743" s="9"/>
      <c r="X743" s="9"/>
      <c r="Y743" s="9"/>
      <c r="Z743" s="9"/>
    </row>
    <row r="744" spans="1:26" ht="15.75" customHeight="1">
      <c r="A744" s="9" t="s">
        <v>1834</v>
      </c>
      <c r="B744" s="9" t="s">
        <v>1835</v>
      </c>
      <c r="C744" s="9" t="s">
        <v>745</v>
      </c>
      <c r="D744" s="9" t="s">
        <v>33</v>
      </c>
      <c r="E744" s="9" t="s">
        <v>13</v>
      </c>
      <c r="F744" s="9" t="s">
        <v>1833</v>
      </c>
      <c r="G744" s="9">
        <v>15</v>
      </c>
      <c r="H744" s="9">
        <v>8</v>
      </c>
      <c r="I744" s="9">
        <v>1.0149999999999999</v>
      </c>
      <c r="J744" s="9">
        <v>35</v>
      </c>
      <c r="K744" s="9" t="s">
        <v>442</v>
      </c>
      <c r="L744" s="9"/>
      <c r="M744" s="9"/>
      <c r="N744" s="9" t="str">
        <f ca="1">IFERROR(__xludf.DUMMYFUNCTION("IFERROR(VALUE(REGEXEXTRACT(TO_TEXT($F744), N$1 &amp; ""x(\d+)"")), """")
"),"")</f>
        <v/>
      </c>
      <c r="O744" s="9">
        <f ca="1">IFERROR(__xludf.DUMMYFUNCTION("IFERROR(VALUE(REGEXEXTRACT(TO_TEXT($F744), O$1 &amp; ""x(\d+)"")), """")"),1)</f>
        <v>1</v>
      </c>
      <c r="P744" s="9" t="str">
        <f ca="1">IFERROR(__xludf.DUMMYFUNCTION("IFERROR(VALUE(REGEXEXTRACT(TO_TEXT($F744), P$1 &amp; ""x(\d+)"")), """")"),"")</f>
        <v/>
      </c>
      <c r="Q744" s="9" t="str">
        <f ca="1">IFERROR(__xludf.DUMMYFUNCTION("IFERROR(VALUE(REGEXEXTRACT(TO_TEXT($F744), Q$1 &amp; ""x(\d+)"")), """")"),"")</f>
        <v/>
      </c>
      <c r="R744" s="9" t="str">
        <f ca="1">IFERROR(__xludf.DUMMYFUNCTION("IFERROR(VALUE(REGEXEXTRACT(TO_TEXT($F744), R$1 &amp; ""x(\d+)"")), """")"),"")</f>
        <v/>
      </c>
      <c r="S744" s="9" t="str">
        <f ca="1">IFERROR(__xludf.DUMMYFUNCTION("IFERROR(VALUE(REGEXEXTRACT(TO_TEXT($F744), S$1 &amp; ""x(\d+)"")), """")"),"")</f>
        <v/>
      </c>
      <c r="T744" s="9" t="str">
        <f ca="1">IFERROR(__xludf.DUMMYFUNCTION("IFERROR(VALUE(REGEXEXTRACT(TO_TEXT($F744), T$1 &amp; ""x(\d+)"")), """")"),"")</f>
        <v/>
      </c>
      <c r="U744" s="9" t="str">
        <f ca="1">IFERROR(__xludf.DUMMYFUNCTION("IFERROR(VALUE(REGEXEXTRACT(TO_TEXT($F744), U$1 &amp; ""x(\d+)"")), """")"),"")</f>
        <v/>
      </c>
      <c r="V744" s="9" t="str">
        <f ca="1">IFERROR(__xludf.DUMMYFUNCTION("IFERROR(VALUE(REGEXEXTRACT(TO_TEXT($F744), V$1 &amp; ""x(\d+)"")), """")"),"")</f>
        <v/>
      </c>
      <c r="W744" s="9"/>
      <c r="X744" s="9"/>
      <c r="Y744" s="9"/>
      <c r="Z744" s="9"/>
    </row>
    <row r="745" spans="1:26" ht="15.75" customHeight="1">
      <c r="A745" s="9" t="s">
        <v>1836</v>
      </c>
      <c r="B745" s="9" t="s">
        <v>1837</v>
      </c>
      <c r="C745" s="9" t="s">
        <v>743</v>
      </c>
      <c r="D745" s="9" t="s">
        <v>33</v>
      </c>
      <c r="E745" s="9" t="s">
        <v>12</v>
      </c>
      <c r="F745" s="9" t="s">
        <v>1094</v>
      </c>
      <c r="G745" s="9">
        <v>55</v>
      </c>
      <c r="H745" s="9">
        <v>4</v>
      </c>
      <c r="I745" s="9">
        <v>1.0149999999999999</v>
      </c>
      <c r="J745" s="9">
        <v>100</v>
      </c>
      <c r="K745" s="9" t="s">
        <v>442</v>
      </c>
      <c r="L745" s="9"/>
      <c r="M745" s="9"/>
      <c r="N745" s="9" t="str">
        <f ca="1">IFERROR(__xludf.DUMMYFUNCTION("IFERROR(VALUE(REGEXEXTRACT(TO_TEXT($F745), N$1 &amp; ""x(\d+)"")), """")
"),"")</f>
        <v/>
      </c>
      <c r="O745" s="9">
        <f ca="1">IFERROR(__xludf.DUMMYFUNCTION("IFERROR(VALUE(REGEXEXTRACT(TO_TEXT($F745), O$1 &amp; ""x(\d+)"")), """")"),1)</f>
        <v>1</v>
      </c>
      <c r="P745" s="9" t="str">
        <f ca="1">IFERROR(__xludf.DUMMYFUNCTION("IFERROR(VALUE(REGEXEXTRACT(TO_TEXT($F745), P$1 &amp; ""x(\d+)"")), """")"),"")</f>
        <v/>
      </c>
      <c r="Q745" s="9" t="str">
        <f ca="1">IFERROR(__xludf.DUMMYFUNCTION("IFERROR(VALUE(REGEXEXTRACT(TO_TEXT($F745), Q$1 &amp; ""x(\d+)"")), """")"),"")</f>
        <v/>
      </c>
      <c r="R745" s="9" t="str">
        <f ca="1">IFERROR(__xludf.DUMMYFUNCTION("IFERROR(VALUE(REGEXEXTRACT(TO_TEXT($F745), R$1 &amp; ""x(\d+)"")), """")"),"")</f>
        <v/>
      </c>
      <c r="S745" s="9" t="str">
        <f ca="1">IFERROR(__xludf.DUMMYFUNCTION("IFERROR(VALUE(REGEXEXTRACT(TO_TEXT($F745), S$1 &amp; ""x(\d+)"")), """")"),"")</f>
        <v/>
      </c>
      <c r="T745" s="9" t="str">
        <f ca="1">IFERROR(__xludf.DUMMYFUNCTION("IFERROR(VALUE(REGEXEXTRACT(TO_TEXT($F745), T$1 &amp; ""x(\d+)"")), """")"),"")</f>
        <v/>
      </c>
      <c r="U745" s="9" t="str">
        <f ca="1">IFERROR(__xludf.DUMMYFUNCTION("IFERROR(VALUE(REGEXEXTRACT(TO_TEXT($F745), U$1 &amp; ""x(\d+)"")), """")"),"")</f>
        <v/>
      </c>
      <c r="V745" s="9" t="str">
        <f ca="1">IFERROR(__xludf.DUMMYFUNCTION("IFERROR(VALUE(REGEXEXTRACT(TO_TEXT($F745), V$1 &amp; ""x(\d+)"")), """")"),"")</f>
        <v/>
      </c>
      <c r="W745" s="9"/>
      <c r="X745" s="9"/>
      <c r="Y745" s="9"/>
      <c r="Z745" s="9"/>
    </row>
    <row r="746" spans="1:26" ht="15.75" customHeight="1">
      <c r="A746" s="9" t="s">
        <v>1836</v>
      </c>
      <c r="B746" s="9" t="s">
        <v>1837</v>
      </c>
      <c r="C746" s="9" t="s">
        <v>743</v>
      </c>
      <c r="D746" s="9" t="s">
        <v>33</v>
      </c>
      <c r="E746" s="9" t="s">
        <v>13</v>
      </c>
      <c r="F746" s="9" t="s">
        <v>1095</v>
      </c>
      <c r="G746" s="9">
        <v>10</v>
      </c>
      <c r="H746" s="9">
        <v>4</v>
      </c>
      <c r="I746" s="9">
        <v>1.0149999999999999</v>
      </c>
      <c r="J746" s="9">
        <v>100</v>
      </c>
      <c r="K746" s="9" t="s">
        <v>442</v>
      </c>
      <c r="L746" s="9"/>
      <c r="M746" s="9"/>
      <c r="N746" s="9" t="str">
        <f ca="1">IFERROR(__xludf.DUMMYFUNCTION("IFERROR(VALUE(REGEXEXTRACT(TO_TEXT($F746), N$1 &amp; ""x(\d+)"")), """")
"),"")</f>
        <v/>
      </c>
      <c r="O746" s="9">
        <f ca="1">IFERROR(__xludf.DUMMYFUNCTION("IFERROR(VALUE(REGEXEXTRACT(TO_TEXT($F746), O$1 &amp; ""x(\d+)"")), """")"),1)</f>
        <v>1</v>
      </c>
      <c r="P746" s="9" t="str">
        <f ca="1">IFERROR(__xludf.DUMMYFUNCTION("IFERROR(VALUE(REGEXEXTRACT(TO_TEXT($F746), P$1 &amp; ""x(\d+)"")), """")"),"")</f>
        <v/>
      </c>
      <c r="Q746" s="9" t="str">
        <f ca="1">IFERROR(__xludf.DUMMYFUNCTION("IFERROR(VALUE(REGEXEXTRACT(TO_TEXT($F746), Q$1 &amp; ""x(\d+)"")), """")"),"")</f>
        <v/>
      </c>
      <c r="R746" s="9" t="str">
        <f ca="1">IFERROR(__xludf.DUMMYFUNCTION("IFERROR(VALUE(REGEXEXTRACT(TO_TEXT($F746), R$1 &amp; ""x(\d+)"")), """")"),"")</f>
        <v/>
      </c>
      <c r="S746" s="9" t="str">
        <f ca="1">IFERROR(__xludf.DUMMYFUNCTION("IFERROR(VALUE(REGEXEXTRACT(TO_TEXT($F746), S$1 &amp; ""x(\d+)"")), """")"),"")</f>
        <v/>
      </c>
      <c r="T746" s="9" t="str">
        <f ca="1">IFERROR(__xludf.DUMMYFUNCTION("IFERROR(VALUE(REGEXEXTRACT(TO_TEXT($F746), T$1 &amp; ""x(\d+)"")), """")"),"")</f>
        <v/>
      </c>
      <c r="U746" s="9" t="str">
        <f ca="1">IFERROR(__xludf.DUMMYFUNCTION("IFERROR(VALUE(REGEXEXTRACT(TO_TEXT($F746), U$1 &amp; ""x(\d+)"")), """")"),"")</f>
        <v/>
      </c>
      <c r="V746" s="9" t="str">
        <f ca="1">IFERROR(__xludf.DUMMYFUNCTION("IFERROR(VALUE(REGEXEXTRACT(TO_TEXT($F746), V$1 &amp; ""x(\d+)"")), """")"),"")</f>
        <v/>
      </c>
      <c r="W746" s="9"/>
      <c r="X746" s="9"/>
      <c r="Y746" s="9"/>
      <c r="Z746" s="9"/>
    </row>
    <row r="747" spans="1:26" ht="15.75" hidden="1" customHeight="1">
      <c r="A747" s="9" t="s">
        <v>1838</v>
      </c>
      <c r="B747" s="9" t="s">
        <v>1839</v>
      </c>
      <c r="C747" s="9" t="s">
        <v>741</v>
      </c>
      <c r="D747" s="9" t="s">
        <v>48</v>
      </c>
      <c r="E747" s="9" t="s">
        <v>11</v>
      </c>
      <c r="F747" s="9" t="s">
        <v>1840</v>
      </c>
      <c r="G747" s="9">
        <v>45</v>
      </c>
      <c r="H747" s="9">
        <v>3</v>
      </c>
      <c r="I747" s="9">
        <v>1.0149999999999999</v>
      </c>
      <c r="J747" s="9">
        <v>52</v>
      </c>
      <c r="K747" s="9" t="s">
        <v>424</v>
      </c>
      <c r="L747" s="9"/>
      <c r="M747" s="9"/>
      <c r="N747" s="9" t="str">
        <f ca="1">IFERROR(__xludf.DUMMYFUNCTION("IFERROR(VALUE(REGEXEXTRACT(TO_TEXT($F747), N$1 &amp; ""x(\d+)"")), """")
"),"")</f>
        <v/>
      </c>
      <c r="O747" s="9" t="str">
        <f ca="1">IFERROR(__xludf.DUMMYFUNCTION("IFERROR(VALUE(REGEXEXTRACT(TO_TEXT($F747), O$1 &amp; ""x(\d+)"")), """")"),"")</f>
        <v/>
      </c>
      <c r="P747" s="9" t="str">
        <f ca="1">IFERROR(__xludf.DUMMYFUNCTION("IFERROR(VALUE(REGEXEXTRACT(TO_TEXT($F747), P$1 &amp; ""x(\d+)"")), """")"),"")</f>
        <v/>
      </c>
      <c r="Q747" s="9" t="str">
        <f ca="1">IFERROR(__xludf.DUMMYFUNCTION("IFERROR(VALUE(REGEXEXTRACT(TO_TEXT($F747), Q$1 &amp; ""x(\d+)"")), """")"),"")</f>
        <v/>
      </c>
      <c r="R747" s="9" t="str">
        <f ca="1">IFERROR(__xludf.DUMMYFUNCTION("IFERROR(VALUE(REGEXEXTRACT(TO_TEXT($F747), R$1 &amp; ""x(\d+)"")), """")"),"")</f>
        <v/>
      </c>
      <c r="S747" s="9" t="str">
        <f ca="1">IFERROR(__xludf.DUMMYFUNCTION("IFERROR(VALUE(REGEXEXTRACT(TO_TEXT($F747), S$1 &amp; ""x(\d+)"")), """")"),"")</f>
        <v/>
      </c>
      <c r="T747" s="9" t="str">
        <f ca="1">IFERROR(__xludf.DUMMYFUNCTION("IFERROR(VALUE(REGEXEXTRACT(TO_TEXT($F747), T$1 &amp; ""x(\d+)"")), """")"),"")</f>
        <v/>
      </c>
      <c r="U747" s="9" t="str">
        <f ca="1">IFERROR(__xludf.DUMMYFUNCTION("IFERROR(VALUE(REGEXEXTRACT(TO_TEXT($F747), U$1 &amp; ""x(\d+)"")), """")"),"")</f>
        <v/>
      </c>
      <c r="V747" s="9" t="str">
        <f ca="1">IFERROR(__xludf.DUMMYFUNCTION("IFERROR(VALUE(REGEXEXTRACT(TO_TEXT($F747), V$1 &amp; ""x(\d+)"")), """")"),"")</f>
        <v/>
      </c>
      <c r="W747" s="9"/>
      <c r="X747" s="9"/>
      <c r="Y747" s="9"/>
      <c r="Z747" s="9"/>
    </row>
    <row r="748" spans="1:26" ht="15.75" hidden="1" customHeight="1">
      <c r="A748" s="9" t="s">
        <v>1838</v>
      </c>
      <c r="B748" s="9" t="s">
        <v>1839</v>
      </c>
      <c r="C748" s="9" t="s">
        <v>741</v>
      </c>
      <c r="D748" s="9" t="s">
        <v>48</v>
      </c>
      <c r="E748" s="9" t="s">
        <v>12</v>
      </c>
      <c r="F748" s="9" t="s">
        <v>1841</v>
      </c>
      <c r="G748" s="9">
        <v>130</v>
      </c>
      <c r="H748" s="9">
        <v>3</v>
      </c>
      <c r="I748" s="9">
        <v>1.0149999999999999</v>
      </c>
      <c r="J748" s="9">
        <v>52</v>
      </c>
      <c r="K748" s="9" t="s">
        <v>424</v>
      </c>
      <c r="L748" s="9"/>
      <c r="M748" s="9"/>
      <c r="N748" s="9" t="str">
        <f ca="1">IFERROR(__xludf.DUMMYFUNCTION("IFERROR(VALUE(REGEXEXTRACT(TO_TEXT($F748), N$1 &amp; ""x(\d+)"")), """")
"),"")</f>
        <v/>
      </c>
      <c r="O748" s="9" t="str">
        <f ca="1">IFERROR(__xludf.DUMMYFUNCTION("IFERROR(VALUE(REGEXEXTRACT(TO_TEXT($F748), O$1 &amp; ""x(\d+)"")), """")"),"")</f>
        <v/>
      </c>
      <c r="P748" s="9">
        <f ca="1">IFERROR(__xludf.DUMMYFUNCTION("IFERROR(VALUE(REGEXEXTRACT(TO_TEXT($F748), P$1 &amp; ""x(\d+)"")), """")"),1)</f>
        <v>1</v>
      </c>
      <c r="Q748" s="9" t="str">
        <f ca="1">IFERROR(__xludf.DUMMYFUNCTION("IFERROR(VALUE(REGEXEXTRACT(TO_TEXT($F748), Q$1 &amp; ""x(\d+)"")), """")"),"")</f>
        <v/>
      </c>
      <c r="R748" s="9" t="str">
        <f ca="1">IFERROR(__xludf.DUMMYFUNCTION("IFERROR(VALUE(REGEXEXTRACT(TO_TEXT($F748), R$1 &amp; ""x(\d+)"")), """")"),"")</f>
        <v/>
      </c>
      <c r="S748" s="9" t="str">
        <f ca="1">IFERROR(__xludf.DUMMYFUNCTION("IFERROR(VALUE(REGEXEXTRACT(TO_TEXT($F748), S$1 &amp; ""x(\d+)"")), """")"),"")</f>
        <v/>
      </c>
      <c r="T748" s="9" t="str">
        <f ca="1">IFERROR(__xludf.DUMMYFUNCTION("IFERROR(VALUE(REGEXEXTRACT(TO_TEXT($F748), T$1 &amp; ""x(\d+)"")), """")"),"")</f>
        <v/>
      </c>
      <c r="U748" s="9" t="str">
        <f ca="1">IFERROR(__xludf.DUMMYFUNCTION("IFERROR(VALUE(REGEXEXTRACT(TO_TEXT($F748), U$1 &amp; ""x(\d+)"")), """")"),"")</f>
        <v/>
      </c>
      <c r="V748" s="9" t="str">
        <f ca="1">IFERROR(__xludf.DUMMYFUNCTION("IFERROR(VALUE(REGEXEXTRACT(TO_TEXT($F748), V$1 &amp; ""x(\d+)"")), """")"),"")</f>
        <v/>
      </c>
      <c r="W748" s="9"/>
      <c r="X748" s="9"/>
      <c r="Y748" s="9"/>
      <c r="Z748" s="9"/>
    </row>
    <row r="749" spans="1:26" ht="15.75" hidden="1" customHeight="1">
      <c r="A749" s="9" t="s">
        <v>1838</v>
      </c>
      <c r="B749" s="9" t="s">
        <v>1839</v>
      </c>
      <c r="C749" s="9" t="s">
        <v>741</v>
      </c>
      <c r="D749" s="9" t="s">
        <v>48</v>
      </c>
      <c r="E749" s="9" t="s">
        <v>13</v>
      </c>
      <c r="F749" s="9" t="s">
        <v>1842</v>
      </c>
      <c r="G749" s="9">
        <v>30</v>
      </c>
      <c r="H749" s="9">
        <v>3</v>
      </c>
      <c r="I749" s="9">
        <v>1.0149999999999999</v>
      </c>
      <c r="J749" s="9">
        <v>52</v>
      </c>
      <c r="K749" s="9" t="s">
        <v>424</v>
      </c>
      <c r="L749" s="9"/>
      <c r="M749" s="9"/>
      <c r="N749" s="9" t="str">
        <f ca="1">IFERROR(__xludf.DUMMYFUNCTION("IFERROR(VALUE(REGEXEXTRACT(TO_TEXT($F749), N$1 &amp; ""x(\d+)"")), """")
"),"")</f>
        <v/>
      </c>
      <c r="O749" s="9" t="str">
        <f ca="1">IFERROR(__xludf.DUMMYFUNCTION("IFERROR(VALUE(REGEXEXTRACT(TO_TEXT($F749), O$1 &amp; ""x(\d+)"")), """")"),"")</f>
        <v/>
      </c>
      <c r="P749" s="9">
        <f ca="1">IFERROR(__xludf.DUMMYFUNCTION("IFERROR(VALUE(REGEXEXTRACT(TO_TEXT($F749), P$1 &amp; ""x(\d+)"")), """")"),1)</f>
        <v>1</v>
      </c>
      <c r="Q749" s="9" t="str">
        <f ca="1">IFERROR(__xludf.DUMMYFUNCTION("IFERROR(VALUE(REGEXEXTRACT(TO_TEXT($F749), Q$1 &amp; ""x(\d+)"")), """")"),"")</f>
        <v/>
      </c>
      <c r="R749" s="9" t="str">
        <f ca="1">IFERROR(__xludf.DUMMYFUNCTION("IFERROR(VALUE(REGEXEXTRACT(TO_TEXT($F749), R$1 &amp; ""x(\d+)"")), """")"),"")</f>
        <v/>
      </c>
      <c r="S749" s="9" t="str">
        <f ca="1">IFERROR(__xludf.DUMMYFUNCTION("IFERROR(VALUE(REGEXEXTRACT(TO_TEXT($F749), S$1 &amp; ""x(\d+)"")), """")"),"")</f>
        <v/>
      </c>
      <c r="T749" s="9" t="str">
        <f ca="1">IFERROR(__xludf.DUMMYFUNCTION("IFERROR(VALUE(REGEXEXTRACT(TO_TEXT($F749), T$1 &amp; ""x(\d+)"")), """")"),"")</f>
        <v/>
      </c>
      <c r="U749" s="9" t="str">
        <f ca="1">IFERROR(__xludf.DUMMYFUNCTION("IFERROR(VALUE(REGEXEXTRACT(TO_TEXT($F749), U$1 &amp; ""x(\d+)"")), """")"),"")</f>
        <v/>
      </c>
      <c r="V749" s="9" t="str">
        <f ca="1">IFERROR(__xludf.DUMMYFUNCTION("IFERROR(VALUE(REGEXEXTRACT(TO_TEXT($F749), V$1 &amp; ""x(\d+)"")), """")"),"")</f>
        <v/>
      </c>
      <c r="W749" s="9"/>
      <c r="X749" s="9"/>
      <c r="Y749" s="9"/>
      <c r="Z749" s="9"/>
    </row>
    <row r="750" spans="1:26" ht="15.75" customHeight="1">
      <c r="A750" s="9" t="s">
        <v>1843</v>
      </c>
      <c r="B750" s="9" t="s">
        <v>1844</v>
      </c>
      <c r="C750" s="9" t="s">
        <v>803</v>
      </c>
      <c r="D750" s="9" t="s">
        <v>33</v>
      </c>
      <c r="E750" s="9" t="s">
        <v>11</v>
      </c>
      <c r="F750" s="9" t="s">
        <v>1831</v>
      </c>
      <c r="G750" s="9">
        <v>20</v>
      </c>
      <c r="H750" s="9">
        <v>8</v>
      </c>
      <c r="I750" s="9">
        <v>1.0149999999999999</v>
      </c>
      <c r="J750" s="9">
        <v>65</v>
      </c>
      <c r="K750" s="9" t="s">
        <v>442</v>
      </c>
      <c r="L750" s="9"/>
      <c r="M750" s="9"/>
      <c r="N750" s="9" t="str">
        <f ca="1">IFERROR(__xludf.DUMMYFUNCTION("IFERROR(VALUE(REGEXEXTRACT(TO_TEXT($F750), N$1 &amp; ""x(\d+)"")), """")
"),"")</f>
        <v/>
      </c>
      <c r="O750" s="9" t="str">
        <f ca="1">IFERROR(__xludf.DUMMYFUNCTION("IFERROR(VALUE(REGEXEXTRACT(TO_TEXT($F750), O$1 &amp; ""x(\d+)"")), """")"),"")</f>
        <v/>
      </c>
      <c r="P750" s="9" t="str">
        <f ca="1">IFERROR(__xludf.DUMMYFUNCTION("IFERROR(VALUE(REGEXEXTRACT(TO_TEXT($F750), P$1 &amp; ""x(\d+)"")), """")"),"")</f>
        <v/>
      </c>
      <c r="Q750" s="9" t="str">
        <f ca="1">IFERROR(__xludf.DUMMYFUNCTION("IFERROR(VALUE(REGEXEXTRACT(TO_TEXT($F750), Q$1 &amp; ""x(\d+)"")), """")"),"")</f>
        <v/>
      </c>
      <c r="R750" s="9" t="str">
        <f ca="1">IFERROR(__xludf.DUMMYFUNCTION("IFERROR(VALUE(REGEXEXTRACT(TO_TEXT($F750), R$1 &amp; ""x(\d+)"")), """")"),"")</f>
        <v/>
      </c>
      <c r="S750" s="9" t="str">
        <f ca="1">IFERROR(__xludf.DUMMYFUNCTION("IFERROR(VALUE(REGEXEXTRACT(TO_TEXT($F750), S$1 &amp; ""x(\d+)"")), """")"),"")</f>
        <v/>
      </c>
      <c r="T750" s="9" t="str">
        <f ca="1">IFERROR(__xludf.DUMMYFUNCTION("IFERROR(VALUE(REGEXEXTRACT(TO_TEXT($F750), T$1 &amp; ""x(\d+)"")), """")"),"")</f>
        <v/>
      </c>
      <c r="U750" s="9" t="str">
        <f ca="1">IFERROR(__xludf.DUMMYFUNCTION("IFERROR(VALUE(REGEXEXTRACT(TO_TEXT($F750), U$1 &amp; ""x(\d+)"")), """")"),"")</f>
        <v/>
      </c>
      <c r="V750" s="9" t="str">
        <f ca="1">IFERROR(__xludf.DUMMYFUNCTION("IFERROR(VALUE(REGEXEXTRACT(TO_TEXT($F750), V$1 &amp; ""x(\d+)"")), """")"),"")</f>
        <v/>
      </c>
      <c r="W750" s="9"/>
      <c r="X750" s="9"/>
      <c r="Y750" s="9"/>
      <c r="Z750" s="9"/>
    </row>
    <row r="751" spans="1:26" ht="15.75" customHeight="1">
      <c r="A751" s="9" t="s">
        <v>1843</v>
      </c>
      <c r="B751" s="9" t="s">
        <v>1844</v>
      </c>
      <c r="C751" s="9" t="s">
        <v>803</v>
      </c>
      <c r="D751" s="9" t="s">
        <v>33</v>
      </c>
      <c r="E751" s="9" t="s">
        <v>12</v>
      </c>
      <c r="F751" s="9" t="s">
        <v>1832</v>
      </c>
      <c r="G751" s="9">
        <v>55</v>
      </c>
      <c r="H751" s="9">
        <v>8</v>
      </c>
      <c r="I751" s="9">
        <v>1.0149999999999999</v>
      </c>
      <c r="J751" s="9">
        <v>65</v>
      </c>
      <c r="K751" s="9" t="s">
        <v>442</v>
      </c>
      <c r="L751" s="9"/>
      <c r="M751" s="9"/>
      <c r="N751" s="9" t="str">
        <f ca="1">IFERROR(__xludf.DUMMYFUNCTION("IFERROR(VALUE(REGEXEXTRACT(TO_TEXT($F751), N$1 &amp; ""x(\d+)"")), """")
"),"")</f>
        <v/>
      </c>
      <c r="O751" s="9">
        <f ca="1">IFERROR(__xludf.DUMMYFUNCTION("IFERROR(VALUE(REGEXEXTRACT(TO_TEXT($F751), O$1 &amp; ""x(\d+)"")), """")"),1)</f>
        <v>1</v>
      </c>
      <c r="P751" s="9" t="str">
        <f ca="1">IFERROR(__xludf.DUMMYFUNCTION("IFERROR(VALUE(REGEXEXTRACT(TO_TEXT($F751), P$1 &amp; ""x(\d+)"")), """")"),"")</f>
        <v/>
      </c>
      <c r="Q751" s="9" t="str">
        <f ca="1">IFERROR(__xludf.DUMMYFUNCTION("IFERROR(VALUE(REGEXEXTRACT(TO_TEXT($F751), Q$1 &amp; ""x(\d+)"")), """")"),"")</f>
        <v/>
      </c>
      <c r="R751" s="9" t="str">
        <f ca="1">IFERROR(__xludf.DUMMYFUNCTION("IFERROR(VALUE(REGEXEXTRACT(TO_TEXT($F751), R$1 &amp; ""x(\d+)"")), """")"),"")</f>
        <v/>
      </c>
      <c r="S751" s="9" t="str">
        <f ca="1">IFERROR(__xludf.DUMMYFUNCTION("IFERROR(VALUE(REGEXEXTRACT(TO_TEXT($F751), S$1 &amp; ""x(\d+)"")), """")"),"")</f>
        <v/>
      </c>
      <c r="T751" s="9" t="str">
        <f ca="1">IFERROR(__xludf.DUMMYFUNCTION("IFERROR(VALUE(REGEXEXTRACT(TO_TEXT($F751), T$1 &amp; ""x(\d+)"")), """")"),"")</f>
        <v/>
      </c>
      <c r="U751" s="9" t="str">
        <f ca="1">IFERROR(__xludf.DUMMYFUNCTION("IFERROR(VALUE(REGEXEXTRACT(TO_TEXT($F751), U$1 &amp; ""x(\d+)"")), """")"),"")</f>
        <v/>
      </c>
      <c r="V751" s="9" t="str">
        <f ca="1">IFERROR(__xludf.DUMMYFUNCTION("IFERROR(VALUE(REGEXEXTRACT(TO_TEXT($F751), V$1 &amp; ""x(\d+)"")), """")"),"")</f>
        <v/>
      </c>
      <c r="W751" s="9"/>
      <c r="X751" s="9"/>
      <c r="Y751" s="9"/>
      <c r="Z751" s="9"/>
    </row>
    <row r="752" spans="1:26" ht="15.75" customHeight="1">
      <c r="A752" s="9" t="s">
        <v>1843</v>
      </c>
      <c r="B752" s="9" t="s">
        <v>1844</v>
      </c>
      <c r="C752" s="9" t="s">
        <v>803</v>
      </c>
      <c r="D752" s="9" t="s">
        <v>33</v>
      </c>
      <c r="E752" s="9" t="s">
        <v>13</v>
      </c>
      <c r="F752" s="9" t="s">
        <v>1833</v>
      </c>
      <c r="G752" s="9">
        <v>15</v>
      </c>
      <c r="H752" s="9">
        <v>8</v>
      </c>
      <c r="I752" s="9">
        <v>1.0149999999999999</v>
      </c>
      <c r="J752" s="9">
        <v>65</v>
      </c>
      <c r="K752" s="9" t="s">
        <v>442</v>
      </c>
      <c r="L752" s="9"/>
      <c r="M752" s="9"/>
      <c r="N752" s="9" t="str">
        <f ca="1">IFERROR(__xludf.DUMMYFUNCTION("IFERROR(VALUE(REGEXEXTRACT(TO_TEXT($F752), N$1 &amp; ""x(\d+)"")), """")
"),"")</f>
        <v/>
      </c>
      <c r="O752" s="9">
        <f ca="1">IFERROR(__xludf.DUMMYFUNCTION("IFERROR(VALUE(REGEXEXTRACT(TO_TEXT($F752), O$1 &amp; ""x(\d+)"")), """")"),1)</f>
        <v>1</v>
      </c>
      <c r="P752" s="9" t="str">
        <f ca="1">IFERROR(__xludf.DUMMYFUNCTION("IFERROR(VALUE(REGEXEXTRACT(TO_TEXT($F752), P$1 &amp; ""x(\d+)"")), """")"),"")</f>
        <v/>
      </c>
      <c r="Q752" s="9" t="str">
        <f ca="1">IFERROR(__xludf.DUMMYFUNCTION("IFERROR(VALUE(REGEXEXTRACT(TO_TEXT($F752), Q$1 &amp; ""x(\d+)"")), """")"),"")</f>
        <v/>
      </c>
      <c r="R752" s="9" t="str">
        <f ca="1">IFERROR(__xludf.DUMMYFUNCTION("IFERROR(VALUE(REGEXEXTRACT(TO_TEXT($F752), R$1 &amp; ""x(\d+)"")), """")"),"")</f>
        <v/>
      </c>
      <c r="S752" s="9" t="str">
        <f ca="1">IFERROR(__xludf.DUMMYFUNCTION("IFERROR(VALUE(REGEXEXTRACT(TO_TEXT($F752), S$1 &amp; ""x(\d+)"")), """")"),"")</f>
        <v/>
      </c>
      <c r="T752" s="9" t="str">
        <f ca="1">IFERROR(__xludf.DUMMYFUNCTION("IFERROR(VALUE(REGEXEXTRACT(TO_TEXT($F752), T$1 &amp; ""x(\d+)"")), """")"),"")</f>
        <v/>
      </c>
      <c r="U752" s="9" t="str">
        <f ca="1">IFERROR(__xludf.DUMMYFUNCTION("IFERROR(VALUE(REGEXEXTRACT(TO_TEXT($F752), U$1 &amp; ""x(\d+)"")), """")"),"")</f>
        <v/>
      </c>
      <c r="V752" s="9" t="str">
        <f ca="1">IFERROR(__xludf.DUMMYFUNCTION("IFERROR(VALUE(REGEXEXTRACT(TO_TEXT($F752), V$1 &amp; ""x(\d+)"")), """")"),"")</f>
        <v/>
      </c>
      <c r="W752" s="9"/>
      <c r="X752" s="9"/>
      <c r="Y752" s="9"/>
      <c r="Z752" s="9"/>
    </row>
    <row r="753" spans="1:26" ht="15.75" customHeight="1">
      <c r="A753" s="9" t="s">
        <v>1845</v>
      </c>
      <c r="B753" s="9" t="s">
        <v>1846</v>
      </c>
      <c r="C753" s="9" t="s">
        <v>745</v>
      </c>
      <c r="D753" s="9" t="s">
        <v>33</v>
      </c>
      <c r="E753" s="9" t="s">
        <v>11</v>
      </c>
      <c r="F753" s="9" t="s">
        <v>1831</v>
      </c>
      <c r="G753" s="9">
        <v>20</v>
      </c>
      <c r="H753" s="9">
        <v>8</v>
      </c>
      <c r="I753" s="9">
        <v>1.0149999999999999</v>
      </c>
      <c r="J753" s="9">
        <v>65</v>
      </c>
      <c r="K753" s="9" t="s">
        <v>442</v>
      </c>
      <c r="L753" s="9"/>
      <c r="M753" s="9"/>
      <c r="N753" s="9" t="str">
        <f ca="1">IFERROR(__xludf.DUMMYFUNCTION("IFERROR(VALUE(REGEXEXTRACT(TO_TEXT($F753), N$1 &amp; ""x(\d+)"")), """")
"),"")</f>
        <v/>
      </c>
      <c r="O753" s="9" t="str">
        <f ca="1">IFERROR(__xludf.DUMMYFUNCTION("IFERROR(VALUE(REGEXEXTRACT(TO_TEXT($F753), O$1 &amp; ""x(\d+)"")), """")"),"")</f>
        <v/>
      </c>
      <c r="P753" s="9" t="str">
        <f ca="1">IFERROR(__xludf.DUMMYFUNCTION("IFERROR(VALUE(REGEXEXTRACT(TO_TEXT($F753), P$1 &amp; ""x(\d+)"")), """")"),"")</f>
        <v/>
      </c>
      <c r="Q753" s="9" t="str">
        <f ca="1">IFERROR(__xludf.DUMMYFUNCTION("IFERROR(VALUE(REGEXEXTRACT(TO_TEXT($F753), Q$1 &amp; ""x(\d+)"")), """")"),"")</f>
        <v/>
      </c>
      <c r="R753" s="9" t="str">
        <f ca="1">IFERROR(__xludf.DUMMYFUNCTION("IFERROR(VALUE(REGEXEXTRACT(TO_TEXT($F753), R$1 &amp; ""x(\d+)"")), """")"),"")</f>
        <v/>
      </c>
      <c r="S753" s="9" t="str">
        <f ca="1">IFERROR(__xludf.DUMMYFUNCTION("IFERROR(VALUE(REGEXEXTRACT(TO_TEXT($F753), S$1 &amp; ""x(\d+)"")), """")"),"")</f>
        <v/>
      </c>
      <c r="T753" s="9" t="str">
        <f ca="1">IFERROR(__xludf.DUMMYFUNCTION("IFERROR(VALUE(REGEXEXTRACT(TO_TEXT($F753), T$1 &amp; ""x(\d+)"")), """")"),"")</f>
        <v/>
      </c>
      <c r="U753" s="9" t="str">
        <f ca="1">IFERROR(__xludf.DUMMYFUNCTION("IFERROR(VALUE(REGEXEXTRACT(TO_TEXT($F753), U$1 &amp; ""x(\d+)"")), """")"),"")</f>
        <v/>
      </c>
      <c r="V753" s="9" t="str">
        <f ca="1">IFERROR(__xludf.DUMMYFUNCTION("IFERROR(VALUE(REGEXEXTRACT(TO_TEXT($F753), V$1 &amp; ""x(\d+)"")), """")"),"")</f>
        <v/>
      </c>
      <c r="W753" s="9"/>
      <c r="X753" s="9"/>
      <c r="Y753" s="9"/>
      <c r="Z753" s="9"/>
    </row>
    <row r="754" spans="1:26" ht="15.75" customHeight="1">
      <c r="A754" s="9" t="s">
        <v>1845</v>
      </c>
      <c r="B754" s="9" t="s">
        <v>1846</v>
      </c>
      <c r="C754" s="9" t="s">
        <v>745</v>
      </c>
      <c r="D754" s="9" t="s">
        <v>33</v>
      </c>
      <c r="E754" s="9" t="s">
        <v>12</v>
      </c>
      <c r="F754" s="9" t="s">
        <v>1832</v>
      </c>
      <c r="G754" s="9">
        <v>55</v>
      </c>
      <c r="H754" s="9">
        <v>8</v>
      </c>
      <c r="I754" s="9">
        <v>1.0149999999999999</v>
      </c>
      <c r="J754" s="9">
        <v>65</v>
      </c>
      <c r="K754" s="9" t="s">
        <v>442</v>
      </c>
      <c r="L754" s="9"/>
      <c r="M754" s="9"/>
      <c r="N754" s="9" t="str">
        <f ca="1">IFERROR(__xludf.DUMMYFUNCTION("IFERROR(VALUE(REGEXEXTRACT(TO_TEXT($F754), N$1 &amp; ""x(\d+)"")), """")
"),"")</f>
        <v/>
      </c>
      <c r="O754" s="9">
        <f ca="1">IFERROR(__xludf.DUMMYFUNCTION("IFERROR(VALUE(REGEXEXTRACT(TO_TEXT($F754), O$1 &amp; ""x(\d+)"")), """")"),1)</f>
        <v>1</v>
      </c>
      <c r="P754" s="9" t="str">
        <f ca="1">IFERROR(__xludf.DUMMYFUNCTION("IFERROR(VALUE(REGEXEXTRACT(TO_TEXT($F754), P$1 &amp; ""x(\d+)"")), """")"),"")</f>
        <v/>
      </c>
      <c r="Q754" s="9" t="str">
        <f ca="1">IFERROR(__xludf.DUMMYFUNCTION("IFERROR(VALUE(REGEXEXTRACT(TO_TEXT($F754), Q$1 &amp; ""x(\d+)"")), """")"),"")</f>
        <v/>
      </c>
      <c r="R754" s="9" t="str">
        <f ca="1">IFERROR(__xludf.DUMMYFUNCTION("IFERROR(VALUE(REGEXEXTRACT(TO_TEXT($F754), R$1 &amp; ""x(\d+)"")), """")"),"")</f>
        <v/>
      </c>
      <c r="S754" s="9" t="str">
        <f ca="1">IFERROR(__xludf.DUMMYFUNCTION("IFERROR(VALUE(REGEXEXTRACT(TO_TEXT($F754), S$1 &amp; ""x(\d+)"")), """")"),"")</f>
        <v/>
      </c>
      <c r="T754" s="9" t="str">
        <f ca="1">IFERROR(__xludf.DUMMYFUNCTION("IFERROR(VALUE(REGEXEXTRACT(TO_TEXT($F754), T$1 &amp; ""x(\d+)"")), """")"),"")</f>
        <v/>
      </c>
      <c r="U754" s="9" t="str">
        <f ca="1">IFERROR(__xludf.DUMMYFUNCTION("IFERROR(VALUE(REGEXEXTRACT(TO_TEXT($F754), U$1 &amp; ""x(\d+)"")), """")"),"")</f>
        <v/>
      </c>
      <c r="V754" s="9" t="str">
        <f ca="1">IFERROR(__xludf.DUMMYFUNCTION("IFERROR(VALUE(REGEXEXTRACT(TO_TEXT($F754), V$1 &amp; ""x(\d+)"")), """")"),"")</f>
        <v/>
      </c>
      <c r="W754" s="9"/>
      <c r="X754" s="9"/>
      <c r="Y754" s="9"/>
      <c r="Z754" s="9"/>
    </row>
    <row r="755" spans="1:26" ht="15.75" customHeight="1">
      <c r="A755" s="9" t="s">
        <v>1845</v>
      </c>
      <c r="B755" s="9" t="s">
        <v>1846</v>
      </c>
      <c r="C755" s="9" t="s">
        <v>745</v>
      </c>
      <c r="D755" s="9" t="s">
        <v>33</v>
      </c>
      <c r="E755" s="9" t="s">
        <v>13</v>
      </c>
      <c r="F755" s="9" t="s">
        <v>1833</v>
      </c>
      <c r="G755" s="9">
        <v>15</v>
      </c>
      <c r="H755" s="9">
        <v>8</v>
      </c>
      <c r="I755" s="9">
        <v>1.0149999999999999</v>
      </c>
      <c r="J755" s="9">
        <v>65</v>
      </c>
      <c r="K755" s="9" t="s">
        <v>442</v>
      </c>
      <c r="L755" s="9"/>
      <c r="M755" s="9"/>
      <c r="N755" s="9" t="str">
        <f ca="1">IFERROR(__xludf.DUMMYFUNCTION("IFERROR(VALUE(REGEXEXTRACT(TO_TEXT($F755), N$1 &amp; ""x(\d+)"")), """")
"),"")</f>
        <v/>
      </c>
      <c r="O755" s="9">
        <f ca="1">IFERROR(__xludf.DUMMYFUNCTION("IFERROR(VALUE(REGEXEXTRACT(TO_TEXT($F755), O$1 &amp; ""x(\d+)"")), """")"),1)</f>
        <v>1</v>
      </c>
      <c r="P755" s="9" t="str">
        <f ca="1">IFERROR(__xludf.DUMMYFUNCTION("IFERROR(VALUE(REGEXEXTRACT(TO_TEXT($F755), P$1 &amp; ""x(\d+)"")), """")"),"")</f>
        <v/>
      </c>
      <c r="Q755" s="9" t="str">
        <f ca="1">IFERROR(__xludf.DUMMYFUNCTION("IFERROR(VALUE(REGEXEXTRACT(TO_TEXT($F755), Q$1 &amp; ""x(\d+)"")), """")"),"")</f>
        <v/>
      </c>
      <c r="R755" s="9" t="str">
        <f ca="1">IFERROR(__xludf.DUMMYFUNCTION("IFERROR(VALUE(REGEXEXTRACT(TO_TEXT($F755), R$1 &amp; ""x(\d+)"")), """")"),"")</f>
        <v/>
      </c>
      <c r="S755" s="9" t="str">
        <f ca="1">IFERROR(__xludf.DUMMYFUNCTION("IFERROR(VALUE(REGEXEXTRACT(TO_TEXT($F755), S$1 &amp; ""x(\d+)"")), """")"),"")</f>
        <v/>
      </c>
      <c r="T755" s="9" t="str">
        <f ca="1">IFERROR(__xludf.DUMMYFUNCTION("IFERROR(VALUE(REGEXEXTRACT(TO_TEXT($F755), T$1 &amp; ""x(\d+)"")), """")"),"")</f>
        <v/>
      </c>
      <c r="U755" s="9" t="str">
        <f ca="1">IFERROR(__xludf.DUMMYFUNCTION("IFERROR(VALUE(REGEXEXTRACT(TO_TEXT($F755), U$1 &amp; ""x(\d+)"")), """")"),"")</f>
        <v/>
      </c>
      <c r="V755" s="9" t="str">
        <f ca="1">IFERROR(__xludf.DUMMYFUNCTION("IFERROR(VALUE(REGEXEXTRACT(TO_TEXT($F755), V$1 &amp; ""x(\d+)"")), """")"),"")</f>
        <v/>
      </c>
      <c r="W755" s="9"/>
      <c r="X755" s="9"/>
      <c r="Y755" s="9"/>
      <c r="Z755" s="9"/>
    </row>
    <row r="756" spans="1:26" ht="15.75" hidden="1" customHeight="1">
      <c r="A756" s="9" t="s">
        <v>1845</v>
      </c>
      <c r="B756" s="9" t="s">
        <v>1846</v>
      </c>
      <c r="C756" s="9" t="s">
        <v>745</v>
      </c>
      <c r="D756" s="9" t="s">
        <v>40</v>
      </c>
      <c r="E756" s="9" t="s">
        <v>11</v>
      </c>
      <c r="F756" s="9" t="s">
        <v>1477</v>
      </c>
      <c r="G756" s="9">
        <v>20</v>
      </c>
      <c r="H756" s="9">
        <v>3</v>
      </c>
      <c r="I756" s="9">
        <v>1.0149999999999999</v>
      </c>
      <c r="J756" s="9">
        <v>410</v>
      </c>
      <c r="K756" s="9" t="s">
        <v>442</v>
      </c>
      <c r="L756" s="9"/>
      <c r="M756" s="9"/>
      <c r="N756" s="9" t="str">
        <f ca="1">IFERROR(__xludf.DUMMYFUNCTION("IFERROR(VALUE(REGEXEXTRACT(TO_TEXT($F756), N$1 &amp; ""x(\d+)"")), """")
"),"")</f>
        <v/>
      </c>
      <c r="O756" s="9" t="str">
        <f ca="1">IFERROR(__xludf.DUMMYFUNCTION("IFERROR(VALUE(REGEXEXTRACT(TO_TEXT($F756), O$1 &amp; ""x(\d+)"")), """")"),"")</f>
        <v/>
      </c>
      <c r="P756" s="9" t="str">
        <f ca="1">IFERROR(__xludf.DUMMYFUNCTION("IFERROR(VALUE(REGEXEXTRACT(TO_TEXT($F756), P$1 &amp; ""x(\d+)"")), """")"),"")</f>
        <v/>
      </c>
      <c r="Q756" s="9" t="str">
        <f ca="1">IFERROR(__xludf.DUMMYFUNCTION("IFERROR(VALUE(REGEXEXTRACT(TO_TEXT($F756), Q$1 &amp; ""x(\d+)"")), """")"),"")</f>
        <v/>
      </c>
      <c r="R756" s="9" t="str">
        <f ca="1">IFERROR(__xludf.DUMMYFUNCTION("IFERROR(VALUE(REGEXEXTRACT(TO_TEXT($F756), R$1 &amp; ""x(\d+)"")), """")"),"")</f>
        <v/>
      </c>
      <c r="S756" s="9" t="str">
        <f ca="1">IFERROR(__xludf.DUMMYFUNCTION("IFERROR(VALUE(REGEXEXTRACT(TO_TEXT($F756), S$1 &amp; ""x(\d+)"")), """")"),"")</f>
        <v/>
      </c>
      <c r="T756" s="9" t="str">
        <f ca="1">IFERROR(__xludf.DUMMYFUNCTION("IFERROR(VALUE(REGEXEXTRACT(TO_TEXT($F756), T$1 &amp; ""x(\d+)"")), """")"),"")</f>
        <v/>
      </c>
      <c r="U756" s="9" t="str">
        <f ca="1">IFERROR(__xludf.DUMMYFUNCTION("IFERROR(VALUE(REGEXEXTRACT(TO_TEXT($F756), U$1 &amp; ""x(\d+)"")), """")"),"")</f>
        <v/>
      </c>
      <c r="V756" s="9" t="str">
        <f ca="1">IFERROR(__xludf.DUMMYFUNCTION("IFERROR(VALUE(REGEXEXTRACT(TO_TEXT($F756), V$1 &amp; ""x(\d+)"")), """")"),"")</f>
        <v/>
      </c>
      <c r="W756" s="9"/>
      <c r="X756" s="9"/>
      <c r="Y756" s="9"/>
      <c r="Z756" s="9"/>
    </row>
    <row r="757" spans="1:26" ht="15.75" hidden="1" customHeight="1">
      <c r="A757" s="9" t="s">
        <v>1845</v>
      </c>
      <c r="B757" s="9" t="s">
        <v>1846</v>
      </c>
      <c r="C757" s="9" t="s">
        <v>745</v>
      </c>
      <c r="D757" s="9" t="s">
        <v>40</v>
      </c>
      <c r="E757" s="9" t="s">
        <v>12</v>
      </c>
      <c r="F757" s="9" t="s">
        <v>1847</v>
      </c>
      <c r="G757" s="9">
        <v>80</v>
      </c>
      <c r="H757" s="9">
        <v>3</v>
      </c>
      <c r="I757" s="9">
        <v>1.0149999999999999</v>
      </c>
      <c r="J757" s="9">
        <v>410</v>
      </c>
      <c r="K757" s="9" t="s">
        <v>442</v>
      </c>
      <c r="L757" s="9"/>
      <c r="M757" s="9"/>
      <c r="N757" s="9" t="str">
        <f ca="1">IFERROR(__xludf.DUMMYFUNCTION("IFERROR(VALUE(REGEXEXTRACT(TO_TEXT($F757), N$1 &amp; ""x(\d+)"")), """")
"),"")</f>
        <v/>
      </c>
      <c r="O757" s="9" t="str">
        <f ca="1">IFERROR(__xludf.DUMMYFUNCTION("IFERROR(VALUE(REGEXEXTRACT(TO_TEXT($F757), O$1 &amp; ""x(\d+)"")), """")"),"")</f>
        <v/>
      </c>
      <c r="P757" s="9" t="str">
        <f ca="1">IFERROR(__xludf.DUMMYFUNCTION("IFERROR(VALUE(REGEXEXTRACT(TO_TEXT($F757), P$1 &amp; ""x(\d+)"")), """")"),"")</f>
        <v/>
      </c>
      <c r="Q757" s="9" t="str">
        <f ca="1">IFERROR(__xludf.DUMMYFUNCTION("IFERROR(VALUE(REGEXEXTRACT(TO_TEXT($F757), Q$1 &amp; ""x(\d+)"")), """")"),"")</f>
        <v/>
      </c>
      <c r="R757" s="9" t="str">
        <f ca="1">IFERROR(__xludf.DUMMYFUNCTION("IFERROR(VALUE(REGEXEXTRACT(TO_TEXT($F757), R$1 &amp; ""x(\d+)"")), """")"),"")</f>
        <v/>
      </c>
      <c r="S757" s="9">
        <f ca="1">IFERROR(__xludf.DUMMYFUNCTION("IFERROR(VALUE(REGEXEXTRACT(TO_TEXT($F757), S$1 &amp; ""x(\d+)"")), """")"),1)</f>
        <v>1</v>
      </c>
      <c r="T757" s="9" t="str">
        <f ca="1">IFERROR(__xludf.DUMMYFUNCTION("IFERROR(VALUE(REGEXEXTRACT(TO_TEXT($F757), T$1 &amp; ""x(\d+)"")), """")"),"")</f>
        <v/>
      </c>
      <c r="U757" s="9" t="str">
        <f ca="1">IFERROR(__xludf.DUMMYFUNCTION("IFERROR(VALUE(REGEXEXTRACT(TO_TEXT($F757), U$1 &amp; ""x(\d+)"")), """")"),"")</f>
        <v/>
      </c>
      <c r="V757" s="9" t="str">
        <f ca="1">IFERROR(__xludf.DUMMYFUNCTION("IFERROR(VALUE(REGEXEXTRACT(TO_TEXT($F757), V$1 &amp; ""x(\d+)"")), """")"),"")</f>
        <v/>
      </c>
      <c r="W757" s="9"/>
      <c r="X757" s="9"/>
      <c r="Y757" s="9"/>
      <c r="Z757" s="9"/>
    </row>
    <row r="758" spans="1:26" ht="15.75" hidden="1" customHeight="1">
      <c r="A758" s="9" t="s">
        <v>1845</v>
      </c>
      <c r="B758" s="9" t="s">
        <v>1846</v>
      </c>
      <c r="C758" s="9" t="s">
        <v>745</v>
      </c>
      <c r="D758" s="9" t="s">
        <v>40</v>
      </c>
      <c r="E758" s="9" t="s">
        <v>13</v>
      </c>
      <c r="F758" s="9" t="s">
        <v>1111</v>
      </c>
      <c r="G758" s="9">
        <v>30</v>
      </c>
      <c r="H758" s="9">
        <v>3</v>
      </c>
      <c r="I758" s="9">
        <v>1.0149999999999999</v>
      </c>
      <c r="J758" s="9">
        <v>410</v>
      </c>
      <c r="K758" s="9" t="s">
        <v>442</v>
      </c>
      <c r="L758" s="9"/>
      <c r="M758" s="9"/>
      <c r="N758" s="9" t="str">
        <f ca="1">IFERROR(__xludf.DUMMYFUNCTION("IFERROR(VALUE(REGEXEXTRACT(TO_TEXT($F758), N$1 &amp; ""x(\d+)"")), """")
"),"")</f>
        <v/>
      </c>
      <c r="O758" s="9" t="str">
        <f ca="1">IFERROR(__xludf.DUMMYFUNCTION("IFERROR(VALUE(REGEXEXTRACT(TO_TEXT($F758), O$1 &amp; ""x(\d+)"")), """")"),"")</f>
        <v/>
      </c>
      <c r="P758" s="9" t="str">
        <f ca="1">IFERROR(__xludf.DUMMYFUNCTION("IFERROR(VALUE(REGEXEXTRACT(TO_TEXT($F758), P$1 &amp; ""x(\d+)"")), """")"),"")</f>
        <v/>
      </c>
      <c r="Q758" s="9" t="str">
        <f ca="1">IFERROR(__xludf.DUMMYFUNCTION("IFERROR(VALUE(REGEXEXTRACT(TO_TEXT($F758), Q$1 &amp; ""x(\d+)"")), """")"),"")</f>
        <v/>
      </c>
      <c r="R758" s="9" t="str">
        <f ca="1">IFERROR(__xludf.DUMMYFUNCTION("IFERROR(VALUE(REGEXEXTRACT(TO_TEXT($F758), R$1 &amp; ""x(\d+)"")), """")"),"")</f>
        <v/>
      </c>
      <c r="S758" s="9">
        <f ca="1">IFERROR(__xludf.DUMMYFUNCTION("IFERROR(VALUE(REGEXEXTRACT(TO_TEXT($F758), S$1 &amp; ""x(\d+)"")), """")"),1)</f>
        <v>1</v>
      </c>
      <c r="T758" s="9" t="str">
        <f ca="1">IFERROR(__xludf.DUMMYFUNCTION("IFERROR(VALUE(REGEXEXTRACT(TO_TEXT($F758), T$1 &amp; ""x(\d+)"")), """")"),"")</f>
        <v/>
      </c>
      <c r="U758" s="9" t="str">
        <f ca="1">IFERROR(__xludf.DUMMYFUNCTION("IFERROR(VALUE(REGEXEXTRACT(TO_TEXT($F758), U$1 &amp; ""x(\d+)"")), """")"),"")</f>
        <v/>
      </c>
      <c r="V758" s="9" t="str">
        <f ca="1">IFERROR(__xludf.DUMMYFUNCTION("IFERROR(VALUE(REGEXEXTRACT(TO_TEXT($F758), V$1 &amp; ""x(\d+)"")), """")"),"")</f>
        <v/>
      </c>
      <c r="W758" s="9"/>
      <c r="X758" s="9"/>
      <c r="Y758" s="9"/>
      <c r="Z758" s="9"/>
    </row>
    <row r="759" spans="1:26" ht="15.75" hidden="1" customHeight="1">
      <c r="A759" s="9" t="s">
        <v>1848</v>
      </c>
      <c r="B759" s="9" t="s">
        <v>1849</v>
      </c>
      <c r="C759" s="9" t="s">
        <v>623</v>
      </c>
      <c r="D759" s="9" t="s">
        <v>40</v>
      </c>
      <c r="E759" s="9" t="s">
        <v>11</v>
      </c>
      <c r="F759" s="9" t="s">
        <v>1756</v>
      </c>
      <c r="G759" s="9">
        <v>20</v>
      </c>
      <c r="H759" s="9">
        <v>4</v>
      </c>
      <c r="I759" s="9">
        <v>1.0149999999999999</v>
      </c>
      <c r="J759" s="9">
        <v>400</v>
      </c>
      <c r="K759" s="9" t="s">
        <v>442</v>
      </c>
      <c r="L759" s="9"/>
      <c r="M759" s="9"/>
      <c r="N759" s="9" t="str">
        <f ca="1">IFERROR(__xludf.DUMMYFUNCTION("IFERROR(VALUE(REGEXEXTRACT(TO_TEXT($F759), N$1 &amp; ""x(\d+)"")), """")
"),"")</f>
        <v/>
      </c>
      <c r="O759" s="9" t="str">
        <f ca="1">IFERROR(__xludf.DUMMYFUNCTION("IFERROR(VALUE(REGEXEXTRACT(TO_TEXT($F759), O$1 &amp; ""x(\d+)"")), """")"),"")</f>
        <v/>
      </c>
      <c r="P759" s="9" t="str">
        <f ca="1">IFERROR(__xludf.DUMMYFUNCTION("IFERROR(VALUE(REGEXEXTRACT(TO_TEXT($F759), P$1 &amp; ""x(\d+)"")), """")"),"")</f>
        <v/>
      </c>
      <c r="Q759" s="9" t="str">
        <f ca="1">IFERROR(__xludf.DUMMYFUNCTION("IFERROR(VALUE(REGEXEXTRACT(TO_TEXT($F759), Q$1 &amp; ""x(\d+)"")), """")"),"")</f>
        <v/>
      </c>
      <c r="R759" s="9" t="str">
        <f ca="1">IFERROR(__xludf.DUMMYFUNCTION("IFERROR(VALUE(REGEXEXTRACT(TO_TEXT($F759), R$1 &amp; ""x(\d+)"")), """")"),"")</f>
        <v/>
      </c>
      <c r="S759" s="9" t="str">
        <f ca="1">IFERROR(__xludf.DUMMYFUNCTION("IFERROR(VALUE(REGEXEXTRACT(TO_TEXT($F759), S$1 &amp; ""x(\d+)"")), """")"),"")</f>
        <v/>
      </c>
      <c r="T759" s="9" t="str">
        <f ca="1">IFERROR(__xludf.DUMMYFUNCTION("IFERROR(VALUE(REGEXEXTRACT(TO_TEXT($F759), T$1 &amp; ""x(\d+)"")), """")"),"")</f>
        <v/>
      </c>
      <c r="U759" s="9" t="str">
        <f ca="1">IFERROR(__xludf.DUMMYFUNCTION("IFERROR(VALUE(REGEXEXTRACT(TO_TEXT($F759), U$1 &amp; ""x(\d+)"")), """")"),"")</f>
        <v/>
      </c>
      <c r="V759" s="9" t="str">
        <f ca="1">IFERROR(__xludf.DUMMYFUNCTION("IFERROR(VALUE(REGEXEXTRACT(TO_TEXT($F759), V$1 &amp; ""x(\d+)"")), """")"),"")</f>
        <v/>
      </c>
      <c r="W759" s="9"/>
      <c r="X759" s="9"/>
      <c r="Y759" s="9"/>
      <c r="Z759" s="9"/>
    </row>
    <row r="760" spans="1:26" ht="15.75" hidden="1" customHeight="1">
      <c r="A760" s="9" t="s">
        <v>1848</v>
      </c>
      <c r="B760" s="9" t="s">
        <v>1849</v>
      </c>
      <c r="C760" s="9" t="s">
        <v>623</v>
      </c>
      <c r="D760" s="9" t="s">
        <v>40</v>
      </c>
      <c r="E760" s="9" t="s">
        <v>12</v>
      </c>
      <c r="F760" s="9" t="s">
        <v>1485</v>
      </c>
      <c r="G760" s="9">
        <v>110</v>
      </c>
      <c r="H760" s="9">
        <v>4</v>
      </c>
      <c r="I760" s="9">
        <v>1.0149999999999999</v>
      </c>
      <c r="J760" s="9">
        <v>400</v>
      </c>
      <c r="K760" s="9" t="s">
        <v>442</v>
      </c>
      <c r="L760" s="9" t="s">
        <v>1015</v>
      </c>
      <c r="M760" s="9"/>
      <c r="N760" s="9" t="str">
        <f ca="1">IFERROR(__xludf.DUMMYFUNCTION("IFERROR(VALUE(REGEXEXTRACT(TO_TEXT($F760), N$1 &amp; ""x(\d+)"")), """")
"),"")</f>
        <v/>
      </c>
      <c r="O760" s="9" t="str">
        <f ca="1">IFERROR(__xludf.DUMMYFUNCTION("IFERROR(VALUE(REGEXEXTRACT(TO_TEXT($F760), O$1 &amp; ""x(\d+)"")), """")"),"")</f>
        <v/>
      </c>
      <c r="P760" s="9" t="str">
        <f ca="1">IFERROR(__xludf.DUMMYFUNCTION("IFERROR(VALUE(REGEXEXTRACT(TO_TEXT($F760), P$1 &amp; ""x(\d+)"")), """")"),"")</f>
        <v/>
      </c>
      <c r="Q760" s="9" t="str">
        <f ca="1">IFERROR(__xludf.DUMMYFUNCTION("IFERROR(VALUE(REGEXEXTRACT(TO_TEXT($F760), Q$1 &amp; ""x(\d+)"")), """")"),"")</f>
        <v/>
      </c>
      <c r="R760" s="9" t="str">
        <f ca="1">IFERROR(__xludf.DUMMYFUNCTION("IFERROR(VALUE(REGEXEXTRACT(TO_TEXT($F760), R$1 &amp; ""x(\d+)"")), """")"),"")</f>
        <v/>
      </c>
      <c r="S760" s="9">
        <f ca="1">IFERROR(__xludf.DUMMYFUNCTION("IFERROR(VALUE(REGEXEXTRACT(TO_TEXT($F760), S$1 &amp; ""x(\d+)"")), """")"),1)</f>
        <v>1</v>
      </c>
      <c r="T760" s="9" t="str">
        <f ca="1">IFERROR(__xludf.DUMMYFUNCTION("IFERROR(VALUE(REGEXEXTRACT(TO_TEXT($F760), T$1 &amp; ""x(\d+)"")), """")"),"")</f>
        <v/>
      </c>
      <c r="U760" s="9" t="str">
        <f ca="1">IFERROR(__xludf.DUMMYFUNCTION("IFERROR(VALUE(REGEXEXTRACT(TO_TEXT($F760), U$1 &amp; ""x(\d+)"")), """")"),"")</f>
        <v/>
      </c>
      <c r="V760" s="9" t="str">
        <f ca="1">IFERROR(__xludf.DUMMYFUNCTION("IFERROR(VALUE(REGEXEXTRACT(TO_TEXT($F760), V$1 &amp; ""x(\d+)"")), """")"),"")</f>
        <v/>
      </c>
      <c r="W760" s="9"/>
      <c r="X760" s="9"/>
      <c r="Y760" s="9"/>
      <c r="Z760" s="9"/>
    </row>
    <row r="761" spans="1:26" ht="15.75" hidden="1" customHeight="1">
      <c r="A761" s="9" t="s">
        <v>1848</v>
      </c>
      <c r="B761" s="9" t="s">
        <v>1849</v>
      </c>
      <c r="C761" s="9" t="s">
        <v>623</v>
      </c>
      <c r="D761" s="9" t="s">
        <v>40</v>
      </c>
      <c r="E761" s="9" t="s">
        <v>13</v>
      </c>
      <c r="F761" s="9" t="s">
        <v>1133</v>
      </c>
      <c r="G761" s="9">
        <v>30</v>
      </c>
      <c r="H761" s="9">
        <v>4</v>
      </c>
      <c r="I761" s="9">
        <v>1.0149999999999999</v>
      </c>
      <c r="J761" s="9">
        <v>400</v>
      </c>
      <c r="K761" s="9" t="s">
        <v>442</v>
      </c>
      <c r="L761" s="9"/>
      <c r="M761" s="9"/>
      <c r="N761" s="9" t="str">
        <f ca="1">IFERROR(__xludf.DUMMYFUNCTION("IFERROR(VALUE(REGEXEXTRACT(TO_TEXT($F761), N$1 &amp; ""x(\d+)"")), """")
"),"")</f>
        <v/>
      </c>
      <c r="O761" s="9" t="str">
        <f ca="1">IFERROR(__xludf.DUMMYFUNCTION("IFERROR(VALUE(REGEXEXTRACT(TO_TEXT($F761), O$1 &amp; ""x(\d+)"")), """")"),"")</f>
        <v/>
      </c>
      <c r="P761" s="9" t="str">
        <f ca="1">IFERROR(__xludf.DUMMYFUNCTION("IFERROR(VALUE(REGEXEXTRACT(TO_TEXT($F761), P$1 &amp; ""x(\d+)"")), """")"),"")</f>
        <v/>
      </c>
      <c r="Q761" s="9" t="str">
        <f ca="1">IFERROR(__xludf.DUMMYFUNCTION("IFERROR(VALUE(REGEXEXTRACT(TO_TEXT($F761), Q$1 &amp; ""x(\d+)"")), """")"),"")</f>
        <v/>
      </c>
      <c r="R761" s="9" t="str">
        <f ca="1">IFERROR(__xludf.DUMMYFUNCTION("IFERROR(VALUE(REGEXEXTRACT(TO_TEXT($F761), R$1 &amp; ""x(\d+)"")), """")"),"")</f>
        <v/>
      </c>
      <c r="S761" s="9">
        <f ca="1">IFERROR(__xludf.DUMMYFUNCTION("IFERROR(VALUE(REGEXEXTRACT(TO_TEXT($F761), S$1 &amp; ""x(\d+)"")), """")"),1)</f>
        <v>1</v>
      </c>
      <c r="T761" s="9" t="str">
        <f ca="1">IFERROR(__xludf.DUMMYFUNCTION("IFERROR(VALUE(REGEXEXTRACT(TO_TEXT($F761), T$1 &amp; ""x(\d+)"")), """")"),"")</f>
        <v/>
      </c>
      <c r="U761" s="9" t="str">
        <f ca="1">IFERROR(__xludf.DUMMYFUNCTION("IFERROR(VALUE(REGEXEXTRACT(TO_TEXT($F761), U$1 &amp; ""x(\d+)"")), """")"),"")</f>
        <v/>
      </c>
      <c r="V761" s="9" t="str">
        <f ca="1">IFERROR(__xludf.DUMMYFUNCTION("IFERROR(VALUE(REGEXEXTRACT(TO_TEXT($F761), V$1 &amp; ""x(\d+)"")), """")"),"")</f>
        <v/>
      </c>
      <c r="W761" s="9"/>
      <c r="X761" s="9"/>
      <c r="Y761" s="9"/>
      <c r="Z761" s="9"/>
    </row>
    <row r="762" spans="1:26" ht="15.75" hidden="1" customHeight="1">
      <c r="A762" s="9" t="s">
        <v>1850</v>
      </c>
      <c r="B762" s="9" t="s">
        <v>1851</v>
      </c>
      <c r="C762" s="9" t="s">
        <v>525</v>
      </c>
      <c r="D762" s="9" t="s">
        <v>48</v>
      </c>
      <c r="E762" s="9" t="s">
        <v>11</v>
      </c>
      <c r="F762" s="9" t="s">
        <v>1315</v>
      </c>
      <c r="G762" s="9">
        <v>25</v>
      </c>
      <c r="H762" s="9">
        <v>2</v>
      </c>
      <c r="I762" s="9">
        <v>1.0149999999999999</v>
      </c>
      <c r="J762" s="9">
        <v>52</v>
      </c>
      <c r="K762" s="9" t="s">
        <v>424</v>
      </c>
      <c r="L762" s="9"/>
      <c r="M762" s="9"/>
      <c r="N762" s="9" t="str">
        <f ca="1">IFERROR(__xludf.DUMMYFUNCTION("IFERROR(VALUE(REGEXEXTRACT(TO_TEXT($F762), N$1 &amp; ""x(\d+)"")), """")
"),"")</f>
        <v/>
      </c>
      <c r="O762" s="9" t="str">
        <f ca="1">IFERROR(__xludf.DUMMYFUNCTION("IFERROR(VALUE(REGEXEXTRACT(TO_TEXT($F762), O$1 &amp; ""x(\d+)"")), """")"),"")</f>
        <v/>
      </c>
      <c r="P762" s="9" t="str">
        <f ca="1">IFERROR(__xludf.DUMMYFUNCTION("IFERROR(VALUE(REGEXEXTRACT(TO_TEXT($F762), P$1 &amp; ""x(\d+)"")), """")"),"")</f>
        <v/>
      </c>
      <c r="Q762" s="9" t="str">
        <f ca="1">IFERROR(__xludf.DUMMYFUNCTION("IFERROR(VALUE(REGEXEXTRACT(TO_TEXT($F762), Q$1 &amp; ""x(\d+)"")), """")"),"")</f>
        <v/>
      </c>
      <c r="R762" s="9" t="str">
        <f ca="1">IFERROR(__xludf.DUMMYFUNCTION("IFERROR(VALUE(REGEXEXTRACT(TO_TEXT($F762), R$1 &amp; ""x(\d+)"")), """")"),"")</f>
        <v/>
      </c>
      <c r="S762" s="9" t="str">
        <f ca="1">IFERROR(__xludf.DUMMYFUNCTION("IFERROR(VALUE(REGEXEXTRACT(TO_TEXT($F762), S$1 &amp; ""x(\d+)"")), """")"),"")</f>
        <v/>
      </c>
      <c r="T762" s="9" t="str">
        <f ca="1">IFERROR(__xludf.DUMMYFUNCTION("IFERROR(VALUE(REGEXEXTRACT(TO_TEXT($F762), T$1 &amp; ""x(\d+)"")), """")"),"")</f>
        <v/>
      </c>
      <c r="U762" s="9" t="str">
        <f ca="1">IFERROR(__xludf.DUMMYFUNCTION("IFERROR(VALUE(REGEXEXTRACT(TO_TEXT($F762), U$1 &amp; ""x(\d+)"")), """")"),"")</f>
        <v/>
      </c>
      <c r="V762" s="9" t="str">
        <f ca="1">IFERROR(__xludf.DUMMYFUNCTION("IFERROR(VALUE(REGEXEXTRACT(TO_TEXT($F762), V$1 &amp; ""x(\d+)"")), """")"),"")</f>
        <v/>
      </c>
      <c r="W762" s="9"/>
      <c r="X762" s="9"/>
      <c r="Y762" s="9"/>
      <c r="Z762" s="9"/>
    </row>
    <row r="763" spans="1:26" ht="15.75" hidden="1" customHeight="1">
      <c r="A763" s="9" t="s">
        <v>1850</v>
      </c>
      <c r="B763" s="9" t="s">
        <v>1851</v>
      </c>
      <c r="C763" s="9" t="s">
        <v>525</v>
      </c>
      <c r="D763" s="9" t="s">
        <v>48</v>
      </c>
      <c r="E763" s="9" t="s">
        <v>12</v>
      </c>
      <c r="F763" s="9" t="s">
        <v>1852</v>
      </c>
      <c r="G763" s="9">
        <v>265</v>
      </c>
      <c r="H763" s="9">
        <v>2</v>
      </c>
      <c r="I763" s="9">
        <v>1.0149999999999999</v>
      </c>
      <c r="J763" s="9">
        <v>52</v>
      </c>
      <c r="K763" s="9" t="s">
        <v>424</v>
      </c>
      <c r="L763" s="9"/>
      <c r="M763" s="9"/>
      <c r="N763" s="9" t="str">
        <f ca="1">IFERROR(__xludf.DUMMYFUNCTION("IFERROR(VALUE(REGEXEXTRACT(TO_TEXT($F763), N$1 &amp; ""x(\d+)"")), """")
"),"")</f>
        <v/>
      </c>
      <c r="O763" s="9" t="str">
        <f ca="1">IFERROR(__xludf.DUMMYFUNCTION("IFERROR(VALUE(REGEXEXTRACT(TO_TEXT($F763), O$1 &amp; ""x(\d+)"")), """")"),"")</f>
        <v/>
      </c>
      <c r="P763" s="9">
        <f ca="1">IFERROR(__xludf.DUMMYFUNCTION("IFERROR(VALUE(REGEXEXTRACT(TO_TEXT($F763), P$1 &amp; ""x(\d+)"")), """")"),1)</f>
        <v>1</v>
      </c>
      <c r="Q763" s="9" t="str">
        <f ca="1">IFERROR(__xludf.DUMMYFUNCTION("IFERROR(VALUE(REGEXEXTRACT(TO_TEXT($F763), Q$1 &amp; ""x(\d+)"")), """")"),"")</f>
        <v/>
      </c>
      <c r="R763" s="9" t="str">
        <f ca="1">IFERROR(__xludf.DUMMYFUNCTION("IFERROR(VALUE(REGEXEXTRACT(TO_TEXT($F763), R$1 &amp; ""x(\d+)"")), """")"),"")</f>
        <v/>
      </c>
      <c r="S763" s="9" t="str">
        <f ca="1">IFERROR(__xludf.DUMMYFUNCTION("IFERROR(VALUE(REGEXEXTRACT(TO_TEXT($F763), S$1 &amp; ""x(\d+)"")), """")"),"")</f>
        <v/>
      </c>
      <c r="T763" s="9" t="str">
        <f ca="1">IFERROR(__xludf.DUMMYFUNCTION("IFERROR(VALUE(REGEXEXTRACT(TO_TEXT($F763), T$1 &amp; ""x(\d+)"")), """")"),"")</f>
        <v/>
      </c>
      <c r="U763" s="9" t="str">
        <f ca="1">IFERROR(__xludf.DUMMYFUNCTION("IFERROR(VALUE(REGEXEXTRACT(TO_TEXT($F763), U$1 &amp; ""x(\d+)"")), """")"),"")</f>
        <v/>
      </c>
      <c r="V763" s="9" t="str">
        <f ca="1">IFERROR(__xludf.DUMMYFUNCTION("IFERROR(VALUE(REGEXEXTRACT(TO_TEXT($F763), V$1 &amp; ""x(\d+)"")), """")"),"")</f>
        <v/>
      </c>
      <c r="W763" s="9"/>
      <c r="X763" s="9"/>
      <c r="Y763" s="9"/>
      <c r="Z763" s="9"/>
    </row>
    <row r="764" spans="1:26" ht="15.75" hidden="1" customHeight="1">
      <c r="A764" s="9" t="s">
        <v>1850</v>
      </c>
      <c r="B764" s="9" t="s">
        <v>1851</v>
      </c>
      <c r="C764" s="9" t="s">
        <v>525</v>
      </c>
      <c r="D764" s="9" t="s">
        <v>48</v>
      </c>
      <c r="E764" s="9" t="s">
        <v>13</v>
      </c>
      <c r="F764" s="9" t="s">
        <v>1853</v>
      </c>
      <c r="G764" s="9">
        <v>90</v>
      </c>
      <c r="H764" s="9">
        <v>2</v>
      </c>
      <c r="I764" s="9">
        <v>1.0149999999999999</v>
      </c>
      <c r="J764" s="9">
        <v>52</v>
      </c>
      <c r="K764" s="9" t="s">
        <v>424</v>
      </c>
      <c r="L764" s="9"/>
      <c r="M764" s="9"/>
      <c r="N764" s="9" t="str">
        <f ca="1">IFERROR(__xludf.DUMMYFUNCTION("IFERROR(VALUE(REGEXEXTRACT(TO_TEXT($F764), N$1 &amp; ""x(\d+)"")), """")
"),"")</f>
        <v/>
      </c>
      <c r="O764" s="9" t="str">
        <f ca="1">IFERROR(__xludf.DUMMYFUNCTION("IFERROR(VALUE(REGEXEXTRACT(TO_TEXT($F764), O$1 &amp; ""x(\d+)"")), """")"),"")</f>
        <v/>
      </c>
      <c r="P764" s="9">
        <f ca="1">IFERROR(__xludf.DUMMYFUNCTION("IFERROR(VALUE(REGEXEXTRACT(TO_TEXT($F764), P$1 &amp; ""x(\d+)"")), """")"),1)</f>
        <v>1</v>
      </c>
      <c r="Q764" s="9" t="str">
        <f ca="1">IFERROR(__xludf.DUMMYFUNCTION("IFERROR(VALUE(REGEXEXTRACT(TO_TEXT($F764), Q$1 &amp; ""x(\d+)"")), """")"),"")</f>
        <v/>
      </c>
      <c r="R764" s="9" t="str">
        <f ca="1">IFERROR(__xludf.DUMMYFUNCTION("IFERROR(VALUE(REGEXEXTRACT(TO_TEXT($F764), R$1 &amp; ""x(\d+)"")), """")"),"")</f>
        <v/>
      </c>
      <c r="S764" s="9" t="str">
        <f ca="1">IFERROR(__xludf.DUMMYFUNCTION("IFERROR(VALUE(REGEXEXTRACT(TO_TEXT($F764), S$1 &amp; ""x(\d+)"")), """")"),"")</f>
        <v/>
      </c>
      <c r="T764" s="9" t="str">
        <f ca="1">IFERROR(__xludf.DUMMYFUNCTION("IFERROR(VALUE(REGEXEXTRACT(TO_TEXT($F764), T$1 &amp; ""x(\d+)"")), """")"),"")</f>
        <v/>
      </c>
      <c r="U764" s="9" t="str">
        <f ca="1">IFERROR(__xludf.DUMMYFUNCTION("IFERROR(VALUE(REGEXEXTRACT(TO_TEXT($F764), U$1 &amp; ""x(\d+)"")), """")"),"")</f>
        <v/>
      </c>
      <c r="V764" s="9" t="str">
        <f ca="1">IFERROR(__xludf.DUMMYFUNCTION("IFERROR(VALUE(REGEXEXTRACT(TO_TEXT($F764), V$1 &amp; ""x(\d+)"")), """")"),"")</f>
        <v/>
      </c>
      <c r="W764" s="9"/>
      <c r="X764" s="9"/>
      <c r="Y764" s="9"/>
      <c r="Z764" s="9"/>
    </row>
    <row r="765" spans="1:26" ht="15.75" customHeight="1">
      <c r="A765" s="9" t="s">
        <v>1854</v>
      </c>
      <c r="B765" s="9" t="s">
        <v>1855</v>
      </c>
      <c r="C765" s="9" t="s">
        <v>710</v>
      </c>
      <c r="D765" s="9" t="s">
        <v>33</v>
      </c>
      <c r="E765" s="9" t="s">
        <v>11</v>
      </c>
      <c r="F765" s="9" t="s">
        <v>1856</v>
      </c>
      <c r="G765" s="9">
        <v>35</v>
      </c>
      <c r="H765" s="9">
        <v>4</v>
      </c>
      <c r="I765" s="9">
        <v>1.0149999999999999</v>
      </c>
      <c r="J765" s="9">
        <v>70</v>
      </c>
      <c r="K765" s="9" t="s">
        <v>424</v>
      </c>
      <c r="L765" s="9"/>
      <c r="M765" s="9"/>
      <c r="N765" s="9" t="str">
        <f ca="1">IFERROR(__xludf.DUMMYFUNCTION("IFERROR(VALUE(REGEXEXTRACT(TO_TEXT($F765), N$1 &amp; ""x(\d+)"")), """")
"),"")</f>
        <v/>
      </c>
      <c r="O765" s="9" t="str">
        <f ca="1">IFERROR(__xludf.DUMMYFUNCTION("IFERROR(VALUE(REGEXEXTRACT(TO_TEXT($F765), O$1 &amp; ""x(\d+)"")), """")"),"")</f>
        <v/>
      </c>
      <c r="P765" s="9" t="str">
        <f ca="1">IFERROR(__xludf.DUMMYFUNCTION("IFERROR(VALUE(REGEXEXTRACT(TO_TEXT($F765), P$1 &amp; ""x(\d+)"")), """")"),"")</f>
        <v/>
      </c>
      <c r="Q765" s="9" t="str">
        <f ca="1">IFERROR(__xludf.DUMMYFUNCTION("IFERROR(VALUE(REGEXEXTRACT(TO_TEXT($F765), Q$1 &amp; ""x(\d+)"")), """")"),"")</f>
        <v/>
      </c>
      <c r="R765" s="9" t="str">
        <f ca="1">IFERROR(__xludf.DUMMYFUNCTION("IFERROR(VALUE(REGEXEXTRACT(TO_TEXT($F765), R$1 &amp; ""x(\d+)"")), """")"),"")</f>
        <v/>
      </c>
      <c r="S765" s="9" t="str">
        <f ca="1">IFERROR(__xludf.DUMMYFUNCTION("IFERROR(VALUE(REGEXEXTRACT(TO_TEXT($F765), S$1 &amp; ""x(\d+)"")), """")"),"")</f>
        <v/>
      </c>
      <c r="T765" s="9" t="str">
        <f ca="1">IFERROR(__xludf.DUMMYFUNCTION("IFERROR(VALUE(REGEXEXTRACT(TO_TEXT($F765), T$1 &amp; ""x(\d+)"")), """")"),"")</f>
        <v/>
      </c>
      <c r="U765" s="9" t="str">
        <f ca="1">IFERROR(__xludf.DUMMYFUNCTION("IFERROR(VALUE(REGEXEXTRACT(TO_TEXT($F765), U$1 &amp; ""x(\d+)"")), """")"),"")</f>
        <v/>
      </c>
      <c r="V765" s="9" t="str">
        <f ca="1">IFERROR(__xludf.DUMMYFUNCTION("IFERROR(VALUE(REGEXEXTRACT(TO_TEXT($F765), V$1 &amp; ""x(\d+)"")), """")"),"")</f>
        <v/>
      </c>
      <c r="W765" s="9"/>
      <c r="X765" s="9"/>
      <c r="Y765" s="9"/>
      <c r="Z765" s="9"/>
    </row>
    <row r="766" spans="1:26" ht="15.75" customHeight="1">
      <c r="A766" s="9" t="s">
        <v>1854</v>
      </c>
      <c r="B766" s="9" t="s">
        <v>1855</v>
      </c>
      <c r="C766" s="9" t="s">
        <v>710</v>
      </c>
      <c r="D766" s="9" t="s">
        <v>33</v>
      </c>
      <c r="E766" s="9" t="s">
        <v>12</v>
      </c>
      <c r="F766" s="9" t="s">
        <v>1264</v>
      </c>
      <c r="G766" s="9">
        <v>125</v>
      </c>
      <c r="H766" s="9">
        <v>4</v>
      </c>
      <c r="I766" s="9">
        <v>1.0149999999999999</v>
      </c>
      <c r="J766" s="9">
        <v>70</v>
      </c>
      <c r="K766" s="9" t="s">
        <v>424</v>
      </c>
      <c r="L766" s="9"/>
      <c r="M766" s="9"/>
      <c r="N766" s="9" t="str">
        <f ca="1">IFERROR(__xludf.DUMMYFUNCTION("IFERROR(VALUE(REGEXEXTRACT(TO_TEXT($F766), N$1 &amp; ""x(\d+)"")), """")
"),"")</f>
        <v/>
      </c>
      <c r="O766" s="9">
        <f ca="1">IFERROR(__xludf.DUMMYFUNCTION("IFERROR(VALUE(REGEXEXTRACT(TO_TEXT($F766), O$1 &amp; ""x(\d+)"")), """")"),1)</f>
        <v>1</v>
      </c>
      <c r="P766" s="9" t="str">
        <f ca="1">IFERROR(__xludf.DUMMYFUNCTION("IFERROR(VALUE(REGEXEXTRACT(TO_TEXT($F766), P$1 &amp; ""x(\d+)"")), """")"),"")</f>
        <v/>
      </c>
      <c r="Q766" s="9" t="str">
        <f ca="1">IFERROR(__xludf.DUMMYFUNCTION("IFERROR(VALUE(REGEXEXTRACT(TO_TEXT($F766), Q$1 &amp; ""x(\d+)"")), """")"),"")</f>
        <v/>
      </c>
      <c r="R766" s="9" t="str">
        <f ca="1">IFERROR(__xludf.DUMMYFUNCTION("IFERROR(VALUE(REGEXEXTRACT(TO_TEXT($F766), R$1 &amp; ""x(\d+)"")), """")"),"")</f>
        <v/>
      </c>
      <c r="S766" s="9" t="str">
        <f ca="1">IFERROR(__xludf.DUMMYFUNCTION("IFERROR(VALUE(REGEXEXTRACT(TO_TEXT($F766), S$1 &amp; ""x(\d+)"")), """")"),"")</f>
        <v/>
      </c>
      <c r="T766" s="9" t="str">
        <f ca="1">IFERROR(__xludf.DUMMYFUNCTION("IFERROR(VALUE(REGEXEXTRACT(TO_TEXT($F766), T$1 &amp; ""x(\d+)"")), """")"),"")</f>
        <v/>
      </c>
      <c r="U766" s="9" t="str">
        <f ca="1">IFERROR(__xludf.DUMMYFUNCTION("IFERROR(VALUE(REGEXEXTRACT(TO_TEXT($F766), U$1 &amp; ""x(\d+)"")), """")"),"")</f>
        <v/>
      </c>
      <c r="V766" s="9" t="str">
        <f ca="1">IFERROR(__xludf.DUMMYFUNCTION("IFERROR(VALUE(REGEXEXTRACT(TO_TEXT($F766), V$1 &amp; ""x(\d+)"")), """")"),"")</f>
        <v/>
      </c>
      <c r="W766" s="9"/>
      <c r="X766" s="9"/>
      <c r="Y766" s="9"/>
      <c r="Z766" s="9"/>
    </row>
    <row r="767" spans="1:26" ht="15.75" customHeight="1">
      <c r="A767" s="9" t="s">
        <v>1854</v>
      </c>
      <c r="B767" s="9" t="s">
        <v>1855</v>
      </c>
      <c r="C767" s="9" t="s">
        <v>710</v>
      </c>
      <c r="D767" s="9" t="s">
        <v>33</v>
      </c>
      <c r="E767" s="9" t="s">
        <v>13</v>
      </c>
      <c r="F767" s="9" t="s">
        <v>1058</v>
      </c>
      <c r="G767" s="9">
        <v>15</v>
      </c>
      <c r="H767" s="9">
        <v>4</v>
      </c>
      <c r="I767" s="9">
        <v>1.0149999999999999</v>
      </c>
      <c r="J767" s="9">
        <v>70</v>
      </c>
      <c r="K767" s="9" t="s">
        <v>424</v>
      </c>
      <c r="L767" s="9"/>
      <c r="M767" s="9"/>
      <c r="N767" s="9" t="str">
        <f ca="1">IFERROR(__xludf.DUMMYFUNCTION("IFERROR(VALUE(REGEXEXTRACT(TO_TEXT($F767), N$1 &amp; ""x(\d+)"")), """")
"),"")</f>
        <v/>
      </c>
      <c r="O767" s="9">
        <f ca="1">IFERROR(__xludf.DUMMYFUNCTION("IFERROR(VALUE(REGEXEXTRACT(TO_TEXT($F767), O$1 &amp; ""x(\d+)"")), """")"),1)</f>
        <v>1</v>
      </c>
      <c r="P767" s="9" t="str">
        <f ca="1">IFERROR(__xludf.DUMMYFUNCTION("IFERROR(VALUE(REGEXEXTRACT(TO_TEXT($F767), P$1 &amp; ""x(\d+)"")), """")"),"")</f>
        <v/>
      </c>
      <c r="Q767" s="9" t="str">
        <f ca="1">IFERROR(__xludf.DUMMYFUNCTION("IFERROR(VALUE(REGEXEXTRACT(TO_TEXT($F767), Q$1 &amp; ""x(\d+)"")), """")"),"")</f>
        <v/>
      </c>
      <c r="R767" s="9" t="str">
        <f ca="1">IFERROR(__xludf.DUMMYFUNCTION("IFERROR(VALUE(REGEXEXTRACT(TO_TEXT($F767), R$1 &amp; ""x(\d+)"")), """")"),"")</f>
        <v/>
      </c>
      <c r="S767" s="9" t="str">
        <f ca="1">IFERROR(__xludf.DUMMYFUNCTION("IFERROR(VALUE(REGEXEXTRACT(TO_TEXT($F767), S$1 &amp; ""x(\d+)"")), """")"),"")</f>
        <v/>
      </c>
      <c r="T767" s="9" t="str">
        <f ca="1">IFERROR(__xludf.DUMMYFUNCTION("IFERROR(VALUE(REGEXEXTRACT(TO_TEXT($F767), T$1 &amp; ""x(\d+)"")), """")"),"")</f>
        <v/>
      </c>
      <c r="U767" s="9" t="str">
        <f ca="1">IFERROR(__xludf.DUMMYFUNCTION("IFERROR(VALUE(REGEXEXTRACT(TO_TEXT($F767), U$1 &amp; ""x(\d+)"")), """")"),"")</f>
        <v/>
      </c>
      <c r="V767" s="9" t="str">
        <f ca="1">IFERROR(__xludf.DUMMYFUNCTION("IFERROR(VALUE(REGEXEXTRACT(TO_TEXT($F767), V$1 &amp; ""x(\d+)"")), """")"),"")</f>
        <v/>
      </c>
      <c r="W767" s="9"/>
      <c r="X767" s="9"/>
      <c r="Y767" s="9"/>
      <c r="Z767" s="9"/>
    </row>
    <row r="768" spans="1:26" ht="15.75" hidden="1" customHeight="1">
      <c r="A768" s="9" t="s">
        <v>1857</v>
      </c>
      <c r="B768" s="9" t="s">
        <v>1858</v>
      </c>
      <c r="C768" s="9" t="s">
        <v>835</v>
      </c>
      <c r="D768" s="9" t="s">
        <v>40</v>
      </c>
      <c r="E768" s="9" t="s">
        <v>11</v>
      </c>
      <c r="F768" s="9" t="s">
        <v>1859</v>
      </c>
      <c r="G768" s="9">
        <v>20</v>
      </c>
      <c r="H768" s="9">
        <v>4</v>
      </c>
      <c r="I768" s="9">
        <v>1.0149999999999999</v>
      </c>
      <c r="J768" s="9">
        <v>412</v>
      </c>
      <c r="K768" s="9" t="s">
        <v>442</v>
      </c>
      <c r="L768" s="9"/>
      <c r="M768" s="9"/>
      <c r="N768" s="9" t="str">
        <f ca="1">IFERROR(__xludf.DUMMYFUNCTION("IFERROR(VALUE(REGEXEXTRACT(TO_TEXT($F768), N$1 &amp; ""x(\d+)"")), """")
"),"")</f>
        <v/>
      </c>
      <c r="O768" s="9" t="str">
        <f ca="1">IFERROR(__xludf.DUMMYFUNCTION("IFERROR(VALUE(REGEXEXTRACT(TO_TEXT($F768), O$1 &amp; ""x(\d+)"")), """")"),"")</f>
        <v/>
      </c>
      <c r="P768" s="9" t="str">
        <f ca="1">IFERROR(__xludf.DUMMYFUNCTION("IFERROR(VALUE(REGEXEXTRACT(TO_TEXT($F768), P$1 &amp; ""x(\d+)"")), """")"),"")</f>
        <v/>
      </c>
      <c r="Q768" s="9" t="str">
        <f ca="1">IFERROR(__xludf.DUMMYFUNCTION("IFERROR(VALUE(REGEXEXTRACT(TO_TEXT($F768), Q$1 &amp; ""x(\d+)"")), """")"),"")</f>
        <v/>
      </c>
      <c r="R768" s="9" t="str">
        <f ca="1">IFERROR(__xludf.DUMMYFUNCTION("IFERROR(VALUE(REGEXEXTRACT(TO_TEXT($F768), R$1 &amp; ""x(\d+)"")), """")"),"")</f>
        <v/>
      </c>
      <c r="S768" s="9" t="str">
        <f ca="1">IFERROR(__xludf.DUMMYFUNCTION("IFERROR(VALUE(REGEXEXTRACT(TO_TEXT($F768), S$1 &amp; ""x(\d+)"")), """")"),"")</f>
        <v/>
      </c>
      <c r="T768" s="9" t="str">
        <f ca="1">IFERROR(__xludf.DUMMYFUNCTION("IFERROR(VALUE(REGEXEXTRACT(TO_TEXT($F768), T$1 &amp; ""x(\d+)"")), """")"),"")</f>
        <v/>
      </c>
      <c r="U768" s="9" t="str">
        <f ca="1">IFERROR(__xludf.DUMMYFUNCTION("IFERROR(VALUE(REGEXEXTRACT(TO_TEXT($F768), U$1 &amp; ""x(\d+)"")), """")"),"")</f>
        <v/>
      </c>
      <c r="V768" s="9" t="str">
        <f ca="1">IFERROR(__xludf.DUMMYFUNCTION("IFERROR(VALUE(REGEXEXTRACT(TO_TEXT($F768), V$1 &amp; ""x(\d+)"")), """")"),"")</f>
        <v/>
      </c>
      <c r="W768" s="9"/>
      <c r="X768" s="9"/>
      <c r="Y768" s="9"/>
      <c r="Z768" s="9"/>
    </row>
    <row r="769" spans="1:26" ht="15.75" hidden="1" customHeight="1">
      <c r="A769" s="9" t="s">
        <v>1857</v>
      </c>
      <c r="B769" s="9" t="s">
        <v>1858</v>
      </c>
      <c r="C769" s="9" t="s">
        <v>835</v>
      </c>
      <c r="D769" s="9" t="s">
        <v>40</v>
      </c>
      <c r="E769" s="9" t="s">
        <v>12</v>
      </c>
      <c r="F769" s="9" t="s">
        <v>1485</v>
      </c>
      <c r="G769" s="9">
        <v>110</v>
      </c>
      <c r="H769" s="9">
        <v>4</v>
      </c>
      <c r="I769" s="9">
        <v>1.0149999999999999</v>
      </c>
      <c r="J769" s="9">
        <v>412</v>
      </c>
      <c r="K769" s="9" t="s">
        <v>442</v>
      </c>
      <c r="L769" s="9" t="s">
        <v>1015</v>
      </c>
      <c r="M769" s="9"/>
      <c r="N769" s="9" t="str">
        <f ca="1">IFERROR(__xludf.DUMMYFUNCTION("IFERROR(VALUE(REGEXEXTRACT(TO_TEXT($F769), N$1 &amp; ""x(\d+)"")), """")
"),"")</f>
        <v/>
      </c>
      <c r="O769" s="9" t="str">
        <f ca="1">IFERROR(__xludf.DUMMYFUNCTION("IFERROR(VALUE(REGEXEXTRACT(TO_TEXT($F769), O$1 &amp; ""x(\d+)"")), """")"),"")</f>
        <v/>
      </c>
      <c r="P769" s="9" t="str">
        <f ca="1">IFERROR(__xludf.DUMMYFUNCTION("IFERROR(VALUE(REGEXEXTRACT(TO_TEXT($F769), P$1 &amp; ""x(\d+)"")), """")"),"")</f>
        <v/>
      </c>
      <c r="Q769" s="9" t="str">
        <f ca="1">IFERROR(__xludf.DUMMYFUNCTION("IFERROR(VALUE(REGEXEXTRACT(TO_TEXT($F769), Q$1 &amp; ""x(\d+)"")), """")"),"")</f>
        <v/>
      </c>
      <c r="R769" s="9" t="str">
        <f ca="1">IFERROR(__xludf.DUMMYFUNCTION("IFERROR(VALUE(REGEXEXTRACT(TO_TEXT($F769), R$1 &amp; ""x(\d+)"")), """")"),"")</f>
        <v/>
      </c>
      <c r="S769" s="9">
        <f ca="1">IFERROR(__xludf.DUMMYFUNCTION("IFERROR(VALUE(REGEXEXTRACT(TO_TEXT($F769), S$1 &amp; ""x(\d+)"")), """")"),1)</f>
        <v>1</v>
      </c>
      <c r="T769" s="9" t="str">
        <f ca="1">IFERROR(__xludf.DUMMYFUNCTION("IFERROR(VALUE(REGEXEXTRACT(TO_TEXT($F769), T$1 &amp; ""x(\d+)"")), """")"),"")</f>
        <v/>
      </c>
      <c r="U769" s="9" t="str">
        <f ca="1">IFERROR(__xludf.DUMMYFUNCTION("IFERROR(VALUE(REGEXEXTRACT(TO_TEXT($F769), U$1 &amp; ""x(\d+)"")), """")"),"")</f>
        <v/>
      </c>
      <c r="V769" s="9" t="str">
        <f ca="1">IFERROR(__xludf.DUMMYFUNCTION("IFERROR(VALUE(REGEXEXTRACT(TO_TEXT($F769), V$1 &amp; ""x(\d+)"")), """")"),"")</f>
        <v/>
      </c>
      <c r="W769" s="9"/>
      <c r="X769" s="9"/>
      <c r="Y769" s="9"/>
      <c r="Z769" s="9"/>
    </row>
    <row r="770" spans="1:26" ht="15.75" hidden="1" customHeight="1">
      <c r="A770" s="9" t="s">
        <v>1857</v>
      </c>
      <c r="B770" s="9" t="s">
        <v>1858</v>
      </c>
      <c r="C770" s="9" t="s">
        <v>835</v>
      </c>
      <c r="D770" s="9" t="s">
        <v>40</v>
      </c>
      <c r="E770" s="9" t="s">
        <v>13</v>
      </c>
      <c r="F770" s="9" t="s">
        <v>1133</v>
      </c>
      <c r="G770" s="9">
        <v>30</v>
      </c>
      <c r="H770" s="9">
        <v>4</v>
      </c>
      <c r="I770" s="9">
        <v>1.0149999999999999</v>
      </c>
      <c r="J770" s="9">
        <v>412</v>
      </c>
      <c r="K770" s="9" t="s">
        <v>442</v>
      </c>
      <c r="L770" s="9"/>
      <c r="M770" s="9"/>
      <c r="N770" s="9" t="str">
        <f ca="1">IFERROR(__xludf.DUMMYFUNCTION("IFERROR(VALUE(REGEXEXTRACT(TO_TEXT($F770), N$1 &amp; ""x(\d+)"")), """")
"),"")</f>
        <v/>
      </c>
      <c r="O770" s="9" t="str">
        <f ca="1">IFERROR(__xludf.DUMMYFUNCTION("IFERROR(VALUE(REGEXEXTRACT(TO_TEXT($F770), O$1 &amp; ""x(\d+)"")), """")"),"")</f>
        <v/>
      </c>
      <c r="P770" s="9" t="str">
        <f ca="1">IFERROR(__xludf.DUMMYFUNCTION("IFERROR(VALUE(REGEXEXTRACT(TO_TEXT($F770), P$1 &amp; ""x(\d+)"")), """")"),"")</f>
        <v/>
      </c>
      <c r="Q770" s="9" t="str">
        <f ca="1">IFERROR(__xludf.DUMMYFUNCTION("IFERROR(VALUE(REGEXEXTRACT(TO_TEXT($F770), Q$1 &amp; ""x(\d+)"")), """")"),"")</f>
        <v/>
      </c>
      <c r="R770" s="9" t="str">
        <f ca="1">IFERROR(__xludf.DUMMYFUNCTION("IFERROR(VALUE(REGEXEXTRACT(TO_TEXT($F770), R$1 &amp; ""x(\d+)"")), """")"),"")</f>
        <v/>
      </c>
      <c r="S770" s="9">
        <f ca="1">IFERROR(__xludf.DUMMYFUNCTION("IFERROR(VALUE(REGEXEXTRACT(TO_TEXT($F770), S$1 &amp; ""x(\d+)"")), """")"),1)</f>
        <v>1</v>
      </c>
      <c r="T770" s="9" t="str">
        <f ca="1">IFERROR(__xludf.DUMMYFUNCTION("IFERROR(VALUE(REGEXEXTRACT(TO_TEXT($F770), T$1 &amp; ""x(\d+)"")), """")"),"")</f>
        <v/>
      </c>
      <c r="U770" s="9" t="str">
        <f ca="1">IFERROR(__xludf.DUMMYFUNCTION("IFERROR(VALUE(REGEXEXTRACT(TO_TEXT($F770), U$1 &amp; ""x(\d+)"")), """")"),"")</f>
        <v/>
      </c>
      <c r="V770" s="9" t="str">
        <f ca="1">IFERROR(__xludf.DUMMYFUNCTION("IFERROR(VALUE(REGEXEXTRACT(TO_TEXT($F770), V$1 &amp; ""x(\d+)"")), """")"),"")</f>
        <v/>
      </c>
      <c r="W770" s="9"/>
      <c r="X770" s="9"/>
      <c r="Y770" s="9"/>
      <c r="Z770" s="9"/>
    </row>
    <row r="771" spans="1:26" ht="15.75" hidden="1" customHeight="1">
      <c r="A771" s="9" t="s">
        <v>1860</v>
      </c>
      <c r="B771" s="9" t="s">
        <v>1861</v>
      </c>
      <c r="C771" s="9" t="s">
        <v>817</v>
      </c>
      <c r="D771" s="9" t="s">
        <v>40</v>
      </c>
      <c r="E771" s="9" t="s">
        <v>11</v>
      </c>
      <c r="F771" s="9" t="s">
        <v>1231</v>
      </c>
      <c r="G771" s="9">
        <v>30</v>
      </c>
      <c r="H771" s="9">
        <v>3</v>
      </c>
      <c r="I771" s="9">
        <v>1.0149999999999999</v>
      </c>
      <c r="J771" s="9">
        <v>412</v>
      </c>
      <c r="K771" s="9" t="s">
        <v>442</v>
      </c>
      <c r="L771" s="9"/>
      <c r="M771" s="9"/>
      <c r="N771" s="9" t="str">
        <f ca="1">IFERROR(__xludf.DUMMYFUNCTION("IFERROR(VALUE(REGEXEXTRACT(TO_TEXT($F771), N$1 &amp; ""x(\d+)"")), """")
"),"")</f>
        <v/>
      </c>
      <c r="O771" s="9">
        <f ca="1">IFERROR(__xludf.DUMMYFUNCTION("IFERROR(VALUE(REGEXEXTRACT(TO_TEXT($F771), O$1 &amp; ""x(\d+)"")), """")"),1)</f>
        <v>1</v>
      </c>
      <c r="P771" s="9" t="str">
        <f ca="1">IFERROR(__xludf.DUMMYFUNCTION("IFERROR(VALUE(REGEXEXTRACT(TO_TEXT($F771), P$1 &amp; ""x(\d+)"")), """")"),"")</f>
        <v/>
      </c>
      <c r="Q771" s="9" t="str">
        <f ca="1">IFERROR(__xludf.DUMMYFUNCTION("IFERROR(VALUE(REGEXEXTRACT(TO_TEXT($F771), Q$1 &amp; ""x(\d+)"")), """")"),"")</f>
        <v/>
      </c>
      <c r="R771" s="9" t="str">
        <f ca="1">IFERROR(__xludf.DUMMYFUNCTION("IFERROR(VALUE(REGEXEXTRACT(TO_TEXT($F771), R$1 &amp; ""x(\d+)"")), """")"),"")</f>
        <v/>
      </c>
      <c r="S771" s="9" t="str">
        <f ca="1">IFERROR(__xludf.DUMMYFUNCTION("IFERROR(VALUE(REGEXEXTRACT(TO_TEXT($F771), S$1 &amp; ""x(\d+)"")), """")"),"")</f>
        <v/>
      </c>
      <c r="T771" s="9" t="str">
        <f ca="1">IFERROR(__xludf.DUMMYFUNCTION("IFERROR(VALUE(REGEXEXTRACT(TO_TEXT($F771), T$1 &amp; ""x(\d+)"")), """")"),"")</f>
        <v/>
      </c>
      <c r="U771" s="9" t="str">
        <f ca="1">IFERROR(__xludf.DUMMYFUNCTION("IFERROR(VALUE(REGEXEXTRACT(TO_TEXT($F771), U$1 &amp; ""x(\d+)"")), """")"),"")</f>
        <v/>
      </c>
      <c r="V771" s="9" t="str">
        <f ca="1">IFERROR(__xludf.DUMMYFUNCTION("IFERROR(VALUE(REGEXEXTRACT(TO_TEXT($F771), V$1 &amp; ""x(\d+)"")), """")"),"")</f>
        <v/>
      </c>
      <c r="W771" s="9"/>
      <c r="X771" s="9"/>
      <c r="Y771" s="9"/>
      <c r="Z771" s="9"/>
    </row>
    <row r="772" spans="1:26" ht="15.75" hidden="1" customHeight="1">
      <c r="A772" s="9" t="s">
        <v>1860</v>
      </c>
      <c r="B772" s="9" t="s">
        <v>1861</v>
      </c>
      <c r="C772" s="9" t="s">
        <v>817</v>
      </c>
      <c r="D772" s="9" t="s">
        <v>40</v>
      </c>
      <c r="E772" s="9" t="s">
        <v>12</v>
      </c>
      <c r="F772" s="9" t="s">
        <v>1862</v>
      </c>
      <c r="G772" s="9">
        <v>85</v>
      </c>
      <c r="H772" s="9">
        <v>3</v>
      </c>
      <c r="I772" s="9">
        <v>1.0149999999999999</v>
      </c>
      <c r="J772" s="9">
        <v>412</v>
      </c>
      <c r="K772" s="9" t="s">
        <v>442</v>
      </c>
      <c r="L772" s="9"/>
      <c r="M772" s="9"/>
      <c r="N772" s="9" t="str">
        <f ca="1">IFERROR(__xludf.DUMMYFUNCTION("IFERROR(VALUE(REGEXEXTRACT(TO_TEXT($F772), N$1 &amp; ""x(\d+)"")), """")
"),"")</f>
        <v/>
      </c>
      <c r="O772" s="9">
        <f ca="1">IFERROR(__xludf.DUMMYFUNCTION("IFERROR(VALUE(REGEXEXTRACT(TO_TEXT($F772), O$1 &amp; ""x(\d+)"")), """")"),1)</f>
        <v>1</v>
      </c>
      <c r="P772" s="9" t="str">
        <f ca="1">IFERROR(__xludf.DUMMYFUNCTION("IFERROR(VALUE(REGEXEXTRACT(TO_TEXT($F772), P$1 &amp; ""x(\d+)"")), """")"),"")</f>
        <v/>
      </c>
      <c r="Q772" s="9" t="str">
        <f ca="1">IFERROR(__xludf.DUMMYFUNCTION("IFERROR(VALUE(REGEXEXTRACT(TO_TEXT($F772), Q$1 &amp; ""x(\d+)"")), """")"),"")</f>
        <v/>
      </c>
      <c r="R772" s="9" t="str">
        <f ca="1">IFERROR(__xludf.DUMMYFUNCTION("IFERROR(VALUE(REGEXEXTRACT(TO_TEXT($F772), R$1 &amp; ""x(\d+)"")), """")"),"")</f>
        <v/>
      </c>
      <c r="S772" s="9">
        <f ca="1">IFERROR(__xludf.DUMMYFUNCTION("IFERROR(VALUE(REGEXEXTRACT(TO_TEXT($F772), S$1 &amp; ""x(\d+)"")), """")"),1)</f>
        <v>1</v>
      </c>
      <c r="T772" s="9" t="str">
        <f ca="1">IFERROR(__xludf.DUMMYFUNCTION("IFERROR(VALUE(REGEXEXTRACT(TO_TEXT($F772), T$1 &amp; ""x(\d+)"")), """")"),"")</f>
        <v/>
      </c>
      <c r="U772" s="9" t="str">
        <f ca="1">IFERROR(__xludf.DUMMYFUNCTION("IFERROR(VALUE(REGEXEXTRACT(TO_TEXT($F772), U$1 &amp; ""x(\d+)"")), """")"),"")</f>
        <v/>
      </c>
      <c r="V772" s="9" t="str">
        <f ca="1">IFERROR(__xludf.DUMMYFUNCTION("IFERROR(VALUE(REGEXEXTRACT(TO_TEXT($F772), V$1 &amp; ""x(\d+)"")), """")"),"")</f>
        <v/>
      </c>
      <c r="W772" s="9"/>
      <c r="X772" s="9"/>
      <c r="Y772" s="9"/>
      <c r="Z772" s="9"/>
    </row>
    <row r="773" spans="1:26" ht="15.75" hidden="1" customHeight="1">
      <c r="A773" s="9" t="s">
        <v>1860</v>
      </c>
      <c r="B773" s="9" t="s">
        <v>1861</v>
      </c>
      <c r="C773" s="9" t="s">
        <v>817</v>
      </c>
      <c r="D773" s="9" t="s">
        <v>40</v>
      </c>
      <c r="E773" s="9" t="s">
        <v>13</v>
      </c>
      <c r="F773" s="9" t="s">
        <v>1863</v>
      </c>
      <c r="G773" s="9">
        <v>30</v>
      </c>
      <c r="H773" s="9">
        <v>3</v>
      </c>
      <c r="I773" s="9">
        <v>1.0149999999999999</v>
      </c>
      <c r="J773" s="9">
        <v>412</v>
      </c>
      <c r="K773" s="9" t="s">
        <v>442</v>
      </c>
      <c r="L773" s="9"/>
      <c r="M773" s="9"/>
      <c r="N773" s="9" t="str">
        <f ca="1">IFERROR(__xludf.DUMMYFUNCTION("IFERROR(VALUE(REGEXEXTRACT(TO_TEXT($F773), N$1 &amp; ""x(\d+)"")), """")
"),"")</f>
        <v/>
      </c>
      <c r="O773" s="9">
        <f ca="1">IFERROR(__xludf.DUMMYFUNCTION("IFERROR(VALUE(REGEXEXTRACT(TO_TEXT($F773), O$1 &amp; ""x(\d+)"")), """")"),1)</f>
        <v>1</v>
      </c>
      <c r="P773" s="9" t="str">
        <f ca="1">IFERROR(__xludf.DUMMYFUNCTION("IFERROR(VALUE(REGEXEXTRACT(TO_TEXT($F773), P$1 &amp; ""x(\d+)"")), """")"),"")</f>
        <v/>
      </c>
      <c r="Q773" s="9" t="str">
        <f ca="1">IFERROR(__xludf.DUMMYFUNCTION("IFERROR(VALUE(REGEXEXTRACT(TO_TEXT($F773), Q$1 &amp; ""x(\d+)"")), """")"),"")</f>
        <v/>
      </c>
      <c r="R773" s="9" t="str">
        <f ca="1">IFERROR(__xludf.DUMMYFUNCTION("IFERROR(VALUE(REGEXEXTRACT(TO_TEXT($F773), R$1 &amp; ""x(\d+)"")), """")"),"")</f>
        <v/>
      </c>
      <c r="S773" s="9">
        <f ca="1">IFERROR(__xludf.DUMMYFUNCTION("IFERROR(VALUE(REGEXEXTRACT(TO_TEXT($F773), S$1 &amp; ""x(\d+)"")), """")"),1)</f>
        <v>1</v>
      </c>
      <c r="T773" s="9" t="str">
        <f ca="1">IFERROR(__xludf.DUMMYFUNCTION("IFERROR(VALUE(REGEXEXTRACT(TO_TEXT($F773), T$1 &amp; ""x(\d+)"")), """")"),"")</f>
        <v/>
      </c>
      <c r="U773" s="9" t="str">
        <f ca="1">IFERROR(__xludf.DUMMYFUNCTION("IFERROR(VALUE(REGEXEXTRACT(TO_TEXT($F773), U$1 &amp; ""x(\d+)"")), """")"),"")</f>
        <v/>
      </c>
      <c r="V773" s="9" t="str">
        <f ca="1">IFERROR(__xludf.DUMMYFUNCTION("IFERROR(VALUE(REGEXEXTRACT(TO_TEXT($F773), V$1 &amp; ""x(\d+)"")), """")"),"")</f>
        <v/>
      </c>
      <c r="W773" s="9"/>
      <c r="X773" s="9"/>
      <c r="Y773" s="9"/>
      <c r="Z773" s="9"/>
    </row>
    <row r="774" spans="1:26" ht="15.75" customHeight="1">
      <c r="A774" s="9" t="s">
        <v>1864</v>
      </c>
      <c r="B774" s="9" t="s">
        <v>1865</v>
      </c>
      <c r="C774" s="9" t="s">
        <v>982</v>
      </c>
      <c r="D774" s="9" t="s">
        <v>33</v>
      </c>
      <c r="E774" s="9" t="s">
        <v>11</v>
      </c>
      <c r="F774" s="9" t="s">
        <v>1866</v>
      </c>
      <c r="G774" s="9">
        <v>20</v>
      </c>
      <c r="H774" s="9">
        <v>5</v>
      </c>
      <c r="I774" s="9">
        <v>1.0149999999999999</v>
      </c>
      <c r="J774" s="9">
        <v>100</v>
      </c>
      <c r="K774" s="9" t="s">
        <v>442</v>
      </c>
      <c r="L774" s="9"/>
      <c r="M774" s="9"/>
      <c r="N774" s="9" t="str">
        <f ca="1">IFERROR(__xludf.DUMMYFUNCTION("IFERROR(VALUE(REGEXEXTRACT(TO_TEXT($F774), N$1 &amp; ""x(\d+)"")), """")
"),"")</f>
        <v/>
      </c>
      <c r="O774" s="9">
        <f ca="1">IFERROR(__xludf.DUMMYFUNCTION("IFERROR(VALUE(REGEXEXTRACT(TO_TEXT($F774), O$1 &amp; ""x(\d+)"")), """")"),1)</f>
        <v>1</v>
      </c>
      <c r="P774" s="9" t="str">
        <f ca="1">IFERROR(__xludf.DUMMYFUNCTION("IFERROR(VALUE(REGEXEXTRACT(TO_TEXT($F774), P$1 &amp; ""x(\d+)"")), """")"),"")</f>
        <v/>
      </c>
      <c r="Q774" s="9" t="str">
        <f ca="1">IFERROR(__xludf.DUMMYFUNCTION("IFERROR(VALUE(REGEXEXTRACT(TO_TEXT($F774), Q$1 &amp; ""x(\d+)"")), """")"),"")</f>
        <v/>
      </c>
      <c r="R774" s="9" t="str">
        <f ca="1">IFERROR(__xludf.DUMMYFUNCTION("IFERROR(VALUE(REGEXEXTRACT(TO_TEXT($F774), R$1 &amp; ""x(\d+)"")), """")"),"")</f>
        <v/>
      </c>
      <c r="S774" s="9" t="str">
        <f ca="1">IFERROR(__xludf.DUMMYFUNCTION("IFERROR(VALUE(REGEXEXTRACT(TO_TEXT($F774), S$1 &amp; ""x(\d+)"")), """")"),"")</f>
        <v/>
      </c>
      <c r="T774" s="9" t="str">
        <f ca="1">IFERROR(__xludf.DUMMYFUNCTION("IFERROR(VALUE(REGEXEXTRACT(TO_TEXT($F774), T$1 &amp; ""x(\d+)"")), """")"),"")</f>
        <v/>
      </c>
      <c r="U774" s="9" t="str">
        <f ca="1">IFERROR(__xludf.DUMMYFUNCTION("IFERROR(VALUE(REGEXEXTRACT(TO_TEXT($F774), U$1 &amp; ""x(\d+)"")), """")"),"")</f>
        <v/>
      </c>
      <c r="V774" s="9" t="str">
        <f ca="1">IFERROR(__xludf.DUMMYFUNCTION("IFERROR(VALUE(REGEXEXTRACT(TO_TEXT($F774), V$1 &amp; ""x(\d+)"")), """")"),"")</f>
        <v/>
      </c>
      <c r="W774" s="9"/>
      <c r="X774" s="9"/>
      <c r="Y774" s="9"/>
      <c r="Z774" s="9"/>
    </row>
    <row r="775" spans="1:26" ht="15.75" customHeight="1">
      <c r="A775" s="9" t="s">
        <v>1864</v>
      </c>
      <c r="B775" s="9" t="s">
        <v>1865</v>
      </c>
      <c r="C775" s="9" t="s">
        <v>982</v>
      </c>
      <c r="D775" s="9" t="s">
        <v>33</v>
      </c>
      <c r="E775" s="9" t="s">
        <v>12</v>
      </c>
      <c r="F775" s="9" t="s">
        <v>1867</v>
      </c>
      <c r="G775" s="9">
        <v>90</v>
      </c>
      <c r="H775" s="9">
        <v>5</v>
      </c>
      <c r="I775" s="9">
        <v>1.0149999999999999</v>
      </c>
      <c r="J775" s="9">
        <v>100</v>
      </c>
      <c r="K775" s="9" t="s">
        <v>442</v>
      </c>
      <c r="L775" s="9" t="s">
        <v>1015</v>
      </c>
      <c r="M775" s="9"/>
      <c r="N775" s="9" t="str">
        <f ca="1">IFERROR(__xludf.DUMMYFUNCTION("IFERROR(VALUE(REGEXEXTRACT(TO_TEXT($F775), N$1 &amp; ""x(\d+)"")), """")
"),"")</f>
        <v/>
      </c>
      <c r="O775" s="9">
        <f ca="1">IFERROR(__xludf.DUMMYFUNCTION("IFERROR(VALUE(REGEXEXTRACT(TO_TEXT($F775), O$1 &amp; ""x(\d+)"")), """")"),1)</f>
        <v>1</v>
      </c>
      <c r="P775" s="9" t="str">
        <f ca="1">IFERROR(__xludf.DUMMYFUNCTION("IFERROR(VALUE(REGEXEXTRACT(TO_TEXT($F775), P$1 &amp; ""x(\d+)"")), """")"),"")</f>
        <v/>
      </c>
      <c r="Q775" s="9" t="str">
        <f ca="1">IFERROR(__xludf.DUMMYFUNCTION("IFERROR(VALUE(REGEXEXTRACT(TO_TEXT($F775), Q$1 &amp; ""x(\d+)"")), """")"),"")</f>
        <v/>
      </c>
      <c r="R775" s="9" t="str">
        <f ca="1">IFERROR(__xludf.DUMMYFUNCTION("IFERROR(VALUE(REGEXEXTRACT(TO_TEXT($F775), R$1 &amp; ""x(\d+)"")), """")"),"")</f>
        <v/>
      </c>
      <c r="S775" s="9" t="str">
        <f ca="1">IFERROR(__xludf.DUMMYFUNCTION("IFERROR(VALUE(REGEXEXTRACT(TO_TEXT($F775), S$1 &amp; ""x(\d+)"")), """")"),"")</f>
        <v/>
      </c>
      <c r="T775" s="9" t="str">
        <f ca="1">IFERROR(__xludf.DUMMYFUNCTION("IFERROR(VALUE(REGEXEXTRACT(TO_TEXT($F775), T$1 &amp; ""x(\d+)"")), """")"),"")</f>
        <v/>
      </c>
      <c r="U775" s="9" t="str">
        <f ca="1">IFERROR(__xludf.DUMMYFUNCTION("IFERROR(VALUE(REGEXEXTRACT(TO_TEXT($F775), U$1 &amp; ""x(\d+)"")), """")"),"")</f>
        <v/>
      </c>
      <c r="V775" s="9" t="str">
        <f ca="1">IFERROR(__xludf.DUMMYFUNCTION("IFERROR(VALUE(REGEXEXTRACT(TO_TEXT($F775), V$1 &amp; ""x(\d+)"")), """")"),"")</f>
        <v/>
      </c>
      <c r="W775" s="9"/>
      <c r="X775" s="9"/>
      <c r="Y775" s="9"/>
      <c r="Z775" s="9"/>
    </row>
    <row r="776" spans="1:26" ht="15.75" customHeight="1">
      <c r="A776" s="9" t="s">
        <v>1864</v>
      </c>
      <c r="B776" s="9" t="s">
        <v>1865</v>
      </c>
      <c r="C776" s="9" t="s">
        <v>982</v>
      </c>
      <c r="D776" s="9" t="s">
        <v>33</v>
      </c>
      <c r="E776" s="9" t="s">
        <v>13</v>
      </c>
      <c r="F776" s="9" t="s">
        <v>1149</v>
      </c>
      <c r="G776" s="9">
        <v>15</v>
      </c>
      <c r="H776" s="9">
        <v>5</v>
      </c>
      <c r="I776" s="9">
        <v>1.0149999999999999</v>
      </c>
      <c r="J776" s="9">
        <v>100</v>
      </c>
      <c r="K776" s="9" t="s">
        <v>442</v>
      </c>
      <c r="L776" s="9"/>
      <c r="M776" s="9"/>
      <c r="N776" s="9" t="str">
        <f ca="1">IFERROR(__xludf.DUMMYFUNCTION("IFERROR(VALUE(REGEXEXTRACT(TO_TEXT($F776), N$1 &amp; ""x(\d+)"")), """")
"),"")</f>
        <v/>
      </c>
      <c r="O776" s="9">
        <f ca="1">IFERROR(__xludf.DUMMYFUNCTION("IFERROR(VALUE(REGEXEXTRACT(TO_TEXT($F776), O$1 &amp; ""x(\d+)"")), """")"),1)</f>
        <v>1</v>
      </c>
      <c r="P776" s="9" t="str">
        <f ca="1">IFERROR(__xludf.DUMMYFUNCTION("IFERROR(VALUE(REGEXEXTRACT(TO_TEXT($F776), P$1 &amp; ""x(\d+)"")), """")"),"")</f>
        <v/>
      </c>
      <c r="Q776" s="9" t="str">
        <f ca="1">IFERROR(__xludf.DUMMYFUNCTION("IFERROR(VALUE(REGEXEXTRACT(TO_TEXT($F776), Q$1 &amp; ""x(\d+)"")), """")"),"")</f>
        <v/>
      </c>
      <c r="R776" s="9" t="str">
        <f ca="1">IFERROR(__xludf.DUMMYFUNCTION("IFERROR(VALUE(REGEXEXTRACT(TO_TEXT($F776), R$1 &amp; ""x(\d+)"")), """")"),"")</f>
        <v/>
      </c>
      <c r="S776" s="9" t="str">
        <f ca="1">IFERROR(__xludf.DUMMYFUNCTION("IFERROR(VALUE(REGEXEXTRACT(TO_TEXT($F776), S$1 &amp; ""x(\d+)"")), """")"),"")</f>
        <v/>
      </c>
      <c r="T776" s="9" t="str">
        <f ca="1">IFERROR(__xludf.DUMMYFUNCTION("IFERROR(VALUE(REGEXEXTRACT(TO_TEXT($F776), T$1 &amp; ""x(\d+)"")), """")"),"")</f>
        <v/>
      </c>
      <c r="U776" s="9" t="str">
        <f ca="1">IFERROR(__xludf.DUMMYFUNCTION("IFERROR(VALUE(REGEXEXTRACT(TO_TEXT($F776), U$1 &amp; ""x(\d+)"")), """")"),"")</f>
        <v/>
      </c>
      <c r="V776" s="9" t="str">
        <f ca="1">IFERROR(__xludf.DUMMYFUNCTION("IFERROR(VALUE(REGEXEXTRACT(TO_TEXT($F776), V$1 &amp; ""x(\d+)"")), """")"),"")</f>
        <v/>
      </c>
      <c r="W776" s="9"/>
      <c r="X776" s="9"/>
      <c r="Y776" s="9"/>
      <c r="Z776" s="9"/>
    </row>
    <row r="777" spans="1:26" ht="15.75" hidden="1" customHeight="1">
      <c r="A777" s="9" t="s">
        <v>1868</v>
      </c>
      <c r="B777" s="9" t="s">
        <v>1869</v>
      </c>
      <c r="C777" s="9" t="s">
        <v>980</v>
      </c>
      <c r="D777" s="9" t="s">
        <v>48</v>
      </c>
      <c r="E777" s="9" t="s">
        <v>11</v>
      </c>
      <c r="F777" s="9" t="s">
        <v>1870</v>
      </c>
      <c r="G777" s="9">
        <v>30</v>
      </c>
      <c r="H777" s="9">
        <v>5</v>
      </c>
      <c r="I777" s="9">
        <v>1.0149999999999999</v>
      </c>
      <c r="J777" s="9">
        <v>52</v>
      </c>
      <c r="K777" s="9" t="s">
        <v>424</v>
      </c>
      <c r="L777" s="9"/>
      <c r="M777" s="9"/>
      <c r="N777" s="9" t="str">
        <f ca="1">IFERROR(__xludf.DUMMYFUNCTION("IFERROR(VALUE(REGEXEXTRACT(TO_TEXT($F777), N$1 &amp; ""x(\d+)"")), """")
"),"")</f>
        <v/>
      </c>
      <c r="O777" s="9" t="str">
        <f ca="1">IFERROR(__xludf.DUMMYFUNCTION("IFERROR(VALUE(REGEXEXTRACT(TO_TEXT($F777), O$1 &amp; ""x(\d+)"")), """")"),"")</f>
        <v/>
      </c>
      <c r="P777" s="9" t="str">
        <f ca="1">IFERROR(__xludf.DUMMYFUNCTION("IFERROR(VALUE(REGEXEXTRACT(TO_TEXT($F777), P$1 &amp; ""x(\d+)"")), """")"),"")</f>
        <v/>
      </c>
      <c r="Q777" s="9" t="str">
        <f ca="1">IFERROR(__xludf.DUMMYFUNCTION("IFERROR(VALUE(REGEXEXTRACT(TO_TEXT($F777), Q$1 &amp; ""x(\d+)"")), """")"),"")</f>
        <v/>
      </c>
      <c r="R777" s="9" t="str">
        <f ca="1">IFERROR(__xludf.DUMMYFUNCTION("IFERROR(VALUE(REGEXEXTRACT(TO_TEXT($F777), R$1 &amp; ""x(\d+)"")), """")"),"")</f>
        <v/>
      </c>
      <c r="S777" s="9" t="str">
        <f ca="1">IFERROR(__xludf.DUMMYFUNCTION("IFERROR(VALUE(REGEXEXTRACT(TO_TEXT($F777), S$1 &amp; ""x(\d+)"")), """")"),"")</f>
        <v/>
      </c>
      <c r="T777" s="9" t="str">
        <f ca="1">IFERROR(__xludf.DUMMYFUNCTION("IFERROR(VALUE(REGEXEXTRACT(TO_TEXT($F777), T$1 &amp; ""x(\d+)"")), """")"),"")</f>
        <v/>
      </c>
      <c r="U777" s="9" t="str">
        <f ca="1">IFERROR(__xludf.DUMMYFUNCTION("IFERROR(VALUE(REGEXEXTRACT(TO_TEXT($F777), U$1 &amp; ""x(\d+)"")), """")"),"")</f>
        <v/>
      </c>
      <c r="V777" s="9" t="str">
        <f ca="1">IFERROR(__xludf.DUMMYFUNCTION("IFERROR(VALUE(REGEXEXTRACT(TO_TEXT($F777), V$1 &amp; ""x(\d+)"")), """")"),"")</f>
        <v/>
      </c>
      <c r="W777" s="9"/>
      <c r="X777" s="9"/>
      <c r="Y777" s="9"/>
      <c r="Z777" s="9"/>
    </row>
    <row r="778" spans="1:26" ht="15.75" hidden="1" customHeight="1">
      <c r="A778" s="9" t="s">
        <v>1868</v>
      </c>
      <c r="B778" s="9" t="s">
        <v>1869</v>
      </c>
      <c r="C778" s="9" t="s">
        <v>980</v>
      </c>
      <c r="D778" s="9" t="s">
        <v>48</v>
      </c>
      <c r="E778" s="9" t="s">
        <v>12</v>
      </c>
      <c r="F778" s="9" t="s">
        <v>1871</v>
      </c>
      <c r="G778" s="9">
        <v>140</v>
      </c>
      <c r="H778" s="9">
        <v>5</v>
      </c>
      <c r="I778" s="9">
        <v>1.0149999999999999</v>
      </c>
      <c r="J778" s="9">
        <v>52</v>
      </c>
      <c r="K778" s="9" t="s">
        <v>424</v>
      </c>
      <c r="L778" s="9" t="s">
        <v>1015</v>
      </c>
      <c r="M778" s="9"/>
      <c r="N778" s="9" t="str">
        <f ca="1">IFERROR(__xludf.DUMMYFUNCTION("IFERROR(VALUE(REGEXEXTRACT(TO_TEXT($F778), N$1 &amp; ""x(\d+)"")), """")
"),"")</f>
        <v/>
      </c>
      <c r="O778" s="9" t="str">
        <f ca="1">IFERROR(__xludf.DUMMYFUNCTION("IFERROR(VALUE(REGEXEXTRACT(TO_TEXT($F778), O$1 &amp; ""x(\d+)"")), """")"),"")</f>
        <v/>
      </c>
      <c r="P778" s="9">
        <f ca="1">IFERROR(__xludf.DUMMYFUNCTION("IFERROR(VALUE(REGEXEXTRACT(TO_TEXT($F778), P$1 &amp; ""x(\d+)"")), """")"),1)</f>
        <v>1</v>
      </c>
      <c r="Q778" s="9" t="str">
        <f ca="1">IFERROR(__xludf.DUMMYFUNCTION("IFERROR(VALUE(REGEXEXTRACT(TO_TEXT($F778), Q$1 &amp; ""x(\d+)"")), """")"),"")</f>
        <v/>
      </c>
      <c r="R778" s="9" t="str">
        <f ca="1">IFERROR(__xludf.DUMMYFUNCTION("IFERROR(VALUE(REGEXEXTRACT(TO_TEXT($F778), R$1 &amp; ""x(\d+)"")), """")"),"")</f>
        <v/>
      </c>
      <c r="S778" s="9" t="str">
        <f ca="1">IFERROR(__xludf.DUMMYFUNCTION("IFERROR(VALUE(REGEXEXTRACT(TO_TEXT($F778), S$1 &amp; ""x(\d+)"")), """")"),"")</f>
        <v/>
      </c>
      <c r="T778" s="9" t="str">
        <f ca="1">IFERROR(__xludf.DUMMYFUNCTION("IFERROR(VALUE(REGEXEXTRACT(TO_TEXT($F778), T$1 &amp; ""x(\d+)"")), """")"),"")</f>
        <v/>
      </c>
      <c r="U778" s="9" t="str">
        <f ca="1">IFERROR(__xludf.DUMMYFUNCTION("IFERROR(VALUE(REGEXEXTRACT(TO_TEXT($F778), U$1 &amp; ""x(\d+)"")), """")"),"")</f>
        <v/>
      </c>
      <c r="V778" s="9" t="str">
        <f ca="1">IFERROR(__xludf.DUMMYFUNCTION("IFERROR(VALUE(REGEXEXTRACT(TO_TEXT($F778), V$1 &amp; ""x(\d+)"")), """")"),"")</f>
        <v/>
      </c>
      <c r="W778" s="9"/>
      <c r="X778" s="9"/>
      <c r="Y778" s="9"/>
      <c r="Z778" s="9"/>
    </row>
    <row r="779" spans="1:26" ht="15.75" hidden="1" customHeight="1">
      <c r="A779" s="9" t="s">
        <v>1868</v>
      </c>
      <c r="B779" s="9" t="s">
        <v>1869</v>
      </c>
      <c r="C779" s="9" t="s">
        <v>980</v>
      </c>
      <c r="D779" s="9" t="s">
        <v>48</v>
      </c>
      <c r="E779" s="9" t="s">
        <v>13</v>
      </c>
      <c r="F779" s="9" t="s">
        <v>1216</v>
      </c>
      <c r="G779" s="9">
        <v>30</v>
      </c>
      <c r="H779" s="9">
        <v>5</v>
      </c>
      <c r="I779" s="9">
        <v>1.0149999999999999</v>
      </c>
      <c r="J779" s="9">
        <v>52</v>
      </c>
      <c r="K779" s="9" t="s">
        <v>424</v>
      </c>
      <c r="L779" s="9"/>
      <c r="M779" s="9"/>
      <c r="N779" s="9" t="str">
        <f ca="1">IFERROR(__xludf.DUMMYFUNCTION("IFERROR(VALUE(REGEXEXTRACT(TO_TEXT($F779), N$1 &amp; ""x(\d+)"")), """")
"),"")</f>
        <v/>
      </c>
      <c r="O779" s="9" t="str">
        <f ca="1">IFERROR(__xludf.DUMMYFUNCTION("IFERROR(VALUE(REGEXEXTRACT(TO_TEXT($F779), O$1 &amp; ""x(\d+)"")), """")"),"")</f>
        <v/>
      </c>
      <c r="P779" s="9">
        <f ca="1">IFERROR(__xludf.DUMMYFUNCTION("IFERROR(VALUE(REGEXEXTRACT(TO_TEXT($F779), P$1 &amp; ""x(\d+)"")), """")"),1)</f>
        <v>1</v>
      </c>
      <c r="Q779" s="9" t="str">
        <f ca="1">IFERROR(__xludf.DUMMYFUNCTION("IFERROR(VALUE(REGEXEXTRACT(TO_TEXT($F779), Q$1 &amp; ""x(\d+)"")), """")"),"")</f>
        <v/>
      </c>
      <c r="R779" s="9" t="str">
        <f ca="1">IFERROR(__xludf.DUMMYFUNCTION("IFERROR(VALUE(REGEXEXTRACT(TO_TEXT($F779), R$1 &amp; ""x(\d+)"")), """")"),"")</f>
        <v/>
      </c>
      <c r="S779" s="9" t="str">
        <f ca="1">IFERROR(__xludf.DUMMYFUNCTION("IFERROR(VALUE(REGEXEXTRACT(TO_TEXT($F779), S$1 &amp; ""x(\d+)"")), """")"),"")</f>
        <v/>
      </c>
      <c r="T779" s="9" t="str">
        <f ca="1">IFERROR(__xludf.DUMMYFUNCTION("IFERROR(VALUE(REGEXEXTRACT(TO_TEXT($F779), T$1 &amp; ""x(\d+)"")), """")"),"")</f>
        <v/>
      </c>
      <c r="U779" s="9" t="str">
        <f ca="1">IFERROR(__xludf.DUMMYFUNCTION("IFERROR(VALUE(REGEXEXTRACT(TO_TEXT($F779), U$1 &amp; ""x(\d+)"")), """")"),"")</f>
        <v/>
      </c>
      <c r="V779" s="9" t="str">
        <f ca="1">IFERROR(__xludf.DUMMYFUNCTION("IFERROR(VALUE(REGEXEXTRACT(TO_TEXT($F779), V$1 &amp; ""x(\d+)"")), """")"),"")</f>
        <v/>
      </c>
      <c r="W779" s="9"/>
      <c r="X779" s="9"/>
      <c r="Y779" s="9"/>
      <c r="Z779" s="9"/>
    </row>
    <row r="780" spans="1:26" ht="15.75" customHeight="1">
      <c r="A780" s="9" t="s">
        <v>1872</v>
      </c>
      <c r="B780" s="9" t="s">
        <v>1873</v>
      </c>
      <c r="C780" s="9" t="s">
        <v>718</v>
      </c>
      <c r="D780" s="9" t="s">
        <v>33</v>
      </c>
      <c r="E780" s="9" t="s">
        <v>11</v>
      </c>
      <c r="F780" s="9" t="s">
        <v>1874</v>
      </c>
      <c r="G780" s="9">
        <v>55</v>
      </c>
      <c r="H780" s="9">
        <v>5</v>
      </c>
      <c r="I780" s="9">
        <v>1.0149999999999999</v>
      </c>
      <c r="J780" s="9">
        <v>412</v>
      </c>
      <c r="K780" s="9" t="s">
        <v>442</v>
      </c>
      <c r="L780" s="9"/>
      <c r="M780" s="9"/>
      <c r="N780" s="9" t="str">
        <f ca="1">IFERROR(__xludf.DUMMYFUNCTION("IFERROR(VALUE(REGEXEXTRACT(TO_TEXT($F780), N$1 &amp; ""x(\d+)"")), """")
"),"")</f>
        <v/>
      </c>
      <c r="O780" s="9" t="str">
        <f ca="1">IFERROR(__xludf.DUMMYFUNCTION("IFERROR(VALUE(REGEXEXTRACT(TO_TEXT($F780), O$1 &amp; ""x(\d+)"")), """")"),"")</f>
        <v/>
      </c>
      <c r="P780" s="9" t="str">
        <f ca="1">IFERROR(__xludf.DUMMYFUNCTION("IFERROR(VALUE(REGEXEXTRACT(TO_TEXT($F780), P$1 &amp; ""x(\d+)"")), """")"),"")</f>
        <v/>
      </c>
      <c r="Q780" s="9" t="str">
        <f ca="1">IFERROR(__xludf.DUMMYFUNCTION("IFERROR(VALUE(REGEXEXTRACT(TO_TEXT($F780), Q$1 &amp; ""x(\d+)"")), """")"),"")</f>
        <v/>
      </c>
      <c r="R780" s="9" t="str">
        <f ca="1">IFERROR(__xludf.DUMMYFUNCTION("IFERROR(VALUE(REGEXEXTRACT(TO_TEXT($F780), R$1 &amp; ""x(\d+)"")), """")"),"")</f>
        <v/>
      </c>
      <c r="S780" s="9" t="str">
        <f ca="1">IFERROR(__xludf.DUMMYFUNCTION("IFERROR(VALUE(REGEXEXTRACT(TO_TEXT($F780), S$1 &amp; ""x(\d+)"")), """")"),"")</f>
        <v/>
      </c>
      <c r="T780" s="9" t="str">
        <f ca="1">IFERROR(__xludf.DUMMYFUNCTION("IFERROR(VALUE(REGEXEXTRACT(TO_TEXT($F780), T$1 &amp; ""x(\d+)"")), """")"),"")</f>
        <v/>
      </c>
      <c r="U780" s="9" t="str">
        <f ca="1">IFERROR(__xludf.DUMMYFUNCTION("IFERROR(VALUE(REGEXEXTRACT(TO_TEXT($F780), U$1 &amp; ""x(\d+)"")), """")"),"")</f>
        <v/>
      </c>
      <c r="V780" s="9" t="str">
        <f ca="1">IFERROR(__xludf.DUMMYFUNCTION("IFERROR(VALUE(REGEXEXTRACT(TO_TEXT($F780), V$1 &amp; ""x(\d+)"")), """")"),"")</f>
        <v/>
      </c>
      <c r="W780" s="9"/>
      <c r="X780" s="9"/>
      <c r="Y780" s="9"/>
      <c r="Z780" s="9"/>
    </row>
    <row r="781" spans="1:26" ht="15.75" customHeight="1">
      <c r="A781" s="9" t="s">
        <v>1872</v>
      </c>
      <c r="B781" s="9" t="s">
        <v>1873</v>
      </c>
      <c r="C781" s="9" t="s">
        <v>718</v>
      </c>
      <c r="D781" s="9" t="s">
        <v>33</v>
      </c>
      <c r="E781" s="9" t="s">
        <v>12</v>
      </c>
      <c r="F781" s="9" t="s">
        <v>1767</v>
      </c>
      <c r="G781" s="9">
        <v>75</v>
      </c>
      <c r="H781" s="9">
        <v>5</v>
      </c>
      <c r="I781" s="9">
        <v>1.0149999999999999</v>
      </c>
      <c r="J781" s="9">
        <v>412</v>
      </c>
      <c r="K781" s="9" t="s">
        <v>442</v>
      </c>
      <c r="L781" s="9"/>
      <c r="M781" s="9"/>
      <c r="N781" s="9" t="str">
        <f ca="1">IFERROR(__xludf.DUMMYFUNCTION("IFERROR(VALUE(REGEXEXTRACT(TO_TEXT($F781), N$1 &amp; ""x(\d+)"")), """")
"),"")</f>
        <v/>
      </c>
      <c r="O781" s="9">
        <f ca="1">IFERROR(__xludf.DUMMYFUNCTION("IFERROR(VALUE(REGEXEXTRACT(TO_TEXT($F781), O$1 &amp; ""x(\d+)"")), """")"),1)</f>
        <v>1</v>
      </c>
      <c r="P781" s="9" t="str">
        <f ca="1">IFERROR(__xludf.DUMMYFUNCTION("IFERROR(VALUE(REGEXEXTRACT(TO_TEXT($F781), P$1 &amp; ""x(\d+)"")), """")"),"")</f>
        <v/>
      </c>
      <c r="Q781" s="9" t="str">
        <f ca="1">IFERROR(__xludf.DUMMYFUNCTION("IFERROR(VALUE(REGEXEXTRACT(TO_TEXT($F781), Q$1 &amp; ""x(\d+)"")), """")"),"")</f>
        <v/>
      </c>
      <c r="R781" s="9" t="str">
        <f ca="1">IFERROR(__xludf.DUMMYFUNCTION("IFERROR(VALUE(REGEXEXTRACT(TO_TEXT($F781), R$1 &amp; ""x(\d+)"")), """")"),"")</f>
        <v/>
      </c>
      <c r="S781" s="9" t="str">
        <f ca="1">IFERROR(__xludf.DUMMYFUNCTION("IFERROR(VALUE(REGEXEXTRACT(TO_TEXT($F781), S$1 &amp; ""x(\d+)"")), """")"),"")</f>
        <v/>
      </c>
      <c r="T781" s="9" t="str">
        <f ca="1">IFERROR(__xludf.DUMMYFUNCTION("IFERROR(VALUE(REGEXEXTRACT(TO_TEXT($F781), T$1 &amp; ""x(\d+)"")), """")"),"")</f>
        <v/>
      </c>
      <c r="U781" s="9" t="str">
        <f ca="1">IFERROR(__xludf.DUMMYFUNCTION("IFERROR(VALUE(REGEXEXTRACT(TO_TEXT($F781), U$1 &amp; ""x(\d+)"")), """")"),"")</f>
        <v/>
      </c>
      <c r="V781" s="9" t="str">
        <f ca="1">IFERROR(__xludf.DUMMYFUNCTION("IFERROR(VALUE(REGEXEXTRACT(TO_TEXT($F781), V$1 &amp; ""x(\d+)"")), """")"),"")</f>
        <v/>
      </c>
      <c r="W781" s="9"/>
      <c r="X781" s="9"/>
      <c r="Y781" s="9"/>
      <c r="Z781" s="9"/>
    </row>
    <row r="782" spans="1:26" ht="15.75" customHeight="1">
      <c r="A782" s="9" t="s">
        <v>1872</v>
      </c>
      <c r="B782" s="9" t="s">
        <v>1873</v>
      </c>
      <c r="C782" s="9" t="s">
        <v>718</v>
      </c>
      <c r="D782" s="9" t="s">
        <v>33</v>
      </c>
      <c r="E782" s="9" t="s">
        <v>13</v>
      </c>
      <c r="F782" s="9" t="s">
        <v>1130</v>
      </c>
      <c r="G782" s="9">
        <v>15</v>
      </c>
      <c r="H782" s="9">
        <v>5</v>
      </c>
      <c r="I782" s="9">
        <v>1.0149999999999999</v>
      </c>
      <c r="J782" s="9">
        <v>412</v>
      </c>
      <c r="K782" s="9" t="s">
        <v>442</v>
      </c>
      <c r="L782" s="9"/>
      <c r="M782" s="9"/>
      <c r="N782" s="9" t="str">
        <f ca="1">IFERROR(__xludf.DUMMYFUNCTION("IFERROR(VALUE(REGEXEXTRACT(TO_TEXT($F782), N$1 &amp; ""x(\d+)"")), """")
"),"")</f>
        <v/>
      </c>
      <c r="O782" s="9">
        <f ca="1">IFERROR(__xludf.DUMMYFUNCTION("IFERROR(VALUE(REGEXEXTRACT(TO_TEXT($F782), O$1 &amp; ""x(\d+)"")), """")"),1)</f>
        <v>1</v>
      </c>
      <c r="P782" s="9" t="str">
        <f ca="1">IFERROR(__xludf.DUMMYFUNCTION("IFERROR(VALUE(REGEXEXTRACT(TO_TEXT($F782), P$1 &amp; ""x(\d+)"")), """")"),"")</f>
        <v/>
      </c>
      <c r="Q782" s="9" t="str">
        <f ca="1">IFERROR(__xludf.DUMMYFUNCTION("IFERROR(VALUE(REGEXEXTRACT(TO_TEXT($F782), Q$1 &amp; ""x(\d+)"")), """")"),"")</f>
        <v/>
      </c>
      <c r="R782" s="9" t="str">
        <f ca="1">IFERROR(__xludf.DUMMYFUNCTION("IFERROR(VALUE(REGEXEXTRACT(TO_TEXT($F782), R$1 &amp; ""x(\d+)"")), """")"),"")</f>
        <v/>
      </c>
      <c r="S782" s="9" t="str">
        <f ca="1">IFERROR(__xludf.DUMMYFUNCTION("IFERROR(VALUE(REGEXEXTRACT(TO_TEXT($F782), S$1 &amp; ""x(\d+)"")), """")"),"")</f>
        <v/>
      </c>
      <c r="T782" s="9" t="str">
        <f ca="1">IFERROR(__xludf.DUMMYFUNCTION("IFERROR(VALUE(REGEXEXTRACT(TO_TEXT($F782), T$1 &amp; ""x(\d+)"")), """")"),"")</f>
        <v/>
      </c>
      <c r="U782" s="9" t="str">
        <f ca="1">IFERROR(__xludf.DUMMYFUNCTION("IFERROR(VALUE(REGEXEXTRACT(TO_TEXT($F782), U$1 &amp; ""x(\d+)"")), """")"),"")</f>
        <v/>
      </c>
      <c r="V782" s="9" t="str">
        <f ca="1">IFERROR(__xludf.DUMMYFUNCTION("IFERROR(VALUE(REGEXEXTRACT(TO_TEXT($F782), V$1 &amp; ""x(\d+)"")), """")"),"")</f>
        <v/>
      </c>
      <c r="W782" s="9"/>
      <c r="X782" s="9"/>
      <c r="Y782" s="9"/>
      <c r="Z782" s="9"/>
    </row>
    <row r="783" spans="1:26" ht="15.75" customHeight="1">
      <c r="A783" s="9" t="s">
        <v>1875</v>
      </c>
      <c r="B783" s="9" t="s">
        <v>1876</v>
      </c>
      <c r="C783" s="9" t="s">
        <v>795</v>
      </c>
      <c r="D783" s="9" t="s">
        <v>33</v>
      </c>
      <c r="E783" s="9" t="s">
        <v>11</v>
      </c>
      <c r="F783" s="9" t="s">
        <v>1240</v>
      </c>
      <c r="G783" s="9">
        <v>55</v>
      </c>
      <c r="H783" s="9">
        <v>5</v>
      </c>
      <c r="I783" s="9">
        <v>1.0149999999999999</v>
      </c>
      <c r="J783" s="9">
        <v>18</v>
      </c>
      <c r="K783" s="9" t="s">
        <v>442</v>
      </c>
      <c r="L783" s="9"/>
      <c r="M783" s="9"/>
      <c r="N783" s="9" t="str">
        <f ca="1">IFERROR(__xludf.DUMMYFUNCTION("IFERROR(VALUE(REGEXEXTRACT(TO_TEXT($F783), N$1 &amp; ""x(\d+)"")), """")
"),"")</f>
        <v/>
      </c>
      <c r="O783" s="9">
        <f ca="1">IFERROR(__xludf.DUMMYFUNCTION("IFERROR(VALUE(REGEXEXTRACT(TO_TEXT($F783), O$1 &amp; ""x(\d+)"")), """")"),1)</f>
        <v>1</v>
      </c>
      <c r="P783" s="9" t="str">
        <f ca="1">IFERROR(__xludf.DUMMYFUNCTION("IFERROR(VALUE(REGEXEXTRACT(TO_TEXT($F783), P$1 &amp; ""x(\d+)"")), """")"),"")</f>
        <v/>
      </c>
      <c r="Q783" s="9" t="str">
        <f ca="1">IFERROR(__xludf.DUMMYFUNCTION("IFERROR(VALUE(REGEXEXTRACT(TO_TEXT($F783), Q$1 &amp; ""x(\d+)"")), """")"),"")</f>
        <v/>
      </c>
      <c r="R783" s="9" t="str">
        <f ca="1">IFERROR(__xludf.DUMMYFUNCTION("IFERROR(VALUE(REGEXEXTRACT(TO_TEXT($F783), R$1 &amp; ""x(\d+)"")), """")"),"")</f>
        <v/>
      </c>
      <c r="S783" s="9" t="str">
        <f ca="1">IFERROR(__xludf.DUMMYFUNCTION("IFERROR(VALUE(REGEXEXTRACT(TO_TEXT($F783), S$1 &amp; ""x(\d+)"")), """")"),"")</f>
        <v/>
      </c>
      <c r="T783" s="9" t="str">
        <f ca="1">IFERROR(__xludf.DUMMYFUNCTION("IFERROR(VALUE(REGEXEXTRACT(TO_TEXT($F783), T$1 &amp; ""x(\d+)"")), """")"),"")</f>
        <v/>
      </c>
      <c r="U783" s="9" t="str">
        <f ca="1">IFERROR(__xludf.DUMMYFUNCTION("IFERROR(VALUE(REGEXEXTRACT(TO_TEXT($F783), U$1 &amp; ""x(\d+)"")), """")"),"")</f>
        <v/>
      </c>
      <c r="V783" s="9" t="str">
        <f ca="1">IFERROR(__xludf.DUMMYFUNCTION("IFERROR(VALUE(REGEXEXTRACT(TO_TEXT($F783), V$1 &amp; ""x(\d+)"")), """")"),"")</f>
        <v/>
      </c>
      <c r="W783" s="9"/>
      <c r="X783" s="9"/>
      <c r="Y783" s="9"/>
      <c r="Z783" s="9"/>
    </row>
    <row r="784" spans="1:26" ht="15.75" customHeight="1">
      <c r="A784" s="9" t="s">
        <v>1875</v>
      </c>
      <c r="B784" s="9" t="s">
        <v>1876</v>
      </c>
      <c r="C784" s="9" t="s">
        <v>795</v>
      </c>
      <c r="D784" s="9" t="s">
        <v>33</v>
      </c>
      <c r="E784" s="9" t="s">
        <v>12</v>
      </c>
      <c r="F784" s="9" t="s">
        <v>1877</v>
      </c>
      <c r="G784" s="9">
        <v>25</v>
      </c>
      <c r="H784" s="9">
        <v>5</v>
      </c>
      <c r="I784" s="9">
        <v>1.0149999999999999</v>
      </c>
      <c r="J784" s="9">
        <v>18</v>
      </c>
      <c r="K784" s="9" t="s">
        <v>442</v>
      </c>
      <c r="L784" s="9"/>
      <c r="M784" s="9"/>
      <c r="N784" s="9" t="str">
        <f ca="1">IFERROR(__xludf.DUMMYFUNCTION("IFERROR(VALUE(REGEXEXTRACT(TO_TEXT($F784), N$1 &amp; ""x(\d+)"")), """")
"),"")</f>
        <v/>
      </c>
      <c r="O784" s="9">
        <f ca="1">IFERROR(__xludf.DUMMYFUNCTION("IFERROR(VALUE(REGEXEXTRACT(TO_TEXT($F784), O$1 &amp; ""x(\d+)"")), """")"),1)</f>
        <v>1</v>
      </c>
      <c r="P784" s="9" t="str">
        <f ca="1">IFERROR(__xludf.DUMMYFUNCTION("IFERROR(VALUE(REGEXEXTRACT(TO_TEXT($F784), P$1 &amp; ""x(\d+)"")), """")"),"")</f>
        <v/>
      </c>
      <c r="Q784" s="9" t="str">
        <f ca="1">IFERROR(__xludf.DUMMYFUNCTION("IFERROR(VALUE(REGEXEXTRACT(TO_TEXT($F784), Q$1 &amp; ""x(\d+)"")), """")"),"")</f>
        <v/>
      </c>
      <c r="R784" s="9" t="str">
        <f ca="1">IFERROR(__xludf.DUMMYFUNCTION("IFERROR(VALUE(REGEXEXTRACT(TO_TEXT($F784), R$1 &amp; ""x(\d+)"")), """")"),"")</f>
        <v/>
      </c>
      <c r="S784" s="9" t="str">
        <f ca="1">IFERROR(__xludf.DUMMYFUNCTION("IFERROR(VALUE(REGEXEXTRACT(TO_TEXT($F784), S$1 &amp; ""x(\d+)"")), """")"),"")</f>
        <v/>
      </c>
      <c r="T784" s="9" t="str">
        <f ca="1">IFERROR(__xludf.DUMMYFUNCTION("IFERROR(VALUE(REGEXEXTRACT(TO_TEXT($F784), T$1 &amp; ""x(\d+)"")), """")"),"")</f>
        <v/>
      </c>
      <c r="U784" s="9" t="str">
        <f ca="1">IFERROR(__xludf.DUMMYFUNCTION("IFERROR(VALUE(REGEXEXTRACT(TO_TEXT($F784), U$1 &amp; ""x(\d+)"")), """")"),"")</f>
        <v/>
      </c>
      <c r="V784" s="9" t="str">
        <f ca="1">IFERROR(__xludf.DUMMYFUNCTION("IFERROR(VALUE(REGEXEXTRACT(TO_TEXT($F784), V$1 &amp; ""x(\d+)"")), """")"),"")</f>
        <v/>
      </c>
      <c r="W784" s="9"/>
      <c r="X784" s="9"/>
      <c r="Y784" s="9"/>
      <c r="Z784" s="9"/>
    </row>
    <row r="785" spans="1:26" ht="15.75" customHeight="1">
      <c r="A785" s="9" t="s">
        <v>1875</v>
      </c>
      <c r="B785" s="9" t="s">
        <v>1876</v>
      </c>
      <c r="C785" s="9" t="s">
        <v>795</v>
      </c>
      <c r="D785" s="9" t="s">
        <v>33</v>
      </c>
      <c r="E785" s="9" t="s">
        <v>13</v>
      </c>
      <c r="F785" s="9" t="s">
        <v>1197</v>
      </c>
      <c r="G785" s="9">
        <v>10</v>
      </c>
      <c r="H785" s="9">
        <v>5</v>
      </c>
      <c r="I785" s="9">
        <v>1.0149999999999999</v>
      </c>
      <c r="J785" s="9">
        <v>18</v>
      </c>
      <c r="K785" s="9" t="s">
        <v>442</v>
      </c>
      <c r="L785" s="9"/>
      <c r="M785" s="9"/>
      <c r="N785" s="9" t="str">
        <f ca="1">IFERROR(__xludf.DUMMYFUNCTION("IFERROR(VALUE(REGEXEXTRACT(TO_TEXT($F785), N$1 &amp; ""x(\d+)"")), """")
"),"")</f>
        <v/>
      </c>
      <c r="O785" s="9">
        <f ca="1">IFERROR(__xludf.DUMMYFUNCTION("IFERROR(VALUE(REGEXEXTRACT(TO_TEXT($F785), O$1 &amp; ""x(\d+)"")), """")"),1)</f>
        <v>1</v>
      </c>
      <c r="P785" s="9" t="str">
        <f ca="1">IFERROR(__xludf.DUMMYFUNCTION("IFERROR(VALUE(REGEXEXTRACT(TO_TEXT($F785), P$1 &amp; ""x(\d+)"")), """")"),"")</f>
        <v/>
      </c>
      <c r="Q785" s="9" t="str">
        <f ca="1">IFERROR(__xludf.DUMMYFUNCTION("IFERROR(VALUE(REGEXEXTRACT(TO_TEXT($F785), Q$1 &amp; ""x(\d+)"")), """")"),"")</f>
        <v/>
      </c>
      <c r="R785" s="9" t="str">
        <f ca="1">IFERROR(__xludf.DUMMYFUNCTION("IFERROR(VALUE(REGEXEXTRACT(TO_TEXT($F785), R$1 &amp; ""x(\d+)"")), """")"),"")</f>
        <v/>
      </c>
      <c r="S785" s="9" t="str">
        <f ca="1">IFERROR(__xludf.DUMMYFUNCTION("IFERROR(VALUE(REGEXEXTRACT(TO_TEXT($F785), S$1 &amp; ""x(\d+)"")), """")"),"")</f>
        <v/>
      </c>
      <c r="T785" s="9" t="str">
        <f ca="1">IFERROR(__xludf.DUMMYFUNCTION("IFERROR(VALUE(REGEXEXTRACT(TO_TEXT($F785), T$1 &amp; ""x(\d+)"")), """")"),"")</f>
        <v/>
      </c>
      <c r="U785" s="9" t="str">
        <f ca="1">IFERROR(__xludf.DUMMYFUNCTION("IFERROR(VALUE(REGEXEXTRACT(TO_TEXT($F785), U$1 &amp; ""x(\d+)"")), """")"),"")</f>
        <v/>
      </c>
      <c r="V785" s="9" t="str">
        <f ca="1">IFERROR(__xludf.DUMMYFUNCTION("IFERROR(VALUE(REGEXEXTRACT(TO_TEXT($F785), V$1 &amp; ""x(\d+)"")), """")"),"")</f>
        <v/>
      </c>
      <c r="W785" s="9"/>
      <c r="X785" s="9"/>
      <c r="Y785" s="9"/>
      <c r="Z785" s="9"/>
    </row>
    <row r="786" spans="1:26" ht="15.75" customHeight="1">
      <c r="A786" s="9" t="s">
        <v>1878</v>
      </c>
      <c r="B786" s="9" t="s">
        <v>1879</v>
      </c>
      <c r="C786" s="9" t="s">
        <v>793</v>
      </c>
      <c r="D786" s="9" t="s">
        <v>33</v>
      </c>
      <c r="E786" s="9" t="s">
        <v>12</v>
      </c>
      <c r="F786" s="9" t="s">
        <v>1880</v>
      </c>
      <c r="G786" s="9">
        <v>120</v>
      </c>
      <c r="H786" s="9">
        <v>4</v>
      </c>
      <c r="I786" s="9">
        <v>1.0149999999999999</v>
      </c>
      <c r="J786" s="9">
        <v>79</v>
      </c>
      <c r="K786" s="9" t="s">
        <v>424</v>
      </c>
      <c r="L786" s="9"/>
      <c r="M786" s="9"/>
      <c r="N786" s="9" t="str">
        <f ca="1">IFERROR(__xludf.DUMMYFUNCTION("IFERROR(VALUE(REGEXEXTRACT(TO_TEXT($F786), N$1 &amp; ""x(\d+)"")), """")
"),"")</f>
        <v/>
      </c>
      <c r="O786" s="9">
        <f ca="1">IFERROR(__xludf.DUMMYFUNCTION("IFERROR(VALUE(REGEXEXTRACT(TO_TEXT($F786), O$1 &amp; ""x(\d+)"")), """")"),1)</f>
        <v>1</v>
      </c>
      <c r="P786" s="9" t="str">
        <f ca="1">IFERROR(__xludf.DUMMYFUNCTION("IFERROR(VALUE(REGEXEXTRACT(TO_TEXT($F786), P$1 &amp; ""x(\d+)"")), """")"),"")</f>
        <v/>
      </c>
      <c r="Q786" s="9" t="str">
        <f ca="1">IFERROR(__xludf.DUMMYFUNCTION("IFERROR(VALUE(REGEXEXTRACT(TO_TEXT($F786), Q$1 &amp; ""x(\d+)"")), """")"),"")</f>
        <v/>
      </c>
      <c r="R786" s="9" t="str">
        <f ca="1">IFERROR(__xludf.DUMMYFUNCTION("IFERROR(VALUE(REGEXEXTRACT(TO_TEXT($F786), R$1 &amp; ""x(\d+)"")), """")"),"")</f>
        <v/>
      </c>
      <c r="S786" s="9" t="str">
        <f ca="1">IFERROR(__xludf.DUMMYFUNCTION("IFERROR(VALUE(REGEXEXTRACT(TO_TEXT($F786), S$1 &amp; ""x(\d+)"")), """")"),"")</f>
        <v/>
      </c>
      <c r="T786" s="9" t="str">
        <f ca="1">IFERROR(__xludf.DUMMYFUNCTION("IFERROR(VALUE(REGEXEXTRACT(TO_TEXT($F786), T$1 &amp; ""x(\d+)"")), """")"),"")</f>
        <v/>
      </c>
      <c r="U786" s="9" t="str">
        <f ca="1">IFERROR(__xludf.DUMMYFUNCTION("IFERROR(VALUE(REGEXEXTRACT(TO_TEXT($F786), U$1 &amp; ""x(\d+)"")), """")"),"")</f>
        <v/>
      </c>
      <c r="V786" s="9">
        <f ca="1">IFERROR(__xludf.DUMMYFUNCTION("IFERROR(VALUE(REGEXEXTRACT(TO_TEXT($F786), V$1 &amp; ""x(\d+)"")), """")"),1)</f>
        <v>1</v>
      </c>
      <c r="W786" s="9"/>
      <c r="X786" s="9"/>
      <c r="Y786" s="9"/>
      <c r="Z786" s="9"/>
    </row>
    <row r="787" spans="1:26" ht="15.75" customHeight="1">
      <c r="A787" s="9" t="s">
        <v>1878</v>
      </c>
      <c r="B787" s="9" t="s">
        <v>1879</v>
      </c>
      <c r="C787" s="9" t="s">
        <v>793</v>
      </c>
      <c r="D787" s="9" t="s">
        <v>33</v>
      </c>
      <c r="E787" s="9" t="s">
        <v>13</v>
      </c>
      <c r="F787" s="9" t="s">
        <v>1058</v>
      </c>
      <c r="G787" s="9">
        <v>15</v>
      </c>
      <c r="H787" s="9">
        <v>4</v>
      </c>
      <c r="I787" s="9">
        <v>1.0149999999999999</v>
      </c>
      <c r="J787" s="9">
        <v>79</v>
      </c>
      <c r="K787" s="9" t="s">
        <v>424</v>
      </c>
      <c r="L787" s="9"/>
      <c r="M787" s="9"/>
      <c r="N787" s="9" t="str">
        <f ca="1">IFERROR(__xludf.DUMMYFUNCTION("IFERROR(VALUE(REGEXEXTRACT(TO_TEXT($F787), N$1 &amp; ""x(\d+)"")), """")
"),"")</f>
        <v/>
      </c>
      <c r="O787" s="9">
        <f ca="1">IFERROR(__xludf.DUMMYFUNCTION("IFERROR(VALUE(REGEXEXTRACT(TO_TEXT($F787), O$1 &amp; ""x(\d+)"")), """")"),1)</f>
        <v>1</v>
      </c>
      <c r="P787" s="9" t="str">
        <f ca="1">IFERROR(__xludf.DUMMYFUNCTION("IFERROR(VALUE(REGEXEXTRACT(TO_TEXT($F787), P$1 &amp; ""x(\d+)"")), """")"),"")</f>
        <v/>
      </c>
      <c r="Q787" s="9" t="str">
        <f ca="1">IFERROR(__xludf.DUMMYFUNCTION("IFERROR(VALUE(REGEXEXTRACT(TO_TEXT($F787), Q$1 &amp; ""x(\d+)"")), """")"),"")</f>
        <v/>
      </c>
      <c r="R787" s="9" t="str">
        <f ca="1">IFERROR(__xludf.DUMMYFUNCTION("IFERROR(VALUE(REGEXEXTRACT(TO_TEXT($F787), R$1 &amp; ""x(\d+)"")), """")"),"")</f>
        <v/>
      </c>
      <c r="S787" s="9" t="str">
        <f ca="1">IFERROR(__xludf.DUMMYFUNCTION("IFERROR(VALUE(REGEXEXTRACT(TO_TEXT($F787), S$1 &amp; ""x(\d+)"")), """")"),"")</f>
        <v/>
      </c>
      <c r="T787" s="9" t="str">
        <f ca="1">IFERROR(__xludf.DUMMYFUNCTION("IFERROR(VALUE(REGEXEXTRACT(TO_TEXT($F787), T$1 &amp; ""x(\d+)"")), """")"),"")</f>
        <v/>
      </c>
      <c r="U787" s="9" t="str">
        <f ca="1">IFERROR(__xludf.DUMMYFUNCTION("IFERROR(VALUE(REGEXEXTRACT(TO_TEXT($F787), U$1 &amp; ""x(\d+)"")), """")"),"")</f>
        <v/>
      </c>
      <c r="V787" s="9" t="str">
        <f ca="1">IFERROR(__xludf.DUMMYFUNCTION("IFERROR(VALUE(REGEXEXTRACT(TO_TEXT($F787), V$1 &amp; ""x(\d+)"")), """")"),"")</f>
        <v/>
      </c>
      <c r="W787" s="9"/>
      <c r="X787" s="9"/>
      <c r="Y787" s="9"/>
      <c r="Z787" s="9"/>
    </row>
    <row r="788" spans="1:26" ht="15.75" hidden="1" customHeight="1">
      <c r="A788" s="9" t="s">
        <v>1881</v>
      </c>
      <c r="B788" s="9" t="s">
        <v>1882</v>
      </c>
      <c r="C788" s="9" t="s">
        <v>685</v>
      </c>
      <c r="D788" s="9" t="s">
        <v>687</v>
      </c>
      <c r="E788" s="9" t="s">
        <v>11</v>
      </c>
      <c r="F788" s="9" t="s">
        <v>1883</v>
      </c>
      <c r="G788" s="9">
        <v>15</v>
      </c>
      <c r="H788" s="9">
        <v>1</v>
      </c>
      <c r="I788" s="9">
        <v>1.0149999999999999</v>
      </c>
      <c r="J788" s="9">
        <v>18</v>
      </c>
      <c r="K788" s="9" t="s">
        <v>424</v>
      </c>
      <c r="L788" s="9"/>
      <c r="M788" s="9"/>
      <c r="N788" s="9" t="str">
        <f ca="1">IFERROR(__xludf.DUMMYFUNCTION("IFERROR(VALUE(REGEXEXTRACT(TO_TEXT($F788), N$1 &amp; ""x(\d+)"")), """")
"),"")</f>
        <v/>
      </c>
      <c r="O788" s="9" t="str">
        <f ca="1">IFERROR(__xludf.DUMMYFUNCTION("IFERROR(VALUE(REGEXEXTRACT(TO_TEXT($F788), O$1 &amp; ""x(\d+)"")), """")"),"")</f>
        <v/>
      </c>
      <c r="P788" s="9" t="str">
        <f ca="1">IFERROR(__xludf.DUMMYFUNCTION("IFERROR(VALUE(REGEXEXTRACT(TO_TEXT($F788), P$1 &amp; ""x(\d+)"")), """")"),"")</f>
        <v/>
      </c>
      <c r="Q788" s="9" t="str">
        <f ca="1">IFERROR(__xludf.DUMMYFUNCTION("IFERROR(VALUE(REGEXEXTRACT(TO_TEXT($F788), Q$1 &amp; ""x(\d+)"")), """")"),"")</f>
        <v/>
      </c>
      <c r="R788" s="9" t="str">
        <f ca="1">IFERROR(__xludf.DUMMYFUNCTION("IFERROR(VALUE(REGEXEXTRACT(TO_TEXT($F788), R$1 &amp; ""x(\d+)"")), """")"),"")</f>
        <v/>
      </c>
      <c r="S788" s="9" t="str">
        <f ca="1">IFERROR(__xludf.DUMMYFUNCTION("IFERROR(VALUE(REGEXEXTRACT(TO_TEXT($F788), S$1 &amp; ""x(\d+)"")), """")"),"")</f>
        <v/>
      </c>
      <c r="T788" s="9" t="str">
        <f ca="1">IFERROR(__xludf.DUMMYFUNCTION("IFERROR(VALUE(REGEXEXTRACT(TO_TEXT($F788), T$1 &amp; ""x(\d+)"")), """")"),"")</f>
        <v/>
      </c>
      <c r="U788" s="9">
        <f ca="1">IFERROR(__xludf.DUMMYFUNCTION("IFERROR(VALUE(REGEXEXTRACT(TO_TEXT($F788), U$1 &amp; ""x(\d+)"")), """")"),1)</f>
        <v>1</v>
      </c>
      <c r="V788" s="9" t="str">
        <f ca="1">IFERROR(__xludf.DUMMYFUNCTION("IFERROR(VALUE(REGEXEXTRACT(TO_TEXT($F788), V$1 &amp; ""x(\d+)"")), """")"),"")</f>
        <v/>
      </c>
      <c r="W788" s="9"/>
      <c r="X788" s="9"/>
      <c r="Y788" s="9"/>
      <c r="Z788" s="9"/>
    </row>
    <row r="789" spans="1:26" ht="15.75" hidden="1" customHeight="1">
      <c r="A789" s="9" t="s">
        <v>1881</v>
      </c>
      <c r="B789" s="9" t="s">
        <v>1882</v>
      </c>
      <c r="C789" s="9" t="s">
        <v>685</v>
      </c>
      <c r="D789" s="9" t="s">
        <v>687</v>
      </c>
      <c r="E789" s="9" t="s">
        <v>12</v>
      </c>
      <c r="F789" s="9" t="s">
        <v>1827</v>
      </c>
      <c r="G789" s="9">
        <v>140</v>
      </c>
      <c r="H789" s="9">
        <v>1</v>
      </c>
      <c r="I789" s="9">
        <v>1.0149999999999999</v>
      </c>
      <c r="J789" s="9">
        <v>18</v>
      </c>
      <c r="K789" s="9" t="s">
        <v>424</v>
      </c>
      <c r="L789" s="9" t="s">
        <v>1210</v>
      </c>
      <c r="M789" s="9"/>
      <c r="N789" s="9" t="str">
        <f ca="1">IFERROR(__xludf.DUMMYFUNCTION("IFERROR(VALUE(REGEXEXTRACT(TO_TEXT($F789), N$1 &amp; ""x(\d+)"")), """")
"),"")</f>
        <v/>
      </c>
      <c r="O789" s="9" t="str">
        <f ca="1">IFERROR(__xludf.DUMMYFUNCTION("IFERROR(VALUE(REGEXEXTRACT(TO_TEXT($F789), O$1 &amp; ""x(\d+)"")), """")"),"")</f>
        <v/>
      </c>
      <c r="P789" s="9" t="str">
        <f ca="1">IFERROR(__xludf.DUMMYFUNCTION("IFERROR(VALUE(REGEXEXTRACT(TO_TEXT($F789), P$1 &amp; ""x(\d+)"")), """")"),"")</f>
        <v/>
      </c>
      <c r="Q789" s="9" t="str">
        <f ca="1">IFERROR(__xludf.DUMMYFUNCTION("IFERROR(VALUE(REGEXEXTRACT(TO_TEXT($F789), Q$1 &amp; ""x(\d+)"")), """")"),"")</f>
        <v/>
      </c>
      <c r="R789" s="9" t="str">
        <f ca="1">IFERROR(__xludf.DUMMYFUNCTION("IFERROR(VALUE(REGEXEXTRACT(TO_TEXT($F789), R$1 &amp; ""x(\d+)"")), """")"),"")</f>
        <v/>
      </c>
      <c r="S789" s="9" t="str">
        <f ca="1">IFERROR(__xludf.DUMMYFUNCTION("IFERROR(VALUE(REGEXEXTRACT(TO_TEXT($F789), S$1 &amp; ""x(\d+)"")), """")"),"")</f>
        <v/>
      </c>
      <c r="T789" s="9" t="str">
        <f ca="1">IFERROR(__xludf.DUMMYFUNCTION("IFERROR(VALUE(REGEXEXTRACT(TO_TEXT($F789), T$1 &amp; ""x(\d+)"")), """")"),"")</f>
        <v/>
      </c>
      <c r="U789" s="9">
        <f ca="1">IFERROR(__xludf.DUMMYFUNCTION("IFERROR(VALUE(REGEXEXTRACT(TO_TEXT($F789), U$1 &amp; ""x(\d+)"")), """")"),1)</f>
        <v>1</v>
      </c>
      <c r="V789" s="9" t="str">
        <f ca="1">IFERROR(__xludf.DUMMYFUNCTION("IFERROR(VALUE(REGEXEXTRACT(TO_TEXT($F789), V$1 &amp; ""x(\d+)"")), """")"),"")</f>
        <v/>
      </c>
      <c r="W789" s="9"/>
      <c r="X789" s="9"/>
      <c r="Y789" s="9"/>
      <c r="Z789" s="9"/>
    </row>
    <row r="790" spans="1:26" ht="15.75" hidden="1" customHeight="1">
      <c r="A790" s="9" t="s">
        <v>1881</v>
      </c>
      <c r="B790" s="9" t="s">
        <v>1882</v>
      </c>
      <c r="C790" s="9" t="s">
        <v>685</v>
      </c>
      <c r="D790" s="9" t="s">
        <v>687</v>
      </c>
      <c r="E790" s="9" t="s">
        <v>13</v>
      </c>
      <c r="F790" s="9" t="s">
        <v>1828</v>
      </c>
      <c r="G790" s="9">
        <v>30</v>
      </c>
      <c r="H790" s="9">
        <v>1</v>
      </c>
      <c r="I790" s="9">
        <v>1.0149999999999999</v>
      </c>
      <c r="J790" s="9">
        <v>18</v>
      </c>
      <c r="K790" s="9" t="s">
        <v>424</v>
      </c>
      <c r="L790" s="9"/>
      <c r="M790" s="9"/>
      <c r="N790" s="9" t="str">
        <f ca="1">IFERROR(__xludf.DUMMYFUNCTION("IFERROR(VALUE(REGEXEXTRACT(TO_TEXT($F790), N$1 &amp; ""x(\d+)"")), """")
"),"")</f>
        <v/>
      </c>
      <c r="O790" s="9" t="str">
        <f ca="1">IFERROR(__xludf.DUMMYFUNCTION("IFERROR(VALUE(REGEXEXTRACT(TO_TEXT($F790), O$1 &amp; ""x(\d+)"")), """")"),"")</f>
        <v/>
      </c>
      <c r="P790" s="9" t="str">
        <f ca="1">IFERROR(__xludf.DUMMYFUNCTION("IFERROR(VALUE(REGEXEXTRACT(TO_TEXT($F790), P$1 &amp; ""x(\d+)"")), """")"),"")</f>
        <v/>
      </c>
      <c r="Q790" s="9" t="str">
        <f ca="1">IFERROR(__xludf.DUMMYFUNCTION("IFERROR(VALUE(REGEXEXTRACT(TO_TEXT($F790), Q$1 &amp; ""x(\d+)"")), """")"),"")</f>
        <v/>
      </c>
      <c r="R790" s="9" t="str">
        <f ca="1">IFERROR(__xludf.DUMMYFUNCTION("IFERROR(VALUE(REGEXEXTRACT(TO_TEXT($F790), R$1 &amp; ""x(\d+)"")), """")"),"")</f>
        <v/>
      </c>
      <c r="S790" s="9" t="str">
        <f ca="1">IFERROR(__xludf.DUMMYFUNCTION("IFERROR(VALUE(REGEXEXTRACT(TO_TEXT($F790), S$1 &amp; ""x(\d+)"")), """")"),"")</f>
        <v/>
      </c>
      <c r="T790" s="9" t="str">
        <f ca="1">IFERROR(__xludf.DUMMYFUNCTION("IFERROR(VALUE(REGEXEXTRACT(TO_TEXT($F790), T$1 &amp; ""x(\d+)"")), """")"),"")</f>
        <v/>
      </c>
      <c r="U790" s="9">
        <f ca="1">IFERROR(__xludf.DUMMYFUNCTION("IFERROR(VALUE(REGEXEXTRACT(TO_TEXT($F790), U$1 &amp; ""x(\d+)"")), """")"),1)</f>
        <v>1</v>
      </c>
      <c r="V790" s="9" t="str">
        <f ca="1">IFERROR(__xludf.DUMMYFUNCTION("IFERROR(VALUE(REGEXEXTRACT(TO_TEXT($F790), V$1 &amp; ""x(\d+)"")), """")"),"")</f>
        <v/>
      </c>
      <c r="W790" s="9"/>
      <c r="X790" s="9"/>
      <c r="Y790" s="9"/>
      <c r="Z790" s="9"/>
    </row>
    <row r="791" spans="1:26" ht="15.75" hidden="1" customHeight="1">
      <c r="A791" s="9" t="s">
        <v>1884</v>
      </c>
      <c r="B791" s="9" t="s">
        <v>1885</v>
      </c>
      <c r="C791" s="9" t="s">
        <v>941</v>
      </c>
      <c r="D791" s="9" t="s">
        <v>48</v>
      </c>
      <c r="E791" s="9" t="s">
        <v>11</v>
      </c>
      <c r="F791" s="9" t="s">
        <v>1204</v>
      </c>
      <c r="G791" s="9">
        <v>20</v>
      </c>
      <c r="H791" s="9">
        <v>3</v>
      </c>
      <c r="I791" s="9">
        <v>1.0149999999999999</v>
      </c>
      <c r="J791" s="9">
        <v>52</v>
      </c>
      <c r="K791" s="9" t="s">
        <v>424</v>
      </c>
      <c r="L791" s="9"/>
      <c r="M791" s="9"/>
      <c r="N791" s="9" t="str">
        <f ca="1">IFERROR(__xludf.DUMMYFUNCTION("IFERROR(VALUE(REGEXEXTRACT(TO_TEXT($F791), N$1 &amp; ""x(\d+)"")), """")
"),"")</f>
        <v/>
      </c>
      <c r="O791" s="9" t="str">
        <f ca="1">IFERROR(__xludf.DUMMYFUNCTION("IFERROR(VALUE(REGEXEXTRACT(TO_TEXT($F791), O$1 &amp; ""x(\d+)"")), """")"),"")</f>
        <v/>
      </c>
      <c r="P791" s="9" t="str">
        <f ca="1">IFERROR(__xludf.DUMMYFUNCTION("IFERROR(VALUE(REGEXEXTRACT(TO_TEXT($F791), P$1 &amp; ""x(\d+)"")), """")"),"")</f>
        <v/>
      </c>
      <c r="Q791" s="9" t="str">
        <f ca="1">IFERROR(__xludf.DUMMYFUNCTION("IFERROR(VALUE(REGEXEXTRACT(TO_TEXT($F791), Q$1 &amp; ""x(\d+)"")), """")"),"")</f>
        <v/>
      </c>
      <c r="R791" s="9" t="str">
        <f ca="1">IFERROR(__xludf.DUMMYFUNCTION("IFERROR(VALUE(REGEXEXTRACT(TO_TEXT($F791), R$1 &amp; ""x(\d+)"")), """")"),"")</f>
        <v/>
      </c>
      <c r="S791" s="9" t="str">
        <f ca="1">IFERROR(__xludf.DUMMYFUNCTION("IFERROR(VALUE(REGEXEXTRACT(TO_TEXT($F791), S$1 &amp; ""x(\d+)"")), """")"),"")</f>
        <v/>
      </c>
      <c r="T791" s="9" t="str">
        <f ca="1">IFERROR(__xludf.DUMMYFUNCTION("IFERROR(VALUE(REGEXEXTRACT(TO_TEXT($F791), T$1 &amp; ""x(\d+)"")), """")"),"")</f>
        <v/>
      </c>
      <c r="U791" s="9" t="str">
        <f ca="1">IFERROR(__xludf.DUMMYFUNCTION("IFERROR(VALUE(REGEXEXTRACT(TO_TEXT($F791), U$1 &amp; ""x(\d+)"")), """")"),"")</f>
        <v/>
      </c>
      <c r="V791" s="9" t="str">
        <f ca="1">IFERROR(__xludf.DUMMYFUNCTION("IFERROR(VALUE(REGEXEXTRACT(TO_TEXT($F791), V$1 &amp; ""x(\d+)"")), """")"),"")</f>
        <v/>
      </c>
      <c r="W791" s="9"/>
      <c r="X791" s="9"/>
      <c r="Y791" s="9"/>
      <c r="Z791" s="9"/>
    </row>
    <row r="792" spans="1:26" ht="15.75" hidden="1" customHeight="1">
      <c r="A792" s="9" t="s">
        <v>1884</v>
      </c>
      <c r="B792" s="9" t="s">
        <v>1885</v>
      </c>
      <c r="C792" s="9" t="s">
        <v>941</v>
      </c>
      <c r="D792" s="9" t="s">
        <v>48</v>
      </c>
      <c r="E792" s="9" t="s">
        <v>12</v>
      </c>
      <c r="F792" s="9" t="s">
        <v>1886</v>
      </c>
      <c r="G792" s="9">
        <v>130</v>
      </c>
      <c r="H792" s="9">
        <v>3</v>
      </c>
      <c r="I792" s="9">
        <v>1.0149999999999999</v>
      </c>
      <c r="J792" s="9">
        <v>52</v>
      </c>
      <c r="K792" s="9" t="s">
        <v>424</v>
      </c>
      <c r="L792" s="9" t="s">
        <v>1210</v>
      </c>
      <c r="M792" s="9"/>
      <c r="N792" s="9" t="str">
        <f ca="1">IFERROR(__xludf.DUMMYFUNCTION("IFERROR(VALUE(REGEXEXTRACT(TO_TEXT($F792), N$1 &amp; ""x(\d+)"")), """")
"),"")</f>
        <v/>
      </c>
      <c r="O792" s="9" t="str">
        <f ca="1">IFERROR(__xludf.DUMMYFUNCTION("IFERROR(VALUE(REGEXEXTRACT(TO_TEXT($F792), O$1 &amp; ""x(\d+)"")), """")"),"")</f>
        <v/>
      </c>
      <c r="P792" s="9">
        <f ca="1">IFERROR(__xludf.DUMMYFUNCTION("IFERROR(VALUE(REGEXEXTRACT(TO_TEXT($F792), P$1 &amp; ""x(\d+)"")), """")"),1)</f>
        <v>1</v>
      </c>
      <c r="Q792" s="9" t="str">
        <f ca="1">IFERROR(__xludf.DUMMYFUNCTION("IFERROR(VALUE(REGEXEXTRACT(TO_TEXT($F792), Q$1 &amp; ""x(\d+)"")), """")"),"")</f>
        <v/>
      </c>
      <c r="R792" s="9" t="str">
        <f ca="1">IFERROR(__xludf.DUMMYFUNCTION("IFERROR(VALUE(REGEXEXTRACT(TO_TEXT($F792), R$1 &amp; ""x(\d+)"")), """")"),"")</f>
        <v/>
      </c>
      <c r="S792" s="9" t="str">
        <f ca="1">IFERROR(__xludf.DUMMYFUNCTION("IFERROR(VALUE(REGEXEXTRACT(TO_TEXT($F792), S$1 &amp; ""x(\d+)"")), """")"),"")</f>
        <v/>
      </c>
      <c r="T792" s="9" t="str">
        <f ca="1">IFERROR(__xludf.DUMMYFUNCTION("IFERROR(VALUE(REGEXEXTRACT(TO_TEXT($F792), T$1 &amp; ""x(\d+)"")), """")"),"")</f>
        <v/>
      </c>
      <c r="U792" s="9" t="str">
        <f ca="1">IFERROR(__xludf.DUMMYFUNCTION("IFERROR(VALUE(REGEXEXTRACT(TO_TEXT($F792), U$1 &amp; ""x(\d+)"")), """")"),"")</f>
        <v/>
      </c>
      <c r="V792" s="9" t="str">
        <f ca="1">IFERROR(__xludf.DUMMYFUNCTION("IFERROR(VALUE(REGEXEXTRACT(TO_TEXT($F792), V$1 &amp; ""x(\d+)"")), """")"),"")</f>
        <v/>
      </c>
      <c r="W792" s="9"/>
      <c r="X792" s="9"/>
      <c r="Y792" s="9"/>
      <c r="Z792" s="9"/>
    </row>
    <row r="793" spans="1:26" ht="15.75" hidden="1" customHeight="1">
      <c r="A793" s="9" t="s">
        <v>1884</v>
      </c>
      <c r="B793" s="9" t="s">
        <v>1885</v>
      </c>
      <c r="C793" s="9" t="s">
        <v>941</v>
      </c>
      <c r="D793" s="9" t="s">
        <v>48</v>
      </c>
      <c r="E793" s="9" t="s">
        <v>13</v>
      </c>
      <c r="F793" s="9" t="s">
        <v>1887</v>
      </c>
      <c r="G793" s="9">
        <v>30</v>
      </c>
      <c r="H793" s="9">
        <v>3</v>
      </c>
      <c r="I793" s="9">
        <v>1.0149999999999999</v>
      </c>
      <c r="J793" s="9">
        <v>52</v>
      </c>
      <c r="K793" s="9" t="s">
        <v>424</v>
      </c>
      <c r="L793" s="9"/>
      <c r="M793" s="9"/>
      <c r="N793" s="9" t="str">
        <f ca="1">IFERROR(__xludf.DUMMYFUNCTION("IFERROR(VALUE(REGEXEXTRACT(TO_TEXT($F793), N$1 &amp; ""x(\d+)"")), """")
"),"")</f>
        <v/>
      </c>
      <c r="O793" s="9" t="str">
        <f ca="1">IFERROR(__xludf.DUMMYFUNCTION("IFERROR(VALUE(REGEXEXTRACT(TO_TEXT($F793), O$1 &amp; ""x(\d+)"")), """")"),"")</f>
        <v/>
      </c>
      <c r="P793" s="9">
        <f ca="1">IFERROR(__xludf.DUMMYFUNCTION("IFERROR(VALUE(REGEXEXTRACT(TO_TEXT($F793), P$1 &amp; ""x(\d+)"")), """")"),1)</f>
        <v>1</v>
      </c>
      <c r="Q793" s="9" t="str">
        <f ca="1">IFERROR(__xludf.DUMMYFUNCTION("IFERROR(VALUE(REGEXEXTRACT(TO_TEXT($F793), Q$1 &amp; ""x(\d+)"")), """")"),"")</f>
        <v/>
      </c>
      <c r="R793" s="9" t="str">
        <f ca="1">IFERROR(__xludf.DUMMYFUNCTION("IFERROR(VALUE(REGEXEXTRACT(TO_TEXT($F793), R$1 &amp; ""x(\d+)"")), """")"),"")</f>
        <v/>
      </c>
      <c r="S793" s="9" t="str">
        <f ca="1">IFERROR(__xludf.DUMMYFUNCTION("IFERROR(VALUE(REGEXEXTRACT(TO_TEXT($F793), S$1 &amp; ""x(\d+)"")), """")"),"")</f>
        <v/>
      </c>
      <c r="T793" s="9" t="str">
        <f ca="1">IFERROR(__xludf.DUMMYFUNCTION("IFERROR(VALUE(REGEXEXTRACT(TO_TEXT($F793), T$1 &amp; ""x(\d+)"")), """")"),"")</f>
        <v/>
      </c>
      <c r="U793" s="9" t="str">
        <f ca="1">IFERROR(__xludf.DUMMYFUNCTION("IFERROR(VALUE(REGEXEXTRACT(TO_TEXT($F793), U$1 &amp; ""x(\d+)"")), """")"),"")</f>
        <v/>
      </c>
      <c r="V793" s="9" t="str">
        <f ca="1">IFERROR(__xludf.DUMMYFUNCTION("IFERROR(VALUE(REGEXEXTRACT(TO_TEXT($F793), V$1 &amp; ""x(\d+)"")), """")"),"")</f>
        <v/>
      </c>
      <c r="W793" s="9"/>
      <c r="X793" s="9"/>
      <c r="Y793" s="9"/>
      <c r="Z793" s="9"/>
    </row>
    <row r="794" spans="1:26" ht="15.75" hidden="1" customHeight="1">
      <c r="A794" s="9" t="s">
        <v>1884</v>
      </c>
      <c r="B794" s="9" t="s">
        <v>1885</v>
      </c>
      <c r="C794" s="9" t="s">
        <v>941</v>
      </c>
      <c r="D794" s="9" t="s">
        <v>74</v>
      </c>
      <c r="E794" s="9" t="s">
        <v>11</v>
      </c>
      <c r="F794" s="9" t="s">
        <v>1254</v>
      </c>
      <c r="G794" s="9">
        <v>30</v>
      </c>
      <c r="H794" s="9">
        <v>2</v>
      </c>
      <c r="I794" s="9">
        <v>1.0149999999999999</v>
      </c>
      <c r="J794" s="9">
        <v>103</v>
      </c>
      <c r="K794" s="9" t="s">
        <v>424</v>
      </c>
      <c r="L794" s="9"/>
      <c r="M794" s="9"/>
      <c r="N794" s="9" t="str">
        <f ca="1">IFERROR(__xludf.DUMMYFUNCTION("IFERROR(VALUE(REGEXEXTRACT(TO_TEXT($F794), N$1 &amp; ""x(\d+)"")), """")
"),"")</f>
        <v/>
      </c>
      <c r="O794" s="9" t="str">
        <f ca="1">IFERROR(__xludf.DUMMYFUNCTION("IFERROR(VALUE(REGEXEXTRACT(TO_TEXT($F794), O$1 &amp; ""x(\d+)"")), """")"),"")</f>
        <v/>
      </c>
      <c r="P794" s="9" t="str">
        <f ca="1">IFERROR(__xludf.DUMMYFUNCTION("IFERROR(VALUE(REGEXEXTRACT(TO_TEXT($F794), P$1 &amp; ""x(\d+)"")), """")"),"")</f>
        <v/>
      </c>
      <c r="Q794" s="9" t="str">
        <f ca="1">IFERROR(__xludf.DUMMYFUNCTION("IFERROR(VALUE(REGEXEXTRACT(TO_TEXT($F794), Q$1 &amp; ""x(\d+)"")), """")"),"")</f>
        <v/>
      </c>
      <c r="R794" s="9" t="str">
        <f ca="1">IFERROR(__xludf.DUMMYFUNCTION("IFERROR(VALUE(REGEXEXTRACT(TO_TEXT($F794), R$1 &amp; ""x(\d+)"")), """")"),"")</f>
        <v/>
      </c>
      <c r="S794" s="9" t="str">
        <f ca="1">IFERROR(__xludf.DUMMYFUNCTION("IFERROR(VALUE(REGEXEXTRACT(TO_TEXT($F794), S$1 &amp; ""x(\d+)"")), """")"),"")</f>
        <v/>
      </c>
      <c r="T794" s="9" t="str">
        <f ca="1">IFERROR(__xludf.DUMMYFUNCTION("IFERROR(VALUE(REGEXEXTRACT(TO_TEXT($F794), T$1 &amp; ""x(\d+)"")), """")"),"")</f>
        <v/>
      </c>
      <c r="U794" s="9" t="str">
        <f ca="1">IFERROR(__xludf.DUMMYFUNCTION("IFERROR(VALUE(REGEXEXTRACT(TO_TEXT($F794), U$1 &amp; ""x(\d+)"")), """")"),"")</f>
        <v/>
      </c>
      <c r="V794" s="9" t="str">
        <f ca="1">IFERROR(__xludf.DUMMYFUNCTION("IFERROR(VALUE(REGEXEXTRACT(TO_TEXT($F794), V$1 &amp; ""x(\d+)"")), """")"),"")</f>
        <v/>
      </c>
      <c r="W794" s="9"/>
      <c r="X794" s="9"/>
      <c r="Y794" s="9"/>
      <c r="Z794" s="9"/>
    </row>
    <row r="795" spans="1:26" ht="15.75" hidden="1" customHeight="1">
      <c r="A795" s="9" t="s">
        <v>1884</v>
      </c>
      <c r="B795" s="9" t="s">
        <v>1885</v>
      </c>
      <c r="C795" s="9" t="s">
        <v>941</v>
      </c>
      <c r="D795" s="9" t="s">
        <v>74</v>
      </c>
      <c r="E795" s="9" t="s">
        <v>12</v>
      </c>
      <c r="F795" s="9" t="s">
        <v>1888</v>
      </c>
      <c r="G795" s="9">
        <v>190</v>
      </c>
      <c r="H795" s="9">
        <v>2</v>
      </c>
      <c r="I795" s="9">
        <v>1.0149999999999999</v>
      </c>
      <c r="J795" s="9">
        <v>103</v>
      </c>
      <c r="K795" s="9" t="s">
        <v>424</v>
      </c>
      <c r="L795" s="9" t="s">
        <v>1210</v>
      </c>
      <c r="M795" s="9"/>
      <c r="N795" s="9" t="str">
        <f ca="1">IFERROR(__xludf.DUMMYFUNCTION("IFERROR(VALUE(REGEXEXTRACT(TO_TEXT($F795), N$1 &amp; ""x(\d+)"")), """")
"),"")</f>
        <v/>
      </c>
      <c r="O795" s="9" t="str">
        <f ca="1">IFERROR(__xludf.DUMMYFUNCTION("IFERROR(VALUE(REGEXEXTRACT(TO_TEXT($F795), O$1 &amp; ""x(\d+)"")), """")"),"")</f>
        <v/>
      </c>
      <c r="P795" s="9" t="str">
        <f ca="1">IFERROR(__xludf.DUMMYFUNCTION("IFERROR(VALUE(REGEXEXTRACT(TO_TEXT($F795), P$1 &amp; ""x(\d+)"")), """")"),"")</f>
        <v/>
      </c>
      <c r="Q795" s="9">
        <f ca="1">IFERROR(__xludf.DUMMYFUNCTION("IFERROR(VALUE(REGEXEXTRACT(TO_TEXT($F795), Q$1 &amp; ""x(\d+)"")), """")"),1)</f>
        <v>1</v>
      </c>
      <c r="R795" s="9" t="str">
        <f ca="1">IFERROR(__xludf.DUMMYFUNCTION("IFERROR(VALUE(REGEXEXTRACT(TO_TEXT($F795), R$1 &amp; ""x(\d+)"")), """")"),"")</f>
        <v/>
      </c>
      <c r="S795" s="9" t="str">
        <f ca="1">IFERROR(__xludf.DUMMYFUNCTION("IFERROR(VALUE(REGEXEXTRACT(TO_TEXT($F795), S$1 &amp; ""x(\d+)"")), """")"),"")</f>
        <v/>
      </c>
      <c r="T795" s="9" t="str">
        <f ca="1">IFERROR(__xludf.DUMMYFUNCTION("IFERROR(VALUE(REGEXEXTRACT(TO_TEXT($F795), T$1 &amp; ""x(\d+)"")), """")"),"")</f>
        <v/>
      </c>
      <c r="U795" s="9" t="str">
        <f ca="1">IFERROR(__xludf.DUMMYFUNCTION("IFERROR(VALUE(REGEXEXTRACT(TO_TEXT($F795), U$1 &amp; ""x(\d+)"")), """")"),"")</f>
        <v/>
      </c>
      <c r="V795" s="9" t="str">
        <f ca="1">IFERROR(__xludf.DUMMYFUNCTION("IFERROR(VALUE(REGEXEXTRACT(TO_TEXT($F795), V$1 &amp; ""x(\d+)"")), """")"),"")</f>
        <v/>
      </c>
      <c r="W795" s="9"/>
      <c r="X795" s="9"/>
      <c r="Y795" s="9"/>
      <c r="Z795" s="9"/>
    </row>
    <row r="796" spans="1:26" ht="15.75" hidden="1" customHeight="1">
      <c r="A796" s="9" t="s">
        <v>1884</v>
      </c>
      <c r="B796" s="9" t="s">
        <v>1885</v>
      </c>
      <c r="C796" s="9" t="s">
        <v>941</v>
      </c>
      <c r="D796" s="9" t="s">
        <v>74</v>
      </c>
      <c r="E796" s="9" t="s">
        <v>13</v>
      </c>
      <c r="F796" s="9" t="s">
        <v>1889</v>
      </c>
      <c r="G796" s="9">
        <v>40</v>
      </c>
      <c r="H796" s="9">
        <v>2</v>
      </c>
      <c r="I796" s="9">
        <v>1.0149999999999999</v>
      </c>
      <c r="J796" s="9">
        <v>103</v>
      </c>
      <c r="K796" s="9" t="s">
        <v>424</v>
      </c>
      <c r="L796" s="9"/>
      <c r="M796" s="9"/>
      <c r="N796" s="9" t="str">
        <f ca="1">IFERROR(__xludf.DUMMYFUNCTION("IFERROR(VALUE(REGEXEXTRACT(TO_TEXT($F796), N$1 &amp; ""x(\d+)"")), """")
"),"")</f>
        <v/>
      </c>
      <c r="O796" s="9" t="str">
        <f ca="1">IFERROR(__xludf.DUMMYFUNCTION("IFERROR(VALUE(REGEXEXTRACT(TO_TEXT($F796), O$1 &amp; ""x(\d+)"")), """")"),"")</f>
        <v/>
      </c>
      <c r="P796" s="9" t="str">
        <f ca="1">IFERROR(__xludf.DUMMYFUNCTION("IFERROR(VALUE(REGEXEXTRACT(TO_TEXT($F796), P$1 &amp; ""x(\d+)"")), """")"),"")</f>
        <v/>
      </c>
      <c r="Q796" s="9">
        <f ca="1">IFERROR(__xludf.DUMMYFUNCTION("IFERROR(VALUE(REGEXEXTRACT(TO_TEXT($F796), Q$1 &amp; ""x(\d+)"")), """")"),1)</f>
        <v>1</v>
      </c>
      <c r="R796" s="9" t="str">
        <f ca="1">IFERROR(__xludf.DUMMYFUNCTION("IFERROR(VALUE(REGEXEXTRACT(TO_TEXT($F796), R$1 &amp; ""x(\d+)"")), """")"),"")</f>
        <v/>
      </c>
      <c r="S796" s="9" t="str">
        <f ca="1">IFERROR(__xludf.DUMMYFUNCTION("IFERROR(VALUE(REGEXEXTRACT(TO_TEXT($F796), S$1 &amp; ""x(\d+)"")), """")"),"")</f>
        <v/>
      </c>
      <c r="T796" s="9" t="str">
        <f ca="1">IFERROR(__xludf.DUMMYFUNCTION("IFERROR(VALUE(REGEXEXTRACT(TO_TEXT($F796), T$1 &amp; ""x(\d+)"")), """")"),"")</f>
        <v/>
      </c>
      <c r="U796" s="9" t="str">
        <f ca="1">IFERROR(__xludf.DUMMYFUNCTION("IFERROR(VALUE(REGEXEXTRACT(TO_TEXT($F796), U$1 &amp; ""x(\d+)"")), """")"),"")</f>
        <v/>
      </c>
      <c r="V796" s="9" t="str">
        <f ca="1">IFERROR(__xludf.DUMMYFUNCTION("IFERROR(VALUE(REGEXEXTRACT(TO_TEXT($F796), V$1 &amp; ""x(\d+)"")), """")"),"")</f>
        <v/>
      </c>
      <c r="W796" s="9"/>
      <c r="X796" s="9"/>
      <c r="Y796" s="9"/>
      <c r="Z796" s="9"/>
    </row>
    <row r="797" spans="1:26" ht="15.75" customHeight="1">
      <c r="A797" s="9" t="s">
        <v>1890</v>
      </c>
      <c r="B797" s="9" t="s">
        <v>1891</v>
      </c>
      <c r="C797" s="9" t="s">
        <v>944</v>
      </c>
      <c r="D797" s="9" t="s">
        <v>33</v>
      </c>
      <c r="E797" s="9" t="s">
        <v>11</v>
      </c>
      <c r="F797" s="9" t="s">
        <v>1180</v>
      </c>
      <c r="G797" s="9">
        <v>25</v>
      </c>
      <c r="H797" s="9">
        <v>4</v>
      </c>
      <c r="I797" s="9">
        <v>1.0149999999999999</v>
      </c>
      <c r="J797" s="9">
        <v>103</v>
      </c>
      <c r="K797" s="9" t="s">
        <v>424</v>
      </c>
      <c r="L797" s="9"/>
      <c r="M797" s="9"/>
      <c r="N797" s="9" t="str">
        <f ca="1">IFERROR(__xludf.DUMMYFUNCTION("IFERROR(VALUE(REGEXEXTRACT(TO_TEXT($F797), N$1 &amp; ""x(\d+)"")), """")
"),"")</f>
        <v/>
      </c>
      <c r="O797" s="9" t="str">
        <f ca="1">IFERROR(__xludf.DUMMYFUNCTION("IFERROR(VALUE(REGEXEXTRACT(TO_TEXT($F797), O$1 &amp; ""x(\d+)"")), """")"),"")</f>
        <v/>
      </c>
      <c r="P797" s="9" t="str">
        <f ca="1">IFERROR(__xludf.DUMMYFUNCTION("IFERROR(VALUE(REGEXEXTRACT(TO_TEXT($F797), P$1 &amp; ""x(\d+)"")), """")"),"")</f>
        <v/>
      </c>
      <c r="Q797" s="9" t="str">
        <f ca="1">IFERROR(__xludf.DUMMYFUNCTION("IFERROR(VALUE(REGEXEXTRACT(TO_TEXT($F797), Q$1 &amp; ""x(\d+)"")), """")"),"")</f>
        <v/>
      </c>
      <c r="R797" s="9" t="str">
        <f ca="1">IFERROR(__xludf.DUMMYFUNCTION("IFERROR(VALUE(REGEXEXTRACT(TO_TEXT($F797), R$1 &amp; ""x(\d+)"")), """")"),"")</f>
        <v/>
      </c>
      <c r="S797" s="9" t="str">
        <f ca="1">IFERROR(__xludf.DUMMYFUNCTION("IFERROR(VALUE(REGEXEXTRACT(TO_TEXT($F797), S$1 &amp; ""x(\d+)"")), """")"),"")</f>
        <v/>
      </c>
      <c r="T797" s="9" t="str">
        <f ca="1">IFERROR(__xludf.DUMMYFUNCTION("IFERROR(VALUE(REGEXEXTRACT(TO_TEXT($F797), T$1 &amp; ""x(\d+)"")), """")"),"")</f>
        <v/>
      </c>
      <c r="U797" s="9" t="str">
        <f ca="1">IFERROR(__xludf.DUMMYFUNCTION("IFERROR(VALUE(REGEXEXTRACT(TO_TEXT($F797), U$1 &amp; ""x(\d+)"")), """")"),"")</f>
        <v/>
      </c>
      <c r="V797" s="9" t="str">
        <f ca="1">IFERROR(__xludf.DUMMYFUNCTION("IFERROR(VALUE(REGEXEXTRACT(TO_TEXT($F797), V$1 &amp; ""x(\d+)"")), """")"),"")</f>
        <v/>
      </c>
      <c r="W797" s="9"/>
      <c r="X797" s="9"/>
      <c r="Y797" s="9"/>
      <c r="Z797" s="9"/>
    </row>
    <row r="798" spans="1:26" ht="15.75" customHeight="1">
      <c r="A798" s="9" t="s">
        <v>1890</v>
      </c>
      <c r="B798" s="9" t="s">
        <v>1891</v>
      </c>
      <c r="C798" s="9" t="s">
        <v>944</v>
      </c>
      <c r="D798" s="9" t="s">
        <v>33</v>
      </c>
      <c r="E798" s="9" t="s">
        <v>12</v>
      </c>
      <c r="F798" s="9" t="s">
        <v>1057</v>
      </c>
      <c r="G798" s="9">
        <v>110</v>
      </c>
      <c r="H798" s="9">
        <v>4</v>
      </c>
      <c r="I798" s="9">
        <v>1.0149999999999999</v>
      </c>
      <c r="J798" s="9">
        <v>103</v>
      </c>
      <c r="K798" s="9" t="s">
        <v>424</v>
      </c>
      <c r="L798" s="9" t="s">
        <v>1210</v>
      </c>
      <c r="M798" s="9"/>
      <c r="N798" s="9" t="str">
        <f ca="1">IFERROR(__xludf.DUMMYFUNCTION("IFERROR(VALUE(REGEXEXTRACT(TO_TEXT($F798), N$1 &amp; ""x(\d+)"")), """")
"),"")</f>
        <v/>
      </c>
      <c r="O798" s="9">
        <f ca="1">IFERROR(__xludf.DUMMYFUNCTION("IFERROR(VALUE(REGEXEXTRACT(TO_TEXT($F798), O$1 &amp; ""x(\d+)"")), """")"),1)</f>
        <v>1</v>
      </c>
      <c r="P798" s="9" t="str">
        <f ca="1">IFERROR(__xludf.DUMMYFUNCTION("IFERROR(VALUE(REGEXEXTRACT(TO_TEXT($F798), P$1 &amp; ""x(\d+)"")), """")"),"")</f>
        <v/>
      </c>
      <c r="Q798" s="9" t="str">
        <f ca="1">IFERROR(__xludf.DUMMYFUNCTION("IFERROR(VALUE(REGEXEXTRACT(TO_TEXT($F798), Q$1 &amp; ""x(\d+)"")), """")"),"")</f>
        <v/>
      </c>
      <c r="R798" s="9" t="str">
        <f ca="1">IFERROR(__xludf.DUMMYFUNCTION("IFERROR(VALUE(REGEXEXTRACT(TO_TEXT($F798), R$1 &amp; ""x(\d+)"")), """")"),"")</f>
        <v/>
      </c>
      <c r="S798" s="9" t="str">
        <f ca="1">IFERROR(__xludf.DUMMYFUNCTION("IFERROR(VALUE(REGEXEXTRACT(TO_TEXT($F798), S$1 &amp; ""x(\d+)"")), """")"),"")</f>
        <v/>
      </c>
      <c r="T798" s="9" t="str">
        <f ca="1">IFERROR(__xludf.DUMMYFUNCTION("IFERROR(VALUE(REGEXEXTRACT(TO_TEXT($F798), T$1 &amp; ""x(\d+)"")), """")"),"")</f>
        <v/>
      </c>
      <c r="U798" s="9" t="str">
        <f ca="1">IFERROR(__xludf.DUMMYFUNCTION("IFERROR(VALUE(REGEXEXTRACT(TO_TEXT($F798), U$1 &amp; ""x(\d+)"")), """")"),"")</f>
        <v/>
      </c>
      <c r="V798" s="9" t="str">
        <f ca="1">IFERROR(__xludf.DUMMYFUNCTION("IFERROR(VALUE(REGEXEXTRACT(TO_TEXT($F798), V$1 &amp; ""x(\d+)"")), """")"),"")</f>
        <v/>
      </c>
      <c r="W798" s="9"/>
      <c r="X798" s="9"/>
      <c r="Y798" s="9"/>
      <c r="Z798" s="9"/>
    </row>
    <row r="799" spans="1:26" ht="15.75" customHeight="1">
      <c r="A799" s="9" t="s">
        <v>1890</v>
      </c>
      <c r="B799" s="9" t="s">
        <v>1891</v>
      </c>
      <c r="C799" s="9" t="s">
        <v>944</v>
      </c>
      <c r="D799" s="9" t="s">
        <v>33</v>
      </c>
      <c r="E799" s="9" t="s">
        <v>13</v>
      </c>
      <c r="F799" s="9" t="s">
        <v>1108</v>
      </c>
      <c r="G799" s="9">
        <v>20</v>
      </c>
      <c r="H799" s="9">
        <v>4</v>
      </c>
      <c r="I799" s="9">
        <v>1.0149999999999999</v>
      </c>
      <c r="J799" s="9">
        <v>103</v>
      </c>
      <c r="K799" s="9" t="s">
        <v>424</v>
      </c>
      <c r="L799" s="9"/>
      <c r="M799" s="9"/>
      <c r="N799" s="9" t="str">
        <f ca="1">IFERROR(__xludf.DUMMYFUNCTION("IFERROR(VALUE(REGEXEXTRACT(TO_TEXT($F799), N$1 &amp; ""x(\d+)"")), """")
"),"")</f>
        <v/>
      </c>
      <c r="O799" s="9">
        <f ca="1">IFERROR(__xludf.DUMMYFUNCTION("IFERROR(VALUE(REGEXEXTRACT(TO_TEXT($F799), O$1 &amp; ""x(\d+)"")), """")"),1)</f>
        <v>1</v>
      </c>
      <c r="P799" s="9" t="str">
        <f ca="1">IFERROR(__xludf.DUMMYFUNCTION("IFERROR(VALUE(REGEXEXTRACT(TO_TEXT($F799), P$1 &amp; ""x(\d+)"")), """")"),"")</f>
        <v/>
      </c>
      <c r="Q799" s="9" t="str">
        <f ca="1">IFERROR(__xludf.DUMMYFUNCTION("IFERROR(VALUE(REGEXEXTRACT(TO_TEXT($F799), Q$1 &amp; ""x(\d+)"")), """")"),"")</f>
        <v/>
      </c>
      <c r="R799" s="9" t="str">
        <f ca="1">IFERROR(__xludf.DUMMYFUNCTION("IFERROR(VALUE(REGEXEXTRACT(TO_TEXT($F799), R$1 &amp; ""x(\d+)"")), """")"),"")</f>
        <v/>
      </c>
      <c r="S799" s="9" t="str">
        <f ca="1">IFERROR(__xludf.DUMMYFUNCTION("IFERROR(VALUE(REGEXEXTRACT(TO_TEXT($F799), S$1 &amp; ""x(\d+)"")), """")"),"")</f>
        <v/>
      </c>
      <c r="T799" s="9" t="str">
        <f ca="1">IFERROR(__xludf.DUMMYFUNCTION("IFERROR(VALUE(REGEXEXTRACT(TO_TEXT($F799), T$1 &amp; ""x(\d+)"")), """")"),"")</f>
        <v/>
      </c>
      <c r="U799" s="9" t="str">
        <f ca="1">IFERROR(__xludf.DUMMYFUNCTION("IFERROR(VALUE(REGEXEXTRACT(TO_TEXT($F799), U$1 &amp; ""x(\d+)"")), """")"),"")</f>
        <v/>
      </c>
      <c r="V799" s="9" t="str">
        <f ca="1">IFERROR(__xludf.DUMMYFUNCTION("IFERROR(VALUE(REGEXEXTRACT(TO_TEXT($F799), V$1 &amp; ""x(\d+)"")), """")"),"")</f>
        <v/>
      </c>
      <c r="W799" s="9"/>
      <c r="X799" s="9"/>
      <c r="Y799" s="9"/>
      <c r="Z799" s="9"/>
    </row>
    <row r="800" spans="1:26" ht="15.75" hidden="1" customHeight="1">
      <c r="A800" s="9" t="s">
        <v>1892</v>
      </c>
      <c r="B800" s="9" t="s">
        <v>1893</v>
      </c>
      <c r="C800" s="9" t="s">
        <v>1894</v>
      </c>
      <c r="D800" s="9" t="s">
        <v>40</v>
      </c>
      <c r="E800" s="9" t="s">
        <v>11</v>
      </c>
      <c r="F800" s="9" t="s">
        <v>1180</v>
      </c>
      <c r="G800" s="9">
        <v>25</v>
      </c>
      <c r="H800" s="9">
        <v>4</v>
      </c>
      <c r="I800" s="9">
        <v>1.0149999999999999</v>
      </c>
      <c r="J800" s="9">
        <v>412</v>
      </c>
      <c r="K800" s="9" t="s">
        <v>442</v>
      </c>
      <c r="L800" s="9"/>
      <c r="M800" s="9"/>
      <c r="N800" s="9" t="str">
        <f ca="1">IFERROR(__xludf.DUMMYFUNCTION("IFERROR(VALUE(REGEXEXTRACT(TO_TEXT($F800), N$1 &amp; ""x(\d+)"")), """")
"),"")</f>
        <v/>
      </c>
      <c r="O800" s="9" t="str">
        <f ca="1">IFERROR(__xludf.DUMMYFUNCTION("IFERROR(VALUE(REGEXEXTRACT(TO_TEXT($F800), O$1 &amp; ""x(\d+)"")), """")"),"")</f>
        <v/>
      </c>
      <c r="P800" s="9" t="str">
        <f ca="1">IFERROR(__xludf.DUMMYFUNCTION("IFERROR(VALUE(REGEXEXTRACT(TO_TEXT($F800), P$1 &amp; ""x(\d+)"")), """")"),"")</f>
        <v/>
      </c>
      <c r="Q800" s="9" t="str">
        <f ca="1">IFERROR(__xludf.DUMMYFUNCTION("IFERROR(VALUE(REGEXEXTRACT(TO_TEXT($F800), Q$1 &amp; ""x(\d+)"")), """")"),"")</f>
        <v/>
      </c>
      <c r="R800" s="9" t="str">
        <f ca="1">IFERROR(__xludf.DUMMYFUNCTION("IFERROR(VALUE(REGEXEXTRACT(TO_TEXT($F800), R$1 &amp; ""x(\d+)"")), """")"),"")</f>
        <v/>
      </c>
      <c r="S800" s="9" t="str">
        <f ca="1">IFERROR(__xludf.DUMMYFUNCTION("IFERROR(VALUE(REGEXEXTRACT(TO_TEXT($F800), S$1 &amp; ""x(\d+)"")), """")"),"")</f>
        <v/>
      </c>
      <c r="T800" s="9" t="str">
        <f ca="1">IFERROR(__xludf.DUMMYFUNCTION("IFERROR(VALUE(REGEXEXTRACT(TO_TEXT($F800), T$1 &amp; ""x(\d+)"")), """")"),"")</f>
        <v/>
      </c>
      <c r="U800" s="9" t="str">
        <f ca="1">IFERROR(__xludf.DUMMYFUNCTION("IFERROR(VALUE(REGEXEXTRACT(TO_TEXT($F800), U$1 &amp; ""x(\d+)"")), """")"),"")</f>
        <v/>
      </c>
      <c r="V800" s="9" t="str">
        <f ca="1">IFERROR(__xludf.DUMMYFUNCTION("IFERROR(VALUE(REGEXEXTRACT(TO_TEXT($F800), V$1 &amp; ""x(\d+)"")), """")"),"")</f>
        <v/>
      </c>
      <c r="W800" s="9"/>
      <c r="X800" s="9"/>
      <c r="Y800" s="9"/>
      <c r="Z800" s="9"/>
    </row>
    <row r="801" spans="1:26" ht="15.75" hidden="1" customHeight="1">
      <c r="A801" s="9" t="s">
        <v>1892</v>
      </c>
      <c r="B801" s="9" t="s">
        <v>1893</v>
      </c>
      <c r="C801" s="9" t="s">
        <v>1894</v>
      </c>
      <c r="D801" s="9" t="s">
        <v>40</v>
      </c>
      <c r="E801" s="9" t="s">
        <v>12</v>
      </c>
      <c r="F801" s="9" t="s">
        <v>1417</v>
      </c>
      <c r="G801" s="9">
        <v>120</v>
      </c>
      <c r="H801" s="9">
        <v>4</v>
      </c>
      <c r="I801" s="9">
        <v>1.0149999999999999</v>
      </c>
      <c r="J801" s="9">
        <v>412</v>
      </c>
      <c r="K801" s="9" t="s">
        <v>442</v>
      </c>
      <c r="L801" s="9" t="s">
        <v>1210</v>
      </c>
      <c r="M801" s="9"/>
      <c r="N801" s="9" t="str">
        <f ca="1">IFERROR(__xludf.DUMMYFUNCTION("IFERROR(VALUE(REGEXEXTRACT(TO_TEXT($F801), N$1 &amp; ""x(\d+)"")), """")
"),"")</f>
        <v/>
      </c>
      <c r="O801" s="9" t="str">
        <f ca="1">IFERROR(__xludf.DUMMYFUNCTION("IFERROR(VALUE(REGEXEXTRACT(TO_TEXT($F801), O$1 &amp; ""x(\d+)"")), """")"),"")</f>
        <v/>
      </c>
      <c r="P801" s="9" t="str">
        <f ca="1">IFERROR(__xludf.DUMMYFUNCTION("IFERROR(VALUE(REGEXEXTRACT(TO_TEXT($F801), P$1 &amp; ""x(\d+)"")), """")"),"")</f>
        <v/>
      </c>
      <c r="Q801" s="9" t="str">
        <f ca="1">IFERROR(__xludf.DUMMYFUNCTION("IFERROR(VALUE(REGEXEXTRACT(TO_TEXT($F801), Q$1 &amp; ""x(\d+)"")), """")"),"")</f>
        <v/>
      </c>
      <c r="R801" s="9" t="str">
        <f ca="1">IFERROR(__xludf.DUMMYFUNCTION("IFERROR(VALUE(REGEXEXTRACT(TO_TEXT($F801), R$1 &amp; ""x(\d+)"")), """")"),"")</f>
        <v/>
      </c>
      <c r="S801" s="9">
        <f ca="1">IFERROR(__xludf.DUMMYFUNCTION("IFERROR(VALUE(REGEXEXTRACT(TO_TEXT($F801), S$1 &amp; ""x(\d+)"")), """")"),1)</f>
        <v>1</v>
      </c>
      <c r="T801" s="9" t="str">
        <f ca="1">IFERROR(__xludf.DUMMYFUNCTION("IFERROR(VALUE(REGEXEXTRACT(TO_TEXT($F801), T$1 &amp; ""x(\d+)"")), """")"),"")</f>
        <v/>
      </c>
      <c r="U801" s="9" t="str">
        <f ca="1">IFERROR(__xludf.DUMMYFUNCTION("IFERROR(VALUE(REGEXEXTRACT(TO_TEXT($F801), U$1 &amp; ""x(\d+)"")), """")"),"")</f>
        <v/>
      </c>
      <c r="V801" s="9" t="str">
        <f ca="1">IFERROR(__xludf.DUMMYFUNCTION("IFERROR(VALUE(REGEXEXTRACT(TO_TEXT($F801), V$1 &amp; ""x(\d+)"")), """")"),"")</f>
        <v/>
      </c>
      <c r="W801" s="9"/>
      <c r="X801" s="9"/>
      <c r="Y801" s="9"/>
      <c r="Z801" s="9"/>
    </row>
    <row r="802" spans="1:26" ht="15.75" hidden="1" customHeight="1">
      <c r="A802" s="9" t="s">
        <v>1892</v>
      </c>
      <c r="B802" s="9" t="s">
        <v>1893</v>
      </c>
      <c r="C802" s="9" t="s">
        <v>1894</v>
      </c>
      <c r="D802" s="9" t="s">
        <v>40</v>
      </c>
      <c r="E802" s="9" t="s">
        <v>13</v>
      </c>
      <c r="F802" s="9" t="s">
        <v>1133</v>
      </c>
      <c r="G802" s="9">
        <v>30</v>
      </c>
      <c r="H802" s="9">
        <v>4</v>
      </c>
      <c r="I802" s="9">
        <v>1.0149999999999999</v>
      </c>
      <c r="J802" s="9">
        <v>412</v>
      </c>
      <c r="K802" s="9" t="s">
        <v>442</v>
      </c>
      <c r="L802" s="9"/>
      <c r="M802" s="9"/>
      <c r="N802" s="9" t="str">
        <f ca="1">IFERROR(__xludf.DUMMYFUNCTION("IFERROR(VALUE(REGEXEXTRACT(TO_TEXT($F802), N$1 &amp; ""x(\d+)"")), """")
"),"")</f>
        <v/>
      </c>
      <c r="O802" s="9" t="str">
        <f ca="1">IFERROR(__xludf.DUMMYFUNCTION("IFERROR(VALUE(REGEXEXTRACT(TO_TEXT($F802), O$1 &amp; ""x(\d+)"")), """")"),"")</f>
        <v/>
      </c>
      <c r="P802" s="9" t="str">
        <f ca="1">IFERROR(__xludf.DUMMYFUNCTION("IFERROR(VALUE(REGEXEXTRACT(TO_TEXT($F802), P$1 &amp; ""x(\d+)"")), """")"),"")</f>
        <v/>
      </c>
      <c r="Q802" s="9" t="str">
        <f ca="1">IFERROR(__xludf.DUMMYFUNCTION("IFERROR(VALUE(REGEXEXTRACT(TO_TEXT($F802), Q$1 &amp; ""x(\d+)"")), """")"),"")</f>
        <v/>
      </c>
      <c r="R802" s="9" t="str">
        <f ca="1">IFERROR(__xludf.DUMMYFUNCTION("IFERROR(VALUE(REGEXEXTRACT(TO_TEXT($F802), R$1 &amp; ""x(\d+)"")), """")"),"")</f>
        <v/>
      </c>
      <c r="S802" s="9">
        <f ca="1">IFERROR(__xludf.DUMMYFUNCTION("IFERROR(VALUE(REGEXEXTRACT(TO_TEXT($F802), S$1 &amp; ""x(\d+)"")), """")"),1)</f>
        <v>1</v>
      </c>
      <c r="T802" s="9" t="str">
        <f ca="1">IFERROR(__xludf.DUMMYFUNCTION("IFERROR(VALUE(REGEXEXTRACT(TO_TEXT($F802), T$1 &amp; ""x(\d+)"")), """")"),"")</f>
        <v/>
      </c>
      <c r="U802" s="9" t="str">
        <f ca="1">IFERROR(__xludf.DUMMYFUNCTION("IFERROR(VALUE(REGEXEXTRACT(TO_TEXT($F802), U$1 &amp; ""x(\d+)"")), """")"),"")</f>
        <v/>
      </c>
      <c r="V802" s="9" t="str">
        <f ca="1">IFERROR(__xludf.DUMMYFUNCTION("IFERROR(VALUE(REGEXEXTRACT(TO_TEXT($F802), V$1 &amp; ""x(\d+)"")), """")"),"")</f>
        <v/>
      </c>
      <c r="W802" s="9"/>
      <c r="X802" s="9"/>
      <c r="Y802" s="9"/>
      <c r="Z802" s="9"/>
    </row>
    <row r="803" spans="1:26" ht="15.75" customHeight="1">
      <c r="A803" s="9" t="s">
        <v>1892</v>
      </c>
      <c r="B803" s="9" t="s">
        <v>1893</v>
      </c>
      <c r="C803" s="9" t="s">
        <v>1894</v>
      </c>
      <c r="D803" s="9" t="s">
        <v>33</v>
      </c>
      <c r="E803" s="9" t="s">
        <v>12</v>
      </c>
      <c r="F803" s="9" t="s">
        <v>1236</v>
      </c>
      <c r="G803" s="9">
        <v>40</v>
      </c>
      <c r="H803" s="9">
        <v>4</v>
      </c>
      <c r="I803" s="9">
        <v>1.0149999999999999</v>
      </c>
      <c r="J803" s="9">
        <v>80</v>
      </c>
      <c r="K803" s="9" t="s">
        <v>499</v>
      </c>
      <c r="L803" s="9" t="s">
        <v>1210</v>
      </c>
      <c r="M803" s="9"/>
      <c r="N803" s="9" t="str">
        <f ca="1">IFERROR(__xludf.DUMMYFUNCTION("IFERROR(VALUE(REGEXEXTRACT(TO_TEXT($F803), N$1 &amp; ""x(\d+)"")), """")
"),"")</f>
        <v/>
      </c>
      <c r="O803" s="9">
        <f ca="1">IFERROR(__xludf.DUMMYFUNCTION("IFERROR(VALUE(REGEXEXTRACT(TO_TEXT($F803), O$1 &amp; ""x(\d+)"")), """")"),1)</f>
        <v>1</v>
      </c>
      <c r="P803" s="9" t="str">
        <f ca="1">IFERROR(__xludf.DUMMYFUNCTION("IFERROR(VALUE(REGEXEXTRACT(TO_TEXT($F803), P$1 &amp; ""x(\d+)"")), """")"),"")</f>
        <v/>
      </c>
      <c r="Q803" s="9" t="str">
        <f ca="1">IFERROR(__xludf.DUMMYFUNCTION("IFERROR(VALUE(REGEXEXTRACT(TO_TEXT($F803), Q$1 &amp; ""x(\d+)"")), """")"),"")</f>
        <v/>
      </c>
      <c r="R803" s="9" t="str">
        <f ca="1">IFERROR(__xludf.DUMMYFUNCTION("IFERROR(VALUE(REGEXEXTRACT(TO_TEXT($F803), R$1 &amp; ""x(\d+)"")), """")"),"")</f>
        <v/>
      </c>
      <c r="S803" s="9" t="str">
        <f ca="1">IFERROR(__xludf.DUMMYFUNCTION("IFERROR(VALUE(REGEXEXTRACT(TO_TEXT($F803), S$1 &amp; ""x(\d+)"")), """")"),"")</f>
        <v/>
      </c>
      <c r="T803" s="9" t="str">
        <f ca="1">IFERROR(__xludf.DUMMYFUNCTION("IFERROR(VALUE(REGEXEXTRACT(TO_TEXT($F803), T$1 &amp; ""x(\d+)"")), """")"),"")</f>
        <v/>
      </c>
      <c r="U803" s="9" t="str">
        <f ca="1">IFERROR(__xludf.DUMMYFUNCTION("IFERROR(VALUE(REGEXEXTRACT(TO_TEXT($F803), U$1 &amp; ""x(\d+)"")), """")"),"")</f>
        <v/>
      </c>
      <c r="V803" s="9" t="str">
        <f ca="1">IFERROR(__xludf.DUMMYFUNCTION("IFERROR(VALUE(REGEXEXTRACT(TO_TEXT($F803), V$1 &amp; ""x(\d+)"")), """")"),"")</f>
        <v/>
      </c>
      <c r="W803" s="9"/>
      <c r="X803" s="9"/>
      <c r="Y803" s="9"/>
      <c r="Z803" s="9"/>
    </row>
    <row r="804" spans="1:26" ht="15.75" customHeight="1">
      <c r="A804" s="9" t="s">
        <v>1892</v>
      </c>
      <c r="B804" s="9" t="s">
        <v>1893</v>
      </c>
      <c r="C804" s="9" t="s">
        <v>1894</v>
      </c>
      <c r="D804" s="9" t="s">
        <v>33</v>
      </c>
      <c r="E804" s="9" t="s">
        <v>13</v>
      </c>
      <c r="F804" s="9" t="s">
        <v>1108</v>
      </c>
      <c r="G804" s="9">
        <v>20</v>
      </c>
      <c r="H804" s="9">
        <v>4</v>
      </c>
      <c r="I804" s="9">
        <v>1.0149999999999999</v>
      </c>
      <c r="J804" s="9">
        <v>80</v>
      </c>
      <c r="K804" s="9" t="s">
        <v>499</v>
      </c>
      <c r="L804" s="9"/>
      <c r="M804" s="9"/>
      <c r="N804" s="9" t="str">
        <f ca="1">IFERROR(__xludf.DUMMYFUNCTION("IFERROR(VALUE(REGEXEXTRACT(TO_TEXT($F804), N$1 &amp; ""x(\d+)"")), """")
"),"")</f>
        <v/>
      </c>
      <c r="O804" s="9">
        <f ca="1">IFERROR(__xludf.DUMMYFUNCTION("IFERROR(VALUE(REGEXEXTRACT(TO_TEXT($F804), O$1 &amp; ""x(\d+)"")), """")"),1)</f>
        <v>1</v>
      </c>
      <c r="P804" s="9" t="str">
        <f ca="1">IFERROR(__xludf.DUMMYFUNCTION("IFERROR(VALUE(REGEXEXTRACT(TO_TEXT($F804), P$1 &amp; ""x(\d+)"")), """")"),"")</f>
        <v/>
      </c>
      <c r="Q804" s="9" t="str">
        <f ca="1">IFERROR(__xludf.DUMMYFUNCTION("IFERROR(VALUE(REGEXEXTRACT(TO_TEXT($F804), Q$1 &amp; ""x(\d+)"")), """")"),"")</f>
        <v/>
      </c>
      <c r="R804" s="9" t="str">
        <f ca="1">IFERROR(__xludf.DUMMYFUNCTION("IFERROR(VALUE(REGEXEXTRACT(TO_TEXT($F804), R$1 &amp; ""x(\d+)"")), """")"),"")</f>
        <v/>
      </c>
      <c r="S804" s="9" t="str">
        <f ca="1">IFERROR(__xludf.DUMMYFUNCTION("IFERROR(VALUE(REGEXEXTRACT(TO_TEXT($F804), S$1 &amp; ""x(\d+)"")), """")"),"")</f>
        <v/>
      </c>
      <c r="T804" s="9" t="str">
        <f ca="1">IFERROR(__xludf.DUMMYFUNCTION("IFERROR(VALUE(REGEXEXTRACT(TO_TEXT($F804), T$1 &amp; ""x(\d+)"")), """")"),"")</f>
        <v/>
      </c>
      <c r="U804" s="9" t="str">
        <f ca="1">IFERROR(__xludf.DUMMYFUNCTION("IFERROR(VALUE(REGEXEXTRACT(TO_TEXT($F804), U$1 &amp; ""x(\d+)"")), """")"),"")</f>
        <v/>
      </c>
      <c r="V804" s="9" t="str">
        <f ca="1">IFERROR(__xludf.DUMMYFUNCTION("IFERROR(VALUE(REGEXEXTRACT(TO_TEXT($F804), V$1 &amp; ""x(\d+)"")), """")"),"")</f>
        <v/>
      </c>
      <c r="W804" s="9"/>
      <c r="X804" s="9"/>
      <c r="Y804" s="9"/>
      <c r="Z804" s="9"/>
    </row>
    <row r="805" spans="1:26" ht="15.75" customHeight="1">
      <c r="A805" s="9" t="s">
        <v>1895</v>
      </c>
      <c r="B805" s="9" t="s">
        <v>1896</v>
      </c>
      <c r="C805" s="9" t="s">
        <v>986</v>
      </c>
      <c r="D805" s="9" t="s">
        <v>33</v>
      </c>
      <c r="E805" s="9" t="s">
        <v>11</v>
      </c>
      <c r="F805" s="9" t="s">
        <v>1897</v>
      </c>
      <c r="G805" s="9">
        <v>20</v>
      </c>
      <c r="H805" s="9">
        <v>3</v>
      </c>
      <c r="I805" s="9">
        <v>1.0149999999999999</v>
      </c>
      <c r="J805" s="9">
        <v>80</v>
      </c>
      <c r="K805" s="9" t="s">
        <v>442</v>
      </c>
      <c r="L805" s="9"/>
      <c r="M805" s="9"/>
      <c r="N805" s="9" t="str">
        <f ca="1">IFERROR(__xludf.DUMMYFUNCTION("IFERROR(VALUE(REGEXEXTRACT(TO_TEXT($F805), N$1 &amp; ""x(\d+)"")), """")
"),"")</f>
        <v/>
      </c>
      <c r="O805" s="9" t="str">
        <f ca="1">IFERROR(__xludf.DUMMYFUNCTION("IFERROR(VALUE(REGEXEXTRACT(TO_TEXT($F805), O$1 &amp; ""x(\d+)"")), """")"),"")</f>
        <v/>
      </c>
      <c r="P805" s="9" t="str">
        <f ca="1">IFERROR(__xludf.DUMMYFUNCTION("IFERROR(VALUE(REGEXEXTRACT(TO_TEXT($F805), P$1 &amp; ""x(\d+)"")), """")"),"")</f>
        <v/>
      </c>
      <c r="Q805" s="9" t="str">
        <f ca="1">IFERROR(__xludf.DUMMYFUNCTION("IFERROR(VALUE(REGEXEXTRACT(TO_TEXT($F805), Q$1 &amp; ""x(\d+)"")), """")"),"")</f>
        <v/>
      </c>
      <c r="R805" s="9" t="str">
        <f ca="1">IFERROR(__xludf.DUMMYFUNCTION("IFERROR(VALUE(REGEXEXTRACT(TO_TEXT($F805), R$1 &amp; ""x(\d+)"")), """")"),"")</f>
        <v/>
      </c>
      <c r="S805" s="9" t="str">
        <f ca="1">IFERROR(__xludf.DUMMYFUNCTION("IFERROR(VALUE(REGEXEXTRACT(TO_TEXT($F805), S$1 &amp; ""x(\d+)"")), """")"),"")</f>
        <v/>
      </c>
      <c r="T805" s="9" t="str">
        <f ca="1">IFERROR(__xludf.DUMMYFUNCTION("IFERROR(VALUE(REGEXEXTRACT(TO_TEXT($F805), T$1 &amp; ""x(\d+)"")), """")"),"")</f>
        <v/>
      </c>
      <c r="U805" s="9" t="str">
        <f ca="1">IFERROR(__xludf.DUMMYFUNCTION("IFERROR(VALUE(REGEXEXTRACT(TO_TEXT($F805), U$1 &amp; ""x(\d+)"")), """")"),"")</f>
        <v/>
      </c>
      <c r="V805" s="9" t="str">
        <f ca="1">IFERROR(__xludf.DUMMYFUNCTION("IFERROR(VALUE(REGEXEXTRACT(TO_TEXT($F805), V$1 &amp; ""x(\d+)"")), """")"),"")</f>
        <v/>
      </c>
      <c r="W805" s="9"/>
      <c r="X805" s="9"/>
      <c r="Y805" s="9"/>
      <c r="Z805" s="9"/>
    </row>
    <row r="806" spans="1:26" ht="15.75" customHeight="1">
      <c r="A806" s="9" t="s">
        <v>1895</v>
      </c>
      <c r="B806" s="9" t="s">
        <v>1896</v>
      </c>
      <c r="C806" s="9" t="s">
        <v>986</v>
      </c>
      <c r="D806" s="9" t="s">
        <v>33</v>
      </c>
      <c r="E806" s="9" t="s">
        <v>12</v>
      </c>
      <c r="F806" s="9" t="s">
        <v>1580</v>
      </c>
      <c r="G806" s="9">
        <v>45</v>
      </c>
      <c r="H806" s="9">
        <v>3</v>
      </c>
      <c r="I806" s="9">
        <v>1.0149999999999999</v>
      </c>
      <c r="J806" s="9">
        <v>80</v>
      </c>
      <c r="K806" s="9" t="s">
        <v>442</v>
      </c>
      <c r="L806" s="9"/>
      <c r="M806" s="9"/>
      <c r="N806" s="9" t="str">
        <f ca="1">IFERROR(__xludf.DUMMYFUNCTION("IFERROR(VALUE(REGEXEXTRACT(TO_TEXT($F806), N$1 &amp; ""x(\d+)"")), """")
"),"")</f>
        <v/>
      </c>
      <c r="O806" s="9">
        <f ca="1">IFERROR(__xludf.DUMMYFUNCTION("IFERROR(VALUE(REGEXEXTRACT(TO_TEXT($F806), O$1 &amp; ""x(\d+)"")), """")"),1)</f>
        <v>1</v>
      </c>
      <c r="P806" s="9" t="str">
        <f ca="1">IFERROR(__xludf.DUMMYFUNCTION("IFERROR(VALUE(REGEXEXTRACT(TO_TEXT($F806), P$1 &amp; ""x(\d+)"")), """")"),"")</f>
        <v/>
      </c>
      <c r="Q806" s="9" t="str">
        <f ca="1">IFERROR(__xludf.DUMMYFUNCTION("IFERROR(VALUE(REGEXEXTRACT(TO_TEXT($F806), Q$1 &amp; ""x(\d+)"")), """")"),"")</f>
        <v/>
      </c>
      <c r="R806" s="9" t="str">
        <f ca="1">IFERROR(__xludf.DUMMYFUNCTION("IFERROR(VALUE(REGEXEXTRACT(TO_TEXT($F806), R$1 &amp; ""x(\d+)"")), """")"),"")</f>
        <v/>
      </c>
      <c r="S806" s="9" t="str">
        <f ca="1">IFERROR(__xludf.DUMMYFUNCTION("IFERROR(VALUE(REGEXEXTRACT(TO_TEXT($F806), S$1 &amp; ""x(\d+)"")), """")"),"")</f>
        <v/>
      </c>
      <c r="T806" s="9" t="str">
        <f ca="1">IFERROR(__xludf.DUMMYFUNCTION("IFERROR(VALUE(REGEXEXTRACT(TO_TEXT($F806), T$1 &amp; ""x(\d+)"")), """")"),"")</f>
        <v/>
      </c>
      <c r="U806" s="9" t="str">
        <f ca="1">IFERROR(__xludf.DUMMYFUNCTION("IFERROR(VALUE(REGEXEXTRACT(TO_TEXT($F806), U$1 &amp; ""x(\d+)"")), """")"),"")</f>
        <v/>
      </c>
      <c r="V806" s="9" t="str">
        <f ca="1">IFERROR(__xludf.DUMMYFUNCTION("IFERROR(VALUE(REGEXEXTRACT(TO_TEXT($F806), V$1 &amp; ""x(\d+)"")), """")"),"")</f>
        <v/>
      </c>
      <c r="W806" s="9"/>
      <c r="X806" s="9"/>
      <c r="Y806" s="9"/>
      <c r="Z806" s="9"/>
    </row>
    <row r="807" spans="1:26" ht="15.75" customHeight="1">
      <c r="A807" s="9" t="s">
        <v>1895</v>
      </c>
      <c r="B807" s="9" t="s">
        <v>1896</v>
      </c>
      <c r="C807" s="9" t="s">
        <v>986</v>
      </c>
      <c r="D807" s="9" t="s">
        <v>33</v>
      </c>
      <c r="E807" s="9" t="s">
        <v>13</v>
      </c>
      <c r="F807" s="9" t="s">
        <v>1071</v>
      </c>
      <c r="G807" s="9">
        <v>15</v>
      </c>
      <c r="H807" s="9">
        <v>3</v>
      </c>
      <c r="I807" s="9">
        <v>1.0149999999999999</v>
      </c>
      <c r="J807" s="9">
        <v>80</v>
      </c>
      <c r="K807" s="9" t="s">
        <v>442</v>
      </c>
      <c r="L807" s="9"/>
      <c r="M807" s="9"/>
      <c r="N807" s="9" t="str">
        <f ca="1">IFERROR(__xludf.DUMMYFUNCTION("IFERROR(VALUE(REGEXEXTRACT(TO_TEXT($F807), N$1 &amp; ""x(\d+)"")), """")
"),"")</f>
        <v/>
      </c>
      <c r="O807" s="9">
        <f ca="1">IFERROR(__xludf.DUMMYFUNCTION("IFERROR(VALUE(REGEXEXTRACT(TO_TEXT($F807), O$1 &amp; ""x(\d+)"")), """")"),1)</f>
        <v>1</v>
      </c>
      <c r="P807" s="9" t="str">
        <f ca="1">IFERROR(__xludf.DUMMYFUNCTION("IFERROR(VALUE(REGEXEXTRACT(TO_TEXT($F807), P$1 &amp; ""x(\d+)"")), """")"),"")</f>
        <v/>
      </c>
      <c r="Q807" s="9" t="str">
        <f ca="1">IFERROR(__xludf.DUMMYFUNCTION("IFERROR(VALUE(REGEXEXTRACT(TO_TEXT($F807), Q$1 &amp; ""x(\d+)"")), """")"),"")</f>
        <v/>
      </c>
      <c r="R807" s="9" t="str">
        <f ca="1">IFERROR(__xludf.DUMMYFUNCTION("IFERROR(VALUE(REGEXEXTRACT(TO_TEXT($F807), R$1 &amp; ""x(\d+)"")), """")"),"")</f>
        <v/>
      </c>
      <c r="S807" s="9" t="str">
        <f ca="1">IFERROR(__xludf.DUMMYFUNCTION("IFERROR(VALUE(REGEXEXTRACT(TO_TEXT($F807), S$1 &amp; ""x(\d+)"")), """")"),"")</f>
        <v/>
      </c>
      <c r="T807" s="9" t="str">
        <f ca="1">IFERROR(__xludf.DUMMYFUNCTION("IFERROR(VALUE(REGEXEXTRACT(TO_TEXT($F807), T$1 &amp; ""x(\d+)"")), """")"),"")</f>
        <v/>
      </c>
      <c r="U807" s="9" t="str">
        <f ca="1">IFERROR(__xludf.DUMMYFUNCTION("IFERROR(VALUE(REGEXEXTRACT(TO_TEXT($F807), U$1 &amp; ""x(\d+)"")), """")"),"")</f>
        <v/>
      </c>
      <c r="V807" s="9" t="str">
        <f ca="1">IFERROR(__xludf.DUMMYFUNCTION("IFERROR(VALUE(REGEXEXTRACT(TO_TEXT($F807), V$1 &amp; ""x(\d+)"")), """")"),"")</f>
        <v/>
      </c>
      <c r="W807" s="9"/>
      <c r="X807" s="9"/>
      <c r="Y807" s="9"/>
      <c r="Z807" s="9"/>
    </row>
    <row r="808" spans="1:26" ht="15.75" customHeight="1">
      <c r="A808" s="9" t="s">
        <v>1898</v>
      </c>
      <c r="B808" s="9" t="s">
        <v>1899</v>
      </c>
      <c r="C808" s="9" t="s">
        <v>877</v>
      </c>
      <c r="D808" s="9" t="s">
        <v>33</v>
      </c>
      <c r="E808" s="9" t="s">
        <v>11</v>
      </c>
      <c r="F808" s="9" t="s">
        <v>1900</v>
      </c>
      <c r="G808" s="9">
        <v>75</v>
      </c>
      <c r="H808" s="9">
        <v>4</v>
      </c>
      <c r="I808" s="9">
        <v>1.0149999999999999</v>
      </c>
      <c r="J808" s="9">
        <v>76</v>
      </c>
      <c r="K808" s="9" t="s">
        <v>424</v>
      </c>
      <c r="L808" s="9"/>
      <c r="M808" s="9"/>
      <c r="N808" s="9">
        <f ca="1">IFERROR(__xludf.DUMMYFUNCTION("IFERROR(VALUE(REGEXEXTRACT(TO_TEXT($F808), N$1 &amp; ""x(\d+)"")), """")
"),1)</f>
        <v>1</v>
      </c>
      <c r="O808" s="9">
        <f ca="1">IFERROR(__xludf.DUMMYFUNCTION("IFERROR(VALUE(REGEXEXTRACT(TO_TEXT($F808), O$1 &amp; ""x(\d+)"")), """")"),1)</f>
        <v>1</v>
      </c>
      <c r="P808" s="9" t="str">
        <f ca="1">IFERROR(__xludf.DUMMYFUNCTION("IFERROR(VALUE(REGEXEXTRACT(TO_TEXT($F808), P$1 &amp; ""x(\d+)"")), """")"),"")</f>
        <v/>
      </c>
      <c r="Q808" s="9" t="str">
        <f ca="1">IFERROR(__xludf.DUMMYFUNCTION("IFERROR(VALUE(REGEXEXTRACT(TO_TEXT($F808), Q$1 &amp; ""x(\d+)"")), """")"),"")</f>
        <v/>
      </c>
      <c r="R808" s="9" t="str">
        <f ca="1">IFERROR(__xludf.DUMMYFUNCTION("IFERROR(VALUE(REGEXEXTRACT(TO_TEXT($F808), R$1 &amp; ""x(\d+)"")), """")"),"")</f>
        <v/>
      </c>
      <c r="S808" s="9" t="str">
        <f ca="1">IFERROR(__xludf.DUMMYFUNCTION("IFERROR(VALUE(REGEXEXTRACT(TO_TEXT($F808), S$1 &amp; ""x(\d+)"")), """")"),"")</f>
        <v/>
      </c>
      <c r="T808" s="9" t="str">
        <f ca="1">IFERROR(__xludf.DUMMYFUNCTION("IFERROR(VALUE(REGEXEXTRACT(TO_TEXT($F808), T$1 &amp; ""x(\d+)"")), """")"),"")</f>
        <v/>
      </c>
      <c r="U808" s="9" t="str">
        <f ca="1">IFERROR(__xludf.DUMMYFUNCTION("IFERROR(VALUE(REGEXEXTRACT(TO_TEXT($F808), U$1 &amp; ""x(\d+)"")), """")"),"")</f>
        <v/>
      </c>
      <c r="V808" s="9" t="str">
        <f ca="1">IFERROR(__xludf.DUMMYFUNCTION("IFERROR(VALUE(REGEXEXTRACT(TO_TEXT($F808), V$1 &amp; ""x(\d+)"")), """")"),"")</f>
        <v/>
      </c>
      <c r="W808" s="9"/>
      <c r="X808" s="9"/>
      <c r="Y808" s="9"/>
      <c r="Z808" s="9"/>
    </row>
    <row r="809" spans="1:26" ht="15.75" customHeight="1">
      <c r="A809" s="9" t="s">
        <v>1898</v>
      </c>
      <c r="B809" s="9" t="s">
        <v>1899</v>
      </c>
      <c r="C809" s="9" t="s">
        <v>877</v>
      </c>
      <c r="D809" s="9" t="s">
        <v>33</v>
      </c>
      <c r="E809" s="9" t="s">
        <v>12</v>
      </c>
      <c r="F809" s="9" t="s">
        <v>1901</v>
      </c>
      <c r="G809" s="9">
        <v>80</v>
      </c>
      <c r="H809" s="9">
        <v>4</v>
      </c>
      <c r="I809" s="9">
        <v>1.0149999999999999</v>
      </c>
      <c r="J809" s="9">
        <v>76</v>
      </c>
      <c r="K809" s="9" t="s">
        <v>424</v>
      </c>
      <c r="L809" s="9"/>
      <c r="M809" s="9"/>
      <c r="N809" s="9" t="str">
        <f ca="1">IFERROR(__xludf.DUMMYFUNCTION("IFERROR(VALUE(REGEXEXTRACT(TO_TEXT($F809), N$1 &amp; ""x(\d+)"")), """")
"),"")</f>
        <v/>
      </c>
      <c r="O809" s="9">
        <f ca="1">IFERROR(__xludf.DUMMYFUNCTION("IFERROR(VALUE(REGEXEXTRACT(TO_TEXT($F809), O$1 &amp; ""x(\d+)"")), """")"),1)</f>
        <v>1</v>
      </c>
      <c r="P809" s="9" t="str">
        <f ca="1">IFERROR(__xludf.DUMMYFUNCTION("IFERROR(VALUE(REGEXEXTRACT(TO_TEXT($F809), P$1 &amp; ""x(\d+)"")), """")"),"")</f>
        <v/>
      </c>
      <c r="Q809" s="9" t="str">
        <f ca="1">IFERROR(__xludf.DUMMYFUNCTION("IFERROR(VALUE(REGEXEXTRACT(TO_TEXT($F809), Q$1 &amp; ""x(\d+)"")), """")"),"")</f>
        <v/>
      </c>
      <c r="R809" s="9" t="str">
        <f ca="1">IFERROR(__xludf.DUMMYFUNCTION("IFERROR(VALUE(REGEXEXTRACT(TO_TEXT($F809), R$1 &amp; ""x(\d+)"")), """")"),"")</f>
        <v/>
      </c>
      <c r="S809" s="9" t="str">
        <f ca="1">IFERROR(__xludf.DUMMYFUNCTION("IFERROR(VALUE(REGEXEXTRACT(TO_TEXT($F809), S$1 &amp; ""x(\d+)"")), """")"),"")</f>
        <v/>
      </c>
      <c r="T809" s="9" t="str">
        <f ca="1">IFERROR(__xludf.DUMMYFUNCTION("IFERROR(VALUE(REGEXEXTRACT(TO_TEXT($F809), T$1 &amp; ""x(\d+)"")), """")"),"")</f>
        <v/>
      </c>
      <c r="U809" s="9" t="str">
        <f ca="1">IFERROR(__xludf.DUMMYFUNCTION("IFERROR(VALUE(REGEXEXTRACT(TO_TEXT($F809), U$1 &amp; ""x(\d+)"")), """")"),"")</f>
        <v/>
      </c>
      <c r="V809" s="9" t="str">
        <f ca="1">IFERROR(__xludf.DUMMYFUNCTION("IFERROR(VALUE(REGEXEXTRACT(TO_TEXT($F809), V$1 &amp; ""x(\d+)"")), """")"),"")</f>
        <v/>
      </c>
      <c r="W809" s="9"/>
      <c r="X809" s="9"/>
      <c r="Y809" s="9"/>
      <c r="Z809" s="9"/>
    </row>
    <row r="810" spans="1:26" ht="15.75" customHeight="1">
      <c r="A810" s="9" t="s">
        <v>1898</v>
      </c>
      <c r="B810" s="9" t="s">
        <v>1899</v>
      </c>
      <c r="C810" s="9" t="s">
        <v>877</v>
      </c>
      <c r="D810" s="9" t="s">
        <v>33</v>
      </c>
      <c r="E810" s="9" t="s">
        <v>13</v>
      </c>
      <c r="F810" s="9" t="s">
        <v>1902</v>
      </c>
      <c r="G810" s="9">
        <v>30</v>
      </c>
      <c r="H810" s="9">
        <v>4</v>
      </c>
      <c r="I810" s="9">
        <v>1.0149999999999999</v>
      </c>
      <c r="J810" s="9">
        <v>76</v>
      </c>
      <c r="K810" s="9" t="s">
        <v>424</v>
      </c>
      <c r="L810" s="9"/>
      <c r="M810" s="9"/>
      <c r="N810" s="9" t="str">
        <f ca="1">IFERROR(__xludf.DUMMYFUNCTION("IFERROR(VALUE(REGEXEXTRACT(TO_TEXT($F810), N$1 &amp; ""x(\d+)"")), """")
"),"")</f>
        <v/>
      </c>
      <c r="O810" s="9">
        <f ca="1">IFERROR(__xludf.DUMMYFUNCTION("IFERROR(VALUE(REGEXEXTRACT(TO_TEXT($F810), O$1 &amp; ""x(\d+)"")), """")"),1)</f>
        <v>1</v>
      </c>
      <c r="P810" s="9" t="str">
        <f ca="1">IFERROR(__xludf.DUMMYFUNCTION("IFERROR(VALUE(REGEXEXTRACT(TO_TEXT($F810), P$1 &amp; ""x(\d+)"")), """")"),"")</f>
        <v/>
      </c>
      <c r="Q810" s="9" t="str">
        <f ca="1">IFERROR(__xludf.DUMMYFUNCTION("IFERROR(VALUE(REGEXEXTRACT(TO_TEXT($F810), Q$1 &amp; ""x(\d+)"")), """")"),"")</f>
        <v/>
      </c>
      <c r="R810" s="9" t="str">
        <f ca="1">IFERROR(__xludf.DUMMYFUNCTION("IFERROR(VALUE(REGEXEXTRACT(TO_TEXT($F810), R$1 &amp; ""x(\d+)"")), """")"),"")</f>
        <v/>
      </c>
      <c r="S810" s="9" t="str">
        <f ca="1">IFERROR(__xludf.DUMMYFUNCTION("IFERROR(VALUE(REGEXEXTRACT(TO_TEXT($F810), S$1 &amp; ""x(\d+)"")), """")"),"")</f>
        <v/>
      </c>
      <c r="T810" s="9" t="str">
        <f ca="1">IFERROR(__xludf.DUMMYFUNCTION("IFERROR(VALUE(REGEXEXTRACT(TO_TEXT($F810), T$1 &amp; ""x(\d+)"")), """")"),"")</f>
        <v/>
      </c>
      <c r="U810" s="9" t="str">
        <f ca="1">IFERROR(__xludf.DUMMYFUNCTION("IFERROR(VALUE(REGEXEXTRACT(TO_TEXT($F810), U$1 &amp; ""x(\d+)"")), """")"),"")</f>
        <v/>
      </c>
      <c r="V810" s="9" t="str">
        <f ca="1">IFERROR(__xludf.DUMMYFUNCTION("IFERROR(VALUE(REGEXEXTRACT(TO_TEXT($F810), V$1 &amp; ""x(\d+)"")), """")"),"")</f>
        <v/>
      </c>
      <c r="W810" s="9"/>
      <c r="X810" s="9"/>
      <c r="Y810" s="9"/>
      <c r="Z810" s="9"/>
    </row>
    <row r="811" spans="1:26" ht="15.75" hidden="1" customHeight="1">
      <c r="A811" s="9" t="s">
        <v>1903</v>
      </c>
      <c r="B811" s="9" t="s">
        <v>1904</v>
      </c>
      <c r="C811" s="9" t="s">
        <v>869</v>
      </c>
      <c r="D811" s="9" t="s">
        <v>48</v>
      </c>
      <c r="E811" s="9" t="s">
        <v>11</v>
      </c>
      <c r="F811" s="9" t="s">
        <v>1603</v>
      </c>
      <c r="G811" s="9">
        <v>60</v>
      </c>
      <c r="H811" s="9">
        <v>3</v>
      </c>
      <c r="I811" s="9">
        <v>1.0149999999999999</v>
      </c>
      <c r="J811" s="9">
        <v>52</v>
      </c>
      <c r="K811" s="9" t="s">
        <v>424</v>
      </c>
      <c r="L811" s="9"/>
      <c r="M811" s="9"/>
      <c r="N811" s="9">
        <f ca="1">IFERROR(__xludf.DUMMYFUNCTION("IFERROR(VALUE(REGEXEXTRACT(TO_TEXT($F811), N$1 &amp; ""x(\d+)"")), """")
"),1)</f>
        <v>1</v>
      </c>
      <c r="O811" s="9">
        <f ca="1">IFERROR(__xludf.DUMMYFUNCTION("IFERROR(VALUE(REGEXEXTRACT(TO_TEXT($F811), O$1 &amp; ""x(\d+)"")), """")"),1)</f>
        <v>1</v>
      </c>
      <c r="P811" s="9" t="str">
        <f ca="1">IFERROR(__xludf.DUMMYFUNCTION("IFERROR(VALUE(REGEXEXTRACT(TO_TEXT($F811), P$1 &amp; ""x(\d+)"")), """")"),"")</f>
        <v/>
      </c>
      <c r="Q811" s="9" t="str">
        <f ca="1">IFERROR(__xludf.DUMMYFUNCTION("IFERROR(VALUE(REGEXEXTRACT(TO_TEXT($F811), Q$1 &amp; ""x(\d+)"")), """")"),"")</f>
        <v/>
      </c>
      <c r="R811" s="9" t="str">
        <f ca="1">IFERROR(__xludf.DUMMYFUNCTION("IFERROR(VALUE(REGEXEXTRACT(TO_TEXT($F811), R$1 &amp; ""x(\d+)"")), """")"),"")</f>
        <v/>
      </c>
      <c r="S811" s="9" t="str">
        <f ca="1">IFERROR(__xludf.DUMMYFUNCTION("IFERROR(VALUE(REGEXEXTRACT(TO_TEXT($F811), S$1 &amp; ""x(\d+)"")), """")"),"")</f>
        <v/>
      </c>
      <c r="T811" s="9" t="str">
        <f ca="1">IFERROR(__xludf.DUMMYFUNCTION("IFERROR(VALUE(REGEXEXTRACT(TO_TEXT($F811), T$1 &amp; ""x(\d+)"")), """")"),"")</f>
        <v/>
      </c>
      <c r="U811" s="9" t="str">
        <f ca="1">IFERROR(__xludf.DUMMYFUNCTION("IFERROR(VALUE(REGEXEXTRACT(TO_TEXT($F811), U$1 &amp; ""x(\d+)"")), """")"),"")</f>
        <v/>
      </c>
      <c r="V811" s="9">
        <f ca="1">IFERROR(__xludf.DUMMYFUNCTION("IFERROR(VALUE(REGEXEXTRACT(TO_TEXT($F811), V$1 &amp; ""x(\d+)"")), """")"),1)</f>
        <v>1</v>
      </c>
      <c r="W811" s="9"/>
      <c r="X811" s="9"/>
      <c r="Y811" s="9"/>
      <c r="Z811" s="9"/>
    </row>
    <row r="812" spans="1:26" ht="15.75" hidden="1" customHeight="1">
      <c r="A812" s="9" t="s">
        <v>1903</v>
      </c>
      <c r="B812" s="9" t="s">
        <v>1904</v>
      </c>
      <c r="C812" s="9" t="s">
        <v>869</v>
      </c>
      <c r="D812" s="9" t="s">
        <v>48</v>
      </c>
      <c r="E812" s="9" t="s">
        <v>12</v>
      </c>
      <c r="F812" s="9" t="s">
        <v>1604</v>
      </c>
      <c r="G812" s="9">
        <v>120</v>
      </c>
      <c r="H812" s="9">
        <v>3</v>
      </c>
      <c r="I812" s="9">
        <v>1.0149999999999999</v>
      </c>
      <c r="J812" s="9">
        <v>52</v>
      </c>
      <c r="K812" s="9" t="s">
        <v>424</v>
      </c>
      <c r="L812" s="9" t="s">
        <v>1035</v>
      </c>
      <c r="M812" s="9"/>
      <c r="N812" s="9" t="str">
        <f ca="1">IFERROR(__xludf.DUMMYFUNCTION("IFERROR(VALUE(REGEXEXTRACT(TO_TEXT($F812), N$1 &amp; ""x(\d+)"")), """")
"),"")</f>
        <v/>
      </c>
      <c r="O812" s="9">
        <f ca="1">IFERROR(__xludf.DUMMYFUNCTION("IFERROR(VALUE(REGEXEXTRACT(TO_TEXT($F812), O$1 &amp; ""x(\d+)"")), """")"),1)</f>
        <v>1</v>
      </c>
      <c r="P812" s="9">
        <f ca="1">IFERROR(__xludf.DUMMYFUNCTION("IFERROR(VALUE(REGEXEXTRACT(TO_TEXT($F812), P$1 &amp; ""x(\d+)"")), """")"),1)</f>
        <v>1</v>
      </c>
      <c r="Q812" s="9" t="str">
        <f ca="1">IFERROR(__xludf.DUMMYFUNCTION("IFERROR(VALUE(REGEXEXTRACT(TO_TEXT($F812), Q$1 &amp; ""x(\d+)"")), """")"),"")</f>
        <v/>
      </c>
      <c r="R812" s="9" t="str">
        <f ca="1">IFERROR(__xludf.DUMMYFUNCTION("IFERROR(VALUE(REGEXEXTRACT(TO_TEXT($F812), R$1 &amp; ""x(\d+)"")), """")"),"")</f>
        <v/>
      </c>
      <c r="S812" s="9" t="str">
        <f ca="1">IFERROR(__xludf.DUMMYFUNCTION("IFERROR(VALUE(REGEXEXTRACT(TO_TEXT($F812), S$1 &amp; ""x(\d+)"")), """")"),"")</f>
        <v/>
      </c>
      <c r="T812" s="9" t="str">
        <f ca="1">IFERROR(__xludf.DUMMYFUNCTION("IFERROR(VALUE(REGEXEXTRACT(TO_TEXT($F812), T$1 &amp; ""x(\d+)"")), """")"),"")</f>
        <v/>
      </c>
      <c r="U812" s="9" t="str">
        <f ca="1">IFERROR(__xludf.DUMMYFUNCTION("IFERROR(VALUE(REGEXEXTRACT(TO_TEXT($F812), U$1 &amp; ""x(\d+)"")), """")"),"")</f>
        <v/>
      </c>
      <c r="V812" s="9" t="str">
        <f ca="1">IFERROR(__xludf.DUMMYFUNCTION("IFERROR(VALUE(REGEXEXTRACT(TO_TEXT($F812), V$1 &amp; ""x(\d+)"")), """")"),"")</f>
        <v/>
      </c>
      <c r="W812" s="9"/>
      <c r="X812" s="9"/>
      <c r="Y812" s="9"/>
      <c r="Z812" s="9"/>
    </row>
    <row r="813" spans="1:26" ht="15.75" hidden="1" customHeight="1">
      <c r="A813" s="9" t="s">
        <v>1903</v>
      </c>
      <c r="B813" s="9" t="s">
        <v>1904</v>
      </c>
      <c r="C813" s="9" t="s">
        <v>869</v>
      </c>
      <c r="D813" s="9" t="s">
        <v>48</v>
      </c>
      <c r="E813" s="9" t="s">
        <v>13</v>
      </c>
      <c r="F813" s="9" t="s">
        <v>1605</v>
      </c>
      <c r="G813" s="9">
        <v>105</v>
      </c>
      <c r="H813" s="9">
        <v>3</v>
      </c>
      <c r="I813" s="9">
        <v>1.0149999999999999</v>
      </c>
      <c r="J813" s="9">
        <v>52</v>
      </c>
      <c r="K813" s="9" t="s">
        <v>424</v>
      </c>
      <c r="L813" s="9"/>
      <c r="M813" s="9"/>
      <c r="N813" s="9" t="str">
        <f ca="1">IFERROR(__xludf.DUMMYFUNCTION("IFERROR(VALUE(REGEXEXTRACT(TO_TEXT($F813), N$1 &amp; ""x(\d+)"")), """")
"),"")</f>
        <v/>
      </c>
      <c r="O813" s="9">
        <f ca="1">IFERROR(__xludf.DUMMYFUNCTION("IFERROR(VALUE(REGEXEXTRACT(TO_TEXT($F813), O$1 &amp; ""x(\d+)"")), """")"),1)</f>
        <v>1</v>
      </c>
      <c r="P813" s="9">
        <f ca="1">IFERROR(__xludf.DUMMYFUNCTION("IFERROR(VALUE(REGEXEXTRACT(TO_TEXT($F813), P$1 &amp; ""x(\d+)"")), """")"),1)</f>
        <v>1</v>
      </c>
      <c r="Q813" s="9" t="str">
        <f ca="1">IFERROR(__xludf.DUMMYFUNCTION("IFERROR(VALUE(REGEXEXTRACT(TO_TEXT($F813), Q$1 &amp; ""x(\d+)"")), """")"),"")</f>
        <v/>
      </c>
      <c r="R813" s="9" t="str">
        <f ca="1">IFERROR(__xludf.DUMMYFUNCTION("IFERROR(VALUE(REGEXEXTRACT(TO_TEXT($F813), R$1 &amp; ""x(\d+)"")), """")"),"")</f>
        <v/>
      </c>
      <c r="S813" s="9" t="str">
        <f ca="1">IFERROR(__xludf.DUMMYFUNCTION("IFERROR(VALUE(REGEXEXTRACT(TO_TEXT($F813), S$1 &amp; ""x(\d+)"")), """")"),"")</f>
        <v/>
      </c>
      <c r="T813" s="9" t="str">
        <f ca="1">IFERROR(__xludf.DUMMYFUNCTION("IFERROR(VALUE(REGEXEXTRACT(TO_TEXT($F813), T$1 &amp; ""x(\d+)"")), """")"),"")</f>
        <v/>
      </c>
      <c r="U813" s="9" t="str">
        <f ca="1">IFERROR(__xludf.DUMMYFUNCTION("IFERROR(VALUE(REGEXEXTRACT(TO_TEXT($F813), U$1 &amp; ""x(\d+)"")), """")"),"")</f>
        <v/>
      </c>
      <c r="V813" s="9" t="str">
        <f ca="1">IFERROR(__xludf.DUMMYFUNCTION("IFERROR(VALUE(REGEXEXTRACT(TO_TEXT($F813), V$1 &amp; ""x(\d+)"")), """")"),"")</f>
        <v/>
      </c>
      <c r="W813" s="9"/>
      <c r="X813" s="9"/>
      <c r="Y813" s="9"/>
      <c r="Z813" s="9"/>
    </row>
    <row r="814" spans="1:26" ht="15.75" customHeight="1">
      <c r="A814" s="9" t="s">
        <v>1905</v>
      </c>
      <c r="B814" s="9" t="s">
        <v>1906</v>
      </c>
      <c r="C814" s="9" t="s">
        <v>857</v>
      </c>
      <c r="D814" s="9" t="s">
        <v>33</v>
      </c>
      <c r="E814" s="9" t="s">
        <v>11</v>
      </c>
      <c r="F814" s="9" t="s">
        <v>1204</v>
      </c>
      <c r="G814" s="9">
        <v>30</v>
      </c>
      <c r="H814" s="9">
        <v>3</v>
      </c>
      <c r="I814" s="9">
        <v>1.0149999999999999</v>
      </c>
      <c r="J814" s="9">
        <v>103</v>
      </c>
      <c r="K814" s="9" t="s">
        <v>442</v>
      </c>
      <c r="L814" s="9"/>
      <c r="M814" s="9"/>
      <c r="N814" s="9" t="str">
        <f ca="1">IFERROR(__xludf.DUMMYFUNCTION("IFERROR(VALUE(REGEXEXTRACT(TO_TEXT($F814), N$1 &amp; ""x(\d+)"")), """")
"),"")</f>
        <v/>
      </c>
      <c r="O814" s="9" t="str">
        <f ca="1">IFERROR(__xludf.DUMMYFUNCTION("IFERROR(VALUE(REGEXEXTRACT(TO_TEXT($F814), O$1 &amp; ""x(\d+)"")), """")"),"")</f>
        <v/>
      </c>
      <c r="P814" s="9" t="str">
        <f ca="1">IFERROR(__xludf.DUMMYFUNCTION("IFERROR(VALUE(REGEXEXTRACT(TO_TEXT($F814), P$1 &amp; ""x(\d+)"")), """")"),"")</f>
        <v/>
      </c>
      <c r="Q814" s="9" t="str">
        <f ca="1">IFERROR(__xludf.DUMMYFUNCTION("IFERROR(VALUE(REGEXEXTRACT(TO_TEXT($F814), Q$1 &amp; ""x(\d+)"")), """")"),"")</f>
        <v/>
      </c>
      <c r="R814" s="9" t="str">
        <f ca="1">IFERROR(__xludf.DUMMYFUNCTION("IFERROR(VALUE(REGEXEXTRACT(TO_TEXT($F814), R$1 &amp; ""x(\d+)"")), """")"),"")</f>
        <v/>
      </c>
      <c r="S814" s="9" t="str">
        <f ca="1">IFERROR(__xludf.DUMMYFUNCTION("IFERROR(VALUE(REGEXEXTRACT(TO_TEXT($F814), S$1 &amp; ""x(\d+)"")), """")"),"")</f>
        <v/>
      </c>
      <c r="T814" s="9" t="str">
        <f ca="1">IFERROR(__xludf.DUMMYFUNCTION("IFERROR(VALUE(REGEXEXTRACT(TO_TEXT($F814), T$1 &amp; ""x(\d+)"")), """")"),"")</f>
        <v/>
      </c>
      <c r="U814" s="9" t="str">
        <f ca="1">IFERROR(__xludf.DUMMYFUNCTION("IFERROR(VALUE(REGEXEXTRACT(TO_TEXT($F814), U$1 &amp; ""x(\d+)"")), """")"),"")</f>
        <v/>
      </c>
      <c r="V814" s="9" t="str">
        <f ca="1">IFERROR(__xludf.DUMMYFUNCTION("IFERROR(VALUE(REGEXEXTRACT(TO_TEXT($F814), V$1 &amp; ""x(\d+)"")), """")"),"")</f>
        <v/>
      </c>
      <c r="W814" s="9"/>
      <c r="X814" s="9"/>
      <c r="Y814" s="9"/>
      <c r="Z814" s="9"/>
    </row>
    <row r="815" spans="1:26" ht="15.75" customHeight="1">
      <c r="A815" s="9" t="s">
        <v>1905</v>
      </c>
      <c r="B815" s="9" t="s">
        <v>1906</v>
      </c>
      <c r="C815" s="9" t="s">
        <v>857</v>
      </c>
      <c r="D815" s="9" t="s">
        <v>33</v>
      </c>
      <c r="E815" s="9" t="s">
        <v>12</v>
      </c>
      <c r="F815" s="9" t="s">
        <v>1907</v>
      </c>
      <c r="G815" s="9">
        <v>95</v>
      </c>
      <c r="H815" s="9">
        <v>3</v>
      </c>
      <c r="I815" s="9">
        <v>1.0149999999999999</v>
      </c>
      <c r="J815" s="9">
        <v>103</v>
      </c>
      <c r="K815" s="9" t="s">
        <v>442</v>
      </c>
      <c r="L815" s="9" t="s">
        <v>1015</v>
      </c>
      <c r="M815" s="9"/>
      <c r="N815" s="9" t="str">
        <f ca="1">IFERROR(__xludf.DUMMYFUNCTION("IFERROR(VALUE(REGEXEXTRACT(TO_TEXT($F815), N$1 &amp; ""x(\d+)"")), """")
"),"")</f>
        <v/>
      </c>
      <c r="O815" s="9">
        <f ca="1">IFERROR(__xludf.DUMMYFUNCTION("IFERROR(VALUE(REGEXEXTRACT(TO_TEXT($F815), O$1 &amp; ""x(\d+)"")), """")"),1)</f>
        <v>1</v>
      </c>
      <c r="P815" s="9" t="str">
        <f ca="1">IFERROR(__xludf.DUMMYFUNCTION("IFERROR(VALUE(REGEXEXTRACT(TO_TEXT($F815), P$1 &amp; ""x(\d+)"")), """")"),"")</f>
        <v/>
      </c>
      <c r="Q815" s="9" t="str">
        <f ca="1">IFERROR(__xludf.DUMMYFUNCTION("IFERROR(VALUE(REGEXEXTRACT(TO_TEXT($F815), Q$1 &amp; ""x(\d+)"")), """")"),"")</f>
        <v/>
      </c>
      <c r="R815" s="9" t="str">
        <f ca="1">IFERROR(__xludf.DUMMYFUNCTION("IFERROR(VALUE(REGEXEXTRACT(TO_TEXT($F815), R$1 &amp; ""x(\d+)"")), """")"),"")</f>
        <v/>
      </c>
      <c r="S815" s="9" t="str">
        <f ca="1">IFERROR(__xludf.DUMMYFUNCTION("IFERROR(VALUE(REGEXEXTRACT(TO_TEXT($F815), S$1 &amp; ""x(\d+)"")), """")"),"")</f>
        <v/>
      </c>
      <c r="T815" s="9" t="str">
        <f ca="1">IFERROR(__xludf.DUMMYFUNCTION("IFERROR(VALUE(REGEXEXTRACT(TO_TEXT($F815), T$1 &amp; ""x(\d+)"")), """")"),"")</f>
        <v/>
      </c>
      <c r="U815" s="9" t="str">
        <f ca="1">IFERROR(__xludf.DUMMYFUNCTION("IFERROR(VALUE(REGEXEXTRACT(TO_TEXT($F815), U$1 &amp; ""x(\d+)"")), """")"),"")</f>
        <v/>
      </c>
      <c r="V815" s="9" t="str">
        <f ca="1">IFERROR(__xludf.DUMMYFUNCTION("IFERROR(VALUE(REGEXEXTRACT(TO_TEXT($F815), V$1 &amp; ""x(\d+)"")), """")"),"")</f>
        <v/>
      </c>
      <c r="W815" s="9"/>
      <c r="X815" s="9"/>
      <c r="Y815" s="9"/>
      <c r="Z815" s="9"/>
    </row>
    <row r="816" spans="1:26" ht="15.75" customHeight="1">
      <c r="A816" s="9" t="s">
        <v>1905</v>
      </c>
      <c r="B816" s="9" t="s">
        <v>1906</v>
      </c>
      <c r="C816" s="9" t="s">
        <v>857</v>
      </c>
      <c r="D816" s="9" t="s">
        <v>33</v>
      </c>
      <c r="E816" s="9" t="s">
        <v>13</v>
      </c>
      <c r="F816" s="9" t="s">
        <v>1651</v>
      </c>
      <c r="G816" s="9">
        <v>20</v>
      </c>
      <c r="H816" s="9">
        <v>3</v>
      </c>
      <c r="I816" s="9">
        <v>1.0149999999999999</v>
      </c>
      <c r="J816" s="9">
        <v>103</v>
      </c>
      <c r="K816" s="9" t="s">
        <v>442</v>
      </c>
      <c r="L816" s="9"/>
      <c r="M816" s="9"/>
      <c r="N816" s="9" t="str">
        <f ca="1">IFERROR(__xludf.DUMMYFUNCTION("IFERROR(VALUE(REGEXEXTRACT(TO_TEXT($F816), N$1 &amp; ""x(\d+)"")), """")
"),"")</f>
        <v/>
      </c>
      <c r="O816" s="9">
        <f ca="1">IFERROR(__xludf.DUMMYFUNCTION("IFERROR(VALUE(REGEXEXTRACT(TO_TEXT($F816), O$1 &amp; ""x(\d+)"")), """")"),1)</f>
        <v>1</v>
      </c>
      <c r="P816" s="9" t="str">
        <f ca="1">IFERROR(__xludf.DUMMYFUNCTION("IFERROR(VALUE(REGEXEXTRACT(TO_TEXT($F816), P$1 &amp; ""x(\d+)"")), """")"),"")</f>
        <v/>
      </c>
      <c r="Q816" s="9" t="str">
        <f ca="1">IFERROR(__xludf.DUMMYFUNCTION("IFERROR(VALUE(REGEXEXTRACT(TO_TEXT($F816), Q$1 &amp; ""x(\d+)"")), """")"),"")</f>
        <v/>
      </c>
      <c r="R816" s="9" t="str">
        <f ca="1">IFERROR(__xludf.DUMMYFUNCTION("IFERROR(VALUE(REGEXEXTRACT(TO_TEXT($F816), R$1 &amp; ""x(\d+)"")), """")"),"")</f>
        <v/>
      </c>
      <c r="S816" s="9" t="str">
        <f ca="1">IFERROR(__xludf.DUMMYFUNCTION("IFERROR(VALUE(REGEXEXTRACT(TO_TEXT($F816), S$1 &amp; ""x(\d+)"")), """")"),"")</f>
        <v/>
      </c>
      <c r="T816" s="9" t="str">
        <f ca="1">IFERROR(__xludf.DUMMYFUNCTION("IFERROR(VALUE(REGEXEXTRACT(TO_TEXT($F816), T$1 &amp; ""x(\d+)"")), """")"),"")</f>
        <v/>
      </c>
      <c r="U816" s="9" t="str">
        <f ca="1">IFERROR(__xludf.DUMMYFUNCTION("IFERROR(VALUE(REGEXEXTRACT(TO_TEXT($F816), U$1 &amp; ""x(\d+)"")), """")"),"")</f>
        <v/>
      </c>
      <c r="V816" s="9" t="str">
        <f ca="1">IFERROR(__xludf.DUMMYFUNCTION("IFERROR(VALUE(REGEXEXTRACT(TO_TEXT($F816), V$1 &amp; ""x(\d+)"")), """")"),"")</f>
        <v/>
      </c>
      <c r="W816" s="9"/>
      <c r="X816" s="9"/>
      <c r="Y816" s="9"/>
      <c r="Z816" s="9"/>
    </row>
    <row r="817" spans="1:26" ht="15.75" hidden="1" customHeight="1">
      <c r="A817" s="9" t="s">
        <v>1908</v>
      </c>
      <c r="B817" s="9" t="s">
        <v>1909</v>
      </c>
      <c r="C817" s="9" t="s">
        <v>853</v>
      </c>
      <c r="D817" s="9" t="s">
        <v>48</v>
      </c>
      <c r="E817" s="9" t="s">
        <v>11</v>
      </c>
      <c r="F817" s="9" t="s">
        <v>1180</v>
      </c>
      <c r="G817" s="9">
        <v>25</v>
      </c>
      <c r="H817" s="9">
        <v>4</v>
      </c>
      <c r="I817" s="9">
        <v>1.0149999999999999</v>
      </c>
      <c r="J817" s="9">
        <v>52</v>
      </c>
      <c r="K817" s="9" t="s">
        <v>424</v>
      </c>
      <c r="L817" s="9"/>
      <c r="M817" s="9"/>
      <c r="N817" s="9" t="str">
        <f ca="1">IFERROR(__xludf.DUMMYFUNCTION("IFERROR(VALUE(REGEXEXTRACT(TO_TEXT($F817), N$1 &amp; ""x(\d+)"")), """")
"),"")</f>
        <v/>
      </c>
      <c r="O817" s="9" t="str">
        <f ca="1">IFERROR(__xludf.DUMMYFUNCTION("IFERROR(VALUE(REGEXEXTRACT(TO_TEXT($F817), O$1 &amp; ""x(\d+)"")), """")"),"")</f>
        <v/>
      </c>
      <c r="P817" s="9" t="str">
        <f ca="1">IFERROR(__xludf.DUMMYFUNCTION("IFERROR(VALUE(REGEXEXTRACT(TO_TEXT($F817), P$1 &amp; ""x(\d+)"")), """")"),"")</f>
        <v/>
      </c>
      <c r="Q817" s="9" t="str">
        <f ca="1">IFERROR(__xludf.DUMMYFUNCTION("IFERROR(VALUE(REGEXEXTRACT(TO_TEXT($F817), Q$1 &amp; ""x(\d+)"")), """")"),"")</f>
        <v/>
      </c>
      <c r="R817" s="9" t="str">
        <f ca="1">IFERROR(__xludf.DUMMYFUNCTION("IFERROR(VALUE(REGEXEXTRACT(TO_TEXT($F817), R$1 &amp; ""x(\d+)"")), """")"),"")</f>
        <v/>
      </c>
      <c r="S817" s="9" t="str">
        <f ca="1">IFERROR(__xludf.DUMMYFUNCTION("IFERROR(VALUE(REGEXEXTRACT(TO_TEXT($F817), S$1 &amp; ""x(\d+)"")), """")"),"")</f>
        <v/>
      </c>
      <c r="T817" s="9" t="str">
        <f ca="1">IFERROR(__xludf.DUMMYFUNCTION("IFERROR(VALUE(REGEXEXTRACT(TO_TEXT($F817), T$1 &amp; ""x(\d+)"")), """")"),"")</f>
        <v/>
      </c>
      <c r="U817" s="9" t="str">
        <f ca="1">IFERROR(__xludf.DUMMYFUNCTION("IFERROR(VALUE(REGEXEXTRACT(TO_TEXT($F817), U$1 &amp; ""x(\d+)"")), """")"),"")</f>
        <v/>
      </c>
      <c r="V817" s="9" t="str">
        <f ca="1">IFERROR(__xludf.DUMMYFUNCTION("IFERROR(VALUE(REGEXEXTRACT(TO_TEXT($F817), V$1 &amp; ""x(\d+)"")), """")"),"")</f>
        <v/>
      </c>
      <c r="W817" s="9"/>
      <c r="X817" s="9"/>
      <c r="Y817" s="9"/>
      <c r="Z817" s="9"/>
    </row>
    <row r="818" spans="1:26" ht="15.75" hidden="1" customHeight="1">
      <c r="A818" s="9" t="s">
        <v>1908</v>
      </c>
      <c r="B818" s="9" t="s">
        <v>1909</v>
      </c>
      <c r="C818" s="9" t="s">
        <v>853</v>
      </c>
      <c r="D818" s="9" t="s">
        <v>48</v>
      </c>
      <c r="E818" s="9" t="s">
        <v>12</v>
      </c>
      <c r="F818" s="9" t="s">
        <v>1654</v>
      </c>
      <c r="G818" s="9">
        <v>140</v>
      </c>
      <c r="H818" s="9">
        <v>4</v>
      </c>
      <c r="I818" s="9">
        <v>1.0149999999999999</v>
      </c>
      <c r="J818" s="9">
        <v>52</v>
      </c>
      <c r="K818" s="9" t="s">
        <v>424</v>
      </c>
      <c r="L818" s="9" t="s">
        <v>1210</v>
      </c>
      <c r="M818" s="9"/>
      <c r="N818" s="9" t="str">
        <f ca="1">IFERROR(__xludf.DUMMYFUNCTION("IFERROR(VALUE(REGEXEXTRACT(TO_TEXT($F818), N$1 &amp; ""x(\d+)"")), """")
"),"")</f>
        <v/>
      </c>
      <c r="O818" s="9" t="str">
        <f ca="1">IFERROR(__xludf.DUMMYFUNCTION("IFERROR(VALUE(REGEXEXTRACT(TO_TEXT($F818), O$1 &amp; ""x(\d+)"")), """")"),"")</f>
        <v/>
      </c>
      <c r="P818" s="9">
        <f ca="1">IFERROR(__xludf.DUMMYFUNCTION("IFERROR(VALUE(REGEXEXTRACT(TO_TEXT($F818), P$1 &amp; ""x(\d+)"")), """")"),1)</f>
        <v>1</v>
      </c>
      <c r="Q818" s="9" t="str">
        <f ca="1">IFERROR(__xludf.DUMMYFUNCTION("IFERROR(VALUE(REGEXEXTRACT(TO_TEXT($F818), Q$1 &amp; ""x(\d+)"")), """")"),"")</f>
        <v/>
      </c>
      <c r="R818" s="9" t="str">
        <f ca="1">IFERROR(__xludf.DUMMYFUNCTION("IFERROR(VALUE(REGEXEXTRACT(TO_TEXT($F818), R$1 &amp; ""x(\d+)"")), """")"),"")</f>
        <v/>
      </c>
      <c r="S818" s="9" t="str">
        <f ca="1">IFERROR(__xludf.DUMMYFUNCTION("IFERROR(VALUE(REGEXEXTRACT(TO_TEXT($F818), S$1 &amp; ""x(\d+)"")), """")"),"")</f>
        <v/>
      </c>
      <c r="T818" s="9" t="str">
        <f ca="1">IFERROR(__xludf.DUMMYFUNCTION("IFERROR(VALUE(REGEXEXTRACT(TO_TEXT($F818), T$1 &amp; ""x(\d+)"")), """")"),"")</f>
        <v/>
      </c>
      <c r="U818" s="9" t="str">
        <f ca="1">IFERROR(__xludf.DUMMYFUNCTION("IFERROR(VALUE(REGEXEXTRACT(TO_TEXT($F818), U$1 &amp; ""x(\d+)"")), """")"),"")</f>
        <v/>
      </c>
      <c r="V818" s="9" t="str">
        <f ca="1">IFERROR(__xludf.DUMMYFUNCTION("IFERROR(VALUE(REGEXEXTRACT(TO_TEXT($F818), V$1 &amp; ""x(\d+)"")), """")"),"")</f>
        <v/>
      </c>
      <c r="W818" s="9"/>
      <c r="X818" s="9"/>
      <c r="Y818" s="9"/>
      <c r="Z818" s="9"/>
    </row>
    <row r="819" spans="1:26" ht="15.75" hidden="1" customHeight="1">
      <c r="A819" s="9" t="s">
        <v>1908</v>
      </c>
      <c r="B819" s="9" t="s">
        <v>1909</v>
      </c>
      <c r="C819" s="9" t="s">
        <v>853</v>
      </c>
      <c r="D819" s="9" t="s">
        <v>48</v>
      </c>
      <c r="E819" s="9" t="s">
        <v>13</v>
      </c>
      <c r="F819" s="9" t="s">
        <v>1655</v>
      </c>
      <c r="G819" s="9">
        <v>90</v>
      </c>
      <c r="H819" s="9">
        <v>4</v>
      </c>
      <c r="I819" s="9">
        <v>1.0149999999999999</v>
      </c>
      <c r="J819" s="9">
        <v>52</v>
      </c>
      <c r="K819" s="9" t="s">
        <v>424</v>
      </c>
      <c r="L819" s="9"/>
      <c r="M819" s="9"/>
      <c r="N819" s="9" t="str">
        <f ca="1">IFERROR(__xludf.DUMMYFUNCTION("IFERROR(VALUE(REGEXEXTRACT(TO_TEXT($F819), N$1 &amp; ""x(\d+)"")), """")
"),"")</f>
        <v/>
      </c>
      <c r="O819" s="9" t="str">
        <f ca="1">IFERROR(__xludf.DUMMYFUNCTION("IFERROR(VALUE(REGEXEXTRACT(TO_TEXT($F819), O$1 &amp; ""x(\d+)"")), """")"),"")</f>
        <v/>
      </c>
      <c r="P819" s="9">
        <f ca="1">IFERROR(__xludf.DUMMYFUNCTION("IFERROR(VALUE(REGEXEXTRACT(TO_TEXT($F819), P$1 &amp; ""x(\d+)"")), """")"),1)</f>
        <v>1</v>
      </c>
      <c r="Q819" s="9" t="str">
        <f ca="1">IFERROR(__xludf.DUMMYFUNCTION("IFERROR(VALUE(REGEXEXTRACT(TO_TEXT($F819), Q$1 &amp; ""x(\d+)"")), """")"),"")</f>
        <v/>
      </c>
      <c r="R819" s="9" t="str">
        <f ca="1">IFERROR(__xludf.DUMMYFUNCTION("IFERROR(VALUE(REGEXEXTRACT(TO_TEXT($F819), R$1 &amp; ""x(\d+)"")), """")"),"")</f>
        <v/>
      </c>
      <c r="S819" s="9" t="str">
        <f ca="1">IFERROR(__xludf.DUMMYFUNCTION("IFERROR(VALUE(REGEXEXTRACT(TO_TEXT($F819), S$1 &amp; ""x(\d+)"")), """")"),"")</f>
        <v/>
      </c>
      <c r="T819" s="9" t="str">
        <f ca="1">IFERROR(__xludf.DUMMYFUNCTION("IFERROR(VALUE(REGEXEXTRACT(TO_TEXT($F819), T$1 &amp; ""x(\d+)"")), """")"),"")</f>
        <v/>
      </c>
      <c r="U819" s="9" t="str">
        <f ca="1">IFERROR(__xludf.DUMMYFUNCTION("IFERROR(VALUE(REGEXEXTRACT(TO_TEXT($F819), U$1 &amp; ""x(\d+)"")), """")"),"")</f>
        <v/>
      </c>
      <c r="V819" s="9" t="str">
        <f ca="1">IFERROR(__xludf.DUMMYFUNCTION("IFERROR(VALUE(REGEXEXTRACT(TO_TEXT($F819), V$1 &amp; ""x(\d+)"")), """")"),"")</f>
        <v/>
      </c>
      <c r="W819" s="9"/>
      <c r="X819" s="9"/>
      <c r="Y819" s="9"/>
      <c r="Z819" s="9"/>
    </row>
    <row r="820" spans="1:26" ht="15.75" customHeight="1">
      <c r="A820" s="9" t="s">
        <v>1910</v>
      </c>
      <c r="B820" s="9" t="s">
        <v>1911</v>
      </c>
      <c r="C820" s="9" t="s">
        <v>855</v>
      </c>
      <c r="D820" s="9" t="s">
        <v>33</v>
      </c>
      <c r="E820" s="9" t="s">
        <v>11</v>
      </c>
      <c r="F820" s="9" t="s">
        <v>1912</v>
      </c>
      <c r="G820" s="9">
        <v>35</v>
      </c>
      <c r="H820" s="9">
        <v>4</v>
      </c>
      <c r="I820" s="9">
        <v>1.0149999999999999</v>
      </c>
      <c r="J820" s="9">
        <v>70</v>
      </c>
      <c r="K820" s="9" t="s">
        <v>424</v>
      </c>
      <c r="L820" s="9"/>
      <c r="M820" s="9"/>
      <c r="N820" s="9" t="str">
        <f ca="1">IFERROR(__xludf.DUMMYFUNCTION("IFERROR(VALUE(REGEXEXTRACT(TO_TEXT($F820), N$1 &amp; ""x(\d+)"")), """")
"),"")</f>
        <v/>
      </c>
      <c r="O820" s="9" t="str">
        <f ca="1">IFERROR(__xludf.DUMMYFUNCTION("IFERROR(VALUE(REGEXEXTRACT(TO_TEXT($F820), O$1 &amp; ""x(\d+)"")), """")"),"")</f>
        <v/>
      </c>
      <c r="P820" s="9" t="str">
        <f ca="1">IFERROR(__xludf.DUMMYFUNCTION("IFERROR(VALUE(REGEXEXTRACT(TO_TEXT($F820), P$1 &amp; ""x(\d+)"")), """")"),"")</f>
        <v/>
      </c>
      <c r="Q820" s="9" t="str">
        <f ca="1">IFERROR(__xludf.DUMMYFUNCTION("IFERROR(VALUE(REGEXEXTRACT(TO_TEXT($F820), Q$1 &amp; ""x(\d+)"")), """")"),"")</f>
        <v/>
      </c>
      <c r="R820" s="9" t="str">
        <f ca="1">IFERROR(__xludf.DUMMYFUNCTION("IFERROR(VALUE(REGEXEXTRACT(TO_TEXT($F820), R$1 &amp; ""x(\d+)"")), """")"),"")</f>
        <v/>
      </c>
      <c r="S820" s="9" t="str">
        <f ca="1">IFERROR(__xludf.DUMMYFUNCTION("IFERROR(VALUE(REGEXEXTRACT(TO_TEXT($F820), S$1 &amp; ""x(\d+)"")), """")"),"")</f>
        <v/>
      </c>
      <c r="T820" s="9" t="str">
        <f ca="1">IFERROR(__xludf.DUMMYFUNCTION("IFERROR(VALUE(REGEXEXTRACT(TO_TEXT($F820), T$1 &amp; ""x(\d+)"")), """")"),"")</f>
        <v/>
      </c>
      <c r="U820" s="9" t="str">
        <f ca="1">IFERROR(__xludf.DUMMYFUNCTION("IFERROR(VALUE(REGEXEXTRACT(TO_TEXT($F820), U$1 &amp; ""x(\d+)"")), """")"),"")</f>
        <v/>
      </c>
      <c r="V820" s="9" t="str">
        <f ca="1">IFERROR(__xludf.DUMMYFUNCTION("IFERROR(VALUE(REGEXEXTRACT(TO_TEXT($F820), V$1 &amp; ""x(\d+)"")), """")"),"")</f>
        <v/>
      </c>
      <c r="W820" s="9"/>
      <c r="X820" s="9"/>
      <c r="Y820" s="9"/>
      <c r="Z820" s="9"/>
    </row>
    <row r="821" spans="1:26" ht="15.75" customHeight="1">
      <c r="A821" s="9" t="s">
        <v>1910</v>
      </c>
      <c r="B821" s="9" t="s">
        <v>1911</v>
      </c>
      <c r="C821" s="9" t="s">
        <v>855</v>
      </c>
      <c r="D821" s="9" t="s">
        <v>33</v>
      </c>
      <c r="E821" s="9" t="s">
        <v>12</v>
      </c>
      <c r="F821" s="9" t="s">
        <v>1913</v>
      </c>
      <c r="G821" s="9">
        <v>125</v>
      </c>
      <c r="H821" s="9">
        <v>4</v>
      </c>
      <c r="I821" s="9">
        <v>1.0149999999999999</v>
      </c>
      <c r="J821" s="9">
        <v>70</v>
      </c>
      <c r="K821" s="9" t="s">
        <v>424</v>
      </c>
      <c r="L821" s="9"/>
      <c r="M821" s="9"/>
      <c r="N821" s="9" t="str">
        <f ca="1">IFERROR(__xludf.DUMMYFUNCTION("IFERROR(VALUE(REGEXEXTRACT(TO_TEXT($F821), N$1 &amp; ""x(\d+)"")), """")
"),"")</f>
        <v/>
      </c>
      <c r="O821" s="9">
        <f ca="1">IFERROR(__xludf.DUMMYFUNCTION("IFERROR(VALUE(REGEXEXTRACT(TO_TEXT($F821), O$1 &amp; ""x(\d+)"")), """")"),1)</f>
        <v>1</v>
      </c>
      <c r="P821" s="9" t="str">
        <f ca="1">IFERROR(__xludf.DUMMYFUNCTION("IFERROR(VALUE(REGEXEXTRACT(TO_TEXT($F821), P$1 &amp; ""x(\d+)"")), """")"),"")</f>
        <v/>
      </c>
      <c r="Q821" s="9" t="str">
        <f ca="1">IFERROR(__xludf.DUMMYFUNCTION("IFERROR(VALUE(REGEXEXTRACT(TO_TEXT($F821), Q$1 &amp; ""x(\d+)"")), """")"),"")</f>
        <v/>
      </c>
      <c r="R821" s="9" t="str">
        <f ca="1">IFERROR(__xludf.DUMMYFUNCTION("IFERROR(VALUE(REGEXEXTRACT(TO_TEXT($F821), R$1 &amp; ""x(\d+)"")), """")"),"")</f>
        <v/>
      </c>
      <c r="S821" s="9" t="str">
        <f ca="1">IFERROR(__xludf.DUMMYFUNCTION("IFERROR(VALUE(REGEXEXTRACT(TO_TEXT($F821), S$1 &amp; ""x(\d+)"")), """")"),"")</f>
        <v/>
      </c>
      <c r="T821" s="9" t="str">
        <f ca="1">IFERROR(__xludf.DUMMYFUNCTION("IFERROR(VALUE(REGEXEXTRACT(TO_TEXT($F821), T$1 &amp; ""x(\d+)"")), """")"),"")</f>
        <v/>
      </c>
      <c r="U821" s="9" t="str">
        <f ca="1">IFERROR(__xludf.DUMMYFUNCTION("IFERROR(VALUE(REGEXEXTRACT(TO_TEXT($F821), U$1 &amp; ""x(\d+)"")), """")"),"")</f>
        <v/>
      </c>
      <c r="V821" s="9" t="str">
        <f ca="1">IFERROR(__xludf.DUMMYFUNCTION("IFERROR(VALUE(REGEXEXTRACT(TO_TEXT($F821), V$1 &amp; ""x(\d+)"")), """")"),"")</f>
        <v/>
      </c>
      <c r="W821" s="9"/>
      <c r="X821" s="9"/>
      <c r="Y821" s="9"/>
      <c r="Z821" s="9"/>
    </row>
    <row r="822" spans="1:26" ht="15.75" customHeight="1">
      <c r="A822" s="9" t="s">
        <v>1910</v>
      </c>
      <c r="B822" s="9" t="s">
        <v>1911</v>
      </c>
      <c r="C822" s="9" t="s">
        <v>855</v>
      </c>
      <c r="D822" s="9" t="s">
        <v>33</v>
      </c>
      <c r="E822" s="9" t="s">
        <v>13</v>
      </c>
      <c r="F822" s="9" t="s">
        <v>1914</v>
      </c>
      <c r="G822" s="9">
        <v>15</v>
      </c>
      <c r="H822" s="9">
        <v>4</v>
      </c>
      <c r="I822" s="9">
        <v>1.0149999999999999</v>
      </c>
      <c r="J822" s="9">
        <v>70</v>
      </c>
      <c r="K822" s="9" t="s">
        <v>424</v>
      </c>
      <c r="L822" s="9"/>
      <c r="M822" s="9"/>
      <c r="N822" s="9" t="str">
        <f ca="1">IFERROR(__xludf.DUMMYFUNCTION("IFERROR(VALUE(REGEXEXTRACT(TO_TEXT($F822), N$1 &amp; ""x(\d+)"")), """")
"),"")</f>
        <v/>
      </c>
      <c r="O822" s="9">
        <f ca="1">IFERROR(__xludf.DUMMYFUNCTION("IFERROR(VALUE(REGEXEXTRACT(TO_TEXT($F822), O$1 &amp; ""x(\d+)"")), """")"),1)</f>
        <v>1</v>
      </c>
      <c r="P822" s="9" t="str">
        <f ca="1">IFERROR(__xludf.DUMMYFUNCTION("IFERROR(VALUE(REGEXEXTRACT(TO_TEXT($F822), P$1 &amp; ""x(\d+)"")), """")"),"")</f>
        <v/>
      </c>
      <c r="Q822" s="9" t="str">
        <f ca="1">IFERROR(__xludf.DUMMYFUNCTION("IFERROR(VALUE(REGEXEXTRACT(TO_TEXT($F822), Q$1 &amp; ""x(\d+)"")), """")"),"")</f>
        <v/>
      </c>
      <c r="R822" s="9" t="str">
        <f ca="1">IFERROR(__xludf.DUMMYFUNCTION("IFERROR(VALUE(REGEXEXTRACT(TO_TEXT($F822), R$1 &amp; ""x(\d+)"")), """")"),"")</f>
        <v/>
      </c>
      <c r="S822" s="9" t="str">
        <f ca="1">IFERROR(__xludf.DUMMYFUNCTION("IFERROR(VALUE(REGEXEXTRACT(TO_TEXT($F822), S$1 &amp; ""x(\d+)"")), """")"),"")</f>
        <v/>
      </c>
      <c r="T822" s="9" t="str">
        <f ca="1">IFERROR(__xludf.DUMMYFUNCTION("IFERROR(VALUE(REGEXEXTRACT(TO_TEXT($F822), T$1 &amp; ""x(\d+)"")), """")"),"")</f>
        <v/>
      </c>
      <c r="U822" s="9" t="str">
        <f ca="1">IFERROR(__xludf.DUMMYFUNCTION("IFERROR(VALUE(REGEXEXTRACT(TO_TEXT($F822), U$1 &amp; ""x(\d+)"")), """")"),"")</f>
        <v/>
      </c>
      <c r="V822" s="9" t="str">
        <f ca="1">IFERROR(__xludf.DUMMYFUNCTION("IFERROR(VALUE(REGEXEXTRACT(TO_TEXT($F822), V$1 &amp; ""x(\d+)"")), """")"),"")</f>
        <v/>
      </c>
      <c r="W822" s="9"/>
      <c r="X822" s="9"/>
      <c r="Y822" s="9"/>
      <c r="Z822" s="9"/>
    </row>
    <row r="823" spans="1:26" ht="15.75" customHeight="1">
      <c r="A823" s="9" t="s">
        <v>1915</v>
      </c>
      <c r="B823" s="9" t="s">
        <v>1916</v>
      </c>
      <c r="C823" s="9" t="s">
        <v>939</v>
      </c>
      <c r="D823" s="9" t="s">
        <v>33</v>
      </c>
      <c r="E823" s="9" t="s">
        <v>12</v>
      </c>
      <c r="F823" s="9" t="s">
        <v>1917</v>
      </c>
      <c r="G823" s="9">
        <v>50</v>
      </c>
      <c r="H823" s="9">
        <v>1</v>
      </c>
      <c r="I823" s="9">
        <v>1.0149999999999999</v>
      </c>
      <c r="J823" s="9">
        <v>6</v>
      </c>
      <c r="K823" s="9" t="s">
        <v>442</v>
      </c>
      <c r="L823" s="9"/>
      <c r="M823" s="9"/>
      <c r="N823" s="9" t="str">
        <f ca="1">IFERROR(__xludf.DUMMYFUNCTION("IFERROR(VALUE(REGEXEXTRACT(TO_TEXT($F823), N$1 &amp; ""x(\d+)"")), """")
"),"")</f>
        <v/>
      </c>
      <c r="O823" s="9">
        <f ca="1">IFERROR(__xludf.DUMMYFUNCTION("IFERROR(VALUE(REGEXEXTRACT(TO_TEXT($F823), O$1 &amp; ""x(\d+)"")), """")"),1)</f>
        <v>1</v>
      </c>
      <c r="P823" s="9" t="str">
        <f ca="1">IFERROR(__xludf.DUMMYFUNCTION("IFERROR(VALUE(REGEXEXTRACT(TO_TEXT($F823), P$1 &amp; ""x(\d+)"")), """")"),"")</f>
        <v/>
      </c>
      <c r="Q823" s="9" t="str">
        <f ca="1">IFERROR(__xludf.DUMMYFUNCTION("IFERROR(VALUE(REGEXEXTRACT(TO_TEXT($F823), Q$1 &amp; ""x(\d+)"")), """")"),"")</f>
        <v/>
      </c>
      <c r="R823" s="9" t="str">
        <f ca="1">IFERROR(__xludf.DUMMYFUNCTION("IFERROR(VALUE(REGEXEXTRACT(TO_TEXT($F823), R$1 &amp; ""x(\d+)"")), """")"),"")</f>
        <v/>
      </c>
      <c r="S823" s="9" t="str">
        <f ca="1">IFERROR(__xludf.DUMMYFUNCTION("IFERROR(VALUE(REGEXEXTRACT(TO_TEXT($F823), S$1 &amp; ""x(\d+)"")), """")"),"")</f>
        <v/>
      </c>
      <c r="T823" s="9" t="str">
        <f ca="1">IFERROR(__xludf.DUMMYFUNCTION("IFERROR(VALUE(REGEXEXTRACT(TO_TEXT($F823), T$1 &amp; ""x(\d+)"")), """")"),"")</f>
        <v/>
      </c>
      <c r="U823" s="9" t="str">
        <f ca="1">IFERROR(__xludf.DUMMYFUNCTION("IFERROR(VALUE(REGEXEXTRACT(TO_TEXT($F823), U$1 &amp; ""x(\d+)"")), """")"),"")</f>
        <v/>
      </c>
      <c r="V823" s="9" t="str">
        <f ca="1">IFERROR(__xludf.DUMMYFUNCTION("IFERROR(VALUE(REGEXEXTRACT(TO_TEXT($F823), V$1 &amp; ""x(\d+)"")), """")"),"")</f>
        <v/>
      </c>
      <c r="W823" s="9"/>
      <c r="X823" s="9"/>
      <c r="Y823" s="9"/>
      <c r="Z823" s="9"/>
    </row>
    <row r="824" spans="1:26" ht="15.75" customHeight="1">
      <c r="A824" s="9" t="s">
        <v>1915</v>
      </c>
      <c r="B824" s="9" t="s">
        <v>1916</v>
      </c>
      <c r="C824" s="9" t="s">
        <v>939</v>
      </c>
      <c r="D824" s="9" t="s">
        <v>33</v>
      </c>
      <c r="E824" s="9" t="s">
        <v>13</v>
      </c>
      <c r="F824" s="9" t="s">
        <v>1918</v>
      </c>
      <c r="G824" s="9">
        <v>10</v>
      </c>
      <c r="H824" s="9">
        <v>1</v>
      </c>
      <c r="I824" s="9">
        <v>1.0149999999999999</v>
      </c>
      <c r="J824" s="9">
        <v>6</v>
      </c>
      <c r="K824" s="9" t="s">
        <v>442</v>
      </c>
      <c r="L824" s="9"/>
      <c r="M824" s="9"/>
      <c r="N824" s="9" t="str">
        <f ca="1">IFERROR(__xludf.DUMMYFUNCTION("IFERROR(VALUE(REGEXEXTRACT(TO_TEXT($F824), N$1 &amp; ""x(\d+)"")), """")
"),"")</f>
        <v/>
      </c>
      <c r="O824" s="9">
        <f ca="1">IFERROR(__xludf.DUMMYFUNCTION("IFERROR(VALUE(REGEXEXTRACT(TO_TEXT($F824), O$1 &amp; ""x(\d+)"")), """")"),1)</f>
        <v>1</v>
      </c>
      <c r="P824" s="9" t="str">
        <f ca="1">IFERROR(__xludf.DUMMYFUNCTION("IFERROR(VALUE(REGEXEXTRACT(TO_TEXT($F824), P$1 &amp; ""x(\d+)"")), """")"),"")</f>
        <v/>
      </c>
      <c r="Q824" s="9" t="str">
        <f ca="1">IFERROR(__xludf.DUMMYFUNCTION("IFERROR(VALUE(REGEXEXTRACT(TO_TEXT($F824), Q$1 &amp; ""x(\d+)"")), """")"),"")</f>
        <v/>
      </c>
      <c r="R824" s="9" t="str">
        <f ca="1">IFERROR(__xludf.DUMMYFUNCTION("IFERROR(VALUE(REGEXEXTRACT(TO_TEXT($F824), R$1 &amp; ""x(\d+)"")), """")"),"")</f>
        <v/>
      </c>
      <c r="S824" s="9" t="str">
        <f ca="1">IFERROR(__xludf.DUMMYFUNCTION("IFERROR(VALUE(REGEXEXTRACT(TO_TEXT($F824), S$1 &amp; ""x(\d+)"")), """")"),"")</f>
        <v/>
      </c>
      <c r="T824" s="9" t="str">
        <f ca="1">IFERROR(__xludf.DUMMYFUNCTION("IFERROR(VALUE(REGEXEXTRACT(TO_TEXT($F824), T$1 &amp; ""x(\d+)"")), """")"),"")</f>
        <v/>
      </c>
      <c r="U824" s="9" t="str">
        <f ca="1">IFERROR(__xludf.DUMMYFUNCTION("IFERROR(VALUE(REGEXEXTRACT(TO_TEXT($F824), U$1 &amp; ""x(\d+)"")), """")"),"")</f>
        <v/>
      </c>
      <c r="V824" s="9" t="str">
        <f ca="1">IFERROR(__xludf.DUMMYFUNCTION("IFERROR(VALUE(REGEXEXTRACT(TO_TEXT($F824), V$1 &amp; ""x(\d+)"")), """")"),"")</f>
        <v/>
      </c>
      <c r="W824" s="9"/>
      <c r="X824" s="9"/>
      <c r="Y824" s="9"/>
      <c r="Z824" s="9"/>
    </row>
    <row r="825" spans="1:26" ht="15.75" hidden="1" customHeight="1">
      <c r="A825" s="9" t="s">
        <v>1915</v>
      </c>
      <c r="B825" s="9" t="s">
        <v>1916</v>
      </c>
      <c r="C825" s="9" t="s">
        <v>939</v>
      </c>
      <c r="D825" s="9" t="s">
        <v>40</v>
      </c>
      <c r="E825" s="9" t="s">
        <v>12</v>
      </c>
      <c r="F825" s="9"/>
      <c r="G825" s="9"/>
      <c r="H825" s="9">
        <v>5</v>
      </c>
      <c r="I825" s="9">
        <v>1.0149999999999999</v>
      </c>
      <c r="J825" s="9">
        <v>412</v>
      </c>
      <c r="K825" s="9" t="s">
        <v>442</v>
      </c>
      <c r="L825" s="9"/>
      <c r="M825" s="9"/>
      <c r="N825" s="9" t="str">
        <f ca="1">IFERROR(__xludf.DUMMYFUNCTION("IFERROR(VALUE(REGEXEXTRACT(TO_TEXT($F825), N$1 &amp; ""x(\d+)"")), """")
"),"")</f>
        <v/>
      </c>
      <c r="O825" s="9" t="str">
        <f ca="1">IFERROR(__xludf.DUMMYFUNCTION("IFERROR(VALUE(REGEXEXTRACT(TO_TEXT($F825), O$1 &amp; ""x(\d+)"")), """")"),"")</f>
        <v/>
      </c>
      <c r="P825" s="9" t="str">
        <f ca="1">IFERROR(__xludf.DUMMYFUNCTION("IFERROR(VALUE(REGEXEXTRACT(TO_TEXT($F825), P$1 &amp; ""x(\d+)"")), """")"),"")</f>
        <v/>
      </c>
      <c r="Q825" s="9" t="str">
        <f ca="1">IFERROR(__xludf.DUMMYFUNCTION("IFERROR(VALUE(REGEXEXTRACT(TO_TEXT($F825), Q$1 &amp; ""x(\d+)"")), """")"),"")</f>
        <v/>
      </c>
      <c r="R825" s="9" t="str">
        <f ca="1">IFERROR(__xludf.DUMMYFUNCTION("IFERROR(VALUE(REGEXEXTRACT(TO_TEXT($F825), R$1 &amp; ""x(\d+)"")), """")"),"")</f>
        <v/>
      </c>
      <c r="S825" s="9" t="str">
        <f ca="1">IFERROR(__xludf.DUMMYFUNCTION("IFERROR(VALUE(REGEXEXTRACT(TO_TEXT($F825), S$1 &amp; ""x(\d+)"")), """")"),"")</f>
        <v/>
      </c>
      <c r="T825" s="9" t="str">
        <f ca="1">IFERROR(__xludf.DUMMYFUNCTION("IFERROR(VALUE(REGEXEXTRACT(TO_TEXT($F825), T$1 &amp; ""x(\d+)"")), """")"),"")</f>
        <v/>
      </c>
      <c r="U825" s="9" t="str">
        <f ca="1">IFERROR(__xludf.DUMMYFUNCTION("IFERROR(VALUE(REGEXEXTRACT(TO_TEXT($F825), U$1 &amp; ""x(\d+)"")), """")"),"")</f>
        <v/>
      </c>
      <c r="V825" s="9" t="str">
        <f ca="1">IFERROR(__xludf.DUMMYFUNCTION("IFERROR(VALUE(REGEXEXTRACT(TO_TEXT($F825), V$1 &amp; ""x(\d+)"")), """")"),"")</f>
        <v/>
      </c>
      <c r="W825" s="9"/>
      <c r="X825" s="9"/>
      <c r="Y825" s="9"/>
      <c r="Z825" s="9"/>
    </row>
    <row r="826" spans="1:26" ht="15.75" hidden="1" customHeight="1">
      <c r="A826" s="9" t="s">
        <v>1915</v>
      </c>
      <c r="B826" s="9" t="s">
        <v>1916</v>
      </c>
      <c r="C826" s="9" t="s">
        <v>939</v>
      </c>
      <c r="D826" s="9" t="s">
        <v>40</v>
      </c>
      <c r="E826" s="9" t="s">
        <v>13</v>
      </c>
      <c r="F826" s="9"/>
      <c r="G826" s="9"/>
      <c r="H826" s="9">
        <v>5</v>
      </c>
      <c r="I826" s="9">
        <v>1.0149999999999999</v>
      </c>
      <c r="J826" s="9">
        <v>412</v>
      </c>
      <c r="K826" s="9" t="s">
        <v>442</v>
      </c>
      <c r="L826" s="9"/>
      <c r="M826" s="9"/>
      <c r="N826" s="9" t="str">
        <f ca="1">IFERROR(__xludf.DUMMYFUNCTION("IFERROR(VALUE(REGEXEXTRACT(TO_TEXT($F826), N$1 &amp; ""x(\d+)"")), """")
"),"")</f>
        <v/>
      </c>
      <c r="O826" s="9" t="str">
        <f ca="1">IFERROR(__xludf.DUMMYFUNCTION("IFERROR(VALUE(REGEXEXTRACT(TO_TEXT($F826), O$1 &amp; ""x(\d+)"")), """")"),"")</f>
        <v/>
      </c>
      <c r="P826" s="9" t="str">
        <f ca="1">IFERROR(__xludf.DUMMYFUNCTION("IFERROR(VALUE(REGEXEXTRACT(TO_TEXT($F826), P$1 &amp; ""x(\d+)"")), """")"),"")</f>
        <v/>
      </c>
      <c r="Q826" s="9" t="str">
        <f ca="1">IFERROR(__xludf.DUMMYFUNCTION("IFERROR(VALUE(REGEXEXTRACT(TO_TEXT($F826), Q$1 &amp; ""x(\d+)"")), """")"),"")</f>
        <v/>
      </c>
      <c r="R826" s="9" t="str">
        <f ca="1">IFERROR(__xludf.DUMMYFUNCTION("IFERROR(VALUE(REGEXEXTRACT(TO_TEXT($F826), R$1 &amp; ""x(\d+)"")), """")"),"")</f>
        <v/>
      </c>
      <c r="S826" s="9" t="str">
        <f ca="1">IFERROR(__xludf.DUMMYFUNCTION("IFERROR(VALUE(REGEXEXTRACT(TO_TEXT($F826), S$1 &amp; ""x(\d+)"")), """")"),"")</f>
        <v/>
      </c>
      <c r="T826" s="9" t="str">
        <f ca="1">IFERROR(__xludf.DUMMYFUNCTION("IFERROR(VALUE(REGEXEXTRACT(TO_TEXT($F826), T$1 &amp; ""x(\d+)"")), """")"),"")</f>
        <v/>
      </c>
      <c r="U826" s="9" t="str">
        <f ca="1">IFERROR(__xludf.DUMMYFUNCTION("IFERROR(VALUE(REGEXEXTRACT(TO_TEXT($F826), U$1 &amp; ""x(\d+)"")), """")"),"")</f>
        <v/>
      </c>
      <c r="V826" s="9" t="str">
        <f ca="1">IFERROR(__xludf.DUMMYFUNCTION("IFERROR(VALUE(REGEXEXTRACT(TO_TEXT($F826), V$1 &amp; ""x(\d+)"")), """")"),"")</f>
        <v/>
      </c>
      <c r="W826" s="9"/>
      <c r="X826" s="9"/>
      <c r="Y826" s="9"/>
      <c r="Z826" s="9"/>
    </row>
    <row r="827" spans="1:26" ht="15.75" customHeight="1">
      <c r="A827" s="9" t="s">
        <v>1919</v>
      </c>
      <c r="B827" s="9" t="s">
        <v>1920</v>
      </c>
      <c r="C827" s="9" t="s">
        <v>1921</v>
      </c>
      <c r="D827" s="9" t="s">
        <v>33</v>
      </c>
      <c r="E827" s="9" t="s">
        <v>11</v>
      </c>
      <c r="F827" s="9" t="s">
        <v>1785</v>
      </c>
      <c r="G827" s="9">
        <v>100</v>
      </c>
      <c r="H827" s="9">
        <v>3</v>
      </c>
      <c r="I827" s="9">
        <v>1.0149999999999999</v>
      </c>
      <c r="J827" s="9">
        <v>101.7</v>
      </c>
      <c r="K827" s="9" t="s">
        <v>442</v>
      </c>
      <c r="L827" s="9"/>
      <c r="M827" s="9"/>
      <c r="N827" s="9">
        <f ca="1">IFERROR(__xludf.DUMMYFUNCTION("IFERROR(VALUE(REGEXEXTRACT(TO_TEXT($F827), N$1 &amp; ""x(\d+)"")), """")
"),1)</f>
        <v>1</v>
      </c>
      <c r="O827" s="9">
        <f ca="1">IFERROR(__xludf.DUMMYFUNCTION("IFERROR(VALUE(REGEXEXTRACT(TO_TEXT($F827), O$1 &amp; ""x(\d+)"")), """")"),1)</f>
        <v>1</v>
      </c>
      <c r="P827" s="9" t="str">
        <f ca="1">IFERROR(__xludf.DUMMYFUNCTION("IFERROR(VALUE(REGEXEXTRACT(TO_TEXT($F827), P$1 &amp; ""x(\d+)"")), """")"),"")</f>
        <v/>
      </c>
      <c r="Q827" s="9" t="str">
        <f ca="1">IFERROR(__xludf.DUMMYFUNCTION("IFERROR(VALUE(REGEXEXTRACT(TO_TEXT($F827), Q$1 &amp; ""x(\d+)"")), """")"),"")</f>
        <v/>
      </c>
      <c r="R827" s="9" t="str">
        <f ca="1">IFERROR(__xludf.DUMMYFUNCTION("IFERROR(VALUE(REGEXEXTRACT(TO_TEXT($F827), R$1 &amp; ""x(\d+)"")), """")"),"")</f>
        <v/>
      </c>
      <c r="S827" s="9" t="str">
        <f ca="1">IFERROR(__xludf.DUMMYFUNCTION("IFERROR(VALUE(REGEXEXTRACT(TO_TEXT($F827), S$1 &amp; ""x(\d+)"")), """")"),"")</f>
        <v/>
      </c>
      <c r="T827" s="9" t="str">
        <f ca="1">IFERROR(__xludf.DUMMYFUNCTION("IFERROR(VALUE(REGEXEXTRACT(TO_TEXT($F827), T$1 &amp; ""x(\d+)"")), """")"),"")</f>
        <v/>
      </c>
      <c r="U827" s="9" t="str">
        <f ca="1">IFERROR(__xludf.DUMMYFUNCTION("IFERROR(VALUE(REGEXEXTRACT(TO_TEXT($F827), U$1 &amp; ""x(\d+)"")), """")"),"")</f>
        <v/>
      </c>
      <c r="V827" s="9" t="str">
        <f ca="1">IFERROR(__xludf.DUMMYFUNCTION("IFERROR(VALUE(REGEXEXTRACT(TO_TEXT($F827), V$1 &amp; ""x(\d+)"")), """")"),"")</f>
        <v/>
      </c>
      <c r="W827" s="9"/>
      <c r="X827" s="9"/>
      <c r="Y827" s="9"/>
      <c r="Z827" s="9"/>
    </row>
    <row r="828" spans="1:26" ht="15.75" customHeight="1">
      <c r="A828" s="9" t="s">
        <v>1919</v>
      </c>
      <c r="B828" s="9" t="s">
        <v>1920</v>
      </c>
      <c r="C828" s="9" t="s">
        <v>1921</v>
      </c>
      <c r="D828" s="9" t="s">
        <v>33</v>
      </c>
      <c r="E828" s="9" t="s">
        <v>12</v>
      </c>
      <c r="F828" s="9" t="s">
        <v>1786</v>
      </c>
      <c r="G828" s="9">
        <v>115</v>
      </c>
      <c r="H828" s="9">
        <v>3</v>
      </c>
      <c r="I828" s="9">
        <v>1.0149999999999999</v>
      </c>
      <c r="J828" s="9">
        <v>101.7</v>
      </c>
      <c r="K828" s="9" t="s">
        <v>442</v>
      </c>
      <c r="L828" s="9"/>
      <c r="M828" s="9"/>
      <c r="N828" s="9">
        <f ca="1">IFERROR(__xludf.DUMMYFUNCTION("IFERROR(VALUE(REGEXEXTRACT(TO_TEXT($F828), N$1 &amp; ""x(\d+)"")), """")
"),1)</f>
        <v>1</v>
      </c>
      <c r="O828" s="9">
        <f ca="1">IFERROR(__xludf.DUMMYFUNCTION("IFERROR(VALUE(REGEXEXTRACT(TO_TEXT($F828), O$1 &amp; ""x(\d+)"")), """")"),2)</f>
        <v>2</v>
      </c>
      <c r="P828" s="9" t="str">
        <f ca="1">IFERROR(__xludf.DUMMYFUNCTION("IFERROR(VALUE(REGEXEXTRACT(TO_TEXT($F828), P$1 &amp; ""x(\d+)"")), """")"),"")</f>
        <v/>
      </c>
      <c r="Q828" s="9" t="str">
        <f ca="1">IFERROR(__xludf.DUMMYFUNCTION("IFERROR(VALUE(REGEXEXTRACT(TO_TEXT($F828), Q$1 &amp; ""x(\d+)"")), """")"),"")</f>
        <v/>
      </c>
      <c r="R828" s="9" t="str">
        <f ca="1">IFERROR(__xludf.DUMMYFUNCTION("IFERROR(VALUE(REGEXEXTRACT(TO_TEXT($F828), R$1 &amp; ""x(\d+)"")), """")"),"")</f>
        <v/>
      </c>
      <c r="S828" s="9" t="str">
        <f ca="1">IFERROR(__xludf.DUMMYFUNCTION("IFERROR(VALUE(REGEXEXTRACT(TO_TEXT($F828), S$1 &amp; ""x(\d+)"")), """")"),"")</f>
        <v/>
      </c>
      <c r="T828" s="9" t="str">
        <f ca="1">IFERROR(__xludf.DUMMYFUNCTION("IFERROR(VALUE(REGEXEXTRACT(TO_TEXT($F828), T$1 &amp; ""x(\d+)"")), """")"),"")</f>
        <v/>
      </c>
      <c r="U828" s="9" t="str">
        <f ca="1">IFERROR(__xludf.DUMMYFUNCTION("IFERROR(VALUE(REGEXEXTRACT(TO_TEXT($F828), U$1 &amp; ""x(\d+)"")), """")"),"")</f>
        <v/>
      </c>
      <c r="V828" s="9" t="str">
        <f ca="1">IFERROR(__xludf.DUMMYFUNCTION("IFERROR(VALUE(REGEXEXTRACT(TO_TEXT($F828), V$1 &amp; ""x(\d+)"")), """")"),"")</f>
        <v/>
      </c>
      <c r="W828" s="9"/>
      <c r="X828" s="9"/>
      <c r="Y828" s="9"/>
      <c r="Z828" s="9"/>
    </row>
    <row r="829" spans="1:26" ht="15.75" customHeight="1">
      <c r="A829" s="9" t="s">
        <v>1919</v>
      </c>
      <c r="B829" s="9" t="s">
        <v>1920</v>
      </c>
      <c r="C829" s="9" t="s">
        <v>1921</v>
      </c>
      <c r="D829" s="9" t="s">
        <v>33</v>
      </c>
      <c r="E829" s="9" t="s">
        <v>13</v>
      </c>
      <c r="F829" s="9" t="s">
        <v>1787</v>
      </c>
      <c r="G829" s="9">
        <v>50</v>
      </c>
      <c r="H829" s="9">
        <v>3</v>
      </c>
      <c r="I829" s="9">
        <v>1.0149999999999999</v>
      </c>
      <c r="J829" s="9">
        <v>101.7</v>
      </c>
      <c r="K829" s="9" t="s">
        <v>442</v>
      </c>
      <c r="L829" s="9"/>
      <c r="M829" s="9"/>
      <c r="N829" s="9">
        <f ca="1">IFERROR(__xludf.DUMMYFUNCTION("IFERROR(VALUE(REGEXEXTRACT(TO_TEXT($F829), N$1 &amp; ""x(\d+)"")), """")
"),1)</f>
        <v>1</v>
      </c>
      <c r="O829" s="9">
        <f ca="1">IFERROR(__xludf.DUMMYFUNCTION("IFERROR(VALUE(REGEXEXTRACT(TO_TEXT($F829), O$1 &amp; ""x(\d+)"")), """")"),2)</f>
        <v>2</v>
      </c>
      <c r="P829" s="9" t="str">
        <f ca="1">IFERROR(__xludf.DUMMYFUNCTION("IFERROR(VALUE(REGEXEXTRACT(TO_TEXT($F829), P$1 &amp; ""x(\d+)"")), """")"),"")</f>
        <v/>
      </c>
      <c r="Q829" s="9" t="str">
        <f ca="1">IFERROR(__xludf.DUMMYFUNCTION("IFERROR(VALUE(REGEXEXTRACT(TO_TEXT($F829), Q$1 &amp; ""x(\d+)"")), """")"),"")</f>
        <v/>
      </c>
      <c r="R829" s="9" t="str">
        <f ca="1">IFERROR(__xludf.DUMMYFUNCTION("IFERROR(VALUE(REGEXEXTRACT(TO_TEXT($F829), R$1 &amp; ""x(\d+)"")), """")"),"")</f>
        <v/>
      </c>
      <c r="S829" s="9" t="str">
        <f ca="1">IFERROR(__xludf.DUMMYFUNCTION("IFERROR(VALUE(REGEXEXTRACT(TO_TEXT($F829), S$1 &amp; ""x(\d+)"")), """")"),"")</f>
        <v/>
      </c>
      <c r="T829" s="9" t="str">
        <f ca="1">IFERROR(__xludf.DUMMYFUNCTION("IFERROR(VALUE(REGEXEXTRACT(TO_TEXT($F829), T$1 &amp; ""x(\d+)"")), """")"),"")</f>
        <v/>
      </c>
      <c r="U829" s="9" t="str">
        <f ca="1">IFERROR(__xludf.DUMMYFUNCTION("IFERROR(VALUE(REGEXEXTRACT(TO_TEXT($F829), U$1 &amp; ""x(\d+)"")), """")"),"")</f>
        <v/>
      </c>
      <c r="V829" s="9" t="str">
        <f ca="1">IFERROR(__xludf.DUMMYFUNCTION("IFERROR(VALUE(REGEXEXTRACT(TO_TEXT($F829), V$1 &amp; ""x(\d+)"")), """")"),"")</f>
        <v/>
      </c>
      <c r="W829" s="9"/>
      <c r="X829" s="9"/>
      <c r="Y829" s="9"/>
      <c r="Z829" s="9"/>
    </row>
    <row r="830" spans="1:26" ht="15.75" hidden="1" customHeight="1">
      <c r="A830" s="9" t="s">
        <v>227</v>
      </c>
      <c r="B830" s="9" t="s">
        <v>1922</v>
      </c>
      <c r="C830" s="9" t="s">
        <v>228</v>
      </c>
      <c r="D830" s="9" t="s">
        <v>40</v>
      </c>
      <c r="E830" s="9" t="s">
        <v>11</v>
      </c>
      <c r="F830" s="9" t="s">
        <v>1923</v>
      </c>
      <c r="G830" s="9">
        <v>50</v>
      </c>
      <c r="H830" s="9">
        <v>4</v>
      </c>
      <c r="I830" s="9">
        <v>1.0149999999999999</v>
      </c>
      <c r="J830" s="9">
        <v>412</v>
      </c>
      <c r="K830" s="9" t="s">
        <v>442</v>
      </c>
      <c r="L830" s="9"/>
      <c r="M830" s="9"/>
      <c r="N830" s="9" t="str">
        <f ca="1">IFERROR(__xludf.DUMMYFUNCTION("IFERROR(VALUE(REGEXEXTRACT(TO_TEXT($F830), N$1 &amp; ""x(\d+)"")), """")
"),"")</f>
        <v/>
      </c>
      <c r="O830" s="9" t="str">
        <f ca="1">IFERROR(__xludf.DUMMYFUNCTION("IFERROR(VALUE(REGEXEXTRACT(TO_TEXT($F830), O$1 &amp; ""x(\d+)"")), """")"),"")</f>
        <v/>
      </c>
      <c r="P830" s="9" t="str">
        <f ca="1">IFERROR(__xludf.DUMMYFUNCTION("IFERROR(VALUE(REGEXEXTRACT(TO_TEXT($F830), P$1 &amp; ""x(\d+)"")), """")"),"")</f>
        <v/>
      </c>
      <c r="Q830" s="9" t="str">
        <f ca="1">IFERROR(__xludf.DUMMYFUNCTION("IFERROR(VALUE(REGEXEXTRACT(TO_TEXT($F830), Q$1 &amp; ""x(\d+)"")), """")"),"")</f>
        <v/>
      </c>
      <c r="R830" s="9" t="str">
        <f ca="1">IFERROR(__xludf.DUMMYFUNCTION("IFERROR(VALUE(REGEXEXTRACT(TO_TEXT($F830), R$1 &amp; ""x(\d+)"")), """")"),"")</f>
        <v/>
      </c>
      <c r="S830" s="9" t="str">
        <f ca="1">IFERROR(__xludf.DUMMYFUNCTION("IFERROR(VALUE(REGEXEXTRACT(TO_TEXT($F830), S$1 &amp; ""x(\d+)"")), """")"),"")</f>
        <v/>
      </c>
      <c r="T830" s="9" t="str">
        <f ca="1">IFERROR(__xludf.DUMMYFUNCTION("IFERROR(VALUE(REGEXEXTRACT(TO_TEXT($F830), T$1 &amp; ""x(\d+)"")), """")"),"")</f>
        <v/>
      </c>
      <c r="U830" s="9" t="str">
        <f ca="1">IFERROR(__xludf.DUMMYFUNCTION("IFERROR(VALUE(REGEXEXTRACT(TO_TEXT($F830), U$1 &amp; ""x(\d+)"")), """")"),"")</f>
        <v/>
      </c>
      <c r="V830" s="9" t="str">
        <f ca="1">IFERROR(__xludf.DUMMYFUNCTION("IFERROR(VALUE(REGEXEXTRACT(TO_TEXT($F830), V$1 &amp; ""x(\d+)"")), """")"),"")</f>
        <v/>
      </c>
      <c r="W830" s="9"/>
      <c r="X830" s="9"/>
      <c r="Y830" s="9"/>
      <c r="Z830" s="9"/>
    </row>
    <row r="831" spans="1:26" ht="15.75" hidden="1" customHeight="1">
      <c r="A831" s="9" t="s">
        <v>227</v>
      </c>
      <c r="B831" s="9" t="s">
        <v>1922</v>
      </c>
      <c r="C831" s="9" t="s">
        <v>228</v>
      </c>
      <c r="D831" s="9" t="s">
        <v>40</v>
      </c>
      <c r="E831" s="9" t="s">
        <v>12</v>
      </c>
      <c r="F831" s="9" t="s">
        <v>1924</v>
      </c>
      <c r="G831" s="9">
        <v>105</v>
      </c>
      <c r="H831" s="9">
        <v>4</v>
      </c>
      <c r="I831" s="9">
        <v>1.0149999999999999</v>
      </c>
      <c r="J831" s="9">
        <v>412</v>
      </c>
      <c r="K831" s="9" t="s">
        <v>442</v>
      </c>
      <c r="L831" s="9"/>
      <c r="M831" s="9"/>
      <c r="N831" s="9" t="str">
        <f ca="1">IFERROR(__xludf.DUMMYFUNCTION("IFERROR(VALUE(REGEXEXTRACT(TO_TEXT($F831), N$1 &amp; ""x(\d+)"")), """")
"),"")</f>
        <v/>
      </c>
      <c r="O831" s="9" t="str">
        <f ca="1">IFERROR(__xludf.DUMMYFUNCTION("IFERROR(VALUE(REGEXEXTRACT(TO_TEXT($F831), O$1 &amp; ""x(\d+)"")), """")"),"")</f>
        <v/>
      </c>
      <c r="P831" s="9" t="str">
        <f ca="1">IFERROR(__xludf.DUMMYFUNCTION("IFERROR(VALUE(REGEXEXTRACT(TO_TEXT($F831), P$1 &amp; ""x(\d+)"")), """")"),"")</f>
        <v/>
      </c>
      <c r="Q831" s="9" t="str">
        <f ca="1">IFERROR(__xludf.DUMMYFUNCTION("IFERROR(VALUE(REGEXEXTRACT(TO_TEXT($F831), Q$1 &amp; ""x(\d+)"")), """")"),"")</f>
        <v/>
      </c>
      <c r="R831" s="9" t="str">
        <f ca="1">IFERROR(__xludf.DUMMYFUNCTION("IFERROR(VALUE(REGEXEXTRACT(TO_TEXT($F831), R$1 &amp; ""x(\d+)"")), """")"),"")</f>
        <v/>
      </c>
      <c r="S831" s="9">
        <f ca="1">IFERROR(__xludf.DUMMYFUNCTION("IFERROR(VALUE(REGEXEXTRACT(TO_TEXT($F831), S$1 &amp; ""x(\d+)"")), """")"),1)</f>
        <v>1</v>
      </c>
      <c r="T831" s="9" t="str">
        <f ca="1">IFERROR(__xludf.DUMMYFUNCTION("IFERROR(VALUE(REGEXEXTRACT(TO_TEXT($F831), T$1 &amp; ""x(\d+)"")), """")"),"")</f>
        <v/>
      </c>
      <c r="U831" s="9" t="str">
        <f ca="1">IFERROR(__xludf.DUMMYFUNCTION("IFERROR(VALUE(REGEXEXTRACT(TO_TEXT($F831), U$1 &amp; ""x(\d+)"")), """")"),"")</f>
        <v/>
      </c>
      <c r="V831" s="9" t="str">
        <f ca="1">IFERROR(__xludf.DUMMYFUNCTION("IFERROR(VALUE(REGEXEXTRACT(TO_TEXT($F831), V$1 &amp; ""x(\d+)"")), """")"),"")</f>
        <v/>
      </c>
      <c r="W831" s="9"/>
      <c r="X831" s="9"/>
      <c r="Y831" s="9"/>
      <c r="Z831" s="9"/>
    </row>
    <row r="832" spans="1:26" ht="15.75" hidden="1" customHeight="1">
      <c r="A832" s="9" t="s">
        <v>227</v>
      </c>
      <c r="B832" s="9" t="s">
        <v>1922</v>
      </c>
      <c r="C832" s="9" t="s">
        <v>228</v>
      </c>
      <c r="D832" s="9" t="s">
        <v>40</v>
      </c>
      <c r="E832" s="9" t="s">
        <v>13</v>
      </c>
      <c r="F832" s="9" t="s">
        <v>1925</v>
      </c>
      <c r="G832" s="9">
        <v>30</v>
      </c>
      <c r="H832" s="9">
        <v>4</v>
      </c>
      <c r="I832" s="9">
        <v>1.0149999999999999</v>
      </c>
      <c r="J832" s="9">
        <v>412</v>
      </c>
      <c r="K832" s="9" t="s">
        <v>442</v>
      </c>
      <c r="L832" s="9"/>
      <c r="M832" s="9"/>
      <c r="N832" s="9" t="str">
        <f ca="1">IFERROR(__xludf.DUMMYFUNCTION("IFERROR(VALUE(REGEXEXTRACT(TO_TEXT($F832), N$1 &amp; ""x(\d+)"")), """")
"),"")</f>
        <v/>
      </c>
      <c r="O832" s="9" t="str">
        <f ca="1">IFERROR(__xludf.DUMMYFUNCTION("IFERROR(VALUE(REGEXEXTRACT(TO_TEXT($F832), O$1 &amp; ""x(\d+)"")), """")"),"")</f>
        <v/>
      </c>
      <c r="P832" s="9" t="str">
        <f ca="1">IFERROR(__xludf.DUMMYFUNCTION("IFERROR(VALUE(REGEXEXTRACT(TO_TEXT($F832), P$1 &amp; ""x(\d+)"")), """")"),"")</f>
        <v/>
      </c>
      <c r="Q832" s="9" t="str">
        <f ca="1">IFERROR(__xludf.DUMMYFUNCTION("IFERROR(VALUE(REGEXEXTRACT(TO_TEXT($F832), Q$1 &amp; ""x(\d+)"")), """")"),"")</f>
        <v/>
      </c>
      <c r="R832" s="9" t="str">
        <f ca="1">IFERROR(__xludf.DUMMYFUNCTION("IFERROR(VALUE(REGEXEXTRACT(TO_TEXT($F832), R$1 &amp; ""x(\d+)"")), """")"),"")</f>
        <v/>
      </c>
      <c r="S832" s="9">
        <f ca="1">IFERROR(__xludf.DUMMYFUNCTION("IFERROR(VALUE(REGEXEXTRACT(TO_TEXT($F832), S$1 &amp; ""x(\d+)"")), """")"),1)</f>
        <v>1</v>
      </c>
      <c r="T832" s="9" t="str">
        <f ca="1">IFERROR(__xludf.DUMMYFUNCTION("IFERROR(VALUE(REGEXEXTRACT(TO_TEXT($F832), T$1 &amp; ""x(\d+)"")), """")"),"")</f>
        <v/>
      </c>
      <c r="U832" s="9" t="str">
        <f ca="1">IFERROR(__xludf.DUMMYFUNCTION("IFERROR(VALUE(REGEXEXTRACT(TO_TEXT($F832), U$1 &amp; ""x(\d+)"")), """")"),"")</f>
        <v/>
      </c>
      <c r="V832" s="9" t="str">
        <f ca="1">IFERROR(__xludf.DUMMYFUNCTION("IFERROR(VALUE(REGEXEXTRACT(TO_TEXT($F832), V$1 &amp; ""x(\d+)"")), """")"),"")</f>
        <v/>
      </c>
      <c r="W832" s="9"/>
      <c r="X832" s="9"/>
      <c r="Y832" s="9"/>
      <c r="Z832" s="9"/>
    </row>
    <row r="833" spans="1:26" ht="15.75" customHeight="1">
      <c r="A833" s="9" t="s">
        <v>1926</v>
      </c>
      <c r="B833" s="9" t="s">
        <v>1927</v>
      </c>
      <c r="C833" s="9" t="s">
        <v>1928</v>
      </c>
      <c r="D833" s="9" t="s">
        <v>33</v>
      </c>
      <c r="E833" s="9" t="s">
        <v>11</v>
      </c>
      <c r="F833" s="9" t="s">
        <v>1929</v>
      </c>
      <c r="G833" s="9">
        <v>90</v>
      </c>
      <c r="H833" s="9">
        <v>3</v>
      </c>
      <c r="I833" s="9">
        <v>1.0149999999999999</v>
      </c>
      <c r="J833" s="9">
        <v>100</v>
      </c>
      <c r="K833" s="9" t="s">
        <v>442</v>
      </c>
      <c r="L833" s="9"/>
      <c r="M833" s="9"/>
      <c r="N833" s="9" t="str">
        <f ca="1">IFERROR(__xludf.DUMMYFUNCTION("IFERROR(VALUE(REGEXEXTRACT(TO_TEXT($F833), N$1 &amp; ""x(\d+)"")), """")
"),"")</f>
        <v/>
      </c>
      <c r="O833" s="9">
        <f ca="1">IFERROR(__xludf.DUMMYFUNCTION("IFERROR(VALUE(REGEXEXTRACT(TO_TEXT($F833), O$1 &amp; ""x(\d+)"")), """")"),1)</f>
        <v>1</v>
      </c>
      <c r="P833" s="9" t="str">
        <f ca="1">IFERROR(__xludf.DUMMYFUNCTION("IFERROR(VALUE(REGEXEXTRACT(TO_TEXT($F833), P$1 &amp; ""x(\d+)"")), """")"),"")</f>
        <v/>
      </c>
      <c r="Q833" s="9" t="str">
        <f ca="1">IFERROR(__xludf.DUMMYFUNCTION("IFERROR(VALUE(REGEXEXTRACT(TO_TEXT($F833), Q$1 &amp; ""x(\d+)"")), """")"),"")</f>
        <v/>
      </c>
      <c r="R833" s="9" t="str">
        <f ca="1">IFERROR(__xludf.DUMMYFUNCTION("IFERROR(VALUE(REGEXEXTRACT(TO_TEXT($F833), R$1 &amp; ""x(\d+)"")), """")"),"")</f>
        <v/>
      </c>
      <c r="S833" s="9" t="str">
        <f ca="1">IFERROR(__xludf.DUMMYFUNCTION("IFERROR(VALUE(REGEXEXTRACT(TO_TEXT($F833), S$1 &amp; ""x(\d+)"")), """")"),"")</f>
        <v/>
      </c>
      <c r="T833" s="9" t="str">
        <f ca="1">IFERROR(__xludf.DUMMYFUNCTION("IFERROR(VALUE(REGEXEXTRACT(TO_TEXT($F833), T$1 &amp; ""x(\d+)"")), """")"),"")</f>
        <v/>
      </c>
      <c r="U833" s="9" t="str">
        <f ca="1">IFERROR(__xludf.DUMMYFUNCTION("IFERROR(VALUE(REGEXEXTRACT(TO_TEXT($F833), U$1 &amp; ""x(\d+)"")), """")"),"")</f>
        <v/>
      </c>
      <c r="V833" s="9" t="str">
        <f ca="1">IFERROR(__xludf.DUMMYFUNCTION("IFERROR(VALUE(REGEXEXTRACT(TO_TEXT($F833), V$1 &amp; ""x(\d+)"")), """")"),"")</f>
        <v/>
      </c>
      <c r="W833" s="9"/>
      <c r="X833" s="9"/>
      <c r="Y833" s="9"/>
      <c r="Z833" s="9"/>
    </row>
    <row r="834" spans="1:26" ht="15.75" customHeight="1">
      <c r="A834" s="9" t="s">
        <v>1926</v>
      </c>
      <c r="B834" s="9" t="s">
        <v>1927</v>
      </c>
      <c r="C834" s="9" t="s">
        <v>1928</v>
      </c>
      <c r="D834" s="9" t="s">
        <v>33</v>
      </c>
      <c r="E834" s="9" t="s">
        <v>12</v>
      </c>
      <c r="F834" s="9" t="s">
        <v>1930</v>
      </c>
      <c r="G834" s="9">
        <v>50</v>
      </c>
      <c r="H834" s="9">
        <v>3</v>
      </c>
      <c r="I834" s="9">
        <v>1.0149999999999999</v>
      </c>
      <c r="J834" s="9">
        <v>100</v>
      </c>
      <c r="K834" s="9" t="s">
        <v>442</v>
      </c>
      <c r="L834" s="9"/>
      <c r="M834" s="9"/>
      <c r="N834" s="9" t="str">
        <f ca="1">IFERROR(__xludf.DUMMYFUNCTION("IFERROR(VALUE(REGEXEXTRACT(TO_TEXT($F834), N$1 &amp; ""x(\d+)"")), """")
"),"")</f>
        <v/>
      </c>
      <c r="O834" s="9">
        <f ca="1">IFERROR(__xludf.DUMMYFUNCTION("IFERROR(VALUE(REGEXEXTRACT(TO_TEXT($F834), O$1 &amp; ""x(\d+)"")), """")"),1)</f>
        <v>1</v>
      </c>
      <c r="P834" s="9" t="str">
        <f ca="1">IFERROR(__xludf.DUMMYFUNCTION("IFERROR(VALUE(REGEXEXTRACT(TO_TEXT($F834), P$1 &amp; ""x(\d+)"")), """")"),"")</f>
        <v/>
      </c>
      <c r="Q834" s="9" t="str">
        <f ca="1">IFERROR(__xludf.DUMMYFUNCTION("IFERROR(VALUE(REGEXEXTRACT(TO_TEXT($F834), Q$1 &amp; ""x(\d+)"")), """")"),"")</f>
        <v/>
      </c>
      <c r="R834" s="9" t="str">
        <f ca="1">IFERROR(__xludf.DUMMYFUNCTION("IFERROR(VALUE(REGEXEXTRACT(TO_TEXT($F834), R$1 &amp; ""x(\d+)"")), """")"),"")</f>
        <v/>
      </c>
      <c r="S834" s="9" t="str">
        <f ca="1">IFERROR(__xludf.DUMMYFUNCTION("IFERROR(VALUE(REGEXEXTRACT(TO_TEXT($F834), S$1 &amp; ""x(\d+)"")), """")"),"")</f>
        <v/>
      </c>
      <c r="T834" s="9" t="str">
        <f ca="1">IFERROR(__xludf.DUMMYFUNCTION("IFERROR(VALUE(REGEXEXTRACT(TO_TEXT($F834), T$1 &amp; ""x(\d+)"")), """")"),"")</f>
        <v/>
      </c>
      <c r="U834" s="9" t="str">
        <f ca="1">IFERROR(__xludf.DUMMYFUNCTION("IFERROR(VALUE(REGEXEXTRACT(TO_TEXT($F834), U$1 &amp; ""x(\d+)"")), """")"),"")</f>
        <v/>
      </c>
      <c r="V834" s="9" t="str">
        <f ca="1">IFERROR(__xludf.DUMMYFUNCTION("IFERROR(VALUE(REGEXEXTRACT(TO_TEXT($F834), V$1 &amp; ""x(\d+)"")), """")"),"")</f>
        <v/>
      </c>
      <c r="W834" s="9"/>
      <c r="X834" s="9"/>
      <c r="Y834" s="9"/>
      <c r="Z834" s="9"/>
    </row>
    <row r="835" spans="1:26" ht="15.75" customHeight="1">
      <c r="A835" s="9" t="s">
        <v>1926</v>
      </c>
      <c r="B835" s="9" t="s">
        <v>1927</v>
      </c>
      <c r="C835" s="9" t="s">
        <v>1928</v>
      </c>
      <c r="D835" s="9" t="s">
        <v>33</v>
      </c>
      <c r="E835" s="9" t="s">
        <v>13</v>
      </c>
      <c r="F835" s="9" t="s">
        <v>1312</v>
      </c>
      <c r="G835" s="9">
        <v>10</v>
      </c>
      <c r="H835" s="9">
        <v>3</v>
      </c>
      <c r="I835" s="9">
        <v>1.0149999999999999</v>
      </c>
      <c r="J835" s="9">
        <v>100</v>
      </c>
      <c r="K835" s="9" t="s">
        <v>442</v>
      </c>
      <c r="L835" s="9" t="s">
        <v>1931</v>
      </c>
      <c r="M835" s="9"/>
      <c r="N835" s="9" t="str">
        <f ca="1">IFERROR(__xludf.DUMMYFUNCTION("IFERROR(VALUE(REGEXEXTRACT(TO_TEXT($F835), N$1 &amp; ""x(\d+)"")), """")
"),"")</f>
        <v/>
      </c>
      <c r="O835" s="9">
        <f ca="1">IFERROR(__xludf.DUMMYFUNCTION("IFERROR(VALUE(REGEXEXTRACT(TO_TEXT($F835), O$1 &amp; ""x(\d+)"")), """")"),1)</f>
        <v>1</v>
      </c>
      <c r="P835" s="9" t="str">
        <f ca="1">IFERROR(__xludf.DUMMYFUNCTION("IFERROR(VALUE(REGEXEXTRACT(TO_TEXT($F835), P$1 &amp; ""x(\d+)"")), """")"),"")</f>
        <v/>
      </c>
      <c r="Q835" s="9" t="str">
        <f ca="1">IFERROR(__xludf.DUMMYFUNCTION("IFERROR(VALUE(REGEXEXTRACT(TO_TEXT($F835), Q$1 &amp; ""x(\d+)"")), """")"),"")</f>
        <v/>
      </c>
      <c r="R835" s="9" t="str">
        <f ca="1">IFERROR(__xludf.DUMMYFUNCTION("IFERROR(VALUE(REGEXEXTRACT(TO_TEXT($F835), R$1 &amp; ""x(\d+)"")), """")"),"")</f>
        <v/>
      </c>
      <c r="S835" s="9" t="str">
        <f ca="1">IFERROR(__xludf.DUMMYFUNCTION("IFERROR(VALUE(REGEXEXTRACT(TO_TEXT($F835), S$1 &amp; ""x(\d+)"")), """")"),"")</f>
        <v/>
      </c>
      <c r="T835" s="9" t="str">
        <f ca="1">IFERROR(__xludf.DUMMYFUNCTION("IFERROR(VALUE(REGEXEXTRACT(TO_TEXT($F835), T$1 &amp; ""x(\d+)"")), """")"),"")</f>
        <v/>
      </c>
      <c r="U835" s="9" t="str">
        <f ca="1">IFERROR(__xludf.DUMMYFUNCTION("IFERROR(VALUE(REGEXEXTRACT(TO_TEXT($F835), U$1 &amp; ""x(\d+)"")), """")"),"")</f>
        <v/>
      </c>
      <c r="V835" s="9" t="str">
        <f ca="1">IFERROR(__xludf.DUMMYFUNCTION("IFERROR(VALUE(REGEXEXTRACT(TO_TEXT($F835), V$1 &amp; ""x(\d+)"")), """")"),"")</f>
        <v/>
      </c>
      <c r="W835" s="9"/>
      <c r="X835" s="9"/>
      <c r="Y835" s="9"/>
      <c r="Z835" s="9"/>
    </row>
    <row r="836" spans="1:26" ht="15.75" hidden="1" customHeight="1">
      <c r="A836" s="9" t="s">
        <v>1926</v>
      </c>
      <c r="B836" s="9" t="s">
        <v>1927</v>
      </c>
      <c r="C836" s="9" t="s">
        <v>1928</v>
      </c>
      <c r="D836" s="9" t="s">
        <v>40</v>
      </c>
      <c r="E836" s="9" t="s">
        <v>11</v>
      </c>
      <c r="F836" s="9" t="s">
        <v>1809</v>
      </c>
      <c r="G836" s="9">
        <v>90</v>
      </c>
      <c r="H836" s="9">
        <v>3</v>
      </c>
      <c r="I836" s="9">
        <v>1.0149999999999999</v>
      </c>
      <c r="J836" s="9">
        <v>213</v>
      </c>
      <c r="K836" s="9" t="s">
        <v>442</v>
      </c>
      <c r="L836" s="9"/>
      <c r="M836" s="9"/>
      <c r="N836" s="9" t="str">
        <f ca="1">IFERROR(__xludf.DUMMYFUNCTION("IFERROR(VALUE(REGEXEXTRACT(TO_TEXT($F836), N$1 &amp; ""x(\d+)"")), """")
"),"")</f>
        <v/>
      </c>
      <c r="O836" s="9">
        <f ca="1">IFERROR(__xludf.DUMMYFUNCTION("IFERROR(VALUE(REGEXEXTRACT(TO_TEXT($F836), O$1 &amp; ""x(\d+)"")), """")"),1)</f>
        <v>1</v>
      </c>
      <c r="P836" s="9" t="str">
        <f ca="1">IFERROR(__xludf.DUMMYFUNCTION("IFERROR(VALUE(REGEXEXTRACT(TO_TEXT($F836), P$1 &amp; ""x(\d+)"")), """")"),"")</f>
        <v/>
      </c>
      <c r="Q836" s="9" t="str">
        <f ca="1">IFERROR(__xludf.DUMMYFUNCTION("IFERROR(VALUE(REGEXEXTRACT(TO_TEXT($F836), Q$1 &amp; ""x(\d+)"")), """")"),"")</f>
        <v/>
      </c>
      <c r="R836" s="9" t="str">
        <f ca="1">IFERROR(__xludf.DUMMYFUNCTION("IFERROR(VALUE(REGEXEXTRACT(TO_TEXT($F836), R$1 &amp; ""x(\d+)"")), """")"),"")</f>
        <v/>
      </c>
      <c r="S836" s="9" t="str">
        <f ca="1">IFERROR(__xludf.DUMMYFUNCTION("IFERROR(VALUE(REGEXEXTRACT(TO_TEXT($F836), S$1 &amp; ""x(\d+)"")), """")"),"")</f>
        <v/>
      </c>
      <c r="T836" s="9" t="str">
        <f ca="1">IFERROR(__xludf.DUMMYFUNCTION("IFERROR(VALUE(REGEXEXTRACT(TO_TEXT($F836), T$1 &amp; ""x(\d+)"")), """")"),"")</f>
        <v/>
      </c>
      <c r="U836" s="9" t="str">
        <f ca="1">IFERROR(__xludf.DUMMYFUNCTION("IFERROR(VALUE(REGEXEXTRACT(TO_TEXT($F836), U$1 &amp; ""x(\d+)"")), """")"),"")</f>
        <v/>
      </c>
      <c r="V836" s="9" t="str">
        <f ca="1">IFERROR(__xludf.DUMMYFUNCTION("IFERROR(VALUE(REGEXEXTRACT(TO_TEXT($F836), V$1 &amp; ""x(\d+)"")), """")"),"")</f>
        <v/>
      </c>
      <c r="W836" s="9"/>
      <c r="X836" s="9"/>
      <c r="Y836" s="9"/>
      <c r="Z836" s="9"/>
    </row>
    <row r="837" spans="1:26" ht="15.75" hidden="1" customHeight="1">
      <c r="A837" s="9" t="s">
        <v>1926</v>
      </c>
      <c r="B837" s="9" t="s">
        <v>1927</v>
      </c>
      <c r="C837" s="9" t="s">
        <v>1928</v>
      </c>
      <c r="D837" s="9" t="s">
        <v>40</v>
      </c>
      <c r="E837" s="9" t="s">
        <v>12</v>
      </c>
      <c r="F837" s="9" t="s">
        <v>1932</v>
      </c>
      <c r="G837" s="9">
        <v>90</v>
      </c>
      <c r="H837" s="9">
        <v>3</v>
      </c>
      <c r="I837" s="9">
        <v>1.0149999999999999</v>
      </c>
      <c r="J837" s="9">
        <v>213</v>
      </c>
      <c r="K837" s="9" t="s">
        <v>442</v>
      </c>
      <c r="L837" s="9" t="s">
        <v>1015</v>
      </c>
      <c r="M837" s="9"/>
      <c r="N837" s="9" t="str">
        <f ca="1">IFERROR(__xludf.DUMMYFUNCTION("IFERROR(VALUE(REGEXEXTRACT(TO_TEXT($F837), N$1 &amp; ""x(\d+)"")), """")
"),"")</f>
        <v/>
      </c>
      <c r="O837" s="9">
        <f ca="1">IFERROR(__xludf.DUMMYFUNCTION("IFERROR(VALUE(REGEXEXTRACT(TO_TEXT($F837), O$1 &amp; ""x(\d+)"")), """")"),1)</f>
        <v>1</v>
      </c>
      <c r="P837" s="9" t="str">
        <f ca="1">IFERROR(__xludf.DUMMYFUNCTION("IFERROR(VALUE(REGEXEXTRACT(TO_TEXT($F837), P$1 &amp; ""x(\d+)"")), """")"),"")</f>
        <v/>
      </c>
      <c r="Q837" s="9" t="str">
        <f ca="1">IFERROR(__xludf.DUMMYFUNCTION("IFERROR(VALUE(REGEXEXTRACT(TO_TEXT($F837), Q$1 &amp; ""x(\d+)"")), """")"),"")</f>
        <v/>
      </c>
      <c r="R837" s="9" t="str">
        <f ca="1">IFERROR(__xludf.DUMMYFUNCTION("IFERROR(VALUE(REGEXEXTRACT(TO_TEXT($F837), R$1 &amp; ""x(\d+)"")), """")"),"")</f>
        <v/>
      </c>
      <c r="S837" s="9">
        <f ca="1">IFERROR(__xludf.DUMMYFUNCTION("IFERROR(VALUE(REGEXEXTRACT(TO_TEXT($F837), S$1 &amp; ""x(\d+)"")), """")"),1)</f>
        <v>1</v>
      </c>
      <c r="T837" s="9" t="str">
        <f ca="1">IFERROR(__xludf.DUMMYFUNCTION("IFERROR(VALUE(REGEXEXTRACT(TO_TEXT($F837), T$1 &amp; ""x(\d+)"")), """")"),"")</f>
        <v/>
      </c>
      <c r="U837" s="9" t="str">
        <f ca="1">IFERROR(__xludf.DUMMYFUNCTION("IFERROR(VALUE(REGEXEXTRACT(TO_TEXT($F837), U$1 &amp; ""x(\d+)"")), """")"),"")</f>
        <v/>
      </c>
      <c r="V837" s="9" t="str">
        <f ca="1">IFERROR(__xludf.DUMMYFUNCTION("IFERROR(VALUE(REGEXEXTRACT(TO_TEXT($F837), V$1 &amp; ""x(\d+)"")), """")"),"")</f>
        <v/>
      </c>
      <c r="W837" s="9"/>
      <c r="X837" s="9"/>
      <c r="Y837" s="9"/>
      <c r="Z837" s="9"/>
    </row>
    <row r="838" spans="1:26" ht="15.75" hidden="1" customHeight="1">
      <c r="A838" s="9" t="s">
        <v>1926</v>
      </c>
      <c r="B838" s="9" t="s">
        <v>1927</v>
      </c>
      <c r="C838" s="9" t="s">
        <v>1928</v>
      </c>
      <c r="D838" s="9" t="s">
        <v>40</v>
      </c>
      <c r="E838" s="9" t="s">
        <v>13</v>
      </c>
      <c r="F838" s="9" t="s">
        <v>1933</v>
      </c>
      <c r="G838" s="9">
        <v>30</v>
      </c>
      <c r="H838" s="9">
        <v>3</v>
      </c>
      <c r="I838" s="9">
        <v>1.0149999999999999</v>
      </c>
      <c r="J838" s="9">
        <v>213</v>
      </c>
      <c r="K838" s="9" t="s">
        <v>442</v>
      </c>
      <c r="L838" s="9"/>
      <c r="M838" s="9"/>
      <c r="N838" s="9" t="str">
        <f ca="1">IFERROR(__xludf.DUMMYFUNCTION("IFERROR(VALUE(REGEXEXTRACT(TO_TEXT($F838), N$1 &amp; ""x(\d+)"")), """")
"),"")</f>
        <v/>
      </c>
      <c r="O838" s="9">
        <f ca="1">IFERROR(__xludf.DUMMYFUNCTION("IFERROR(VALUE(REGEXEXTRACT(TO_TEXT($F838), O$1 &amp; ""x(\d+)"")), """")"),1)</f>
        <v>1</v>
      </c>
      <c r="P838" s="9" t="str">
        <f ca="1">IFERROR(__xludf.DUMMYFUNCTION("IFERROR(VALUE(REGEXEXTRACT(TO_TEXT($F838), P$1 &amp; ""x(\d+)"")), """")"),"")</f>
        <v/>
      </c>
      <c r="Q838" s="9" t="str">
        <f ca="1">IFERROR(__xludf.DUMMYFUNCTION("IFERROR(VALUE(REGEXEXTRACT(TO_TEXT($F838), Q$1 &amp; ""x(\d+)"")), """")"),"")</f>
        <v/>
      </c>
      <c r="R838" s="9" t="str">
        <f ca="1">IFERROR(__xludf.DUMMYFUNCTION("IFERROR(VALUE(REGEXEXTRACT(TO_TEXT($F838), R$1 &amp; ""x(\d+)"")), """")"),"")</f>
        <v/>
      </c>
      <c r="S838" s="9">
        <f ca="1">IFERROR(__xludf.DUMMYFUNCTION("IFERROR(VALUE(REGEXEXTRACT(TO_TEXT($F838), S$1 &amp; ""x(\d+)"")), """")"),1)</f>
        <v>1</v>
      </c>
      <c r="T838" s="9" t="str">
        <f ca="1">IFERROR(__xludf.DUMMYFUNCTION("IFERROR(VALUE(REGEXEXTRACT(TO_TEXT($F838), T$1 &amp; ""x(\d+)"")), """")"),"")</f>
        <v/>
      </c>
      <c r="U838" s="9" t="str">
        <f ca="1">IFERROR(__xludf.DUMMYFUNCTION("IFERROR(VALUE(REGEXEXTRACT(TO_TEXT($F838), U$1 &amp; ""x(\d+)"")), """")"),"")</f>
        <v/>
      </c>
      <c r="V838" s="9" t="str">
        <f ca="1">IFERROR(__xludf.DUMMYFUNCTION("IFERROR(VALUE(REGEXEXTRACT(TO_TEXT($F838), V$1 &amp; ""x(\d+)"")), """")"),"")</f>
        <v/>
      </c>
      <c r="W838" s="9"/>
      <c r="X838" s="9"/>
      <c r="Y838" s="9"/>
      <c r="Z838" s="9"/>
    </row>
    <row r="839" spans="1:26" ht="15.75" customHeight="1">
      <c r="A839" s="9" t="s">
        <v>1934</v>
      </c>
      <c r="B839" s="9" t="s">
        <v>1935</v>
      </c>
      <c r="C839" s="9" t="s">
        <v>782</v>
      </c>
      <c r="D839" s="9" t="s">
        <v>33</v>
      </c>
      <c r="E839" s="9" t="s">
        <v>11</v>
      </c>
      <c r="F839" s="9" t="s">
        <v>1629</v>
      </c>
      <c r="G839" s="9">
        <v>90</v>
      </c>
      <c r="H839" s="9">
        <v>3</v>
      </c>
      <c r="I839" s="9">
        <v>1.0149999999999999</v>
      </c>
      <c r="J839" s="9">
        <v>100</v>
      </c>
      <c r="K839" s="9" t="s">
        <v>442</v>
      </c>
      <c r="L839" s="9"/>
      <c r="M839" s="9"/>
      <c r="N839" s="9" t="str">
        <f ca="1">IFERROR(__xludf.DUMMYFUNCTION("IFERROR(VALUE(REGEXEXTRACT(TO_TEXT($F839), N$1 &amp; ""x(\d+)"")), """")
"),"")</f>
        <v/>
      </c>
      <c r="O839" s="9">
        <f ca="1">IFERROR(__xludf.DUMMYFUNCTION("IFERROR(VALUE(REGEXEXTRACT(TO_TEXT($F839), O$1 &amp; ""x(\d+)"")), """")"),1)</f>
        <v>1</v>
      </c>
      <c r="P839" s="9" t="str">
        <f ca="1">IFERROR(__xludf.DUMMYFUNCTION("IFERROR(VALUE(REGEXEXTRACT(TO_TEXT($F839), P$1 &amp; ""x(\d+)"")), """")"),"")</f>
        <v/>
      </c>
      <c r="Q839" s="9" t="str">
        <f ca="1">IFERROR(__xludf.DUMMYFUNCTION("IFERROR(VALUE(REGEXEXTRACT(TO_TEXT($F839), Q$1 &amp; ""x(\d+)"")), """")"),"")</f>
        <v/>
      </c>
      <c r="R839" s="9" t="str">
        <f ca="1">IFERROR(__xludf.DUMMYFUNCTION("IFERROR(VALUE(REGEXEXTRACT(TO_TEXT($F839), R$1 &amp; ""x(\d+)"")), """")"),"")</f>
        <v/>
      </c>
      <c r="S839" s="9" t="str">
        <f ca="1">IFERROR(__xludf.DUMMYFUNCTION("IFERROR(VALUE(REGEXEXTRACT(TO_TEXT($F839), S$1 &amp; ""x(\d+)"")), """")"),"")</f>
        <v/>
      </c>
      <c r="T839" s="9" t="str">
        <f ca="1">IFERROR(__xludf.DUMMYFUNCTION("IFERROR(VALUE(REGEXEXTRACT(TO_TEXT($F839), T$1 &amp; ""x(\d+)"")), """")"),"")</f>
        <v/>
      </c>
      <c r="U839" s="9" t="str">
        <f ca="1">IFERROR(__xludf.DUMMYFUNCTION("IFERROR(VALUE(REGEXEXTRACT(TO_TEXT($F839), U$1 &amp; ""x(\d+)"")), """")"),"")</f>
        <v/>
      </c>
      <c r="V839" s="9" t="str">
        <f ca="1">IFERROR(__xludf.DUMMYFUNCTION("IFERROR(VALUE(REGEXEXTRACT(TO_TEXT($F839), V$1 &amp; ""x(\d+)"")), """")"),"")</f>
        <v/>
      </c>
      <c r="W839" s="9"/>
      <c r="X839" s="9"/>
      <c r="Y839" s="9"/>
      <c r="Z839" s="9"/>
    </row>
    <row r="840" spans="1:26" ht="15.75" customHeight="1">
      <c r="A840" s="9" t="s">
        <v>1934</v>
      </c>
      <c r="B840" s="9" t="s">
        <v>1935</v>
      </c>
      <c r="C840" s="9" t="s">
        <v>782</v>
      </c>
      <c r="D840" s="9" t="s">
        <v>33</v>
      </c>
      <c r="E840" s="9" t="s">
        <v>12</v>
      </c>
      <c r="F840" s="9" t="s">
        <v>1630</v>
      </c>
      <c r="G840" s="9">
        <v>50</v>
      </c>
      <c r="H840" s="9">
        <v>3</v>
      </c>
      <c r="I840" s="9">
        <v>1.0149999999999999</v>
      </c>
      <c r="J840" s="9">
        <v>100</v>
      </c>
      <c r="K840" s="9" t="s">
        <v>442</v>
      </c>
      <c r="L840" s="9"/>
      <c r="M840" s="9"/>
      <c r="N840" s="9" t="str">
        <f ca="1">IFERROR(__xludf.DUMMYFUNCTION("IFERROR(VALUE(REGEXEXTRACT(TO_TEXT($F840), N$1 &amp; ""x(\d+)"")), """")
"),"")</f>
        <v/>
      </c>
      <c r="O840" s="9">
        <f ca="1">IFERROR(__xludf.DUMMYFUNCTION("IFERROR(VALUE(REGEXEXTRACT(TO_TEXT($F840), O$1 &amp; ""x(\d+)"")), """")"),1)</f>
        <v>1</v>
      </c>
      <c r="P840" s="9" t="str">
        <f ca="1">IFERROR(__xludf.DUMMYFUNCTION("IFERROR(VALUE(REGEXEXTRACT(TO_TEXT($F840), P$1 &amp; ""x(\d+)"")), """")"),"")</f>
        <v/>
      </c>
      <c r="Q840" s="9" t="str">
        <f ca="1">IFERROR(__xludf.DUMMYFUNCTION("IFERROR(VALUE(REGEXEXTRACT(TO_TEXT($F840), Q$1 &amp; ""x(\d+)"")), """")"),"")</f>
        <v/>
      </c>
      <c r="R840" s="9" t="str">
        <f ca="1">IFERROR(__xludf.DUMMYFUNCTION("IFERROR(VALUE(REGEXEXTRACT(TO_TEXT($F840), R$1 &amp; ""x(\d+)"")), """")"),"")</f>
        <v/>
      </c>
      <c r="S840" s="9" t="str">
        <f ca="1">IFERROR(__xludf.DUMMYFUNCTION("IFERROR(VALUE(REGEXEXTRACT(TO_TEXT($F840), S$1 &amp; ""x(\d+)"")), """")"),"")</f>
        <v/>
      </c>
      <c r="T840" s="9" t="str">
        <f ca="1">IFERROR(__xludf.DUMMYFUNCTION("IFERROR(VALUE(REGEXEXTRACT(TO_TEXT($F840), T$1 &amp; ""x(\d+)"")), """")"),"")</f>
        <v/>
      </c>
      <c r="U840" s="9" t="str">
        <f ca="1">IFERROR(__xludf.DUMMYFUNCTION("IFERROR(VALUE(REGEXEXTRACT(TO_TEXT($F840), U$1 &amp; ""x(\d+)"")), """")"),"")</f>
        <v/>
      </c>
      <c r="V840" s="9" t="str">
        <f ca="1">IFERROR(__xludf.DUMMYFUNCTION("IFERROR(VALUE(REGEXEXTRACT(TO_TEXT($F840), V$1 &amp; ""x(\d+)"")), """")"),"")</f>
        <v/>
      </c>
      <c r="W840" s="9"/>
      <c r="X840" s="9"/>
      <c r="Y840" s="9"/>
      <c r="Z840" s="9"/>
    </row>
    <row r="841" spans="1:26" ht="15.75" customHeight="1">
      <c r="A841" s="9" t="s">
        <v>1934</v>
      </c>
      <c r="B841" s="9" t="s">
        <v>1935</v>
      </c>
      <c r="C841" s="9" t="s">
        <v>782</v>
      </c>
      <c r="D841" s="9" t="s">
        <v>33</v>
      </c>
      <c r="E841" s="9" t="s">
        <v>13</v>
      </c>
      <c r="F841" s="9" t="s">
        <v>1193</v>
      </c>
      <c r="G841" s="9">
        <v>10</v>
      </c>
      <c r="H841" s="9">
        <v>3</v>
      </c>
      <c r="I841" s="9">
        <v>1.0149999999999999</v>
      </c>
      <c r="J841" s="9">
        <v>100</v>
      </c>
      <c r="K841" s="9" t="s">
        <v>442</v>
      </c>
      <c r="L841" s="9" t="s">
        <v>1931</v>
      </c>
      <c r="M841" s="9"/>
      <c r="N841" s="9" t="str">
        <f ca="1">IFERROR(__xludf.DUMMYFUNCTION("IFERROR(VALUE(REGEXEXTRACT(TO_TEXT($F841), N$1 &amp; ""x(\d+)"")), """")
"),"")</f>
        <v/>
      </c>
      <c r="O841" s="9">
        <f ca="1">IFERROR(__xludf.DUMMYFUNCTION("IFERROR(VALUE(REGEXEXTRACT(TO_TEXT($F841), O$1 &amp; ""x(\d+)"")), """")"),1)</f>
        <v>1</v>
      </c>
      <c r="P841" s="9" t="str">
        <f ca="1">IFERROR(__xludf.DUMMYFUNCTION("IFERROR(VALUE(REGEXEXTRACT(TO_TEXT($F841), P$1 &amp; ""x(\d+)"")), """")"),"")</f>
        <v/>
      </c>
      <c r="Q841" s="9" t="str">
        <f ca="1">IFERROR(__xludf.DUMMYFUNCTION("IFERROR(VALUE(REGEXEXTRACT(TO_TEXT($F841), Q$1 &amp; ""x(\d+)"")), """")"),"")</f>
        <v/>
      </c>
      <c r="R841" s="9" t="str">
        <f ca="1">IFERROR(__xludf.DUMMYFUNCTION("IFERROR(VALUE(REGEXEXTRACT(TO_TEXT($F841), R$1 &amp; ""x(\d+)"")), """")"),"")</f>
        <v/>
      </c>
      <c r="S841" s="9" t="str">
        <f ca="1">IFERROR(__xludf.DUMMYFUNCTION("IFERROR(VALUE(REGEXEXTRACT(TO_TEXT($F841), S$1 &amp; ""x(\d+)"")), """")"),"")</f>
        <v/>
      </c>
      <c r="T841" s="9" t="str">
        <f ca="1">IFERROR(__xludf.DUMMYFUNCTION("IFERROR(VALUE(REGEXEXTRACT(TO_TEXT($F841), T$1 &amp; ""x(\d+)"")), """")"),"")</f>
        <v/>
      </c>
      <c r="U841" s="9" t="str">
        <f ca="1">IFERROR(__xludf.DUMMYFUNCTION("IFERROR(VALUE(REGEXEXTRACT(TO_TEXT($F841), U$1 &amp; ""x(\d+)"")), """")"),"")</f>
        <v/>
      </c>
      <c r="V841" s="9" t="str">
        <f ca="1">IFERROR(__xludf.DUMMYFUNCTION("IFERROR(VALUE(REGEXEXTRACT(TO_TEXT($F841), V$1 &amp; ""x(\d+)"")), """")"),"")</f>
        <v/>
      </c>
      <c r="W841" s="9"/>
      <c r="X841" s="9"/>
      <c r="Y841" s="9"/>
      <c r="Z841" s="9"/>
    </row>
    <row r="842" spans="1:26" ht="15.75" hidden="1" customHeight="1">
      <c r="A842" s="9" t="s">
        <v>1934</v>
      </c>
      <c r="B842" s="9" t="s">
        <v>1935</v>
      </c>
      <c r="C842" s="9" t="s">
        <v>782</v>
      </c>
      <c r="D842" s="9" t="s">
        <v>40</v>
      </c>
      <c r="E842" s="9" t="s">
        <v>11</v>
      </c>
      <c r="F842" s="9" t="s">
        <v>1629</v>
      </c>
      <c r="G842" s="9">
        <v>90</v>
      </c>
      <c r="H842" s="9">
        <v>3</v>
      </c>
      <c r="I842" s="9">
        <v>1.0149999999999999</v>
      </c>
      <c r="J842" s="9">
        <v>305</v>
      </c>
      <c r="K842" s="9" t="s">
        <v>442</v>
      </c>
      <c r="L842" s="9"/>
      <c r="M842" s="9"/>
      <c r="N842" s="9" t="str">
        <f ca="1">IFERROR(__xludf.DUMMYFUNCTION("IFERROR(VALUE(REGEXEXTRACT(TO_TEXT($F842), N$1 &amp; ""x(\d+)"")), """")
"),"")</f>
        <v/>
      </c>
      <c r="O842" s="9">
        <f ca="1">IFERROR(__xludf.DUMMYFUNCTION("IFERROR(VALUE(REGEXEXTRACT(TO_TEXT($F842), O$1 &amp; ""x(\d+)"")), """")"),1)</f>
        <v>1</v>
      </c>
      <c r="P842" s="9" t="str">
        <f ca="1">IFERROR(__xludf.DUMMYFUNCTION("IFERROR(VALUE(REGEXEXTRACT(TO_TEXT($F842), P$1 &amp; ""x(\d+)"")), """")"),"")</f>
        <v/>
      </c>
      <c r="Q842" s="9" t="str">
        <f ca="1">IFERROR(__xludf.DUMMYFUNCTION("IFERROR(VALUE(REGEXEXTRACT(TO_TEXT($F842), Q$1 &amp; ""x(\d+)"")), """")"),"")</f>
        <v/>
      </c>
      <c r="R842" s="9" t="str">
        <f ca="1">IFERROR(__xludf.DUMMYFUNCTION("IFERROR(VALUE(REGEXEXTRACT(TO_TEXT($F842), R$1 &amp; ""x(\d+)"")), """")"),"")</f>
        <v/>
      </c>
      <c r="S842" s="9" t="str">
        <f ca="1">IFERROR(__xludf.DUMMYFUNCTION("IFERROR(VALUE(REGEXEXTRACT(TO_TEXT($F842), S$1 &amp; ""x(\d+)"")), """")"),"")</f>
        <v/>
      </c>
      <c r="T842" s="9" t="str">
        <f ca="1">IFERROR(__xludf.DUMMYFUNCTION("IFERROR(VALUE(REGEXEXTRACT(TO_TEXT($F842), T$1 &amp; ""x(\d+)"")), """")"),"")</f>
        <v/>
      </c>
      <c r="U842" s="9" t="str">
        <f ca="1">IFERROR(__xludf.DUMMYFUNCTION("IFERROR(VALUE(REGEXEXTRACT(TO_TEXT($F842), U$1 &amp; ""x(\d+)"")), """")"),"")</f>
        <v/>
      </c>
      <c r="V842" s="9" t="str">
        <f ca="1">IFERROR(__xludf.DUMMYFUNCTION("IFERROR(VALUE(REGEXEXTRACT(TO_TEXT($F842), V$1 &amp; ""x(\d+)"")), """")"),"")</f>
        <v/>
      </c>
      <c r="W842" s="9"/>
      <c r="X842" s="9"/>
      <c r="Y842" s="9"/>
      <c r="Z842" s="9"/>
    </row>
    <row r="843" spans="1:26" ht="15.75" hidden="1" customHeight="1">
      <c r="A843" s="9" t="s">
        <v>1934</v>
      </c>
      <c r="B843" s="9" t="s">
        <v>1935</v>
      </c>
      <c r="C843" s="9" t="s">
        <v>782</v>
      </c>
      <c r="D843" s="9" t="s">
        <v>40</v>
      </c>
      <c r="E843" s="9" t="s">
        <v>12</v>
      </c>
      <c r="F843" s="9" t="s">
        <v>1932</v>
      </c>
      <c r="G843" s="9">
        <v>90</v>
      </c>
      <c r="H843" s="9">
        <v>3</v>
      </c>
      <c r="I843" s="9">
        <v>1.0149999999999999</v>
      </c>
      <c r="J843" s="9">
        <v>305</v>
      </c>
      <c r="K843" s="9" t="s">
        <v>442</v>
      </c>
      <c r="L843" s="9" t="s">
        <v>1015</v>
      </c>
      <c r="M843" s="9"/>
      <c r="N843" s="9" t="str">
        <f ca="1">IFERROR(__xludf.DUMMYFUNCTION("IFERROR(VALUE(REGEXEXTRACT(TO_TEXT($F843), N$1 &amp; ""x(\d+)"")), """")
"),"")</f>
        <v/>
      </c>
      <c r="O843" s="9">
        <f ca="1">IFERROR(__xludf.DUMMYFUNCTION("IFERROR(VALUE(REGEXEXTRACT(TO_TEXT($F843), O$1 &amp; ""x(\d+)"")), """")"),1)</f>
        <v>1</v>
      </c>
      <c r="P843" s="9" t="str">
        <f ca="1">IFERROR(__xludf.DUMMYFUNCTION("IFERROR(VALUE(REGEXEXTRACT(TO_TEXT($F843), P$1 &amp; ""x(\d+)"")), """")"),"")</f>
        <v/>
      </c>
      <c r="Q843" s="9" t="str">
        <f ca="1">IFERROR(__xludf.DUMMYFUNCTION("IFERROR(VALUE(REGEXEXTRACT(TO_TEXT($F843), Q$1 &amp; ""x(\d+)"")), """")"),"")</f>
        <v/>
      </c>
      <c r="R843" s="9" t="str">
        <f ca="1">IFERROR(__xludf.DUMMYFUNCTION("IFERROR(VALUE(REGEXEXTRACT(TO_TEXT($F843), R$1 &amp; ""x(\d+)"")), """")"),"")</f>
        <v/>
      </c>
      <c r="S843" s="9">
        <f ca="1">IFERROR(__xludf.DUMMYFUNCTION("IFERROR(VALUE(REGEXEXTRACT(TO_TEXT($F843), S$1 &amp; ""x(\d+)"")), """")"),1)</f>
        <v>1</v>
      </c>
      <c r="T843" s="9" t="str">
        <f ca="1">IFERROR(__xludf.DUMMYFUNCTION("IFERROR(VALUE(REGEXEXTRACT(TO_TEXT($F843), T$1 &amp; ""x(\d+)"")), """")"),"")</f>
        <v/>
      </c>
      <c r="U843" s="9" t="str">
        <f ca="1">IFERROR(__xludf.DUMMYFUNCTION("IFERROR(VALUE(REGEXEXTRACT(TO_TEXT($F843), U$1 &amp; ""x(\d+)"")), """")"),"")</f>
        <v/>
      </c>
      <c r="V843" s="9" t="str">
        <f ca="1">IFERROR(__xludf.DUMMYFUNCTION("IFERROR(VALUE(REGEXEXTRACT(TO_TEXT($F843), V$1 &amp; ""x(\d+)"")), """")"),"")</f>
        <v/>
      </c>
      <c r="W843" s="9"/>
      <c r="X843" s="9"/>
      <c r="Y843" s="9"/>
      <c r="Z843" s="9"/>
    </row>
    <row r="844" spans="1:26" ht="15.75" hidden="1" customHeight="1">
      <c r="A844" s="9" t="s">
        <v>1934</v>
      </c>
      <c r="B844" s="9" t="s">
        <v>1935</v>
      </c>
      <c r="C844" s="9" t="s">
        <v>782</v>
      </c>
      <c r="D844" s="9" t="s">
        <v>40</v>
      </c>
      <c r="E844" s="9" t="s">
        <v>13</v>
      </c>
      <c r="F844" s="9" t="s">
        <v>1933</v>
      </c>
      <c r="G844" s="9">
        <v>30</v>
      </c>
      <c r="H844" s="9">
        <v>3</v>
      </c>
      <c r="I844" s="9">
        <v>1.0149999999999999</v>
      </c>
      <c r="J844" s="9">
        <v>305</v>
      </c>
      <c r="K844" s="9" t="s">
        <v>442</v>
      </c>
      <c r="L844" s="9"/>
      <c r="M844" s="9"/>
      <c r="N844" s="9" t="str">
        <f ca="1">IFERROR(__xludf.DUMMYFUNCTION("IFERROR(VALUE(REGEXEXTRACT(TO_TEXT($F844), N$1 &amp; ""x(\d+)"")), """")
"),"")</f>
        <v/>
      </c>
      <c r="O844" s="9">
        <f ca="1">IFERROR(__xludf.DUMMYFUNCTION("IFERROR(VALUE(REGEXEXTRACT(TO_TEXT($F844), O$1 &amp; ""x(\d+)"")), """")"),1)</f>
        <v>1</v>
      </c>
      <c r="P844" s="9" t="str">
        <f ca="1">IFERROR(__xludf.DUMMYFUNCTION("IFERROR(VALUE(REGEXEXTRACT(TO_TEXT($F844), P$1 &amp; ""x(\d+)"")), """")"),"")</f>
        <v/>
      </c>
      <c r="Q844" s="9" t="str">
        <f ca="1">IFERROR(__xludf.DUMMYFUNCTION("IFERROR(VALUE(REGEXEXTRACT(TO_TEXT($F844), Q$1 &amp; ""x(\d+)"")), """")"),"")</f>
        <v/>
      </c>
      <c r="R844" s="9" t="str">
        <f ca="1">IFERROR(__xludf.DUMMYFUNCTION("IFERROR(VALUE(REGEXEXTRACT(TO_TEXT($F844), R$1 &amp; ""x(\d+)"")), """")"),"")</f>
        <v/>
      </c>
      <c r="S844" s="9">
        <f ca="1">IFERROR(__xludf.DUMMYFUNCTION("IFERROR(VALUE(REGEXEXTRACT(TO_TEXT($F844), S$1 &amp; ""x(\d+)"")), """")"),1)</f>
        <v>1</v>
      </c>
      <c r="T844" s="9" t="str">
        <f ca="1">IFERROR(__xludf.DUMMYFUNCTION("IFERROR(VALUE(REGEXEXTRACT(TO_TEXT($F844), T$1 &amp; ""x(\d+)"")), """")"),"")</f>
        <v/>
      </c>
      <c r="U844" s="9" t="str">
        <f ca="1">IFERROR(__xludf.DUMMYFUNCTION("IFERROR(VALUE(REGEXEXTRACT(TO_TEXT($F844), U$1 &amp; ""x(\d+)"")), """")"),"")</f>
        <v/>
      </c>
      <c r="V844" s="9" t="str">
        <f ca="1">IFERROR(__xludf.DUMMYFUNCTION("IFERROR(VALUE(REGEXEXTRACT(TO_TEXT($F844), V$1 &amp; ""x(\d+)"")), """")"),"")</f>
        <v/>
      </c>
      <c r="W844" s="9"/>
      <c r="X844" s="9"/>
      <c r="Y844" s="9"/>
      <c r="Z844" s="9"/>
    </row>
    <row r="845" spans="1:26" ht="15.75" customHeight="1">
      <c r="A845" s="9" t="s">
        <v>1936</v>
      </c>
      <c r="B845" s="9" t="s">
        <v>1937</v>
      </c>
      <c r="C845" s="9" t="s">
        <v>63</v>
      </c>
      <c r="D845" s="9" t="s">
        <v>33</v>
      </c>
      <c r="E845" s="9" t="s">
        <v>12</v>
      </c>
      <c r="F845" s="9" t="s">
        <v>1280</v>
      </c>
      <c r="G845" s="9">
        <v>90</v>
      </c>
      <c r="H845" s="9">
        <v>4</v>
      </c>
      <c r="I845" s="9">
        <v>1.0149999999999999</v>
      </c>
      <c r="J845" s="9">
        <v>81</v>
      </c>
      <c r="K845" s="9" t="s">
        <v>442</v>
      </c>
      <c r="L845" s="9" t="s">
        <v>1243</v>
      </c>
      <c r="M845" s="9"/>
      <c r="N845" s="9" t="str">
        <f ca="1">IFERROR(__xludf.DUMMYFUNCTION("IFERROR(VALUE(REGEXEXTRACT(TO_TEXT($F845), N$1 &amp; ""x(\d+)"")), """")
"),"")</f>
        <v/>
      </c>
      <c r="O845" s="9">
        <f ca="1">IFERROR(__xludf.DUMMYFUNCTION("IFERROR(VALUE(REGEXEXTRACT(TO_TEXT($F845), O$1 &amp; ""x(\d+)"")), """")"),1)</f>
        <v>1</v>
      </c>
      <c r="P845" s="9" t="str">
        <f ca="1">IFERROR(__xludf.DUMMYFUNCTION("IFERROR(VALUE(REGEXEXTRACT(TO_TEXT($F845), P$1 &amp; ""x(\d+)"")), """")"),"")</f>
        <v/>
      </c>
      <c r="Q845" s="9" t="str">
        <f ca="1">IFERROR(__xludf.DUMMYFUNCTION("IFERROR(VALUE(REGEXEXTRACT(TO_TEXT($F845), Q$1 &amp; ""x(\d+)"")), """")"),"")</f>
        <v/>
      </c>
      <c r="R845" s="9" t="str">
        <f ca="1">IFERROR(__xludf.DUMMYFUNCTION("IFERROR(VALUE(REGEXEXTRACT(TO_TEXT($F845), R$1 &amp; ""x(\d+)"")), """")"),"")</f>
        <v/>
      </c>
      <c r="S845" s="9" t="str">
        <f ca="1">IFERROR(__xludf.DUMMYFUNCTION("IFERROR(VALUE(REGEXEXTRACT(TO_TEXT($F845), S$1 &amp; ""x(\d+)"")), """")"),"")</f>
        <v/>
      </c>
      <c r="T845" s="9" t="str">
        <f ca="1">IFERROR(__xludf.DUMMYFUNCTION("IFERROR(VALUE(REGEXEXTRACT(TO_TEXT($F845), T$1 &amp; ""x(\d+)"")), """")"),"")</f>
        <v/>
      </c>
      <c r="U845" s="9" t="str">
        <f ca="1">IFERROR(__xludf.DUMMYFUNCTION("IFERROR(VALUE(REGEXEXTRACT(TO_TEXT($F845), U$1 &amp; ""x(\d+)"")), """")"),"")</f>
        <v/>
      </c>
      <c r="V845" s="9" t="str">
        <f ca="1">IFERROR(__xludf.DUMMYFUNCTION("IFERROR(VALUE(REGEXEXTRACT(TO_TEXT($F845), V$1 &amp; ""x(\d+)"")), """")"),"")</f>
        <v/>
      </c>
      <c r="W845" s="9"/>
      <c r="X845" s="9"/>
      <c r="Y845" s="9"/>
      <c r="Z845" s="9"/>
    </row>
    <row r="846" spans="1:26" ht="15.75" customHeight="1">
      <c r="A846" s="9" t="s">
        <v>1936</v>
      </c>
      <c r="B846" s="9" t="s">
        <v>1937</v>
      </c>
      <c r="C846" s="9" t="s">
        <v>63</v>
      </c>
      <c r="D846" s="9" t="s">
        <v>33</v>
      </c>
      <c r="E846" s="9" t="s">
        <v>13</v>
      </c>
      <c r="F846" s="9" t="s">
        <v>1058</v>
      </c>
      <c r="G846" s="9">
        <v>15</v>
      </c>
      <c r="H846" s="9">
        <v>4</v>
      </c>
      <c r="I846" s="9">
        <v>1.0149999999999999</v>
      </c>
      <c r="J846" s="9">
        <v>81</v>
      </c>
      <c r="K846" s="9" t="s">
        <v>442</v>
      </c>
      <c r="L846" s="9"/>
      <c r="M846" s="9"/>
      <c r="N846" s="9" t="str">
        <f ca="1">IFERROR(__xludf.DUMMYFUNCTION("IFERROR(VALUE(REGEXEXTRACT(TO_TEXT($F846), N$1 &amp; ""x(\d+)"")), """")
"),"")</f>
        <v/>
      </c>
      <c r="O846" s="9">
        <f ca="1">IFERROR(__xludf.DUMMYFUNCTION("IFERROR(VALUE(REGEXEXTRACT(TO_TEXT($F846), O$1 &amp; ""x(\d+)"")), """")"),1)</f>
        <v>1</v>
      </c>
      <c r="P846" s="9" t="str">
        <f ca="1">IFERROR(__xludf.DUMMYFUNCTION("IFERROR(VALUE(REGEXEXTRACT(TO_TEXT($F846), P$1 &amp; ""x(\d+)"")), """")"),"")</f>
        <v/>
      </c>
      <c r="Q846" s="9" t="str">
        <f ca="1">IFERROR(__xludf.DUMMYFUNCTION("IFERROR(VALUE(REGEXEXTRACT(TO_TEXT($F846), Q$1 &amp; ""x(\d+)"")), """")"),"")</f>
        <v/>
      </c>
      <c r="R846" s="9" t="str">
        <f ca="1">IFERROR(__xludf.DUMMYFUNCTION("IFERROR(VALUE(REGEXEXTRACT(TO_TEXT($F846), R$1 &amp; ""x(\d+)"")), """")"),"")</f>
        <v/>
      </c>
      <c r="S846" s="9" t="str">
        <f ca="1">IFERROR(__xludf.DUMMYFUNCTION("IFERROR(VALUE(REGEXEXTRACT(TO_TEXT($F846), S$1 &amp; ""x(\d+)"")), """")"),"")</f>
        <v/>
      </c>
      <c r="T846" s="9" t="str">
        <f ca="1">IFERROR(__xludf.DUMMYFUNCTION("IFERROR(VALUE(REGEXEXTRACT(TO_TEXT($F846), T$1 &amp; ""x(\d+)"")), """")"),"")</f>
        <v/>
      </c>
      <c r="U846" s="9" t="str">
        <f ca="1">IFERROR(__xludf.DUMMYFUNCTION("IFERROR(VALUE(REGEXEXTRACT(TO_TEXT($F846), U$1 &amp; ""x(\d+)"")), """")"),"")</f>
        <v/>
      </c>
      <c r="V846" s="9" t="str">
        <f ca="1">IFERROR(__xludf.DUMMYFUNCTION("IFERROR(VALUE(REGEXEXTRACT(TO_TEXT($F846), V$1 &amp; ""x(\d+)"")), """")"),"")</f>
        <v/>
      </c>
      <c r="W846" s="9"/>
      <c r="X846" s="9"/>
      <c r="Y846" s="9"/>
      <c r="Z846" s="9"/>
    </row>
    <row r="847" spans="1:26" ht="15.75" hidden="1" customHeight="1">
      <c r="A847" s="9" t="s">
        <v>46</v>
      </c>
      <c r="B847" s="9" t="s">
        <v>1938</v>
      </c>
      <c r="C847" s="9" t="s">
        <v>47</v>
      </c>
      <c r="D847" s="9" t="s">
        <v>48</v>
      </c>
      <c r="E847" s="9" t="s">
        <v>11</v>
      </c>
      <c r="F847" s="9" t="s">
        <v>1793</v>
      </c>
      <c r="G847" s="9">
        <v>40</v>
      </c>
      <c r="H847" s="9">
        <v>3</v>
      </c>
      <c r="I847" s="9">
        <v>1.0149999999999999</v>
      </c>
      <c r="J847" s="9">
        <v>52</v>
      </c>
      <c r="K847" s="9" t="s">
        <v>424</v>
      </c>
      <c r="L847" s="9"/>
      <c r="M847" s="9"/>
      <c r="N847" s="9" t="str">
        <f ca="1">IFERROR(__xludf.DUMMYFUNCTION("IFERROR(VALUE(REGEXEXTRACT(TO_TEXT($F847), N$1 &amp; ""x(\d+)"")), """")
"),"")</f>
        <v/>
      </c>
      <c r="O847" s="9">
        <f ca="1">IFERROR(__xludf.DUMMYFUNCTION("IFERROR(VALUE(REGEXEXTRACT(TO_TEXT($F847), O$1 &amp; ""x(\d+)"")), """")"),1)</f>
        <v>1</v>
      </c>
      <c r="P847" s="9" t="str">
        <f ca="1">IFERROR(__xludf.DUMMYFUNCTION("IFERROR(VALUE(REGEXEXTRACT(TO_TEXT($F847), P$1 &amp; ""x(\d+)"")), """")"),"")</f>
        <v/>
      </c>
      <c r="Q847" s="9" t="str">
        <f ca="1">IFERROR(__xludf.DUMMYFUNCTION("IFERROR(VALUE(REGEXEXTRACT(TO_TEXT($F847), Q$1 &amp; ""x(\d+)"")), """")"),"")</f>
        <v/>
      </c>
      <c r="R847" s="9" t="str">
        <f ca="1">IFERROR(__xludf.DUMMYFUNCTION("IFERROR(VALUE(REGEXEXTRACT(TO_TEXT($F847), R$1 &amp; ""x(\d+)"")), """")"),"")</f>
        <v/>
      </c>
      <c r="S847" s="9" t="str">
        <f ca="1">IFERROR(__xludf.DUMMYFUNCTION("IFERROR(VALUE(REGEXEXTRACT(TO_TEXT($F847), S$1 &amp; ""x(\d+)"")), """")"),"")</f>
        <v/>
      </c>
      <c r="T847" s="9" t="str">
        <f ca="1">IFERROR(__xludf.DUMMYFUNCTION("IFERROR(VALUE(REGEXEXTRACT(TO_TEXT($F847), T$1 &amp; ""x(\d+)"")), """")"),"")</f>
        <v/>
      </c>
      <c r="U847" s="9" t="str">
        <f ca="1">IFERROR(__xludf.DUMMYFUNCTION("IFERROR(VALUE(REGEXEXTRACT(TO_TEXT($F847), U$1 &amp; ""x(\d+)"")), """")"),"")</f>
        <v/>
      </c>
      <c r="V847" s="9" t="str">
        <f ca="1">IFERROR(__xludf.DUMMYFUNCTION("IFERROR(VALUE(REGEXEXTRACT(TO_TEXT($F847), V$1 &amp; ""x(\d+)"")), """")"),"")</f>
        <v/>
      </c>
      <c r="W847" s="9"/>
      <c r="X847" s="9"/>
      <c r="Y847" s="9"/>
      <c r="Z847" s="9"/>
    </row>
    <row r="848" spans="1:26" ht="15.75" hidden="1" customHeight="1">
      <c r="A848" s="9" t="s">
        <v>46</v>
      </c>
      <c r="B848" s="9" t="s">
        <v>1938</v>
      </c>
      <c r="C848" s="9" t="s">
        <v>47</v>
      </c>
      <c r="D848" s="9" t="s">
        <v>48</v>
      </c>
      <c r="E848" s="9" t="s">
        <v>12</v>
      </c>
      <c r="F848" s="9" t="s">
        <v>1478</v>
      </c>
      <c r="G848" s="9">
        <v>140</v>
      </c>
      <c r="H848" s="9">
        <v>3</v>
      </c>
      <c r="I848" s="9">
        <v>1.0149999999999999</v>
      </c>
      <c r="J848" s="9">
        <v>52</v>
      </c>
      <c r="K848" s="9" t="s">
        <v>424</v>
      </c>
      <c r="L848" s="9" t="s">
        <v>1015</v>
      </c>
      <c r="M848" s="9"/>
      <c r="N848" s="9" t="str">
        <f ca="1">IFERROR(__xludf.DUMMYFUNCTION("IFERROR(VALUE(REGEXEXTRACT(TO_TEXT($F848), N$1 &amp; ""x(\d+)"")), """")
"),"")</f>
        <v/>
      </c>
      <c r="O848" s="9" t="str">
        <f ca="1">IFERROR(__xludf.DUMMYFUNCTION("IFERROR(VALUE(REGEXEXTRACT(TO_TEXT($F848), O$1 &amp; ""x(\d+)"")), """")"),"")</f>
        <v/>
      </c>
      <c r="P848" s="9">
        <f ca="1">IFERROR(__xludf.DUMMYFUNCTION("IFERROR(VALUE(REGEXEXTRACT(TO_TEXT($F848), P$1 &amp; ""x(\d+)"")), """")"),1)</f>
        <v>1</v>
      </c>
      <c r="Q848" s="9" t="str">
        <f ca="1">IFERROR(__xludf.DUMMYFUNCTION("IFERROR(VALUE(REGEXEXTRACT(TO_TEXT($F848), Q$1 &amp; ""x(\d+)"")), """")"),"")</f>
        <v/>
      </c>
      <c r="R848" s="9" t="str">
        <f ca="1">IFERROR(__xludf.DUMMYFUNCTION("IFERROR(VALUE(REGEXEXTRACT(TO_TEXT($F848), R$1 &amp; ""x(\d+)"")), """")"),"")</f>
        <v/>
      </c>
      <c r="S848" s="9" t="str">
        <f ca="1">IFERROR(__xludf.DUMMYFUNCTION("IFERROR(VALUE(REGEXEXTRACT(TO_TEXT($F848), S$1 &amp; ""x(\d+)"")), """")"),"")</f>
        <v/>
      </c>
      <c r="T848" s="9" t="str">
        <f ca="1">IFERROR(__xludf.DUMMYFUNCTION("IFERROR(VALUE(REGEXEXTRACT(TO_TEXT($F848), T$1 &amp; ""x(\d+)"")), """")"),"")</f>
        <v/>
      </c>
      <c r="U848" s="9" t="str">
        <f ca="1">IFERROR(__xludf.DUMMYFUNCTION("IFERROR(VALUE(REGEXEXTRACT(TO_TEXT($F848), U$1 &amp; ""x(\d+)"")), """")"),"")</f>
        <v/>
      </c>
      <c r="V848" s="9" t="str">
        <f ca="1">IFERROR(__xludf.DUMMYFUNCTION("IFERROR(VALUE(REGEXEXTRACT(TO_TEXT($F848), V$1 &amp; ""x(\d+)"")), """")"),"")</f>
        <v/>
      </c>
      <c r="W848" s="9"/>
      <c r="X848" s="9"/>
      <c r="Y848" s="9"/>
      <c r="Z848" s="9"/>
    </row>
    <row r="849" spans="1:26" ht="15.75" hidden="1" customHeight="1">
      <c r="A849" s="9" t="s">
        <v>46</v>
      </c>
      <c r="B849" s="9" t="s">
        <v>1938</v>
      </c>
      <c r="C849" s="9" t="s">
        <v>47</v>
      </c>
      <c r="D849" s="9" t="s">
        <v>48</v>
      </c>
      <c r="E849" s="9" t="s">
        <v>13</v>
      </c>
      <c r="F849" s="9" t="s">
        <v>1939</v>
      </c>
      <c r="G849" s="9">
        <v>60</v>
      </c>
      <c r="H849" s="9">
        <v>3</v>
      </c>
      <c r="I849" s="9">
        <v>1.0149999999999999</v>
      </c>
      <c r="J849" s="9">
        <v>52</v>
      </c>
      <c r="K849" s="9" t="s">
        <v>424</v>
      </c>
      <c r="L849" s="9"/>
      <c r="M849" s="9"/>
      <c r="N849" s="9" t="str">
        <f ca="1">IFERROR(__xludf.DUMMYFUNCTION("IFERROR(VALUE(REGEXEXTRACT(TO_TEXT($F849), N$1 &amp; ""x(\d+)"")), """")
"),"")</f>
        <v/>
      </c>
      <c r="O849" s="9" t="str">
        <f ca="1">IFERROR(__xludf.DUMMYFUNCTION("IFERROR(VALUE(REGEXEXTRACT(TO_TEXT($F849), O$1 &amp; ""x(\d+)"")), """")"),"")</f>
        <v/>
      </c>
      <c r="P849" s="9">
        <f ca="1">IFERROR(__xludf.DUMMYFUNCTION("IFERROR(VALUE(REGEXEXTRACT(TO_TEXT($F849), P$1 &amp; ""x(\d+)"")), """")"),1)</f>
        <v>1</v>
      </c>
      <c r="Q849" s="9" t="str">
        <f ca="1">IFERROR(__xludf.DUMMYFUNCTION("IFERROR(VALUE(REGEXEXTRACT(TO_TEXT($F849), Q$1 &amp; ""x(\d+)"")), """")"),"")</f>
        <v/>
      </c>
      <c r="R849" s="9" t="str">
        <f ca="1">IFERROR(__xludf.DUMMYFUNCTION("IFERROR(VALUE(REGEXEXTRACT(TO_TEXT($F849), R$1 &amp; ""x(\d+)"")), """")"),"")</f>
        <v/>
      </c>
      <c r="S849" s="9" t="str">
        <f ca="1">IFERROR(__xludf.DUMMYFUNCTION("IFERROR(VALUE(REGEXEXTRACT(TO_TEXT($F849), S$1 &amp; ""x(\d+)"")), """")"),"")</f>
        <v/>
      </c>
      <c r="T849" s="9" t="str">
        <f ca="1">IFERROR(__xludf.DUMMYFUNCTION("IFERROR(VALUE(REGEXEXTRACT(TO_TEXT($F849), T$1 &amp; ""x(\d+)"")), """")"),"")</f>
        <v/>
      </c>
      <c r="U849" s="9" t="str">
        <f ca="1">IFERROR(__xludf.DUMMYFUNCTION("IFERROR(VALUE(REGEXEXTRACT(TO_TEXT($F849), U$1 &amp; ""x(\d+)"")), """")"),"")</f>
        <v/>
      </c>
      <c r="V849" s="9" t="str">
        <f ca="1">IFERROR(__xludf.DUMMYFUNCTION("IFERROR(VALUE(REGEXEXTRACT(TO_TEXT($F849), V$1 &amp; ""x(\d+)"")), """")"),"")</f>
        <v/>
      </c>
      <c r="W849" s="9"/>
      <c r="X849" s="9"/>
      <c r="Y849" s="9"/>
      <c r="Z849" s="9"/>
    </row>
    <row r="850" spans="1:26" ht="15.75" hidden="1" customHeight="1">
      <c r="A850" s="9" t="s">
        <v>1940</v>
      </c>
      <c r="B850" s="9" t="s">
        <v>1941</v>
      </c>
      <c r="C850" s="9" t="s">
        <v>847</v>
      </c>
      <c r="D850" s="9" t="s">
        <v>48</v>
      </c>
      <c r="E850" s="9" t="s">
        <v>11</v>
      </c>
      <c r="F850" s="9" t="s">
        <v>1942</v>
      </c>
      <c r="G850" s="9">
        <v>35</v>
      </c>
      <c r="H850" s="9">
        <v>3</v>
      </c>
      <c r="I850" s="9">
        <v>1.0149999999999999</v>
      </c>
      <c r="J850" s="9">
        <v>52</v>
      </c>
      <c r="K850" s="9" t="s">
        <v>424</v>
      </c>
      <c r="L850" s="9"/>
      <c r="M850" s="9"/>
      <c r="N850" s="9">
        <f ca="1">IFERROR(__xludf.DUMMYFUNCTION("IFERROR(VALUE(REGEXEXTRACT(TO_TEXT($F850), N$1 &amp; ""x(\d+)"")), """")
"),1)</f>
        <v>1</v>
      </c>
      <c r="O850" s="9">
        <f ca="1">IFERROR(__xludf.DUMMYFUNCTION("IFERROR(VALUE(REGEXEXTRACT(TO_TEXT($F850), O$1 &amp; ""x(\d+)"")), """")"),1)</f>
        <v>1</v>
      </c>
      <c r="P850" s="9" t="str">
        <f ca="1">IFERROR(__xludf.DUMMYFUNCTION("IFERROR(VALUE(REGEXEXTRACT(TO_TEXT($F850), P$1 &amp; ""x(\d+)"")), """")"),"")</f>
        <v/>
      </c>
      <c r="Q850" s="9" t="str">
        <f ca="1">IFERROR(__xludf.DUMMYFUNCTION("IFERROR(VALUE(REGEXEXTRACT(TO_TEXT($F850), Q$1 &amp; ""x(\d+)"")), """")"),"")</f>
        <v/>
      </c>
      <c r="R850" s="9" t="str">
        <f ca="1">IFERROR(__xludf.DUMMYFUNCTION("IFERROR(VALUE(REGEXEXTRACT(TO_TEXT($F850), R$1 &amp; ""x(\d+)"")), """")"),"")</f>
        <v/>
      </c>
      <c r="S850" s="9" t="str">
        <f ca="1">IFERROR(__xludf.DUMMYFUNCTION("IFERROR(VALUE(REGEXEXTRACT(TO_TEXT($F850), S$1 &amp; ""x(\d+)"")), """")"),"")</f>
        <v/>
      </c>
      <c r="T850" s="9" t="str">
        <f ca="1">IFERROR(__xludf.DUMMYFUNCTION("IFERROR(VALUE(REGEXEXTRACT(TO_TEXT($F850), T$1 &amp; ""x(\d+)"")), """")"),"")</f>
        <v/>
      </c>
      <c r="U850" s="9" t="str">
        <f ca="1">IFERROR(__xludf.DUMMYFUNCTION("IFERROR(VALUE(REGEXEXTRACT(TO_TEXT($F850), U$1 &amp; ""x(\d+)"")), """")"),"")</f>
        <v/>
      </c>
      <c r="V850" s="9" t="str">
        <f ca="1">IFERROR(__xludf.DUMMYFUNCTION("IFERROR(VALUE(REGEXEXTRACT(TO_TEXT($F850), V$1 &amp; ""x(\d+)"")), """")"),"")</f>
        <v/>
      </c>
      <c r="W850" s="9"/>
      <c r="X850" s="9"/>
      <c r="Y850" s="9"/>
      <c r="Z850" s="9"/>
    </row>
    <row r="851" spans="1:26" ht="15.75" hidden="1" customHeight="1">
      <c r="A851" s="9" t="s">
        <v>1940</v>
      </c>
      <c r="B851" s="9" t="s">
        <v>1941</v>
      </c>
      <c r="C851" s="9" t="s">
        <v>847</v>
      </c>
      <c r="D851" s="9" t="s">
        <v>48</v>
      </c>
      <c r="E851" s="9" t="s">
        <v>12</v>
      </c>
      <c r="F851" s="9" t="s">
        <v>1604</v>
      </c>
      <c r="G851" s="9">
        <v>120</v>
      </c>
      <c r="H851" s="9">
        <v>3</v>
      </c>
      <c r="I851" s="9">
        <v>1.0149999999999999</v>
      </c>
      <c r="J851" s="9">
        <v>52</v>
      </c>
      <c r="K851" s="9" t="s">
        <v>424</v>
      </c>
      <c r="L851" s="9" t="s">
        <v>1015</v>
      </c>
      <c r="M851" s="9"/>
      <c r="N851" s="9" t="str">
        <f ca="1">IFERROR(__xludf.DUMMYFUNCTION("IFERROR(VALUE(REGEXEXTRACT(TO_TEXT($F851), N$1 &amp; ""x(\d+)"")), """")
"),"")</f>
        <v/>
      </c>
      <c r="O851" s="9">
        <f ca="1">IFERROR(__xludf.DUMMYFUNCTION("IFERROR(VALUE(REGEXEXTRACT(TO_TEXT($F851), O$1 &amp; ""x(\d+)"")), """")"),1)</f>
        <v>1</v>
      </c>
      <c r="P851" s="9">
        <f ca="1">IFERROR(__xludf.DUMMYFUNCTION("IFERROR(VALUE(REGEXEXTRACT(TO_TEXT($F851), P$1 &amp; ""x(\d+)"")), """")"),1)</f>
        <v>1</v>
      </c>
      <c r="Q851" s="9" t="str">
        <f ca="1">IFERROR(__xludf.DUMMYFUNCTION("IFERROR(VALUE(REGEXEXTRACT(TO_TEXT($F851), Q$1 &amp; ""x(\d+)"")), """")"),"")</f>
        <v/>
      </c>
      <c r="R851" s="9" t="str">
        <f ca="1">IFERROR(__xludf.DUMMYFUNCTION("IFERROR(VALUE(REGEXEXTRACT(TO_TEXT($F851), R$1 &amp; ""x(\d+)"")), """")"),"")</f>
        <v/>
      </c>
      <c r="S851" s="9" t="str">
        <f ca="1">IFERROR(__xludf.DUMMYFUNCTION("IFERROR(VALUE(REGEXEXTRACT(TO_TEXT($F851), S$1 &amp; ""x(\d+)"")), """")"),"")</f>
        <v/>
      </c>
      <c r="T851" s="9" t="str">
        <f ca="1">IFERROR(__xludf.DUMMYFUNCTION("IFERROR(VALUE(REGEXEXTRACT(TO_TEXT($F851), T$1 &amp; ""x(\d+)"")), """")"),"")</f>
        <v/>
      </c>
      <c r="U851" s="9" t="str">
        <f ca="1">IFERROR(__xludf.DUMMYFUNCTION("IFERROR(VALUE(REGEXEXTRACT(TO_TEXT($F851), U$1 &amp; ""x(\d+)"")), """")"),"")</f>
        <v/>
      </c>
      <c r="V851" s="9" t="str">
        <f ca="1">IFERROR(__xludf.DUMMYFUNCTION("IFERROR(VALUE(REGEXEXTRACT(TO_TEXT($F851), V$1 &amp; ""x(\d+)"")), """")"),"")</f>
        <v/>
      </c>
      <c r="W851" s="9"/>
      <c r="X851" s="9"/>
      <c r="Y851" s="9"/>
      <c r="Z851" s="9"/>
    </row>
    <row r="852" spans="1:26" ht="15.75" hidden="1" customHeight="1">
      <c r="A852" s="9" t="s">
        <v>1940</v>
      </c>
      <c r="B852" s="9" t="s">
        <v>1941</v>
      </c>
      <c r="C852" s="9" t="s">
        <v>847</v>
      </c>
      <c r="D852" s="9" t="s">
        <v>48</v>
      </c>
      <c r="E852" s="9" t="s">
        <v>13</v>
      </c>
      <c r="F852" s="9" t="s">
        <v>1063</v>
      </c>
      <c r="G852" s="9">
        <v>90</v>
      </c>
      <c r="H852" s="9">
        <v>3</v>
      </c>
      <c r="I852" s="9">
        <v>1.0149999999999999</v>
      </c>
      <c r="J852" s="9">
        <v>52</v>
      </c>
      <c r="K852" s="9" t="s">
        <v>424</v>
      </c>
      <c r="L852" s="9"/>
      <c r="M852" s="9"/>
      <c r="N852" s="9" t="str">
        <f ca="1">IFERROR(__xludf.DUMMYFUNCTION("IFERROR(VALUE(REGEXEXTRACT(TO_TEXT($F852), N$1 &amp; ""x(\d+)"")), """")
"),"")</f>
        <v/>
      </c>
      <c r="O852" s="9">
        <f ca="1">IFERROR(__xludf.DUMMYFUNCTION("IFERROR(VALUE(REGEXEXTRACT(TO_TEXT($F852), O$1 &amp; ""x(\d+)"")), """")"),1)</f>
        <v>1</v>
      </c>
      <c r="P852" s="9">
        <f ca="1">IFERROR(__xludf.DUMMYFUNCTION("IFERROR(VALUE(REGEXEXTRACT(TO_TEXT($F852), P$1 &amp; ""x(\d+)"")), """")"),1)</f>
        <v>1</v>
      </c>
      <c r="Q852" s="9" t="str">
        <f ca="1">IFERROR(__xludf.DUMMYFUNCTION("IFERROR(VALUE(REGEXEXTRACT(TO_TEXT($F852), Q$1 &amp; ""x(\d+)"")), """")"),"")</f>
        <v/>
      </c>
      <c r="R852" s="9" t="str">
        <f ca="1">IFERROR(__xludf.DUMMYFUNCTION("IFERROR(VALUE(REGEXEXTRACT(TO_TEXT($F852), R$1 &amp; ""x(\d+)"")), """")"),"")</f>
        <v/>
      </c>
      <c r="S852" s="9" t="str">
        <f ca="1">IFERROR(__xludf.DUMMYFUNCTION("IFERROR(VALUE(REGEXEXTRACT(TO_TEXT($F852), S$1 &amp; ""x(\d+)"")), """")"),"")</f>
        <v/>
      </c>
      <c r="T852" s="9" t="str">
        <f ca="1">IFERROR(__xludf.DUMMYFUNCTION("IFERROR(VALUE(REGEXEXTRACT(TO_TEXT($F852), T$1 &amp; ""x(\d+)"")), """")"),"")</f>
        <v/>
      </c>
      <c r="U852" s="9" t="str">
        <f ca="1">IFERROR(__xludf.DUMMYFUNCTION("IFERROR(VALUE(REGEXEXTRACT(TO_TEXT($F852), U$1 &amp; ""x(\d+)"")), """")"),"")</f>
        <v/>
      </c>
      <c r="V852" s="9" t="str">
        <f ca="1">IFERROR(__xludf.DUMMYFUNCTION("IFERROR(VALUE(REGEXEXTRACT(TO_TEXT($F852), V$1 &amp; ""x(\d+)"")), """")"),"")</f>
        <v/>
      </c>
      <c r="W852" s="9"/>
      <c r="X852" s="9"/>
      <c r="Y852" s="9"/>
      <c r="Z852" s="9"/>
    </row>
    <row r="853" spans="1:26" ht="15.75" customHeight="1">
      <c r="A853" s="9" t="s">
        <v>1943</v>
      </c>
      <c r="B853" s="9" t="s">
        <v>1944</v>
      </c>
      <c r="C853" s="9" t="s">
        <v>849</v>
      </c>
      <c r="D853" s="9" t="s">
        <v>33</v>
      </c>
      <c r="E853" s="9" t="s">
        <v>12</v>
      </c>
      <c r="F853" s="9" t="s">
        <v>1187</v>
      </c>
      <c r="G853" s="9">
        <v>80</v>
      </c>
      <c r="H853" s="9">
        <v>4</v>
      </c>
      <c r="I853" s="9">
        <v>1.0149999999999999</v>
      </c>
      <c r="J853" s="9">
        <v>81</v>
      </c>
      <c r="K853" s="9" t="s">
        <v>442</v>
      </c>
      <c r="L853" s="9" t="s">
        <v>1243</v>
      </c>
      <c r="M853" s="9"/>
      <c r="N853" s="9" t="str">
        <f ca="1">IFERROR(__xludf.DUMMYFUNCTION("IFERROR(VALUE(REGEXEXTRACT(TO_TEXT($F853), N$1 &amp; ""x(\d+)"")), """")
"),"")</f>
        <v/>
      </c>
      <c r="O853" s="9">
        <f ca="1">IFERROR(__xludf.DUMMYFUNCTION("IFERROR(VALUE(REGEXEXTRACT(TO_TEXT($F853), O$1 &amp; ""x(\d+)"")), """")"),1)</f>
        <v>1</v>
      </c>
      <c r="P853" s="9" t="str">
        <f ca="1">IFERROR(__xludf.DUMMYFUNCTION("IFERROR(VALUE(REGEXEXTRACT(TO_TEXT($F853), P$1 &amp; ""x(\d+)"")), """")"),"")</f>
        <v/>
      </c>
      <c r="Q853" s="9" t="str">
        <f ca="1">IFERROR(__xludf.DUMMYFUNCTION("IFERROR(VALUE(REGEXEXTRACT(TO_TEXT($F853), Q$1 &amp; ""x(\d+)"")), """")"),"")</f>
        <v/>
      </c>
      <c r="R853" s="9" t="str">
        <f ca="1">IFERROR(__xludf.DUMMYFUNCTION("IFERROR(VALUE(REGEXEXTRACT(TO_TEXT($F853), R$1 &amp; ""x(\d+)"")), """")"),"")</f>
        <v/>
      </c>
      <c r="S853" s="9" t="str">
        <f ca="1">IFERROR(__xludf.DUMMYFUNCTION("IFERROR(VALUE(REGEXEXTRACT(TO_TEXT($F853), S$1 &amp; ""x(\d+)"")), """")"),"")</f>
        <v/>
      </c>
      <c r="T853" s="9" t="str">
        <f ca="1">IFERROR(__xludf.DUMMYFUNCTION("IFERROR(VALUE(REGEXEXTRACT(TO_TEXT($F853), T$1 &amp; ""x(\d+)"")), """")"),"")</f>
        <v/>
      </c>
      <c r="U853" s="9" t="str">
        <f ca="1">IFERROR(__xludf.DUMMYFUNCTION("IFERROR(VALUE(REGEXEXTRACT(TO_TEXT($F853), U$1 &amp; ""x(\d+)"")), """")"),"")</f>
        <v/>
      </c>
      <c r="V853" s="9" t="str">
        <f ca="1">IFERROR(__xludf.DUMMYFUNCTION("IFERROR(VALUE(REGEXEXTRACT(TO_TEXT($F853), V$1 &amp; ""x(\d+)"")), """")"),"")</f>
        <v/>
      </c>
      <c r="W853" s="9"/>
      <c r="X853" s="9"/>
      <c r="Y853" s="9"/>
      <c r="Z853" s="9"/>
    </row>
    <row r="854" spans="1:26" ht="15.75" customHeight="1">
      <c r="A854" s="9" t="s">
        <v>1943</v>
      </c>
      <c r="B854" s="9" t="s">
        <v>1944</v>
      </c>
      <c r="C854" s="9" t="s">
        <v>849</v>
      </c>
      <c r="D854" s="9" t="s">
        <v>33</v>
      </c>
      <c r="E854" s="9" t="s">
        <v>13</v>
      </c>
      <c r="F854" s="9" t="s">
        <v>1058</v>
      </c>
      <c r="G854" s="9">
        <v>15</v>
      </c>
      <c r="H854" s="9">
        <v>4</v>
      </c>
      <c r="I854" s="9">
        <v>1.0149999999999999</v>
      </c>
      <c r="J854" s="9">
        <v>81</v>
      </c>
      <c r="K854" s="9" t="s">
        <v>442</v>
      </c>
      <c r="L854" s="9"/>
      <c r="M854" s="9"/>
      <c r="N854" s="9" t="str">
        <f ca="1">IFERROR(__xludf.DUMMYFUNCTION("IFERROR(VALUE(REGEXEXTRACT(TO_TEXT($F854), N$1 &amp; ""x(\d+)"")), """")
"),"")</f>
        <v/>
      </c>
      <c r="O854" s="9">
        <f ca="1">IFERROR(__xludf.DUMMYFUNCTION("IFERROR(VALUE(REGEXEXTRACT(TO_TEXT($F854), O$1 &amp; ""x(\d+)"")), """")"),1)</f>
        <v>1</v>
      </c>
      <c r="P854" s="9" t="str">
        <f ca="1">IFERROR(__xludf.DUMMYFUNCTION("IFERROR(VALUE(REGEXEXTRACT(TO_TEXT($F854), P$1 &amp; ""x(\d+)"")), """")"),"")</f>
        <v/>
      </c>
      <c r="Q854" s="9" t="str">
        <f ca="1">IFERROR(__xludf.DUMMYFUNCTION("IFERROR(VALUE(REGEXEXTRACT(TO_TEXT($F854), Q$1 &amp; ""x(\d+)"")), """")"),"")</f>
        <v/>
      </c>
      <c r="R854" s="9" t="str">
        <f ca="1">IFERROR(__xludf.DUMMYFUNCTION("IFERROR(VALUE(REGEXEXTRACT(TO_TEXT($F854), R$1 &amp; ""x(\d+)"")), """")"),"")</f>
        <v/>
      </c>
      <c r="S854" s="9" t="str">
        <f ca="1">IFERROR(__xludf.DUMMYFUNCTION("IFERROR(VALUE(REGEXEXTRACT(TO_TEXT($F854), S$1 &amp; ""x(\d+)"")), """")"),"")</f>
        <v/>
      </c>
      <c r="T854" s="9" t="str">
        <f ca="1">IFERROR(__xludf.DUMMYFUNCTION("IFERROR(VALUE(REGEXEXTRACT(TO_TEXT($F854), T$1 &amp; ""x(\d+)"")), """")"),"")</f>
        <v/>
      </c>
      <c r="U854" s="9" t="str">
        <f ca="1">IFERROR(__xludf.DUMMYFUNCTION("IFERROR(VALUE(REGEXEXTRACT(TO_TEXT($F854), U$1 &amp; ""x(\d+)"")), """")"),"")</f>
        <v/>
      </c>
      <c r="V854" s="9" t="str">
        <f ca="1">IFERROR(__xludf.DUMMYFUNCTION("IFERROR(VALUE(REGEXEXTRACT(TO_TEXT($F854), V$1 &amp; ""x(\d+)"")), """")"),"")</f>
        <v/>
      </c>
      <c r="W854" s="9"/>
      <c r="X854" s="9"/>
      <c r="Y854" s="9"/>
      <c r="Z854" s="9"/>
    </row>
    <row r="855" spans="1:26" ht="15.75" hidden="1" customHeight="1">
      <c r="A855" s="9" t="s">
        <v>1945</v>
      </c>
      <c r="B855" s="9" t="s">
        <v>1946</v>
      </c>
      <c r="C855" s="9" t="s">
        <v>469</v>
      </c>
      <c r="D855" s="9" t="s">
        <v>48</v>
      </c>
      <c r="E855" s="9" t="s">
        <v>11</v>
      </c>
      <c r="F855" s="9" t="s">
        <v>1947</v>
      </c>
      <c r="G855" s="9">
        <v>75</v>
      </c>
      <c r="H855" s="9">
        <v>8</v>
      </c>
      <c r="I855" s="9">
        <v>1.0149999999999999</v>
      </c>
      <c r="J855" s="9">
        <v>52</v>
      </c>
      <c r="K855" s="9" t="s">
        <v>424</v>
      </c>
      <c r="L855" s="9"/>
      <c r="M855" s="9"/>
      <c r="N855" s="9" t="str">
        <f ca="1">IFERROR(__xludf.DUMMYFUNCTION("IFERROR(VALUE(REGEXEXTRACT(TO_TEXT($F855), N$1 &amp; ""x(\d+)"")), """")
"),"")</f>
        <v/>
      </c>
      <c r="O855" s="9">
        <f ca="1">IFERROR(__xludf.DUMMYFUNCTION("IFERROR(VALUE(REGEXEXTRACT(TO_TEXT($F855), O$1 &amp; ""x(\d+)"")), """")"),1)</f>
        <v>1</v>
      </c>
      <c r="P855" s="9" t="str">
        <f ca="1">IFERROR(__xludf.DUMMYFUNCTION("IFERROR(VALUE(REGEXEXTRACT(TO_TEXT($F855), P$1 &amp; ""x(\d+)"")), """")"),"")</f>
        <v/>
      </c>
      <c r="Q855" s="9" t="str">
        <f ca="1">IFERROR(__xludf.DUMMYFUNCTION("IFERROR(VALUE(REGEXEXTRACT(TO_TEXT($F855), Q$1 &amp; ""x(\d+)"")), """")"),"")</f>
        <v/>
      </c>
      <c r="R855" s="9" t="str">
        <f ca="1">IFERROR(__xludf.DUMMYFUNCTION("IFERROR(VALUE(REGEXEXTRACT(TO_TEXT($F855), R$1 &amp; ""x(\d+)"")), """")"),"")</f>
        <v/>
      </c>
      <c r="S855" s="9" t="str">
        <f ca="1">IFERROR(__xludf.DUMMYFUNCTION("IFERROR(VALUE(REGEXEXTRACT(TO_TEXT($F855), S$1 &amp; ""x(\d+)"")), """")"),"")</f>
        <v/>
      </c>
      <c r="T855" s="9" t="str">
        <f ca="1">IFERROR(__xludf.DUMMYFUNCTION("IFERROR(VALUE(REGEXEXTRACT(TO_TEXT($F855), T$1 &amp; ""x(\d+)"")), """")"),"")</f>
        <v/>
      </c>
      <c r="U855" s="9" t="str">
        <f ca="1">IFERROR(__xludf.DUMMYFUNCTION("IFERROR(VALUE(REGEXEXTRACT(TO_TEXT($F855), U$1 &amp; ""x(\d+)"")), """")"),"")</f>
        <v/>
      </c>
      <c r="V855" s="9" t="str">
        <f ca="1">IFERROR(__xludf.DUMMYFUNCTION("IFERROR(VALUE(REGEXEXTRACT(TO_TEXT($F855), V$1 &amp; ""x(\d+)"")), """")"),"")</f>
        <v/>
      </c>
      <c r="W855" s="9"/>
      <c r="X855" s="9"/>
      <c r="Y855" s="9"/>
      <c r="Z855" s="9"/>
    </row>
    <row r="856" spans="1:26" ht="15.75" hidden="1" customHeight="1">
      <c r="A856" s="9" t="s">
        <v>1945</v>
      </c>
      <c r="B856" s="9" t="s">
        <v>1946</v>
      </c>
      <c r="C856" s="9" t="s">
        <v>469</v>
      </c>
      <c r="D856" s="9" t="s">
        <v>48</v>
      </c>
      <c r="E856" s="9" t="s">
        <v>12</v>
      </c>
      <c r="F856" s="9" t="s">
        <v>1821</v>
      </c>
      <c r="G856" s="9">
        <v>50</v>
      </c>
      <c r="H856" s="9">
        <v>8</v>
      </c>
      <c r="I856" s="9">
        <v>1.0149999999999999</v>
      </c>
      <c r="J856" s="9">
        <v>52</v>
      </c>
      <c r="K856" s="9" t="s">
        <v>424</v>
      </c>
      <c r="L856" s="9" t="s">
        <v>1015</v>
      </c>
      <c r="M856" s="9"/>
      <c r="N856" s="9" t="str">
        <f ca="1">IFERROR(__xludf.DUMMYFUNCTION("IFERROR(VALUE(REGEXEXTRACT(TO_TEXT($F856), N$1 &amp; ""x(\d+)"")), """")
"),"")</f>
        <v/>
      </c>
      <c r="O856" s="9" t="str">
        <f ca="1">IFERROR(__xludf.DUMMYFUNCTION("IFERROR(VALUE(REGEXEXTRACT(TO_TEXT($F856), O$1 &amp; ""x(\d+)"")), """")"),"")</f>
        <v/>
      </c>
      <c r="P856" s="9">
        <f ca="1">IFERROR(__xludf.DUMMYFUNCTION("IFERROR(VALUE(REGEXEXTRACT(TO_TEXT($F856), P$1 &amp; ""x(\d+)"")), """")"),1)</f>
        <v>1</v>
      </c>
      <c r="Q856" s="9" t="str">
        <f ca="1">IFERROR(__xludf.DUMMYFUNCTION("IFERROR(VALUE(REGEXEXTRACT(TO_TEXT($F856), Q$1 &amp; ""x(\d+)"")), """")"),"")</f>
        <v/>
      </c>
      <c r="R856" s="9" t="str">
        <f ca="1">IFERROR(__xludf.DUMMYFUNCTION("IFERROR(VALUE(REGEXEXTRACT(TO_TEXT($F856), R$1 &amp; ""x(\d+)"")), """")"),"")</f>
        <v/>
      </c>
      <c r="S856" s="9" t="str">
        <f ca="1">IFERROR(__xludf.DUMMYFUNCTION("IFERROR(VALUE(REGEXEXTRACT(TO_TEXT($F856), S$1 &amp; ""x(\d+)"")), """")"),"")</f>
        <v/>
      </c>
      <c r="T856" s="9" t="str">
        <f ca="1">IFERROR(__xludf.DUMMYFUNCTION("IFERROR(VALUE(REGEXEXTRACT(TO_TEXT($F856), T$1 &amp; ""x(\d+)"")), """")"),"")</f>
        <v/>
      </c>
      <c r="U856" s="9" t="str">
        <f ca="1">IFERROR(__xludf.DUMMYFUNCTION("IFERROR(VALUE(REGEXEXTRACT(TO_TEXT($F856), U$1 &amp; ""x(\d+)"")), """")"),"")</f>
        <v/>
      </c>
      <c r="V856" s="9" t="str">
        <f ca="1">IFERROR(__xludf.DUMMYFUNCTION("IFERROR(VALUE(REGEXEXTRACT(TO_TEXT($F856), V$1 &amp; ""x(\d+)"")), """")"),"")</f>
        <v/>
      </c>
      <c r="W856" s="9"/>
      <c r="X856" s="9"/>
      <c r="Y856" s="9"/>
      <c r="Z856" s="9"/>
    </row>
    <row r="857" spans="1:26" ht="15.75" hidden="1" customHeight="1">
      <c r="A857" s="9" t="s">
        <v>1945</v>
      </c>
      <c r="B857" s="9" t="s">
        <v>1946</v>
      </c>
      <c r="C857" s="9" t="s">
        <v>469</v>
      </c>
      <c r="D857" s="9" t="s">
        <v>48</v>
      </c>
      <c r="E857" s="9" t="s">
        <v>13</v>
      </c>
      <c r="F857" s="9" t="s">
        <v>1822</v>
      </c>
      <c r="G857" s="9">
        <v>30</v>
      </c>
      <c r="H857" s="9">
        <v>8</v>
      </c>
      <c r="I857" s="9">
        <v>1.0149999999999999</v>
      </c>
      <c r="J857" s="9">
        <v>52</v>
      </c>
      <c r="K857" s="9" t="s">
        <v>424</v>
      </c>
      <c r="L857" s="9"/>
      <c r="M857" s="9"/>
      <c r="N857" s="9" t="str">
        <f ca="1">IFERROR(__xludf.DUMMYFUNCTION("IFERROR(VALUE(REGEXEXTRACT(TO_TEXT($F857), N$1 &amp; ""x(\d+)"")), """")
"),"")</f>
        <v/>
      </c>
      <c r="O857" s="9" t="str">
        <f ca="1">IFERROR(__xludf.DUMMYFUNCTION("IFERROR(VALUE(REGEXEXTRACT(TO_TEXT($F857), O$1 &amp; ""x(\d+)"")), """")"),"")</f>
        <v/>
      </c>
      <c r="P857" s="9">
        <f ca="1">IFERROR(__xludf.DUMMYFUNCTION("IFERROR(VALUE(REGEXEXTRACT(TO_TEXT($F857), P$1 &amp; ""x(\d+)"")), """")"),1)</f>
        <v>1</v>
      </c>
      <c r="Q857" s="9" t="str">
        <f ca="1">IFERROR(__xludf.DUMMYFUNCTION("IFERROR(VALUE(REGEXEXTRACT(TO_TEXT($F857), Q$1 &amp; ""x(\d+)"")), """")"),"")</f>
        <v/>
      </c>
      <c r="R857" s="9" t="str">
        <f ca="1">IFERROR(__xludf.DUMMYFUNCTION("IFERROR(VALUE(REGEXEXTRACT(TO_TEXT($F857), R$1 &amp; ""x(\d+)"")), """")"),"")</f>
        <v/>
      </c>
      <c r="S857" s="9" t="str">
        <f ca="1">IFERROR(__xludf.DUMMYFUNCTION("IFERROR(VALUE(REGEXEXTRACT(TO_TEXT($F857), S$1 &amp; ""x(\d+)"")), """")"),"")</f>
        <v/>
      </c>
      <c r="T857" s="9" t="str">
        <f ca="1">IFERROR(__xludf.DUMMYFUNCTION("IFERROR(VALUE(REGEXEXTRACT(TO_TEXT($F857), T$1 &amp; ""x(\d+)"")), """")"),"")</f>
        <v/>
      </c>
      <c r="U857" s="9" t="str">
        <f ca="1">IFERROR(__xludf.DUMMYFUNCTION("IFERROR(VALUE(REGEXEXTRACT(TO_TEXT($F857), U$1 &amp; ""x(\d+)"")), """")"),"")</f>
        <v/>
      </c>
      <c r="V857" s="9" t="str">
        <f ca="1">IFERROR(__xludf.DUMMYFUNCTION("IFERROR(VALUE(REGEXEXTRACT(TO_TEXT($F857), V$1 &amp; ""x(\d+)"")), """")"),"")</f>
        <v/>
      </c>
      <c r="W857" s="9"/>
      <c r="X857" s="9"/>
      <c r="Y857" s="9"/>
      <c r="Z857" s="9"/>
    </row>
    <row r="858" spans="1:26" ht="15.75" hidden="1" customHeight="1">
      <c r="A858" s="9" t="s">
        <v>1945</v>
      </c>
      <c r="B858" s="9" t="s">
        <v>1946</v>
      </c>
      <c r="C858" s="9" t="s">
        <v>469</v>
      </c>
      <c r="D858" s="9" t="s">
        <v>74</v>
      </c>
      <c r="E858" s="9" t="s">
        <v>11</v>
      </c>
      <c r="F858" s="9" t="s">
        <v>1948</v>
      </c>
      <c r="G858" s="9">
        <v>75</v>
      </c>
      <c r="H858" s="9">
        <v>5</v>
      </c>
      <c r="I858" s="9">
        <v>1.0149999999999999</v>
      </c>
      <c r="J858" s="9">
        <v>95</v>
      </c>
      <c r="K858" s="9" t="s">
        <v>424</v>
      </c>
      <c r="L858" s="9"/>
      <c r="M858" s="9"/>
      <c r="N858" s="9" t="str">
        <f ca="1">IFERROR(__xludf.DUMMYFUNCTION("IFERROR(VALUE(REGEXEXTRACT(TO_TEXT($F858), N$1 &amp; ""x(\d+)"")), """")
"),"")</f>
        <v/>
      </c>
      <c r="O858" s="9">
        <f ca="1">IFERROR(__xludf.DUMMYFUNCTION("IFERROR(VALUE(REGEXEXTRACT(TO_TEXT($F858), O$1 &amp; ""x(\d+)"")), """")"),1)</f>
        <v>1</v>
      </c>
      <c r="P858" s="9" t="str">
        <f ca="1">IFERROR(__xludf.DUMMYFUNCTION("IFERROR(VALUE(REGEXEXTRACT(TO_TEXT($F858), P$1 &amp; ""x(\d+)"")), """")"),"")</f>
        <v/>
      </c>
      <c r="Q858" s="9" t="str">
        <f ca="1">IFERROR(__xludf.DUMMYFUNCTION("IFERROR(VALUE(REGEXEXTRACT(TO_TEXT($F858), Q$1 &amp; ""x(\d+)"")), """")"),"")</f>
        <v/>
      </c>
      <c r="R858" s="9" t="str">
        <f ca="1">IFERROR(__xludf.DUMMYFUNCTION("IFERROR(VALUE(REGEXEXTRACT(TO_TEXT($F858), R$1 &amp; ""x(\d+)"")), """")"),"")</f>
        <v/>
      </c>
      <c r="S858" s="9" t="str">
        <f ca="1">IFERROR(__xludf.DUMMYFUNCTION("IFERROR(VALUE(REGEXEXTRACT(TO_TEXT($F858), S$1 &amp; ""x(\d+)"")), """")"),"")</f>
        <v/>
      </c>
      <c r="T858" s="9" t="str">
        <f ca="1">IFERROR(__xludf.DUMMYFUNCTION("IFERROR(VALUE(REGEXEXTRACT(TO_TEXT($F858), T$1 &amp; ""x(\d+)"")), """")"),"")</f>
        <v/>
      </c>
      <c r="U858" s="9" t="str">
        <f ca="1">IFERROR(__xludf.DUMMYFUNCTION("IFERROR(VALUE(REGEXEXTRACT(TO_TEXT($F858), U$1 &amp; ""x(\d+)"")), """")"),"")</f>
        <v/>
      </c>
      <c r="V858" s="9" t="str">
        <f ca="1">IFERROR(__xludf.DUMMYFUNCTION("IFERROR(VALUE(REGEXEXTRACT(TO_TEXT($F858), V$1 &amp; ""x(\d+)"")), """")"),"")</f>
        <v/>
      </c>
      <c r="W858" s="9"/>
      <c r="X858" s="9"/>
      <c r="Y858" s="9"/>
      <c r="Z858" s="9"/>
    </row>
    <row r="859" spans="1:26" ht="15.75" hidden="1" customHeight="1">
      <c r="A859" s="9" t="s">
        <v>1945</v>
      </c>
      <c r="B859" s="9" t="s">
        <v>1946</v>
      </c>
      <c r="C859" s="9" t="s">
        <v>469</v>
      </c>
      <c r="D859" s="9" t="s">
        <v>74</v>
      </c>
      <c r="E859" s="9" t="s">
        <v>12</v>
      </c>
      <c r="F859" s="9" t="s">
        <v>1949</v>
      </c>
      <c r="G859" s="9">
        <v>60</v>
      </c>
      <c r="H859" s="9">
        <v>5</v>
      </c>
      <c r="I859" s="9">
        <v>1.0149999999999999</v>
      </c>
      <c r="J859" s="9">
        <v>95</v>
      </c>
      <c r="K859" s="9" t="s">
        <v>424</v>
      </c>
      <c r="L859" s="9" t="s">
        <v>1015</v>
      </c>
      <c r="M859" s="9"/>
      <c r="N859" s="9" t="str">
        <f ca="1">IFERROR(__xludf.DUMMYFUNCTION("IFERROR(VALUE(REGEXEXTRACT(TO_TEXT($F859), N$1 &amp; ""x(\d+)"")), """")
"),"")</f>
        <v/>
      </c>
      <c r="O859" s="9" t="str">
        <f ca="1">IFERROR(__xludf.DUMMYFUNCTION("IFERROR(VALUE(REGEXEXTRACT(TO_TEXT($F859), O$1 &amp; ""x(\d+)"")), """")"),"")</f>
        <v/>
      </c>
      <c r="P859" s="9" t="str">
        <f ca="1">IFERROR(__xludf.DUMMYFUNCTION("IFERROR(VALUE(REGEXEXTRACT(TO_TEXT($F859), P$1 &amp; ""x(\d+)"")), """")"),"")</f>
        <v/>
      </c>
      <c r="Q859" s="9">
        <f ca="1">IFERROR(__xludf.DUMMYFUNCTION("IFERROR(VALUE(REGEXEXTRACT(TO_TEXT($F859), Q$1 &amp; ""x(\d+)"")), """")"),1)</f>
        <v>1</v>
      </c>
      <c r="R859" s="9" t="str">
        <f ca="1">IFERROR(__xludf.DUMMYFUNCTION("IFERROR(VALUE(REGEXEXTRACT(TO_TEXT($F859), R$1 &amp; ""x(\d+)"")), """")"),"")</f>
        <v/>
      </c>
      <c r="S859" s="9" t="str">
        <f ca="1">IFERROR(__xludf.DUMMYFUNCTION("IFERROR(VALUE(REGEXEXTRACT(TO_TEXT($F859), S$1 &amp; ""x(\d+)"")), """")"),"")</f>
        <v/>
      </c>
      <c r="T859" s="9" t="str">
        <f ca="1">IFERROR(__xludf.DUMMYFUNCTION("IFERROR(VALUE(REGEXEXTRACT(TO_TEXT($F859), T$1 &amp; ""x(\d+)"")), """")"),"")</f>
        <v/>
      </c>
      <c r="U859" s="9" t="str">
        <f ca="1">IFERROR(__xludf.DUMMYFUNCTION("IFERROR(VALUE(REGEXEXTRACT(TO_TEXT($F859), U$1 &amp; ""x(\d+)"")), """")"),"")</f>
        <v/>
      </c>
      <c r="V859" s="9" t="str">
        <f ca="1">IFERROR(__xludf.DUMMYFUNCTION("IFERROR(VALUE(REGEXEXTRACT(TO_TEXT($F859), V$1 &amp; ""x(\d+)"")), """")"),"")</f>
        <v/>
      </c>
      <c r="W859" s="9"/>
      <c r="X859" s="9"/>
      <c r="Y859" s="9"/>
      <c r="Z859" s="9"/>
    </row>
    <row r="860" spans="1:26" ht="15.75" hidden="1" customHeight="1">
      <c r="A860" s="9" t="s">
        <v>1945</v>
      </c>
      <c r="B860" s="9" t="s">
        <v>1946</v>
      </c>
      <c r="C860" s="9" t="s">
        <v>469</v>
      </c>
      <c r="D860" s="9" t="s">
        <v>74</v>
      </c>
      <c r="E860" s="9" t="s">
        <v>13</v>
      </c>
      <c r="F860" s="9" t="s">
        <v>1950</v>
      </c>
      <c r="G860" s="9">
        <v>30</v>
      </c>
      <c r="H860" s="9">
        <v>5</v>
      </c>
      <c r="I860" s="9">
        <v>1.0149999999999999</v>
      </c>
      <c r="J860" s="9">
        <v>95</v>
      </c>
      <c r="K860" s="9" t="s">
        <v>424</v>
      </c>
      <c r="L860" s="9"/>
      <c r="M860" s="9"/>
      <c r="N860" s="9" t="str">
        <f ca="1">IFERROR(__xludf.DUMMYFUNCTION("IFERROR(VALUE(REGEXEXTRACT(TO_TEXT($F860), N$1 &amp; ""x(\d+)"")), """")
"),"")</f>
        <v/>
      </c>
      <c r="O860" s="9" t="str">
        <f ca="1">IFERROR(__xludf.DUMMYFUNCTION("IFERROR(VALUE(REGEXEXTRACT(TO_TEXT($F860), O$1 &amp; ""x(\d+)"")), """")"),"")</f>
        <v/>
      </c>
      <c r="P860" s="9" t="str">
        <f ca="1">IFERROR(__xludf.DUMMYFUNCTION("IFERROR(VALUE(REGEXEXTRACT(TO_TEXT($F860), P$1 &amp; ""x(\d+)"")), """")"),"")</f>
        <v/>
      </c>
      <c r="Q860" s="9">
        <f ca="1">IFERROR(__xludf.DUMMYFUNCTION("IFERROR(VALUE(REGEXEXTRACT(TO_TEXT($F860), Q$1 &amp; ""x(\d+)"")), """")"),1)</f>
        <v>1</v>
      </c>
      <c r="R860" s="9" t="str">
        <f ca="1">IFERROR(__xludf.DUMMYFUNCTION("IFERROR(VALUE(REGEXEXTRACT(TO_TEXT($F860), R$1 &amp; ""x(\d+)"")), """")"),"")</f>
        <v/>
      </c>
      <c r="S860" s="9" t="str">
        <f ca="1">IFERROR(__xludf.DUMMYFUNCTION("IFERROR(VALUE(REGEXEXTRACT(TO_TEXT($F860), S$1 &amp; ""x(\d+)"")), """")"),"")</f>
        <v/>
      </c>
      <c r="T860" s="9" t="str">
        <f ca="1">IFERROR(__xludf.DUMMYFUNCTION("IFERROR(VALUE(REGEXEXTRACT(TO_TEXT($F860), T$1 &amp; ""x(\d+)"")), """")"),"")</f>
        <v/>
      </c>
      <c r="U860" s="9" t="str">
        <f ca="1">IFERROR(__xludf.DUMMYFUNCTION("IFERROR(VALUE(REGEXEXTRACT(TO_TEXT($F860), U$1 &amp; ""x(\d+)"")), """")"),"")</f>
        <v/>
      </c>
      <c r="V860" s="9" t="str">
        <f ca="1">IFERROR(__xludf.DUMMYFUNCTION("IFERROR(VALUE(REGEXEXTRACT(TO_TEXT($F860), V$1 &amp; ""x(\d+)"")), """")"),"")</f>
        <v/>
      </c>
      <c r="W860" s="9"/>
      <c r="X860" s="9"/>
      <c r="Y860" s="9"/>
      <c r="Z860" s="9"/>
    </row>
    <row r="861" spans="1:26" ht="15.75" hidden="1" customHeight="1">
      <c r="A861" s="9" t="s">
        <v>1951</v>
      </c>
      <c r="B861" s="9" t="s">
        <v>1952</v>
      </c>
      <c r="C861" s="9" t="s">
        <v>498</v>
      </c>
      <c r="D861" s="9" t="s">
        <v>48</v>
      </c>
      <c r="E861" s="9" t="s">
        <v>12</v>
      </c>
      <c r="F861" s="9" t="s">
        <v>1953</v>
      </c>
      <c r="G861" s="9">
        <v>120</v>
      </c>
      <c r="H861" s="9">
        <v>1</v>
      </c>
      <c r="I861" s="9">
        <v>1.0149999999999999</v>
      </c>
      <c r="J861" s="9">
        <v>45</v>
      </c>
      <c r="K861" s="9" t="s">
        <v>499</v>
      </c>
      <c r="L861" s="9"/>
      <c r="M861" s="9"/>
      <c r="N861" s="9" t="str">
        <f ca="1">IFERROR(__xludf.DUMMYFUNCTION("IFERROR(VALUE(REGEXEXTRACT(TO_TEXT($F861), N$1 &amp; ""x(\d+)"")), """")
"),"")</f>
        <v/>
      </c>
      <c r="O861" s="9" t="str">
        <f ca="1">IFERROR(__xludf.DUMMYFUNCTION("IFERROR(VALUE(REGEXEXTRACT(TO_TEXT($F861), O$1 &amp; ""x(\d+)"")), """")"),"")</f>
        <v/>
      </c>
      <c r="P861" s="9">
        <f ca="1">IFERROR(__xludf.DUMMYFUNCTION("IFERROR(VALUE(REGEXEXTRACT(TO_TEXT($F861), P$1 &amp; ""x(\d+)"")), """")"),1)</f>
        <v>1</v>
      </c>
      <c r="Q861" s="9" t="str">
        <f ca="1">IFERROR(__xludf.DUMMYFUNCTION("IFERROR(VALUE(REGEXEXTRACT(TO_TEXT($F861), Q$1 &amp; ""x(\d+)"")), """")"),"")</f>
        <v/>
      </c>
      <c r="R861" s="9" t="str">
        <f ca="1">IFERROR(__xludf.DUMMYFUNCTION("IFERROR(VALUE(REGEXEXTRACT(TO_TEXT($F861), R$1 &amp; ""x(\d+)"")), """")"),"")</f>
        <v/>
      </c>
      <c r="S861" s="9" t="str">
        <f ca="1">IFERROR(__xludf.DUMMYFUNCTION("IFERROR(VALUE(REGEXEXTRACT(TO_TEXT($F861), S$1 &amp; ""x(\d+)"")), """")"),"")</f>
        <v/>
      </c>
      <c r="T861" s="9" t="str">
        <f ca="1">IFERROR(__xludf.DUMMYFUNCTION("IFERROR(VALUE(REGEXEXTRACT(TO_TEXT($F861), T$1 &amp; ""x(\d+)"")), """")"),"")</f>
        <v/>
      </c>
      <c r="U861" s="9" t="str">
        <f ca="1">IFERROR(__xludf.DUMMYFUNCTION("IFERROR(VALUE(REGEXEXTRACT(TO_TEXT($F861), U$1 &amp; ""x(\d+)"")), """")"),"")</f>
        <v/>
      </c>
      <c r="V861" s="9" t="str">
        <f ca="1">IFERROR(__xludf.DUMMYFUNCTION("IFERROR(VALUE(REGEXEXTRACT(TO_TEXT($F861), V$1 &amp; ""x(\d+)"")), """")"),"")</f>
        <v/>
      </c>
      <c r="W861" s="9"/>
      <c r="X861" s="9"/>
      <c r="Y861" s="9"/>
      <c r="Z861" s="9"/>
    </row>
    <row r="862" spans="1:26" ht="15.75" hidden="1" customHeight="1">
      <c r="A862" s="9" t="s">
        <v>1951</v>
      </c>
      <c r="B862" s="9" t="s">
        <v>1952</v>
      </c>
      <c r="C862" s="9" t="s">
        <v>498</v>
      </c>
      <c r="D862" s="9" t="s">
        <v>48</v>
      </c>
      <c r="E862" s="9" t="s">
        <v>13</v>
      </c>
      <c r="F862" s="9" t="s">
        <v>1954</v>
      </c>
      <c r="G862" s="9">
        <v>90</v>
      </c>
      <c r="H862" s="9">
        <v>1</v>
      </c>
      <c r="I862" s="9">
        <v>1.0149999999999999</v>
      </c>
      <c r="J862" s="9">
        <v>45</v>
      </c>
      <c r="K862" s="9" t="s">
        <v>499</v>
      </c>
      <c r="L862" s="9"/>
      <c r="M862" s="9"/>
      <c r="N862" s="9" t="str">
        <f ca="1">IFERROR(__xludf.DUMMYFUNCTION("IFERROR(VALUE(REGEXEXTRACT(TO_TEXT($F862), N$1 &amp; ""x(\d+)"")), """")
"),"")</f>
        <v/>
      </c>
      <c r="O862" s="9" t="str">
        <f ca="1">IFERROR(__xludf.DUMMYFUNCTION("IFERROR(VALUE(REGEXEXTRACT(TO_TEXT($F862), O$1 &amp; ""x(\d+)"")), """")"),"")</f>
        <v/>
      </c>
      <c r="P862" s="9">
        <f ca="1">IFERROR(__xludf.DUMMYFUNCTION("IFERROR(VALUE(REGEXEXTRACT(TO_TEXT($F862), P$1 &amp; ""x(\d+)"")), """")"),1)</f>
        <v>1</v>
      </c>
      <c r="Q862" s="9" t="str">
        <f ca="1">IFERROR(__xludf.DUMMYFUNCTION("IFERROR(VALUE(REGEXEXTRACT(TO_TEXT($F862), Q$1 &amp; ""x(\d+)"")), """")"),"")</f>
        <v/>
      </c>
      <c r="R862" s="9" t="str">
        <f ca="1">IFERROR(__xludf.DUMMYFUNCTION("IFERROR(VALUE(REGEXEXTRACT(TO_TEXT($F862), R$1 &amp; ""x(\d+)"")), """")"),"")</f>
        <v/>
      </c>
      <c r="S862" s="9" t="str">
        <f ca="1">IFERROR(__xludf.DUMMYFUNCTION("IFERROR(VALUE(REGEXEXTRACT(TO_TEXT($F862), S$1 &amp; ""x(\d+)"")), """")"),"")</f>
        <v/>
      </c>
      <c r="T862" s="9" t="str">
        <f ca="1">IFERROR(__xludf.DUMMYFUNCTION("IFERROR(VALUE(REGEXEXTRACT(TO_TEXT($F862), T$1 &amp; ""x(\d+)"")), """")"),"")</f>
        <v/>
      </c>
      <c r="U862" s="9" t="str">
        <f ca="1">IFERROR(__xludf.DUMMYFUNCTION("IFERROR(VALUE(REGEXEXTRACT(TO_TEXT($F862), U$1 &amp; ""x(\d+)"")), """")"),"")</f>
        <v/>
      </c>
      <c r="V862" s="9" t="str">
        <f ca="1">IFERROR(__xludf.DUMMYFUNCTION("IFERROR(VALUE(REGEXEXTRACT(TO_TEXT($F862), V$1 &amp; ""x(\d+)"")), """")"),"")</f>
        <v/>
      </c>
      <c r="W862" s="9"/>
      <c r="X862" s="9"/>
      <c r="Y862" s="9"/>
      <c r="Z862" s="9"/>
    </row>
    <row r="863" spans="1:26" ht="15.75" customHeight="1">
      <c r="A863" s="9" t="s">
        <v>1955</v>
      </c>
      <c r="B863" s="9" t="s">
        <v>1956</v>
      </c>
      <c r="C863" s="9" t="s">
        <v>724</v>
      </c>
      <c r="D863" s="9" t="s">
        <v>33</v>
      </c>
      <c r="E863" s="9" t="s">
        <v>11</v>
      </c>
      <c r="F863" s="9" t="s">
        <v>1204</v>
      </c>
      <c r="G863" s="9">
        <v>30</v>
      </c>
      <c r="H863" s="9">
        <v>3</v>
      </c>
      <c r="I863" s="9">
        <v>1.0149999999999999</v>
      </c>
      <c r="J863" s="9">
        <v>103</v>
      </c>
      <c r="K863" s="9" t="s">
        <v>442</v>
      </c>
      <c r="L863" s="9"/>
      <c r="M863" s="9"/>
      <c r="N863" s="9" t="str">
        <f ca="1">IFERROR(__xludf.DUMMYFUNCTION("IFERROR(VALUE(REGEXEXTRACT(TO_TEXT($F863), N$1 &amp; ""x(\d+)"")), """")
"),"")</f>
        <v/>
      </c>
      <c r="O863" s="9" t="str">
        <f ca="1">IFERROR(__xludf.DUMMYFUNCTION("IFERROR(VALUE(REGEXEXTRACT(TO_TEXT($F863), O$1 &amp; ""x(\d+)"")), """")"),"")</f>
        <v/>
      </c>
      <c r="P863" s="9" t="str">
        <f ca="1">IFERROR(__xludf.DUMMYFUNCTION("IFERROR(VALUE(REGEXEXTRACT(TO_TEXT($F863), P$1 &amp; ""x(\d+)"")), """")"),"")</f>
        <v/>
      </c>
      <c r="Q863" s="9" t="str">
        <f ca="1">IFERROR(__xludf.DUMMYFUNCTION("IFERROR(VALUE(REGEXEXTRACT(TO_TEXT($F863), Q$1 &amp; ""x(\d+)"")), """")"),"")</f>
        <v/>
      </c>
      <c r="R863" s="9" t="str">
        <f ca="1">IFERROR(__xludf.DUMMYFUNCTION("IFERROR(VALUE(REGEXEXTRACT(TO_TEXT($F863), R$1 &amp; ""x(\d+)"")), """")"),"")</f>
        <v/>
      </c>
      <c r="S863" s="9" t="str">
        <f ca="1">IFERROR(__xludf.DUMMYFUNCTION("IFERROR(VALUE(REGEXEXTRACT(TO_TEXT($F863), S$1 &amp; ""x(\d+)"")), """")"),"")</f>
        <v/>
      </c>
      <c r="T863" s="9" t="str">
        <f ca="1">IFERROR(__xludf.DUMMYFUNCTION("IFERROR(VALUE(REGEXEXTRACT(TO_TEXT($F863), T$1 &amp; ""x(\d+)"")), """")"),"")</f>
        <v/>
      </c>
      <c r="U863" s="9" t="str">
        <f ca="1">IFERROR(__xludf.DUMMYFUNCTION("IFERROR(VALUE(REGEXEXTRACT(TO_TEXT($F863), U$1 &amp; ""x(\d+)"")), """")"),"")</f>
        <v/>
      </c>
      <c r="V863" s="9" t="str">
        <f ca="1">IFERROR(__xludf.DUMMYFUNCTION("IFERROR(VALUE(REGEXEXTRACT(TO_TEXT($F863), V$1 &amp; ""x(\d+)"")), """")"),"")</f>
        <v/>
      </c>
      <c r="W863" s="9"/>
      <c r="X863" s="9"/>
      <c r="Y863" s="9"/>
      <c r="Z863" s="9"/>
    </row>
    <row r="864" spans="1:26" ht="15.75" customHeight="1">
      <c r="A864" s="9" t="s">
        <v>1955</v>
      </c>
      <c r="B864" s="9" t="s">
        <v>1956</v>
      </c>
      <c r="C864" s="9" t="s">
        <v>724</v>
      </c>
      <c r="D864" s="9" t="s">
        <v>33</v>
      </c>
      <c r="E864" s="9" t="s">
        <v>12</v>
      </c>
      <c r="F864" s="9" t="s">
        <v>1907</v>
      </c>
      <c r="G864" s="9">
        <v>95</v>
      </c>
      <c r="H864" s="9">
        <v>3</v>
      </c>
      <c r="I864" s="9">
        <v>1.0149999999999999</v>
      </c>
      <c r="J864" s="9">
        <v>103</v>
      </c>
      <c r="K864" s="9" t="s">
        <v>442</v>
      </c>
      <c r="L864" s="9" t="s">
        <v>1015</v>
      </c>
      <c r="M864" s="9"/>
      <c r="N864" s="9" t="str">
        <f ca="1">IFERROR(__xludf.DUMMYFUNCTION("IFERROR(VALUE(REGEXEXTRACT(TO_TEXT($F864), N$1 &amp; ""x(\d+)"")), """")
"),"")</f>
        <v/>
      </c>
      <c r="O864" s="9">
        <f ca="1">IFERROR(__xludf.DUMMYFUNCTION("IFERROR(VALUE(REGEXEXTRACT(TO_TEXT($F864), O$1 &amp; ""x(\d+)"")), """")"),1)</f>
        <v>1</v>
      </c>
      <c r="P864" s="9" t="str">
        <f ca="1">IFERROR(__xludf.DUMMYFUNCTION("IFERROR(VALUE(REGEXEXTRACT(TO_TEXT($F864), P$1 &amp; ""x(\d+)"")), """")"),"")</f>
        <v/>
      </c>
      <c r="Q864" s="9" t="str">
        <f ca="1">IFERROR(__xludf.DUMMYFUNCTION("IFERROR(VALUE(REGEXEXTRACT(TO_TEXT($F864), Q$1 &amp; ""x(\d+)"")), """")"),"")</f>
        <v/>
      </c>
      <c r="R864" s="9" t="str">
        <f ca="1">IFERROR(__xludf.DUMMYFUNCTION("IFERROR(VALUE(REGEXEXTRACT(TO_TEXT($F864), R$1 &amp; ""x(\d+)"")), """")"),"")</f>
        <v/>
      </c>
      <c r="S864" s="9" t="str">
        <f ca="1">IFERROR(__xludf.DUMMYFUNCTION("IFERROR(VALUE(REGEXEXTRACT(TO_TEXT($F864), S$1 &amp; ""x(\d+)"")), """")"),"")</f>
        <v/>
      </c>
      <c r="T864" s="9" t="str">
        <f ca="1">IFERROR(__xludf.DUMMYFUNCTION("IFERROR(VALUE(REGEXEXTRACT(TO_TEXT($F864), T$1 &amp; ""x(\d+)"")), """")"),"")</f>
        <v/>
      </c>
      <c r="U864" s="9" t="str">
        <f ca="1">IFERROR(__xludf.DUMMYFUNCTION("IFERROR(VALUE(REGEXEXTRACT(TO_TEXT($F864), U$1 &amp; ""x(\d+)"")), """")"),"")</f>
        <v/>
      </c>
      <c r="V864" s="9" t="str">
        <f ca="1">IFERROR(__xludf.DUMMYFUNCTION("IFERROR(VALUE(REGEXEXTRACT(TO_TEXT($F864), V$1 &amp; ""x(\d+)"")), """")"),"")</f>
        <v/>
      </c>
      <c r="W864" s="9"/>
      <c r="X864" s="9"/>
      <c r="Y864" s="9"/>
      <c r="Z864" s="9"/>
    </row>
    <row r="865" spans="1:26" ht="15.75" customHeight="1">
      <c r="A865" s="9" t="s">
        <v>1955</v>
      </c>
      <c r="B865" s="9" t="s">
        <v>1956</v>
      </c>
      <c r="C865" s="9" t="s">
        <v>724</v>
      </c>
      <c r="D865" s="9" t="s">
        <v>33</v>
      </c>
      <c r="E865" s="9" t="s">
        <v>13</v>
      </c>
      <c r="F865" s="9" t="s">
        <v>1651</v>
      </c>
      <c r="G865" s="9">
        <v>20</v>
      </c>
      <c r="H865" s="9">
        <v>3</v>
      </c>
      <c r="I865" s="9">
        <v>1.0149999999999999</v>
      </c>
      <c r="J865" s="9">
        <v>103</v>
      </c>
      <c r="K865" s="9" t="s">
        <v>442</v>
      </c>
      <c r="L865" s="9"/>
      <c r="M865" s="9"/>
      <c r="N865" s="9" t="str">
        <f ca="1">IFERROR(__xludf.DUMMYFUNCTION("IFERROR(VALUE(REGEXEXTRACT(TO_TEXT($F865), N$1 &amp; ""x(\d+)"")), """")
"),"")</f>
        <v/>
      </c>
      <c r="O865" s="9">
        <f ca="1">IFERROR(__xludf.DUMMYFUNCTION("IFERROR(VALUE(REGEXEXTRACT(TO_TEXT($F865), O$1 &amp; ""x(\d+)"")), """")"),1)</f>
        <v>1</v>
      </c>
      <c r="P865" s="9" t="str">
        <f ca="1">IFERROR(__xludf.DUMMYFUNCTION("IFERROR(VALUE(REGEXEXTRACT(TO_TEXT($F865), P$1 &amp; ""x(\d+)"")), """")"),"")</f>
        <v/>
      </c>
      <c r="Q865" s="9" t="str">
        <f ca="1">IFERROR(__xludf.DUMMYFUNCTION("IFERROR(VALUE(REGEXEXTRACT(TO_TEXT($F865), Q$1 &amp; ""x(\d+)"")), """")"),"")</f>
        <v/>
      </c>
      <c r="R865" s="9" t="str">
        <f ca="1">IFERROR(__xludf.DUMMYFUNCTION("IFERROR(VALUE(REGEXEXTRACT(TO_TEXT($F865), R$1 &amp; ""x(\d+)"")), """")"),"")</f>
        <v/>
      </c>
      <c r="S865" s="9" t="str">
        <f ca="1">IFERROR(__xludf.DUMMYFUNCTION("IFERROR(VALUE(REGEXEXTRACT(TO_TEXT($F865), S$1 &amp; ""x(\d+)"")), """")"),"")</f>
        <v/>
      </c>
      <c r="T865" s="9" t="str">
        <f ca="1">IFERROR(__xludf.DUMMYFUNCTION("IFERROR(VALUE(REGEXEXTRACT(TO_TEXT($F865), T$1 &amp; ""x(\d+)"")), """")"),"")</f>
        <v/>
      </c>
      <c r="U865" s="9" t="str">
        <f ca="1">IFERROR(__xludf.DUMMYFUNCTION("IFERROR(VALUE(REGEXEXTRACT(TO_TEXT($F865), U$1 &amp; ""x(\d+)"")), """")"),"")</f>
        <v/>
      </c>
      <c r="V865" s="9" t="str">
        <f ca="1">IFERROR(__xludf.DUMMYFUNCTION("IFERROR(VALUE(REGEXEXTRACT(TO_TEXT($F865), V$1 &amp; ""x(\d+)"")), """")"),"")</f>
        <v/>
      </c>
      <c r="W865" s="9"/>
      <c r="X865" s="9"/>
      <c r="Y865" s="9"/>
      <c r="Z865" s="9"/>
    </row>
    <row r="866" spans="1:26" ht="15.75" customHeight="1">
      <c r="A866" s="9" t="s">
        <v>1957</v>
      </c>
      <c r="B866" s="9" t="s">
        <v>1958</v>
      </c>
      <c r="C866" s="9" t="s">
        <v>724</v>
      </c>
      <c r="D866" s="9" t="s">
        <v>33</v>
      </c>
      <c r="E866" s="9" t="s">
        <v>11</v>
      </c>
      <c r="F866" s="9" t="s">
        <v>1152</v>
      </c>
      <c r="G866" s="9">
        <v>30</v>
      </c>
      <c r="H866" s="9">
        <v>3</v>
      </c>
      <c r="I866" s="9">
        <v>1.0149999999999999</v>
      </c>
      <c r="J866" s="9">
        <v>103</v>
      </c>
      <c r="K866" s="9" t="s">
        <v>442</v>
      </c>
      <c r="L866" s="9"/>
      <c r="M866" s="9"/>
      <c r="N866" s="9" t="str">
        <f ca="1">IFERROR(__xludf.DUMMYFUNCTION("IFERROR(VALUE(REGEXEXTRACT(TO_TEXT($F866), N$1 &amp; ""x(\d+)"")), """")
"),"")</f>
        <v/>
      </c>
      <c r="O866" s="9" t="str">
        <f ca="1">IFERROR(__xludf.DUMMYFUNCTION("IFERROR(VALUE(REGEXEXTRACT(TO_TEXT($F866), O$1 &amp; ""x(\d+)"")), """")"),"")</f>
        <v/>
      </c>
      <c r="P866" s="9" t="str">
        <f ca="1">IFERROR(__xludf.DUMMYFUNCTION("IFERROR(VALUE(REGEXEXTRACT(TO_TEXT($F866), P$1 &amp; ""x(\d+)"")), """")"),"")</f>
        <v/>
      </c>
      <c r="Q866" s="9" t="str">
        <f ca="1">IFERROR(__xludf.DUMMYFUNCTION("IFERROR(VALUE(REGEXEXTRACT(TO_TEXT($F866), Q$1 &amp; ""x(\d+)"")), """")"),"")</f>
        <v/>
      </c>
      <c r="R866" s="9" t="str">
        <f ca="1">IFERROR(__xludf.DUMMYFUNCTION("IFERROR(VALUE(REGEXEXTRACT(TO_TEXT($F866), R$1 &amp; ""x(\d+)"")), """")"),"")</f>
        <v/>
      </c>
      <c r="S866" s="9" t="str">
        <f ca="1">IFERROR(__xludf.DUMMYFUNCTION("IFERROR(VALUE(REGEXEXTRACT(TO_TEXT($F866), S$1 &amp; ""x(\d+)"")), """")"),"")</f>
        <v/>
      </c>
      <c r="T866" s="9" t="str">
        <f ca="1">IFERROR(__xludf.DUMMYFUNCTION("IFERROR(VALUE(REGEXEXTRACT(TO_TEXT($F866), T$1 &amp; ""x(\d+)"")), """")"),"")</f>
        <v/>
      </c>
      <c r="U866" s="9" t="str">
        <f ca="1">IFERROR(__xludf.DUMMYFUNCTION("IFERROR(VALUE(REGEXEXTRACT(TO_TEXT($F866), U$1 &amp; ""x(\d+)"")), """")"),"")</f>
        <v/>
      </c>
      <c r="V866" s="9" t="str">
        <f ca="1">IFERROR(__xludf.DUMMYFUNCTION("IFERROR(VALUE(REGEXEXTRACT(TO_TEXT($F866), V$1 &amp; ""x(\d+)"")), """")"),"")</f>
        <v/>
      </c>
      <c r="W866" s="9"/>
      <c r="X866" s="9"/>
      <c r="Y866" s="9"/>
      <c r="Z866" s="9"/>
    </row>
    <row r="867" spans="1:26" ht="15.75" customHeight="1">
      <c r="A867" s="9" t="s">
        <v>1957</v>
      </c>
      <c r="B867" s="9" t="s">
        <v>1958</v>
      </c>
      <c r="C867" s="9" t="s">
        <v>724</v>
      </c>
      <c r="D867" s="9" t="s">
        <v>33</v>
      </c>
      <c r="E867" s="9" t="s">
        <v>12</v>
      </c>
      <c r="F867" s="9" t="s">
        <v>1049</v>
      </c>
      <c r="G867" s="9">
        <v>95</v>
      </c>
      <c r="H867" s="9">
        <v>3</v>
      </c>
      <c r="I867" s="9">
        <v>1.0149999999999999</v>
      </c>
      <c r="J867" s="9">
        <v>103</v>
      </c>
      <c r="K867" s="9" t="s">
        <v>442</v>
      </c>
      <c r="L867" s="9" t="s">
        <v>1015</v>
      </c>
      <c r="M867" s="9"/>
      <c r="N867" s="9" t="str">
        <f ca="1">IFERROR(__xludf.DUMMYFUNCTION("IFERROR(VALUE(REGEXEXTRACT(TO_TEXT($F867), N$1 &amp; ""x(\d+)"")), """")
"),"")</f>
        <v/>
      </c>
      <c r="O867" s="9">
        <f ca="1">IFERROR(__xludf.DUMMYFUNCTION("IFERROR(VALUE(REGEXEXTRACT(TO_TEXT($F867), O$1 &amp; ""x(\d+)"")), """")"),1)</f>
        <v>1</v>
      </c>
      <c r="P867" s="9" t="str">
        <f ca="1">IFERROR(__xludf.DUMMYFUNCTION("IFERROR(VALUE(REGEXEXTRACT(TO_TEXT($F867), P$1 &amp; ""x(\d+)"")), """")"),"")</f>
        <v/>
      </c>
      <c r="Q867" s="9" t="str">
        <f ca="1">IFERROR(__xludf.DUMMYFUNCTION("IFERROR(VALUE(REGEXEXTRACT(TO_TEXT($F867), Q$1 &amp; ""x(\d+)"")), """")"),"")</f>
        <v/>
      </c>
      <c r="R867" s="9" t="str">
        <f ca="1">IFERROR(__xludf.DUMMYFUNCTION("IFERROR(VALUE(REGEXEXTRACT(TO_TEXT($F867), R$1 &amp; ""x(\d+)"")), """")"),"")</f>
        <v/>
      </c>
      <c r="S867" s="9" t="str">
        <f ca="1">IFERROR(__xludf.DUMMYFUNCTION("IFERROR(VALUE(REGEXEXTRACT(TO_TEXT($F867), S$1 &amp; ""x(\d+)"")), """")"),"")</f>
        <v/>
      </c>
      <c r="T867" s="9" t="str">
        <f ca="1">IFERROR(__xludf.DUMMYFUNCTION("IFERROR(VALUE(REGEXEXTRACT(TO_TEXT($F867), T$1 &amp; ""x(\d+)"")), """")"),"")</f>
        <v/>
      </c>
      <c r="U867" s="9" t="str">
        <f ca="1">IFERROR(__xludf.DUMMYFUNCTION("IFERROR(VALUE(REGEXEXTRACT(TO_TEXT($F867), U$1 &amp; ""x(\d+)"")), """")"),"")</f>
        <v/>
      </c>
      <c r="V867" s="9" t="str">
        <f ca="1">IFERROR(__xludf.DUMMYFUNCTION("IFERROR(VALUE(REGEXEXTRACT(TO_TEXT($F867), V$1 &amp; ""x(\d+)"")), """")"),"")</f>
        <v/>
      </c>
      <c r="W867" s="9"/>
      <c r="X867" s="9"/>
      <c r="Y867" s="9"/>
      <c r="Z867" s="9"/>
    </row>
    <row r="868" spans="1:26" ht="15.75" customHeight="1">
      <c r="A868" s="9" t="s">
        <v>1957</v>
      </c>
      <c r="B868" s="9" t="s">
        <v>1958</v>
      </c>
      <c r="C868" s="9" t="s">
        <v>724</v>
      </c>
      <c r="D868" s="9" t="s">
        <v>33</v>
      </c>
      <c r="E868" s="9" t="s">
        <v>13</v>
      </c>
      <c r="F868" s="9" t="s">
        <v>1050</v>
      </c>
      <c r="G868" s="9">
        <v>20</v>
      </c>
      <c r="H868" s="9">
        <v>3</v>
      </c>
      <c r="I868" s="9">
        <v>1.0149999999999999</v>
      </c>
      <c r="J868" s="9">
        <v>103</v>
      </c>
      <c r="K868" s="9" t="s">
        <v>442</v>
      </c>
      <c r="L868" s="9"/>
      <c r="M868" s="9"/>
      <c r="N868" s="9" t="str">
        <f ca="1">IFERROR(__xludf.DUMMYFUNCTION("IFERROR(VALUE(REGEXEXTRACT(TO_TEXT($F868), N$1 &amp; ""x(\d+)"")), """")
"),"")</f>
        <v/>
      </c>
      <c r="O868" s="9">
        <f ca="1">IFERROR(__xludf.DUMMYFUNCTION("IFERROR(VALUE(REGEXEXTRACT(TO_TEXT($F868), O$1 &amp; ""x(\d+)"")), """")"),1)</f>
        <v>1</v>
      </c>
      <c r="P868" s="9" t="str">
        <f ca="1">IFERROR(__xludf.DUMMYFUNCTION("IFERROR(VALUE(REGEXEXTRACT(TO_TEXT($F868), P$1 &amp; ""x(\d+)"")), """")"),"")</f>
        <v/>
      </c>
      <c r="Q868" s="9" t="str">
        <f ca="1">IFERROR(__xludf.DUMMYFUNCTION("IFERROR(VALUE(REGEXEXTRACT(TO_TEXT($F868), Q$1 &amp; ""x(\d+)"")), """")"),"")</f>
        <v/>
      </c>
      <c r="R868" s="9" t="str">
        <f ca="1">IFERROR(__xludf.DUMMYFUNCTION("IFERROR(VALUE(REGEXEXTRACT(TO_TEXT($F868), R$1 &amp; ""x(\d+)"")), """")"),"")</f>
        <v/>
      </c>
      <c r="S868" s="9" t="str">
        <f ca="1">IFERROR(__xludf.DUMMYFUNCTION("IFERROR(VALUE(REGEXEXTRACT(TO_TEXT($F868), S$1 &amp; ""x(\d+)"")), """")"),"")</f>
        <v/>
      </c>
      <c r="T868" s="9" t="str">
        <f ca="1">IFERROR(__xludf.DUMMYFUNCTION("IFERROR(VALUE(REGEXEXTRACT(TO_TEXT($F868), T$1 &amp; ""x(\d+)"")), """")"),"")</f>
        <v/>
      </c>
      <c r="U868" s="9" t="str">
        <f ca="1">IFERROR(__xludf.DUMMYFUNCTION("IFERROR(VALUE(REGEXEXTRACT(TO_TEXT($F868), U$1 &amp; ""x(\d+)"")), """")"),"")</f>
        <v/>
      </c>
      <c r="V868" s="9" t="str">
        <f ca="1">IFERROR(__xludf.DUMMYFUNCTION("IFERROR(VALUE(REGEXEXTRACT(TO_TEXT($F868), V$1 &amp; ""x(\d+)"")), """")"),"")</f>
        <v/>
      </c>
      <c r="W868" s="9"/>
      <c r="X868" s="9"/>
      <c r="Y868" s="9"/>
      <c r="Z868" s="9"/>
    </row>
    <row r="869" spans="1:26" ht="15.75" hidden="1" customHeight="1">
      <c r="A869" s="9" t="s">
        <v>1959</v>
      </c>
      <c r="B869" s="9" t="s">
        <v>1960</v>
      </c>
      <c r="C869" s="9" t="s">
        <v>641</v>
      </c>
      <c r="D869" s="9" t="s">
        <v>40</v>
      </c>
      <c r="E869" s="9" t="s">
        <v>11</v>
      </c>
      <c r="F869" s="9" t="s">
        <v>1961</v>
      </c>
      <c r="G869" s="9">
        <v>20</v>
      </c>
      <c r="H869" s="9">
        <v>3</v>
      </c>
      <c r="I869" s="9">
        <v>1.0149999999999999</v>
      </c>
      <c r="J869" s="9">
        <v>410</v>
      </c>
      <c r="K869" s="9" t="s">
        <v>442</v>
      </c>
      <c r="L869" s="9"/>
      <c r="M869" s="9"/>
      <c r="N869" s="9" t="str">
        <f ca="1">IFERROR(__xludf.DUMMYFUNCTION("IFERROR(VALUE(REGEXEXTRACT(TO_TEXT($F869), N$1 &amp; ""x(\d+)"")), """")
"),"")</f>
        <v/>
      </c>
      <c r="O869" s="9" t="str">
        <f ca="1">IFERROR(__xludf.DUMMYFUNCTION("IFERROR(VALUE(REGEXEXTRACT(TO_TEXT($F869), O$1 &amp; ""x(\d+)"")), """")"),"")</f>
        <v/>
      </c>
      <c r="P869" s="9" t="str">
        <f ca="1">IFERROR(__xludf.DUMMYFUNCTION("IFERROR(VALUE(REGEXEXTRACT(TO_TEXT($F869), P$1 &amp; ""x(\d+)"")), """")"),"")</f>
        <v/>
      </c>
      <c r="Q869" s="9" t="str">
        <f ca="1">IFERROR(__xludf.DUMMYFUNCTION("IFERROR(VALUE(REGEXEXTRACT(TO_TEXT($F869), Q$1 &amp; ""x(\d+)"")), """")"),"")</f>
        <v/>
      </c>
      <c r="R869" s="9" t="str">
        <f ca="1">IFERROR(__xludf.DUMMYFUNCTION("IFERROR(VALUE(REGEXEXTRACT(TO_TEXT($F869), R$1 &amp; ""x(\d+)"")), """")"),"")</f>
        <v/>
      </c>
      <c r="S869" s="9" t="str">
        <f ca="1">IFERROR(__xludf.DUMMYFUNCTION("IFERROR(VALUE(REGEXEXTRACT(TO_TEXT($F869), S$1 &amp; ""x(\d+)"")), """")"),"")</f>
        <v/>
      </c>
      <c r="T869" s="9" t="str">
        <f ca="1">IFERROR(__xludf.DUMMYFUNCTION("IFERROR(VALUE(REGEXEXTRACT(TO_TEXT($F869), T$1 &amp; ""x(\d+)"")), """")"),"")</f>
        <v/>
      </c>
      <c r="U869" s="9" t="str">
        <f ca="1">IFERROR(__xludf.DUMMYFUNCTION("IFERROR(VALUE(REGEXEXTRACT(TO_TEXT($F869), U$1 &amp; ""x(\d+)"")), """")"),"")</f>
        <v/>
      </c>
      <c r="V869" s="9" t="str">
        <f ca="1">IFERROR(__xludf.DUMMYFUNCTION("IFERROR(VALUE(REGEXEXTRACT(TO_TEXT($F869), V$1 &amp; ""x(\d+)"")), """")"),"")</f>
        <v/>
      </c>
      <c r="W869" s="9"/>
      <c r="X869" s="9"/>
      <c r="Y869" s="9"/>
      <c r="Z869" s="9"/>
    </row>
    <row r="870" spans="1:26" ht="15.75" hidden="1" customHeight="1">
      <c r="A870" s="9" t="s">
        <v>1959</v>
      </c>
      <c r="B870" s="9" t="s">
        <v>1960</v>
      </c>
      <c r="C870" s="9" t="s">
        <v>641</v>
      </c>
      <c r="D870" s="9" t="s">
        <v>40</v>
      </c>
      <c r="E870" s="9" t="s">
        <v>12</v>
      </c>
      <c r="F870" s="9" t="s">
        <v>1209</v>
      </c>
      <c r="G870" s="9">
        <v>100</v>
      </c>
      <c r="H870" s="9">
        <v>3</v>
      </c>
      <c r="I870" s="9">
        <v>1.0149999999999999</v>
      </c>
      <c r="J870" s="9">
        <v>410</v>
      </c>
      <c r="K870" s="9" t="s">
        <v>442</v>
      </c>
      <c r="L870" s="9" t="s">
        <v>1030</v>
      </c>
      <c r="M870" s="9"/>
      <c r="N870" s="9" t="str">
        <f ca="1">IFERROR(__xludf.DUMMYFUNCTION("IFERROR(VALUE(REGEXEXTRACT(TO_TEXT($F870), N$1 &amp; ""x(\d+)"")), """")
"),"")</f>
        <v/>
      </c>
      <c r="O870" s="9" t="str">
        <f ca="1">IFERROR(__xludf.DUMMYFUNCTION("IFERROR(VALUE(REGEXEXTRACT(TO_TEXT($F870), O$1 &amp; ""x(\d+)"")), """")"),"")</f>
        <v/>
      </c>
      <c r="P870" s="9" t="str">
        <f ca="1">IFERROR(__xludf.DUMMYFUNCTION("IFERROR(VALUE(REGEXEXTRACT(TO_TEXT($F870), P$1 &amp; ""x(\d+)"")), """")"),"")</f>
        <v/>
      </c>
      <c r="Q870" s="9" t="str">
        <f ca="1">IFERROR(__xludf.DUMMYFUNCTION("IFERROR(VALUE(REGEXEXTRACT(TO_TEXT($F870), Q$1 &amp; ""x(\d+)"")), """")"),"")</f>
        <v/>
      </c>
      <c r="R870" s="9" t="str">
        <f ca="1">IFERROR(__xludf.DUMMYFUNCTION("IFERROR(VALUE(REGEXEXTRACT(TO_TEXT($F870), R$1 &amp; ""x(\d+)"")), """")"),"")</f>
        <v/>
      </c>
      <c r="S870" s="9">
        <f ca="1">IFERROR(__xludf.DUMMYFUNCTION("IFERROR(VALUE(REGEXEXTRACT(TO_TEXT($F870), S$1 &amp; ""x(\d+)"")), """")"),1)</f>
        <v>1</v>
      </c>
      <c r="T870" s="9" t="str">
        <f ca="1">IFERROR(__xludf.DUMMYFUNCTION("IFERROR(VALUE(REGEXEXTRACT(TO_TEXT($F870), T$1 &amp; ""x(\d+)"")), """")"),"")</f>
        <v/>
      </c>
      <c r="U870" s="9" t="str">
        <f ca="1">IFERROR(__xludf.DUMMYFUNCTION("IFERROR(VALUE(REGEXEXTRACT(TO_TEXT($F870), U$1 &amp; ""x(\d+)"")), """")"),"")</f>
        <v/>
      </c>
      <c r="V870" s="9" t="str">
        <f ca="1">IFERROR(__xludf.DUMMYFUNCTION("IFERROR(VALUE(REGEXEXTRACT(TO_TEXT($F870), V$1 &amp; ""x(\d+)"")), """")"),"")</f>
        <v/>
      </c>
      <c r="W870" s="9"/>
      <c r="X870" s="9"/>
      <c r="Y870" s="9"/>
      <c r="Z870" s="9"/>
    </row>
    <row r="871" spans="1:26" ht="15.75" hidden="1" customHeight="1">
      <c r="A871" s="9" t="s">
        <v>1959</v>
      </c>
      <c r="B871" s="9" t="s">
        <v>1960</v>
      </c>
      <c r="C871" s="9" t="s">
        <v>641</v>
      </c>
      <c r="D871" s="9" t="s">
        <v>40</v>
      </c>
      <c r="E871" s="9" t="s">
        <v>13</v>
      </c>
      <c r="F871" s="9" t="s">
        <v>1016</v>
      </c>
      <c r="G871" s="9">
        <v>45</v>
      </c>
      <c r="H871" s="9">
        <v>3</v>
      </c>
      <c r="I871" s="9">
        <v>1.0149999999999999</v>
      </c>
      <c r="J871" s="9">
        <v>410</v>
      </c>
      <c r="K871" s="9" t="s">
        <v>442</v>
      </c>
      <c r="L871" s="9"/>
      <c r="M871" s="9"/>
      <c r="N871" s="9" t="str">
        <f ca="1">IFERROR(__xludf.DUMMYFUNCTION("IFERROR(VALUE(REGEXEXTRACT(TO_TEXT($F871), N$1 &amp; ""x(\d+)"")), """")
"),"")</f>
        <v/>
      </c>
      <c r="O871" s="9" t="str">
        <f ca="1">IFERROR(__xludf.DUMMYFUNCTION("IFERROR(VALUE(REGEXEXTRACT(TO_TEXT($F871), O$1 &amp; ""x(\d+)"")), """")"),"")</f>
        <v/>
      </c>
      <c r="P871" s="9" t="str">
        <f ca="1">IFERROR(__xludf.DUMMYFUNCTION("IFERROR(VALUE(REGEXEXTRACT(TO_TEXT($F871), P$1 &amp; ""x(\d+)"")), """")"),"")</f>
        <v/>
      </c>
      <c r="Q871" s="9" t="str">
        <f ca="1">IFERROR(__xludf.DUMMYFUNCTION("IFERROR(VALUE(REGEXEXTRACT(TO_TEXT($F871), Q$1 &amp; ""x(\d+)"")), """")"),"")</f>
        <v/>
      </c>
      <c r="R871" s="9" t="str">
        <f ca="1">IFERROR(__xludf.DUMMYFUNCTION("IFERROR(VALUE(REGEXEXTRACT(TO_TEXT($F871), R$1 &amp; ""x(\d+)"")), """")"),"")</f>
        <v/>
      </c>
      <c r="S871" s="9">
        <f ca="1">IFERROR(__xludf.DUMMYFUNCTION("IFERROR(VALUE(REGEXEXTRACT(TO_TEXT($F871), S$1 &amp; ""x(\d+)"")), """")"),1)</f>
        <v>1</v>
      </c>
      <c r="T871" s="9" t="str">
        <f ca="1">IFERROR(__xludf.DUMMYFUNCTION("IFERROR(VALUE(REGEXEXTRACT(TO_TEXT($F871), T$1 &amp; ""x(\d+)"")), """")"),"")</f>
        <v/>
      </c>
      <c r="U871" s="9" t="str">
        <f ca="1">IFERROR(__xludf.DUMMYFUNCTION("IFERROR(VALUE(REGEXEXTRACT(TO_TEXT($F871), U$1 &amp; ""x(\d+)"")), """")"),"")</f>
        <v/>
      </c>
      <c r="V871" s="9" t="str">
        <f ca="1">IFERROR(__xludf.DUMMYFUNCTION("IFERROR(VALUE(REGEXEXTRACT(TO_TEXT($F871), V$1 &amp; ""x(\d+)"")), """")"),"")</f>
        <v/>
      </c>
      <c r="W871" s="9"/>
      <c r="X871" s="9"/>
      <c r="Y871" s="9"/>
      <c r="Z871" s="9"/>
    </row>
    <row r="872" spans="1:26" ht="15.75" hidden="1" customHeight="1">
      <c r="A872" s="9" t="s">
        <v>1962</v>
      </c>
      <c r="B872" s="9" t="s">
        <v>1963</v>
      </c>
      <c r="C872" s="9" t="s">
        <v>665</v>
      </c>
      <c r="D872" s="9" t="s">
        <v>40</v>
      </c>
      <c r="E872" s="9" t="s">
        <v>11</v>
      </c>
      <c r="F872" s="9" t="s">
        <v>1961</v>
      </c>
      <c r="G872" s="9">
        <v>20</v>
      </c>
      <c r="H872" s="9">
        <v>3</v>
      </c>
      <c r="I872" s="9">
        <v>1.0149999999999999</v>
      </c>
      <c r="J872" s="9">
        <v>410</v>
      </c>
      <c r="K872" s="9" t="s">
        <v>442</v>
      </c>
      <c r="L872" s="9"/>
      <c r="M872" s="9"/>
      <c r="N872" s="9" t="str">
        <f ca="1">IFERROR(__xludf.DUMMYFUNCTION("IFERROR(VALUE(REGEXEXTRACT(TO_TEXT($F872), N$1 &amp; ""x(\d+)"")), """")
"),"")</f>
        <v/>
      </c>
      <c r="O872" s="9" t="str">
        <f ca="1">IFERROR(__xludf.DUMMYFUNCTION("IFERROR(VALUE(REGEXEXTRACT(TO_TEXT($F872), O$1 &amp; ""x(\d+)"")), """")"),"")</f>
        <v/>
      </c>
      <c r="P872" s="9" t="str">
        <f ca="1">IFERROR(__xludf.DUMMYFUNCTION("IFERROR(VALUE(REGEXEXTRACT(TO_TEXT($F872), P$1 &amp; ""x(\d+)"")), """")"),"")</f>
        <v/>
      </c>
      <c r="Q872" s="9" t="str">
        <f ca="1">IFERROR(__xludf.DUMMYFUNCTION("IFERROR(VALUE(REGEXEXTRACT(TO_TEXT($F872), Q$1 &amp; ""x(\d+)"")), """")"),"")</f>
        <v/>
      </c>
      <c r="R872" s="9" t="str">
        <f ca="1">IFERROR(__xludf.DUMMYFUNCTION("IFERROR(VALUE(REGEXEXTRACT(TO_TEXT($F872), R$1 &amp; ""x(\d+)"")), """")"),"")</f>
        <v/>
      </c>
      <c r="S872" s="9" t="str">
        <f ca="1">IFERROR(__xludf.DUMMYFUNCTION("IFERROR(VALUE(REGEXEXTRACT(TO_TEXT($F872), S$1 &amp; ""x(\d+)"")), """")"),"")</f>
        <v/>
      </c>
      <c r="T872" s="9" t="str">
        <f ca="1">IFERROR(__xludf.DUMMYFUNCTION("IFERROR(VALUE(REGEXEXTRACT(TO_TEXT($F872), T$1 &amp; ""x(\d+)"")), """")"),"")</f>
        <v/>
      </c>
      <c r="U872" s="9" t="str">
        <f ca="1">IFERROR(__xludf.DUMMYFUNCTION("IFERROR(VALUE(REGEXEXTRACT(TO_TEXT($F872), U$1 &amp; ""x(\d+)"")), """")"),"")</f>
        <v/>
      </c>
      <c r="V872" s="9" t="str">
        <f ca="1">IFERROR(__xludf.DUMMYFUNCTION("IFERROR(VALUE(REGEXEXTRACT(TO_TEXT($F872), V$1 &amp; ""x(\d+)"")), """")"),"")</f>
        <v/>
      </c>
      <c r="W872" s="9"/>
      <c r="X872" s="9"/>
      <c r="Y872" s="9"/>
      <c r="Z872" s="9"/>
    </row>
    <row r="873" spans="1:26" ht="15.75" hidden="1" customHeight="1">
      <c r="A873" s="9" t="s">
        <v>1962</v>
      </c>
      <c r="B873" s="9" t="s">
        <v>1963</v>
      </c>
      <c r="C873" s="9" t="s">
        <v>665</v>
      </c>
      <c r="D873" s="9" t="s">
        <v>40</v>
      </c>
      <c r="E873" s="9" t="s">
        <v>12</v>
      </c>
      <c r="F873" s="9" t="s">
        <v>1209</v>
      </c>
      <c r="G873" s="9">
        <v>100</v>
      </c>
      <c r="H873" s="9">
        <v>3</v>
      </c>
      <c r="I873" s="9">
        <v>1.0149999999999999</v>
      </c>
      <c r="J873" s="9">
        <v>410</v>
      </c>
      <c r="K873" s="9" t="s">
        <v>442</v>
      </c>
      <c r="L873" s="9" t="s">
        <v>1030</v>
      </c>
      <c r="M873" s="9"/>
      <c r="N873" s="9" t="str">
        <f ca="1">IFERROR(__xludf.DUMMYFUNCTION("IFERROR(VALUE(REGEXEXTRACT(TO_TEXT($F873), N$1 &amp; ""x(\d+)"")), """")
"),"")</f>
        <v/>
      </c>
      <c r="O873" s="9" t="str">
        <f ca="1">IFERROR(__xludf.DUMMYFUNCTION("IFERROR(VALUE(REGEXEXTRACT(TO_TEXT($F873), O$1 &amp; ""x(\d+)"")), """")"),"")</f>
        <v/>
      </c>
      <c r="P873" s="9" t="str">
        <f ca="1">IFERROR(__xludf.DUMMYFUNCTION("IFERROR(VALUE(REGEXEXTRACT(TO_TEXT($F873), P$1 &amp; ""x(\d+)"")), """")"),"")</f>
        <v/>
      </c>
      <c r="Q873" s="9" t="str">
        <f ca="1">IFERROR(__xludf.DUMMYFUNCTION("IFERROR(VALUE(REGEXEXTRACT(TO_TEXT($F873), Q$1 &amp; ""x(\d+)"")), """")"),"")</f>
        <v/>
      </c>
      <c r="R873" s="9" t="str">
        <f ca="1">IFERROR(__xludf.DUMMYFUNCTION("IFERROR(VALUE(REGEXEXTRACT(TO_TEXT($F873), R$1 &amp; ""x(\d+)"")), """")"),"")</f>
        <v/>
      </c>
      <c r="S873" s="9">
        <f ca="1">IFERROR(__xludf.DUMMYFUNCTION("IFERROR(VALUE(REGEXEXTRACT(TO_TEXT($F873), S$1 &amp; ""x(\d+)"")), """")"),1)</f>
        <v>1</v>
      </c>
      <c r="T873" s="9" t="str">
        <f ca="1">IFERROR(__xludf.DUMMYFUNCTION("IFERROR(VALUE(REGEXEXTRACT(TO_TEXT($F873), T$1 &amp; ""x(\d+)"")), """")"),"")</f>
        <v/>
      </c>
      <c r="U873" s="9" t="str">
        <f ca="1">IFERROR(__xludf.DUMMYFUNCTION("IFERROR(VALUE(REGEXEXTRACT(TO_TEXT($F873), U$1 &amp; ""x(\d+)"")), """")"),"")</f>
        <v/>
      </c>
      <c r="V873" s="9" t="str">
        <f ca="1">IFERROR(__xludf.DUMMYFUNCTION("IFERROR(VALUE(REGEXEXTRACT(TO_TEXT($F873), V$1 &amp; ""x(\d+)"")), """")"),"")</f>
        <v/>
      </c>
      <c r="W873" s="9"/>
      <c r="X873" s="9"/>
      <c r="Y873" s="9"/>
      <c r="Z873" s="9"/>
    </row>
    <row r="874" spans="1:26" ht="15.75" hidden="1" customHeight="1">
      <c r="A874" s="9" t="s">
        <v>1962</v>
      </c>
      <c r="B874" s="9" t="s">
        <v>1963</v>
      </c>
      <c r="C874" s="9" t="s">
        <v>665</v>
      </c>
      <c r="D874" s="9" t="s">
        <v>40</v>
      </c>
      <c r="E874" s="9" t="s">
        <v>13</v>
      </c>
      <c r="F874" s="9" t="s">
        <v>1016</v>
      </c>
      <c r="G874" s="9">
        <v>45</v>
      </c>
      <c r="H874" s="9">
        <v>3</v>
      </c>
      <c r="I874" s="9">
        <v>1.0149999999999999</v>
      </c>
      <c r="J874" s="9">
        <v>410</v>
      </c>
      <c r="K874" s="9" t="s">
        <v>442</v>
      </c>
      <c r="L874" s="9"/>
      <c r="M874" s="9"/>
      <c r="N874" s="9" t="str">
        <f ca="1">IFERROR(__xludf.DUMMYFUNCTION("IFERROR(VALUE(REGEXEXTRACT(TO_TEXT($F874), N$1 &amp; ""x(\d+)"")), """")
"),"")</f>
        <v/>
      </c>
      <c r="O874" s="9" t="str">
        <f ca="1">IFERROR(__xludf.DUMMYFUNCTION("IFERROR(VALUE(REGEXEXTRACT(TO_TEXT($F874), O$1 &amp; ""x(\d+)"")), """")"),"")</f>
        <v/>
      </c>
      <c r="P874" s="9" t="str">
        <f ca="1">IFERROR(__xludf.DUMMYFUNCTION("IFERROR(VALUE(REGEXEXTRACT(TO_TEXT($F874), P$1 &amp; ""x(\d+)"")), """")"),"")</f>
        <v/>
      </c>
      <c r="Q874" s="9" t="str">
        <f ca="1">IFERROR(__xludf.DUMMYFUNCTION("IFERROR(VALUE(REGEXEXTRACT(TO_TEXT($F874), Q$1 &amp; ""x(\d+)"")), """")"),"")</f>
        <v/>
      </c>
      <c r="R874" s="9" t="str">
        <f ca="1">IFERROR(__xludf.DUMMYFUNCTION("IFERROR(VALUE(REGEXEXTRACT(TO_TEXT($F874), R$1 &amp; ""x(\d+)"")), """")"),"")</f>
        <v/>
      </c>
      <c r="S874" s="9">
        <f ca="1">IFERROR(__xludf.DUMMYFUNCTION("IFERROR(VALUE(REGEXEXTRACT(TO_TEXT($F874), S$1 &amp; ""x(\d+)"")), """")"),1)</f>
        <v>1</v>
      </c>
      <c r="T874" s="9" t="str">
        <f ca="1">IFERROR(__xludf.DUMMYFUNCTION("IFERROR(VALUE(REGEXEXTRACT(TO_TEXT($F874), T$1 &amp; ""x(\d+)"")), """")"),"")</f>
        <v/>
      </c>
      <c r="U874" s="9" t="str">
        <f ca="1">IFERROR(__xludf.DUMMYFUNCTION("IFERROR(VALUE(REGEXEXTRACT(TO_TEXT($F874), U$1 &amp; ""x(\d+)"")), """")"),"")</f>
        <v/>
      </c>
      <c r="V874" s="9" t="str">
        <f ca="1">IFERROR(__xludf.DUMMYFUNCTION("IFERROR(VALUE(REGEXEXTRACT(TO_TEXT($F874), V$1 &amp; ""x(\d+)"")), """")"),"")</f>
        <v/>
      </c>
      <c r="W874" s="9"/>
      <c r="X874" s="9"/>
      <c r="Y874" s="9"/>
      <c r="Z874" s="9"/>
    </row>
    <row r="875" spans="1:26" ht="15.75" hidden="1" customHeight="1">
      <c r="A875" s="9" t="s">
        <v>321</v>
      </c>
      <c r="B875" s="9" t="s">
        <v>1964</v>
      </c>
      <c r="C875" s="9" t="s">
        <v>322</v>
      </c>
      <c r="D875" s="9" t="s">
        <v>40</v>
      </c>
      <c r="E875" s="9" t="s">
        <v>11</v>
      </c>
      <c r="F875" s="9" t="s">
        <v>1533</v>
      </c>
      <c r="G875" s="9">
        <v>25</v>
      </c>
      <c r="H875" s="9">
        <v>2</v>
      </c>
      <c r="I875" s="9">
        <v>1.0149999999999999</v>
      </c>
      <c r="J875" s="9">
        <v>400</v>
      </c>
      <c r="K875" s="9" t="s">
        <v>442</v>
      </c>
      <c r="L875" s="9"/>
      <c r="M875" s="9"/>
      <c r="N875" s="9" t="str">
        <f ca="1">IFERROR(__xludf.DUMMYFUNCTION("IFERROR(VALUE(REGEXEXTRACT(TO_TEXT($F875), N$1 &amp; ""x(\d+)"")), """")
"),"")</f>
        <v/>
      </c>
      <c r="O875" s="9" t="str">
        <f ca="1">IFERROR(__xludf.DUMMYFUNCTION("IFERROR(VALUE(REGEXEXTRACT(TO_TEXT($F875), O$1 &amp; ""x(\d+)"")), """")"),"")</f>
        <v/>
      </c>
      <c r="P875" s="9" t="str">
        <f ca="1">IFERROR(__xludf.DUMMYFUNCTION("IFERROR(VALUE(REGEXEXTRACT(TO_TEXT($F875), P$1 &amp; ""x(\d+)"")), """")"),"")</f>
        <v/>
      </c>
      <c r="Q875" s="9" t="str">
        <f ca="1">IFERROR(__xludf.DUMMYFUNCTION("IFERROR(VALUE(REGEXEXTRACT(TO_TEXT($F875), Q$1 &amp; ""x(\d+)"")), """")"),"")</f>
        <v/>
      </c>
      <c r="R875" s="9" t="str">
        <f ca="1">IFERROR(__xludf.DUMMYFUNCTION("IFERROR(VALUE(REGEXEXTRACT(TO_TEXT($F875), R$1 &amp; ""x(\d+)"")), """")"),"")</f>
        <v/>
      </c>
      <c r="S875" s="9" t="str">
        <f ca="1">IFERROR(__xludf.DUMMYFUNCTION("IFERROR(VALUE(REGEXEXTRACT(TO_TEXT($F875), S$1 &amp; ""x(\d+)"")), """")"),"")</f>
        <v/>
      </c>
      <c r="T875" s="9" t="str">
        <f ca="1">IFERROR(__xludf.DUMMYFUNCTION("IFERROR(VALUE(REGEXEXTRACT(TO_TEXT($F875), T$1 &amp; ""x(\d+)"")), """")"),"")</f>
        <v/>
      </c>
      <c r="U875" s="9" t="str">
        <f ca="1">IFERROR(__xludf.DUMMYFUNCTION("IFERROR(VALUE(REGEXEXTRACT(TO_TEXT($F875), U$1 &amp; ""x(\d+)"")), """")"),"")</f>
        <v/>
      </c>
      <c r="V875" s="9" t="str">
        <f ca="1">IFERROR(__xludf.DUMMYFUNCTION("IFERROR(VALUE(REGEXEXTRACT(TO_TEXT($F875), V$1 &amp; ""x(\d+)"")), """")"),"")</f>
        <v/>
      </c>
      <c r="W875" s="9"/>
      <c r="X875" s="9"/>
      <c r="Y875" s="9"/>
      <c r="Z875" s="9"/>
    </row>
    <row r="876" spans="1:26" ht="15.75" hidden="1" customHeight="1">
      <c r="A876" s="9" t="s">
        <v>321</v>
      </c>
      <c r="B876" s="9" t="s">
        <v>1964</v>
      </c>
      <c r="C876" s="9" t="s">
        <v>322</v>
      </c>
      <c r="D876" s="9" t="s">
        <v>40</v>
      </c>
      <c r="E876" s="9" t="s">
        <v>12</v>
      </c>
      <c r="F876" s="9" t="s">
        <v>1965</v>
      </c>
      <c r="G876" s="9">
        <v>180</v>
      </c>
      <c r="H876" s="9">
        <v>2</v>
      </c>
      <c r="I876" s="9">
        <v>1.0149999999999999</v>
      </c>
      <c r="J876" s="9">
        <v>400</v>
      </c>
      <c r="K876" s="9" t="s">
        <v>442</v>
      </c>
      <c r="L876" s="9" t="s">
        <v>1030</v>
      </c>
      <c r="M876" s="9"/>
      <c r="N876" s="9" t="str">
        <f ca="1">IFERROR(__xludf.DUMMYFUNCTION("IFERROR(VALUE(REGEXEXTRACT(TO_TEXT($F876), N$1 &amp; ""x(\d+)"")), """")
"),"")</f>
        <v/>
      </c>
      <c r="O876" s="9" t="str">
        <f ca="1">IFERROR(__xludf.DUMMYFUNCTION("IFERROR(VALUE(REGEXEXTRACT(TO_TEXT($F876), O$1 &amp; ""x(\d+)"")), """")"),"")</f>
        <v/>
      </c>
      <c r="P876" s="9" t="str">
        <f ca="1">IFERROR(__xludf.DUMMYFUNCTION("IFERROR(VALUE(REGEXEXTRACT(TO_TEXT($F876), P$1 &amp; ""x(\d+)"")), """")"),"")</f>
        <v/>
      </c>
      <c r="Q876" s="9" t="str">
        <f ca="1">IFERROR(__xludf.DUMMYFUNCTION("IFERROR(VALUE(REGEXEXTRACT(TO_TEXT($F876), Q$1 &amp; ""x(\d+)"")), """")"),"")</f>
        <v/>
      </c>
      <c r="R876" s="9" t="str">
        <f ca="1">IFERROR(__xludf.DUMMYFUNCTION("IFERROR(VALUE(REGEXEXTRACT(TO_TEXT($F876), R$1 &amp; ""x(\d+)"")), """")"),"")</f>
        <v/>
      </c>
      <c r="S876" s="9">
        <f ca="1">IFERROR(__xludf.DUMMYFUNCTION("IFERROR(VALUE(REGEXEXTRACT(TO_TEXT($F876), S$1 &amp; ""x(\d+)"")), """")"),1)</f>
        <v>1</v>
      </c>
      <c r="T876" s="9" t="str">
        <f ca="1">IFERROR(__xludf.DUMMYFUNCTION("IFERROR(VALUE(REGEXEXTRACT(TO_TEXT($F876), T$1 &amp; ""x(\d+)"")), """")"),"")</f>
        <v/>
      </c>
      <c r="U876" s="9" t="str">
        <f ca="1">IFERROR(__xludf.DUMMYFUNCTION("IFERROR(VALUE(REGEXEXTRACT(TO_TEXT($F876), U$1 &amp; ""x(\d+)"")), """")"),"")</f>
        <v/>
      </c>
      <c r="V876" s="9" t="str">
        <f ca="1">IFERROR(__xludf.DUMMYFUNCTION("IFERROR(VALUE(REGEXEXTRACT(TO_TEXT($F876), V$1 &amp; ""x(\d+)"")), """")"),"")</f>
        <v/>
      </c>
      <c r="W876" s="9"/>
      <c r="X876" s="9"/>
      <c r="Y876" s="9"/>
      <c r="Z876" s="9"/>
    </row>
    <row r="877" spans="1:26" ht="15.75" hidden="1" customHeight="1">
      <c r="A877" s="9" t="s">
        <v>321</v>
      </c>
      <c r="B877" s="9" t="s">
        <v>1964</v>
      </c>
      <c r="C877" s="9" t="s">
        <v>322</v>
      </c>
      <c r="D877" s="9" t="s">
        <v>40</v>
      </c>
      <c r="E877" s="9" t="s">
        <v>13</v>
      </c>
      <c r="F877" s="9" t="s">
        <v>1173</v>
      </c>
      <c r="G877" s="9">
        <v>30</v>
      </c>
      <c r="H877" s="9">
        <v>2</v>
      </c>
      <c r="I877" s="9">
        <v>1.0149999999999999</v>
      </c>
      <c r="J877" s="9">
        <v>400</v>
      </c>
      <c r="K877" s="9" t="s">
        <v>442</v>
      </c>
      <c r="L877" s="9"/>
      <c r="M877" s="9"/>
      <c r="N877" s="9" t="str">
        <f ca="1">IFERROR(__xludf.DUMMYFUNCTION("IFERROR(VALUE(REGEXEXTRACT(TO_TEXT($F877), N$1 &amp; ""x(\d+)"")), """")
"),"")</f>
        <v/>
      </c>
      <c r="O877" s="9" t="str">
        <f ca="1">IFERROR(__xludf.DUMMYFUNCTION("IFERROR(VALUE(REGEXEXTRACT(TO_TEXT($F877), O$1 &amp; ""x(\d+)"")), """")"),"")</f>
        <v/>
      </c>
      <c r="P877" s="9" t="str">
        <f ca="1">IFERROR(__xludf.DUMMYFUNCTION("IFERROR(VALUE(REGEXEXTRACT(TO_TEXT($F877), P$1 &amp; ""x(\d+)"")), """")"),"")</f>
        <v/>
      </c>
      <c r="Q877" s="9" t="str">
        <f ca="1">IFERROR(__xludf.DUMMYFUNCTION("IFERROR(VALUE(REGEXEXTRACT(TO_TEXT($F877), Q$1 &amp; ""x(\d+)"")), """")"),"")</f>
        <v/>
      </c>
      <c r="R877" s="9" t="str">
        <f ca="1">IFERROR(__xludf.DUMMYFUNCTION("IFERROR(VALUE(REGEXEXTRACT(TO_TEXT($F877), R$1 &amp; ""x(\d+)"")), """")"),"")</f>
        <v/>
      </c>
      <c r="S877" s="9">
        <f ca="1">IFERROR(__xludf.DUMMYFUNCTION("IFERROR(VALUE(REGEXEXTRACT(TO_TEXT($F877), S$1 &amp; ""x(\d+)"")), """")"),1)</f>
        <v>1</v>
      </c>
      <c r="T877" s="9" t="str">
        <f ca="1">IFERROR(__xludf.DUMMYFUNCTION("IFERROR(VALUE(REGEXEXTRACT(TO_TEXT($F877), T$1 &amp; ""x(\d+)"")), """")"),"")</f>
        <v/>
      </c>
      <c r="U877" s="9" t="str">
        <f ca="1">IFERROR(__xludf.DUMMYFUNCTION("IFERROR(VALUE(REGEXEXTRACT(TO_TEXT($F877), U$1 &amp; ""x(\d+)"")), """")"),"")</f>
        <v/>
      </c>
      <c r="V877" s="9" t="str">
        <f ca="1">IFERROR(__xludf.DUMMYFUNCTION("IFERROR(VALUE(REGEXEXTRACT(TO_TEXT($F877), V$1 &amp; ""x(\d+)"")), """")"),"")</f>
        <v/>
      </c>
      <c r="W877" s="9"/>
      <c r="X877" s="9"/>
      <c r="Y877" s="9"/>
      <c r="Z877" s="9"/>
    </row>
    <row r="878" spans="1:26" ht="15.75" hidden="1" customHeight="1">
      <c r="A878" s="9" t="s">
        <v>1966</v>
      </c>
      <c r="B878" s="9" t="s">
        <v>1967</v>
      </c>
      <c r="C878" s="9" t="s">
        <v>663</v>
      </c>
      <c r="D878" s="9" t="s">
        <v>40</v>
      </c>
      <c r="E878" s="9" t="s">
        <v>11</v>
      </c>
      <c r="F878" s="9" t="s">
        <v>1968</v>
      </c>
      <c r="G878" s="9">
        <v>25</v>
      </c>
      <c r="H878" s="9">
        <v>2</v>
      </c>
      <c r="I878" s="9">
        <v>1.0149999999999999</v>
      </c>
      <c r="J878" s="9">
        <v>400</v>
      </c>
      <c r="K878" s="9" t="s">
        <v>442</v>
      </c>
      <c r="L878" s="9"/>
      <c r="M878" s="9"/>
      <c r="N878" s="9" t="str">
        <f ca="1">IFERROR(__xludf.DUMMYFUNCTION("IFERROR(VALUE(REGEXEXTRACT(TO_TEXT($F878), N$1 &amp; ""x(\d+)"")), """")
"),"")</f>
        <v/>
      </c>
      <c r="O878" s="9" t="str">
        <f ca="1">IFERROR(__xludf.DUMMYFUNCTION("IFERROR(VALUE(REGEXEXTRACT(TO_TEXT($F878), O$1 &amp; ""x(\d+)"")), """")"),"")</f>
        <v/>
      </c>
      <c r="P878" s="9" t="str">
        <f ca="1">IFERROR(__xludf.DUMMYFUNCTION("IFERROR(VALUE(REGEXEXTRACT(TO_TEXT($F878), P$1 &amp; ""x(\d+)"")), """")"),"")</f>
        <v/>
      </c>
      <c r="Q878" s="9" t="str">
        <f ca="1">IFERROR(__xludf.DUMMYFUNCTION("IFERROR(VALUE(REGEXEXTRACT(TO_TEXT($F878), Q$1 &amp; ""x(\d+)"")), """")"),"")</f>
        <v/>
      </c>
      <c r="R878" s="9" t="str">
        <f ca="1">IFERROR(__xludf.DUMMYFUNCTION("IFERROR(VALUE(REGEXEXTRACT(TO_TEXT($F878), R$1 &amp; ""x(\d+)"")), """")"),"")</f>
        <v/>
      </c>
      <c r="S878" s="9" t="str">
        <f ca="1">IFERROR(__xludf.DUMMYFUNCTION("IFERROR(VALUE(REGEXEXTRACT(TO_TEXT($F878), S$1 &amp; ""x(\d+)"")), """")"),"")</f>
        <v/>
      </c>
      <c r="T878" s="9" t="str">
        <f ca="1">IFERROR(__xludf.DUMMYFUNCTION("IFERROR(VALUE(REGEXEXTRACT(TO_TEXT($F878), T$1 &amp; ""x(\d+)"")), """")"),"")</f>
        <v/>
      </c>
      <c r="U878" s="9" t="str">
        <f ca="1">IFERROR(__xludf.DUMMYFUNCTION("IFERROR(VALUE(REGEXEXTRACT(TO_TEXT($F878), U$1 &amp; ""x(\d+)"")), """")"),"")</f>
        <v/>
      </c>
      <c r="V878" s="9" t="str">
        <f ca="1">IFERROR(__xludf.DUMMYFUNCTION("IFERROR(VALUE(REGEXEXTRACT(TO_TEXT($F878), V$1 &amp; ""x(\d+)"")), """")"),"")</f>
        <v/>
      </c>
      <c r="W878" s="9"/>
      <c r="X878" s="9"/>
      <c r="Y878" s="9"/>
      <c r="Z878" s="9"/>
    </row>
    <row r="879" spans="1:26" ht="15.75" hidden="1" customHeight="1">
      <c r="A879" s="9" t="s">
        <v>1966</v>
      </c>
      <c r="B879" s="9" t="s">
        <v>1967</v>
      </c>
      <c r="C879" s="9" t="s">
        <v>663</v>
      </c>
      <c r="D879" s="9" t="s">
        <v>40</v>
      </c>
      <c r="E879" s="9" t="s">
        <v>12</v>
      </c>
      <c r="F879" s="9" t="s">
        <v>1969</v>
      </c>
      <c r="G879" s="9">
        <v>180</v>
      </c>
      <c r="H879" s="9">
        <v>2</v>
      </c>
      <c r="I879" s="9">
        <v>1.0149999999999999</v>
      </c>
      <c r="J879" s="9">
        <v>400</v>
      </c>
      <c r="K879" s="9" t="s">
        <v>442</v>
      </c>
      <c r="L879" s="9" t="s">
        <v>1030</v>
      </c>
      <c r="M879" s="9"/>
      <c r="N879" s="9" t="str">
        <f ca="1">IFERROR(__xludf.DUMMYFUNCTION("IFERROR(VALUE(REGEXEXTRACT(TO_TEXT($F879), N$1 &amp; ""x(\d+)"")), """")
"),"")</f>
        <v/>
      </c>
      <c r="O879" s="9" t="str">
        <f ca="1">IFERROR(__xludf.DUMMYFUNCTION("IFERROR(VALUE(REGEXEXTRACT(TO_TEXT($F879), O$1 &amp; ""x(\d+)"")), """")"),"")</f>
        <v/>
      </c>
      <c r="P879" s="9" t="str">
        <f ca="1">IFERROR(__xludf.DUMMYFUNCTION("IFERROR(VALUE(REGEXEXTRACT(TO_TEXT($F879), P$1 &amp; ""x(\d+)"")), """")"),"")</f>
        <v/>
      </c>
      <c r="Q879" s="9" t="str">
        <f ca="1">IFERROR(__xludf.DUMMYFUNCTION("IFERROR(VALUE(REGEXEXTRACT(TO_TEXT($F879), Q$1 &amp; ""x(\d+)"")), """")"),"")</f>
        <v/>
      </c>
      <c r="R879" s="9" t="str">
        <f ca="1">IFERROR(__xludf.DUMMYFUNCTION("IFERROR(VALUE(REGEXEXTRACT(TO_TEXT($F879), R$1 &amp; ""x(\d+)"")), """")"),"")</f>
        <v/>
      </c>
      <c r="S879" s="9">
        <f ca="1">IFERROR(__xludf.DUMMYFUNCTION("IFERROR(VALUE(REGEXEXTRACT(TO_TEXT($F879), S$1 &amp; ""x(\d+)"")), """")"),1)</f>
        <v>1</v>
      </c>
      <c r="T879" s="9" t="str">
        <f ca="1">IFERROR(__xludf.DUMMYFUNCTION("IFERROR(VALUE(REGEXEXTRACT(TO_TEXT($F879), T$1 &amp; ""x(\d+)"")), """")"),"")</f>
        <v/>
      </c>
      <c r="U879" s="9" t="str">
        <f ca="1">IFERROR(__xludf.DUMMYFUNCTION("IFERROR(VALUE(REGEXEXTRACT(TO_TEXT($F879), U$1 &amp; ""x(\d+)"")), """")"),"")</f>
        <v/>
      </c>
      <c r="V879" s="9" t="str">
        <f ca="1">IFERROR(__xludf.DUMMYFUNCTION("IFERROR(VALUE(REGEXEXTRACT(TO_TEXT($F879), V$1 &amp; ""x(\d+)"")), """")"),"")</f>
        <v/>
      </c>
      <c r="W879" s="9"/>
      <c r="X879" s="9"/>
      <c r="Y879" s="9"/>
      <c r="Z879" s="9"/>
    </row>
    <row r="880" spans="1:26" ht="15.75" hidden="1" customHeight="1">
      <c r="A880" s="9" t="s">
        <v>1966</v>
      </c>
      <c r="B880" s="9" t="s">
        <v>1967</v>
      </c>
      <c r="C880" s="9" t="s">
        <v>663</v>
      </c>
      <c r="D880" s="9" t="s">
        <v>40</v>
      </c>
      <c r="E880" s="9" t="s">
        <v>13</v>
      </c>
      <c r="F880" s="9" t="s">
        <v>1047</v>
      </c>
      <c r="G880" s="9">
        <v>30</v>
      </c>
      <c r="H880" s="9">
        <v>2</v>
      </c>
      <c r="I880" s="9">
        <v>1.0149999999999999</v>
      </c>
      <c r="J880" s="9">
        <v>400</v>
      </c>
      <c r="K880" s="9" t="s">
        <v>442</v>
      </c>
      <c r="L880" s="9"/>
      <c r="M880" s="9"/>
      <c r="N880" s="9" t="str">
        <f ca="1">IFERROR(__xludf.DUMMYFUNCTION("IFERROR(VALUE(REGEXEXTRACT(TO_TEXT($F880), N$1 &amp; ""x(\d+)"")), """")
"),"")</f>
        <v/>
      </c>
      <c r="O880" s="9" t="str">
        <f ca="1">IFERROR(__xludf.DUMMYFUNCTION("IFERROR(VALUE(REGEXEXTRACT(TO_TEXT($F880), O$1 &amp; ""x(\d+)"")), """")"),"")</f>
        <v/>
      </c>
      <c r="P880" s="9" t="str">
        <f ca="1">IFERROR(__xludf.DUMMYFUNCTION("IFERROR(VALUE(REGEXEXTRACT(TO_TEXT($F880), P$1 &amp; ""x(\d+)"")), """")"),"")</f>
        <v/>
      </c>
      <c r="Q880" s="9" t="str">
        <f ca="1">IFERROR(__xludf.DUMMYFUNCTION("IFERROR(VALUE(REGEXEXTRACT(TO_TEXT($F880), Q$1 &amp; ""x(\d+)"")), """")"),"")</f>
        <v/>
      </c>
      <c r="R880" s="9" t="str">
        <f ca="1">IFERROR(__xludf.DUMMYFUNCTION("IFERROR(VALUE(REGEXEXTRACT(TO_TEXT($F880), R$1 &amp; ""x(\d+)"")), """")"),"")</f>
        <v/>
      </c>
      <c r="S880" s="9">
        <f ca="1">IFERROR(__xludf.DUMMYFUNCTION("IFERROR(VALUE(REGEXEXTRACT(TO_TEXT($F880), S$1 &amp; ""x(\d+)"")), """")"),1)</f>
        <v>1</v>
      </c>
      <c r="T880" s="9" t="str">
        <f ca="1">IFERROR(__xludf.DUMMYFUNCTION("IFERROR(VALUE(REGEXEXTRACT(TO_TEXT($F880), T$1 &amp; ""x(\d+)"")), """")"),"")</f>
        <v/>
      </c>
      <c r="U880" s="9" t="str">
        <f ca="1">IFERROR(__xludf.DUMMYFUNCTION("IFERROR(VALUE(REGEXEXTRACT(TO_TEXT($F880), U$1 &amp; ""x(\d+)"")), """")"),"")</f>
        <v/>
      </c>
      <c r="V880" s="9" t="str">
        <f ca="1">IFERROR(__xludf.DUMMYFUNCTION("IFERROR(VALUE(REGEXEXTRACT(TO_TEXT($F880), V$1 &amp; ""x(\d+)"")), """")"),"")</f>
        <v/>
      </c>
      <c r="W880" s="9"/>
      <c r="X880" s="9"/>
      <c r="Y880" s="9"/>
      <c r="Z880" s="9"/>
    </row>
    <row r="881" spans="1:26" ht="15.75" hidden="1" customHeight="1">
      <c r="A881" s="9" t="s">
        <v>1970</v>
      </c>
      <c r="B881" s="9" t="s">
        <v>1971</v>
      </c>
      <c r="C881" s="9" t="s">
        <v>1972</v>
      </c>
      <c r="D881" s="9" t="s">
        <v>40</v>
      </c>
      <c r="E881" s="9" t="s">
        <v>11</v>
      </c>
      <c r="F881" s="9" t="s">
        <v>1401</v>
      </c>
      <c r="G881" s="9">
        <v>20</v>
      </c>
      <c r="H881" s="9">
        <v>4</v>
      </c>
      <c r="I881" s="9">
        <v>1.0149999999999999</v>
      </c>
      <c r="J881" s="9">
        <v>380</v>
      </c>
      <c r="K881" s="9" t="s">
        <v>442</v>
      </c>
      <c r="L881" s="9"/>
      <c r="M881" s="9"/>
      <c r="N881" s="9" t="str">
        <f ca="1">IFERROR(__xludf.DUMMYFUNCTION("IFERROR(VALUE(REGEXEXTRACT(TO_TEXT($F881), N$1 &amp; ""x(\d+)"")), """")
"),"")</f>
        <v/>
      </c>
      <c r="O881" s="9" t="str">
        <f ca="1">IFERROR(__xludf.DUMMYFUNCTION("IFERROR(VALUE(REGEXEXTRACT(TO_TEXT($F881), O$1 &amp; ""x(\d+)"")), """")"),"")</f>
        <v/>
      </c>
      <c r="P881" s="9" t="str">
        <f ca="1">IFERROR(__xludf.DUMMYFUNCTION("IFERROR(VALUE(REGEXEXTRACT(TO_TEXT($F881), P$1 &amp; ""x(\d+)"")), """")"),"")</f>
        <v/>
      </c>
      <c r="Q881" s="9" t="str">
        <f ca="1">IFERROR(__xludf.DUMMYFUNCTION("IFERROR(VALUE(REGEXEXTRACT(TO_TEXT($F881), Q$1 &amp; ""x(\d+)"")), """")"),"")</f>
        <v/>
      </c>
      <c r="R881" s="9" t="str">
        <f ca="1">IFERROR(__xludf.DUMMYFUNCTION("IFERROR(VALUE(REGEXEXTRACT(TO_TEXT($F881), R$1 &amp; ""x(\d+)"")), """")"),"")</f>
        <v/>
      </c>
      <c r="S881" s="9" t="str">
        <f ca="1">IFERROR(__xludf.DUMMYFUNCTION("IFERROR(VALUE(REGEXEXTRACT(TO_TEXT($F881), S$1 &amp; ""x(\d+)"")), """")"),"")</f>
        <v/>
      </c>
      <c r="T881" s="9" t="str">
        <f ca="1">IFERROR(__xludf.DUMMYFUNCTION("IFERROR(VALUE(REGEXEXTRACT(TO_TEXT($F881), T$1 &amp; ""x(\d+)"")), """")"),"")</f>
        <v/>
      </c>
      <c r="U881" s="9" t="str">
        <f ca="1">IFERROR(__xludf.DUMMYFUNCTION("IFERROR(VALUE(REGEXEXTRACT(TO_TEXT($F881), U$1 &amp; ""x(\d+)"")), """")"),"")</f>
        <v/>
      </c>
      <c r="V881" s="9" t="str">
        <f ca="1">IFERROR(__xludf.DUMMYFUNCTION("IFERROR(VALUE(REGEXEXTRACT(TO_TEXT($F881), V$1 &amp; ""x(\d+)"")), """")"),"")</f>
        <v/>
      </c>
      <c r="W881" s="9"/>
      <c r="X881" s="9"/>
      <c r="Y881" s="9"/>
      <c r="Z881" s="9"/>
    </row>
    <row r="882" spans="1:26" ht="15.75" hidden="1" customHeight="1">
      <c r="A882" s="9" t="s">
        <v>1970</v>
      </c>
      <c r="B882" s="9" t="s">
        <v>1971</v>
      </c>
      <c r="C882" s="9" t="s">
        <v>1972</v>
      </c>
      <c r="D882" s="9" t="s">
        <v>40</v>
      </c>
      <c r="E882" s="9" t="s">
        <v>12</v>
      </c>
      <c r="F882" s="9" t="s">
        <v>1372</v>
      </c>
      <c r="G882" s="9">
        <v>90</v>
      </c>
      <c r="H882" s="9">
        <v>4</v>
      </c>
      <c r="I882" s="9">
        <v>1.0149999999999999</v>
      </c>
      <c r="J882" s="9">
        <v>380</v>
      </c>
      <c r="K882" s="9" t="s">
        <v>442</v>
      </c>
      <c r="L882" s="9" t="s">
        <v>1030</v>
      </c>
      <c r="M882" s="9"/>
      <c r="N882" s="9" t="str">
        <f ca="1">IFERROR(__xludf.DUMMYFUNCTION("IFERROR(VALUE(REGEXEXTRACT(TO_TEXT($F882), N$1 &amp; ""x(\d+)"")), """")
"),"")</f>
        <v/>
      </c>
      <c r="O882" s="9" t="str">
        <f ca="1">IFERROR(__xludf.DUMMYFUNCTION("IFERROR(VALUE(REGEXEXTRACT(TO_TEXT($F882), O$1 &amp; ""x(\d+)"")), """")"),"")</f>
        <v/>
      </c>
      <c r="P882" s="9" t="str">
        <f ca="1">IFERROR(__xludf.DUMMYFUNCTION("IFERROR(VALUE(REGEXEXTRACT(TO_TEXT($F882), P$1 &amp; ""x(\d+)"")), """")"),"")</f>
        <v/>
      </c>
      <c r="Q882" s="9" t="str">
        <f ca="1">IFERROR(__xludf.DUMMYFUNCTION("IFERROR(VALUE(REGEXEXTRACT(TO_TEXT($F882), Q$1 &amp; ""x(\d+)"")), """")"),"")</f>
        <v/>
      </c>
      <c r="R882" s="9" t="str">
        <f ca="1">IFERROR(__xludf.DUMMYFUNCTION("IFERROR(VALUE(REGEXEXTRACT(TO_TEXT($F882), R$1 &amp; ""x(\d+)"")), """")"),"")</f>
        <v/>
      </c>
      <c r="S882" s="9">
        <f ca="1">IFERROR(__xludf.DUMMYFUNCTION("IFERROR(VALUE(REGEXEXTRACT(TO_TEXT($F882), S$1 &amp; ""x(\d+)"")), """")"),1)</f>
        <v>1</v>
      </c>
      <c r="T882" s="9" t="str">
        <f ca="1">IFERROR(__xludf.DUMMYFUNCTION("IFERROR(VALUE(REGEXEXTRACT(TO_TEXT($F882), T$1 &amp; ""x(\d+)"")), """")"),"")</f>
        <v/>
      </c>
      <c r="U882" s="9" t="str">
        <f ca="1">IFERROR(__xludf.DUMMYFUNCTION("IFERROR(VALUE(REGEXEXTRACT(TO_TEXT($F882), U$1 &amp; ""x(\d+)"")), """")"),"")</f>
        <v/>
      </c>
      <c r="V882" s="9" t="str">
        <f ca="1">IFERROR(__xludf.DUMMYFUNCTION("IFERROR(VALUE(REGEXEXTRACT(TO_TEXT($F882), V$1 &amp; ""x(\d+)"")), """")"),"")</f>
        <v/>
      </c>
      <c r="W882" s="9"/>
      <c r="X882" s="9"/>
      <c r="Y882" s="9"/>
      <c r="Z882" s="9"/>
    </row>
    <row r="883" spans="1:26" ht="15.75" hidden="1" customHeight="1">
      <c r="A883" s="9" t="s">
        <v>1970</v>
      </c>
      <c r="B883" s="9" t="s">
        <v>1971</v>
      </c>
      <c r="C883" s="9" t="s">
        <v>1972</v>
      </c>
      <c r="D883" s="9" t="s">
        <v>40</v>
      </c>
      <c r="E883" s="9" t="s">
        <v>13</v>
      </c>
      <c r="F883" s="9" t="s">
        <v>1133</v>
      </c>
      <c r="G883" s="9">
        <v>30</v>
      </c>
      <c r="H883" s="9">
        <v>4</v>
      </c>
      <c r="I883" s="9">
        <v>1.0149999999999999</v>
      </c>
      <c r="J883" s="9">
        <v>380</v>
      </c>
      <c r="K883" s="9" t="s">
        <v>442</v>
      </c>
      <c r="L883" s="9"/>
      <c r="M883" s="9"/>
      <c r="N883" s="9" t="str">
        <f ca="1">IFERROR(__xludf.DUMMYFUNCTION("IFERROR(VALUE(REGEXEXTRACT(TO_TEXT($F883), N$1 &amp; ""x(\d+)"")), """")
"),"")</f>
        <v/>
      </c>
      <c r="O883" s="9" t="str">
        <f ca="1">IFERROR(__xludf.DUMMYFUNCTION("IFERROR(VALUE(REGEXEXTRACT(TO_TEXT($F883), O$1 &amp; ""x(\d+)"")), """")"),"")</f>
        <v/>
      </c>
      <c r="P883" s="9" t="str">
        <f ca="1">IFERROR(__xludf.DUMMYFUNCTION("IFERROR(VALUE(REGEXEXTRACT(TO_TEXT($F883), P$1 &amp; ""x(\d+)"")), """")"),"")</f>
        <v/>
      </c>
      <c r="Q883" s="9" t="str">
        <f ca="1">IFERROR(__xludf.DUMMYFUNCTION("IFERROR(VALUE(REGEXEXTRACT(TO_TEXT($F883), Q$1 &amp; ""x(\d+)"")), """")"),"")</f>
        <v/>
      </c>
      <c r="R883" s="9" t="str">
        <f ca="1">IFERROR(__xludf.DUMMYFUNCTION("IFERROR(VALUE(REGEXEXTRACT(TO_TEXT($F883), R$1 &amp; ""x(\d+)"")), """")"),"")</f>
        <v/>
      </c>
      <c r="S883" s="9">
        <f ca="1">IFERROR(__xludf.DUMMYFUNCTION("IFERROR(VALUE(REGEXEXTRACT(TO_TEXT($F883), S$1 &amp; ""x(\d+)"")), """")"),1)</f>
        <v>1</v>
      </c>
      <c r="T883" s="9" t="str">
        <f ca="1">IFERROR(__xludf.DUMMYFUNCTION("IFERROR(VALUE(REGEXEXTRACT(TO_TEXT($F883), T$1 &amp; ""x(\d+)"")), """")"),"")</f>
        <v/>
      </c>
      <c r="U883" s="9" t="str">
        <f ca="1">IFERROR(__xludf.DUMMYFUNCTION("IFERROR(VALUE(REGEXEXTRACT(TO_TEXT($F883), U$1 &amp; ""x(\d+)"")), """")"),"")</f>
        <v/>
      </c>
      <c r="V883" s="9" t="str">
        <f ca="1">IFERROR(__xludf.DUMMYFUNCTION("IFERROR(VALUE(REGEXEXTRACT(TO_TEXT($F883), V$1 &amp; ""x(\d+)"")), """")"),"")</f>
        <v/>
      </c>
      <c r="W883" s="9"/>
      <c r="X883" s="9"/>
      <c r="Y883" s="9"/>
      <c r="Z883" s="9"/>
    </row>
    <row r="884" spans="1:26" ht="15.75" hidden="1" customHeight="1">
      <c r="A884" s="9" t="s">
        <v>1970</v>
      </c>
      <c r="B884" s="9" t="s">
        <v>1971</v>
      </c>
      <c r="C884" s="9" t="s">
        <v>1972</v>
      </c>
      <c r="D884" s="9" t="s">
        <v>40</v>
      </c>
      <c r="E884" s="9" t="s">
        <v>11</v>
      </c>
      <c r="F884" s="9" t="s">
        <v>1470</v>
      </c>
      <c r="G884" s="9">
        <v>50</v>
      </c>
      <c r="H884" s="9">
        <v>4</v>
      </c>
      <c r="I884" s="9">
        <v>1.0149999999999999</v>
      </c>
      <c r="J884" s="9">
        <v>380</v>
      </c>
      <c r="K884" s="9" t="s">
        <v>442</v>
      </c>
      <c r="L884" s="9"/>
      <c r="M884" s="9"/>
      <c r="N884" s="9" t="str">
        <f ca="1">IFERROR(__xludf.DUMMYFUNCTION("IFERROR(VALUE(REGEXEXTRACT(TO_TEXT($F884), N$1 &amp; ""x(\d+)"")), """")
"),"")</f>
        <v/>
      </c>
      <c r="O884" s="9" t="str">
        <f ca="1">IFERROR(__xludf.DUMMYFUNCTION("IFERROR(VALUE(REGEXEXTRACT(TO_TEXT($F884), O$1 &amp; ""x(\d+)"")), """")"),"")</f>
        <v/>
      </c>
      <c r="P884" s="9" t="str">
        <f ca="1">IFERROR(__xludf.DUMMYFUNCTION("IFERROR(VALUE(REGEXEXTRACT(TO_TEXT($F884), P$1 &amp; ""x(\d+)"")), """")"),"")</f>
        <v/>
      </c>
      <c r="Q884" s="9" t="str">
        <f ca="1">IFERROR(__xludf.DUMMYFUNCTION("IFERROR(VALUE(REGEXEXTRACT(TO_TEXT($F884), Q$1 &amp; ""x(\d+)"")), """")"),"")</f>
        <v/>
      </c>
      <c r="R884" s="9" t="str">
        <f ca="1">IFERROR(__xludf.DUMMYFUNCTION("IFERROR(VALUE(REGEXEXTRACT(TO_TEXT($F884), R$1 &amp; ""x(\d+)"")), """")"),"")</f>
        <v/>
      </c>
      <c r="S884" s="9" t="str">
        <f ca="1">IFERROR(__xludf.DUMMYFUNCTION("IFERROR(VALUE(REGEXEXTRACT(TO_TEXT($F884), S$1 &amp; ""x(\d+)"")), """")"),"")</f>
        <v/>
      </c>
      <c r="T884" s="9" t="str">
        <f ca="1">IFERROR(__xludf.DUMMYFUNCTION("IFERROR(VALUE(REGEXEXTRACT(TO_TEXT($F884), T$1 &amp; ""x(\d+)"")), """")"),"")</f>
        <v/>
      </c>
      <c r="U884" s="9" t="str">
        <f ca="1">IFERROR(__xludf.DUMMYFUNCTION("IFERROR(VALUE(REGEXEXTRACT(TO_TEXT($F884), U$1 &amp; ""x(\d+)"")), """")"),"")</f>
        <v/>
      </c>
      <c r="V884" s="9" t="str">
        <f ca="1">IFERROR(__xludf.DUMMYFUNCTION("IFERROR(VALUE(REGEXEXTRACT(TO_TEXT($F884), V$1 &amp; ""x(\d+)"")), """")"),"")</f>
        <v/>
      </c>
      <c r="W884" s="9"/>
      <c r="X884" s="9"/>
      <c r="Y884" s="9"/>
      <c r="Z884" s="9"/>
    </row>
    <row r="885" spans="1:26" ht="15.75" hidden="1" customHeight="1">
      <c r="A885" s="9" t="s">
        <v>1970</v>
      </c>
      <c r="B885" s="9" t="s">
        <v>1971</v>
      </c>
      <c r="C885" s="9" t="s">
        <v>1972</v>
      </c>
      <c r="D885" s="9" t="s">
        <v>40</v>
      </c>
      <c r="E885" s="9" t="s">
        <v>12</v>
      </c>
      <c r="F885" s="9" t="s">
        <v>1187</v>
      </c>
      <c r="G885" s="9">
        <v>60</v>
      </c>
      <c r="H885" s="9">
        <v>4</v>
      </c>
      <c r="I885" s="9">
        <v>1.0149999999999999</v>
      </c>
      <c r="J885" s="9">
        <v>380</v>
      </c>
      <c r="K885" s="9" t="s">
        <v>442</v>
      </c>
      <c r="L885" s="9" t="s">
        <v>1973</v>
      </c>
      <c r="M885" s="9"/>
      <c r="N885" s="9" t="str">
        <f ca="1">IFERROR(__xludf.DUMMYFUNCTION("IFERROR(VALUE(REGEXEXTRACT(TO_TEXT($F885), N$1 &amp; ""x(\d+)"")), """")
"),"")</f>
        <v/>
      </c>
      <c r="O885" s="9">
        <f ca="1">IFERROR(__xludf.DUMMYFUNCTION("IFERROR(VALUE(REGEXEXTRACT(TO_TEXT($F885), O$1 &amp; ""x(\d+)"")), """")"),1)</f>
        <v>1</v>
      </c>
      <c r="P885" s="9" t="str">
        <f ca="1">IFERROR(__xludf.DUMMYFUNCTION("IFERROR(VALUE(REGEXEXTRACT(TO_TEXT($F885), P$1 &amp; ""x(\d+)"")), """")"),"")</f>
        <v/>
      </c>
      <c r="Q885" s="9" t="str">
        <f ca="1">IFERROR(__xludf.DUMMYFUNCTION("IFERROR(VALUE(REGEXEXTRACT(TO_TEXT($F885), Q$1 &amp; ""x(\d+)"")), """")"),"")</f>
        <v/>
      </c>
      <c r="R885" s="9" t="str">
        <f ca="1">IFERROR(__xludf.DUMMYFUNCTION("IFERROR(VALUE(REGEXEXTRACT(TO_TEXT($F885), R$1 &amp; ""x(\d+)"")), """")"),"")</f>
        <v/>
      </c>
      <c r="S885" s="9" t="str">
        <f ca="1">IFERROR(__xludf.DUMMYFUNCTION("IFERROR(VALUE(REGEXEXTRACT(TO_TEXT($F885), S$1 &amp; ""x(\d+)"")), """")"),"")</f>
        <v/>
      </c>
      <c r="T885" s="9" t="str">
        <f ca="1">IFERROR(__xludf.DUMMYFUNCTION("IFERROR(VALUE(REGEXEXTRACT(TO_TEXT($F885), T$1 &amp; ""x(\d+)"")), """")"),"")</f>
        <v/>
      </c>
      <c r="U885" s="9" t="str">
        <f ca="1">IFERROR(__xludf.DUMMYFUNCTION("IFERROR(VALUE(REGEXEXTRACT(TO_TEXT($F885), U$1 &amp; ""x(\d+)"")), """")"),"")</f>
        <v/>
      </c>
      <c r="V885" s="9" t="str">
        <f ca="1">IFERROR(__xludf.DUMMYFUNCTION("IFERROR(VALUE(REGEXEXTRACT(TO_TEXT($F885), V$1 &amp; ""x(\d+)"")), """")"),"")</f>
        <v/>
      </c>
      <c r="W885" s="9"/>
      <c r="X885" s="9"/>
      <c r="Y885" s="9"/>
      <c r="Z885" s="9"/>
    </row>
    <row r="886" spans="1:26" ht="15.75" hidden="1" customHeight="1">
      <c r="A886" s="9" t="s">
        <v>1970</v>
      </c>
      <c r="B886" s="9" t="s">
        <v>1971</v>
      </c>
      <c r="C886" s="9" t="s">
        <v>1972</v>
      </c>
      <c r="D886" s="9" t="s">
        <v>40</v>
      </c>
      <c r="E886" s="9" t="s">
        <v>13</v>
      </c>
      <c r="F886" s="9" t="s">
        <v>1058</v>
      </c>
      <c r="G886" s="9">
        <v>15</v>
      </c>
      <c r="H886" s="9">
        <v>4</v>
      </c>
      <c r="I886" s="9">
        <v>1.0149999999999999</v>
      </c>
      <c r="J886" s="9">
        <v>380</v>
      </c>
      <c r="K886" s="9" t="s">
        <v>442</v>
      </c>
      <c r="L886" s="9"/>
      <c r="M886" s="9"/>
      <c r="N886" s="9" t="str">
        <f ca="1">IFERROR(__xludf.DUMMYFUNCTION("IFERROR(VALUE(REGEXEXTRACT(TO_TEXT($F886), N$1 &amp; ""x(\d+)"")), """")
"),"")</f>
        <v/>
      </c>
      <c r="O886" s="9">
        <f ca="1">IFERROR(__xludf.DUMMYFUNCTION("IFERROR(VALUE(REGEXEXTRACT(TO_TEXT($F886), O$1 &amp; ""x(\d+)"")), """")"),1)</f>
        <v>1</v>
      </c>
      <c r="P886" s="9" t="str">
        <f ca="1">IFERROR(__xludf.DUMMYFUNCTION("IFERROR(VALUE(REGEXEXTRACT(TO_TEXT($F886), P$1 &amp; ""x(\d+)"")), """")"),"")</f>
        <v/>
      </c>
      <c r="Q886" s="9" t="str">
        <f ca="1">IFERROR(__xludf.DUMMYFUNCTION("IFERROR(VALUE(REGEXEXTRACT(TO_TEXT($F886), Q$1 &amp; ""x(\d+)"")), """")"),"")</f>
        <v/>
      </c>
      <c r="R886" s="9" t="str">
        <f ca="1">IFERROR(__xludf.DUMMYFUNCTION("IFERROR(VALUE(REGEXEXTRACT(TO_TEXT($F886), R$1 &amp; ""x(\d+)"")), """")"),"")</f>
        <v/>
      </c>
      <c r="S886" s="9" t="str">
        <f ca="1">IFERROR(__xludf.DUMMYFUNCTION("IFERROR(VALUE(REGEXEXTRACT(TO_TEXT($F886), S$1 &amp; ""x(\d+)"")), """")"),"")</f>
        <v/>
      </c>
      <c r="T886" s="9" t="str">
        <f ca="1">IFERROR(__xludf.DUMMYFUNCTION("IFERROR(VALUE(REGEXEXTRACT(TO_TEXT($F886), T$1 &amp; ""x(\d+)"")), """")"),"")</f>
        <v/>
      </c>
      <c r="U886" s="9" t="str">
        <f ca="1">IFERROR(__xludf.DUMMYFUNCTION("IFERROR(VALUE(REGEXEXTRACT(TO_TEXT($F886), U$1 &amp; ""x(\d+)"")), """")"),"")</f>
        <v/>
      </c>
      <c r="V886" s="9" t="str">
        <f ca="1">IFERROR(__xludf.DUMMYFUNCTION("IFERROR(VALUE(REGEXEXTRACT(TO_TEXT($F886), V$1 &amp; ""x(\d+)"")), """")"),"")</f>
        <v/>
      </c>
      <c r="W886" s="9"/>
      <c r="X886" s="9"/>
      <c r="Y886" s="9"/>
      <c r="Z886" s="9"/>
    </row>
    <row r="887" spans="1:26" ht="15.75" hidden="1" customHeight="1">
      <c r="A887" s="9" t="s">
        <v>1974</v>
      </c>
      <c r="B887" s="9" t="s">
        <v>1975</v>
      </c>
      <c r="C887" s="9" t="s">
        <v>651</v>
      </c>
      <c r="D887" s="9" t="s">
        <v>40</v>
      </c>
      <c r="E887" s="9" t="s">
        <v>11</v>
      </c>
      <c r="F887" s="9" t="s">
        <v>1976</v>
      </c>
      <c r="G887" s="9">
        <v>50</v>
      </c>
      <c r="H887" s="9">
        <v>3</v>
      </c>
      <c r="I887" s="9">
        <v>1.0149999999999999</v>
      </c>
      <c r="J887" s="9">
        <v>390</v>
      </c>
      <c r="K887" s="9" t="s">
        <v>442</v>
      </c>
      <c r="L887" s="9"/>
      <c r="M887" s="9"/>
      <c r="N887" s="9" t="str">
        <f ca="1">IFERROR(__xludf.DUMMYFUNCTION("IFERROR(VALUE(REGEXEXTRACT(TO_TEXT($F887), N$1 &amp; ""x(\d+)"")), """")
"),"")</f>
        <v/>
      </c>
      <c r="O887" s="9" t="str">
        <f ca="1">IFERROR(__xludf.DUMMYFUNCTION("IFERROR(VALUE(REGEXEXTRACT(TO_TEXT($F887), O$1 &amp; ""x(\d+)"")), """")"),"")</f>
        <v/>
      </c>
      <c r="P887" s="9" t="str">
        <f ca="1">IFERROR(__xludf.DUMMYFUNCTION("IFERROR(VALUE(REGEXEXTRACT(TO_TEXT($F887), P$1 &amp; ""x(\d+)"")), """")"),"")</f>
        <v/>
      </c>
      <c r="Q887" s="9" t="str">
        <f ca="1">IFERROR(__xludf.DUMMYFUNCTION("IFERROR(VALUE(REGEXEXTRACT(TO_TEXT($F887), Q$1 &amp; ""x(\d+)"")), """")"),"")</f>
        <v/>
      </c>
      <c r="R887" s="9" t="str">
        <f ca="1">IFERROR(__xludf.DUMMYFUNCTION("IFERROR(VALUE(REGEXEXTRACT(TO_TEXT($F887), R$1 &amp; ""x(\d+)"")), """")"),"")</f>
        <v/>
      </c>
      <c r="S887" s="9" t="str">
        <f ca="1">IFERROR(__xludf.DUMMYFUNCTION("IFERROR(VALUE(REGEXEXTRACT(TO_TEXT($F887), S$1 &amp; ""x(\d+)"")), """")"),"")</f>
        <v/>
      </c>
      <c r="T887" s="9" t="str">
        <f ca="1">IFERROR(__xludf.DUMMYFUNCTION("IFERROR(VALUE(REGEXEXTRACT(TO_TEXT($F887), T$1 &amp; ""x(\d+)"")), """")"),"")</f>
        <v/>
      </c>
      <c r="U887" s="9" t="str">
        <f ca="1">IFERROR(__xludf.DUMMYFUNCTION("IFERROR(VALUE(REGEXEXTRACT(TO_TEXT($F887), U$1 &amp; ""x(\d+)"")), """")"),"")</f>
        <v/>
      </c>
      <c r="V887" s="9" t="str">
        <f ca="1">IFERROR(__xludf.DUMMYFUNCTION("IFERROR(VALUE(REGEXEXTRACT(TO_TEXT($F887), V$1 &amp; ""x(\d+)"")), """")"),"")</f>
        <v/>
      </c>
      <c r="W887" s="9"/>
      <c r="X887" s="9"/>
      <c r="Y887" s="9"/>
      <c r="Z887" s="9"/>
    </row>
    <row r="888" spans="1:26" ht="15.75" hidden="1" customHeight="1">
      <c r="A888" s="9" t="s">
        <v>1974</v>
      </c>
      <c r="B888" s="9" t="s">
        <v>1975</v>
      </c>
      <c r="C888" s="9" t="s">
        <v>651</v>
      </c>
      <c r="D888" s="9" t="s">
        <v>40</v>
      </c>
      <c r="E888" s="9" t="s">
        <v>12</v>
      </c>
      <c r="F888" s="9" t="s">
        <v>1977</v>
      </c>
      <c r="G888" s="9">
        <v>120</v>
      </c>
      <c r="H888" s="9">
        <v>3</v>
      </c>
      <c r="I888" s="9">
        <v>1.0149999999999999</v>
      </c>
      <c r="J888" s="9">
        <v>390</v>
      </c>
      <c r="K888" s="9" t="s">
        <v>442</v>
      </c>
      <c r="L888" s="9" t="s">
        <v>1035</v>
      </c>
      <c r="M888" s="9"/>
      <c r="N888" s="9" t="str">
        <f ca="1">IFERROR(__xludf.DUMMYFUNCTION("IFERROR(VALUE(REGEXEXTRACT(TO_TEXT($F888), N$1 &amp; ""x(\d+)"")), """")
"),"")</f>
        <v/>
      </c>
      <c r="O888" s="9">
        <f ca="1">IFERROR(__xludf.DUMMYFUNCTION("IFERROR(VALUE(REGEXEXTRACT(TO_TEXT($F888), O$1 &amp; ""x(\d+)"")), """")"),1)</f>
        <v>1</v>
      </c>
      <c r="P888" s="9" t="str">
        <f ca="1">IFERROR(__xludf.DUMMYFUNCTION("IFERROR(VALUE(REGEXEXTRACT(TO_TEXT($F888), P$1 &amp; ""x(\d+)"")), """")"),"")</f>
        <v/>
      </c>
      <c r="Q888" s="9" t="str">
        <f ca="1">IFERROR(__xludf.DUMMYFUNCTION("IFERROR(VALUE(REGEXEXTRACT(TO_TEXT($F888), Q$1 &amp; ""x(\d+)"")), """")"),"")</f>
        <v/>
      </c>
      <c r="R888" s="9" t="str">
        <f ca="1">IFERROR(__xludf.DUMMYFUNCTION("IFERROR(VALUE(REGEXEXTRACT(TO_TEXT($F888), R$1 &amp; ""x(\d+)"")), """")"),"")</f>
        <v/>
      </c>
      <c r="S888" s="9">
        <f ca="1">IFERROR(__xludf.DUMMYFUNCTION("IFERROR(VALUE(REGEXEXTRACT(TO_TEXT($F888), S$1 &amp; ""x(\d+)"")), """")"),1)</f>
        <v>1</v>
      </c>
      <c r="T888" s="9" t="str">
        <f ca="1">IFERROR(__xludf.DUMMYFUNCTION("IFERROR(VALUE(REGEXEXTRACT(TO_TEXT($F888), T$1 &amp; ""x(\d+)"")), """")"),"")</f>
        <v/>
      </c>
      <c r="U888" s="9" t="str">
        <f ca="1">IFERROR(__xludf.DUMMYFUNCTION("IFERROR(VALUE(REGEXEXTRACT(TO_TEXT($F888), U$1 &amp; ""x(\d+)"")), """")"),"")</f>
        <v/>
      </c>
      <c r="V888" s="9" t="str">
        <f ca="1">IFERROR(__xludf.DUMMYFUNCTION("IFERROR(VALUE(REGEXEXTRACT(TO_TEXT($F888), V$1 &amp; ""x(\d+)"")), """")"),"")</f>
        <v/>
      </c>
      <c r="W888" s="9"/>
      <c r="X888" s="9"/>
      <c r="Y888" s="9"/>
      <c r="Z888" s="9"/>
    </row>
    <row r="889" spans="1:26" ht="15.75" hidden="1" customHeight="1">
      <c r="A889" s="9" t="s">
        <v>1974</v>
      </c>
      <c r="B889" s="9" t="s">
        <v>1975</v>
      </c>
      <c r="C889" s="9" t="s">
        <v>651</v>
      </c>
      <c r="D889" s="9" t="s">
        <v>40</v>
      </c>
      <c r="E889" s="9" t="s">
        <v>13</v>
      </c>
      <c r="F889" s="9" t="s">
        <v>1511</v>
      </c>
      <c r="G889" s="9">
        <v>30</v>
      </c>
      <c r="H889" s="9">
        <v>3</v>
      </c>
      <c r="I889" s="9">
        <v>1.0149999999999999</v>
      </c>
      <c r="J889" s="9">
        <v>390</v>
      </c>
      <c r="K889" s="9" t="s">
        <v>442</v>
      </c>
      <c r="L889" s="9"/>
      <c r="M889" s="9"/>
      <c r="N889" s="9" t="str">
        <f ca="1">IFERROR(__xludf.DUMMYFUNCTION("IFERROR(VALUE(REGEXEXTRACT(TO_TEXT($F889), N$1 &amp; ""x(\d+)"")), """")
"),"")</f>
        <v/>
      </c>
      <c r="O889" s="9">
        <f ca="1">IFERROR(__xludf.DUMMYFUNCTION("IFERROR(VALUE(REGEXEXTRACT(TO_TEXT($F889), O$1 &amp; ""x(\d+)"")), """")"),1)</f>
        <v>1</v>
      </c>
      <c r="P889" s="9" t="str">
        <f ca="1">IFERROR(__xludf.DUMMYFUNCTION("IFERROR(VALUE(REGEXEXTRACT(TO_TEXT($F889), P$1 &amp; ""x(\d+)"")), """")"),"")</f>
        <v/>
      </c>
      <c r="Q889" s="9" t="str">
        <f ca="1">IFERROR(__xludf.DUMMYFUNCTION("IFERROR(VALUE(REGEXEXTRACT(TO_TEXT($F889), Q$1 &amp; ""x(\d+)"")), """")"),"")</f>
        <v/>
      </c>
      <c r="R889" s="9" t="str">
        <f ca="1">IFERROR(__xludf.DUMMYFUNCTION("IFERROR(VALUE(REGEXEXTRACT(TO_TEXT($F889), R$1 &amp; ""x(\d+)"")), """")"),"")</f>
        <v/>
      </c>
      <c r="S889" s="9">
        <f ca="1">IFERROR(__xludf.DUMMYFUNCTION("IFERROR(VALUE(REGEXEXTRACT(TO_TEXT($F889), S$1 &amp; ""x(\d+)"")), """")"),1)</f>
        <v>1</v>
      </c>
      <c r="T889" s="9" t="str">
        <f ca="1">IFERROR(__xludf.DUMMYFUNCTION("IFERROR(VALUE(REGEXEXTRACT(TO_TEXT($F889), T$1 &amp; ""x(\d+)"")), """")"),"")</f>
        <v/>
      </c>
      <c r="U889" s="9" t="str">
        <f ca="1">IFERROR(__xludf.DUMMYFUNCTION("IFERROR(VALUE(REGEXEXTRACT(TO_TEXT($F889), U$1 &amp; ""x(\d+)"")), """")"),"")</f>
        <v/>
      </c>
      <c r="V889" s="9" t="str">
        <f ca="1">IFERROR(__xludf.DUMMYFUNCTION("IFERROR(VALUE(REGEXEXTRACT(TO_TEXT($F889), V$1 &amp; ""x(\d+)"")), """")"),"")</f>
        <v/>
      </c>
      <c r="W889" s="9"/>
      <c r="X889" s="9"/>
      <c r="Y889" s="9"/>
      <c r="Z889" s="9"/>
    </row>
    <row r="890" spans="1:26" ht="15.75" customHeight="1">
      <c r="A890" s="9" t="s">
        <v>1978</v>
      </c>
      <c r="B890" s="9" t="s">
        <v>1979</v>
      </c>
      <c r="C890" s="9" t="s">
        <v>1980</v>
      </c>
      <c r="D890" s="9" t="s">
        <v>33</v>
      </c>
      <c r="E890" s="9" t="s">
        <v>11</v>
      </c>
      <c r="F890" s="9" t="s">
        <v>1981</v>
      </c>
      <c r="G890" s="9">
        <v>90</v>
      </c>
      <c r="H890" s="9">
        <v>5</v>
      </c>
      <c r="I890" s="9">
        <v>1.0149999999999999</v>
      </c>
      <c r="J890" s="9">
        <v>105</v>
      </c>
      <c r="K890" s="9" t="s">
        <v>442</v>
      </c>
      <c r="L890" s="9"/>
      <c r="M890" s="9"/>
      <c r="N890" s="9" t="str">
        <f ca="1">IFERROR(__xludf.DUMMYFUNCTION("IFERROR(VALUE(REGEXEXTRACT(TO_TEXT($F890), N$1 &amp; ""x(\d+)"")), """")
"),"")</f>
        <v/>
      </c>
      <c r="O890" s="9">
        <f ca="1">IFERROR(__xludf.DUMMYFUNCTION("IFERROR(VALUE(REGEXEXTRACT(TO_TEXT($F890), O$1 &amp; ""x(\d+)"")), """")"),1)</f>
        <v>1</v>
      </c>
      <c r="P890" s="9" t="str">
        <f ca="1">IFERROR(__xludf.DUMMYFUNCTION("IFERROR(VALUE(REGEXEXTRACT(TO_TEXT($F890), P$1 &amp; ""x(\d+)"")), """")"),"")</f>
        <v/>
      </c>
      <c r="Q890" s="9" t="str">
        <f ca="1">IFERROR(__xludf.DUMMYFUNCTION("IFERROR(VALUE(REGEXEXTRACT(TO_TEXT($F890), Q$1 &amp; ""x(\d+)"")), """")"),"")</f>
        <v/>
      </c>
      <c r="R890" s="9" t="str">
        <f ca="1">IFERROR(__xludf.DUMMYFUNCTION("IFERROR(VALUE(REGEXEXTRACT(TO_TEXT($F890), R$1 &amp; ""x(\d+)"")), """")"),"")</f>
        <v/>
      </c>
      <c r="S890" s="9" t="str">
        <f ca="1">IFERROR(__xludf.DUMMYFUNCTION("IFERROR(VALUE(REGEXEXTRACT(TO_TEXT($F890), S$1 &amp; ""x(\d+)"")), """")"),"")</f>
        <v/>
      </c>
      <c r="T890" s="9" t="str">
        <f ca="1">IFERROR(__xludf.DUMMYFUNCTION("IFERROR(VALUE(REGEXEXTRACT(TO_TEXT($F890), T$1 &amp; ""x(\d+)"")), """")"),"")</f>
        <v/>
      </c>
      <c r="U890" s="9" t="str">
        <f ca="1">IFERROR(__xludf.DUMMYFUNCTION("IFERROR(VALUE(REGEXEXTRACT(TO_TEXT($F890), U$1 &amp; ""x(\d+)"")), """")"),"")</f>
        <v/>
      </c>
      <c r="V890" s="9" t="str">
        <f ca="1">IFERROR(__xludf.DUMMYFUNCTION("IFERROR(VALUE(REGEXEXTRACT(TO_TEXT($F890), V$1 &amp; ""x(\d+)"")), """")"),"")</f>
        <v/>
      </c>
      <c r="W890" s="9"/>
      <c r="X890" s="9"/>
      <c r="Y890" s="9"/>
      <c r="Z890" s="9"/>
    </row>
    <row r="891" spans="1:26" ht="15.75" customHeight="1">
      <c r="A891" s="9" t="s">
        <v>1978</v>
      </c>
      <c r="B891" s="9" t="s">
        <v>1979</v>
      </c>
      <c r="C891" s="9" t="s">
        <v>1980</v>
      </c>
      <c r="D891" s="9" t="s">
        <v>33</v>
      </c>
      <c r="E891" s="9" t="s">
        <v>12</v>
      </c>
      <c r="F891" s="9" t="s">
        <v>1982</v>
      </c>
      <c r="G891" s="9">
        <v>35</v>
      </c>
      <c r="H891" s="9">
        <v>5</v>
      </c>
      <c r="I891" s="9">
        <v>1.0149999999999999</v>
      </c>
      <c r="J891" s="9">
        <v>105</v>
      </c>
      <c r="K891" s="9" t="s">
        <v>442</v>
      </c>
      <c r="L891" s="9" t="s">
        <v>1243</v>
      </c>
      <c r="M891" s="9"/>
      <c r="N891" s="9" t="str">
        <f ca="1">IFERROR(__xludf.DUMMYFUNCTION("IFERROR(VALUE(REGEXEXTRACT(TO_TEXT($F891), N$1 &amp; ""x(\d+)"")), """")
"),"")</f>
        <v/>
      </c>
      <c r="O891" s="9">
        <f ca="1">IFERROR(__xludf.DUMMYFUNCTION("IFERROR(VALUE(REGEXEXTRACT(TO_TEXT($F891), O$1 &amp; ""x(\d+)"")), """")"),1)</f>
        <v>1</v>
      </c>
      <c r="P891" s="9" t="str">
        <f ca="1">IFERROR(__xludf.DUMMYFUNCTION("IFERROR(VALUE(REGEXEXTRACT(TO_TEXT($F891), P$1 &amp; ""x(\d+)"")), """")"),"")</f>
        <v/>
      </c>
      <c r="Q891" s="9" t="str">
        <f ca="1">IFERROR(__xludf.DUMMYFUNCTION("IFERROR(VALUE(REGEXEXTRACT(TO_TEXT($F891), Q$1 &amp; ""x(\d+)"")), """")"),"")</f>
        <v/>
      </c>
      <c r="R891" s="9" t="str">
        <f ca="1">IFERROR(__xludf.DUMMYFUNCTION("IFERROR(VALUE(REGEXEXTRACT(TO_TEXT($F891), R$1 &amp; ""x(\d+)"")), """")"),"")</f>
        <v/>
      </c>
      <c r="S891" s="9" t="str">
        <f ca="1">IFERROR(__xludf.DUMMYFUNCTION("IFERROR(VALUE(REGEXEXTRACT(TO_TEXT($F891), S$1 &amp; ""x(\d+)"")), """")"),"")</f>
        <v/>
      </c>
      <c r="T891" s="9" t="str">
        <f ca="1">IFERROR(__xludf.DUMMYFUNCTION("IFERROR(VALUE(REGEXEXTRACT(TO_TEXT($F891), T$1 &amp; ""x(\d+)"")), """")"),"")</f>
        <v/>
      </c>
      <c r="U891" s="9" t="str">
        <f ca="1">IFERROR(__xludf.DUMMYFUNCTION("IFERROR(VALUE(REGEXEXTRACT(TO_TEXT($F891), U$1 &amp; ""x(\d+)"")), """")"),"")</f>
        <v/>
      </c>
      <c r="V891" s="9" t="str">
        <f ca="1">IFERROR(__xludf.DUMMYFUNCTION("IFERROR(VALUE(REGEXEXTRACT(TO_TEXT($F891), V$1 &amp; ""x(\d+)"")), """")"),"")</f>
        <v/>
      </c>
      <c r="W891" s="9"/>
      <c r="X891" s="9"/>
      <c r="Y891" s="9"/>
      <c r="Z891" s="9"/>
    </row>
    <row r="892" spans="1:26" ht="15.75" customHeight="1">
      <c r="A892" s="9" t="s">
        <v>1978</v>
      </c>
      <c r="B892" s="9" t="s">
        <v>1979</v>
      </c>
      <c r="C892" s="9" t="s">
        <v>1980</v>
      </c>
      <c r="D892" s="9" t="s">
        <v>33</v>
      </c>
      <c r="E892" s="9" t="s">
        <v>13</v>
      </c>
      <c r="F892" s="9" t="s">
        <v>1983</v>
      </c>
      <c r="G892" s="9">
        <v>10</v>
      </c>
      <c r="H892" s="9">
        <v>5</v>
      </c>
      <c r="I892" s="9">
        <v>1.0149999999999999</v>
      </c>
      <c r="J892" s="9">
        <v>105</v>
      </c>
      <c r="K892" s="9" t="s">
        <v>442</v>
      </c>
      <c r="L892" s="9"/>
      <c r="M892" s="9"/>
      <c r="N892" s="9" t="str">
        <f ca="1">IFERROR(__xludf.DUMMYFUNCTION("IFERROR(VALUE(REGEXEXTRACT(TO_TEXT($F892), N$1 &amp; ""x(\d+)"")), """")
"),"")</f>
        <v/>
      </c>
      <c r="O892" s="9">
        <f ca="1">IFERROR(__xludf.DUMMYFUNCTION("IFERROR(VALUE(REGEXEXTRACT(TO_TEXT($F892), O$1 &amp; ""x(\d+)"")), """")"),1)</f>
        <v>1</v>
      </c>
      <c r="P892" s="9" t="str">
        <f ca="1">IFERROR(__xludf.DUMMYFUNCTION("IFERROR(VALUE(REGEXEXTRACT(TO_TEXT($F892), P$1 &amp; ""x(\d+)"")), """")"),"")</f>
        <v/>
      </c>
      <c r="Q892" s="9" t="str">
        <f ca="1">IFERROR(__xludf.DUMMYFUNCTION("IFERROR(VALUE(REGEXEXTRACT(TO_TEXT($F892), Q$1 &amp; ""x(\d+)"")), """")"),"")</f>
        <v/>
      </c>
      <c r="R892" s="9" t="str">
        <f ca="1">IFERROR(__xludf.DUMMYFUNCTION("IFERROR(VALUE(REGEXEXTRACT(TO_TEXT($F892), R$1 &amp; ""x(\d+)"")), """")"),"")</f>
        <v/>
      </c>
      <c r="S892" s="9" t="str">
        <f ca="1">IFERROR(__xludf.DUMMYFUNCTION("IFERROR(VALUE(REGEXEXTRACT(TO_TEXT($F892), S$1 &amp; ""x(\d+)"")), """")"),"")</f>
        <v/>
      </c>
      <c r="T892" s="9" t="str">
        <f ca="1">IFERROR(__xludf.DUMMYFUNCTION("IFERROR(VALUE(REGEXEXTRACT(TO_TEXT($F892), T$1 &amp; ""x(\d+)"")), """")"),"")</f>
        <v/>
      </c>
      <c r="U892" s="9" t="str">
        <f ca="1">IFERROR(__xludf.DUMMYFUNCTION("IFERROR(VALUE(REGEXEXTRACT(TO_TEXT($F892), U$1 &amp; ""x(\d+)"")), """")"),"")</f>
        <v/>
      </c>
      <c r="V892" s="9" t="str">
        <f ca="1">IFERROR(__xludf.DUMMYFUNCTION("IFERROR(VALUE(REGEXEXTRACT(TO_TEXT($F892), V$1 &amp; ""x(\d+)"")), """")"),"")</f>
        <v/>
      </c>
      <c r="W892" s="9"/>
      <c r="X892" s="9"/>
      <c r="Y892" s="9"/>
      <c r="Z892" s="9"/>
    </row>
    <row r="893" spans="1:26" ht="15.75" customHeight="1">
      <c r="A893" s="9" t="s">
        <v>187</v>
      </c>
      <c r="B893" s="9" t="s">
        <v>1984</v>
      </c>
      <c r="C893" s="9" t="s">
        <v>188</v>
      </c>
      <c r="D893" s="9" t="s">
        <v>33</v>
      </c>
      <c r="E893" s="9" t="s">
        <v>11</v>
      </c>
      <c r="F893" s="9" t="s">
        <v>1859</v>
      </c>
      <c r="G893" s="9">
        <v>20</v>
      </c>
      <c r="H893" s="9">
        <v>4</v>
      </c>
      <c r="I893" s="9">
        <v>1.0149999999999999</v>
      </c>
      <c r="J893" s="9">
        <v>103</v>
      </c>
      <c r="K893" s="9" t="s">
        <v>442</v>
      </c>
      <c r="L893" s="9"/>
      <c r="M893" s="9"/>
      <c r="N893" s="9" t="str">
        <f ca="1">IFERROR(__xludf.DUMMYFUNCTION("IFERROR(VALUE(REGEXEXTRACT(TO_TEXT($F893), N$1 &amp; ""x(\d+)"")), """")
"),"")</f>
        <v/>
      </c>
      <c r="O893" s="9" t="str">
        <f ca="1">IFERROR(__xludf.DUMMYFUNCTION("IFERROR(VALUE(REGEXEXTRACT(TO_TEXT($F893), O$1 &amp; ""x(\d+)"")), """")"),"")</f>
        <v/>
      </c>
      <c r="P893" s="9" t="str">
        <f ca="1">IFERROR(__xludf.DUMMYFUNCTION("IFERROR(VALUE(REGEXEXTRACT(TO_TEXT($F893), P$1 &amp; ""x(\d+)"")), """")"),"")</f>
        <v/>
      </c>
      <c r="Q893" s="9" t="str">
        <f ca="1">IFERROR(__xludf.DUMMYFUNCTION("IFERROR(VALUE(REGEXEXTRACT(TO_TEXT($F893), Q$1 &amp; ""x(\d+)"")), """")"),"")</f>
        <v/>
      </c>
      <c r="R893" s="9" t="str">
        <f ca="1">IFERROR(__xludf.DUMMYFUNCTION("IFERROR(VALUE(REGEXEXTRACT(TO_TEXT($F893), R$1 &amp; ""x(\d+)"")), """")"),"")</f>
        <v/>
      </c>
      <c r="S893" s="9" t="str">
        <f ca="1">IFERROR(__xludf.DUMMYFUNCTION("IFERROR(VALUE(REGEXEXTRACT(TO_TEXT($F893), S$1 &amp; ""x(\d+)"")), """")"),"")</f>
        <v/>
      </c>
      <c r="T893" s="9" t="str">
        <f ca="1">IFERROR(__xludf.DUMMYFUNCTION("IFERROR(VALUE(REGEXEXTRACT(TO_TEXT($F893), T$1 &amp; ""x(\d+)"")), """")"),"")</f>
        <v/>
      </c>
      <c r="U893" s="9" t="str">
        <f ca="1">IFERROR(__xludf.DUMMYFUNCTION("IFERROR(VALUE(REGEXEXTRACT(TO_TEXT($F893), U$1 &amp; ""x(\d+)"")), """")"),"")</f>
        <v/>
      </c>
      <c r="V893" s="9" t="str">
        <f ca="1">IFERROR(__xludf.DUMMYFUNCTION("IFERROR(VALUE(REGEXEXTRACT(TO_TEXT($F893), V$1 &amp; ""x(\d+)"")), """")"),"")</f>
        <v/>
      </c>
      <c r="W893" s="9"/>
      <c r="X893" s="9"/>
      <c r="Y893" s="9"/>
      <c r="Z893" s="9"/>
    </row>
    <row r="894" spans="1:26" ht="15.75" customHeight="1">
      <c r="A894" s="9" t="s">
        <v>187</v>
      </c>
      <c r="B894" s="9" t="s">
        <v>1984</v>
      </c>
      <c r="C894" s="9" t="s">
        <v>188</v>
      </c>
      <c r="D894" s="9" t="s">
        <v>33</v>
      </c>
      <c r="E894" s="9" t="s">
        <v>12</v>
      </c>
      <c r="F894" s="9" t="s">
        <v>1057</v>
      </c>
      <c r="G894" s="9">
        <v>110</v>
      </c>
      <c r="H894" s="9">
        <v>4</v>
      </c>
      <c r="I894" s="9">
        <v>1.0149999999999999</v>
      </c>
      <c r="J894" s="9">
        <v>103</v>
      </c>
      <c r="K894" s="9" t="s">
        <v>442</v>
      </c>
      <c r="L894" s="9" t="s">
        <v>1210</v>
      </c>
      <c r="M894" s="9"/>
      <c r="N894" s="9" t="str">
        <f ca="1">IFERROR(__xludf.DUMMYFUNCTION("IFERROR(VALUE(REGEXEXTRACT(TO_TEXT($F894), N$1 &amp; ""x(\d+)"")), """")
"),"")</f>
        <v/>
      </c>
      <c r="O894" s="9">
        <f ca="1">IFERROR(__xludf.DUMMYFUNCTION("IFERROR(VALUE(REGEXEXTRACT(TO_TEXT($F894), O$1 &amp; ""x(\d+)"")), """")"),1)</f>
        <v>1</v>
      </c>
      <c r="P894" s="9" t="str">
        <f ca="1">IFERROR(__xludf.DUMMYFUNCTION("IFERROR(VALUE(REGEXEXTRACT(TO_TEXT($F894), P$1 &amp; ""x(\d+)"")), """")"),"")</f>
        <v/>
      </c>
      <c r="Q894" s="9" t="str">
        <f ca="1">IFERROR(__xludf.DUMMYFUNCTION("IFERROR(VALUE(REGEXEXTRACT(TO_TEXT($F894), Q$1 &amp; ""x(\d+)"")), """")"),"")</f>
        <v/>
      </c>
      <c r="R894" s="9" t="str">
        <f ca="1">IFERROR(__xludf.DUMMYFUNCTION("IFERROR(VALUE(REGEXEXTRACT(TO_TEXT($F894), R$1 &amp; ""x(\d+)"")), """")"),"")</f>
        <v/>
      </c>
      <c r="S894" s="9" t="str">
        <f ca="1">IFERROR(__xludf.DUMMYFUNCTION("IFERROR(VALUE(REGEXEXTRACT(TO_TEXT($F894), S$1 &amp; ""x(\d+)"")), """")"),"")</f>
        <v/>
      </c>
      <c r="T894" s="9" t="str">
        <f ca="1">IFERROR(__xludf.DUMMYFUNCTION("IFERROR(VALUE(REGEXEXTRACT(TO_TEXT($F894), T$1 &amp; ""x(\d+)"")), """")"),"")</f>
        <v/>
      </c>
      <c r="U894" s="9" t="str">
        <f ca="1">IFERROR(__xludf.DUMMYFUNCTION("IFERROR(VALUE(REGEXEXTRACT(TO_TEXT($F894), U$1 &amp; ""x(\d+)"")), """")"),"")</f>
        <v/>
      </c>
      <c r="V894" s="9" t="str">
        <f ca="1">IFERROR(__xludf.DUMMYFUNCTION("IFERROR(VALUE(REGEXEXTRACT(TO_TEXT($F894), V$1 &amp; ""x(\d+)"")), """")"),"")</f>
        <v/>
      </c>
      <c r="W894" s="9"/>
      <c r="X894" s="9"/>
      <c r="Y894" s="9"/>
      <c r="Z894" s="9"/>
    </row>
    <row r="895" spans="1:26" ht="15.75" customHeight="1">
      <c r="A895" s="9" t="s">
        <v>187</v>
      </c>
      <c r="B895" s="9" t="s">
        <v>1984</v>
      </c>
      <c r="C895" s="9" t="s">
        <v>188</v>
      </c>
      <c r="D895" s="9" t="s">
        <v>33</v>
      </c>
      <c r="E895" s="9" t="s">
        <v>13</v>
      </c>
      <c r="F895" s="9" t="s">
        <v>1108</v>
      </c>
      <c r="G895" s="9">
        <v>20</v>
      </c>
      <c r="H895" s="9">
        <v>4</v>
      </c>
      <c r="I895" s="9">
        <v>1.0149999999999999</v>
      </c>
      <c r="J895" s="9">
        <v>103</v>
      </c>
      <c r="K895" s="9" t="s">
        <v>442</v>
      </c>
      <c r="L895" s="9"/>
      <c r="M895" s="9"/>
      <c r="N895" s="9" t="str">
        <f ca="1">IFERROR(__xludf.DUMMYFUNCTION("IFERROR(VALUE(REGEXEXTRACT(TO_TEXT($F895), N$1 &amp; ""x(\d+)"")), """")
"),"")</f>
        <v/>
      </c>
      <c r="O895" s="9">
        <f ca="1">IFERROR(__xludf.DUMMYFUNCTION("IFERROR(VALUE(REGEXEXTRACT(TO_TEXT($F895), O$1 &amp; ""x(\d+)"")), """")"),1)</f>
        <v>1</v>
      </c>
      <c r="P895" s="9" t="str">
        <f ca="1">IFERROR(__xludf.DUMMYFUNCTION("IFERROR(VALUE(REGEXEXTRACT(TO_TEXT($F895), P$1 &amp; ""x(\d+)"")), """")"),"")</f>
        <v/>
      </c>
      <c r="Q895" s="9" t="str">
        <f ca="1">IFERROR(__xludf.DUMMYFUNCTION("IFERROR(VALUE(REGEXEXTRACT(TO_TEXT($F895), Q$1 &amp; ""x(\d+)"")), """")"),"")</f>
        <v/>
      </c>
      <c r="R895" s="9" t="str">
        <f ca="1">IFERROR(__xludf.DUMMYFUNCTION("IFERROR(VALUE(REGEXEXTRACT(TO_TEXT($F895), R$1 &amp; ""x(\d+)"")), """")"),"")</f>
        <v/>
      </c>
      <c r="S895" s="9" t="str">
        <f ca="1">IFERROR(__xludf.DUMMYFUNCTION("IFERROR(VALUE(REGEXEXTRACT(TO_TEXT($F895), S$1 &amp; ""x(\d+)"")), """")"),"")</f>
        <v/>
      </c>
      <c r="T895" s="9" t="str">
        <f ca="1">IFERROR(__xludf.DUMMYFUNCTION("IFERROR(VALUE(REGEXEXTRACT(TO_TEXT($F895), T$1 &amp; ""x(\d+)"")), """")"),"")</f>
        <v/>
      </c>
      <c r="U895" s="9" t="str">
        <f ca="1">IFERROR(__xludf.DUMMYFUNCTION("IFERROR(VALUE(REGEXEXTRACT(TO_TEXT($F895), U$1 &amp; ""x(\d+)"")), """")"),"")</f>
        <v/>
      </c>
      <c r="V895" s="9" t="str">
        <f ca="1">IFERROR(__xludf.DUMMYFUNCTION("IFERROR(VALUE(REGEXEXTRACT(TO_TEXT($F895), V$1 &amp; ""x(\d+)"")), """")"),"")</f>
        <v/>
      </c>
      <c r="W895" s="9"/>
      <c r="X895" s="9"/>
      <c r="Y895" s="9"/>
      <c r="Z895" s="9"/>
    </row>
    <row r="896" spans="1:26" ht="15.75" customHeight="1">
      <c r="A896" s="9" t="s">
        <v>1985</v>
      </c>
      <c r="B896" s="9" t="s">
        <v>1986</v>
      </c>
      <c r="C896" s="9" t="s">
        <v>635</v>
      </c>
      <c r="D896" s="9" t="s">
        <v>33</v>
      </c>
      <c r="E896" s="9" t="s">
        <v>11</v>
      </c>
      <c r="F896" s="9" t="s">
        <v>1987</v>
      </c>
      <c r="G896" s="9">
        <v>30</v>
      </c>
      <c r="H896" s="9">
        <v>3</v>
      </c>
      <c r="I896" s="9">
        <v>1.0149999999999999</v>
      </c>
      <c r="J896" s="9">
        <v>103</v>
      </c>
      <c r="K896" s="9" t="s">
        <v>442</v>
      </c>
      <c r="L896" s="9"/>
      <c r="M896" s="9"/>
      <c r="N896" s="9" t="str">
        <f ca="1">IFERROR(__xludf.DUMMYFUNCTION("IFERROR(VALUE(REGEXEXTRACT(TO_TEXT($F896), N$1 &amp; ""x(\d+)"")), """")
"),"")</f>
        <v/>
      </c>
      <c r="O896" s="9" t="str">
        <f ca="1">IFERROR(__xludf.DUMMYFUNCTION("IFERROR(VALUE(REGEXEXTRACT(TO_TEXT($F896), O$1 &amp; ""x(\d+)"")), """")"),"")</f>
        <v/>
      </c>
      <c r="P896" s="9" t="str">
        <f ca="1">IFERROR(__xludf.DUMMYFUNCTION("IFERROR(VALUE(REGEXEXTRACT(TO_TEXT($F896), P$1 &amp; ""x(\d+)"")), """")"),"")</f>
        <v/>
      </c>
      <c r="Q896" s="9" t="str">
        <f ca="1">IFERROR(__xludf.DUMMYFUNCTION("IFERROR(VALUE(REGEXEXTRACT(TO_TEXT($F896), Q$1 &amp; ""x(\d+)"")), """")"),"")</f>
        <v/>
      </c>
      <c r="R896" s="9" t="str">
        <f ca="1">IFERROR(__xludf.DUMMYFUNCTION("IFERROR(VALUE(REGEXEXTRACT(TO_TEXT($F896), R$1 &amp; ""x(\d+)"")), """")"),"")</f>
        <v/>
      </c>
      <c r="S896" s="9" t="str">
        <f ca="1">IFERROR(__xludf.DUMMYFUNCTION("IFERROR(VALUE(REGEXEXTRACT(TO_TEXT($F896), S$1 &amp; ""x(\d+)"")), """")"),"")</f>
        <v/>
      </c>
      <c r="T896" s="9" t="str">
        <f ca="1">IFERROR(__xludf.DUMMYFUNCTION("IFERROR(VALUE(REGEXEXTRACT(TO_TEXT($F896), T$1 &amp; ""x(\d+)"")), """")"),"")</f>
        <v/>
      </c>
      <c r="U896" s="9" t="str">
        <f ca="1">IFERROR(__xludf.DUMMYFUNCTION("IFERROR(VALUE(REGEXEXTRACT(TO_TEXT($F896), U$1 &amp; ""x(\d+)"")), """")"),"")</f>
        <v/>
      </c>
      <c r="V896" s="9" t="str">
        <f ca="1">IFERROR(__xludf.DUMMYFUNCTION("IFERROR(VALUE(REGEXEXTRACT(TO_TEXT($F896), V$1 &amp; ""x(\d+)"")), """")"),"")</f>
        <v/>
      </c>
      <c r="W896" s="9"/>
      <c r="X896" s="9"/>
      <c r="Y896" s="9"/>
      <c r="Z896" s="9"/>
    </row>
    <row r="897" spans="1:26" ht="15.75" customHeight="1">
      <c r="A897" s="9" t="s">
        <v>1985</v>
      </c>
      <c r="B897" s="9" t="s">
        <v>1986</v>
      </c>
      <c r="C897" s="9" t="s">
        <v>635</v>
      </c>
      <c r="D897" s="9" t="s">
        <v>33</v>
      </c>
      <c r="E897" s="9" t="s">
        <v>12</v>
      </c>
      <c r="F897" s="9" t="s">
        <v>1988</v>
      </c>
      <c r="G897" s="9">
        <v>135</v>
      </c>
      <c r="H897" s="9">
        <v>3</v>
      </c>
      <c r="I897" s="9">
        <v>1.0149999999999999</v>
      </c>
      <c r="J897" s="9">
        <v>103</v>
      </c>
      <c r="K897" s="9" t="s">
        <v>442</v>
      </c>
      <c r="L897" s="9" t="s">
        <v>1015</v>
      </c>
      <c r="M897" s="9"/>
      <c r="N897" s="9" t="str">
        <f ca="1">IFERROR(__xludf.DUMMYFUNCTION("IFERROR(VALUE(REGEXEXTRACT(TO_TEXT($F897), N$1 &amp; ""x(\d+)"")), """")
"),"")</f>
        <v/>
      </c>
      <c r="O897" s="9">
        <f ca="1">IFERROR(__xludf.DUMMYFUNCTION("IFERROR(VALUE(REGEXEXTRACT(TO_TEXT($F897), O$1 &amp; ""x(\d+)"")), """")"),1)</f>
        <v>1</v>
      </c>
      <c r="P897" s="9" t="str">
        <f ca="1">IFERROR(__xludf.DUMMYFUNCTION("IFERROR(VALUE(REGEXEXTRACT(TO_TEXT($F897), P$1 &amp; ""x(\d+)"")), """")"),"")</f>
        <v/>
      </c>
      <c r="Q897" s="9" t="str">
        <f ca="1">IFERROR(__xludf.DUMMYFUNCTION("IFERROR(VALUE(REGEXEXTRACT(TO_TEXT($F897), Q$1 &amp; ""x(\d+)"")), """")"),"")</f>
        <v/>
      </c>
      <c r="R897" s="9" t="str">
        <f ca="1">IFERROR(__xludf.DUMMYFUNCTION("IFERROR(VALUE(REGEXEXTRACT(TO_TEXT($F897), R$1 &amp; ""x(\d+)"")), """")"),"")</f>
        <v/>
      </c>
      <c r="S897" s="9" t="str">
        <f ca="1">IFERROR(__xludf.DUMMYFUNCTION("IFERROR(VALUE(REGEXEXTRACT(TO_TEXT($F897), S$1 &amp; ""x(\d+)"")), """")"),"")</f>
        <v/>
      </c>
      <c r="T897" s="9" t="str">
        <f ca="1">IFERROR(__xludf.DUMMYFUNCTION("IFERROR(VALUE(REGEXEXTRACT(TO_TEXT($F897), T$1 &amp; ""x(\d+)"")), """")"),"")</f>
        <v/>
      </c>
      <c r="U897" s="9" t="str">
        <f ca="1">IFERROR(__xludf.DUMMYFUNCTION("IFERROR(VALUE(REGEXEXTRACT(TO_TEXT($F897), U$1 &amp; ""x(\d+)"")), """")"),"")</f>
        <v/>
      </c>
      <c r="V897" s="9" t="str">
        <f ca="1">IFERROR(__xludf.DUMMYFUNCTION("IFERROR(VALUE(REGEXEXTRACT(TO_TEXT($F897), V$1 &amp; ""x(\d+)"")), """")"),"")</f>
        <v/>
      </c>
      <c r="W897" s="9"/>
      <c r="X897" s="9"/>
      <c r="Y897" s="9"/>
      <c r="Z897" s="9"/>
    </row>
    <row r="898" spans="1:26" ht="15.75" customHeight="1">
      <c r="A898" s="9" t="s">
        <v>1985</v>
      </c>
      <c r="B898" s="9" t="s">
        <v>1986</v>
      </c>
      <c r="C898" s="9" t="s">
        <v>635</v>
      </c>
      <c r="D898" s="9" t="s">
        <v>33</v>
      </c>
      <c r="E898" s="9" t="s">
        <v>13</v>
      </c>
      <c r="F898" s="9" t="s">
        <v>1989</v>
      </c>
      <c r="G898" s="9">
        <v>20</v>
      </c>
      <c r="H898" s="9">
        <v>3</v>
      </c>
      <c r="I898" s="9">
        <v>1.0149999999999999</v>
      </c>
      <c r="J898" s="9">
        <v>103</v>
      </c>
      <c r="K898" s="9" t="s">
        <v>442</v>
      </c>
      <c r="L898" s="9"/>
      <c r="M898" s="9"/>
      <c r="N898" s="9" t="str">
        <f ca="1">IFERROR(__xludf.DUMMYFUNCTION("IFERROR(VALUE(REGEXEXTRACT(TO_TEXT($F898), N$1 &amp; ""x(\d+)"")), """")
"),"")</f>
        <v/>
      </c>
      <c r="O898" s="9">
        <f ca="1">IFERROR(__xludf.DUMMYFUNCTION("IFERROR(VALUE(REGEXEXTRACT(TO_TEXT($F898), O$1 &amp; ""x(\d+)"")), """")"),1)</f>
        <v>1</v>
      </c>
      <c r="P898" s="9" t="str">
        <f ca="1">IFERROR(__xludf.DUMMYFUNCTION("IFERROR(VALUE(REGEXEXTRACT(TO_TEXT($F898), P$1 &amp; ""x(\d+)"")), """")"),"")</f>
        <v/>
      </c>
      <c r="Q898" s="9" t="str">
        <f ca="1">IFERROR(__xludf.DUMMYFUNCTION("IFERROR(VALUE(REGEXEXTRACT(TO_TEXT($F898), Q$1 &amp; ""x(\d+)"")), """")"),"")</f>
        <v/>
      </c>
      <c r="R898" s="9" t="str">
        <f ca="1">IFERROR(__xludf.DUMMYFUNCTION("IFERROR(VALUE(REGEXEXTRACT(TO_TEXT($F898), R$1 &amp; ""x(\d+)"")), """")"),"")</f>
        <v/>
      </c>
      <c r="S898" s="9" t="str">
        <f ca="1">IFERROR(__xludf.DUMMYFUNCTION("IFERROR(VALUE(REGEXEXTRACT(TO_TEXT($F898), S$1 &amp; ""x(\d+)"")), """")"),"")</f>
        <v/>
      </c>
      <c r="T898" s="9" t="str">
        <f ca="1">IFERROR(__xludf.DUMMYFUNCTION("IFERROR(VALUE(REGEXEXTRACT(TO_TEXT($F898), T$1 &amp; ""x(\d+)"")), """")"),"")</f>
        <v/>
      </c>
      <c r="U898" s="9" t="str">
        <f ca="1">IFERROR(__xludf.DUMMYFUNCTION("IFERROR(VALUE(REGEXEXTRACT(TO_TEXT($F898), U$1 &amp; ""x(\d+)"")), """")"),"")</f>
        <v/>
      </c>
      <c r="V898" s="9" t="str">
        <f ca="1">IFERROR(__xludf.DUMMYFUNCTION("IFERROR(VALUE(REGEXEXTRACT(TO_TEXT($F898), V$1 &amp; ""x(\d+)"")), """")"),"")</f>
        <v/>
      </c>
      <c r="W898" s="9"/>
      <c r="X898" s="9"/>
      <c r="Y898" s="9"/>
      <c r="Z898" s="9"/>
    </row>
    <row r="899" spans="1:26" ht="15.75" hidden="1" customHeight="1">
      <c r="A899" s="9" t="s">
        <v>181</v>
      </c>
      <c r="B899" s="9" t="s">
        <v>1990</v>
      </c>
      <c r="C899" s="9" t="s">
        <v>182</v>
      </c>
      <c r="D899" s="9" t="s">
        <v>74</v>
      </c>
      <c r="E899" s="9" t="s">
        <v>11</v>
      </c>
      <c r="F899" s="9" t="s">
        <v>1354</v>
      </c>
      <c r="G899" s="9">
        <v>25</v>
      </c>
      <c r="H899" s="9">
        <v>3</v>
      </c>
      <c r="I899" s="9">
        <v>1.0149999999999999</v>
      </c>
      <c r="J899" s="9">
        <v>103</v>
      </c>
      <c r="K899" s="9" t="s">
        <v>424</v>
      </c>
      <c r="L899" s="9"/>
      <c r="M899" s="9"/>
      <c r="N899" s="9" t="str">
        <f ca="1">IFERROR(__xludf.DUMMYFUNCTION("IFERROR(VALUE(REGEXEXTRACT(TO_TEXT($F899), N$1 &amp; ""x(\d+)"")), """")
"),"")</f>
        <v/>
      </c>
      <c r="O899" s="9" t="str">
        <f ca="1">IFERROR(__xludf.DUMMYFUNCTION("IFERROR(VALUE(REGEXEXTRACT(TO_TEXT($F899), O$1 &amp; ""x(\d+)"")), """")"),"")</f>
        <v/>
      </c>
      <c r="P899" s="9" t="str">
        <f ca="1">IFERROR(__xludf.DUMMYFUNCTION("IFERROR(VALUE(REGEXEXTRACT(TO_TEXT($F899), P$1 &amp; ""x(\d+)"")), """")"),"")</f>
        <v/>
      </c>
      <c r="Q899" s="9" t="str">
        <f ca="1">IFERROR(__xludf.DUMMYFUNCTION("IFERROR(VALUE(REGEXEXTRACT(TO_TEXT($F899), Q$1 &amp; ""x(\d+)"")), """")"),"")</f>
        <v/>
      </c>
      <c r="R899" s="9" t="str">
        <f ca="1">IFERROR(__xludf.DUMMYFUNCTION("IFERROR(VALUE(REGEXEXTRACT(TO_TEXT($F899), R$1 &amp; ""x(\d+)"")), """")"),"")</f>
        <v/>
      </c>
      <c r="S899" s="9" t="str">
        <f ca="1">IFERROR(__xludf.DUMMYFUNCTION("IFERROR(VALUE(REGEXEXTRACT(TO_TEXT($F899), S$1 &amp; ""x(\d+)"")), """")"),"")</f>
        <v/>
      </c>
      <c r="T899" s="9" t="str">
        <f ca="1">IFERROR(__xludf.DUMMYFUNCTION("IFERROR(VALUE(REGEXEXTRACT(TO_TEXT($F899), T$1 &amp; ""x(\d+)"")), """")"),"")</f>
        <v/>
      </c>
      <c r="U899" s="9" t="str">
        <f ca="1">IFERROR(__xludf.DUMMYFUNCTION("IFERROR(VALUE(REGEXEXTRACT(TO_TEXT($F899), U$1 &amp; ""x(\d+)"")), """")"),"")</f>
        <v/>
      </c>
      <c r="V899" s="9" t="str">
        <f ca="1">IFERROR(__xludf.DUMMYFUNCTION("IFERROR(VALUE(REGEXEXTRACT(TO_TEXT($F899), V$1 &amp; ""x(\d+)"")), """")"),"")</f>
        <v/>
      </c>
      <c r="W899" s="9"/>
      <c r="X899" s="9"/>
      <c r="Y899" s="9"/>
      <c r="Z899" s="9"/>
    </row>
    <row r="900" spans="1:26" ht="15.75" hidden="1" customHeight="1">
      <c r="A900" s="9" t="s">
        <v>181</v>
      </c>
      <c r="B900" s="9" t="s">
        <v>1990</v>
      </c>
      <c r="C900" s="9" t="s">
        <v>182</v>
      </c>
      <c r="D900" s="9" t="s">
        <v>74</v>
      </c>
      <c r="E900" s="9" t="s">
        <v>12</v>
      </c>
      <c r="F900" s="9" t="s">
        <v>1991</v>
      </c>
      <c r="G900" s="9">
        <v>180</v>
      </c>
      <c r="H900" s="9">
        <v>3</v>
      </c>
      <c r="I900" s="9">
        <v>1.0149999999999999</v>
      </c>
      <c r="J900" s="9">
        <v>103</v>
      </c>
      <c r="K900" s="9" t="s">
        <v>424</v>
      </c>
      <c r="L900" s="9" t="s">
        <v>1169</v>
      </c>
      <c r="M900" s="9"/>
      <c r="N900" s="9" t="str">
        <f ca="1">IFERROR(__xludf.DUMMYFUNCTION("IFERROR(VALUE(REGEXEXTRACT(TO_TEXT($F900), N$1 &amp; ""x(\d+)"")), """")
"),"")</f>
        <v/>
      </c>
      <c r="O900" s="9" t="str">
        <f ca="1">IFERROR(__xludf.DUMMYFUNCTION("IFERROR(VALUE(REGEXEXTRACT(TO_TEXT($F900), O$1 &amp; ""x(\d+)"")), """")"),"")</f>
        <v/>
      </c>
      <c r="P900" s="9" t="str">
        <f ca="1">IFERROR(__xludf.DUMMYFUNCTION("IFERROR(VALUE(REGEXEXTRACT(TO_TEXT($F900), P$1 &amp; ""x(\d+)"")), """")"),"")</f>
        <v/>
      </c>
      <c r="Q900" s="9">
        <f ca="1">IFERROR(__xludf.DUMMYFUNCTION("IFERROR(VALUE(REGEXEXTRACT(TO_TEXT($F900), Q$1 &amp; ""x(\d+)"")), """")"),1)</f>
        <v>1</v>
      </c>
      <c r="R900" s="9" t="str">
        <f ca="1">IFERROR(__xludf.DUMMYFUNCTION("IFERROR(VALUE(REGEXEXTRACT(TO_TEXT($F900), R$1 &amp; ""x(\d+)"")), """")"),"")</f>
        <v/>
      </c>
      <c r="S900" s="9" t="str">
        <f ca="1">IFERROR(__xludf.DUMMYFUNCTION("IFERROR(VALUE(REGEXEXTRACT(TO_TEXT($F900), S$1 &amp; ""x(\d+)"")), """")"),"")</f>
        <v/>
      </c>
      <c r="T900" s="9" t="str">
        <f ca="1">IFERROR(__xludf.DUMMYFUNCTION("IFERROR(VALUE(REGEXEXTRACT(TO_TEXT($F900), T$1 &amp; ""x(\d+)"")), """")"),"")</f>
        <v/>
      </c>
      <c r="U900" s="9" t="str">
        <f ca="1">IFERROR(__xludf.DUMMYFUNCTION("IFERROR(VALUE(REGEXEXTRACT(TO_TEXT($F900), U$1 &amp; ""x(\d+)"")), """")"),"")</f>
        <v/>
      </c>
      <c r="V900" s="9" t="str">
        <f ca="1">IFERROR(__xludf.DUMMYFUNCTION("IFERROR(VALUE(REGEXEXTRACT(TO_TEXT($F900), V$1 &amp; ""x(\d+)"")), """")"),"")</f>
        <v/>
      </c>
      <c r="W900" s="9"/>
      <c r="X900" s="9"/>
      <c r="Y900" s="9"/>
      <c r="Z900" s="9"/>
    </row>
    <row r="901" spans="1:26" ht="15.75" hidden="1" customHeight="1">
      <c r="A901" s="9" t="s">
        <v>181</v>
      </c>
      <c r="B901" s="9" t="s">
        <v>1990</v>
      </c>
      <c r="C901" s="9" t="s">
        <v>182</v>
      </c>
      <c r="D901" s="9" t="s">
        <v>74</v>
      </c>
      <c r="E901" s="9" t="s">
        <v>13</v>
      </c>
      <c r="F901" s="9" t="s">
        <v>1233</v>
      </c>
      <c r="G901" s="9">
        <v>40</v>
      </c>
      <c r="H901" s="9">
        <v>3</v>
      </c>
      <c r="I901" s="9">
        <v>1.0149999999999999</v>
      </c>
      <c r="J901" s="9">
        <v>103</v>
      </c>
      <c r="K901" s="9" t="s">
        <v>424</v>
      </c>
      <c r="L901" s="9"/>
      <c r="M901" s="9"/>
      <c r="N901" s="9" t="str">
        <f ca="1">IFERROR(__xludf.DUMMYFUNCTION("IFERROR(VALUE(REGEXEXTRACT(TO_TEXT($F901), N$1 &amp; ""x(\d+)"")), """")
"),"")</f>
        <v/>
      </c>
      <c r="O901" s="9" t="str">
        <f ca="1">IFERROR(__xludf.DUMMYFUNCTION("IFERROR(VALUE(REGEXEXTRACT(TO_TEXT($F901), O$1 &amp; ""x(\d+)"")), """")"),"")</f>
        <v/>
      </c>
      <c r="P901" s="9" t="str">
        <f ca="1">IFERROR(__xludf.DUMMYFUNCTION("IFERROR(VALUE(REGEXEXTRACT(TO_TEXT($F901), P$1 &amp; ""x(\d+)"")), """")"),"")</f>
        <v/>
      </c>
      <c r="Q901" s="9">
        <f ca="1">IFERROR(__xludf.DUMMYFUNCTION("IFERROR(VALUE(REGEXEXTRACT(TO_TEXT($F901), Q$1 &amp; ""x(\d+)"")), """")"),1)</f>
        <v>1</v>
      </c>
      <c r="R901" s="9" t="str">
        <f ca="1">IFERROR(__xludf.DUMMYFUNCTION("IFERROR(VALUE(REGEXEXTRACT(TO_TEXT($F901), R$1 &amp; ""x(\d+)"")), """")"),"")</f>
        <v/>
      </c>
      <c r="S901" s="9" t="str">
        <f ca="1">IFERROR(__xludf.DUMMYFUNCTION("IFERROR(VALUE(REGEXEXTRACT(TO_TEXT($F901), S$1 &amp; ""x(\d+)"")), """")"),"")</f>
        <v/>
      </c>
      <c r="T901" s="9" t="str">
        <f ca="1">IFERROR(__xludf.DUMMYFUNCTION("IFERROR(VALUE(REGEXEXTRACT(TO_TEXT($F901), T$1 &amp; ""x(\d+)"")), """")"),"")</f>
        <v/>
      </c>
      <c r="U901" s="9" t="str">
        <f ca="1">IFERROR(__xludf.DUMMYFUNCTION("IFERROR(VALUE(REGEXEXTRACT(TO_TEXT($F901), U$1 &amp; ""x(\d+)"")), """")"),"")</f>
        <v/>
      </c>
      <c r="V901" s="9" t="str">
        <f ca="1">IFERROR(__xludf.DUMMYFUNCTION("IFERROR(VALUE(REGEXEXTRACT(TO_TEXT($F901), V$1 &amp; ""x(\d+)"")), """")"),"")</f>
        <v/>
      </c>
      <c r="W901" s="9"/>
      <c r="X901" s="9"/>
      <c r="Y901" s="9"/>
      <c r="Z901" s="9"/>
    </row>
    <row r="902" spans="1:26" ht="15.75" hidden="1" customHeight="1">
      <c r="A902" s="9" t="s">
        <v>181</v>
      </c>
      <c r="B902" s="9" t="s">
        <v>1990</v>
      </c>
      <c r="C902" s="9" t="s">
        <v>182</v>
      </c>
      <c r="D902" s="9" t="s">
        <v>48</v>
      </c>
      <c r="E902" s="9" t="s">
        <v>11</v>
      </c>
      <c r="F902" s="9" t="s">
        <v>1337</v>
      </c>
      <c r="G902" s="9">
        <v>30</v>
      </c>
      <c r="H902" s="9">
        <v>5</v>
      </c>
      <c r="I902" s="9">
        <v>1.0149999999999999</v>
      </c>
      <c r="J902" s="9">
        <v>52</v>
      </c>
      <c r="K902" s="9" t="s">
        <v>424</v>
      </c>
      <c r="L902" s="9"/>
      <c r="M902" s="9"/>
      <c r="N902" s="9" t="str">
        <f ca="1">IFERROR(__xludf.DUMMYFUNCTION("IFERROR(VALUE(REGEXEXTRACT(TO_TEXT($F902), N$1 &amp; ""x(\d+)"")), """")
"),"")</f>
        <v/>
      </c>
      <c r="O902" s="9" t="str">
        <f ca="1">IFERROR(__xludf.DUMMYFUNCTION("IFERROR(VALUE(REGEXEXTRACT(TO_TEXT($F902), O$1 &amp; ""x(\d+)"")), """")"),"")</f>
        <v/>
      </c>
      <c r="P902" s="9" t="str">
        <f ca="1">IFERROR(__xludf.DUMMYFUNCTION("IFERROR(VALUE(REGEXEXTRACT(TO_TEXT($F902), P$1 &amp; ""x(\d+)"")), """")"),"")</f>
        <v/>
      </c>
      <c r="Q902" s="9" t="str">
        <f ca="1">IFERROR(__xludf.DUMMYFUNCTION("IFERROR(VALUE(REGEXEXTRACT(TO_TEXT($F902), Q$1 &amp; ""x(\d+)"")), """")"),"")</f>
        <v/>
      </c>
      <c r="R902" s="9" t="str">
        <f ca="1">IFERROR(__xludf.DUMMYFUNCTION("IFERROR(VALUE(REGEXEXTRACT(TO_TEXT($F902), R$1 &amp; ""x(\d+)"")), """")"),"")</f>
        <v/>
      </c>
      <c r="S902" s="9" t="str">
        <f ca="1">IFERROR(__xludf.DUMMYFUNCTION("IFERROR(VALUE(REGEXEXTRACT(TO_TEXT($F902), S$1 &amp; ""x(\d+)"")), """")"),"")</f>
        <v/>
      </c>
      <c r="T902" s="9" t="str">
        <f ca="1">IFERROR(__xludf.DUMMYFUNCTION("IFERROR(VALUE(REGEXEXTRACT(TO_TEXT($F902), T$1 &amp; ""x(\d+)"")), """")"),"")</f>
        <v/>
      </c>
      <c r="U902" s="9" t="str">
        <f ca="1">IFERROR(__xludf.DUMMYFUNCTION("IFERROR(VALUE(REGEXEXTRACT(TO_TEXT($F902), U$1 &amp; ""x(\d+)"")), """")"),"")</f>
        <v/>
      </c>
      <c r="V902" s="9" t="str">
        <f ca="1">IFERROR(__xludf.DUMMYFUNCTION("IFERROR(VALUE(REGEXEXTRACT(TO_TEXT($F902), V$1 &amp; ""x(\d+)"")), """")"),"")</f>
        <v/>
      </c>
      <c r="W902" s="9"/>
      <c r="X902" s="9"/>
      <c r="Y902" s="9"/>
      <c r="Z902" s="9"/>
    </row>
    <row r="903" spans="1:26" ht="15.75" hidden="1" customHeight="1">
      <c r="A903" s="9" t="s">
        <v>181</v>
      </c>
      <c r="B903" s="9" t="s">
        <v>1990</v>
      </c>
      <c r="C903" s="9" t="s">
        <v>182</v>
      </c>
      <c r="D903" s="9" t="s">
        <v>48</v>
      </c>
      <c r="E903" s="9" t="s">
        <v>12</v>
      </c>
      <c r="F903" s="9" t="s">
        <v>1302</v>
      </c>
      <c r="G903" s="9">
        <v>140</v>
      </c>
      <c r="H903" s="9">
        <v>5</v>
      </c>
      <c r="I903" s="9">
        <v>1.0149999999999999</v>
      </c>
      <c r="J903" s="9">
        <v>52</v>
      </c>
      <c r="K903" s="9" t="s">
        <v>424</v>
      </c>
      <c r="L903" s="9"/>
      <c r="M903" s="9"/>
      <c r="N903" s="9" t="str">
        <f ca="1">IFERROR(__xludf.DUMMYFUNCTION("IFERROR(VALUE(REGEXEXTRACT(TO_TEXT($F903), N$1 &amp; ""x(\d+)"")), """")
"),"")</f>
        <v/>
      </c>
      <c r="O903" s="9" t="str">
        <f ca="1">IFERROR(__xludf.DUMMYFUNCTION("IFERROR(VALUE(REGEXEXTRACT(TO_TEXT($F903), O$1 &amp; ""x(\d+)"")), """")"),"")</f>
        <v/>
      </c>
      <c r="P903" s="9">
        <f ca="1">IFERROR(__xludf.DUMMYFUNCTION("IFERROR(VALUE(REGEXEXTRACT(TO_TEXT($F903), P$1 &amp; ""x(\d+)"")), """")"),1)</f>
        <v>1</v>
      </c>
      <c r="Q903" s="9" t="str">
        <f ca="1">IFERROR(__xludf.DUMMYFUNCTION("IFERROR(VALUE(REGEXEXTRACT(TO_TEXT($F903), Q$1 &amp; ""x(\d+)"")), """")"),"")</f>
        <v/>
      </c>
      <c r="R903" s="9" t="str">
        <f ca="1">IFERROR(__xludf.DUMMYFUNCTION("IFERROR(VALUE(REGEXEXTRACT(TO_TEXT($F903), R$1 &amp; ""x(\d+)"")), """")"),"")</f>
        <v/>
      </c>
      <c r="S903" s="9" t="str">
        <f ca="1">IFERROR(__xludf.DUMMYFUNCTION("IFERROR(VALUE(REGEXEXTRACT(TO_TEXT($F903), S$1 &amp; ""x(\d+)"")), """")"),"")</f>
        <v/>
      </c>
      <c r="T903" s="9" t="str">
        <f ca="1">IFERROR(__xludf.DUMMYFUNCTION("IFERROR(VALUE(REGEXEXTRACT(TO_TEXT($F903), T$1 &amp; ""x(\d+)"")), """")"),"")</f>
        <v/>
      </c>
      <c r="U903" s="9" t="str">
        <f ca="1">IFERROR(__xludf.DUMMYFUNCTION("IFERROR(VALUE(REGEXEXTRACT(TO_TEXT($F903), U$1 &amp; ""x(\d+)"")), """")"),"")</f>
        <v/>
      </c>
      <c r="V903" s="9" t="str">
        <f ca="1">IFERROR(__xludf.DUMMYFUNCTION("IFERROR(VALUE(REGEXEXTRACT(TO_TEXT($F903), V$1 &amp; ""x(\d+)"")), """")"),"")</f>
        <v/>
      </c>
      <c r="W903" s="9"/>
      <c r="X903" s="9"/>
      <c r="Y903" s="9"/>
      <c r="Z903" s="9"/>
    </row>
    <row r="904" spans="1:26" ht="15.75" hidden="1" customHeight="1">
      <c r="A904" s="9" t="s">
        <v>181</v>
      </c>
      <c r="B904" s="9" t="s">
        <v>1990</v>
      </c>
      <c r="C904" s="9" t="s">
        <v>182</v>
      </c>
      <c r="D904" s="9" t="s">
        <v>48</v>
      </c>
      <c r="E904" s="9" t="s">
        <v>13</v>
      </c>
      <c r="F904" s="9" t="s">
        <v>1201</v>
      </c>
      <c r="G904" s="9">
        <v>30</v>
      </c>
      <c r="H904" s="9">
        <v>5</v>
      </c>
      <c r="I904" s="9">
        <v>1.0149999999999999</v>
      </c>
      <c r="J904" s="9">
        <v>52</v>
      </c>
      <c r="K904" s="9" t="s">
        <v>424</v>
      </c>
      <c r="L904" s="9"/>
      <c r="M904" s="9"/>
      <c r="N904" s="9" t="str">
        <f ca="1">IFERROR(__xludf.DUMMYFUNCTION("IFERROR(VALUE(REGEXEXTRACT(TO_TEXT($F904), N$1 &amp; ""x(\d+)"")), """")
"),"")</f>
        <v/>
      </c>
      <c r="O904" s="9" t="str">
        <f ca="1">IFERROR(__xludf.DUMMYFUNCTION("IFERROR(VALUE(REGEXEXTRACT(TO_TEXT($F904), O$1 &amp; ""x(\d+)"")), """")"),"")</f>
        <v/>
      </c>
      <c r="P904" s="9">
        <f ca="1">IFERROR(__xludf.DUMMYFUNCTION("IFERROR(VALUE(REGEXEXTRACT(TO_TEXT($F904), P$1 &amp; ""x(\d+)"")), """")"),1)</f>
        <v>1</v>
      </c>
      <c r="Q904" s="9" t="str">
        <f ca="1">IFERROR(__xludf.DUMMYFUNCTION("IFERROR(VALUE(REGEXEXTRACT(TO_TEXT($F904), Q$1 &amp; ""x(\d+)"")), """")"),"")</f>
        <v/>
      </c>
      <c r="R904" s="9" t="str">
        <f ca="1">IFERROR(__xludf.DUMMYFUNCTION("IFERROR(VALUE(REGEXEXTRACT(TO_TEXT($F904), R$1 &amp; ""x(\d+)"")), """")"),"")</f>
        <v/>
      </c>
      <c r="S904" s="9" t="str">
        <f ca="1">IFERROR(__xludf.DUMMYFUNCTION("IFERROR(VALUE(REGEXEXTRACT(TO_TEXT($F904), S$1 &amp; ""x(\d+)"")), """")"),"")</f>
        <v/>
      </c>
      <c r="T904" s="9" t="str">
        <f ca="1">IFERROR(__xludf.DUMMYFUNCTION("IFERROR(VALUE(REGEXEXTRACT(TO_TEXT($F904), T$1 &amp; ""x(\d+)"")), """")"),"")</f>
        <v/>
      </c>
      <c r="U904" s="9" t="str">
        <f ca="1">IFERROR(__xludf.DUMMYFUNCTION("IFERROR(VALUE(REGEXEXTRACT(TO_TEXT($F904), U$1 &amp; ""x(\d+)"")), """")"),"")</f>
        <v/>
      </c>
      <c r="V904" s="9" t="str">
        <f ca="1">IFERROR(__xludf.DUMMYFUNCTION("IFERROR(VALUE(REGEXEXTRACT(TO_TEXT($F904), V$1 &amp; ""x(\d+)"")), """")"),"")</f>
        <v/>
      </c>
      <c r="W904" s="9"/>
      <c r="X904" s="9"/>
      <c r="Y904" s="9"/>
      <c r="Z904" s="9"/>
    </row>
    <row r="905" spans="1:26" ht="15.75" hidden="1" customHeight="1">
      <c r="A905" s="9" t="s">
        <v>1992</v>
      </c>
      <c r="B905" s="9" t="s">
        <v>1993</v>
      </c>
      <c r="C905" s="9" t="s">
        <v>649</v>
      </c>
      <c r="D905" s="9" t="s">
        <v>48</v>
      </c>
      <c r="E905" s="9" t="s">
        <v>11</v>
      </c>
      <c r="F905" s="9" t="s">
        <v>1301</v>
      </c>
      <c r="G905" s="9">
        <v>30</v>
      </c>
      <c r="H905" s="9">
        <v>5</v>
      </c>
      <c r="I905" s="9">
        <v>1.0149999999999999</v>
      </c>
      <c r="J905" s="9">
        <v>52</v>
      </c>
      <c r="K905" s="9" t="s">
        <v>424</v>
      </c>
      <c r="L905" s="9"/>
      <c r="M905" s="9"/>
      <c r="N905" s="9" t="str">
        <f ca="1">IFERROR(__xludf.DUMMYFUNCTION("IFERROR(VALUE(REGEXEXTRACT(TO_TEXT($F905), N$1 &amp; ""x(\d+)"")), """")
"),"")</f>
        <v/>
      </c>
      <c r="O905" s="9" t="str">
        <f ca="1">IFERROR(__xludf.DUMMYFUNCTION("IFERROR(VALUE(REGEXEXTRACT(TO_TEXT($F905), O$1 &amp; ""x(\d+)"")), """")"),"")</f>
        <v/>
      </c>
      <c r="P905" s="9" t="str">
        <f ca="1">IFERROR(__xludf.DUMMYFUNCTION("IFERROR(VALUE(REGEXEXTRACT(TO_TEXT($F905), P$1 &amp; ""x(\d+)"")), """")"),"")</f>
        <v/>
      </c>
      <c r="Q905" s="9" t="str">
        <f ca="1">IFERROR(__xludf.DUMMYFUNCTION("IFERROR(VALUE(REGEXEXTRACT(TO_TEXT($F905), Q$1 &amp; ""x(\d+)"")), """")"),"")</f>
        <v/>
      </c>
      <c r="R905" s="9" t="str">
        <f ca="1">IFERROR(__xludf.DUMMYFUNCTION("IFERROR(VALUE(REGEXEXTRACT(TO_TEXT($F905), R$1 &amp; ""x(\d+)"")), """")"),"")</f>
        <v/>
      </c>
      <c r="S905" s="9" t="str">
        <f ca="1">IFERROR(__xludf.DUMMYFUNCTION("IFERROR(VALUE(REGEXEXTRACT(TO_TEXT($F905), S$1 &amp; ""x(\d+)"")), """")"),"")</f>
        <v/>
      </c>
      <c r="T905" s="9" t="str">
        <f ca="1">IFERROR(__xludf.DUMMYFUNCTION("IFERROR(VALUE(REGEXEXTRACT(TO_TEXT($F905), T$1 &amp; ""x(\d+)"")), """")"),"")</f>
        <v/>
      </c>
      <c r="U905" s="9" t="str">
        <f ca="1">IFERROR(__xludf.DUMMYFUNCTION("IFERROR(VALUE(REGEXEXTRACT(TO_TEXT($F905), U$1 &amp; ""x(\d+)"")), """")"),"")</f>
        <v/>
      </c>
      <c r="V905" s="9" t="str">
        <f ca="1">IFERROR(__xludf.DUMMYFUNCTION("IFERROR(VALUE(REGEXEXTRACT(TO_TEXT($F905), V$1 &amp; ""x(\d+)"")), """")"),"")</f>
        <v/>
      </c>
      <c r="W905" s="9"/>
      <c r="X905" s="9"/>
      <c r="Y905" s="9"/>
      <c r="Z905" s="9"/>
    </row>
    <row r="906" spans="1:26" ht="15.75" hidden="1" customHeight="1">
      <c r="A906" s="9" t="s">
        <v>1992</v>
      </c>
      <c r="B906" s="9" t="s">
        <v>1993</v>
      </c>
      <c r="C906" s="9" t="s">
        <v>649</v>
      </c>
      <c r="D906" s="9" t="s">
        <v>48</v>
      </c>
      <c r="E906" s="9" t="s">
        <v>12</v>
      </c>
      <c r="F906" s="9" t="s">
        <v>1994</v>
      </c>
      <c r="G906" s="9">
        <v>160</v>
      </c>
      <c r="H906" s="9">
        <v>5</v>
      </c>
      <c r="I906" s="9">
        <v>1.0149999999999999</v>
      </c>
      <c r="J906" s="9">
        <v>52</v>
      </c>
      <c r="K906" s="9" t="s">
        <v>424</v>
      </c>
      <c r="L906" s="9" t="s">
        <v>1995</v>
      </c>
      <c r="M906" s="9"/>
      <c r="N906" s="9" t="str">
        <f ca="1">IFERROR(__xludf.DUMMYFUNCTION("IFERROR(VALUE(REGEXEXTRACT(TO_TEXT($F906), N$1 &amp; ""x(\d+)"")), """")
"),"")</f>
        <v/>
      </c>
      <c r="O906" s="9" t="str">
        <f ca="1">IFERROR(__xludf.DUMMYFUNCTION("IFERROR(VALUE(REGEXEXTRACT(TO_TEXT($F906), O$1 &amp; ""x(\d+)"")), """")"),"")</f>
        <v/>
      </c>
      <c r="P906" s="9">
        <f ca="1">IFERROR(__xludf.DUMMYFUNCTION("IFERROR(VALUE(REGEXEXTRACT(TO_TEXT($F906), P$1 &amp; ""x(\d+)"")), """")"),1)</f>
        <v>1</v>
      </c>
      <c r="Q906" s="9" t="str">
        <f ca="1">IFERROR(__xludf.DUMMYFUNCTION("IFERROR(VALUE(REGEXEXTRACT(TO_TEXT($F906), Q$1 &amp; ""x(\d+)"")), """")"),"")</f>
        <v/>
      </c>
      <c r="R906" s="9">
        <f ca="1">IFERROR(__xludf.DUMMYFUNCTION("IFERROR(VALUE(REGEXEXTRACT(TO_TEXT($F906), R$1 &amp; ""x(\d+)"")), """")"),1)</f>
        <v>1</v>
      </c>
      <c r="S906" s="9" t="str">
        <f ca="1">IFERROR(__xludf.DUMMYFUNCTION("IFERROR(VALUE(REGEXEXTRACT(TO_TEXT($F906), S$1 &amp; ""x(\d+)"")), """")"),"")</f>
        <v/>
      </c>
      <c r="T906" s="9">
        <f ca="1">IFERROR(__xludf.DUMMYFUNCTION("IFERROR(VALUE(REGEXEXTRACT(TO_TEXT($F906), T$1 &amp; ""x(\d+)"")), """")"),1)</f>
        <v>1</v>
      </c>
      <c r="U906" s="9" t="str">
        <f ca="1">IFERROR(__xludf.DUMMYFUNCTION("IFERROR(VALUE(REGEXEXTRACT(TO_TEXT($F906), U$1 &amp; ""x(\d+)"")), """")"),"")</f>
        <v/>
      </c>
      <c r="V906" s="9" t="str">
        <f ca="1">IFERROR(__xludf.DUMMYFUNCTION("IFERROR(VALUE(REGEXEXTRACT(TO_TEXT($F906), V$1 &amp; ""x(\d+)"")), """")"),"")</f>
        <v/>
      </c>
      <c r="W906" s="9"/>
      <c r="X906" s="9"/>
      <c r="Y906" s="9"/>
      <c r="Z906" s="9"/>
    </row>
    <row r="907" spans="1:26" ht="15.75" hidden="1" customHeight="1">
      <c r="A907" s="9" t="s">
        <v>1992</v>
      </c>
      <c r="B907" s="9" t="s">
        <v>1993</v>
      </c>
      <c r="C907" s="9" t="s">
        <v>649</v>
      </c>
      <c r="D907" s="9" t="s">
        <v>48</v>
      </c>
      <c r="E907" s="9" t="s">
        <v>13</v>
      </c>
      <c r="F907" s="9" t="s">
        <v>1634</v>
      </c>
      <c r="G907" s="9">
        <v>40</v>
      </c>
      <c r="H907" s="9">
        <v>5</v>
      </c>
      <c r="I907" s="9">
        <v>1.0149999999999999</v>
      </c>
      <c r="J907" s="9">
        <v>52</v>
      </c>
      <c r="K907" s="9" t="s">
        <v>424</v>
      </c>
      <c r="L907" s="9"/>
      <c r="M907" s="9"/>
      <c r="N907" s="9" t="str">
        <f ca="1">IFERROR(__xludf.DUMMYFUNCTION("IFERROR(VALUE(REGEXEXTRACT(TO_TEXT($F907), N$1 &amp; ""x(\d+)"")), """")
"),"")</f>
        <v/>
      </c>
      <c r="O907" s="9" t="str">
        <f ca="1">IFERROR(__xludf.DUMMYFUNCTION("IFERROR(VALUE(REGEXEXTRACT(TO_TEXT($F907), O$1 &amp; ""x(\d+)"")), """")"),"")</f>
        <v/>
      </c>
      <c r="P907" s="9">
        <f ca="1">IFERROR(__xludf.DUMMYFUNCTION("IFERROR(VALUE(REGEXEXTRACT(TO_TEXT($F907), P$1 &amp; ""x(\d+)"")), """")"),1)</f>
        <v>1</v>
      </c>
      <c r="Q907" s="9" t="str">
        <f ca="1">IFERROR(__xludf.DUMMYFUNCTION("IFERROR(VALUE(REGEXEXTRACT(TO_TEXT($F907), Q$1 &amp; ""x(\d+)"")), """")"),"")</f>
        <v/>
      </c>
      <c r="R907" s="9">
        <f ca="1">IFERROR(__xludf.DUMMYFUNCTION("IFERROR(VALUE(REGEXEXTRACT(TO_TEXT($F907), R$1 &amp; ""x(\d+)"")), """")"),1)</f>
        <v>1</v>
      </c>
      <c r="S907" s="9" t="str">
        <f ca="1">IFERROR(__xludf.DUMMYFUNCTION("IFERROR(VALUE(REGEXEXTRACT(TO_TEXT($F907), S$1 &amp; ""x(\d+)"")), """")"),"")</f>
        <v/>
      </c>
      <c r="T907" s="9">
        <f ca="1">IFERROR(__xludf.DUMMYFUNCTION("IFERROR(VALUE(REGEXEXTRACT(TO_TEXT($F907), T$1 &amp; ""x(\d+)"")), """")"),1)</f>
        <v>1</v>
      </c>
      <c r="U907" s="9" t="str">
        <f ca="1">IFERROR(__xludf.DUMMYFUNCTION("IFERROR(VALUE(REGEXEXTRACT(TO_TEXT($F907), U$1 &amp; ""x(\d+)"")), """")"),"")</f>
        <v/>
      </c>
      <c r="V907" s="9" t="str">
        <f ca="1">IFERROR(__xludf.DUMMYFUNCTION("IFERROR(VALUE(REGEXEXTRACT(TO_TEXT($F907), V$1 &amp; ""x(\d+)"")), """")"),"")</f>
        <v/>
      </c>
      <c r="W907" s="9"/>
      <c r="X907" s="9"/>
      <c r="Y907" s="9"/>
      <c r="Z907" s="9"/>
    </row>
    <row r="908" spans="1:26" ht="15.75" hidden="1" customHeight="1">
      <c r="A908" s="9" t="s">
        <v>1992</v>
      </c>
      <c r="B908" s="9" t="s">
        <v>1993</v>
      </c>
      <c r="C908" s="9" t="s">
        <v>649</v>
      </c>
      <c r="D908" s="9" t="s">
        <v>74</v>
      </c>
      <c r="E908" s="9" t="s">
        <v>11</v>
      </c>
      <c r="F908" s="9" t="s">
        <v>1996</v>
      </c>
      <c r="G908" s="9">
        <v>25</v>
      </c>
      <c r="H908" s="9">
        <v>2</v>
      </c>
      <c r="I908" s="9">
        <v>1.0149999999999999</v>
      </c>
      <c r="J908" s="9">
        <v>103</v>
      </c>
      <c r="K908" s="9" t="s">
        <v>424</v>
      </c>
      <c r="L908" s="9"/>
      <c r="M908" s="9"/>
      <c r="N908" s="9" t="str">
        <f ca="1">IFERROR(__xludf.DUMMYFUNCTION("IFERROR(VALUE(REGEXEXTRACT(TO_TEXT($F908), N$1 &amp; ""x(\d+)"")), """")
"),"")</f>
        <v/>
      </c>
      <c r="O908" s="9" t="str">
        <f ca="1">IFERROR(__xludf.DUMMYFUNCTION("IFERROR(VALUE(REGEXEXTRACT(TO_TEXT($F908), O$1 &amp; ""x(\d+)"")), """")"),"")</f>
        <v/>
      </c>
      <c r="P908" s="9" t="str">
        <f ca="1">IFERROR(__xludf.DUMMYFUNCTION("IFERROR(VALUE(REGEXEXTRACT(TO_TEXT($F908), P$1 &amp; ""x(\d+)"")), """")"),"")</f>
        <v/>
      </c>
      <c r="Q908" s="9" t="str">
        <f ca="1">IFERROR(__xludf.DUMMYFUNCTION("IFERROR(VALUE(REGEXEXTRACT(TO_TEXT($F908), Q$1 &amp; ""x(\d+)"")), """")"),"")</f>
        <v/>
      </c>
      <c r="R908" s="9" t="str">
        <f ca="1">IFERROR(__xludf.DUMMYFUNCTION("IFERROR(VALUE(REGEXEXTRACT(TO_TEXT($F908), R$1 &amp; ""x(\d+)"")), """")"),"")</f>
        <v/>
      </c>
      <c r="S908" s="9" t="str">
        <f ca="1">IFERROR(__xludf.DUMMYFUNCTION("IFERROR(VALUE(REGEXEXTRACT(TO_TEXT($F908), S$1 &amp; ""x(\d+)"")), """")"),"")</f>
        <v/>
      </c>
      <c r="T908" s="9" t="str">
        <f ca="1">IFERROR(__xludf.DUMMYFUNCTION("IFERROR(VALUE(REGEXEXTRACT(TO_TEXT($F908), T$1 &amp; ""x(\d+)"")), """")"),"")</f>
        <v/>
      </c>
      <c r="U908" s="9" t="str">
        <f ca="1">IFERROR(__xludf.DUMMYFUNCTION("IFERROR(VALUE(REGEXEXTRACT(TO_TEXT($F908), U$1 &amp; ""x(\d+)"")), """")"),"")</f>
        <v/>
      </c>
      <c r="V908" s="9" t="str">
        <f ca="1">IFERROR(__xludf.DUMMYFUNCTION("IFERROR(VALUE(REGEXEXTRACT(TO_TEXT($F908), V$1 &amp; ""x(\d+)"")), """")"),"")</f>
        <v/>
      </c>
      <c r="W908" s="9"/>
      <c r="X908" s="9"/>
      <c r="Y908" s="9"/>
      <c r="Z908" s="9"/>
    </row>
    <row r="909" spans="1:26" ht="15.75" hidden="1" customHeight="1">
      <c r="A909" s="9" t="s">
        <v>1992</v>
      </c>
      <c r="B909" s="9" t="s">
        <v>1993</v>
      </c>
      <c r="C909" s="9" t="s">
        <v>649</v>
      </c>
      <c r="D909" s="9" t="s">
        <v>74</v>
      </c>
      <c r="E909" s="9" t="s">
        <v>12</v>
      </c>
      <c r="F909" s="9" t="s">
        <v>1124</v>
      </c>
      <c r="G909" s="9">
        <v>180</v>
      </c>
      <c r="H909" s="9">
        <v>2</v>
      </c>
      <c r="I909" s="9">
        <v>1.0149999999999999</v>
      </c>
      <c r="J909" s="9">
        <v>103</v>
      </c>
      <c r="K909" s="9" t="s">
        <v>424</v>
      </c>
      <c r="L909" s="9" t="s">
        <v>1210</v>
      </c>
      <c r="M909" s="9"/>
      <c r="N909" s="9" t="str">
        <f ca="1">IFERROR(__xludf.DUMMYFUNCTION("IFERROR(VALUE(REGEXEXTRACT(TO_TEXT($F909), N$1 &amp; ""x(\d+)"")), """")
"),"")</f>
        <v/>
      </c>
      <c r="O909" s="9" t="str">
        <f ca="1">IFERROR(__xludf.DUMMYFUNCTION("IFERROR(VALUE(REGEXEXTRACT(TO_TEXT($F909), O$1 &amp; ""x(\d+)"")), """")"),"")</f>
        <v/>
      </c>
      <c r="P909" s="9" t="str">
        <f ca="1">IFERROR(__xludf.DUMMYFUNCTION("IFERROR(VALUE(REGEXEXTRACT(TO_TEXT($F909), P$1 &amp; ""x(\d+)"")), """")"),"")</f>
        <v/>
      </c>
      <c r="Q909" s="9">
        <f ca="1">IFERROR(__xludf.DUMMYFUNCTION("IFERROR(VALUE(REGEXEXTRACT(TO_TEXT($F909), Q$1 &amp; ""x(\d+)"")), """")"),1)</f>
        <v>1</v>
      </c>
      <c r="R909" s="9" t="str">
        <f ca="1">IFERROR(__xludf.DUMMYFUNCTION("IFERROR(VALUE(REGEXEXTRACT(TO_TEXT($F909), R$1 &amp; ""x(\d+)"")), """")"),"")</f>
        <v/>
      </c>
      <c r="S909" s="9" t="str">
        <f ca="1">IFERROR(__xludf.DUMMYFUNCTION("IFERROR(VALUE(REGEXEXTRACT(TO_TEXT($F909), S$1 &amp; ""x(\d+)"")), """")"),"")</f>
        <v/>
      </c>
      <c r="T909" s="9" t="str">
        <f ca="1">IFERROR(__xludf.DUMMYFUNCTION("IFERROR(VALUE(REGEXEXTRACT(TO_TEXT($F909), T$1 &amp; ""x(\d+)"")), """")"),"")</f>
        <v/>
      </c>
      <c r="U909" s="9" t="str">
        <f ca="1">IFERROR(__xludf.DUMMYFUNCTION("IFERROR(VALUE(REGEXEXTRACT(TO_TEXT($F909), U$1 &amp; ""x(\d+)"")), """")"),"")</f>
        <v/>
      </c>
      <c r="V909" s="9" t="str">
        <f ca="1">IFERROR(__xludf.DUMMYFUNCTION("IFERROR(VALUE(REGEXEXTRACT(TO_TEXT($F909), V$1 &amp; ""x(\d+)"")), """")"),"")</f>
        <v/>
      </c>
      <c r="W909" s="9"/>
      <c r="X909" s="9"/>
      <c r="Y909" s="9"/>
      <c r="Z909" s="9"/>
    </row>
    <row r="910" spans="1:26" ht="15.75" hidden="1" customHeight="1">
      <c r="A910" s="9" t="s">
        <v>1992</v>
      </c>
      <c r="B910" s="9" t="s">
        <v>1993</v>
      </c>
      <c r="C910" s="9" t="s">
        <v>649</v>
      </c>
      <c r="D910" s="9" t="s">
        <v>74</v>
      </c>
      <c r="E910" s="9" t="s">
        <v>13</v>
      </c>
      <c r="F910" s="9" t="s">
        <v>1125</v>
      </c>
      <c r="G910" s="9">
        <v>40</v>
      </c>
      <c r="H910" s="9">
        <v>2</v>
      </c>
      <c r="I910" s="9">
        <v>1.0149999999999999</v>
      </c>
      <c r="J910" s="9">
        <v>103</v>
      </c>
      <c r="K910" s="9" t="s">
        <v>424</v>
      </c>
      <c r="L910" s="9"/>
      <c r="M910" s="9"/>
      <c r="N910" s="9" t="str">
        <f ca="1">IFERROR(__xludf.DUMMYFUNCTION("IFERROR(VALUE(REGEXEXTRACT(TO_TEXT($F910), N$1 &amp; ""x(\d+)"")), """")
"),"")</f>
        <v/>
      </c>
      <c r="O910" s="9" t="str">
        <f ca="1">IFERROR(__xludf.DUMMYFUNCTION("IFERROR(VALUE(REGEXEXTRACT(TO_TEXT($F910), O$1 &amp; ""x(\d+)"")), """")"),"")</f>
        <v/>
      </c>
      <c r="P910" s="9" t="str">
        <f ca="1">IFERROR(__xludf.DUMMYFUNCTION("IFERROR(VALUE(REGEXEXTRACT(TO_TEXT($F910), P$1 &amp; ""x(\d+)"")), """")"),"")</f>
        <v/>
      </c>
      <c r="Q910" s="9">
        <f ca="1">IFERROR(__xludf.DUMMYFUNCTION("IFERROR(VALUE(REGEXEXTRACT(TO_TEXT($F910), Q$1 &amp; ""x(\d+)"")), """")"),1)</f>
        <v>1</v>
      </c>
      <c r="R910" s="9" t="str">
        <f ca="1">IFERROR(__xludf.DUMMYFUNCTION("IFERROR(VALUE(REGEXEXTRACT(TO_TEXT($F910), R$1 &amp; ""x(\d+)"")), """")"),"")</f>
        <v/>
      </c>
      <c r="S910" s="9" t="str">
        <f ca="1">IFERROR(__xludf.DUMMYFUNCTION("IFERROR(VALUE(REGEXEXTRACT(TO_TEXT($F910), S$1 &amp; ""x(\d+)"")), """")"),"")</f>
        <v/>
      </c>
      <c r="T910" s="9" t="str">
        <f ca="1">IFERROR(__xludf.DUMMYFUNCTION("IFERROR(VALUE(REGEXEXTRACT(TO_TEXT($F910), T$1 &amp; ""x(\d+)"")), """")"),"")</f>
        <v/>
      </c>
      <c r="U910" s="9" t="str">
        <f ca="1">IFERROR(__xludf.DUMMYFUNCTION("IFERROR(VALUE(REGEXEXTRACT(TO_TEXT($F910), U$1 &amp; ""x(\d+)"")), """")"),"")</f>
        <v/>
      </c>
      <c r="V910" s="9" t="str">
        <f ca="1">IFERROR(__xludf.DUMMYFUNCTION("IFERROR(VALUE(REGEXEXTRACT(TO_TEXT($F910), V$1 &amp; ""x(\d+)"")), """")"),"")</f>
        <v/>
      </c>
      <c r="W910" s="9"/>
      <c r="X910" s="9"/>
      <c r="Y910" s="9"/>
      <c r="Z910" s="9"/>
    </row>
    <row r="911" spans="1:26" ht="15.75" hidden="1" customHeight="1">
      <c r="A911" s="9" t="s">
        <v>1997</v>
      </c>
      <c r="B911" s="9" t="s">
        <v>1998</v>
      </c>
      <c r="C911" s="9" t="s">
        <v>631</v>
      </c>
      <c r="D911" s="9" t="s">
        <v>48</v>
      </c>
      <c r="E911" s="9" t="s">
        <v>11</v>
      </c>
      <c r="F911" s="9" t="s">
        <v>1301</v>
      </c>
      <c r="G911" s="9">
        <v>25</v>
      </c>
      <c r="H911" s="9">
        <v>5</v>
      </c>
      <c r="I911" s="9">
        <v>1.0149999999999999</v>
      </c>
      <c r="J911" s="9">
        <v>52</v>
      </c>
      <c r="K911" s="9" t="s">
        <v>424</v>
      </c>
      <c r="L911" s="9"/>
      <c r="M911" s="9"/>
      <c r="N911" s="9" t="str">
        <f ca="1">IFERROR(__xludf.DUMMYFUNCTION("IFERROR(VALUE(REGEXEXTRACT(TO_TEXT($F911), N$1 &amp; ""x(\d+)"")), """")
"),"")</f>
        <v/>
      </c>
      <c r="O911" s="9" t="str">
        <f ca="1">IFERROR(__xludf.DUMMYFUNCTION("IFERROR(VALUE(REGEXEXTRACT(TO_TEXT($F911), O$1 &amp; ""x(\d+)"")), """")"),"")</f>
        <v/>
      </c>
      <c r="P911" s="9" t="str">
        <f ca="1">IFERROR(__xludf.DUMMYFUNCTION("IFERROR(VALUE(REGEXEXTRACT(TO_TEXT($F911), P$1 &amp; ""x(\d+)"")), """")"),"")</f>
        <v/>
      </c>
      <c r="Q911" s="9" t="str">
        <f ca="1">IFERROR(__xludf.DUMMYFUNCTION("IFERROR(VALUE(REGEXEXTRACT(TO_TEXT($F911), Q$1 &amp; ""x(\d+)"")), """")"),"")</f>
        <v/>
      </c>
      <c r="R911" s="9" t="str">
        <f ca="1">IFERROR(__xludf.DUMMYFUNCTION("IFERROR(VALUE(REGEXEXTRACT(TO_TEXT($F911), R$1 &amp; ""x(\d+)"")), """")"),"")</f>
        <v/>
      </c>
      <c r="S911" s="9" t="str">
        <f ca="1">IFERROR(__xludf.DUMMYFUNCTION("IFERROR(VALUE(REGEXEXTRACT(TO_TEXT($F911), S$1 &amp; ""x(\d+)"")), """")"),"")</f>
        <v/>
      </c>
      <c r="T911" s="9" t="str">
        <f ca="1">IFERROR(__xludf.DUMMYFUNCTION("IFERROR(VALUE(REGEXEXTRACT(TO_TEXT($F911), T$1 &amp; ""x(\d+)"")), """")"),"")</f>
        <v/>
      </c>
      <c r="U911" s="9" t="str">
        <f ca="1">IFERROR(__xludf.DUMMYFUNCTION("IFERROR(VALUE(REGEXEXTRACT(TO_TEXT($F911), U$1 &amp; ""x(\d+)"")), """")"),"")</f>
        <v/>
      </c>
      <c r="V911" s="9" t="str">
        <f ca="1">IFERROR(__xludf.DUMMYFUNCTION("IFERROR(VALUE(REGEXEXTRACT(TO_TEXT($F911), V$1 &amp; ""x(\d+)"")), """")"),"")</f>
        <v/>
      </c>
      <c r="W911" s="9"/>
      <c r="X911" s="9"/>
      <c r="Y911" s="9"/>
      <c r="Z911" s="9"/>
    </row>
    <row r="912" spans="1:26" ht="15.75" hidden="1" customHeight="1">
      <c r="A912" s="9" t="s">
        <v>1997</v>
      </c>
      <c r="B912" s="9" t="s">
        <v>1998</v>
      </c>
      <c r="C912" s="9" t="s">
        <v>631</v>
      </c>
      <c r="D912" s="9" t="s">
        <v>48</v>
      </c>
      <c r="E912" s="9" t="s">
        <v>12</v>
      </c>
      <c r="F912" s="9" t="s">
        <v>1302</v>
      </c>
      <c r="G912" s="9">
        <v>180</v>
      </c>
      <c r="H912" s="9">
        <v>5</v>
      </c>
      <c r="I912" s="9">
        <v>1.0149999999999999</v>
      </c>
      <c r="J912" s="9">
        <v>52</v>
      </c>
      <c r="K912" s="9" t="s">
        <v>424</v>
      </c>
      <c r="L912" s="9" t="s">
        <v>1169</v>
      </c>
      <c r="M912" s="9"/>
      <c r="N912" s="9" t="str">
        <f ca="1">IFERROR(__xludf.DUMMYFUNCTION("IFERROR(VALUE(REGEXEXTRACT(TO_TEXT($F912), N$1 &amp; ""x(\d+)"")), """")
"),"")</f>
        <v/>
      </c>
      <c r="O912" s="9" t="str">
        <f ca="1">IFERROR(__xludf.DUMMYFUNCTION("IFERROR(VALUE(REGEXEXTRACT(TO_TEXT($F912), O$1 &amp; ""x(\d+)"")), """")"),"")</f>
        <v/>
      </c>
      <c r="P912" s="9">
        <f ca="1">IFERROR(__xludf.DUMMYFUNCTION("IFERROR(VALUE(REGEXEXTRACT(TO_TEXT($F912), P$1 &amp; ""x(\d+)"")), """")"),1)</f>
        <v>1</v>
      </c>
      <c r="Q912" s="9" t="str">
        <f ca="1">IFERROR(__xludf.DUMMYFUNCTION("IFERROR(VALUE(REGEXEXTRACT(TO_TEXT($F912), Q$1 &amp; ""x(\d+)"")), """")"),"")</f>
        <v/>
      </c>
      <c r="R912" s="9" t="str">
        <f ca="1">IFERROR(__xludf.DUMMYFUNCTION("IFERROR(VALUE(REGEXEXTRACT(TO_TEXT($F912), R$1 &amp; ""x(\d+)"")), """")"),"")</f>
        <v/>
      </c>
      <c r="S912" s="9" t="str">
        <f ca="1">IFERROR(__xludf.DUMMYFUNCTION("IFERROR(VALUE(REGEXEXTRACT(TO_TEXT($F912), S$1 &amp; ""x(\d+)"")), """")"),"")</f>
        <v/>
      </c>
      <c r="T912" s="9" t="str">
        <f ca="1">IFERROR(__xludf.DUMMYFUNCTION("IFERROR(VALUE(REGEXEXTRACT(TO_TEXT($F912), T$1 &amp; ""x(\d+)"")), """")"),"")</f>
        <v/>
      </c>
      <c r="U912" s="9" t="str">
        <f ca="1">IFERROR(__xludf.DUMMYFUNCTION("IFERROR(VALUE(REGEXEXTRACT(TO_TEXT($F912), U$1 &amp; ""x(\d+)"")), """")"),"")</f>
        <v/>
      </c>
      <c r="V912" s="9" t="str">
        <f ca="1">IFERROR(__xludf.DUMMYFUNCTION("IFERROR(VALUE(REGEXEXTRACT(TO_TEXT($F912), V$1 &amp; ""x(\d+)"")), """")"),"")</f>
        <v/>
      </c>
      <c r="W912" s="9"/>
      <c r="X912" s="9"/>
      <c r="Y912" s="9"/>
      <c r="Z912" s="9"/>
    </row>
    <row r="913" spans="1:26" ht="15.75" hidden="1" customHeight="1">
      <c r="A913" s="9" t="s">
        <v>1997</v>
      </c>
      <c r="B913" s="9" t="s">
        <v>1998</v>
      </c>
      <c r="C913" s="9" t="s">
        <v>631</v>
      </c>
      <c r="D913" s="9" t="s">
        <v>48</v>
      </c>
      <c r="E913" s="9" t="s">
        <v>13</v>
      </c>
      <c r="F913" s="9" t="s">
        <v>1201</v>
      </c>
      <c r="G913" s="9">
        <v>40</v>
      </c>
      <c r="H913" s="9">
        <v>5</v>
      </c>
      <c r="I913" s="9">
        <v>1.0149999999999999</v>
      </c>
      <c r="J913" s="9">
        <v>52</v>
      </c>
      <c r="K913" s="9" t="s">
        <v>424</v>
      </c>
      <c r="L913" s="9"/>
      <c r="M913" s="9"/>
      <c r="N913" s="9" t="str">
        <f ca="1">IFERROR(__xludf.DUMMYFUNCTION("IFERROR(VALUE(REGEXEXTRACT(TO_TEXT($F913), N$1 &amp; ""x(\d+)"")), """")
"),"")</f>
        <v/>
      </c>
      <c r="O913" s="9" t="str">
        <f ca="1">IFERROR(__xludf.DUMMYFUNCTION("IFERROR(VALUE(REGEXEXTRACT(TO_TEXT($F913), O$1 &amp; ""x(\d+)"")), """")"),"")</f>
        <v/>
      </c>
      <c r="P913" s="9">
        <f ca="1">IFERROR(__xludf.DUMMYFUNCTION("IFERROR(VALUE(REGEXEXTRACT(TO_TEXT($F913), P$1 &amp; ""x(\d+)"")), """")"),1)</f>
        <v>1</v>
      </c>
      <c r="Q913" s="9" t="str">
        <f ca="1">IFERROR(__xludf.DUMMYFUNCTION("IFERROR(VALUE(REGEXEXTRACT(TO_TEXT($F913), Q$1 &amp; ""x(\d+)"")), """")"),"")</f>
        <v/>
      </c>
      <c r="R913" s="9" t="str">
        <f ca="1">IFERROR(__xludf.DUMMYFUNCTION("IFERROR(VALUE(REGEXEXTRACT(TO_TEXT($F913), R$1 &amp; ""x(\d+)"")), """")"),"")</f>
        <v/>
      </c>
      <c r="S913" s="9" t="str">
        <f ca="1">IFERROR(__xludf.DUMMYFUNCTION("IFERROR(VALUE(REGEXEXTRACT(TO_TEXT($F913), S$1 &amp; ""x(\d+)"")), """")"),"")</f>
        <v/>
      </c>
      <c r="T913" s="9" t="str">
        <f ca="1">IFERROR(__xludf.DUMMYFUNCTION("IFERROR(VALUE(REGEXEXTRACT(TO_TEXT($F913), T$1 &amp; ""x(\d+)"")), """")"),"")</f>
        <v/>
      </c>
      <c r="U913" s="9" t="str">
        <f ca="1">IFERROR(__xludf.DUMMYFUNCTION("IFERROR(VALUE(REGEXEXTRACT(TO_TEXT($F913), U$1 &amp; ""x(\d+)"")), """")"),"")</f>
        <v/>
      </c>
      <c r="V913" s="9" t="str">
        <f ca="1">IFERROR(__xludf.DUMMYFUNCTION("IFERROR(VALUE(REGEXEXTRACT(TO_TEXT($F913), V$1 &amp; ""x(\d+)"")), """")"),"")</f>
        <v/>
      </c>
      <c r="W913" s="9"/>
      <c r="X913" s="9"/>
      <c r="Y913" s="9"/>
      <c r="Z913" s="9"/>
    </row>
    <row r="914" spans="1:26" ht="15.75" hidden="1" customHeight="1">
      <c r="A914" s="9" t="s">
        <v>1997</v>
      </c>
      <c r="B914" s="9" t="s">
        <v>1998</v>
      </c>
      <c r="C914" s="9" t="s">
        <v>631</v>
      </c>
      <c r="D914" s="9" t="s">
        <v>74</v>
      </c>
      <c r="E914" s="9" t="s">
        <v>11</v>
      </c>
      <c r="F914" s="9" t="s">
        <v>1354</v>
      </c>
      <c r="G914" s="9">
        <v>25</v>
      </c>
      <c r="H914" s="9">
        <v>3</v>
      </c>
      <c r="I914" s="9">
        <v>1.0149999999999999</v>
      </c>
      <c r="J914" s="9">
        <v>103</v>
      </c>
      <c r="K914" s="9" t="s">
        <v>424</v>
      </c>
      <c r="L914" s="9"/>
      <c r="M914" s="9"/>
      <c r="N914" s="9" t="str">
        <f ca="1">IFERROR(__xludf.DUMMYFUNCTION("IFERROR(VALUE(REGEXEXTRACT(TO_TEXT($F914), N$1 &amp; ""x(\d+)"")), """")
"),"")</f>
        <v/>
      </c>
      <c r="O914" s="9" t="str">
        <f ca="1">IFERROR(__xludf.DUMMYFUNCTION("IFERROR(VALUE(REGEXEXTRACT(TO_TEXT($F914), O$1 &amp; ""x(\d+)"")), """")"),"")</f>
        <v/>
      </c>
      <c r="P914" s="9" t="str">
        <f ca="1">IFERROR(__xludf.DUMMYFUNCTION("IFERROR(VALUE(REGEXEXTRACT(TO_TEXT($F914), P$1 &amp; ""x(\d+)"")), """")"),"")</f>
        <v/>
      </c>
      <c r="Q914" s="9" t="str">
        <f ca="1">IFERROR(__xludf.DUMMYFUNCTION("IFERROR(VALUE(REGEXEXTRACT(TO_TEXT($F914), Q$1 &amp; ""x(\d+)"")), """")"),"")</f>
        <v/>
      </c>
      <c r="R914" s="9" t="str">
        <f ca="1">IFERROR(__xludf.DUMMYFUNCTION("IFERROR(VALUE(REGEXEXTRACT(TO_TEXT($F914), R$1 &amp; ""x(\d+)"")), """")"),"")</f>
        <v/>
      </c>
      <c r="S914" s="9" t="str">
        <f ca="1">IFERROR(__xludf.DUMMYFUNCTION("IFERROR(VALUE(REGEXEXTRACT(TO_TEXT($F914), S$1 &amp; ""x(\d+)"")), """")"),"")</f>
        <v/>
      </c>
      <c r="T914" s="9" t="str">
        <f ca="1">IFERROR(__xludf.DUMMYFUNCTION("IFERROR(VALUE(REGEXEXTRACT(TO_TEXT($F914), T$1 &amp; ""x(\d+)"")), """")"),"")</f>
        <v/>
      </c>
      <c r="U914" s="9" t="str">
        <f ca="1">IFERROR(__xludf.DUMMYFUNCTION("IFERROR(VALUE(REGEXEXTRACT(TO_TEXT($F914), U$1 &amp; ""x(\d+)"")), """")"),"")</f>
        <v/>
      </c>
      <c r="V914" s="9" t="str">
        <f ca="1">IFERROR(__xludf.DUMMYFUNCTION("IFERROR(VALUE(REGEXEXTRACT(TO_TEXT($F914), V$1 &amp; ""x(\d+)"")), """")"),"")</f>
        <v/>
      </c>
      <c r="W914" s="9"/>
      <c r="X914" s="9"/>
      <c r="Y914" s="9"/>
      <c r="Z914" s="9"/>
    </row>
    <row r="915" spans="1:26" ht="15.75" hidden="1" customHeight="1">
      <c r="A915" s="9" t="s">
        <v>1997</v>
      </c>
      <c r="B915" s="9" t="s">
        <v>1998</v>
      </c>
      <c r="C915" s="9" t="s">
        <v>631</v>
      </c>
      <c r="D915" s="9" t="s">
        <v>74</v>
      </c>
      <c r="E915" s="9" t="s">
        <v>12</v>
      </c>
      <c r="F915" s="9" t="s">
        <v>1991</v>
      </c>
      <c r="G915" s="9">
        <v>180</v>
      </c>
      <c r="H915" s="9">
        <v>3</v>
      </c>
      <c r="I915" s="9">
        <v>1.0149999999999999</v>
      </c>
      <c r="J915" s="9">
        <v>103</v>
      </c>
      <c r="K915" s="9" t="s">
        <v>424</v>
      </c>
      <c r="L915" s="9" t="s">
        <v>1169</v>
      </c>
      <c r="M915" s="9"/>
      <c r="N915" s="9" t="str">
        <f ca="1">IFERROR(__xludf.DUMMYFUNCTION("IFERROR(VALUE(REGEXEXTRACT(TO_TEXT($F915), N$1 &amp; ""x(\d+)"")), """")
"),"")</f>
        <v/>
      </c>
      <c r="O915" s="9" t="str">
        <f ca="1">IFERROR(__xludf.DUMMYFUNCTION("IFERROR(VALUE(REGEXEXTRACT(TO_TEXT($F915), O$1 &amp; ""x(\d+)"")), """")"),"")</f>
        <v/>
      </c>
      <c r="P915" s="9" t="str">
        <f ca="1">IFERROR(__xludf.DUMMYFUNCTION("IFERROR(VALUE(REGEXEXTRACT(TO_TEXT($F915), P$1 &amp; ""x(\d+)"")), """")"),"")</f>
        <v/>
      </c>
      <c r="Q915" s="9">
        <f ca="1">IFERROR(__xludf.DUMMYFUNCTION("IFERROR(VALUE(REGEXEXTRACT(TO_TEXT($F915), Q$1 &amp; ""x(\d+)"")), """")"),1)</f>
        <v>1</v>
      </c>
      <c r="R915" s="9" t="str">
        <f ca="1">IFERROR(__xludf.DUMMYFUNCTION("IFERROR(VALUE(REGEXEXTRACT(TO_TEXT($F915), R$1 &amp; ""x(\d+)"")), """")"),"")</f>
        <v/>
      </c>
      <c r="S915" s="9" t="str">
        <f ca="1">IFERROR(__xludf.DUMMYFUNCTION("IFERROR(VALUE(REGEXEXTRACT(TO_TEXT($F915), S$1 &amp; ""x(\d+)"")), """")"),"")</f>
        <v/>
      </c>
      <c r="T915" s="9" t="str">
        <f ca="1">IFERROR(__xludf.DUMMYFUNCTION("IFERROR(VALUE(REGEXEXTRACT(TO_TEXT($F915), T$1 &amp; ""x(\d+)"")), """")"),"")</f>
        <v/>
      </c>
      <c r="U915" s="9" t="str">
        <f ca="1">IFERROR(__xludf.DUMMYFUNCTION("IFERROR(VALUE(REGEXEXTRACT(TO_TEXT($F915), U$1 &amp; ""x(\d+)"")), """")"),"")</f>
        <v/>
      </c>
      <c r="V915" s="9" t="str">
        <f ca="1">IFERROR(__xludf.DUMMYFUNCTION("IFERROR(VALUE(REGEXEXTRACT(TO_TEXT($F915), V$1 &amp; ""x(\d+)"")), """")"),"")</f>
        <v/>
      </c>
      <c r="W915" s="9"/>
      <c r="X915" s="9"/>
      <c r="Y915" s="9"/>
      <c r="Z915" s="9"/>
    </row>
    <row r="916" spans="1:26" ht="15.75" hidden="1" customHeight="1">
      <c r="A916" s="9" t="s">
        <v>1997</v>
      </c>
      <c r="B916" s="9" t="s">
        <v>1998</v>
      </c>
      <c r="C916" s="9" t="s">
        <v>631</v>
      </c>
      <c r="D916" s="9" t="s">
        <v>74</v>
      </c>
      <c r="E916" s="9" t="s">
        <v>13</v>
      </c>
      <c r="F916" s="9" t="s">
        <v>1233</v>
      </c>
      <c r="G916" s="9">
        <v>40</v>
      </c>
      <c r="H916" s="9">
        <v>3</v>
      </c>
      <c r="I916" s="9">
        <v>1.0149999999999999</v>
      </c>
      <c r="J916" s="9">
        <v>103</v>
      </c>
      <c r="K916" s="9" t="s">
        <v>424</v>
      </c>
      <c r="L916" s="9"/>
      <c r="M916" s="9"/>
      <c r="N916" s="9" t="str">
        <f ca="1">IFERROR(__xludf.DUMMYFUNCTION("IFERROR(VALUE(REGEXEXTRACT(TO_TEXT($F916), N$1 &amp; ""x(\d+)"")), """")
"),"")</f>
        <v/>
      </c>
      <c r="O916" s="9" t="str">
        <f ca="1">IFERROR(__xludf.DUMMYFUNCTION("IFERROR(VALUE(REGEXEXTRACT(TO_TEXT($F916), O$1 &amp; ""x(\d+)"")), """")"),"")</f>
        <v/>
      </c>
      <c r="P916" s="9" t="str">
        <f ca="1">IFERROR(__xludf.DUMMYFUNCTION("IFERROR(VALUE(REGEXEXTRACT(TO_TEXT($F916), P$1 &amp; ""x(\d+)"")), """")"),"")</f>
        <v/>
      </c>
      <c r="Q916" s="9">
        <f ca="1">IFERROR(__xludf.DUMMYFUNCTION("IFERROR(VALUE(REGEXEXTRACT(TO_TEXT($F916), Q$1 &amp; ""x(\d+)"")), """")"),1)</f>
        <v>1</v>
      </c>
      <c r="R916" s="9" t="str">
        <f ca="1">IFERROR(__xludf.DUMMYFUNCTION("IFERROR(VALUE(REGEXEXTRACT(TO_TEXT($F916), R$1 &amp; ""x(\d+)"")), """")"),"")</f>
        <v/>
      </c>
      <c r="S916" s="9" t="str">
        <f ca="1">IFERROR(__xludf.DUMMYFUNCTION("IFERROR(VALUE(REGEXEXTRACT(TO_TEXT($F916), S$1 &amp; ""x(\d+)"")), """")"),"")</f>
        <v/>
      </c>
      <c r="T916" s="9" t="str">
        <f ca="1">IFERROR(__xludf.DUMMYFUNCTION("IFERROR(VALUE(REGEXEXTRACT(TO_TEXT($F916), T$1 &amp; ""x(\d+)"")), """")"),"")</f>
        <v/>
      </c>
      <c r="U916" s="9" t="str">
        <f ca="1">IFERROR(__xludf.DUMMYFUNCTION("IFERROR(VALUE(REGEXEXTRACT(TO_TEXT($F916), U$1 &amp; ""x(\d+)"")), """")"),"")</f>
        <v/>
      </c>
      <c r="V916" s="9" t="str">
        <f ca="1">IFERROR(__xludf.DUMMYFUNCTION("IFERROR(VALUE(REGEXEXTRACT(TO_TEXT($F916), V$1 &amp; ""x(\d+)"")), """")"),"")</f>
        <v/>
      </c>
      <c r="W916" s="9"/>
      <c r="X916" s="9"/>
      <c r="Y916" s="9"/>
      <c r="Z916" s="9"/>
    </row>
    <row r="917" spans="1:26" ht="15.75" hidden="1" customHeight="1">
      <c r="A917" s="9" t="s">
        <v>1999</v>
      </c>
      <c r="B917" s="9" t="s">
        <v>2000</v>
      </c>
      <c r="C917" s="9" t="s">
        <v>633</v>
      </c>
      <c r="D917" s="9" t="s">
        <v>74</v>
      </c>
      <c r="E917" s="9" t="s">
        <v>11</v>
      </c>
      <c r="F917" s="9" t="s">
        <v>2001</v>
      </c>
      <c r="G917" s="9">
        <v>25</v>
      </c>
      <c r="H917" s="9">
        <v>5</v>
      </c>
      <c r="I917" s="9">
        <v>1.0149999999999999</v>
      </c>
      <c r="J917" s="9">
        <v>52</v>
      </c>
      <c r="K917" s="9" t="s">
        <v>424</v>
      </c>
      <c r="L917" s="9"/>
      <c r="M917" s="9"/>
      <c r="N917" s="9" t="str">
        <f ca="1">IFERROR(__xludf.DUMMYFUNCTION("IFERROR(VALUE(REGEXEXTRACT(TO_TEXT($F917), N$1 &amp; ""x(\d+)"")), """")
"),"")</f>
        <v/>
      </c>
      <c r="O917" s="9" t="str">
        <f ca="1">IFERROR(__xludf.DUMMYFUNCTION("IFERROR(VALUE(REGEXEXTRACT(TO_TEXT($F917), O$1 &amp; ""x(\d+)"")), """")"),"")</f>
        <v/>
      </c>
      <c r="P917" s="9" t="str">
        <f ca="1">IFERROR(__xludf.DUMMYFUNCTION("IFERROR(VALUE(REGEXEXTRACT(TO_TEXT($F917), P$1 &amp; ""x(\d+)"")), """")"),"")</f>
        <v/>
      </c>
      <c r="Q917" s="9" t="str">
        <f ca="1">IFERROR(__xludf.DUMMYFUNCTION("IFERROR(VALUE(REGEXEXTRACT(TO_TEXT($F917), Q$1 &amp; ""x(\d+)"")), """")"),"")</f>
        <v/>
      </c>
      <c r="R917" s="9" t="str">
        <f ca="1">IFERROR(__xludf.DUMMYFUNCTION("IFERROR(VALUE(REGEXEXTRACT(TO_TEXT($F917), R$1 &amp; ""x(\d+)"")), """")"),"")</f>
        <v/>
      </c>
      <c r="S917" s="9" t="str">
        <f ca="1">IFERROR(__xludf.DUMMYFUNCTION("IFERROR(VALUE(REGEXEXTRACT(TO_TEXT($F917), S$1 &amp; ""x(\d+)"")), """")"),"")</f>
        <v/>
      </c>
      <c r="T917" s="9" t="str">
        <f ca="1">IFERROR(__xludf.DUMMYFUNCTION("IFERROR(VALUE(REGEXEXTRACT(TO_TEXT($F917), T$1 &amp; ""x(\d+)"")), """")"),"")</f>
        <v/>
      </c>
      <c r="U917" s="9" t="str">
        <f ca="1">IFERROR(__xludf.DUMMYFUNCTION("IFERROR(VALUE(REGEXEXTRACT(TO_TEXT($F917), U$1 &amp; ""x(\d+)"")), """")"),"")</f>
        <v/>
      </c>
      <c r="V917" s="9" t="str">
        <f ca="1">IFERROR(__xludf.DUMMYFUNCTION("IFERROR(VALUE(REGEXEXTRACT(TO_TEXT($F917), V$1 &amp; ""x(\d+)"")), """")"),"")</f>
        <v/>
      </c>
      <c r="W917" s="9"/>
      <c r="X917" s="9"/>
      <c r="Y917" s="9"/>
      <c r="Z917" s="9"/>
    </row>
    <row r="918" spans="1:26" ht="15.75" hidden="1" customHeight="1">
      <c r="A918" s="9" t="s">
        <v>1999</v>
      </c>
      <c r="B918" s="9" t="s">
        <v>2000</v>
      </c>
      <c r="C918" s="9" t="s">
        <v>633</v>
      </c>
      <c r="D918" s="9" t="s">
        <v>74</v>
      </c>
      <c r="E918" s="9" t="s">
        <v>12</v>
      </c>
      <c r="F918" s="9" t="s">
        <v>2002</v>
      </c>
      <c r="G918" s="9">
        <v>180</v>
      </c>
      <c r="H918" s="9">
        <v>5</v>
      </c>
      <c r="I918" s="9">
        <v>1.0149999999999999</v>
      </c>
      <c r="J918" s="9">
        <v>52</v>
      </c>
      <c r="K918" s="9" t="s">
        <v>424</v>
      </c>
      <c r="L918" s="9" t="s">
        <v>1210</v>
      </c>
      <c r="M918" s="9"/>
      <c r="N918" s="9" t="str">
        <f ca="1">IFERROR(__xludf.DUMMYFUNCTION("IFERROR(VALUE(REGEXEXTRACT(TO_TEXT($F918), N$1 &amp; ""x(\d+)"")), """")
"),"")</f>
        <v/>
      </c>
      <c r="O918" s="9" t="str">
        <f ca="1">IFERROR(__xludf.DUMMYFUNCTION("IFERROR(VALUE(REGEXEXTRACT(TO_TEXT($F918), O$1 &amp; ""x(\d+)"")), """")"),"")</f>
        <v/>
      </c>
      <c r="P918" s="9" t="str">
        <f ca="1">IFERROR(__xludf.DUMMYFUNCTION("IFERROR(VALUE(REGEXEXTRACT(TO_TEXT($F918), P$1 &amp; ""x(\d+)"")), """")"),"")</f>
        <v/>
      </c>
      <c r="Q918" s="9">
        <f ca="1">IFERROR(__xludf.DUMMYFUNCTION("IFERROR(VALUE(REGEXEXTRACT(TO_TEXT($F918), Q$1 &amp; ""x(\d+)"")), """")"),1)</f>
        <v>1</v>
      </c>
      <c r="R918" s="9" t="str">
        <f ca="1">IFERROR(__xludf.DUMMYFUNCTION("IFERROR(VALUE(REGEXEXTRACT(TO_TEXT($F918), R$1 &amp; ""x(\d+)"")), """")"),"")</f>
        <v/>
      </c>
      <c r="S918" s="9" t="str">
        <f ca="1">IFERROR(__xludf.DUMMYFUNCTION("IFERROR(VALUE(REGEXEXTRACT(TO_TEXT($F918), S$1 &amp; ""x(\d+)"")), """")"),"")</f>
        <v/>
      </c>
      <c r="T918" s="9" t="str">
        <f ca="1">IFERROR(__xludf.DUMMYFUNCTION("IFERROR(VALUE(REGEXEXTRACT(TO_TEXT($F918), T$1 &amp; ""x(\d+)"")), """")"),"")</f>
        <v/>
      </c>
      <c r="U918" s="9" t="str">
        <f ca="1">IFERROR(__xludf.DUMMYFUNCTION("IFERROR(VALUE(REGEXEXTRACT(TO_TEXT($F918), U$1 &amp; ""x(\d+)"")), """")"),"")</f>
        <v/>
      </c>
      <c r="V918" s="9" t="str">
        <f ca="1">IFERROR(__xludf.DUMMYFUNCTION("IFERROR(VALUE(REGEXEXTRACT(TO_TEXT($F918), V$1 &amp; ""x(\d+)"")), """")"),"")</f>
        <v/>
      </c>
      <c r="W918" s="9"/>
      <c r="X918" s="9"/>
      <c r="Y918" s="9"/>
      <c r="Z918" s="9"/>
    </row>
    <row r="919" spans="1:26" ht="15.75" hidden="1" customHeight="1">
      <c r="A919" s="9" t="s">
        <v>1999</v>
      </c>
      <c r="B919" s="9" t="s">
        <v>2000</v>
      </c>
      <c r="C919" s="9" t="s">
        <v>633</v>
      </c>
      <c r="D919" s="9" t="s">
        <v>74</v>
      </c>
      <c r="E919" s="9" t="s">
        <v>13</v>
      </c>
      <c r="F919" s="9" t="s">
        <v>1889</v>
      </c>
      <c r="G919" s="9">
        <v>40</v>
      </c>
      <c r="H919" s="9">
        <v>5</v>
      </c>
      <c r="I919" s="9">
        <v>1.0149999999999999</v>
      </c>
      <c r="J919" s="9">
        <v>52</v>
      </c>
      <c r="K919" s="9" t="s">
        <v>424</v>
      </c>
      <c r="L919" s="9"/>
      <c r="M919" s="9"/>
      <c r="N919" s="9" t="str">
        <f ca="1">IFERROR(__xludf.DUMMYFUNCTION("IFERROR(VALUE(REGEXEXTRACT(TO_TEXT($F919), N$1 &amp; ""x(\d+)"")), """")
"),"")</f>
        <v/>
      </c>
      <c r="O919" s="9" t="str">
        <f ca="1">IFERROR(__xludf.DUMMYFUNCTION("IFERROR(VALUE(REGEXEXTRACT(TO_TEXT($F919), O$1 &amp; ""x(\d+)"")), """")"),"")</f>
        <v/>
      </c>
      <c r="P919" s="9" t="str">
        <f ca="1">IFERROR(__xludf.DUMMYFUNCTION("IFERROR(VALUE(REGEXEXTRACT(TO_TEXT($F919), P$1 &amp; ""x(\d+)"")), """")"),"")</f>
        <v/>
      </c>
      <c r="Q919" s="9">
        <f ca="1">IFERROR(__xludf.DUMMYFUNCTION("IFERROR(VALUE(REGEXEXTRACT(TO_TEXT($F919), Q$1 &amp; ""x(\d+)"")), """")"),1)</f>
        <v>1</v>
      </c>
      <c r="R919" s="9" t="str">
        <f ca="1">IFERROR(__xludf.DUMMYFUNCTION("IFERROR(VALUE(REGEXEXTRACT(TO_TEXT($F919), R$1 &amp; ""x(\d+)"")), """")"),"")</f>
        <v/>
      </c>
      <c r="S919" s="9" t="str">
        <f ca="1">IFERROR(__xludf.DUMMYFUNCTION("IFERROR(VALUE(REGEXEXTRACT(TO_TEXT($F919), S$1 &amp; ""x(\d+)"")), """")"),"")</f>
        <v/>
      </c>
      <c r="T919" s="9" t="str">
        <f ca="1">IFERROR(__xludf.DUMMYFUNCTION("IFERROR(VALUE(REGEXEXTRACT(TO_TEXT($F919), T$1 &amp; ""x(\d+)"")), """")"),"")</f>
        <v/>
      </c>
      <c r="U919" s="9" t="str">
        <f ca="1">IFERROR(__xludf.DUMMYFUNCTION("IFERROR(VALUE(REGEXEXTRACT(TO_TEXT($F919), U$1 &amp; ""x(\d+)"")), """")"),"")</f>
        <v/>
      </c>
      <c r="V919" s="9" t="str">
        <f ca="1">IFERROR(__xludf.DUMMYFUNCTION("IFERROR(VALUE(REGEXEXTRACT(TO_TEXT($F919), V$1 &amp; ""x(\d+)"")), """")"),"")</f>
        <v/>
      </c>
      <c r="W919" s="9"/>
      <c r="X919" s="9"/>
      <c r="Y919" s="9"/>
      <c r="Z919" s="9"/>
    </row>
    <row r="920" spans="1:26" ht="15.75" hidden="1" customHeight="1">
      <c r="A920" s="9" t="s">
        <v>1999</v>
      </c>
      <c r="B920" s="9" t="s">
        <v>2000</v>
      </c>
      <c r="C920" s="9" t="s">
        <v>633</v>
      </c>
      <c r="D920" s="9" t="s">
        <v>48</v>
      </c>
      <c r="E920" s="9" t="s">
        <v>11</v>
      </c>
      <c r="F920" s="9" t="s">
        <v>1301</v>
      </c>
      <c r="G920" s="9">
        <v>30</v>
      </c>
      <c r="H920" s="9">
        <v>5</v>
      </c>
      <c r="I920" s="9">
        <v>1.0149999999999999</v>
      </c>
      <c r="J920" s="9">
        <v>52</v>
      </c>
      <c r="K920" s="9" t="s">
        <v>424</v>
      </c>
      <c r="L920" s="9"/>
      <c r="M920" s="9"/>
      <c r="N920" s="9" t="str">
        <f ca="1">IFERROR(__xludf.DUMMYFUNCTION("IFERROR(VALUE(REGEXEXTRACT(TO_TEXT($F920), N$1 &amp; ""x(\d+)"")), """")
"),"")</f>
        <v/>
      </c>
      <c r="O920" s="9" t="str">
        <f ca="1">IFERROR(__xludf.DUMMYFUNCTION("IFERROR(VALUE(REGEXEXTRACT(TO_TEXT($F920), O$1 &amp; ""x(\d+)"")), """")"),"")</f>
        <v/>
      </c>
      <c r="P920" s="9" t="str">
        <f ca="1">IFERROR(__xludf.DUMMYFUNCTION("IFERROR(VALUE(REGEXEXTRACT(TO_TEXT($F920), P$1 &amp; ""x(\d+)"")), """")"),"")</f>
        <v/>
      </c>
      <c r="Q920" s="9" t="str">
        <f ca="1">IFERROR(__xludf.DUMMYFUNCTION("IFERROR(VALUE(REGEXEXTRACT(TO_TEXT($F920), Q$1 &amp; ""x(\d+)"")), """")"),"")</f>
        <v/>
      </c>
      <c r="R920" s="9" t="str">
        <f ca="1">IFERROR(__xludf.DUMMYFUNCTION("IFERROR(VALUE(REGEXEXTRACT(TO_TEXT($F920), R$1 &amp; ""x(\d+)"")), """")"),"")</f>
        <v/>
      </c>
      <c r="S920" s="9" t="str">
        <f ca="1">IFERROR(__xludf.DUMMYFUNCTION("IFERROR(VALUE(REGEXEXTRACT(TO_TEXT($F920), S$1 &amp; ""x(\d+)"")), """")"),"")</f>
        <v/>
      </c>
      <c r="T920" s="9" t="str">
        <f ca="1">IFERROR(__xludf.DUMMYFUNCTION("IFERROR(VALUE(REGEXEXTRACT(TO_TEXT($F920), T$1 &amp; ""x(\d+)"")), """")"),"")</f>
        <v/>
      </c>
      <c r="U920" s="9" t="str">
        <f ca="1">IFERROR(__xludf.DUMMYFUNCTION("IFERROR(VALUE(REGEXEXTRACT(TO_TEXT($F920), U$1 &amp; ""x(\d+)"")), """")"),"")</f>
        <v/>
      </c>
      <c r="V920" s="9" t="str">
        <f ca="1">IFERROR(__xludf.DUMMYFUNCTION("IFERROR(VALUE(REGEXEXTRACT(TO_TEXT($F920), V$1 &amp; ""x(\d+)"")), """")"),"")</f>
        <v/>
      </c>
      <c r="W920" s="9"/>
      <c r="X920" s="9"/>
      <c r="Y920" s="9"/>
      <c r="Z920" s="9"/>
    </row>
    <row r="921" spans="1:26" ht="15.75" hidden="1" customHeight="1">
      <c r="A921" s="9" t="s">
        <v>1999</v>
      </c>
      <c r="B921" s="9" t="s">
        <v>2000</v>
      </c>
      <c r="C921" s="9" t="s">
        <v>633</v>
      </c>
      <c r="D921" s="9" t="s">
        <v>48</v>
      </c>
      <c r="E921" s="9" t="s">
        <v>12</v>
      </c>
      <c r="F921" s="9" t="s">
        <v>1994</v>
      </c>
      <c r="G921" s="9">
        <v>140</v>
      </c>
      <c r="H921" s="9">
        <v>5</v>
      </c>
      <c r="I921" s="9">
        <v>1.0149999999999999</v>
      </c>
      <c r="J921" s="9">
        <v>52</v>
      </c>
      <c r="K921" s="9" t="s">
        <v>424</v>
      </c>
      <c r="L921" s="9" t="s">
        <v>1210</v>
      </c>
      <c r="M921" s="9"/>
      <c r="N921" s="9" t="str">
        <f ca="1">IFERROR(__xludf.DUMMYFUNCTION("IFERROR(VALUE(REGEXEXTRACT(TO_TEXT($F921), N$1 &amp; ""x(\d+)"")), """")
"),"")</f>
        <v/>
      </c>
      <c r="O921" s="9" t="str">
        <f ca="1">IFERROR(__xludf.DUMMYFUNCTION("IFERROR(VALUE(REGEXEXTRACT(TO_TEXT($F921), O$1 &amp; ""x(\d+)"")), """")"),"")</f>
        <v/>
      </c>
      <c r="P921" s="9">
        <f ca="1">IFERROR(__xludf.DUMMYFUNCTION("IFERROR(VALUE(REGEXEXTRACT(TO_TEXT($F921), P$1 &amp; ""x(\d+)"")), """")"),1)</f>
        <v>1</v>
      </c>
      <c r="Q921" s="9" t="str">
        <f ca="1">IFERROR(__xludf.DUMMYFUNCTION("IFERROR(VALUE(REGEXEXTRACT(TO_TEXT($F921), Q$1 &amp; ""x(\d+)"")), """")"),"")</f>
        <v/>
      </c>
      <c r="R921" s="9">
        <f ca="1">IFERROR(__xludf.DUMMYFUNCTION("IFERROR(VALUE(REGEXEXTRACT(TO_TEXT($F921), R$1 &amp; ""x(\d+)"")), """")"),1)</f>
        <v>1</v>
      </c>
      <c r="S921" s="9" t="str">
        <f ca="1">IFERROR(__xludf.DUMMYFUNCTION("IFERROR(VALUE(REGEXEXTRACT(TO_TEXT($F921), S$1 &amp; ""x(\d+)"")), """")"),"")</f>
        <v/>
      </c>
      <c r="T921" s="9">
        <f ca="1">IFERROR(__xludf.DUMMYFUNCTION("IFERROR(VALUE(REGEXEXTRACT(TO_TEXT($F921), T$1 &amp; ""x(\d+)"")), """")"),1)</f>
        <v>1</v>
      </c>
      <c r="U921" s="9" t="str">
        <f ca="1">IFERROR(__xludf.DUMMYFUNCTION("IFERROR(VALUE(REGEXEXTRACT(TO_TEXT($F921), U$1 &amp; ""x(\d+)"")), """")"),"")</f>
        <v/>
      </c>
      <c r="V921" s="9" t="str">
        <f ca="1">IFERROR(__xludf.DUMMYFUNCTION("IFERROR(VALUE(REGEXEXTRACT(TO_TEXT($F921), V$1 &amp; ""x(\d+)"")), """")"),"")</f>
        <v/>
      </c>
      <c r="W921" s="9"/>
      <c r="X921" s="9"/>
      <c r="Y921" s="9"/>
      <c r="Z921" s="9"/>
    </row>
    <row r="922" spans="1:26" ht="15.75" hidden="1" customHeight="1">
      <c r="A922" s="9" t="s">
        <v>1999</v>
      </c>
      <c r="B922" s="9" t="s">
        <v>2000</v>
      </c>
      <c r="C922" s="9" t="s">
        <v>633</v>
      </c>
      <c r="D922" s="9" t="s">
        <v>48</v>
      </c>
      <c r="E922" s="9" t="s">
        <v>13</v>
      </c>
      <c r="F922" s="9" t="s">
        <v>1634</v>
      </c>
      <c r="G922" s="9">
        <v>40</v>
      </c>
      <c r="H922" s="9">
        <v>5</v>
      </c>
      <c r="I922" s="9">
        <v>1.0149999999999999</v>
      </c>
      <c r="J922" s="9">
        <v>52</v>
      </c>
      <c r="K922" s="9" t="s">
        <v>424</v>
      </c>
      <c r="L922" s="9"/>
      <c r="M922" s="9"/>
      <c r="N922" s="9" t="str">
        <f ca="1">IFERROR(__xludf.DUMMYFUNCTION("IFERROR(VALUE(REGEXEXTRACT(TO_TEXT($F922), N$1 &amp; ""x(\d+)"")), """")
"),"")</f>
        <v/>
      </c>
      <c r="O922" s="9" t="str">
        <f ca="1">IFERROR(__xludf.DUMMYFUNCTION("IFERROR(VALUE(REGEXEXTRACT(TO_TEXT($F922), O$1 &amp; ""x(\d+)"")), """")"),"")</f>
        <v/>
      </c>
      <c r="P922" s="9">
        <f ca="1">IFERROR(__xludf.DUMMYFUNCTION("IFERROR(VALUE(REGEXEXTRACT(TO_TEXT($F922), P$1 &amp; ""x(\d+)"")), """")"),1)</f>
        <v>1</v>
      </c>
      <c r="Q922" s="9" t="str">
        <f ca="1">IFERROR(__xludf.DUMMYFUNCTION("IFERROR(VALUE(REGEXEXTRACT(TO_TEXT($F922), Q$1 &amp; ""x(\d+)"")), """")"),"")</f>
        <v/>
      </c>
      <c r="R922" s="9">
        <f ca="1">IFERROR(__xludf.DUMMYFUNCTION("IFERROR(VALUE(REGEXEXTRACT(TO_TEXT($F922), R$1 &amp; ""x(\d+)"")), """")"),1)</f>
        <v>1</v>
      </c>
      <c r="S922" s="9" t="str">
        <f ca="1">IFERROR(__xludf.DUMMYFUNCTION("IFERROR(VALUE(REGEXEXTRACT(TO_TEXT($F922), S$1 &amp; ""x(\d+)"")), """")"),"")</f>
        <v/>
      </c>
      <c r="T922" s="9">
        <f ca="1">IFERROR(__xludf.DUMMYFUNCTION("IFERROR(VALUE(REGEXEXTRACT(TO_TEXT($F922), T$1 &amp; ""x(\d+)"")), """")"),1)</f>
        <v>1</v>
      </c>
      <c r="U922" s="9" t="str">
        <f ca="1">IFERROR(__xludf.DUMMYFUNCTION("IFERROR(VALUE(REGEXEXTRACT(TO_TEXT($F922), U$1 &amp; ""x(\d+)"")), """")"),"")</f>
        <v/>
      </c>
      <c r="V922" s="9" t="str">
        <f ca="1">IFERROR(__xludf.DUMMYFUNCTION("IFERROR(VALUE(REGEXEXTRACT(TO_TEXT($F922), V$1 &amp; ""x(\d+)"")), """")"),"")</f>
        <v/>
      </c>
      <c r="W922" s="9"/>
      <c r="X922" s="9"/>
      <c r="Y922" s="9"/>
      <c r="Z922" s="9"/>
    </row>
    <row r="923" spans="1:26" ht="15.75" hidden="1" customHeight="1">
      <c r="A923" s="9" t="s">
        <v>2003</v>
      </c>
      <c r="B923" s="9" t="s">
        <v>2004</v>
      </c>
      <c r="C923" s="9" t="s">
        <v>2005</v>
      </c>
      <c r="D923" s="9" t="s">
        <v>74</v>
      </c>
      <c r="E923" s="9" t="s">
        <v>11</v>
      </c>
      <c r="F923" s="9" t="s">
        <v>2006</v>
      </c>
      <c r="G923" s="9">
        <v>45</v>
      </c>
      <c r="H923" s="9">
        <v>2</v>
      </c>
      <c r="I923" s="9">
        <v>1.0149999999999999</v>
      </c>
      <c r="J923" s="9">
        <v>103</v>
      </c>
      <c r="K923" s="9" t="s">
        <v>424</v>
      </c>
      <c r="L923" s="9"/>
      <c r="M923" s="9"/>
      <c r="N923" s="9" t="str">
        <f ca="1">IFERROR(__xludf.DUMMYFUNCTION("IFERROR(VALUE(REGEXEXTRACT(TO_TEXT($F923), N$1 &amp; ""x(\d+)"")), """")
"),"")</f>
        <v/>
      </c>
      <c r="O923" s="9" t="str">
        <f ca="1">IFERROR(__xludf.DUMMYFUNCTION("IFERROR(VALUE(REGEXEXTRACT(TO_TEXT($F923), O$1 &amp; ""x(\d+)"")), """")"),"")</f>
        <v/>
      </c>
      <c r="P923" s="9" t="str">
        <f ca="1">IFERROR(__xludf.DUMMYFUNCTION("IFERROR(VALUE(REGEXEXTRACT(TO_TEXT($F923), P$1 &amp; ""x(\d+)"")), """")"),"")</f>
        <v/>
      </c>
      <c r="Q923" s="9" t="str">
        <f ca="1">IFERROR(__xludf.DUMMYFUNCTION("IFERROR(VALUE(REGEXEXTRACT(TO_TEXT($F923), Q$1 &amp; ""x(\d+)"")), """")"),"")</f>
        <v/>
      </c>
      <c r="R923" s="9" t="str">
        <f ca="1">IFERROR(__xludf.DUMMYFUNCTION("IFERROR(VALUE(REGEXEXTRACT(TO_TEXT($F923), R$1 &amp; ""x(\d+)"")), """")"),"")</f>
        <v/>
      </c>
      <c r="S923" s="9" t="str">
        <f ca="1">IFERROR(__xludf.DUMMYFUNCTION("IFERROR(VALUE(REGEXEXTRACT(TO_TEXT($F923), S$1 &amp; ""x(\d+)"")), """")"),"")</f>
        <v/>
      </c>
      <c r="T923" s="9" t="str">
        <f ca="1">IFERROR(__xludf.DUMMYFUNCTION("IFERROR(VALUE(REGEXEXTRACT(TO_TEXT($F923), T$1 &amp; ""x(\d+)"")), """")"),"")</f>
        <v/>
      </c>
      <c r="U923" s="9" t="str">
        <f ca="1">IFERROR(__xludf.DUMMYFUNCTION("IFERROR(VALUE(REGEXEXTRACT(TO_TEXT($F923), U$1 &amp; ""x(\d+)"")), """")"),"")</f>
        <v/>
      </c>
      <c r="V923" s="9" t="str">
        <f ca="1">IFERROR(__xludf.DUMMYFUNCTION("IFERROR(VALUE(REGEXEXTRACT(TO_TEXT($F923), V$1 &amp; ""x(\d+)"")), """")"),"")</f>
        <v/>
      </c>
      <c r="W923" s="9"/>
      <c r="X923" s="9"/>
      <c r="Y923" s="9"/>
      <c r="Z923" s="9"/>
    </row>
    <row r="924" spans="1:26" ht="15.75" hidden="1" customHeight="1">
      <c r="A924" s="9" t="s">
        <v>2003</v>
      </c>
      <c r="B924" s="9" t="s">
        <v>2004</v>
      </c>
      <c r="C924" s="9" t="s">
        <v>2005</v>
      </c>
      <c r="D924" s="9" t="s">
        <v>74</v>
      </c>
      <c r="E924" s="9" t="s">
        <v>12</v>
      </c>
      <c r="F924" s="9" t="s">
        <v>1124</v>
      </c>
      <c r="G924" s="9">
        <v>180</v>
      </c>
      <c r="H924" s="9">
        <v>2</v>
      </c>
      <c r="I924" s="9">
        <v>1.0149999999999999</v>
      </c>
      <c r="J924" s="9">
        <v>103</v>
      </c>
      <c r="K924" s="9" t="s">
        <v>424</v>
      </c>
      <c r="L924" s="9" t="s">
        <v>1210</v>
      </c>
      <c r="M924" s="9"/>
      <c r="N924" s="9" t="str">
        <f ca="1">IFERROR(__xludf.DUMMYFUNCTION("IFERROR(VALUE(REGEXEXTRACT(TO_TEXT($F924), N$1 &amp; ""x(\d+)"")), """")
"),"")</f>
        <v/>
      </c>
      <c r="O924" s="9" t="str">
        <f ca="1">IFERROR(__xludf.DUMMYFUNCTION("IFERROR(VALUE(REGEXEXTRACT(TO_TEXT($F924), O$1 &amp; ""x(\d+)"")), """")"),"")</f>
        <v/>
      </c>
      <c r="P924" s="9" t="str">
        <f ca="1">IFERROR(__xludf.DUMMYFUNCTION("IFERROR(VALUE(REGEXEXTRACT(TO_TEXT($F924), P$1 &amp; ""x(\d+)"")), """")"),"")</f>
        <v/>
      </c>
      <c r="Q924" s="9">
        <f ca="1">IFERROR(__xludf.DUMMYFUNCTION("IFERROR(VALUE(REGEXEXTRACT(TO_TEXT($F924), Q$1 &amp; ""x(\d+)"")), """")"),1)</f>
        <v>1</v>
      </c>
      <c r="R924" s="9" t="str">
        <f ca="1">IFERROR(__xludf.DUMMYFUNCTION("IFERROR(VALUE(REGEXEXTRACT(TO_TEXT($F924), R$1 &amp; ""x(\d+)"")), """")"),"")</f>
        <v/>
      </c>
      <c r="S924" s="9" t="str">
        <f ca="1">IFERROR(__xludf.DUMMYFUNCTION("IFERROR(VALUE(REGEXEXTRACT(TO_TEXT($F924), S$1 &amp; ""x(\d+)"")), """")"),"")</f>
        <v/>
      </c>
      <c r="T924" s="9" t="str">
        <f ca="1">IFERROR(__xludf.DUMMYFUNCTION("IFERROR(VALUE(REGEXEXTRACT(TO_TEXT($F924), T$1 &amp; ""x(\d+)"")), """")"),"")</f>
        <v/>
      </c>
      <c r="U924" s="9" t="str">
        <f ca="1">IFERROR(__xludf.DUMMYFUNCTION("IFERROR(VALUE(REGEXEXTRACT(TO_TEXT($F924), U$1 &amp; ""x(\d+)"")), """")"),"")</f>
        <v/>
      </c>
      <c r="V924" s="9" t="str">
        <f ca="1">IFERROR(__xludf.DUMMYFUNCTION("IFERROR(VALUE(REGEXEXTRACT(TO_TEXT($F924), V$1 &amp; ""x(\d+)"")), """")"),"")</f>
        <v/>
      </c>
      <c r="W924" s="9"/>
      <c r="X924" s="9"/>
      <c r="Y924" s="9"/>
      <c r="Z924" s="9"/>
    </row>
    <row r="925" spans="1:26" ht="15.75" hidden="1" customHeight="1">
      <c r="A925" s="9" t="s">
        <v>2003</v>
      </c>
      <c r="B925" s="9" t="s">
        <v>2004</v>
      </c>
      <c r="C925" s="9" t="s">
        <v>2005</v>
      </c>
      <c r="D925" s="9" t="s">
        <v>74</v>
      </c>
      <c r="E925" s="9" t="s">
        <v>13</v>
      </c>
      <c r="F925" s="9" t="s">
        <v>1125</v>
      </c>
      <c r="G925" s="9">
        <v>40</v>
      </c>
      <c r="H925" s="9">
        <v>2</v>
      </c>
      <c r="I925" s="9">
        <v>1.0149999999999999</v>
      </c>
      <c r="J925" s="9">
        <v>103</v>
      </c>
      <c r="K925" s="9" t="s">
        <v>424</v>
      </c>
      <c r="L925" s="9"/>
      <c r="M925" s="9"/>
      <c r="N925" s="9" t="str">
        <f ca="1">IFERROR(__xludf.DUMMYFUNCTION("IFERROR(VALUE(REGEXEXTRACT(TO_TEXT($F925), N$1 &amp; ""x(\d+)"")), """")
"),"")</f>
        <v/>
      </c>
      <c r="O925" s="9" t="str">
        <f ca="1">IFERROR(__xludf.DUMMYFUNCTION("IFERROR(VALUE(REGEXEXTRACT(TO_TEXT($F925), O$1 &amp; ""x(\d+)"")), """")"),"")</f>
        <v/>
      </c>
      <c r="P925" s="9" t="str">
        <f ca="1">IFERROR(__xludf.DUMMYFUNCTION("IFERROR(VALUE(REGEXEXTRACT(TO_TEXT($F925), P$1 &amp; ""x(\d+)"")), """")"),"")</f>
        <v/>
      </c>
      <c r="Q925" s="9">
        <f ca="1">IFERROR(__xludf.DUMMYFUNCTION("IFERROR(VALUE(REGEXEXTRACT(TO_TEXT($F925), Q$1 &amp; ""x(\d+)"")), """")"),1)</f>
        <v>1</v>
      </c>
      <c r="R925" s="9" t="str">
        <f ca="1">IFERROR(__xludf.DUMMYFUNCTION("IFERROR(VALUE(REGEXEXTRACT(TO_TEXT($F925), R$1 &amp; ""x(\d+)"")), """")"),"")</f>
        <v/>
      </c>
      <c r="S925" s="9" t="str">
        <f ca="1">IFERROR(__xludf.DUMMYFUNCTION("IFERROR(VALUE(REGEXEXTRACT(TO_TEXT($F925), S$1 &amp; ""x(\d+)"")), """")"),"")</f>
        <v/>
      </c>
      <c r="T925" s="9" t="str">
        <f ca="1">IFERROR(__xludf.DUMMYFUNCTION("IFERROR(VALUE(REGEXEXTRACT(TO_TEXT($F925), T$1 &amp; ""x(\d+)"")), """")"),"")</f>
        <v/>
      </c>
      <c r="U925" s="9" t="str">
        <f ca="1">IFERROR(__xludf.DUMMYFUNCTION("IFERROR(VALUE(REGEXEXTRACT(TO_TEXT($F925), U$1 &amp; ""x(\d+)"")), """")"),"")</f>
        <v/>
      </c>
      <c r="V925" s="9" t="str">
        <f ca="1">IFERROR(__xludf.DUMMYFUNCTION("IFERROR(VALUE(REGEXEXTRACT(TO_TEXT($F925), V$1 &amp; ""x(\d+)"")), """")"),"")</f>
        <v/>
      </c>
      <c r="W925" s="9"/>
      <c r="X925" s="9"/>
      <c r="Y925" s="9"/>
      <c r="Z925" s="9"/>
    </row>
    <row r="926" spans="1:26" ht="15.75" hidden="1" customHeight="1">
      <c r="A926" s="9" t="s">
        <v>2003</v>
      </c>
      <c r="B926" s="9" t="s">
        <v>2004</v>
      </c>
      <c r="C926" s="9" t="s">
        <v>2005</v>
      </c>
      <c r="D926" s="9" t="s">
        <v>48</v>
      </c>
      <c r="E926" s="9" t="s">
        <v>11</v>
      </c>
      <c r="F926" s="9" t="s">
        <v>2007</v>
      </c>
      <c r="G926" s="9">
        <v>45</v>
      </c>
      <c r="H926" s="9">
        <v>5</v>
      </c>
      <c r="I926" s="9">
        <v>1.0149999999999999</v>
      </c>
      <c r="J926" s="9">
        <v>52</v>
      </c>
      <c r="K926" s="9" t="s">
        <v>424</v>
      </c>
      <c r="L926" s="9"/>
      <c r="M926" s="9"/>
      <c r="N926" s="9" t="str">
        <f ca="1">IFERROR(__xludf.DUMMYFUNCTION("IFERROR(VALUE(REGEXEXTRACT(TO_TEXT($F926), N$1 &amp; ""x(\d+)"")), """")
"),"")</f>
        <v/>
      </c>
      <c r="O926" s="9" t="str">
        <f ca="1">IFERROR(__xludf.DUMMYFUNCTION("IFERROR(VALUE(REGEXEXTRACT(TO_TEXT($F926), O$1 &amp; ""x(\d+)"")), """")"),"")</f>
        <v/>
      </c>
      <c r="P926" s="9" t="str">
        <f ca="1">IFERROR(__xludf.DUMMYFUNCTION("IFERROR(VALUE(REGEXEXTRACT(TO_TEXT($F926), P$1 &amp; ""x(\d+)"")), """")"),"")</f>
        <v/>
      </c>
      <c r="Q926" s="9" t="str">
        <f ca="1">IFERROR(__xludf.DUMMYFUNCTION("IFERROR(VALUE(REGEXEXTRACT(TO_TEXT($F926), Q$1 &amp; ""x(\d+)"")), """")"),"")</f>
        <v/>
      </c>
      <c r="R926" s="9" t="str">
        <f ca="1">IFERROR(__xludf.DUMMYFUNCTION("IFERROR(VALUE(REGEXEXTRACT(TO_TEXT($F926), R$1 &amp; ""x(\d+)"")), """")"),"")</f>
        <v/>
      </c>
      <c r="S926" s="9" t="str">
        <f ca="1">IFERROR(__xludf.DUMMYFUNCTION("IFERROR(VALUE(REGEXEXTRACT(TO_TEXT($F926), S$1 &amp; ""x(\d+)"")), """")"),"")</f>
        <v/>
      </c>
      <c r="T926" s="9" t="str">
        <f ca="1">IFERROR(__xludf.DUMMYFUNCTION("IFERROR(VALUE(REGEXEXTRACT(TO_TEXT($F926), T$1 &amp; ""x(\d+)"")), """")"),"")</f>
        <v/>
      </c>
      <c r="U926" s="9" t="str">
        <f ca="1">IFERROR(__xludf.DUMMYFUNCTION("IFERROR(VALUE(REGEXEXTRACT(TO_TEXT($F926), U$1 &amp; ""x(\d+)"")), """")"),"")</f>
        <v/>
      </c>
      <c r="V926" s="9" t="str">
        <f ca="1">IFERROR(__xludf.DUMMYFUNCTION("IFERROR(VALUE(REGEXEXTRACT(TO_TEXT($F926), V$1 &amp; ""x(\d+)"")), """")"),"")</f>
        <v/>
      </c>
      <c r="W926" s="9"/>
      <c r="X926" s="9"/>
      <c r="Y926" s="9"/>
      <c r="Z926" s="9"/>
    </row>
    <row r="927" spans="1:26" ht="15.75" hidden="1" customHeight="1">
      <c r="A927" s="9" t="s">
        <v>2003</v>
      </c>
      <c r="B927" s="9" t="s">
        <v>2004</v>
      </c>
      <c r="C927" s="9" t="s">
        <v>2005</v>
      </c>
      <c r="D927" s="9" t="s">
        <v>48</v>
      </c>
      <c r="E927" s="9" t="s">
        <v>12</v>
      </c>
      <c r="F927" s="9" t="s">
        <v>2008</v>
      </c>
      <c r="G927" s="9">
        <v>140</v>
      </c>
      <c r="H927" s="9">
        <v>5</v>
      </c>
      <c r="I927" s="9">
        <v>1.0149999999999999</v>
      </c>
      <c r="J927" s="9">
        <v>52</v>
      </c>
      <c r="K927" s="9" t="s">
        <v>424</v>
      </c>
      <c r="L927" s="9" t="s">
        <v>1210</v>
      </c>
      <c r="M927" s="9"/>
      <c r="N927" s="9" t="str">
        <f ca="1">IFERROR(__xludf.DUMMYFUNCTION("IFERROR(VALUE(REGEXEXTRACT(TO_TEXT($F927), N$1 &amp; ""x(\d+)"")), """")
"),"")</f>
        <v/>
      </c>
      <c r="O927" s="9" t="str">
        <f ca="1">IFERROR(__xludf.DUMMYFUNCTION("IFERROR(VALUE(REGEXEXTRACT(TO_TEXT($F927), O$1 &amp; ""x(\d+)"")), """")"),"")</f>
        <v/>
      </c>
      <c r="P927" s="9">
        <f ca="1">IFERROR(__xludf.DUMMYFUNCTION("IFERROR(VALUE(REGEXEXTRACT(TO_TEXT($F927), P$1 &amp; ""x(\d+)"")), """")"),1)</f>
        <v>1</v>
      </c>
      <c r="Q927" s="9" t="str">
        <f ca="1">IFERROR(__xludf.DUMMYFUNCTION("IFERROR(VALUE(REGEXEXTRACT(TO_TEXT($F927), Q$1 &amp; ""x(\d+)"")), """")"),"")</f>
        <v/>
      </c>
      <c r="R927" s="9">
        <f ca="1">IFERROR(__xludf.DUMMYFUNCTION("IFERROR(VALUE(REGEXEXTRACT(TO_TEXT($F927), R$1 &amp; ""x(\d+)"")), """")"),1)</f>
        <v>1</v>
      </c>
      <c r="S927" s="9" t="str">
        <f ca="1">IFERROR(__xludf.DUMMYFUNCTION("IFERROR(VALUE(REGEXEXTRACT(TO_TEXT($F927), S$1 &amp; ""x(\d+)"")), """")"),"")</f>
        <v/>
      </c>
      <c r="T927" s="9">
        <f ca="1">IFERROR(__xludf.DUMMYFUNCTION("IFERROR(VALUE(REGEXEXTRACT(TO_TEXT($F927), T$1 &amp; ""x(\d+)"")), """")"),1)</f>
        <v>1</v>
      </c>
      <c r="U927" s="9" t="str">
        <f ca="1">IFERROR(__xludf.DUMMYFUNCTION("IFERROR(VALUE(REGEXEXTRACT(TO_TEXT($F927), U$1 &amp; ""x(\d+)"")), """")"),"")</f>
        <v/>
      </c>
      <c r="V927" s="9" t="str">
        <f ca="1">IFERROR(__xludf.DUMMYFUNCTION("IFERROR(VALUE(REGEXEXTRACT(TO_TEXT($F927), V$1 &amp; ""x(\d+)"")), """")"),"")</f>
        <v/>
      </c>
      <c r="W927" s="9"/>
      <c r="X927" s="9"/>
      <c r="Y927" s="9"/>
      <c r="Z927" s="9"/>
    </row>
    <row r="928" spans="1:26" ht="15.75" hidden="1" customHeight="1">
      <c r="A928" s="9" t="s">
        <v>2003</v>
      </c>
      <c r="B928" s="9" t="s">
        <v>2004</v>
      </c>
      <c r="C928" s="9" t="s">
        <v>2005</v>
      </c>
      <c r="D928" s="9" t="s">
        <v>48</v>
      </c>
      <c r="E928" s="9" t="s">
        <v>13</v>
      </c>
      <c r="F928" s="9" t="s">
        <v>1220</v>
      </c>
      <c r="G928" s="9">
        <v>30</v>
      </c>
      <c r="H928" s="9">
        <v>5</v>
      </c>
      <c r="I928" s="9">
        <v>1.0149999999999999</v>
      </c>
      <c r="J928" s="9">
        <v>52</v>
      </c>
      <c r="K928" s="9" t="s">
        <v>424</v>
      </c>
      <c r="L928" s="9"/>
      <c r="M928" s="9"/>
      <c r="N928" s="9" t="str">
        <f ca="1">IFERROR(__xludf.DUMMYFUNCTION("IFERROR(VALUE(REGEXEXTRACT(TO_TEXT($F928), N$1 &amp; ""x(\d+)"")), """")
"),"")</f>
        <v/>
      </c>
      <c r="O928" s="9" t="str">
        <f ca="1">IFERROR(__xludf.DUMMYFUNCTION("IFERROR(VALUE(REGEXEXTRACT(TO_TEXT($F928), O$1 &amp; ""x(\d+)"")), """")"),"")</f>
        <v/>
      </c>
      <c r="P928" s="9">
        <f ca="1">IFERROR(__xludf.DUMMYFUNCTION("IFERROR(VALUE(REGEXEXTRACT(TO_TEXT($F928), P$1 &amp; ""x(\d+)"")), """")"),1)</f>
        <v>1</v>
      </c>
      <c r="Q928" s="9" t="str">
        <f ca="1">IFERROR(__xludf.DUMMYFUNCTION("IFERROR(VALUE(REGEXEXTRACT(TO_TEXT($F928), Q$1 &amp; ""x(\d+)"")), """")"),"")</f>
        <v/>
      </c>
      <c r="R928" s="9" t="str">
        <f ca="1">IFERROR(__xludf.DUMMYFUNCTION("IFERROR(VALUE(REGEXEXTRACT(TO_TEXT($F928), R$1 &amp; ""x(\d+)"")), """")"),"")</f>
        <v/>
      </c>
      <c r="S928" s="9" t="str">
        <f ca="1">IFERROR(__xludf.DUMMYFUNCTION("IFERROR(VALUE(REGEXEXTRACT(TO_TEXT($F928), S$1 &amp; ""x(\d+)"")), """")"),"")</f>
        <v/>
      </c>
      <c r="T928" s="9" t="str">
        <f ca="1">IFERROR(__xludf.DUMMYFUNCTION("IFERROR(VALUE(REGEXEXTRACT(TO_TEXT($F928), T$1 &amp; ""x(\d+)"")), """")"),"")</f>
        <v/>
      </c>
      <c r="U928" s="9" t="str">
        <f ca="1">IFERROR(__xludf.DUMMYFUNCTION("IFERROR(VALUE(REGEXEXTRACT(TO_TEXT($F928), U$1 &amp; ""x(\d+)"")), """")"),"")</f>
        <v/>
      </c>
      <c r="V928" s="9" t="str">
        <f ca="1">IFERROR(__xludf.DUMMYFUNCTION("IFERROR(VALUE(REGEXEXTRACT(TO_TEXT($F928), V$1 &amp; ""x(\d+)"")), """")"),"")</f>
        <v/>
      </c>
      <c r="W928" s="9"/>
      <c r="X928" s="9"/>
      <c r="Y928" s="9"/>
      <c r="Z928" s="9"/>
    </row>
    <row r="929" spans="1:26" ht="15.75" customHeight="1">
      <c r="A929" s="9" t="s">
        <v>2009</v>
      </c>
      <c r="B929" s="9" t="s">
        <v>2010</v>
      </c>
      <c r="C929" s="9" t="s">
        <v>588</v>
      </c>
      <c r="D929" s="9" t="s">
        <v>33</v>
      </c>
      <c r="E929" s="9" t="s">
        <v>11</v>
      </c>
      <c r="F929" s="9" t="s">
        <v>1477</v>
      </c>
      <c r="G929" s="9">
        <v>20</v>
      </c>
      <c r="H929" s="9">
        <v>3</v>
      </c>
      <c r="I929" s="9">
        <v>1.0149999999999999</v>
      </c>
      <c r="J929" s="9">
        <v>69</v>
      </c>
      <c r="K929" s="9" t="s">
        <v>424</v>
      </c>
      <c r="L929" s="9"/>
      <c r="M929" s="9"/>
      <c r="N929" s="9" t="str">
        <f ca="1">IFERROR(__xludf.DUMMYFUNCTION("IFERROR(VALUE(REGEXEXTRACT(TO_TEXT($F929), N$1 &amp; ""x(\d+)"")), """")
"),"")</f>
        <v/>
      </c>
      <c r="O929" s="9" t="str">
        <f ca="1">IFERROR(__xludf.DUMMYFUNCTION("IFERROR(VALUE(REGEXEXTRACT(TO_TEXT($F929), O$1 &amp; ""x(\d+)"")), """")"),"")</f>
        <v/>
      </c>
      <c r="P929" s="9" t="str">
        <f ca="1">IFERROR(__xludf.DUMMYFUNCTION("IFERROR(VALUE(REGEXEXTRACT(TO_TEXT($F929), P$1 &amp; ""x(\d+)"")), """")"),"")</f>
        <v/>
      </c>
      <c r="Q929" s="9" t="str">
        <f ca="1">IFERROR(__xludf.DUMMYFUNCTION("IFERROR(VALUE(REGEXEXTRACT(TO_TEXT($F929), Q$1 &amp; ""x(\d+)"")), """")"),"")</f>
        <v/>
      </c>
      <c r="R929" s="9" t="str">
        <f ca="1">IFERROR(__xludf.DUMMYFUNCTION("IFERROR(VALUE(REGEXEXTRACT(TO_TEXT($F929), R$1 &amp; ""x(\d+)"")), """")"),"")</f>
        <v/>
      </c>
      <c r="S929" s="9" t="str">
        <f ca="1">IFERROR(__xludf.DUMMYFUNCTION("IFERROR(VALUE(REGEXEXTRACT(TO_TEXT($F929), S$1 &amp; ""x(\d+)"")), """")"),"")</f>
        <v/>
      </c>
      <c r="T929" s="9" t="str">
        <f ca="1">IFERROR(__xludf.DUMMYFUNCTION("IFERROR(VALUE(REGEXEXTRACT(TO_TEXT($F929), T$1 &amp; ""x(\d+)"")), """")"),"")</f>
        <v/>
      </c>
      <c r="U929" s="9" t="str">
        <f ca="1">IFERROR(__xludf.DUMMYFUNCTION("IFERROR(VALUE(REGEXEXTRACT(TO_TEXT($F929), U$1 &amp; ""x(\d+)"")), """")"),"")</f>
        <v/>
      </c>
      <c r="V929" s="9" t="str">
        <f ca="1">IFERROR(__xludf.DUMMYFUNCTION("IFERROR(VALUE(REGEXEXTRACT(TO_TEXT($F929), V$1 &amp; ""x(\d+)"")), """")"),"")</f>
        <v/>
      </c>
      <c r="W929" s="9"/>
      <c r="X929" s="9"/>
      <c r="Y929" s="9"/>
      <c r="Z929" s="9"/>
    </row>
    <row r="930" spans="1:26" ht="15.75" customHeight="1">
      <c r="A930" s="9" t="s">
        <v>2009</v>
      </c>
      <c r="B930" s="9" t="s">
        <v>2010</v>
      </c>
      <c r="C930" s="9" t="s">
        <v>588</v>
      </c>
      <c r="D930" s="9" t="s">
        <v>33</v>
      </c>
      <c r="E930" s="9" t="s">
        <v>12</v>
      </c>
      <c r="F930" s="9" t="s">
        <v>2011</v>
      </c>
      <c r="G930" s="9">
        <v>155</v>
      </c>
      <c r="H930" s="9">
        <v>3</v>
      </c>
      <c r="I930" s="9">
        <v>1.0149999999999999</v>
      </c>
      <c r="J930" s="9">
        <v>69</v>
      </c>
      <c r="K930" s="9" t="s">
        <v>424</v>
      </c>
      <c r="L930" s="9"/>
      <c r="M930" s="9"/>
      <c r="N930" s="9" t="str">
        <f ca="1">IFERROR(__xludf.DUMMYFUNCTION("IFERROR(VALUE(REGEXEXTRACT(TO_TEXT($F930), N$1 &amp; ""x(\d+)"")), """")
"),"")</f>
        <v/>
      </c>
      <c r="O930" s="9">
        <f ca="1">IFERROR(__xludf.DUMMYFUNCTION("IFERROR(VALUE(REGEXEXTRACT(TO_TEXT($F930), O$1 &amp; ""x(\d+)"")), """")"),1)</f>
        <v>1</v>
      </c>
      <c r="P930" s="9" t="str">
        <f ca="1">IFERROR(__xludf.DUMMYFUNCTION("IFERROR(VALUE(REGEXEXTRACT(TO_TEXT($F930), P$1 &amp; ""x(\d+)"")), """")"),"")</f>
        <v/>
      </c>
      <c r="Q930" s="9" t="str">
        <f ca="1">IFERROR(__xludf.DUMMYFUNCTION("IFERROR(VALUE(REGEXEXTRACT(TO_TEXT($F930), Q$1 &amp; ""x(\d+)"")), """")"),"")</f>
        <v/>
      </c>
      <c r="R930" s="9" t="str">
        <f ca="1">IFERROR(__xludf.DUMMYFUNCTION("IFERROR(VALUE(REGEXEXTRACT(TO_TEXT($F930), R$1 &amp; ""x(\d+)"")), """")"),"")</f>
        <v/>
      </c>
      <c r="S930" s="9" t="str">
        <f ca="1">IFERROR(__xludf.DUMMYFUNCTION("IFERROR(VALUE(REGEXEXTRACT(TO_TEXT($F930), S$1 &amp; ""x(\d+)"")), """")"),"")</f>
        <v/>
      </c>
      <c r="T930" s="9" t="str">
        <f ca="1">IFERROR(__xludf.DUMMYFUNCTION("IFERROR(VALUE(REGEXEXTRACT(TO_TEXT($F930), T$1 &amp; ""x(\d+)"")), """")"),"")</f>
        <v/>
      </c>
      <c r="U930" s="9" t="str">
        <f ca="1">IFERROR(__xludf.DUMMYFUNCTION("IFERROR(VALUE(REGEXEXTRACT(TO_TEXT($F930), U$1 &amp; ""x(\d+)"")), """")"),"")</f>
        <v/>
      </c>
      <c r="V930" s="9" t="str">
        <f ca="1">IFERROR(__xludf.DUMMYFUNCTION("IFERROR(VALUE(REGEXEXTRACT(TO_TEXT($F930), V$1 &amp; ""x(\d+)"")), """")"),"")</f>
        <v/>
      </c>
      <c r="W930" s="9"/>
      <c r="X930" s="9"/>
      <c r="Y930" s="9"/>
      <c r="Z930" s="9"/>
    </row>
    <row r="931" spans="1:26" ht="15.75" customHeight="1">
      <c r="A931" s="9" t="s">
        <v>2009</v>
      </c>
      <c r="B931" s="9" t="s">
        <v>2010</v>
      </c>
      <c r="C931" s="9" t="s">
        <v>588</v>
      </c>
      <c r="D931" s="9" t="s">
        <v>33</v>
      </c>
      <c r="E931" s="9" t="s">
        <v>13</v>
      </c>
      <c r="F931" s="9" t="s">
        <v>2012</v>
      </c>
      <c r="G931" s="9">
        <v>15</v>
      </c>
      <c r="H931" s="9">
        <v>3</v>
      </c>
      <c r="I931" s="9">
        <v>1.0149999999999999</v>
      </c>
      <c r="J931" s="9">
        <v>69</v>
      </c>
      <c r="K931" s="9" t="s">
        <v>424</v>
      </c>
      <c r="L931" s="9"/>
      <c r="M931" s="9"/>
      <c r="N931" s="9" t="str">
        <f ca="1">IFERROR(__xludf.DUMMYFUNCTION("IFERROR(VALUE(REGEXEXTRACT(TO_TEXT($F931), N$1 &amp; ""x(\d+)"")), """")
"),"")</f>
        <v/>
      </c>
      <c r="O931" s="9">
        <f ca="1">IFERROR(__xludf.DUMMYFUNCTION("IFERROR(VALUE(REGEXEXTRACT(TO_TEXT($F931), O$1 &amp; ""x(\d+)"")), """")"),1)</f>
        <v>1</v>
      </c>
      <c r="P931" s="9" t="str">
        <f ca="1">IFERROR(__xludf.DUMMYFUNCTION("IFERROR(VALUE(REGEXEXTRACT(TO_TEXT($F931), P$1 &amp; ""x(\d+)"")), """")"),"")</f>
        <v/>
      </c>
      <c r="Q931" s="9" t="str">
        <f ca="1">IFERROR(__xludf.DUMMYFUNCTION("IFERROR(VALUE(REGEXEXTRACT(TO_TEXT($F931), Q$1 &amp; ""x(\d+)"")), """")"),"")</f>
        <v/>
      </c>
      <c r="R931" s="9" t="str">
        <f ca="1">IFERROR(__xludf.DUMMYFUNCTION("IFERROR(VALUE(REGEXEXTRACT(TO_TEXT($F931), R$1 &amp; ""x(\d+)"")), """")"),"")</f>
        <v/>
      </c>
      <c r="S931" s="9" t="str">
        <f ca="1">IFERROR(__xludf.DUMMYFUNCTION("IFERROR(VALUE(REGEXEXTRACT(TO_TEXT($F931), S$1 &amp; ""x(\d+)"")), """")"),"")</f>
        <v/>
      </c>
      <c r="T931" s="9" t="str">
        <f ca="1">IFERROR(__xludf.DUMMYFUNCTION("IFERROR(VALUE(REGEXEXTRACT(TO_TEXT($F931), T$1 &amp; ""x(\d+)"")), """")"),"")</f>
        <v/>
      </c>
      <c r="U931" s="9" t="str">
        <f ca="1">IFERROR(__xludf.DUMMYFUNCTION("IFERROR(VALUE(REGEXEXTRACT(TO_TEXT($F931), U$1 &amp; ""x(\d+)"")), """")"),"")</f>
        <v/>
      </c>
      <c r="V931" s="9" t="str">
        <f ca="1">IFERROR(__xludf.DUMMYFUNCTION("IFERROR(VALUE(REGEXEXTRACT(TO_TEXT($F931), V$1 &amp; ""x(\d+)"")), """")"),"")</f>
        <v/>
      </c>
      <c r="W931" s="9"/>
      <c r="X931" s="9"/>
      <c r="Y931" s="9"/>
      <c r="Z931" s="9"/>
    </row>
    <row r="932" spans="1:26" ht="15.75" customHeight="1">
      <c r="A932" s="9" t="s">
        <v>2013</v>
      </c>
      <c r="B932" s="9" t="s">
        <v>2014</v>
      </c>
      <c r="C932" s="9" t="s">
        <v>458</v>
      </c>
      <c r="D932" s="9" t="s">
        <v>33</v>
      </c>
      <c r="E932" s="9" t="s">
        <v>11</v>
      </c>
      <c r="F932" s="9" t="s">
        <v>2015</v>
      </c>
      <c r="G932" s="9">
        <v>30</v>
      </c>
      <c r="H932" s="9">
        <v>5</v>
      </c>
      <c r="I932" s="9">
        <v>1.0149999999999999</v>
      </c>
      <c r="J932" s="9">
        <v>113</v>
      </c>
      <c r="K932" s="9" t="s">
        <v>442</v>
      </c>
      <c r="L932" s="9"/>
      <c r="M932" s="9"/>
      <c r="N932" s="9" t="str">
        <f ca="1">IFERROR(__xludf.DUMMYFUNCTION("IFERROR(VALUE(REGEXEXTRACT(TO_TEXT($F932), N$1 &amp; ""x(\d+)"")), """")
"),"")</f>
        <v/>
      </c>
      <c r="O932" s="9">
        <f ca="1">IFERROR(__xludf.DUMMYFUNCTION("IFERROR(VALUE(REGEXEXTRACT(TO_TEXT($F932), O$1 &amp; ""x(\d+)"")), """")"),1)</f>
        <v>1</v>
      </c>
      <c r="P932" s="9" t="str">
        <f ca="1">IFERROR(__xludf.DUMMYFUNCTION("IFERROR(VALUE(REGEXEXTRACT(TO_TEXT($F932), P$1 &amp; ""x(\d+)"")), """")"),"")</f>
        <v/>
      </c>
      <c r="Q932" s="9" t="str">
        <f ca="1">IFERROR(__xludf.DUMMYFUNCTION("IFERROR(VALUE(REGEXEXTRACT(TO_TEXT($F932), Q$1 &amp; ""x(\d+)"")), """")"),"")</f>
        <v/>
      </c>
      <c r="R932" s="9" t="str">
        <f ca="1">IFERROR(__xludf.DUMMYFUNCTION("IFERROR(VALUE(REGEXEXTRACT(TO_TEXT($F932), R$1 &amp; ""x(\d+)"")), """")"),"")</f>
        <v/>
      </c>
      <c r="S932" s="9" t="str">
        <f ca="1">IFERROR(__xludf.DUMMYFUNCTION("IFERROR(VALUE(REGEXEXTRACT(TO_TEXT($F932), S$1 &amp; ""x(\d+)"")), """")"),"")</f>
        <v/>
      </c>
      <c r="T932" s="9" t="str">
        <f ca="1">IFERROR(__xludf.DUMMYFUNCTION("IFERROR(VALUE(REGEXEXTRACT(TO_TEXT($F932), T$1 &amp; ""x(\d+)"")), """")"),"")</f>
        <v/>
      </c>
      <c r="U932" s="9" t="str">
        <f ca="1">IFERROR(__xludf.DUMMYFUNCTION("IFERROR(VALUE(REGEXEXTRACT(TO_TEXT($F932), U$1 &amp; ""x(\d+)"")), """")"),"")</f>
        <v/>
      </c>
      <c r="V932" s="9" t="str">
        <f ca="1">IFERROR(__xludf.DUMMYFUNCTION("IFERROR(VALUE(REGEXEXTRACT(TO_TEXT($F932), V$1 &amp; ""x(\d+)"")), """")"),"")</f>
        <v/>
      </c>
      <c r="W932" s="9"/>
      <c r="X932" s="9"/>
      <c r="Y932" s="9"/>
      <c r="Z932" s="9"/>
    </row>
    <row r="933" spans="1:26" ht="15.75" customHeight="1">
      <c r="A933" s="9" t="s">
        <v>2013</v>
      </c>
      <c r="B933" s="9" t="s">
        <v>2014</v>
      </c>
      <c r="C933" s="9" t="s">
        <v>458</v>
      </c>
      <c r="D933" s="9" t="s">
        <v>33</v>
      </c>
      <c r="E933" s="9" t="s">
        <v>12</v>
      </c>
      <c r="F933" s="9" t="s">
        <v>2016</v>
      </c>
      <c r="G933" s="9">
        <v>75</v>
      </c>
      <c r="H933" s="9">
        <v>5</v>
      </c>
      <c r="I933" s="9">
        <v>1.0149999999999999</v>
      </c>
      <c r="J933" s="9">
        <v>113</v>
      </c>
      <c r="K933" s="9" t="s">
        <v>442</v>
      </c>
      <c r="L933" s="9"/>
      <c r="M933" s="9"/>
      <c r="N933" s="9" t="str">
        <f ca="1">IFERROR(__xludf.DUMMYFUNCTION("IFERROR(VALUE(REGEXEXTRACT(TO_TEXT($F933), N$1 &amp; ""x(\d+)"")), """")
"),"")</f>
        <v/>
      </c>
      <c r="O933" s="9">
        <f ca="1">IFERROR(__xludf.DUMMYFUNCTION("IFERROR(VALUE(REGEXEXTRACT(TO_TEXT($F933), O$1 &amp; ""x(\d+)"")), """")"),1)</f>
        <v>1</v>
      </c>
      <c r="P933" s="9" t="str">
        <f ca="1">IFERROR(__xludf.DUMMYFUNCTION("IFERROR(VALUE(REGEXEXTRACT(TO_TEXT($F933), P$1 &amp; ""x(\d+)"")), """")"),"")</f>
        <v/>
      </c>
      <c r="Q933" s="9" t="str">
        <f ca="1">IFERROR(__xludf.DUMMYFUNCTION("IFERROR(VALUE(REGEXEXTRACT(TO_TEXT($F933), Q$1 &amp; ""x(\d+)"")), """")"),"")</f>
        <v/>
      </c>
      <c r="R933" s="9" t="str">
        <f ca="1">IFERROR(__xludf.DUMMYFUNCTION("IFERROR(VALUE(REGEXEXTRACT(TO_TEXT($F933), R$1 &amp; ""x(\d+)"")), """")"),"")</f>
        <v/>
      </c>
      <c r="S933" s="9" t="str">
        <f ca="1">IFERROR(__xludf.DUMMYFUNCTION("IFERROR(VALUE(REGEXEXTRACT(TO_TEXT($F933), S$1 &amp; ""x(\d+)"")), """")"),"")</f>
        <v/>
      </c>
      <c r="T933" s="9" t="str">
        <f ca="1">IFERROR(__xludf.DUMMYFUNCTION("IFERROR(VALUE(REGEXEXTRACT(TO_TEXT($F933), T$1 &amp; ""x(\d+)"")), """")"),"")</f>
        <v/>
      </c>
      <c r="U933" s="9" t="str">
        <f ca="1">IFERROR(__xludf.DUMMYFUNCTION("IFERROR(VALUE(REGEXEXTRACT(TO_TEXT($F933), U$1 &amp; ""x(\d+)"")), """")"),"")</f>
        <v/>
      </c>
      <c r="V933" s="9" t="str">
        <f ca="1">IFERROR(__xludf.DUMMYFUNCTION("IFERROR(VALUE(REGEXEXTRACT(TO_TEXT($F933), V$1 &amp; ""x(\d+)"")), """")"),"")</f>
        <v/>
      </c>
      <c r="W933" s="9"/>
      <c r="X933" s="9"/>
      <c r="Y933" s="9"/>
      <c r="Z933" s="9"/>
    </row>
    <row r="934" spans="1:26" ht="15.75" customHeight="1">
      <c r="A934" s="9" t="s">
        <v>2013</v>
      </c>
      <c r="B934" s="9" t="s">
        <v>2014</v>
      </c>
      <c r="C934" s="9" t="s">
        <v>458</v>
      </c>
      <c r="D934" s="9" t="s">
        <v>33</v>
      </c>
      <c r="E934" s="9" t="s">
        <v>13</v>
      </c>
      <c r="F934" s="9" t="s">
        <v>2017</v>
      </c>
      <c r="G934" s="9">
        <v>15</v>
      </c>
      <c r="H934" s="9">
        <v>5</v>
      </c>
      <c r="I934" s="9">
        <v>1.0149999999999999</v>
      </c>
      <c r="J934" s="9">
        <v>113</v>
      </c>
      <c r="K934" s="9" t="s">
        <v>442</v>
      </c>
      <c r="L934" s="9"/>
      <c r="M934" s="9"/>
      <c r="N934" s="9" t="str">
        <f ca="1">IFERROR(__xludf.DUMMYFUNCTION("IFERROR(VALUE(REGEXEXTRACT(TO_TEXT($F934), N$1 &amp; ""x(\d+)"")), """")
"),"")</f>
        <v/>
      </c>
      <c r="O934" s="9">
        <f ca="1">IFERROR(__xludf.DUMMYFUNCTION("IFERROR(VALUE(REGEXEXTRACT(TO_TEXT($F934), O$1 &amp; ""x(\d+)"")), """")"),1)</f>
        <v>1</v>
      </c>
      <c r="P934" s="9" t="str">
        <f ca="1">IFERROR(__xludf.DUMMYFUNCTION("IFERROR(VALUE(REGEXEXTRACT(TO_TEXT($F934), P$1 &amp; ""x(\d+)"")), """")"),"")</f>
        <v/>
      </c>
      <c r="Q934" s="9" t="str">
        <f ca="1">IFERROR(__xludf.DUMMYFUNCTION("IFERROR(VALUE(REGEXEXTRACT(TO_TEXT($F934), Q$1 &amp; ""x(\d+)"")), """")"),"")</f>
        <v/>
      </c>
      <c r="R934" s="9" t="str">
        <f ca="1">IFERROR(__xludf.DUMMYFUNCTION("IFERROR(VALUE(REGEXEXTRACT(TO_TEXT($F934), R$1 &amp; ""x(\d+)"")), """")"),"")</f>
        <v/>
      </c>
      <c r="S934" s="9" t="str">
        <f ca="1">IFERROR(__xludf.DUMMYFUNCTION("IFERROR(VALUE(REGEXEXTRACT(TO_TEXT($F934), S$1 &amp; ""x(\d+)"")), """")"),"")</f>
        <v/>
      </c>
      <c r="T934" s="9" t="str">
        <f ca="1">IFERROR(__xludf.DUMMYFUNCTION("IFERROR(VALUE(REGEXEXTRACT(TO_TEXT($F934), T$1 &amp; ""x(\d+)"")), """")"),"")</f>
        <v/>
      </c>
      <c r="U934" s="9" t="str">
        <f ca="1">IFERROR(__xludf.DUMMYFUNCTION("IFERROR(VALUE(REGEXEXTRACT(TO_TEXT($F934), U$1 &amp; ""x(\d+)"")), """")"),"")</f>
        <v/>
      </c>
      <c r="V934" s="9" t="str">
        <f ca="1">IFERROR(__xludf.DUMMYFUNCTION("IFERROR(VALUE(REGEXEXTRACT(TO_TEXT($F934), V$1 &amp; ""x(\d+)"")), """")"),"")</f>
        <v/>
      </c>
      <c r="W934" s="9"/>
      <c r="X934" s="9"/>
      <c r="Y934" s="9"/>
      <c r="Z934" s="9"/>
    </row>
    <row r="935" spans="1:26" ht="15.75" hidden="1" customHeight="1">
      <c r="A935" s="9" t="s">
        <v>93</v>
      </c>
      <c r="B935" s="9" t="s">
        <v>2018</v>
      </c>
      <c r="C935" s="9" t="s">
        <v>94</v>
      </c>
      <c r="D935" s="9" t="s">
        <v>48</v>
      </c>
      <c r="E935" s="9" t="s">
        <v>11</v>
      </c>
      <c r="F935" s="9" t="s">
        <v>2019</v>
      </c>
      <c r="G935" s="9">
        <v>25</v>
      </c>
      <c r="H935" s="9">
        <v>3</v>
      </c>
      <c r="I935" s="9">
        <v>1.0149999999999999</v>
      </c>
      <c r="J935" s="9">
        <v>52</v>
      </c>
      <c r="K935" s="9" t="s">
        <v>424</v>
      </c>
      <c r="L935" s="9"/>
      <c r="M935" s="9"/>
      <c r="N935" s="9" t="str">
        <f ca="1">IFERROR(__xludf.DUMMYFUNCTION("IFERROR(VALUE(REGEXEXTRACT(TO_TEXT($F935), N$1 &amp; ""x(\d+)"")), """")
"),"")</f>
        <v/>
      </c>
      <c r="O935" s="9" t="str">
        <f ca="1">IFERROR(__xludf.DUMMYFUNCTION("IFERROR(VALUE(REGEXEXTRACT(TO_TEXT($F935), O$1 &amp; ""x(\d+)"")), """")"),"")</f>
        <v/>
      </c>
      <c r="P935" s="9" t="str">
        <f ca="1">IFERROR(__xludf.DUMMYFUNCTION("IFERROR(VALUE(REGEXEXTRACT(TO_TEXT($F935), P$1 &amp; ""x(\d+)"")), """")"),"")</f>
        <v/>
      </c>
      <c r="Q935" s="9" t="str">
        <f ca="1">IFERROR(__xludf.DUMMYFUNCTION("IFERROR(VALUE(REGEXEXTRACT(TO_TEXT($F935), Q$1 &amp; ""x(\d+)"")), """")"),"")</f>
        <v/>
      </c>
      <c r="R935" s="9" t="str">
        <f ca="1">IFERROR(__xludf.DUMMYFUNCTION("IFERROR(VALUE(REGEXEXTRACT(TO_TEXT($F935), R$1 &amp; ""x(\d+)"")), """")"),"")</f>
        <v/>
      </c>
      <c r="S935" s="9" t="str">
        <f ca="1">IFERROR(__xludf.DUMMYFUNCTION("IFERROR(VALUE(REGEXEXTRACT(TO_TEXT($F935), S$1 &amp; ""x(\d+)"")), """")"),"")</f>
        <v/>
      </c>
      <c r="T935" s="9" t="str">
        <f ca="1">IFERROR(__xludf.DUMMYFUNCTION("IFERROR(VALUE(REGEXEXTRACT(TO_TEXT($F935), T$1 &amp; ""x(\d+)"")), """")"),"")</f>
        <v/>
      </c>
      <c r="U935" s="9" t="str">
        <f ca="1">IFERROR(__xludf.DUMMYFUNCTION("IFERROR(VALUE(REGEXEXTRACT(TO_TEXT($F935), U$1 &amp; ""x(\d+)"")), """")"),"")</f>
        <v/>
      </c>
      <c r="V935" s="9" t="str">
        <f ca="1">IFERROR(__xludf.DUMMYFUNCTION("IFERROR(VALUE(REGEXEXTRACT(TO_TEXT($F935), V$1 &amp; ""x(\d+)"")), """")"),"")</f>
        <v/>
      </c>
      <c r="W935" s="9"/>
      <c r="X935" s="9"/>
      <c r="Y935" s="9"/>
      <c r="Z935" s="9"/>
    </row>
    <row r="936" spans="1:26" ht="15.75" hidden="1" customHeight="1">
      <c r="A936" s="9" t="s">
        <v>93</v>
      </c>
      <c r="B936" s="9" t="s">
        <v>2018</v>
      </c>
      <c r="C936" s="9" t="s">
        <v>94</v>
      </c>
      <c r="D936" s="9" t="s">
        <v>48</v>
      </c>
      <c r="E936" s="9" t="s">
        <v>12</v>
      </c>
      <c r="F936" s="9" t="s">
        <v>1121</v>
      </c>
      <c r="G936" s="9">
        <v>130</v>
      </c>
      <c r="H936" s="9">
        <v>3</v>
      </c>
      <c r="I936" s="9">
        <v>1.0149999999999999</v>
      </c>
      <c r="J936" s="9">
        <v>52</v>
      </c>
      <c r="K936" s="9" t="s">
        <v>424</v>
      </c>
      <c r="L936" s="9" t="s">
        <v>1035</v>
      </c>
      <c r="M936" s="9"/>
      <c r="N936" s="9" t="str">
        <f ca="1">IFERROR(__xludf.DUMMYFUNCTION("IFERROR(VALUE(REGEXEXTRACT(TO_TEXT($F936), N$1 &amp; ""x(\d+)"")), """")
"),"")</f>
        <v/>
      </c>
      <c r="O936" s="9" t="str">
        <f ca="1">IFERROR(__xludf.DUMMYFUNCTION("IFERROR(VALUE(REGEXEXTRACT(TO_TEXT($F936), O$1 &amp; ""x(\d+)"")), """")"),"")</f>
        <v/>
      </c>
      <c r="P936" s="9">
        <f ca="1">IFERROR(__xludf.DUMMYFUNCTION("IFERROR(VALUE(REGEXEXTRACT(TO_TEXT($F936), P$1 &amp; ""x(\d+)"")), """")"),1)</f>
        <v>1</v>
      </c>
      <c r="Q936" s="9" t="str">
        <f ca="1">IFERROR(__xludf.DUMMYFUNCTION("IFERROR(VALUE(REGEXEXTRACT(TO_TEXT($F936), Q$1 &amp; ""x(\d+)"")), """")"),"")</f>
        <v/>
      </c>
      <c r="R936" s="9" t="str">
        <f ca="1">IFERROR(__xludf.DUMMYFUNCTION("IFERROR(VALUE(REGEXEXTRACT(TO_TEXT($F936), R$1 &amp; ""x(\d+)"")), """")"),"")</f>
        <v/>
      </c>
      <c r="S936" s="9" t="str">
        <f ca="1">IFERROR(__xludf.DUMMYFUNCTION("IFERROR(VALUE(REGEXEXTRACT(TO_TEXT($F936), S$1 &amp; ""x(\d+)"")), """")"),"")</f>
        <v/>
      </c>
      <c r="T936" s="9" t="str">
        <f ca="1">IFERROR(__xludf.DUMMYFUNCTION("IFERROR(VALUE(REGEXEXTRACT(TO_TEXT($F936), T$1 &amp; ""x(\d+)"")), """")"),"")</f>
        <v/>
      </c>
      <c r="U936" s="9" t="str">
        <f ca="1">IFERROR(__xludf.DUMMYFUNCTION("IFERROR(VALUE(REGEXEXTRACT(TO_TEXT($F936), U$1 &amp; ""x(\d+)"")), """")"),"")</f>
        <v/>
      </c>
      <c r="V936" s="9" t="str">
        <f ca="1">IFERROR(__xludf.DUMMYFUNCTION("IFERROR(VALUE(REGEXEXTRACT(TO_TEXT($F936), V$1 &amp; ""x(\d+)"")), """")"),"")</f>
        <v/>
      </c>
      <c r="W936" s="9"/>
      <c r="X936" s="9"/>
      <c r="Y936" s="9"/>
      <c r="Z936" s="9"/>
    </row>
    <row r="937" spans="1:26" ht="15.75" hidden="1" customHeight="1">
      <c r="A937" s="9" t="s">
        <v>93</v>
      </c>
      <c r="B937" s="9" t="s">
        <v>2018</v>
      </c>
      <c r="C937" s="9" t="s">
        <v>94</v>
      </c>
      <c r="D937" s="9" t="s">
        <v>48</v>
      </c>
      <c r="E937" s="9" t="s">
        <v>13</v>
      </c>
      <c r="F937" s="9" t="s">
        <v>1122</v>
      </c>
      <c r="G937" s="9">
        <v>30</v>
      </c>
      <c r="H937" s="9">
        <v>3</v>
      </c>
      <c r="I937" s="9">
        <v>1.0149999999999999</v>
      </c>
      <c r="J937" s="9">
        <v>52</v>
      </c>
      <c r="K937" s="9" t="s">
        <v>424</v>
      </c>
      <c r="L937" s="9"/>
      <c r="M937" s="9"/>
      <c r="N937" s="9" t="str">
        <f ca="1">IFERROR(__xludf.DUMMYFUNCTION("IFERROR(VALUE(REGEXEXTRACT(TO_TEXT($F937), N$1 &amp; ""x(\d+)"")), """")
"),"")</f>
        <v/>
      </c>
      <c r="O937" s="9" t="str">
        <f ca="1">IFERROR(__xludf.DUMMYFUNCTION("IFERROR(VALUE(REGEXEXTRACT(TO_TEXT($F937), O$1 &amp; ""x(\d+)"")), """")"),"")</f>
        <v/>
      </c>
      <c r="P937" s="9">
        <f ca="1">IFERROR(__xludf.DUMMYFUNCTION("IFERROR(VALUE(REGEXEXTRACT(TO_TEXT($F937), P$1 &amp; ""x(\d+)"")), """")"),1)</f>
        <v>1</v>
      </c>
      <c r="Q937" s="9" t="str">
        <f ca="1">IFERROR(__xludf.DUMMYFUNCTION("IFERROR(VALUE(REGEXEXTRACT(TO_TEXT($F937), Q$1 &amp; ""x(\d+)"")), """")"),"")</f>
        <v/>
      </c>
      <c r="R937" s="9" t="str">
        <f ca="1">IFERROR(__xludf.DUMMYFUNCTION("IFERROR(VALUE(REGEXEXTRACT(TO_TEXT($F937), R$1 &amp; ""x(\d+)"")), """")"),"")</f>
        <v/>
      </c>
      <c r="S937" s="9" t="str">
        <f ca="1">IFERROR(__xludf.DUMMYFUNCTION("IFERROR(VALUE(REGEXEXTRACT(TO_TEXT($F937), S$1 &amp; ""x(\d+)"")), """")"),"")</f>
        <v/>
      </c>
      <c r="T937" s="9" t="str">
        <f ca="1">IFERROR(__xludf.DUMMYFUNCTION("IFERROR(VALUE(REGEXEXTRACT(TO_TEXT($F937), T$1 &amp; ""x(\d+)"")), """")"),"")</f>
        <v/>
      </c>
      <c r="U937" s="9" t="str">
        <f ca="1">IFERROR(__xludf.DUMMYFUNCTION("IFERROR(VALUE(REGEXEXTRACT(TO_TEXT($F937), U$1 &amp; ""x(\d+)"")), """")"),"")</f>
        <v/>
      </c>
      <c r="V937" s="9" t="str">
        <f ca="1">IFERROR(__xludf.DUMMYFUNCTION("IFERROR(VALUE(REGEXEXTRACT(TO_TEXT($F937), V$1 &amp; ""x(\d+)"")), """")"),"")</f>
        <v/>
      </c>
      <c r="W937" s="9"/>
      <c r="X937" s="9"/>
      <c r="Y937" s="9"/>
      <c r="Z937" s="9"/>
    </row>
    <row r="938" spans="1:26" ht="15.75" hidden="1" customHeight="1">
      <c r="A938" s="9" t="s">
        <v>93</v>
      </c>
      <c r="B938" s="9" t="s">
        <v>2018</v>
      </c>
      <c r="C938" s="9" t="s">
        <v>94</v>
      </c>
      <c r="D938" s="9" t="s">
        <v>74</v>
      </c>
      <c r="E938" s="9" t="s">
        <v>11</v>
      </c>
      <c r="F938" s="9" t="s">
        <v>1221</v>
      </c>
      <c r="G938" s="9">
        <v>25</v>
      </c>
      <c r="H938" s="9">
        <v>2</v>
      </c>
      <c r="I938" s="9">
        <v>1.0149999999999999</v>
      </c>
      <c r="J938" s="9">
        <v>103</v>
      </c>
      <c r="K938" s="9" t="s">
        <v>424</v>
      </c>
      <c r="L938" s="9"/>
      <c r="M938" s="9"/>
      <c r="N938" s="9" t="str">
        <f ca="1">IFERROR(__xludf.DUMMYFUNCTION("IFERROR(VALUE(REGEXEXTRACT(TO_TEXT($F938), N$1 &amp; ""x(\d+)"")), """")
"),"")</f>
        <v/>
      </c>
      <c r="O938" s="9" t="str">
        <f ca="1">IFERROR(__xludf.DUMMYFUNCTION("IFERROR(VALUE(REGEXEXTRACT(TO_TEXT($F938), O$1 &amp; ""x(\d+)"")), """")"),"")</f>
        <v/>
      </c>
      <c r="P938" s="9" t="str">
        <f ca="1">IFERROR(__xludf.DUMMYFUNCTION("IFERROR(VALUE(REGEXEXTRACT(TO_TEXT($F938), P$1 &amp; ""x(\d+)"")), """")"),"")</f>
        <v/>
      </c>
      <c r="Q938" s="9" t="str">
        <f ca="1">IFERROR(__xludf.DUMMYFUNCTION("IFERROR(VALUE(REGEXEXTRACT(TO_TEXT($F938), Q$1 &amp; ""x(\d+)"")), """")"),"")</f>
        <v/>
      </c>
      <c r="R938" s="9" t="str">
        <f ca="1">IFERROR(__xludf.DUMMYFUNCTION("IFERROR(VALUE(REGEXEXTRACT(TO_TEXT($F938), R$1 &amp; ""x(\d+)"")), """")"),"")</f>
        <v/>
      </c>
      <c r="S938" s="9" t="str">
        <f ca="1">IFERROR(__xludf.DUMMYFUNCTION("IFERROR(VALUE(REGEXEXTRACT(TO_TEXT($F938), S$1 &amp; ""x(\d+)"")), """")"),"")</f>
        <v/>
      </c>
      <c r="T938" s="9" t="str">
        <f ca="1">IFERROR(__xludf.DUMMYFUNCTION("IFERROR(VALUE(REGEXEXTRACT(TO_TEXT($F938), T$1 &amp; ""x(\d+)"")), """")"),"")</f>
        <v/>
      </c>
      <c r="U938" s="9" t="str">
        <f ca="1">IFERROR(__xludf.DUMMYFUNCTION("IFERROR(VALUE(REGEXEXTRACT(TO_TEXT($F938), U$1 &amp; ""x(\d+)"")), """")"),"")</f>
        <v/>
      </c>
      <c r="V938" s="9" t="str">
        <f ca="1">IFERROR(__xludf.DUMMYFUNCTION("IFERROR(VALUE(REGEXEXTRACT(TO_TEXT($F938), V$1 &amp; ""x(\d+)"")), """")"),"")</f>
        <v/>
      </c>
      <c r="W938" s="9"/>
      <c r="X938" s="9"/>
      <c r="Y938" s="9"/>
      <c r="Z938" s="9"/>
    </row>
    <row r="939" spans="1:26" ht="15.75" hidden="1" customHeight="1">
      <c r="A939" s="9" t="s">
        <v>93</v>
      </c>
      <c r="B939" s="9" t="s">
        <v>2018</v>
      </c>
      <c r="C939" s="9" t="s">
        <v>94</v>
      </c>
      <c r="D939" s="9" t="s">
        <v>74</v>
      </c>
      <c r="E939" s="9" t="s">
        <v>12</v>
      </c>
      <c r="F939" s="9" t="s">
        <v>2020</v>
      </c>
      <c r="G939" s="9">
        <v>190</v>
      </c>
      <c r="H939" s="9">
        <v>2</v>
      </c>
      <c r="I939" s="9">
        <v>1.0149999999999999</v>
      </c>
      <c r="J939" s="9">
        <v>103</v>
      </c>
      <c r="K939" s="9" t="s">
        <v>424</v>
      </c>
      <c r="L939" s="9" t="s">
        <v>1035</v>
      </c>
      <c r="M939" s="9"/>
      <c r="N939" s="9" t="str">
        <f ca="1">IFERROR(__xludf.DUMMYFUNCTION("IFERROR(VALUE(REGEXEXTRACT(TO_TEXT($F939), N$1 &amp; ""x(\d+)"")), """")
"),"")</f>
        <v/>
      </c>
      <c r="O939" s="9" t="str">
        <f ca="1">IFERROR(__xludf.DUMMYFUNCTION("IFERROR(VALUE(REGEXEXTRACT(TO_TEXT($F939), O$1 &amp; ""x(\d+)"")), """")"),"")</f>
        <v/>
      </c>
      <c r="P939" s="9" t="str">
        <f ca="1">IFERROR(__xludf.DUMMYFUNCTION("IFERROR(VALUE(REGEXEXTRACT(TO_TEXT($F939), P$1 &amp; ""x(\d+)"")), """")"),"")</f>
        <v/>
      </c>
      <c r="Q939" s="9">
        <f ca="1">IFERROR(__xludf.DUMMYFUNCTION("IFERROR(VALUE(REGEXEXTRACT(TO_TEXT($F939), Q$1 &amp; ""x(\d+)"")), """")"),1)</f>
        <v>1</v>
      </c>
      <c r="R939" s="9" t="str">
        <f ca="1">IFERROR(__xludf.DUMMYFUNCTION("IFERROR(VALUE(REGEXEXTRACT(TO_TEXT($F939), R$1 &amp; ""x(\d+)"")), """")"),"")</f>
        <v/>
      </c>
      <c r="S939" s="9" t="str">
        <f ca="1">IFERROR(__xludf.DUMMYFUNCTION("IFERROR(VALUE(REGEXEXTRACT(TO_TEXT($F939), S$1 &amp; ""x(\d+)"")), """")"),"")</f>
        <v/>
      </c>
      <c r="T939" s="9" t="str">
        <f ca="1">IFERROR(__xludf.DUMMYFUNCTION("IFERROR(VALUE(REGEXEXTRACT(TO_TEXT($F939), T$1 &amp; ""x(\d+)"")), """")"),"")</f>
        <v/>
      </c>
      <c r="U939" s="9" t="str">
        <f ca="1">IFERROR(__xludf.DUMMYFUNCTION("IFERROR(VALUE(REGEXEXTRACT(TO_TEXT($F939), U$1 &amp; ""x(\d+)"")), """")"),"")</f>
        <v/>
      </c>
      <c r="V939" s="9" t="str">
        <f ca="1">IFERROR(__xludf.DUMMYFUNCTION("IFERROR(VALUE(REGEXEXTRACT(TO_TEXT($F939), V$1 &amp; ""x(\d+)"")), """")"),"")</f>
        <v/>
      </c>
      <c r="W939" s="9"/>
      <c r="X939" s="9"/>
      <c r="Y939" s="9"/>
      <c r="Z939" s="9"/>
    </row>
    <row r="940" spans="1:26" ht="15.75" hidden="1" customHeight="1">
      <c r="A940" s="9" t="s">
        <v>93</v>
      </c>
      <c r="B940" s="9" t="s">
        <v>2018</v>
      </c>
      <c r="C940" s="9" t="s">
        <v>94</v>
      </c>
      <c r="D940" s="9" t="s">
        <v>74</v>
      </c>
      <c r="E940" s="9" t="s">
        <v>13</v>
      </c>
      <c r="F940" s="9" t="s">
        <v>1125</v>
      </c>
      <c r="G940" s="9">
        <v>40</v>
      </c>
      <c r="H940" s="9">
        <v>2</v>
      </c>
      <c r="I940" s="9">
        <v>1.0149999999999999</v>
      </c>
      <c r="J940" s="9">
        <v>103</v>
      </c>
      <c r="K940" s="9" t="s">
        <v>424</v>
      </c>
      <c r="L940" s="9"/>
      <c r="M940" s="9"/>
      <c r="N940" s="9" t="str">
        <f ca="1">IFERROR(__xludf.DUMMYFUNCTION("IFERROR(VALUE(REGEXEXTRACT(TO_TEXT($F940), N$1 &amp; ""x(\d+)"")), """")
"),"")</f>
        <v/>
      </c>
      <c r="O940" s="9" t="str">
        <f ca="1">IFERROR(__xludf.DUMMYFUNCTION("IFERROR(VALUE(REGEXEXTRACT(TO_TEXT($F940), O$1 &amp; ""x(\d+)"")), """")"),"")</f>
        <v/>
      </c>
      <c r="P940" s="9" t="str">
        <f ca="1">IFERROR(__xludf.DUMMYFUNCTION("IFERROR(VALUE(REGEXEXTRACT(TO_TEXT($F940), P$1 &amp; ""x(\d+)"")), """")"),"")</f>
        <v/>
      </c>
      <c r="Q940" s="9">
        <f ca="1">IFERROR(__xludf.DUMMYFUNCTION("IFERROR(VALUE(REGEXEXTRACT(TO_TEXT($F940), Q$1 &amp; ""x(\d+)"")), """")"),1)</f>
        <v>1</v>
      </c>
      <c r="R940" s="9" t="str">
        <f ca="1">IFERROR(__xludf.DUMMYFUNCTION("IFERROR(VALUE(REGEXEXTRACT(TO_TEXT($F940), R$1 &amp; ""x(\d+)"")), """")"),"")</f>
        <v/>
      </c>
      <c r="S940" s="9" t="str">
        <f ca="1">IFERROR(__xludf.DUMMYFUNCTION("IFERROR(VALUE(REGEXEXTRACT(TO_TEXT($F940), S$1 &amp; ""x(\d+)"")), """")"),"")</f>
        <v/>
      </c>
      <c r="T940" s="9" t="str">
        <f ca="1">IFERROR(__xludf.DUMMYFUNCTION("IFERROR(VALUE(REGEXEXTRACT(TO_TEXT($F940), T$1 &amp; ""x(\d+)"")), """")"),"")</f>
        <v/>
      </c>
      <c r="U940" s="9" t="str">
        <f ca="1">IFERROR(__xludf.DUMMYFUNCTION("IFERROR(VALUE(REGEXEXTRACT(TO_TEXT($F940), U$1 &amp; ""x(\d+)"")), """")"),"")</f>
        <v/>
      </c>
      <c r="V940" s="9" t="str">
        <f ca="1">IFERROR(__xludf.DUMMYFUNCTION("IFERROR(VALUE(REGEXEXTRACT(TO_TEXT($F940), V$1 &amp; ""x(\d+)"")), """")"),"")</f>
        <v/>
      </c>
      <c r="W940" s="9"/>
      <c r="X940" s="9"/>
      <c r="Y940" s="9"/>
      <c r="Z940" s="9"/>
    </row>
    <row r="941" spans="1:26" ht="15.75" hidden="1" customHeight="1">
      <c r="A941" s="9" t="s">
        <v>111</v>
      </c>
      <c r="B941" s="9" t="s">
        <v>2021</v>
      </c>
      <c r="C941" s="9" t="s">
        <v>112</v>
      </c>
      <c r="D941" s="9" t="s">
        <v>48</v>
      </c>
      <c r="E941" s="9" t="s">
        <v>11</v>
      </c>
      <c r="F941" s="9" t="s">
        <v>2022</v>
      </c>
      <c r="G941" s="9">
        <v>75</v>
      </c>
      <c r="H941" s="9">
        <v>8</v>
      </c>
      <c r="I941" s="9">
        <v>1.0149999999999999</v>
      </c>
      <c r="J941" s="9">
        <v>51.5</v>
      </c>
      <c r="K941" s="9" t="s">
        <v>424</v>
      </c>
      <c r="L941" s="9"/>
      <c r="M941" s="9"/>
      <c r="N941" s="9">
        <f ca="1">IFERROR(__xludf.DUMMYFUNCTION("IFERROR(VALUE(REGEXEXTRACT(TO_TEXT($F941), N$1 &amp; ""x(\d+)"")), """")
"),1)</f>
        <v>1</v>
      </c>
      <c r="O941" s="9">
        <f ca="1">IFERROR(__xludf.DUMMYFUNCTION("IFERROR(VALUE(REGEXEXTRACT(TO_TEXT($F941), O$1 &amp; ""x(\d+)"")), """")"),1)</f>
        <v>1</v>
      </c>
      <c r="P941" s="9" t="str">
        <f ca="1">IFERROR(__xludf.DUMMYFUNCTION("IFERROR(VALUE(REGEXEXTRACT(TO_TEXT($F941), P$1 &amp; ""x(\d+)"")), """")"),"")</f>
        <v/>
      </c>
      <c r="Q941" s="9" t="str">
        <f ca="1">IFERROR(__xludf.DUMMYFUNCTION("IFERROR(VALUE(REGEXEXTRACT(TO_TEXT($F941), Q$1 &amp; ""x(\d+)"")), """")"),"")</f>
        <v/>
      </c>
      <c r="R941" s="9" t="str">
        <f ca="1">IFERROR(__xludf.DUMMYFUNCTION("IFERROR(VALUE(REGEXEXTRACT(TO_TEXT($F941), R$1 &amp; ""x(\d+)"")), """")"),"")</f>
        <v/>
      </c>
      <c r="S941" s="9" t="str">
        <f ca="1">IFERROR(__xludf.DUMMYFUNCTION("IFERROR(VALUE(REGEXEXTRACT(TO_TEXT($F941), S$1 &amp; ""x(\d+)"")), """")"),"")</f>
        <v/>
      </c>
      <c r="T941" s="9" t="str">
        <f ca="1">IFERROR(__xludf.DUMMYFUNCTION("IFERROR(VALUE(REGEXEXTRACT(TO_TEXT($F941), T$1 &amp; ""x(\d+)"")), """")"),"")</f>
        <v/>
      </c>
      <c r="U941" s="9" t="str">
        <f ca="1">IFERROR(__xludf.DUMMYFUNCTION("IFERROR(VALUE(REGEXEXTRACT(TO_TEXT($F941), U$1 &amp; ""x(\d+)"")), """")"),"")</f>
        <v/>
      </c>
      <c r="V941" s="9" t="str">
        <f ca="1">IFERROR(__xludf.DUMMYFUNCTION("IFERROR(VALUE(REGEXEXTRACT(TO_TEXT($F941), V$1 &amp; ""x(\d+)"")), """")"),"")</f>
        <v/>
      </c>
      <c r="W941" s="9"/>
      <c r="X941" s="9"/>
      <c r="Y941" s="9"/>
      <c r="Z941" s="9"/>
    </row>
    <row r="942" spans="1:26" ht="15.75" hidden="1" customHeight="1">
      <c r="A942" s="9" t="s">
        <v>111</v>
      </c>
      <c r="B942" s="9" t="s">
        <v>2021</v>
      </c>
      <c r="C942" s="9" t="s">
        <v>112</v>
      </c>
      <c r="D942" s="9" t="s">
        <v>48</v>
      </c>
      <c r="E942" s="9" t="s">
        <v>12</v>
      </c>
      <c r="F942" s="9" t="s">
        <v>2023</v>
      </c>
      <c r="G942" s="9">
        <v>60</v>
      </c>
      <c r="H942" s="9">
        <v>8</v>
      </c>
      <c r="I942" s="9">
        <v>1.0149999999999999</v>
      </c>
      <c r="J942" s="9">
        <v>51.5</v>
      </c>
      <c r="K942" s="9" t="s">
        <v>424</v>
      </c>
      <c r="L942" s="9" t="s">
        <v>1973</v>
      </c>
      <c r="M942" s="9"/>
      <c r="N942" s="9" t="str">
        <f ca="1">IFERROR(__xludf.DUMMYFUNCTION("IFERROR(VALUE(REGEXEXTRACT(TO_TEXT($F942), N$1 &amp; ""x(\d+)"")), """")
"),"")</f>
        <v/>
      </c>
      <c r="O942" s="9" t="str">
        <f ca="1">IFERROR(__xludf.DUMMYFUNCTION("IFERROR(VALUE(REGEXEXTRACT(TO_TEXT($F942), O$1 &amp; ""x(\d+)"")), """")"),"")</f>
        <v/>
      </c>
      <c r="P942" s="9">
        <f ca="1">IFERROR(__xludf.DUMMYFUNCTION("IFERROR(VALUE(REGEXEXTRACT(TO_TEXT($F942), P$1 &amp; ""x(\d+)"")), """")"),1)</f>
        <v>1</v>
      </c>
      <c r="Q942" s="9" t="str">
        <f ca="1">IFERROR(__xludf.DUMMYFUNCTION("IFERROR(VALUE(REGEXEXTRACT(TO_TEXT($F942), Q$1 &amp; ""x(\d+)"")), """")"),"")</f>
        <v/>
      </c>
      <c r="R942" s="9" t="str">
        <f ca="1">IFERROR(__xludf.DUMMYFUNCTION("IFERROR(VALUE(REGEXEXTRACT(TO_TEXT($F942), R$1 &amp; ""x(\d+)"")), """")"),"")</f>
        <v/>
      </c>
      <c r="S942" s="9" t="str">
        <f ca="1">IFERROR(__xludf.DUMMYFUNCTION("IFERROR(VALUE(REGEXEXTRACT(TO_TEXT($F942), S$1 &amp; ""x(\d+)"")), """")"),"")</f>
        <v/>
      </c>
      <c r="T942" s="9" t="str">
        <f ca="1">IFERROR(__xludf.DUMMYFUNCTION("IFERROR(VALUE(REGEXEXTRACT(TO_TEXT($F942), T$1 &amp; ""x(\d+)"")), """")"),"")</f>
        <v/>
      </c>
      <c r="U942" s="9" t="str">
        <f ca="1">IFERROR(__xludf.DUMMYFUNCTION("IFERROR(VALUE(REGEXEXTRACT(TO_TEXT($F942), U$1 &amp; ""x(\d+)"")), """")"),"")</f>
        <v/>
      </c>
      <c r="V942" s="9" t="str">
        <f ca="1">IFERROR(__xludf.DUMMYFUNCTION("IFERROR(VALUE(REGEXEXTRACT(TO_TEXT($F942), V$1 &amp; ""x(\d+)"")), """")"),"")</f>
        <v/>
      </c>
      <c r="W942" s="9"/>
      <c r="X942" s="9"/>
      <c r="Y942" s="9"/>
      <c r="Z942" s="9"/>
    </row>
    <row r="943" spans="1:26" ht="15.75" hidden="1" customHeight="1">
      <c r="A943" s="9" t="s">
        <v>111</v>
      </c>
      <c r="B943" s="9" t="s">
        <v>2021</v>
      </c>
      <c r="C943" s="9" t="s">
        <v>112</v>
      </c>
      <c r="D943" s="9" t="s">
        <v>48</v>
      </c>
      <c r="E943" s="9" t="s">
        <v>13</v>
      </c>
      <c r="F943" s="9" t="s">
        <v>2024</v>
      </c>
      <c r="G943" s="9">
        <v>20</v>
      </c>
      <c r="H943" s="9">
        <v>8</v>
      </c>
      <c r="I943" s="9">
        <v>1.0149999999999999</v>
      </c>
      <c r="J943" s="9">
        <v>51.5</v>
      </c>
      <c r="K943" s="9" t="s">
        <v>424</v>
      </c>
      <c r="L943" s="9"/>
      <c r="M943" s="9"/>
      <c r="N943" s="9" t="str">
        <f ca="1">IFERROR(__xludf.DUMMYFUNCTION("IFERROR(VALUE(REGEXEXTRACT(TO_TEXT($F943), N$1 &amp; ""x(\d+)"")), """")
"),"")</f>
        <v/>
      </c>
      <c r="O943" s="9" t="str">
        <f ca="1">IFERROR(__xludf.DUMMYFUNCTION("IFERROR(VALUE(REGEXEXTRACT(TO_TEXT($F943), O$1 &amp; ""x(\d+)"")), """")"),"")</f>
        <v/>
      </c>
      <c r="P943" s="9">
        <f ca="1">IFERROR(__xludf.DUMMYFUNCTION("IFERROR(VALUE(REGEXEXTRACT(TO_TEXT($F943), P$1 &amp; ""x(\d+)"")), """")"),1)</f>
        <v>1</v>
      </c>
      <c r="Q943" s="9" t="str">
        <f ca="1">IFERROR(__xludf.DUMMYFUNCTION("IFERROR(VALUE(REGEXEXTRACT(TO_TEXT($F943), Q$1 &amp; ""x(\d+)"")), """")"),"")</f>
        <v/>
      </c>
      <c r="R943" s="9" t="str">
        <f ca="1">IFERROR(__xludf.DUMMYFUNCTION("IFERROR(VALUE(REGEXEXTRACT(TO_TEXT($F943), R$1 &amp; ""x(\d+)"")), """")"),"")</f>
        <v/>
      </c>
      <c r="S943" s="9" t="str">
        <f ca="1">IFERROR(__xludf.DUMMYFUNCTION("IFERROR(VALUE(REGEXEXTRACT(TO_TEXT($F943), S$1 &amp; ""x(\d+)"")), """")"),"")</f>
        <v/>
      </c>
      <c r="T943" s="9" t="str">
        <f ca="1">IFERROR(__xludf.DUMMYFUNCTION("IFERROR(VALUE(REGEXEXTRACT(TO_TEXT($F943), T$1 &amp; ""x(\d+)"")), """")"),"")</f>
        <v/>
      </c>
      <c r="U943" s="9" t="str">
        <f ca="1">IFERROR(__xludf.DUMMYFUNCTION("IFERROR(VALUE(REGEXEXTRACT(TO_TEXT($F943), U$1 &amp; ""x(\d+)"")), """")"),"")</f>
        <v/>
      </c>
      <c r="V943" s="9" t="str">
        <f ca="1">IFERROR(__xludf.DUMMYFUNCTION("IFERROR(VALUE(REGEXEXTRACT(TO_TEXT($F943), V$1 &amp; ""x(\d+)"")), """")"),"")</f>
        <v/>
      </c>
      <c r="W943" s="9"/>
      <c r="X943" s="9"/>
      <c r="Y943" s="9"/>
      <c r="Z943" s="9"/>
    </row>
    <row r="944" spans="1:26" ht="15.75" customHeight="1">
      <c r="A944" s="9" t="s">
        <v>111</v>
      </c>
      <c r="B944" s="9" t="s">
        <v>2021</v>
      </c>
      <c r="C944" s="9" t="s">
        <v>112</v>
      </c>
      <c r="D944" s="9" t="s">
        <v>33</v>
      </c>
      <c r="E944" s="9" t="s">
        <v>11</v>
      </c>
      <c r="F944" s="9" t="s">
        <v>2025</v>
      </c>
      <c r="G944" s="9">
        <v>75</v>
      </c>
      <c r="H944" s="9">
        <v>4</v>
      </c>
      <c r="I944" s="9">
        <v>1.0149999999999999</v>
      </c>
      <c r="J944" s="9">
        <v>100</v>
      </c>
      <c r="K944" s="9" t="s">
        <v>424</v>
      </c>
      <c r="L944" s="9"/>
      <c r="M944" s="9"/>
      <c r="N944" s="9">
        <f ca="1">IFERROR(__xludf.DUMMYFUNCTION("IFERROR(VALUE(REGEXEXTRACT(TO_TEXT($F944), N$1 &amp; ""x(\d+)"")), """")
"),1)</f>
        <v>1</v>
      </c>
      <c r="O944" s="9">
        <f ca="1">IFERROR(__xludf.DUMMYFUNCTION("IFERROR(VALUE(REGEXEXTRACT(TO_TEXT($F944), O$1 &amp; ""x(\d+)"")), """")"),1)</f>
        <v>1</v>
      </c>
      <c r="P944" s="9" t="str">
        <f ca="1">IFERROR(__xludf.DUMMYFUNCTION("IFERROR(VALUE(REGEXEXTRACT(TO_TEXT($F944), P$1 &amp; ""x(\d+)"")), """")"),"")</f>
        <v/>
      </c>
      <c r="Q944" s="9" t="str">
        <f ca="1">IFERROR(__xludf.DUMMYFUNCTION("IFERROR(VALUE(REGEXEXTRACT(TO_TEXT($F944), Q$1 &amp; ""x(\d+)"")), """")"),"")</f>
        <v/>
      </c>
      <c r="R944" s="9" t="str">
        <f ca="1">IFERROR(__xludf.DUMMYFUNCTION("IFERROR(VALUE(REGEXEXTRACT(TO_TEXT($F944), R$1 &amp; ""x(\d+)"")), """")"),"")</f>
        <v/>
      </c>
      <c r="S944" s="9" t="str">
        <f ca="1">IFERROR(__xludf.DUMMYFUNCTION("IFERROR(VALUE(REGEXEXTRACT(TO_TEXT($F944), S$1 &amp; ""x(\d+)"")), """")"),"")</f>
        <v/>
      </c>
      <c r="T944" s="9" t="str">
        <f ca="1">IFERROR(__xludf.DUMMYFUNCTION("IFERROR(VALUE(REGEXEXTRACT(TO_TEXT($F944), T$1 &amp; ""x(\d+)"")), """")"),"")</f>
        <v/>
      </c>
      <c r="U944" s="9" t="str">
        <f ca="1">IFERROR(__xludf.DUMMYFUNCTION("IFERROR(VALUE(REGEXEXTRACT(TO_TEXT($F944), U$1 &amp; ""x(\d+)"")), """")"),"")</f>
        <v/>
      </c>
      <c r="V944" s="9" t="str">
        <f ca="1">IFERROR(__xludf.DUMMYFUNCTION("IFERROR(VALUE(REGEXEXTRACT(TO_TEXT($F944), V$1 &amp; ""x(\d+)"")), """")"),"")</f>
        <v/>
      </c>
      <c r="W944" s="9"/>
      <c r="X944" s="9"/>
      <c r="Y944" s="9"/>
      <c r="Z944" s="9"/>
    </row>
    <row r="945" spans="1:26" ht="15.75" customHeight="1">
      <c r="A945" s="9" t="s">
        <v>111</v>
      </c>
      <c r="B945" s="9" t="s">
        <v>2021</v>
      </c>
      <c r="C945" s="9" t="s">
        <v>112</v>
      </c>
      <c r="D945" s="9" t="s">
        <v>33</v>
      </c>
      <c r="E945" s="9" t="s">
        <v>12</v>
      </c>
      <c r="F945" s="9" t="s">
        <v>1560</v>
      </c>
      <c r="G945" s="9">
        <v>60</v>
      </c>
      <c r="H945" s="9">
        <v>4</v>
      </c>
      <c r="I945" s="9">
        <v>1.0149999999999999</v>
      </c>
      <c r="J945" s="9">
        <v>100</v>
      </c>
      <c r="K945" s="9" t="s">
        <v>424</v>
      </c>
      <c r="L945" s="9" t="s">
        <v>1973</v>
      </c>
      <c r="M945" s="9"/>
      <c r="N945" s="9" t="str">
        <f ca="1">IFERROR(__xludf.DUMMYFUNCTION("IFERROR(VALUE(REGEXEXTRACT(TO_TEXT($F945), N$1 &amp; ""x(\d+)"")), """")
"),"")</f>
        <v/>
      </c>
      <c r="O945" s="9">
        <f ca="1">IFERROR(__xludf.DUMMYFUNCTION("IFERROR(VALUE(REGEXEXTRACT(TO_TEXT($F945), O$1 &amp; ""x(\d+)"")), """")"),1)</f>
        <v>1</v>
      </c>
      <c r="P945" s="9" t="str">
        <f ca="1">IFERROR(__xludf.DUMMYFUNCTION("IFERROR(VALUE(REGEXEXTRACT(TO_TEXT($F945), P$1 &amp; ""x(\d+)"")), """")"),"")</f>
        <v/>
      </c>
      <c r="Q945" s="9" t="str">
        <f ca="1">IFERROR(__xludf.DUMMYFUNCTION("IFERROR(VALUE(REGEXEXTRACT(TO_TEXT($F945), Q$1 &amp; ""x(\d+)"")), """")"),"")</f>
        <v/>
      </c>
      <c r="R945" s="9" t="str">
        <f ca="1">IFERROR(__xludf.DUMMYFUNCTION("IFERROR(VALUE(REGEXEXTRACT(TO_TEXT($F945), R$1 &amp; ""x(\d+)"")), """")"),"")</f>
        <v/>
      </c>
      <c r="S945" s="9" t="str">
        <f ca="1">IFERROR(__xludf.DUMMYFUNCTION("IFERROR(VALUE(REGEXEXTRACT(TO_TEXT($F945), S$1 &amp; ""x(\d+)"")), """")"),"")</f>
        <v/>
      </c>
      <c r="T945" s="9" t="str">
        <f ca="1">IFERROR(__xludf.DUMMYFUNCTION("IFERROR(VALUE(REGEXEXTRACT(TO_TEXT($F945), T$1 &amp; ""x(\d+)"")), """")"),"")</f>
        <v/>
      </c>
      <c r="U945" s="9" t="str">
        <f ca="1">IFERROR(__xludf.DUMMYFUNCTION("IFERROR(VALUE(REGEXEXTRACT(TO_TEXT($F945), U$1 &amp; ""x(\d+)"")), """")"),"")</f>
        <v/>
      </c>
      <c r="V945" s="9" t="str">
        <f ca="1">IFERROR(__xludf.DUMMYFUNCTION("IFERROR(VALUE(REGEXEXTRACT(TO_TEXT($F945), V$1 &amp; ""x(\d+)"")), """")"),"")</f>
        <v/>
      </c>
      <c r="W945" s="9"/>
      <c r="X945" s="9"/>
      <c r="Y945" s="9"/>
      <c r="Z945" s="9"/>
    </row>
    <row r="946" spans="1:26" ht="15.75" customHeight="1">
      <c r="A946" s="9" t="s">
        <v>111</v>
      </c>
      <c r="B946" s="9" t="s">
        <v>2021</v>
      </c>
      <c r="C946" s="9" t="s">
        <v>112</v>
      </c>
      <c r="D946" s="9" t="s">
        <v>33</v>
      </c>
      <c r="E946" s="9" t="s">
        <v>13</v>
      </c>
      <c r="F946" s="9" t="s">
        <v>1095</v>
      </c>
      <c r="G946" s="9">
        <v>10</v>
      </c>
      <c r="H946" s="9">
        <v>4</v>
      </c>
      <c r="I946" s="9">
        <v>1.0149999999999999</v>
      </c>
      <c r="J946" s="9">
        <v>100</v>
      </c>
      <c r="K946" s="9" t="s">
        <v>424</v>
      </c>
      <c r="L946" s="9"/>
      <c r="M946" s="9"/>
      <c r="N946" s="9" t="str">
        <f ca="1">IFERROR(__xludf.DUMMYFUNCTION("IFERROR(VALUE(REGEXEXTRACT(TO_TEXT($F946), N$1 &amp; ""x(\d+)"")), """")
"),"")</f>
        <v/>
      </c>
      <c r="O946" s="9">
        <f ca="1">IFERROR(__xludf.DUMMYFUNCTION("IFERROR(VALUE(REGEXEXTRACT(TO_TEXT($F946), O$1 &amp; ""x(\d+)"")), """")"),1)</f>
        <v>1</v>
      </c>
      <c r="P946" s="9" t="str">
        <f ca="1">IFERROR(__xludf.DUMMYFUNCTION("IFERROR(VALUE(REGEXEXTRACT(TO_TEXT($F946), P$1 &amp; ""x(\d+)"")), """")"),"")</f>
        <v/>
      </c>
      <c r="Q946" s="9" t="str">
        <f ca="1">IFERROR(__xludf.DUMMYFUNCTION("IFERROR(VALUE(REGEXEXTRACT(TO_TEXT($F946), Q$1 &amp; ""x(\d+)"")), """")"),"")</f>
        <v/>
      </c>
      <c r="R946" s="9" t="str">
        <f ca="1">IFERROR(__xludf.DUMMYFUNCTION("IFERROR(VALUE(REGEXEXTRACT(TO_TEXT($F946), R$1 &amp; ""x(\d+)"")), """")"),"")</f>
        <v/>
      </c>
      <c r="S946" s="9" t="str">
        <f ca="1">IFERROR(__xludf.DUMMYFUNCTION("IFERROR(VALUE(REGEXEXTRACT(TO_TEXT($F946), S$1 &amp; ""x(\d+)"")), """")"),"")</f>
        <v/>
      </c>
      <c r="T946" s="9" t="str">
        <f ca="1">IFERROR(__xludf.DUMMYFUNCTION("IFERROR(VALUE(REGEXEXTRACT(TO_TEXT($F946), T$1 &amp; ""x(\d+)"")), """")"),"")</f>
        <v/>
      </c>
      <c r="U946" s="9" t="str">
        <f ca="1">IFERROR(__xludf.DUMMYFUNCTION("IFERROR(VALUE(REGEXEXTRACT(TO_TEXT($F946), U$1 &amp; ""x(\d+)"")), """")"),"")</f>
        <v/>
      </c>
      <c r="V946" s="9" t="str">
        <f ca="1">IFERROR(__xludf.DUMMYFUNCTION("IFERROR(VALUE(REGEXEXTRACT(TO_TEXT($F946), V$1 &amp; ""x(\d+)"")), """")"),"")</f>
        <v/>
      </c>
      <c r="W946" s="9"/>
      <c r="X946" s="9"/>
      <c r="Y946" s="9"/>
      <c r="Z946" s="9"/>
    </row>
    <row r="947" spans="1:26" ht="15.75" customHeight="1">
      <c r="A947" s="9" t="s">
        <v>2026</v>
      </c>
      <c r="B947" s="9" t="s">
        <v>2027</v>
      </c>
      <c r="C947" s="9" t="s">
        <v>481</v>
      </c>
      <c r="D947" s="9" t="s">
        <v>33</v>
      </c>
      <c r="E947" s="9" t="s">
        <v>11</v>
      </c>
      <c r="F947" s="9" t="s">
        <v>2028</v>
      </c>
      <c r="G947" s="9">
        <v>20</v>
      </c>
      <c r="H947" s="9">
        <v>1</v>
      </c>
      <c r="I947" s="9">
        <v>1.0149999999999999</v>
      </c>
      <c r="J947" s="9">
        <v>110</v>
      </c>
      <c r="K947" s="9" t="s">
        <v>442</v>
      </c>
      <c r="L947" s="9"/>
      <c r="M947" s="9"/>
      <c r="N947" s="9" t="str">
        <f ca="1">IFERROR(__xludf.DUMMYFUNCTION("IFERROR(VALUE(REGEXEXTRACT(TO_TEXT($F947), N$1 &amp; ""x(\d+)"")), """")
"),"")</f>
        <v/>
      </c>
      <c r="O947" s="9" t="str">
        <f ca="1">IFERROR(__xludf.DUMMYFUNCTION("IFERROR(VALUE(REGEXEXTRACT(TO_TEXT($F947), O$1 &amp; ""x(\d+)"")), """")"),"")</f>
        <v/>
      </c>
      <c r="P947" s="9" t="str">
        <f ca="1">IFERROR(__xludf.DUMMYFUNCTION("IFERROR(VALUE(REGEXEXTRACT(TO_TEXT($F947), P$1 &amp; ""x(\d+)"")), """")"),"")</f>
        <v/>
      </c>
      <c r="Q947" s="9" t="str">
        <f ca="1">IFERROR(__xludf.DUMMYFUNCTION("IFERROR(VALUE(REGEXEXTRACT(TO_TEXT($F947), Q$1 &amp; ""x(\d+)"")), """")"),"")</f>
        <v/>
      </c>
      <c r="R947" s="9" t="str">
        <f ca="1">IFERROR(__xludf.DUMMYFUNCTION("IFERROR(VALUE(REGEXEXTRACT(TO_TEXT($F947), R$1 &amp; ""x(\d+)"")), """")"),"")</f>
        <v/>
      </c>
      <c r="S947" s="9" t="str">
        <f ca="1">IFERROR(__xludf.DUMMYFUNCTION("IFERROR(VALUE(REGEXEXTRACT(TO_TEXT($F947), S$1 &amp; ""x(\d+)"")), """")"),"")</f>
        <v/>
      </c>
      <c r="T947" s="9" t="str">
        <f ca="1">IFERROR(__xludf.DUMMYFUNCTION("IFERROR(VALUE(REGEXEXTRACT(TO_TEXT($F947), T$1 &amp; ""x(\d+)"")), """")"),"")</f>
        <v/>
      </c>
      <c r="U947" s="9" t="str">
        <f ca="1">IFERROR(__xludf.DUMMYFUNCTION("IFERROR(VALUE(REGEXEXTRACT(TO_TEXT($F947), U$1 &amp; ""x(\d+)"")), """")"),"")</f>
        <v/>
      </c>
      <c r="V947" s="9" t="str">
        <f ca="1">IFERROR(__xludf.DUMMYFUNCTION("IFERROR(VALUE(REGEXEXTRACT(TO_TEXT($F947), V$1 &amp; ""x(\d+)"")), """")"),"")</f>
        <v/>
      </c>
      <c r="W947" s="9"/>
      <c r="X947" s="9"/>
      <c r="Y947" s="9"/>
      <c r="Z947" s="9"/>
    </row>
    <row r="948" spans="1:26" ht="15.75" customHeight="1">
      <c r="A948" s="9" t="s">
        <v>2026</v>
      </c>
      <c r="B948" s="9" t="s">
        <v>2027</v>
      </c>
      <c r="C948" s="9" t="s">
        <v>481</v>
      </c>
      <c r="D948" s="9" t="s">
        <v>33</v>
      </c>
      <c r="E948" s="9" t="s">
        <v>12</v>
      </c>
      <c r="F948" s="9" t="s">
        <v>2029</v>
      </c>
      <c r="G948" s="9">
        <v>130</v>
      </c>
      <c r="H948" s="9">
        <v>1</v>
      </c>
      <c r="I948" s="9">
        <v>1.0149999999999999</v>
      </c>
      <c r="J948" s="9">
        <v>110</v>
      </c>
      <c r="K948" s="9" t="s">
        <v>442</v>
      </c>
      <c r="L948" s="9"/>
      <c r="M948" s="9"/>
      <c r="N948" s="9" t="str">
        <f ca="1">IFERROR(__xludf.DUMMYFUNCTION("IFERROR(VALUE(REGEXEXTRACT(TO_TEXT($F948), N$1 &amp; ""x(\d+)"")), """")
"),"")</f>
        <v/>
      </c>
      <c r="O948" s="9" t="str">
        <f ca="1">IFERROR(__xludf.DUMMYFUNCTION("IFERROR(VALUE(REGEXEXTRACT(TO_TEXT($F948), O$1 &amp; ""x(\d+)"")), """")"),"")</f>
        <v/>
      </c>
      <c r="P948" s="9" t="str">
        <f ca="1">IFERROR(__xludf.DUMMYFUNCTION("IFERROR(VALUE(REGEXEXTRACT(TO_TEXT($F948), P$1 &amp; ""x(\d+)"")), """")"),"")</f>
        <v/>
      </c>
      <c r="Q948" s="9" t="str">
        <f ca="1">IFERROR(__xludf.DUMMYFUNCTION("IFERROR(VALUE(REGEXEXTRACT(TO_TEXT($F948), Q$1 &amp; ""x(\d+)"")), """")"),"")</f>
        <v/>
      </c>
      <c r="R948" s="9">
        <f ca="1">IFERROR(__xludf.DUMMYFUNCTION("IFERROR(VALUE(REGEXEXTRACT(TO_TEXT($F948), R$1 &amp; ""x(\d+)"")), """")"),1)</f>
        <v>1</v>
      </c>
      <c r="S948" s="9" t="str">
        <f ca="1">IFERROR(__xludf.DUMMYFUNCTION("IFERROR(VALUE(REGEXEXTRACT(TO_TEXT($F948), S$1 &amp; ""x(\d+)"")), """")"),"")</f>
        <v/>
      </c>
      <c r="T948" s="9" t="str">
        <f ca="1">IFERROR(__xludf.DUMMYFUNCTION("IFERROR(VALUE(REGEXEXTRACT(TO_TEXT($F948), T$1 &amp; ""x(\d+)"")), """")"),"")</f>
        <v/>
      </c>
      <c r="U948" s="9" t="str">
        <f ca="1">IFERROR(__xludf.DUMMYFUNCTION("IFERROR(VALUE(REGEXEXTRACT(TO_TEXT($F948), U$1 &amp; ""x(\d+)"")), """")"),"")</f>
        <v/>
      </c>
      <c r="V948" s="9" t="str">
        <f ca="1">IFERROR(__xludf.DUMMYFUNCTION("IFERROR(VALUE(REGEXEXTRACT(TO_TEXT($F948), V$1 &amp; ""x(\d+)"")), """")"),"")</f>
        <v/>
      </c>
      <c r="W948" s="9"/>
      <c r="X948" s="9"/>
      <c r="Y948" s="9"/>
      <c r="Z948" s="9"/>
    </row>
    <row r="949" spans="1:26" ht="15.75" customHeight="1">
      <c r="A949" s="9" t="s">
        <v>2026</v>
      </c>
      <c r="B949" s="9" t="s">
        <v>2027</v>
      </c>
      <c r="C949" s="9" t="s">
        <v>481</v>
      </c>
      <c r="D949" s="9" t="s">
        <v>33</v>
      </c>
      <c r="E949" s="9" t="s">
        <v>13</v>
      </c>
      <c r="F949" s="9" t="s">
        <v>2030</v>
      </c>
      <c r="G949" s="9">
        <v>15</v>
      </c>
      <c r="H949" s="9">
        <v>1</v>
      </c>
      <c r="I949" s="9">
        <v>1.0149999999999999</v>
      </c>
      <c r="J949" s="9">
        <v>110</v>
      </c>
      <c r="K949" s="9" t="s">
        <v>442</v>
      </c>
      <c r="L949" s="9"/>
      <c r="M949" s="9"/>
      <c r="N949" s="9" t="str">
        <f ca="1">IFERROR(__xludf.DUMMYFUNCTION("IFERROR(VALUE(REGEXEXTRACT(TO_TEXT($F949), N$1 &amp; ""x(\d+)"")), """")
"),"")</f>
        <v/>
      </c>
      <c r="O949" s="9" t="str">
        <f ca="1">IFERROR(__xludf.DUMMYFUNCTION("IFERROR(VALUE(REGEXEXTRACT(TO_TEXT($F949), O$1 &amp; ""x(\d+)"")), """")"),"")</f>
        <v/>
      </c>
      <c r="P949" s="9" t="str">
        <f ca="1">IFERROR(__xludf.DUMMYFUNCTION("IFERROR(VALUE(REGEXEXTRACT(TO_TEXT($F949), P$1 &amp; ""x(\d+)"")), """")"),"")</f>
        <v/>
      </c>
      <c r="Q949" s="9" t="str">
        <f ca="1">IFERROR(__xludf.DUMMYFUNCTION("IFERROR(VALUE(REGEXEXTRACT(TO_TEXT($F949), Q$1 &amp; ""x(\d+)"")), """")"),"")</f>
        <v/>
      </c>
      <c r="R949" s="9">
        <f ca="1">IFERROR(__xludf.DUMMYFUNCTION("IFERROR(VALUE(REGEXEXTRACT(TO_TEXT($F949), R$1 &amp; ""x(\d+)"")), """")"),1)</f>
        <v>1</v>
      </c>
      <c r="S949" s="9" t="str">
        <f ca="1">IFERROR(__xludf.DUMMYFUNCTION("IFERROR(VALUE(REGEXEXTRACT(TO_TEXT($F949), S$1 &amp; ""x(\d+)"")), """")"),"")</f>
        <v/>
      </c>
      <c r="T949" s="9" t="str">
        <f ca="1">IFERROR(__xludf.DUMMYFUNCTION("IFERROR(VALUE(REGEXEXTRACT(TO_TEXT($F949), T$1 &amp; ""x(\d+)"")), """")"),"")</f>
        <v/>
      </c>
      <c r="U949" s="9" t="str">
        <f ca="1">IFERROR(__xludf.DUMMYFUNCTION("IFERROR(VALUE(REGEXEXTRACT(TO_TEXT($F949), U$1 &amp; ""x(\d+)"")), """")"),"")</f>
        <v/>
      </c>
      <c r="V949" s="9" t="str">
        <f ca="1">IFERROR(__xludf.DUMMYFUNCTION("IFERROR(VALUE(REGEXEXTRACT(TO_TEXT($F949), V$1 &amp; ""x(\d+)"")), """")"),"")</f>
        <v/>
      </c>
      <c r="W949" s="9"/>
      <c r="X949" s="9"/>
      <c r="Y949" s="9"/>
      <c r="Z949" s="9"/>
    </row>
    <row r="950" spans="1:26" ht="15.75" hidden="1" customHeight="1">
      <c r="A950" s="9" t="s">
        <v>2026</v>
      </c>
      <c r="B950" s="9" t="s">
        <v>2027</v>
      </c>
      <c r="C950" s="9" t="s">
        <v>481</v>
      </c>
      <c r="D950" s="9" t="s">
        <v>40</v>
      </c>
      <c r="E950" s="9" t="s">
        <v>11</v>
      </c>
      <c r="F950" s="9" t="s">
        <v>1533</v>
      </c>
      <c r="G950" s="9">
        <v>20</v>
      </c>
      <c r="H950" s="9">
        <v>2</v>
      </c>
      <c r="I950" s="9">
        <v>1.0149999999999999</v>
      </c>
      <c r="J950" s="9">
        <v>412</v>
      </c>
      <c r="K950" s="9" t="s">
        <v>442</v>
      </c>
      <c r="L950" s="9"/>
      <c r="M950" s="9"/>
      <c r="N950" s="9" t="str">
        <f ca="1">IFERROR(__xludf.DUMMYFUNCTION("IFERROR(VALUE(REGEXEXTRACT(TO_TEXT($F950), N$1 &amp; ""x(\d+)"")), """")
"),"")</f>
        <v/>
      </c>
      <c r="O950" s="9" t="str">
        <f ca="1">IFERROR(__xludf.DUMMYFUNCTION("IFERROR(VALUE(REGEXEXTRACT(TO_TEXT($F950), O$1 &amp; ""x(\d+)"")), """")"),"")</f>
        <v/>
      </c>
      <c r="P950" s="9" t="str">
        <f ca="1">IFERROR(__xludf.DUMMYFUNCTION("IFERROR(VALUE(REGEXEXTRACT(TO_TEXT($F950), P$1 &amp; ""x(\d+)"")), """")"),"")</f>
        <v/>
      </c>
      <c r="Q950" s="9" t="str">
        <f ca="1">IFERROR(__xludf.DUMMYFUNCTION("IFERROR(VALUE(REGEXEXTRACT(TO_TEXT($F950), Q$1 &amp; ""x(\d+)"")), """")"),"")</f>
        <v/>
      </c>
      <c r="R950" s="9" t="str">
        <f ca="1">IFERROR(__xludf.DUMMYFUNCTION("IFERROR(VALUE(REGEXEXTRACT(TO_TEXT($F950), R$1 &amp; ""x(\d+)"")), """")"),"")</f>
        <v/>
      </c>
      <c r="S950" s="9" t="str">
        <f ca="1">IFERROR(__xludf.DUMMYFUNCTION("IFERROR(VALUE(REGEXEXTRACT(TO_TEXT($F950), S$1 &amp; ""x(\d+)"")), """")"),"")</f>
        <v/>
      </c>
      <c r="T950" s="9" t="str">
        <f ca="1">IFERROR(__xludf.DUMMYFUNCTION("IFERROR(VALUE(REGEXEXTRACT(TO_TEXT($F950), T$1 &amp; ""x(\d+)"")), """")"),"")</f>
        <v/>
      </c>
      <c r="U950" s="9" t="str">
        <f ca="1">IFERROR(__xludf.DUMMYFUNCTION("IFERROR(VALUE(REGEXEXTRACT(TO_TEXT($F950), U$1 &amp; ""x(\d+)"")), """")"),"")</f>
        <v/>
      </c>
      <c r="V950" s="9" t="str">
        <f ca="1">IFERROR(__xludf.DUMMYFUNCTION("IFERROR(VALUE(REGEXEXTRACT(TO_TEXT($F950), V$1 &amp; ""x(\d+)"")), """")"),"")</f>
        <v/>
      </c>
      <c r="W950" s="9"/>
      <c r="X950" s="9"/>
      <c r="Y950" s="9"/>
      <c r="Z950" s="9"/>
    </row>
    <row r="951" spans="1:26" ht="15.75" hidden="1" customHeight="1">
      <c r="A951" s="9" t="s">
        <v>2026</v>
      </c>
      <c r="B951" s="9" t="s">
        <v>2027</v>
      </c>
      <c r="C951" s="9" t="s">
        <v>481</v>
      </c>
      <c r="D951" s="9" t="s">
        <v>40</v>
      </c>
      <c r="E951" s="9" t="s">
        <v>12</v>
      </c>
      <c r="F951" s="9" t="s">
        <v>2031</v>
      </c>
      <c r="G951" s="9">
        <v>160</v>
      </c>
      <c r="H951" s="9">
        <v>2</v>
      </c>
      <c r="I951" s="9">
        <v>1.0149999999999999</v>
      </c>
      <c r="J951" s="9">
        <v>412</v>
      </c>
      <c r="K951" s="9" t="s">
        <v>442</v>
      </c>
      <c r="L951" s="9"/>
      <c r="M951" s="9"/>
      <c r="N951" s="9" t="str">
        <f ca="1">IFERROR(__xludf.DUMMYFUNCTION("IFERROR(VALUE(REGEXEXTRACT(TO_TEXT($F951), N$1 &amp; ""x(\d+)"")), """")
"),"")</f>
        <v/>
      </c>
      <c r="O951" s="9" t="str">
        <f ca="1">IFERROR(__xludf.DUMMYFUNCTION("IFERROR(VALUE(REGEXEXTRACT(TO_TEXT($F951), O$1 &amp; ""x(\d+)"")), """")"),"")</f>
        <v/>
      </c>
      <c r="P951" s="9" t="str">
        <f ca="1">IFERROR(__xludf.DUMMYFUNCTION("IFERROR(VALUE(REGEXEXTRACT(TO_TEXT($F951), P$1 &amp; ""x(\d+)"")), """")"),"")</f>
        <v/>
      </c>
      <c r="Q951" s="9" t="str">
        <f ca="1">IFERROR(__xludf.DUMMYFUNCTION("IFERROR(VALUE(REGEXEXTRACT(TO_TEXT($F951), Q$1 &amp; ""x(\d+)"")), """")"),"")</f>
        <v/>
      </c>
      <c r="R951" s="9" t="str">
        <f ca="1">IFERROR(__xludf.DUMMYFUNCTION("IFERROR(VALUE(REGEXEXTRACT(TO_TEXT($F951), R$1 &amp; ""x(\d+)"")), """")"),"")</f>
        <v/>
      </c>
      <c r="S951" s="9" t="str">
        <f ca="1">IFERROR(__xludf.DUMMYFUNCTION("IFERROR(VALUE(REGEXEXTRACT(TO_TEXT($F951), S$1 &amp; ""x(\d+)"")), """")"),"")</f>
        <v/>
      </c>
      <c r="T951" s="9">
        <f ca="1">IFERROR(__xludf.DUMMYFUNCTION("IFERROR(VALUE(REGEXEXTRACT(TO_TEXT($F951), T$1 &amp; ""x(\d+)"")), """")"),1)</f>
        <v>1</v>
      </c>
      <c r="U951" s="9" t="str">
        <f ca="1">IFERROR(__xludf.DUMMYFUNCTION("IFERROR(VALUE(REGEXEXTRACT(TO_TEXT($F951), U$1 &amp; ""x(\d+)"")), """")"),"")</f>
        <v/>
      </c>
      <c r="V951" s="9" t="str">
        <f ca="1">IFERROR(__xludf.DUMMYFUNCTION("IFERROR(VALUE(REGEXEXTRACT(TO_TEXT($F951), V$1 &amp; ""x(\d+)"")), """")"),"")</f>
        <v/>
      </c>
      <c r="W951" s="9"/>
      <c r="X951" s="9"/>
      <c r="Y951" s="9"/>
      <c r="Z951" s="9"/>
    </row>
    <row r="952" spans="1:26" ht="15.75" hidden="1" customHeight="1">
      <c r="A952" s="9" t="s">
        <v>2026</v>
      </c>
      <c r="B952" s="9" t="s">
        <v>2027</v>
      </c>
      <c r="C952" s="9" t="s">
        <v>481</v>
      </c>
      <c r="D952" s="9" t="s">
        <v>40</v>
      </c>
      <c r="E952" s="9" t="s">
        <v>13</v>
      </c>
      <c r="F952" s="9" t="s">
        <v>1031</v>
      </c>
      <c r="G952" s="9">
        <v>30</v>
      </c>
      <c r="H952" s="9">
        <v>2</v>
      </c>
      <c r="I952" s="9">
        <v>1.0149999999999999</v>
      </c>
      <c r="J952" s="9">
        <v>412</v>
      </c>
      <c r="K952" s="9" t="s">
        <v>442</v>
      </c>
      <c r="L952" s="9"/>
      <c r="M952" s="9"/>
      <c r="N952" s="9" t="str">
        <f ca="1">IFERROR(__xludf.DUMMYFUNCTION("IFERROR(VALUE(REGEXEXTRACT(TO_TEXT($F952), N$1 &amp; ""x(\d+)"")), """")
"),"")</f>
        <v/>
      </c>
      <c r="O952" s="9" t="str">
        <f ca="1">IFERROR(__xludf.DUMMYFUNCTION("IFERROR(VALUE(REGEXEXTRACT(TO_TEXT($F952), O$1 &amp; ""x(\d+)"")), """")"),"")</f>
        <v/>
      </c>
      <c r="P952" s="9" t="str">
        <f ca="1">IFERROR(__xludf.DUMMYFUNCTION("IFERROR(VALUE(REGEXEXTRACT(TO_TEXT($F952), P$1 &amp; ""x(\d+)"")), """")"),"")</f>
        <v/>
      </c>
      <c r="Q952" s="9" t="str">
        <f ca="1">IFERROR(__xludf.DUMMYFUNCTION("IFERROR(VALUE(REGEXEXTRACT(TO_TEXT($F952), Q$1 &amp; ""x(\d+)"")), """")"),"")</f>
        <v/>
      </c>
      <c r="R952" s="9" t="str">
        <f ca="1">IFERROR(__xludf.DUMMYFUNCTION("IFERROR(VALUE(REGEXEXTRACT(TO_TEXT($F952), R$1 &amp; ""x(\d+)"")), """")"),"")</f>
        <v/>
      </c>
      <c r="S952" s="9" t="str">
        <f ca="1">IFERROR(__xludf.DUMMYFUNCTION("IFERROR(VALUE(REGEXEXTRACT(TO_TEXT($F952), S$1 &amp; ""x(\d+)"")), """")"),"")</f>
        <v/>
      </c>
      <c r="T952" s="9">
        <f ca="1">IFERROR(__xludf.DUMMYFUNCTION("IFERROR(VALUE(REGEXEXTRACT(TO_TEXT($F952), T$1 &amp; ""x(\d+)"")), """")"),1)</f>
        <v>1</v>
      </c>
      <c r="U952" s="9" t="str">
        <f ca="1">IFERROR(__xludf.DUMMYFUNCTION("IFERROR(VALUE(REGEXEXTRACT(TO_TEXT($F952), U$1 &amp; ""x(\d+)"")), """")"),"")</f>
        <v/>
      </c>
      <c r="V952" s="9" t="str">
        <f ca="1">IFERROR(__xludf.DUMMYFUNCTION("IFERROR(VALUE(REGEXEXTRACT(TO_TEXT($F952), V$1 &amp; ""x(\d+)"")), """")"),"")</f>
        <v/>
      </c>
      <c r="W952" s="9"/>
      <c r="X952" s="9"/>
      <c r="Y952" s="9"/>
      <c r="Z952" s="9"/>
    </row>
    <row r="953" spans="1:26" ht="15.75" customHeight="1">
      <c r="A953" s="9" t="s">
        <v>2032</v>
      </c>
      <c r="B953" s="9" t="s">
        <v>2033</v>
      </c>
      <c r="C953" s="9" t="s">
        <v>477</v>
      </c>
      <c r="D953" s="9" t="s">
        <v>33</v>
      </c>
      <c r="E953" s="9" t="s">
        <v>11</v>
      </c>
      <c r="F953" s="9" t="s">
        <v>1473</v>
      </c>
      <c r="G953" s="9">
        <v>20</v>
      </c>
      <c r="H953" s="9">
        <v>4</v>
      </c>
      <c r="I953" s="9">
        <v>1.0149999999999999</v>
      </c>
      <c r="J953" s="9">
        <v>100</v>
      </c>
      <c r="K953" s="9" t="s">
        <v>442</v>
      </c>
      <c r="L953" s="9"/>
      <c r="M953" s="9"/>
      <c r="N953" s="9" t="str">
        <f ca="1">IFERROR(__xludf.DUMMYFUNCTION("IFERROR(VALUE(REGEXEXTRACT(TO_TEXT($F953), N$1 &amp; ""x(\d+)"")), """")
"),"")</f>
        <v/>
      </c>
      <c r="O953" s="9" t="str">
        <f ca="1">IFERROR(__xludf.DUMMYFUNCTION("IFERROR(VALUE(REGEXEXTRACT(TO_TEXT($F953), O$1 &amp; ""x(\d+)"")), """")"),"")</f>
        <v/>
      </c>
      <c r="P953" s="9" t="str">
        <f ca="1">IFERROR(__xludf.DUMMYFUNCTION("IFERROR(VALUE(REGEXEXTRACT(TO_TEXT($F953), P$1 &amp; ""x(\d+)"")), """")"),"")</f>
        <v/>
      </c>
      <c r="Q953" s="9" t="str">
        <f ca="1">IFERROR(__xludf.DUMMYFUNCTION("IFERROR(VALUE(REGEXEXTRACT(TO_TEXT($F953), Q$1 &amp; ""x(\d+)"")), """")"),"")</f>
        <v/>
      </c>
      <c r="R953" s="9" t="str">
        <f ca="1">IFERROR(__xludf.DUMMYFUNCTION("IFERROR(VALUE(REGEXEXTRACT(TO_TEXT($F953), R$1 &amp; ""x(\d+)"")), """")"),"")</f>
        <v/>
      </c>
      <c r="S953" s="9" t="str">
        <f ca="1">IFERROR(__xludf.DUMMYFUNCTION("IFERROR(VALUE(REGEXEXTRACT(TO_TEXT($F953), S$1 &amp; ""x(\d+)"")), """")"),"")</f>
        <v/>
      </c>
      <c r="T953" s="9" t="str">
        <f ca="1">IFERROR(__xludf.DUMMYFUNCTION("IFERROR(VALUE(REGEXEXTRACT(TO_TEXT($F953), T$1 &amp; ""x(\d+)"")), """")"),"")</f>
        <v/>
      </c>
      <c r="U953" s="9" t="str">
        <f ca="1">IFERROR(__xludf.DUMMYFUNCTION("IFERROR(VALUE(REGEXEXTRACT(TO_TEXT($F953), U$1 &amp; ""x(\d+)"")), """")"),"")</f>
        <v/>
      </c>
      <c r="V953" s="9" t="str">
        <f ca="1">IFERROR(__xludf.DUMMYFUNCTION("IFERROR(VALUE(REGEXEXTRACT(TO_TEXT($F953), V$1 &amp; ""x(\d+)"")), """")"),"")</f>
        <v/>
      </c>
      <c r="W953" s="9"/>
      <c r="X953" s="9"/>
      <c r="Y953" s="9"/>
      <c r="Z953" s="9"/>
    </row>
    <row r="954" spans="1:26" ht="15.75" customHeight="1">
      <c r="A954" s="9" t="s">
        <v>2032</v>
      </c>
      <c r="B954" s="9" t="s">
        <v>2033</v>
      </c>
      <c r="C954" s="9" t="s">
        <v>477</v>
      </c>
      <c r="D954" s="9" t="s">
        <v>33</v>
      </c>
      <c r="E954" s="9" t="s">
        <v>12</v>
      </c>
      <c r="F954" s="9" t="s">
        <v>1057</v>
      </c>
      <c r="G954" s="9">
        <v>110</v>
      </c>
      <c r="H954" s="9">
        <v>4</v>
      </c>
      <c r="I954" s="9">
        <v>1.0149999999999999</v>
      </c>
      <c r="J954" s="9">
        <v>100</v>
      </c>
      <c r="K954" s="9" t="s">
        <v>442</v>
      </c>
      <c r="L954" s="9" t="s">
        <v>1015</v>
      </c>
      <c r="M954" s="9"/>
      <c r="N954" s="9" t="str">
        <f ca="1">IFERROR(__xludf.DUMMYFUNCTION("IFERROR(VALUE(REGEXEXTRACT(TO_TEXT($F954), N$1 &amp; ""x(\d+)"")), """")
"),"")</f>
        <v/>
      </c>
      <c r="O954" s="9">
        <f ca="1">IFERROR(__xludf.DUMMYFUNCTION("IFERROR(VALUE(REGEXEXTRACT(TO_TEXT($F954), O$1 &amp; ""x(\d+)"")), """")"),1)</f>
        <v>1</v>
      </c>
      <c r="P954" s="9" t="str">
        <f ca="1">IFERROR(__xludf.DUMMYFUNCTION("IFERROR(VALUE(REGEXEXTRACT(TO_TEXT($F954), P$1 &amp; ""x(\d+)"")), """")"),"")</f>
        <v/>
      </c>
      <c r="Q954" s="9" t="str">
        <f ca="1">IFERROR(__xludf.DUMMYFUNCTION("IFERROR(VALUE(REGEXEXTRACT(TO_TEXT($F954), Q$1 &amp; ""x(\d+)"")), """")"),"")</f>
        <v/>
      </c>
      <c r="R954" s="9" t="str">
        <f ca="1">IFERROR(__xludf.DUMMYFUNCTION("IFERROR(VALUE(REGEXEXTRACT(TO_TEXT($F954), R$1 &amp; ""x(\d+)"")), """")"),"")</f>
        <v/>
      </c>
      <c r="S954" s="9" t="str">
        <f ca="1">IFERROR(__xludf.DUMMYFUNCTION("IFERROR(VALUE(REGEXEXTRACT(TO_TEXT($F954), S$1 &amp; ""x(\d+)"")), """")"),"")</f>
        <v/>
      </c>
      <c r="T954" s="9" t="str">
        <f ca="1">IFERROR(__xludf.DUMMYFUNCTION("IFERROR(VALUE(REGEXEXTRACT(TO_TEXT($F954), T$1 &amp; ""x(\d+)"")), """")"),"")</f>
        <v/>
      </c>
      <c r="U954" s="9" t="str">
        <f ca="1">IFERROR(__xludf.DUMMYFUNCTION("IFERROR(VALUE(REGEXEXTRACT(TO_TEXT($F954), U$1 &amp; ""x(\d+)"")), """")"),"")</f>
        <v/>
      </c>
      <c r="V954" s="9" t="str">
        <f ca="1">IFERROR(__xludf.DUMMYFUNCTION("IFERROR(VALUE(REGEXEXTRACT(TO_TEXT($F954), V$1 &amp; ""x(\d+)"")), """")"),"")</f>
        <v/>
      </c>
      <c r="W954" s="9"/>
      <c r="X954" s="9"/>
      <c r="Y954" s="9"/>
      <c r="Z954" s="9"/>
    </row>
    <row r="955" spans="1:26" ht="15.75" customHeight="1">
      <c r="A955" s="9" t="s">
        <v>2032</v>
      </c>
      <c r="B955" s="9" t="s">
        <v>2033</v>
      </c>
      <c r="C955" s="9" t="s">
        <v>477</v>
      </c>
      <c r="D955" s="9" t="s">
        <v>33</v>
      </c>
      <c r="E955" s="9" t="s">
        <v>13</v>
      </c>
      <c r="F955" s="9" t="s">
        <v>1058</v>
      </c>
      <c r="G955" s="9">
        <v>15</v>
      </c>
      <c r="H955" s="9">
        <v>4</v>
      </c>
      <c r="I955" s="9">
        <v>1.0149999999999999</v>
      </c>
      <c r="J955" s="9">
        <v>100</v>
      </c>
      <c r="K955" s="9" t="s">
        <v>442</v>
      </c>
      <c r="L955" s="9"/>
      <c r="M955" s="9"/>
      <c r="N955" s="9" t="str">
        <f ca="1">IFERROR(__xludf.DUMMYFUNCTION("IFERROR(VALUE(REGEXEXTRACT(TO_TEXT($F955), N$1 &amp; ""x(\d+)"")), """")
"),"")</f>
        <v/>
      </c>
      <c r="O955" s="9">
        <f ca="1">IFERROR(__xludf.DUMMYFUNCTION("IFERROR(VALUE(REGEXEXTRACT(TO_TEXT($F955), O$1 &amp; ""x(\d+)"")), """")"),1)</f>
        <v>1</v>
      </c>
      <c r="P955" s="9" t="str">
        <f ca="1">IFERROR(__xludf.DUMMYFUNCTION("IFERROR(VALUE(REGEXEXTRACT(TO_TEXT($F955), P$1 &amp; ""x(\d+)"")), """")"),"")</f>
        <v/>
      </c>
      <c r="Q955" s="9" t="str">
        <f ca="1">IFERROR(__xludf.DUMMYFUNCTION("IFERROR(VALUE(REGEXEXTRACT(TO_TEXT($F955), Q$1 &amp; ""x(\d+)"")), """")"),"")</f>
        <v/>
      </c>
      <c r="R955" s="9" t="str">
        <f ca="1">IFERROR(__xludf.DUMMYFUNCTION("IFERROR(VALUE(REGEXEXTRACT(TO_TEXT($F955), R$1 &amp; ""x(\d+)"")), """")"),"")</f>
        <v/>
      </c>
      <c r="S955" s="9" t="str">
        <f ca="1">IFERROR(__xludf.DUMMYFUNCTION("IFERROR(VALUE(REGEXEXTRACT(TO_TEXT($F955), S$1 &amp; ""x(\d+)"")), """")"),"")</f>
        <v/>
      </c>
      <c r="T955" s="9" t="str">
        <f ca="1">IFERROR(__xludf.DUMMYFUNCTION("IFERROR(VALUE(REGEXEXTRACT(TO_TEXT($F955), T$1 &amp; ""x(\d+)"")), """")"),"")</f>
        <v/>
      </c>
      <c r="U955" s="9" t="str">
        <f ca="1">IFERROR(__xludf.DUMMYFUNCTION("IFERROR(VALUE(REGEXEXTRACT(TO_TEXT($F955), U$1 &amp; ""x(\d+)"")), """")"),"")</f>
        <v/>
      </c>
      <c r="V955" s="9" t="str">
        <f ca="1">IFERROR(__xludf.DUMMYFUNCTION("IFERROR(VALUE(REGEXEXTRACT(TO_TEXT($F955), V$1 &amp; ""x(\d+)"")), """")"),"")</f>
        <v/>
      </c>
      <c r="W955" s="9"/>
      <c r="X955" s="9"/>
      <c r="Y955" s="9"/>
      <c r="Z955" s="9"/>
    </row>
    <row r="956" spans="1:26" ht="15.75" customHeight="1">
      <c r="A956" s="9" t="s">
        <v>2034</v>
      </c>
      <c r="B956" s="9" t="s">
        <v>2035</v>
      </c>
      <c r="C956" s="9" t="s">
        <v>552</v>
      </c>
      <c r="D956" s="9" t="s">
        <v>33</v>
      </c>
      <c r="E956" s="9" t="s">
        <v>11</v>
      </c>
      <c r="F956" s="9" t="s">
        <v>1147</v>
      </c>
      <c r="G956" s="9">
        <v>30</v>
      </c>
      <c r="H956" s="9">
        <v>2</v>
      </c>
      <c r="I956" s="9">
        <v>1.0149999999999999</v>
      </c>
      <c r="J956" s="9">
        <v>110</v>
      </c>
      <c r="K956" s="9" t="s">
        <v>442</v>
      </c>
      <c r="L956" s="9"/>
      <c r="M956" s="9"/>
      <c r="N956" s="9" t="str">
        <f ca="1">IFERROR(__xludf.DUMMYFUNCTION("IFERROR(VALUE(REGEXEXTRACT(TO_TEXT($F956), N$1 &amp; ""x(\d+)"")), """")
"),"")</f>
        <v/>
      </c>
      <c r="O956" s="9" t="str">
        <f ca="1">IFERROR(__xludf.DUMMYFUNCTION("IFERROR(VALUE(REGEXEXTRACT(TO_TEXT($F956), O$1 &amp; ""x(\d+)"")), """")"),"")</f>
        <v/>
      </c>
      <c r="P956" s="9" t="str">
        <f ca="1">IFERROR(__xludf.DUMMYFUNCTION("IFERROR(VALUE(REGEXEXTRACT(TO_TEXT($F956), P$1 &amp; ""x(\d+)"")), """")"),"")</f>
        <v/>
      </c>
      <c r="Q956" s="9" t="str">
        <f ca="1">IFERROR(__xludf.DUMMYFUNCTION("IFERROR(VALUE(REGEXEXTRACT(TO_TEXT($F956), Q$1 &amp; ""x(\d+)"")), """")"),"")</f>
        <v/>
      </c>
      <c r="R956" s="9" t="str">
        <f ca="1">IFERROR(__xludf.DUMMYFUNCTION("IFERROR(VALUE(REGEXEXTRACT(TO_TEXT($F956), R$1 &amp; ""x(\d+)"")), """")"),"")</f>
        <v/>
      </c>
      <c r="S956" s="9" t="str">
        <f ca="1">IFERROR(__xludf.DUMMYFUNCTION("IFERROR(VALUE(REGEXEXTRACT(TO_TEXT($F956), S$1 &amp; ""x(\d+)"")), """")"),"")</f>
        <v/>
      </c>
      <c r="T956" s="9" t="str">
        <f ca="1">IFERROR(__xludf.DUMMYFUNCTION("IFERROR(VALUE(REGEXEXTRACT(TO_TEXT($F956), T$1 &amp; ""x(\d+)"")), """")"),"")</f>
        <v/>
      </c>
      <c r="U956" s="9" t="str">
        <f ca="1">IFERROR(__xludf.DUMMYFUNCTION("IFERROR(VALUE(REGEXEXTRACT(TO_TEXT($F956), U$1 &amp; ""x(\d+)"")), """")"),"")</f>
        <v/>
      </c>
      <c r="V956" s="9" t="str">
        <f ca="1">IFERROR(__xludf.DUMMYFUNCTION("IFERROR(VALUE(REGEXEXTRACT(TO_TEXT($F956), V$1 &amp; ""x(\d+)"")), """")"),"")</f>
        <v/>
      </c>
      <c r="W956" s="9"/>
      <c r="X956" s="9"/>
      <c r="Y956" s="9"/>
      <c r="Z956" s="9"/>
    </row>
    <row r="957" spans="1:26" ht="15.75" customHeight="1">
      <c r="A957" s="9" t="s">
        <v>2034</v>
      </c>
      <c r="B957" s="9" t="s">
        <v>2035</v>
      </c>
      <c r="C957" s="9" t="s">
        <v>552</v>
      </c>
      <c r="D957" s="9" t="s">
        <v>33</v>
      </c>
      <c r="E957" s="9" t="s">
        <v>12</v>
      </c>
      <c r="F957" s="9" t="s">
        <v>1867</v>
      </c>
      <c r="G957" s="9">
        <v>60</v>
      </c>
      <c r="H957" s="9">
        <v>2</v>
      </c>
      <c r="I957" s="9">
        <v>1.0149999999999999</v>
      </c>
      <c r="J957" s="9">
        <v>110</v>
      </c>
      <c r="K957" s="9" t="s">
        <v>442</v>
      </c>
      <c r="L957" s="9"/>
      <c r="M957" s="9"/>
      <c r="N957" s="9" t="str">
        <f ca="1">IFERROR(__xludf.DUMMYFUNCTION("IFERROR(VALUE(REGEXEXTRACT(TO_TEXT($F957), N$1 &amp; ""x(\d+)"")), """")
"),"")</f>
        <v/>
      </c>
      <c r="O957" s="9">
        <f ca="1">IFERROR(__xludf.DUMMYFUNCTION("IFERROR(VALUE(REGEXEXTRACT(TO_TEXT($F957), O$1 &amp; ""x(\d+)"")), """")"),1)</f>
        <v>1</v>
      </c>
      <c r="P957" s="9" t="str">
        <f ca="1">IFERROR(__xludf.DUMMYFUNCTION("IFERROR(VALUE(REGEXEXTRACT(TO_TEXT($F957), P$1 &amp; ""x(\d+)"")), """")"),"")</f>
        <v/>
      </c>
      <c r="Q957" s="9" t="str">
        <f ca="1">IFERROR(__xludf.DUMMYFUNCTION("IFERROR(VALUE(REGEXEXTRACT(TO_TEXT($F957), Q$1 &amp; ""x(\d+)"")), """")"),"")</f>
        <v/>
      </c>
      <c r="R957" s="9" t="str">
        <f ca="1">IFERROR(__xludf.DUMMYFUNCTION("IFERROR(VALUE(REGEXEXTRACT(TO_TEXT($F957), R$1 &amp; ""x(\d+)"")), """")"),"")</f>
        <v/>
      </c>
      <c r="S957" s="9" t="str">
        <f ca="1">IFERROR(__xludf.DUMMYFUNCTION("IFERROR(VALUE(REGEXEXTRACT(TO_TEXT($F957), S$1 &amp; ""x(\d+)"")), """")"),"")</f>
        <v/>
      </c>
      <c r="T957" s="9" t="str">
        <f ca="1">IFERROR(__xludf.DUMMYFUNCTION("IFERROR(VALUE(REGEXEXTRACT(TO_TEXT($F957), T$1 &amp; ""x(\d+)"")), """")"),"")</f>
        <v/>
      </c>
      <c r="U957" s="9" t="str">
        <f ca="1">IFERROR(__xludf.DUMMYFUNCTION("IFERROR(VALUE(REGEXEXTRACT(TO_TEXT($F957), U$1 &amp; ""x(\d+)"")), """")"),"")</f>
        <v/>
      </c>
      <c r="V957" s="9" t="str">
        <f ca="1">IFERROR(__xludf.DUMMYFUNCTION("IFERROR(VALUE(REGEXEXTRACT(TO_TEXT($F957), V$1 &amp; ""x(\d+)"")), """")"),"")</f>
        <v/>
      </c>
      <c r="W957" s="9"/>
      <c r="X957" s="9"/>
      <c r="Y957" s="9"/>
      <c r="Z957" s="9"/>
    </row>
    <row r="958" spans="1:26" ht="15.75" customHeight="1">
      <c r="A958" s="9" t="s">
        <v>2034</v>
      </c>
      <c r="B958" s="9" t="s">
        <v>2035</v>
      </c>
      <c r="C958" s="9" t="s">
        <v>552</v>
      </c>
      <c r="D958" s="9" t="s">
        <v>33</v>
      </c>
      <c r="E958" s="9" t="s">
        <v>13</v>
      </c>
      <c r="F958" s="9" t="s">
        <v>1149</v>
      </c>
      <c r="G958" s="9">
        <v>15</v>
      </c>
      <c r="H958" s="9">
        <v>2</v>
      </c>
      <c r="I958" s="9">
        <v>1.0149999999999999</v>
      </c>
      <c r="J958" s="9">
        <v>110</v>
      </c>
      <c r="K958" s="9" t="s">
        <v>442</v>
      </c>
      <c r="L958" s="9"/>
      <c r="M958" s="9"/>
      <c r="N958" s="9" t="str">
        <f ca="1">IFERROR(__xludf.DUMMYFUNCTION("IFERROR(VALUE(REGEXEXTRACT(TO_TEXT($F958), N$1 &amp; ""x(\d+)"")), """")
"),"")</f>
        <v/>
      </c>
      <c r="O958" s="9">
        <f ca="1">IFERROR(__xludf.DUMMYFUNCTION("IFERROR(VALUE(REGEXEXTRACT(TO_TEXT($F958), O$1 &amp; ""x(\d+)"")), """")"),1)</f>
        <v>1</v>
      </c>
      <c r="P958" s="9" t="str">
        <f ca="1">IFERROR(__xludf.DUMMYFUNCTION("IFERROR(VALUE(REGEXEXTRACT(TO_TEXT($F958), P$1 &amp; ""x(\d+)"")), """")"),"")</f>
        <v/>
      </c>
      <c r="Q958" s="9" t="str">
        <f ca="1">IFERROR(__xludf.DUMMYFUNCTION("IFERROR(VALUE(REGEXEXTRACT(TO_TEXT($F958), Q$1 &amp; ""x(\d+)"")), """")"),"")</f>
        <v/>
      </c>
      <c r="R958" s="9" t="str">
        <f ca="1">IFERROR(__xludf.DUMMYFUNCTION("IFERROR(VALUE(REGEXEXTRACT(TO_TEXT($F958), R$1 &amp; ""x(\d+)"")), """")"),"")</f>
        <v/>
      </c>
      <c r="S958" s="9" t="str">
        <f ca="1">IFERROR(__xludf.DUMMYFUNCTION("IFERROR(VALUE(REGEXEXTRACT(TO_TEXT($F958), S$1 &amp; ""x(\d+)"")), """")"),"")</f>
        <v/>
      </c>
      <c r="T958" s="9" t="str">
        <f ca="1">IFERROR(__xludf.DUMMYFUNCTION("IFERROR(VALUE(REGEXEXTRACT(TO_TEXT($F958), T$1 &amp; ""x(\d+)"")), """")"),"")</f>
        <v/>
      </c>
      <c r="U958" s="9" t="str">
        <f ca="1">IFERROR(__xludf.DUMMYFUNCTION("IFERROR(VALUE(REGEXEXTRACT(TO_TEXT($F958), U$1 &amp; ""x(\d+)"")), """")"),"")</f>
        <v/>
      </c>
      <c r="V958" s="9" t="str">
        <f ca="1">IFERROR(__xludf.DUMMYFUNCTION("IFERROR(VALUE(REGEXEXTRACT(TO_TEXT($F958), V$1 &amp; ""x(\d+)"")), """")"),"")</f>
        <v/>
      </c>
      <c r="W958" s="9"/>
      <c r="X958" s="9"/>
      <c r="Y958" s="9"/>
      <c r="Z958" s="9"/>
    </row>
    <row r="959" spans="1:26" ht="15.75" hidden="1" customHeight="1">
      <c r="A959" s="9" t="s">
        <v>2034</v>
      </c>
      <c r="B959" s="9" t="s">
        <v>2035</v>
      </c>
      <c r="C959" s="9" t="s">
        <v>552</v>
      </c>
      <c r="D959" s="9" t="s">
        <v>40</v>
      </c>
      <c r="E959" s="9" t="s">
        <v>11</v>
      </c>
      <c r="F959" s="9" t="s">
        <v>2036</v>
      </c>
      <c r="G959" s="9">
        <v>60</v>
      </c>
      <c r="H959" s="9">
        <v>3</v>
      </c>
      <c r="I959" s="9">
        <v>1.0149999999999999</v>
      </c>
      <c r="J959" s="9">
        <v>400</v>
      </c>
      <c r="K959" s="9" t="s">
        <v>442</v>
      </c>
      <c r="L959" s="9"/>
      <c r="M959" s="9"/>
      <c r="N959" s="9">
        <f ca="1">IFERROR(__xludf.DUMMYFUNCTION("IFERROR(VALUE(REGEXEXTRACT(TO_TEXT($F959), N$1 &amp; ""x(\d+)"")), """")
"),1)</f>
        <v>1</v>
      </c>
      <c r="O959" s="9">
        <f ca="1">IFERROR(__xludf.DUMMYFUNCTION("IFERROR(VALUE(REGEXEXTRACT(TO_TEXT($F959), O$1 &amp; ""x(\d+)"")), """")"),1)</f>
        <v>1</v>
      </c>
      <c r="P959" s="9" t="str">
        <f ca="1">IFERROR(__xludf.DUMMYFUNCTION("IFERROR(VALUE(REGEXEXTRACT(TO_TEXT($F959), P$1 &amp; ""x(\d+)"")), """")"),"")</f>
        <v/>
      </c>
      <c r="Q959" s="9" t="str">
        <f ca="1">IFERROR(__xludf.DUMMYFUNCTION("IFERROR(VALUE(REGEXEXTRACT(TO_TEXT($F959), Q$1 &amp; ""x(\d+)"")), """")"),"")</f>
        <v/>
      </c>
      <c r="R959" s="9" t="str">
        <f ca="1">IFERROR(__xludf.DUMMYFUNCTION("IFERROR(VALUE(REGEXEXTRACT(TO_TEXT($F959), R$1 &amp; ""x(\d+)"")), """")"),"")</f>
        <v/>
      </c>
      <c r="S959" s="9" t="str">
        <f ca="1">IFERROR(__xludf.DUMMYFUNCTION("IFERROR(VALUE(REGEXEXTRACT(TO_TEXT($F959), S$1 &amp; ""x(\d+)"")), """")"),"")</f>
        <v/>
      </c>
      <c r="T959" s="9" t="str">
        <f ca="1">IFERROR(__xludf.DUMMYFUNCTION("IFERROR(VALUE(REGEXEXTRACT(TO_TEXT($F959), T$1 &amp; ""x(\d+)"")), """")"),"")</f>
        <v/>
      </c>
      <c r="U959" s="9" t="str">
        <f ca="1">IFERROR(__xludf.DUMMYFUNCTION("IFERROR(VALUE(REGEXEXTRACT(TO_TEXT($F959), U$1 &amp; ""x(\d+)"")), """")"),"")</f>
        <v/>
      </c>
      <c r="V959" s="9" t="str">
        <f ca="1">IFERROR(__xludf.DUMMYFUNCTION("IFERROR(VALUE(REGEXEXTRACT(TO_TEXT($F959), V$1 &amp; ""x(\d+)"")), """")"),"")</f>
        <v/>
      </c>
      <c r="W959" s="9"/>
      <c r="X959" s="9"/>
      <c r="Y959" s="9"/>
      <c r="Z959" s="9"/>
    </row>
    <row r="960" spans="1:26" ht="15.75" hidden="1" customHeight="1">
      <c r="A960" s="9" t="s">
        <v>2034</v>
      </c>
      <c r="B960" s="9" t="s">
        <v>2035</v>
      </c>
      <c r="C960" s="9" t="s">
        <v>552</v>
      </c>
      <c r="D960" s="9" t="s">
        <v>40</v>
      </c>
      <c r="E960" s="9" t="s">
        <v>12</v>
      </c>
      <c r="F960" s="9" t="s">
        <v>1046</v>
      </c>
      <c r="G960" s="9">
        <v>90</v>
      </c>
      <c r="H960" s="9">
        <v>3</v>
      </c>
      <c r="I960" s="9">
        <v>1.0149999999999999</v>
      </c>
      <c r="J960" s="9">
        <v>400</v>
      </c>
      <c r="K960" s="9" t="s">
        <v>442</v>
      </c>
      <c r="L960" s="9" t="s">
        <v>1015</v>
      </c>
      <c r="M960" s="9"/>
      <c r="N960" s="9" t="str">
        <f ca="1">IFERROR(__xludf.DUMMYFUNCTION("IFERROR(VALUE(REGEXEXTRACT(TO_TEXT($F960), N$1 &amp; ""x(\d+)"")), """")
"),"")</f>
        <v/>
      </c>
      <c r="O960" s="9" t="str">
        <f ca="1">IFERROR(__xludf.DUMMYFUNCTION("IFERROR(VALUE(REGEXEXTRACT(TO_TEXT($F960), O$1 &amp; ""x(\d+)"")), """")"),"")</f>
        <v/>
      </c>
      <c r="P960" s="9" t="str">
        <f ca="1">IFERROR(__xludf.DUMMYFUNCTION("IFERROR(VALUE(REGEXEXTRACT(TO_TEXT($F960), P$1 &amp; ""x(\d+)"")), """")"),"")</f>
        <v/>
      </c>
      <c r="Q960" s="9" t="str">
        <f ca="1">IFERROR(__xludf.DUMMYFUNCTION("IFERROR(VALUE(REGEXEXTRACT(TO_TEXT($F960), Q$1 &amp; ""x(\d+)"")), """")"),"")</f>
        <v/>
      </c>
      <c r="R960" s="9" t="str">
        <f ca="1">IFERROR(__xludf.DUMMYFUNCTION("IFERROR(VALUE(REGEXEXTRACT(TO_TEXT($F960), R$1 &amp; ""x(\d+)"")), """")"),"")</f>
        <v/>
      </c>
      <c r="S960" s="9">
        <f ca="1">IFERROR(__xludf.DUMMYFUNCTION("IFERROR(VALUE(REGEXEXTRACT(TO_TEXT($F960), S$1 &amp; ""x(\d+)"")), """")"),1)</f>
        <v>1</v>
      </c>
      <c r="T960" s="9" t="str">
        <f ca="1">IFERROR(__xludf.DUMMYFUNCTION("IFERROR(VALUE(REGEXEXTRACT(TO_TEXT($F960), T$1 &amp; ""x(\d+)"")), """")"),"")</f>
        <v/>
      </c>
      <c r="U960" s="9" t="str">
        <f ca="1">IFERROR(__xludf.DUMMYFUNCTION("IFERROR(VALUE(REGEXEXTRACT(TO_TEXT($F960), U$1 &amp; ""x(\d+)"")), """")"),"")</f>
        <v/>
      </c>
      <c r="V960" s="9" t="str">
        <f ca="1">IFERROR(__xludf.DUMMYFUNCTION("IFERROR(VALUE(REGEXEXTRACT(TO_TEXT($F960), V$1 &amp; ""x(\d+)"")), """")"),"")</f>
        <v/>
      </c>
      <c r="W960" s="9"/>
      <c r="X960" s="9"/>
      <c r="Y960" s="9"/>
      <c r="Z960" s="9"/>
    </row>
    <row r="961" spans="1:26" ht="15.75" hidden="1" customHeight="1">
      <c r="A961" s="9" t="s">
        <v>2034</v>
      </c>
      <c r="B961" s="9" t="s">
        <v>2035</v>
      </c>
      <c r="C961" s="9" t="s">
        <v>552</v>
      </c>
      <c r="D961" s="9" t="s">
        <v>40</v>
      </c>
      <c r="E961" s="9" t="s">
        <v>13</v>
      </c>
      <c r="F961" s="9" t="s">
        <v>1047</v>
      </c>
      <c r="G961" s="9">
        <v>30</v>
      </c>
      <c r="H961" s="9">
        <v>3</v>
      </c>
      <c r="I961" s="9">
        <v>1.0149999999999999</v>
      </c>
      <c r="J961" s="9">
        <v>400</v>
      </c>
      <c r="K961" s="9" t="s">
        <v>442</v>
      </c>
      <c r="L961" s="9"/>
      <c r="M961" s="9"/>
      <c r="N961" s="9" t="str">
        <f ca="1">IFERROR(__xludf.DUMMYFUNCTION("IFERROR(VALUE(REGEXEXTRACT(TO_TEXT($F961), N$1 &amp; ""x(\d+)"")), """")
"),"")</f>
        <v/>
      </c>
      <c r="O961" s="9" t="str">
        <f ca="1">IFERROR(__xludf.DUMMYFUNCTION("IFERROR(VALUE(REGEXEXTRACT(TO_TEXT($F961), O$1 &amp; ""x(\d+)"")), """")"),"")</f>
        <v/>
      </c>
      <c r="P961" s="9" t="str">
        <f ca="1">IFERROR(__xludf.DUMMYFUNCTION("IFERROR(VALUE(REGEXEXTRACT(TO_TEXT($F961), P$1 &amp; ""x(\d+)"")), """")"),"")</f>
        <v/>
      </c>
      <c r="Q961" s="9" t="str">
        <f ca="1">IFERROR(__xludf.DUMMYFUNCTION("IFERROR(VALUE(REGEXEXTRACT(TO_TEXT($F961), Q$1 &amp; ""x(\d+)"")), """")"),"")</f>
        <v/>
      </c>
      <c r="R961" s="9" t="str">
        <f ca="1">IFERROR(__xludf.DUMMYFUNCTION("IFERROR(VALUE(REGEXEXTRACT(TO_TEXT($F961), R$1 &amp; ""x(\d+)"")), """")"),"")</f>
        <v/>
      </c>
      <c r="S961" s="9">
        <f ca="1">IFERROR(__xludf.DUMMYFUNCTION("IFERROR(VALUE(REGEXEXTRACT(TO_TEXT($F961), S$1 &amp; ""x(\d+)"")), """")"),1)</f>
        <v>1</v>
      </c>
      <c r="T961" s="9" t="str">
        <f ca="1">IFERROR(__xludf.DUMMYFUNCTION("IFERROR(VALUE(REGEXEXTRACT(TO_TEXT($F961), T$1 &amp; ""x(\d+)"")), """")"),"")</f>
        <v/>
      </c>
      <c r="U961" s="9" t="str">
        <f ca="1">IFERROR(__xludf.DUMMYFUNCTION("IFERROR(VALUE(REGEXEXTRACT(TO_TEXT($F961), U$1 &amp; ""x(\d+)"")), """")"),"")</f>
        <v/>
      </c>
      <c r="V961" s="9" t="str">
        <f ca="1">IFERROR(__xludf.DUMMYFUNCTION("IFERROR(VALUE(REGEXEXTRACT(TO_TEXT($F961), V$1 &amp; ""x(\d+)"")), """")"),"")</f>
        <v/>
      </c>
      <c r="W961" s="9"/>
      <c r="X961" s="9"/>
      <c r="Y961" s="9"/>
      <c r="Z961" s="9"/>
    </row>
    <row r="962" spans="1:26" ht="15.75" customHeight="1">
      <c r="A962" s="9" t="s">
        <v>76</v>
      </c>
      <c r="B962" s="9" t="s">
        <v>2037</v>
      </c>
      <c r="C962" s="9" t="s">
        <v>77</v>
      </c>
      <c r="D962" s="9" t="s">
        <v>33</v>
      </c>
      <c r="E962" s="9" t="s">
        <v>11</v>
      </c>
      <c r="F962" s="9" t="s">
        <v>1180</v>
      </c>
      <c r="G962" s="9">
        <v>25</v>
      </c>
      <c r="H962" s="9">
        <v>4</v>
      </c>
      <c r="I962" s="9">
        <v>1.0149999999999999</v>
      </c>
      <c r="J962" s="9">
        <v>103</v>
      </c>
      <c r="K962" s="9" t="s">
        <v>442</v>
      </c>
      <c r="L962" s="9"/>
      <c r="M962" s="9"/>
      <c r="N962" s="9" t="str">
        <f ca="1">IFERROR(__xludf.DUMMYFUNCTION("IFERROR(VALUE(REGEXEXTRACT(TO_TEXT($F962), N$1 &amp; ""x(\d+)"")), """")
"),"")</f>
        <v/>
      </c>
      <c r="O962" s="9" t="str">
        <f ca="1">IFERROR(__xludf.DUMMYFUNCTION("IFERROR(VALUE(REGEXEXTRACT(TO_TEXT($F962), O$1 &amp; ""x(\d+)"")), """")"),"")</f>
        <v/>
      </c>
      <c r="P962" s="9" t="str">
        <f ca="1">IFERROR(__xludf.DUMMYFUNCTION("IFERROR(VALUE(REGEXEXTRACT(TO_TEXT($F962), P$1 &amp; ""x(\d+)"")), """")"),"")</f>
        <v/>
      </c>
      <c r="Q962" s="9" t="str">
        <f ca="1">IFERROR(__xludf.DUMMYFUNCTION("IFERROR(VALUE(REGEXEXTRACT(TO_TEXT($F962), Q$1 &amp; ""x(\d+)"")), """")"),"")</f>
        <v/>
      </c>
      <c r="R962" s="9" t="str">
        <f ca="1">IFERROR(__xludf.DUMMYFUNCTION("IFERROR(VALUE(REGEXEXTRACT(TO_TEXT($F962), R$1 &amp; ""x(\d+)"")), """")"),"")</f>
        <v/>
      </c>
      <c r="S962" s="9" t="str">
        <f ca="1">IFERROR(__xludf.DUMMYFUNCTION("IFERROR(VALUE(REGEXEXTRACT(TO_TEXT($F962), S$1 &amp; ""x(\d+)"")), """")"),"")</f>
        <v/>
      </c>
      <c r="T962" s="9" t="str">
        <f ca="1">IFERROR(__xludf.DUMMYFUNCTION("IFERROR(VALUE(REGEXEXTRACT(TO_TEXT($F962), T$1 &amp; ""x(\d+)"")), """")"),"")</f>
        <v/>
      </c>
      <c r="U962" s="9" t="str">
        <f ca="1">IFERROR(__xludf.DUMMYFUNCTION("IFERROR(VALUE(REGEXEXTRACT(TO_TEXT($F962), U$1 &amp; ""x(\d+)"")), """")"),"")</f>
        <v/>
      </c>
      <c r="V962" s="9" t="str">
        <f ca="1">IFERROR(__xludf.DUMMYFUNCTION("IFERROR(VALUE(REGEXEXTRACT(TO_TEXT($F962), V$1 &amp; ""x(\d+)"")), """")"),"")</f>
        <v/>
      </c>
      <c r="W962" s="9"/>
      <c r="X962" s="9"/>
      <c r="Y962" s="9"/>
      <c r="Z962" s="9"/>
    </row>
    <row r="963" spans="1:26" ht="15.75" customHeight="1">
      <c r="A963" s="9" t="s">
        <v>76</v>
      </c>
      <c r="B963" s="9" t="s">
        <v>2037</v>
      </c>
      <c r="C963" s="9" t="s">
        <v>77</v>
      </c>
      <c r="D963" s="9" t="s">
        <v>33</v>
      </c>
      <c r="E963" s="9" t="s">
        <v>12</v>
      </c>
      <c r="F963" s="9" t="s">
        <v>1057</v>
      </c>
      <c r="G963" s="9">
        <v>110</v>
      </c>
      <c r="H963" s="9">
        <v>4</v>
      </c>
      <c r="I963" s="9">
        <v>1.0149999999999999</v>
      </c>
      <c r="J963" s="9">
        <v>103</v>
      </c>
      <c r="K963" s="9" t="s">
        <v>442</v>
      </c>
      <c r="L963" s="9" t="s">
        <v>1210</v>
      </c>
      <c r="M963" s="9"/>
      <c r="N963" s="9" t="str">
        <f ca="1">IFERROR(__xludf.DUMMYFUNCTION("IFERROR(VALUE(REGEXEXTRACT(TO_TEXT($F963), N$1 &amp; ""x(\d+)"")), """")
"),"")</f>
        <v/>
      </c>
      <c r="O963" s="9">
        <f ca="1">IFERROR(__xludf.DUMMYFUNCTION("IFERROR(VALUE(REGEXEXTRACT(TO_TEXT($F963), O$1 &amp; ""x(\d+)"")), """")"),1)</f>
        <v>1</v>
      </c>
      <c r="P963" s="9" t="str">
        <f ca="1">IFERROR(__xludf.DUMMYFUNCTION("IFERROR(VALUE(REGEXEXTRACT(TO_TEXT($F963), P$1 &amp; ""x(\d+)"")), """")"),"")</f>
        <v/>
      </c>
      <c r="Q963" s="9" t="str">
        <f ca="1">IFERROR(__xludf.DUMMYFUNCTION("IFERROR(VALUE(REGEXEXTRACT(TO_TEXT($F963), Q$1 &amp; ""x(\d+)"")), """")"),"")</f>
        <v/>
      </c>
      <c r="R963" s="9" t="str">
        <f ca="1">IFERROR(__xludf.DUMMYFUNCTION("IFERROR(VALUE(REGEXEXTRACT(TO_TEXT($F963), R$1 &amp; ""x(\d+)"")), """")"),"")</f>
        <v/>
      </c>
      <c r="S963" s="9" t="str">
        <f ca="1">IFERROR(__xludf.DUMMYFUNCTION("IFERROR(VALUE(REGEXEXTRACT(TO_TEXT($F963), S$1 &amp; ""x(\d+)"")), """")"),"")</f>
        <v/>
      </c>
      <c r="T963" s="9" t="str">
        <f ca="1">IFERROR(__xludf.DUMMYFUNCTION("IFERROR(VALUE(REGEXEXTRACT(TO_TEXT($F963), T$1 &amp; ""x(\d+)"")), """")"),"")</f>
        <v/>
      </c>
      <c r="U963" s="9" t="str">
        <f ca="1">IFERROR(__xludf.DUMMYFUNCTION("IFERROR(VALUE(REGEXEXTRACT(TO_TEXT($F963), U$1 &amp; ""x(\d+)"")), """")"),"")</f>
        <v/>
      </c>
      <c r="V963" s="9" t="str">
        <f ca="1">IFERROR(__xludf.DUMMYFUNCTION("IFERROR(VALUE(REGEXEXTRACT(TO_TEXT($F963), V$1 &amp; ""x(\d+)"")), """")"),"")</f>
        <v/>
      </c>
      <c r="W963" s="9"/>
      <c r="X963" s="9"/>
      <c r="Y963" s="9"/>
      <c r="Z963" s="9"/>
    </row>
    <row r="964" spans="1:26" ht="15.75" customHeight="1">
      <c r="A964" s="9" t="s">
        <v>76</v>
      </c>
      <c r="B964" s="9" t="s">
        <v>2037</v>
      </c>
      <c r="C964" s="9" t="s">
        <v>77</v>
      </c>
      <c r="D964" s="9" t="s">
        <v>33</v>
      </c>
      <c r="E964" s="9" t="s">
        <v>13</v>
      </c>
      <c r="F964" s="9" t="s">
        <v>1108</v>
      </c>
      <c r="G964" s="9">
        <v>20</v>
      </c>
      <c r="H964" s="9">
        <v>4</v>
      </c>
      <c r="I964" s="9">
        <v>1.0149999999999999</v>
      </c>
      <c r="J964" s="9">
        <v>103</v>
      </c>
      <c r="K964" s="9" t="s">
        <v>442</v>
      </c>
      <c r="L964" s="9"/>
      <c r="M964" s="9"/>
      <c r="N964" s="9" t="str">
        <f ca="1">IFERROR(__xludf.DUMMYFUNCTION("IFERROR(VALUE(REGEXEXTRACT(TO_TEXT($F964), N$1 &amp; ""x(\d+)"")), """")
"),"")</f>
        <v/>
      </c>
      <c r="O964" s="9">
        <f ca="1">IFERROR(__xludf.DUMMYFUNCTION("IFERROR(VALUE(REGEXEXTRACT(TO_TEXT($F964), O$1 &amp; ""x(\d+)"")), """")"),1)</f>
        <v>1</v>
      </c>
      <c r="P964" s="9" t="str">
        <f ca="1">IFERROR(__xludf.DUMMYFUNCTION("IFERROR(VALUE(REGEXEXTRACT(TO_TEXT($F964), P$1 &amp; ""x(\d+)"")), """")"),"")</f>
        <v/>
      </c>
      <c r="Q964" s="9" t="str">
        <f ca="1">IFERROR(__xludf.DUMMYFUNCTION("IFERROR(VALUE(REGEXEXTRACT(TO_TEXT($F964), Q$1 &amp; ""x(\d+)"")), """")"),"")</f>
        <v/>
      </c>
      <c r="R964" s="9" t="str">
        <f ca="1">IFERROR(__xludf.DUMMYFUNCTION("IFERROR(VALUE(REGEXEXTRACT(TO_TEXT($F964), R$1 &amp; ""x(\d+)"")), """")"),"")</f>
        <v/>
      </c>
      <c r="S964" s="9" t="str">
        <f ca="1">IFERROR(__xludf.DUMMYFUNCTION("IFERROR(VALUE(REGEXEXTRACT(TO_TEXT($F964), S$1 &amp; ""x(\d+)"")), """")"),"")</f>
        <v/>
      </c>
      <c r="T964" s="9" t="str">
        <f ca="1">IFERROR(__xludf.DUMMYFUNCTION("IFERROR(VALUE(REGEXEXTRACT(TO_TEXT($F964), T$1 &amp; ""x(\d+)"")), """")"),"")</f>
        <v/>
      </c>
      <c r="U964" s="9" t="str">
        <f ca="1">IFERROR(__xludf.DUMMYFUNCTION("IFERROR(VALUE(REGEXEXTRACT(TO_TEXT($F964), U$1 &amp; ""x(\d+)"")), """")"),"")</f>
        <v/>
      </c>
      <c r="V964" s="9" t="str">
        <f ca="1">IFERROR(__xludf.DUMMYFUNCTION("IFERROR(VALUE(REGEXEXTRACT(TO_TEXT($F964), V$1 &amp; ""x(\d+)"")), """")"),"")</f>
        <v/>
      </c>
      <c r="W964" s="9"/>
      <c r="X964" s="9"/>
      <c r="Y964" s="9"/>
      <c r="Z964" s="9"/>
    </row>
    <row r="965" spans="1:26" ht="15.75" customHeight="1">
      <c r="A965" s="9" t="s">
        <v>2038</v>
      </c>
      <c r="B965" s="9" t="s">
        <v>2039</v>
      </c>
      <c r="C965" s="9" t="s">
        <v>556</v>
      </c>
      <c r="D965" s="9" t="s">
        <v>33</v>
      </c>
      <c r="E965" s="9" t="s">
        <v>11</v>
      </c>
      <c r="F965" s="9" t="s">
        <v>2040</v>
      </c>
      <c r="G965" s="9">
        <v>60</v>
      </c>
      <c r="H965" s="9">
        <v>3</v>
      </c>
      <c r="I965" s="9">
        <v>1.0149999999999999</v>
      </c>
      <c r="J965" s="9">
        <v>110</v>
      </c>
      <c r="K965" s="9" t="s">
        <v>442</v>
      </c>
      <c r="L965" s="9"/>
      <c r="M965" s="9"/>
      <c r="N965" s="9" t="str">
        <f ca="1">IFERROR(__xludf.DUMMYFUNCTION("IFERROR(VALUE(REGEXEXTRACT(TO_TEXT($F965), N$1 &amp; ""x(\d+)"")), """")
"),"")</f>
        <v/>
      </c>
      <c r="O965" s="9">
        <f ca="1">IFERROR(__xludf.DUMMYFUNCTION("IFERROR(VALUE(REGEXEXTRACT(TO_TEXT($F965), O$1 &amp; ""x(\d+)"")), """")"),1)</f>
        <v>1</v>
      </c>
      <c r="P965" s="9" t="str">
        <f ca="1">IFERROR(__xludf.DUMMYFUNCTION("IFERROR(VALUE(REGEXEXTRACT(TO_TEXT($F965), P$1 &amp; ""x(\d+)"")), """")"),"")</f>
        <v/>
      </c>
      <c r="Q965" s="9" t="str">
        <f ca="1">IFERROR(__xludf.DUMMYFUNCTION("IFERROR(VALUE(REGEXEXTRACT(TO_TEXT($F965), Q$1 &amp; ""x(\d+)"")), """")"),"")</f>
        <v/>
      </c>
      <c r="R965" s="9" t="str">
        <f ca="1">IFERROR(__xludf.DUMMYFUNCTION("IFERROR(VALUE(REGEXEXTRACT(TO_TEXT($F965), R$1 &amp; ""x(\d+)"")), """")"),"")</f>
        <v/>
      </c>
      <c r="S965" s="9" t="str">
        <f ca="1">IFERROR(__xludf.DUMMYFUNCTION("IFERROR(VALUE(REGEXEXTRACT(TO_TEXT($F965), S$1 &amp; ""x(\d+)"")), """")"),"")</f>
        <v/>
      </c>
      <c r="T965" s="9" t="str">
        <f ca="1">IFERROR(__xludf.DUMMYFUNCTION("IFERROR(VALUE(REGEXEXTRACT(TO_TEXT($F965), T$1 &amp; ""x(\d+)"")), """")"),"")</f>
        <v/>
      </c>
      <c r="U965" s="9" t="str">
        <f ca="1">IFERROR(__xludf.DUMMYFUNCTION("IFERROR(VALUE(REGEXEXTRACT(TO_TEXT($F965), U$1 &amp; ""x(\d+)"")), """")"),"")</f>
        <v/>
      </c>
      <c r="V965" s="9" t="str">
        <f ca="1">IFERROR(__xludf.DUMMYFUNCTION("IFERROR(VALUE(REGEXEXTRACT(TO_TEXT($F965), V$1 &amp; ""x(\d+)"")), """")"),"")</f>
        <v/>
      </c>
      <c r="W965" s="9"/>
      <c r="X965" s="9"/>
      <c r="Y965" s="9"/>
      <c r="Z965" s="9"/>
    </row>
    <row r="966" spans="1:26" ht="15.75" customHeight="1">
      <c r="A966" s="9" t="s">
        <v>2038</v>
      </c>
      <c r="B966" s="9" t="s">
        <v>2039</v>
      </c>
      <c r="C966" s="9" t="s">
        <v>556</v>
      </c>
      <c r="D966" s="9" t="s">
        <v>33</v>
      </c>
      <c r="E966" s="9" t="s">
        <v>12</v>
      </c>
      <c r="F966" s="9" t="s">
        <v>2040</v>
      </c>
      <c r="G966" s="9">
        <v>60</v>
      </c>
      <c r="H966" s="9">
        <v>3</v>
      </c>
      <c r="I966" s="9">
        <v>1.0149999999999999</v>
      </c>
      <c r="J966" s="9">
        <v>110</v>
      </c>
      <c r="K966" s="9" t="s">
        <v>442</v>
      </c>
      <c r="L966" s="9" t="s">
        <v>1169</v>
      </c>
      <c r="M966" s="9"/>
      <c r="N966" s="9" t="str">
        <f ca="1">IFERROR(__xludf.DUMMYFUNCTION("IFERROR(VALUE(REGEXEXTRACT(TO_TEXT($F966), N$1 &amp; ""x(\d+)"")), """")
"),"")</f>
        <v/>
      </c>
      <c r="O966" s="9">
        <f ca="1">IFERROR(__xludf.DUMMYFUNCTION("IFERROR(VALUE(REGEXEXTRACT(TO_TEXT($F966), O$1 &amp; ""x(\d+)"")), """")"),1)</f>
        <v>1</v>
      </c>
      <c r="P966" s="9" t="str">
        <f ca="1">IFERROR(__xludf.DUMMYFUNCTION("IFERROR(VALUE(REGEXEXTRACT(TO_TEXT($F966), P$1 &amp; ""x(\d+)"")), """")"),"")</f>
        <v/>
      </c>
      <c r="Q966" s="9" t="str">
        <f ca="1">IFERROR(__xludf.DUMMYFUNCTION("IFERROR(VALUE(REGEXEXTRACT(TO_TEXT($F966), Q$1 &amp; ""x(\d+)"")), """")"),"")</f>
        <v/>
      </c>
      <c r="R966" s="9" t="str">
        <f ca="1">IFERROR(__xludf.DUMMYFUNCTION("IFERROR(VALUE(REGEXEXTRACT(TO_TEXT($F966), R$1 &amp; ""x(\d+)"")), """")"),"")</f>
        <v/>
      </c>
      <c r="S966" s="9" t="str">
        <f ca="1">IFERROR(__xludf.DUMMYFUNCTION("IFERROR(VALUE(REGEXEXTRACT(TO_TEXT($F966), S$1 &amp; ""x(\d+)"")), """")"),"")</f>
        <v/>
      </c>
      <c r="T966" s="9" t="str">
        <f ca="1">IFERROR(__xludf.DUMMYFUNCTION("IFERROR(VALUE(REGEXEXTRACT(TO_TEXT($F966), T$1 &amp; ""x(\d+)"")), """")"),"")</f>
        <v/>
      </c>
      <c r="U966" s="9" t="str">
        <f ca="1">IFERROR(__xludf.DUMMYFUNCTION("IFERROR(VALUE(REGEXEXTRACT(TO_TEXT($F966), U$1 &amp; ""x(\d+)"")), """")"),"")</f>
        <v/>
      </c>
      <c r="V966" s="9" t="str">
        <f ca="1">IFERROR(__xludf.DUMMYFUNCTION("IFERROR(VALUE(REGEXEXTRACT(TO_TEXT($F966), V$1 &amp; ""x(\d+)"")), """")"),"")</f>
        <v/>
      </c>
      <c r="W966" s="9"/>
      <c r="X966" s="9"/>
      <c r="Y966" s="9"/>
      <c r="Z966" s="9"/>
    </row>
    <row r="967" spans="1:26" ht="15.75" customHeight="1">
      <c r="A967" s="9" t="s">
        <v>2038</v>
      </c>
      <c r="B967" s="9" t="s">
        <v>2039</v>
      </c>
      <c r="C967" s="9" t="s">
        <v>556</v>
      </c>
      <c r="D967" s="9" t="s">
        <v>33</v>
      </c>
      <c r="E967" s="9" t="s">
        <v>13</v>
      </c>
      <c r="F967" s="9" t="s">
        <v>2041</v>
      </c>
      <c r="G967" s="9">
        <v>15</v>
      </c>
      <c r="H967" s="9">
        <v>3</v>
      </c>
      <c r="I967" s="9">
        <v>1.0149999999999999</v>
      </c>
      <c r="J967" s="9">
        <v>110</v>
      </c>
      <c r="K967" s="9" t="s">
        <v>442</v>
      </c>
      <c r="L967" s="9"/>
      <c r="M967" s="9"/>
      <c r="N967" s="9" t="str">
        <f ca="1">IFERROR(__xludf.DUMMYFUNCTION("IFERROR(VALUE(REGEXEXTRACT(TO_TEXT($F967), N$1 &amp; ""x(\d+)"")), """")
"),"")</f>
        <v/>
      </c>
      <c r="O967" s="9">
        <f ca="1">IFERROR(__xludf.DUMMYFUNCTION("IFERROR(VALUE(REGEXEXTRACT(TO_TEXT($F967), O$1 &amp; ""x(\d+)"")), """")"),1)</f>
        <v>1</v>
      </c>
      <c r="P967" s="9" t="str">
        <f ca="1">IFERROR(__xludf.DUMMYFUNCTION("IFERROR(VALUE(REGEXEXTRACT(TO_TEXT($F967), P$1 &amp; ""x(\d+)"")), """")"),"")</f>
        <v/>
      </c>
      <c r="Q967" s="9" t="str">
        <f ca="1">IFERROR(__xludf.DUMMYFUNCTION("IFERROR(VALUE(REGEXEXTRACT(TO_TEXT($F967), Q$1 &amp; ""x(\d+)"")), """")"),"")</f>
        <v/>
      </c>
      <c r="R967" s="9" t="str">
        <f ca="1">IFERROR(__xludf.DUMMYFUNCTION("IFERROR(VALUE(REGEXEXTRACT(TO_TEXT($F967), R$1 &amp; ""x(\d+)"")), """")"),"")</f>
        <v/>
      </c>
      <c r="S967" s="9" t="str">
        <f ca="1">IFERROR(__xludf.DUMMYFUNCTION("IFERROR(VALUE(REGEXEXTRACT(TO_TEXT($F967), S$1 &amp; ""x(\d+)"")), """")"),"")</f>
        <v/>
      </c>
      <c r="T967" s="9" t="str">
        <f ca="1">IFERROR(__xludf.DUMMYFUNCTION("IFERROR(VALUE(REGEXEXTRACT(TO_TEXT($F967), T$1 &amp; ""x(\d+)"")), """")"),"")</f>
        <v/>
      </c>
      <c r="U967" s="9" t="str">
        <f ca="1">IFERROR(__xludf.DUMMYFUNCTION("IFERROR(VALUE(REGEXEXTRACT(TO_TEXT($F967), U$1 &amp; ""x(\d+)"")), """")"),"")</f>
        <v/>
      </c>
      <c r="V967" s="9" t="str">
        <f ca="1">IFERROR(__xludf.DUMMYFUNCTION("IFERROR(VALUE(REGEXEXTRACT(TO_TEXT($F967), V$1 &amp; ""x(\d+)"")), """")"),"")</f>
        <v/>
      </c>
      <c r="W967" s="9"/>
      <c r="X967" s="9"/>
      <c r="Y967" s="9"/>
      <c r="Z967" s="9"/>
    </row>
    <row r="968" spans="1:26" ht="15.75" customHeight="1">
      <c r="A968" s="9" t="s">
        <v>2042</v>
      </c>
      <c r="B968" s="9" t="s">
        <v>2039</v>
      </c>
      <c r="C968" s="9" t="s">
        <v>2043</v>
      </c>
      <c r="D968" s="9" t="s">
        <v>33</v>
      </c>
      <c r="E968" s="9" t="s">
        <v>11</v>
      </c>
      <c r="F968" s="9" t="s">
        <v>2040</v>
      </c>
      <c r="G968" s="9">
        <v>60</v>
      </c>
      <c r="H968" s="9">
        <v>3</v>
      </c>
      <c r="I968" s="9">
        <v>1.0149999999999999</v>
      </c>
      <c r="J968" s="9">
        <v>110</v>
      </c>
      <c r="K968" s="9" t="s">
        <v>442</v>
      </c>
      <c r="L968" s="9"/>
      <c r="M968" s="9"/>
      <c r="N968" s="9" t="str">
        <f ca="1">IFERROR(__xludf.DUMMYFUNCTION("IFERROR(VALUE(REGEXEXTRACT(TO_TEXT($F968), N$1 &amp; ""x(\d+)"")), """")
"),"")</f>
        <v/>
      </c>
      <c r="O968" s="9">
        <f ca="1">IFERROR(__xludf.DUMMYFUNCTION("IFERROR(VALUE(REGEXEXTRACT(TO_TEXT($F968), O$1 &amp; ""x(\d+)"")), """")"),1)</f>
        <v>1</v>
      </c>
      <c r="P968" s="9" t="str">
        <f ca="1">IFERROR(__xludf.DUMMYFUNCTION("IFERROR(VALUE(REGEXEXTRACT(TO_TEXT($F968), P$1 &amp; ""x(\d+)"")), """")"),"")</f>
        <v/>
      </c>
      <c r="Q968" s="9" t="str">
        <f ca="1">IFERROR(__xludf.DUMMYFUNCTION("IFERROR(VALUE(REGEXEXTRACT(TO_TEXT($F968), Q$1 &amp; ""x(\d+)"")), """")"),"")</f>
        <v/>
      </c>
      <c r="R968" s="9" t="str">
        <f ca="1">IFERROR(__xludf.DUMMYFUNCTION("IFERROR(VALUE(REGEXEXTRACT(TO_TEXT($F968), R$1 &amp; ""x(\d+)"")), """")"),"")</f>
        <v/>
      </c>
      <c r="S968" s="9" t="str">
        <f ca="1">IFERROR(__xludf.DUMMYFUNCTION("IFERROR(VALUE(REGEXEXTRACT(TO_TEXT($F968), S$1 &amp; ""x(\d+)"")), """")"),"")</f>
        <v/>
      </c>
      <c r="T968" s="9" t="str">
        <f ca="1">IFERROR(__xludf.DUMMYFUNCTION("IFERROR(VALUE(REGEXEXTRACT(TO_TEXT($F968), T$1 &amp; ""x(\d+)"")), """")"),"")</f>
        <v/>
      </c>
      <c r="U968" s="9" t="str">
        <f ca="1">IFERROR(__xludf.DUMMYFUNCTION("IFERROR(VALUE(REGEXEXTRACT(TO_TEXT($F968), U$1 &amp; ""x(\d+)"")), """")"),"")</f>
        <v/>
      </c>
      <c r="V968" s="9" t="str">
        <f ca="1">IFERROR(__xludf.DUMMYFUNCTION("IFERROR(VALUE(REGEXEXTRACT(TO_TEXT($F968), V$1 &amp; ""x(\d+)"")), """")"),"")</f>
        <v/>
      </c>
      <c r="W968" s="9"/>
      <c r="X968" s="9"/>
      <c r="Y968" s="9"/>
      <c r="Z968" s="9"/>
    </row>
    <row r="969" spans="1:26" ht="15.75" customHeight="1">
      <c r="A969" s="9" t="s">
        <v>2042</v>
      </c>
      <c r="B969" s="9" t="s">
        <v>2039</v>
      </c>
      <c r="C969" s="9" t="s">
        <v>2043</v>
      </c>
      <c r="D969" s="9" t="s">
        <v>33</v>
      </c>
      <c r="E969" s="9" t="s">
        <v>12</v>
      </c>
      <c r="F969" s="9" t="s">
        <v>2040</v>
      </c>
      <c r="G969" s="9">
        <v>60</v>
      </c>
      <c r="H969" s="9">
        <v>3</v>
      </c>
      <c r="I969" s="9">
        <v>1.0149999999999999</v>
      </c>
      <c r="J969" s="9">
        <v>110</v>
      </c>
      <c r="K969" s="9" t="s">
        <v>442</v>
      </c>
      <c r="L969" s="9" t="s">
        <v>1169</v>
      </c>
      <c r="M969" s="9"/>
      <c r="N969" s="9" t="str">
        <f ca="1">IFERROR(__xludf.DUMMYFUNCTION("IFERROR(VALUE(REGEXEXTRACT(TO_TEXT($F969), N$1 &amp; ""x(\d+)"")), """")
"),"")</f>
        <v/>
      </c>
      <c r="O969" s="9">
        <f ca="1">IFERROR(__xludf.DUMMYFUNCTION("IFERROR(VALUE(REGEXEXTRACT(TO_TEXT($F969), O$1 &amp; ""x(\d+)"")), """")"),1)</f>
        <v>1</v>
      </c>
      <c r="P969" s="9" t="str">
        <f ca="1">IFERROR(__xludf.DUMMYFUNCTION("IFERROR(VALUE(REGEXEXTRACT(TO_TEXT($F969), P$1 &amp; ""x(\d+)"")), """")"),"")</f>
        <v/>
      </c>
      <c r="Q969" s="9" t="str">
        <f ca="1">IFERROR(__xludf.DUMMYFUNCTION("IFERROR(VALUE(REGEXEXTRACT(TO_TEXT($F969), Q$1 &amp; ""x(\d+)"")), """")"),"")</f>
        <v/>
      </c>
      <c r="R969" s="9" t="str">
        <f ca="1">IFERROR(__xludf.DUMMYFUNCTION("IFERROR(VALUE(REGEXEXTRACT(TO_TEXT($F969), R$1 &amp; ""x(\d+)"")), """")"),"")</f>
        <v/>
      </c>
      <c r="S969" s="9" t="str">
        <f ca="1">IFERROR(__xludf.DUMMYFUNCTION("IFERROR(VALUE(REGEXEXTRACT(TO_TEXT($F969), S$1 &amp; ""x(\d+)"")), """")"),"")</f>
        <v/>
      </c>
      <c r="T969" s="9" t="str">
        <f ca="1">IFERROR(__xludf.DUMMYFUNCTION("IFERROR(VALUE(REGEXEXTRACT(TO_TEXT($F969), T$1 &amp; ""x(\d+)"")), """")"),"")</f>
        <v/>
      </c>
      <c r="U969" s="9" t="str">
        <f ca="1">IFERROR(__xludf.DUMMYFUNCTION("IFERROR(VALUE(REGEXEXTRACT(TO_TEXT($F969), U$1 &amp; ""x(\d+)"")), """")"),"")</f>
        <v/>
      </c>
      <c r="V969" s="9" t="str">
        <f ca="1">IFERROR(__xludf.DUMMYFUNCTION("IFERROR(VALUE(REGEXEXTRACT(TO_TEXT($F969), V$1 &amp; ""x(\d+)"")), """")"),"")</f>
        <v/>
      </c>
      <c r="W969" s="9"/>
      <c r="X969" s="9"/>
      <c r="Y969" s="9"/>
      <c r="Z969" s="9"/>
    </row>
    <row r="970" spans="1:26" ht="15.75" customHeight="1">
      <c r="A970" s="9" t="s">
        <v>2042</v>
      </c>
      <c r="B970" s="9" t="s">
        <v>2039</v>
      </c>
      <c r="C970" s="9" t="s">
        <v>2043</v>
      </c>
      <c r="D970" s="9" t="s">
        <v>33</v>
      </c>
      <c r="E970" s="9" t="s">
        <v>13</v>
      </c>
      <c r="F970" s="9" t="s">
        <v>2041</v>
      </c>
      <c r="G970" s="9">
        <v>15</v>
      </c>
      <c r="H970" s="9">
        <v>3</v>
      </c>
      <c r="I970" s="9">
        <v>1.0149999999999999</v>
      </c>
      <c r="J970" s="9">
        <v>110</v>
      </c>
      <c r="K970" s="9" t="s">
        <v>442</v>
      </c>
      <c r="L970" s="9"/>
      <c r="M970" s="9"/>
      <c r="N970" s="9" t="str">
        <f ca="1">IFERROR(__xludf.DUMMYFUNCTION("IFERROR(VALUE(REGEXEXTRACT(TO_TEXT($F970), N$1 &amp; ""x(\d+)"")), """")
"),"")</f>
        <v/>
      </c>
      <c r="O970" s="9">
        <f ca="1">IFERROR(__xludf.DUMMYFUNCTION("IFERROR(VALUE(REGEXEXTRACT(TO_TEXT($F970), O$1 &amp; ""x(\d+)"")), """")"),1)</f>
        <v>1</v>
      </c>
      <c r="P970" s="9" t="str">
        <f ca="1">IFERROR(__xludf.DUMMYFUNCTION("IFERROR(VALUE(REGEXEXTRACT(TO_TEXT($F970), P$1 &amp; ""x(\d+)"")), """")"),"")</f>
        <v/>
      </c>
      <c r="Q970" s="9" t="str">
        <f ca="1">IFERROR(__xludf.DUMMYFUNCTION("IFERROR(VALUE(REGEXEXTRACT(TO_TEXT($F970), Q$1 &amp; ""x(\d+)"")), """")"),"")</f>
        <v/>
      </c>
      <c r="R970" s="9" t="str">
        <f ca="1">IFERROR(__xludf.DUMMYFUNCTION("IFERROR(VALUE(REGEXEXTRACT(TO_TEXT($F970), R$1 &amp; ""x(\d+)"")), """")"),"")</f>
        <v/>
      </c>
      <c r="S970" s="9" t="str">
        <f ca="1">IFERROR(__xludf.DUMMYFUNCTION("IFERROR(VALUE(REGEXEXTRACT(TO_TEXT($F970), S$1 &amp; ""x(\d+)"")), """")"),"")</f>
        <v/>
      </c>
      <c r="T970" s="9" t="str">
        <f ca="1">IFERROR(__xludf.DUMMYFUNCTION("IFERROR(VALUE(REGEXEXTRACT(TO_TEXT($F970), T$1 &amp; ""x(\d+)"")), """")"),"")</f>
        <v/>
      </c>
      <c r="U970" s="9" t="str">
        <f ca="1">IFERROR(__xludf.DUMMYFUNCTION("IFERROR(VALUE(REGEXEXTRACT(TO_TEXT($F970), U$1 &amp; ""x(\d+)"")), """")"),"")</f>
        <v/>
      </c>
      <c r="V970" s="9" t="str">
        <f ca="1">IFERROR(__xludf.DUMMYFUNCTION("IFERROR(VALUE(REGEXEXTRACT(TO_TEXT($F970), V$1 &amp; ""x(\d+)"")), """")"),"")</f>
        <v/>
      </c>
      <c r="W970" s="9"/>
      <c r="X970" s="9"/>
      <c r="Y970" s="9"/>
      <c r="Z970" s="9"/>
    </row>
    <row r="971" spans="1:26" ht="15.75" hidden="1" customHeight="1">
      <c r="A971" s="9" t="s">
        <v>167</v>
      </c>
      <c r="B971" s="9" t="s">
        <v>2044</v>
      </c>
      <c r="C971" s="9" t="s">
        <v>168</v>
      </c>
      <c r="D971" s="9" t="s">
        <v>48</v>
      </c>
      <c r="E971" s="9" t="s">
        <v>11</v>
      </c>
      <c r="F971" s="9" t="s">
        <v>1218</v>
      </c>
      <c r="G971" s="9">
        <v>25</v>
      </c>
      <c r="H971" s="9">
        <v>5</v>
      </c>
      <c r="I971" s="9">
        <v>1.0149999999999999</v>
      </c>
      <c r="J971" s="9">
        <v>52</v>
      </c>
      <c r="K971" s="9" t="s">
        <v>424</v>
      </c>
      <c r="L971" s="9"/>
      <c r="M971" s="9"/>
      <c r="N971" s="9" t="str">
        <f ca="1">IFERROR(__xludf.DUMMYFUNCTION("IFERROR(VALUE(REGEXEXTRACT(TO_TEXT($F971), N$1 &amp; ""x(\d+)"")), """")
"),"")</f>
        <v/>
      </c>
      <c r="O971" s="9" t="str">
        <f ca="1">IFERROR(__xludf.DUMMYFUNCTION("IFERROR(VALUE(REGEXEXTRACT(TO_TEXT($F971), O$1 &amp; ""x(\d+)"")), """")"),"")</f>
        <v/>
      </c>
      <c r="P971" s="9" t="str">
        <f ca="1">IFERROR(__xludf.DUMMYFUNCTION("IFERROR(VALUE(REGEXEXTRACT(TO_TEXT($F971), P$1 &amp; ""x(\d+)"")), """")"),"")</f>
        <v/>
      </c>
      <c r="Q971" s="9" t="str">
        <f ca="1">IFERROR(__xludf.DUMMYFUNCTION("IFERROR(VALUE(REGEXEXTRACT(TO_TEXT($F971), Q$1 &amp; ""x(\d+)"")), """")"),"")</f>
        <v/>
      </c>
      <c r="R971" s="9" t="str">
        <f ca="1">IFERROR(__xludf.DUMMYFUNCTION("IFERROR(VALUE(REGEXEXTRACT(TO_TEXT($F971), R$1 &amp; ""x(\d+)"")), """")"),"")</f>
        <v/>
      </c>
      <c r="S971" s="9" t="str">
        <f ca="1">IFERROR(__xludf.DUMMYFUNCTION("IFERROR(VALUE(REGEXEXTRACT(TO_TEXT($F971), S$1 &amp; ""x(\d+)"")), """")"),"")</f>
        <v/>
      </c>
      <c r="T971" s="9" t="str">
        <f ca="1">IFERROR(__xludf.DUMMYFUNCTION("IFERROR(VALUE(REGEXEXTRACT(TO_TEXT($F971), T$1 &amp; ""x(\d+)"")), """")"),"")</f>
        <v/>
      </c>
      <c r="U971" s="9" t="str">
        <f ca="1">IFERROR(__xludf.DUMMYFUNCTION("IFERROR(VALUE(REGEXEXTRACT(TO_TEXT($F971), U$1 &amp; ""x(\d+)"")), """")"),"")</f>
        <v/>
      </c>
      <c r="V971" s="9" t="str">
        <f ca="1">IFERROR(__xludf.DUMMYFUNCTION("IFERROR(VALUE(REGEXEXTRACT(TO_TEXT($F971), V$1 &amp; ""x(\d+)"")), """")"),"")</f>
        <v/>
      </c>
      <c r="W971" s="9"/>
      <c r="X971" s="9"/>
      <c r="Y971" s="9"/>
      <c r="Z971" s="9"/>
    </row>
    <row r="972" spans="1:26" ht="15.75" hidden="1" customHeight="1">
      <c r="A972" s="9" t="s">
        <v>167</v>
      </c>
      <c r="B972" s="9" t="s">
        <v>2044</v>
      </c>
      <c r="C972" s="9" t="s">
        <v>168</v>
      </c>
      <c r="D972" s="9" t="s">
        <v>48</v>
      </c>
      <c r="E972" s="9" t="s">
        <v>12</v>
      </c>
      <c r="F972" s="9" t="s">
        <v>2045</v>
      </c>
      <c r="G972" s="9">
        <v>130</v>
      </c>
      <c r="H972" s="9">
        <v>5</v>
      </c>
      <c r="I972" s="9">
        <v>1.0149999999999999</v>
      </c>
      <c r="J972" s="9">
        <v>52</v>
      </c>
      <c r="K972" s="9" t="s">
        <v>424</v>
      </c>
      <c r="L972" s="9"/>
      <c r="M972" s="9"/>
      <c r="N972" s="9" t="str">
        <f ca="1">IFERROR(__xludf.DUMMYFUNCTION("IFERROR(VALUE(REGEXEXTRACT(TO_TEXT($F972), N$1 &amp; ""x(\d+)"")), """")
"),"")</f>
        <v/>
      </c>
      <c r="O972" s="9" t="str">
        <f ca="1">IFERROR(__xludf.DUMMYFUNCTION("IFERROR(VALUE(REGEXEXTRACT(TO_TEXT($F972), O$1 &amp; ""x(\d+)"")), """")"),"")</f>
        <v/>
      </c>
      <c r="P972" s="9">
        <f ca="1">IFERROR(__xludf.DUMMYFUNCTION("IFERROR(VALUE(REGEXEXTRACT(TO_TEXT($F972), P$1 &amp; ""x(\d+)"")), """")"),1)</f>
        <v>1</v>
      </c>
      <c r="Q972" s="9" t="str">
        <f ca="1">IFERROR(__xludf.DUMMYFUNCTION("IFERROR(VALUE(REGEXEXTRACT(TO_TEXT($F972), Q$1 &amp; ""x(\d+)"")), """")"),"")</f>
        <v/>
      </c>
      <c r="R972" s="9" t="str">
        <f ca="1">IFERROR(__xludf.DUMMYFUNCTION("IFERROR(VALUE(REGEXEXTRACT(TO_TEXT($F972), R$1 &amp; ""x(\d+)"")), """")"),"")</f>
        <v/>
      </c>
      <c r="S972" s="9" t="str">
        <f ca="1">IFERROR(__xludf.DUMMYFUNCTION("IFERROR(VALUE(REGEXEXTRACT(TO_TEXT($F972), S$1 &amp; ""x(\d+)"")), """")"),"")</f>
        <v/>
      </c>
      <c r="T972" s="9">
        <f ca="1">IFERROR(__xludf.DUMMYFUNCTION("IFERROR(VALUE(REGEXEXTRACT(TO_TEXT($F972), T$1 &amp; ""x(\d+)"")), """")"),1)</f>
        <v>1</v>
      </c>
      <c r="U972" s="9" t="str">
        <f ca="1">IFERROR(__xludf.DUMMYFUNCTION("IFERROR(VALUE(REGEXEXTRACT(TO_TEXT($F972), U$1 &amp; ""x(\d+)"")), """")"),"")</f>
        <v/>
      </c>
      <c r="V972" s="9" t="str">
        <f ca="1">IFERROR(__xludf.DUMMYFUNCTION("IFERROR(VALUE(REGEXEXTRACT(TO_TEXT($F972), V$1 &amp; ""x(\d+)"")), """")"),"")</f>
        <v/>
      </c>
      <c r="W972" s="9"/>
      <c r="X972" s="9"/>
      <c r="Y972" s="9"/>
      <c r="Z972" s="9"/>
    </row>
    <row r="973" spans="1:26" ht="15.75" hidden="1" customHeight="1">
      <c r="A973" s="9" t="s">
        <v>167</v>
      </c>
      <c r="B973" s="9" t="s">
        <v>2044</v>
      </c>
      <c r="C973" s="9" t="s">
        <v>168</v>
      </c>
      <c r="D973" s="9" t="s">
        <v>48</v>
      </c>
      <c r="E973" s="9" t="s">
        <v>13</v>
      </c>
      <c r="F973" s="9" t="s">
        <v>1530</v>
      </c>
      <c r="G973" s="9">
        <v>40</v>
      </c>
      <c r="H973" s="9">
        <v>5</v>
      </c>
      <c r="I973" s="9">
        <v>1.0149999999999999</v>
      </c>
      <c r="J973" s="9">
        <v>52</v>
      </c>
      <c r="K973" s="9" t="s">
        <v>424</v>
      </c>
      <c r="L973" s="9"/>
      <c r="M973" s="9"/>
      <c r="N973" s="9" t="str">
        <f ca="1">IFERROR(__xludf.DUMMYFUNCTION("IFERROR(VALUE(REGEXEXTRACT(TO_TEXT($F973), N$1 &amp; ""x(\d+)"")), """")
"),"")</f>
        <v/>
      </c>
      <c r="O973" s="9" t="str">
        <f ca="1">IFERROR(__xludf.DUMMYFUNCTION("IFERROR(VALUE(REGEXEXTRACT(TO_TEXT($F973), O$1 &amp; ""x(\d+)"")), """")"),"")</f>
        <v/>
      </c>
      <c r="P973" s="9">
        <f ca="1">IFERROR(__xludf.DUMMYFUNCTION("IFERROR(VALUE(REGEXEXTRACT(TO_TEXT($F973), P$1 &amp; ""x(\d+)"")), """")"),1)</f>
        <v>1</v>
      </c>
      <c r="Q973" s="9" t="str">
        <f ca="1">IFERROR(__xludf.DUMMYFUNCTION("IFERROR(VALUE(REGEXEXTRACT(TO_TEXT($F973), Q$1 &amp; ""x(\d+)"")), """")"),"")</f>
        <v/>
      </c>
      <c r="R973" s="9" t="str">
        <f ca="1">IFERROR(__xludf.DUMMYFUNCTION("IFERROR(VALUE(REGEXEXTRACT(TO_TEXT($F973), R$1 &amp; ""x(\d+)"")), """")"),"")</f>
        <v/>
      </c>
      <c r="S973" s="9" t="str">
        <f ca="1">IFERROR(__xludf.DUMMYFUNCTION("IFERROR(VALUE(REGEXEXTRACT(TO_TEXT($F973), S$1 &amp; ""x(\d+)"")), """")"),"")</f>
        <v/>
      </c>
      <c r="T973" s="9">
        <f ca="1">IFERROR(__xludf.DUMMYFUNCTION("IFERROR(VALUE(REGEXEXTRACT(TO_TEXT($F973), T$1 &amp; ""x(\d+)"")), """")"),1)</f>
        <v>1</v>
      </c>
      <c r="U973" s="9" t="str">
        <f ca="1">IFERROR(__xludf.DUMMYFUNCTION("IFERROR(VALUE(REGEXEXTRACT(TO_TEXT($F973), U$1 &amp; ""x(\d+)"")), """")"),"")</f>
        <v/>
      </c>
      <c r="V973" s="9" t="str">
        <f ca="1">IFERROR(__xludf.DUMMYFUNCTION("IFERROR(VALUE(REGEXEXTRACT(TO_TEXT($F973), V$1 &amp; ""x(\d+)"")), """")"),"")</f>
        <v/>
      </c>
      <c r="W973" s="9"/>
      <c r="X973" s="9"/>
      <c r="Y973" s="9"/>
      <c r="Z973" s="9"/>
    </row>
    <row r="974" spans="1:26" ht="15.75" hidden="1" customHeight="1">
      <c r="A974" s="9" t="s">
        <v>167</v>
      </c>
      <c r="B974" s="9" t="s">
        <v>2044</v>
      </c>
      <c r="C974" s="9" t="s">
        <v>168</v>
      </c>
      <c r="D974" s="9" t="s">
        <v>74</v>
      </c>
      <c r="E974" s="9" t="s">
        <v>11</v>
      </c>
      <c r="F974" s="9" t="s">
        <v>1315</v>
      </c>
      <c r="G974" s="9">
        <v>25</v>
      </c>
      <c r="H974" s="9">
        <v>2</v>
      </c>
      <c r="I974" s="9">
        <v>1.0149999999999999</v>
      </c>
      <c r="J974" s="9">
        <v>103</v>
      </c>
      <c r="K974" s="9" t="s">
        <v>424</v>
      </c>
      <c r="L974" s="9"/>
      <c r="M974" s="9"/>
      <c r="N974" s="9" t="str">
        <f ca="1">IFERROR(__xludf.DUMMYFUNCTION("IFERROR(VALUE(REGEXEXTRACT(TO_TEXT($F974), N$1 &amp; ""x(\d+)"")), """")
"),"")</f>
        <v/>
      </c>
      <c r="O974" s="9" t="str">
        <f ca="1">IFERROR(__xludf.DUMMYFUNCTION("IFERROR(VALUE(REGEXEXTRACT(TO_TEXT($F974), O$1 &amp; ""x(\d+)"")), """")"),"")</f>
        <v/>
      </c>
      <c r="P974" s="9" t="str">
        <f ca="1">IFERROR(__xludf.DUMMYFUNCTION("IFERROR(VALUE(REGEXEXTRACT(TO_TEXT($F974), P$1 &amp; ""x(\d+)"")), """")"),"")</f>
        <v/>
      </c>
      <c r="Q974" s="9" t="str">
        <f ca="1">IFERROR(__xludf.DUMMYFUNCTION("IFERROR(VALUE(REGEXEXTRACT(TO_TEXT($F974), Q$1 &amp; ""x(\d+)"")), """")"),"")</f>
        <v/>
      </c>
      <c r="R974" s="9" t="str">
        <f ca="1">IFERROR(__xludf.DUMMYFUNCTION("IFERROR(VALUE(REGEXEXTRACT(TO_TEXT($F974), R$1 &amp; ""x(\d+)"")), """")"),"")</f>
        <v/>
      </c>
      <c r="S974" s="9" t="str">
        <f ca="1">IFERROR(__xludf.DUMMYFUNCTION("IFERROR(VALUE(REGEXEXTRACT(TO_TEXT($F974), S$1 &amp; ""x(\d+)"")), """")"),"")</f>
        <v/>
      </c>
      <c r="T974" s="9" t="str">
        <f ca="1">IFERROR(__xludf.DUMMYFUNCTION("IFERROR(VALUE(REGEXEXTRACT(TO_TEXT($F974), T$1 &amp; ""x(\d+)"")), """")"),"")</f>
        <v/>
      </c>
      <c r="U974" s="9" t="str">
        <f ca="1">IFERROR(__xludf.DUMMYFUNCTION("IFERROR(VALUE(REGEXEXTRACT(TO_TEXT($F974), U$1 &amp; ""x(\d+)"")), """")"),"")</f>
        <v/>
      </c>
      <c r="V974" s="9" t="str">
        <f ca="1">IFERROR(__xludf.DUMMYFUNCTION("IFERROR(VALUE(REGEXEXTRACT(TO_TEXT($F974), V$1 &amp; ""x(\d+)"")), """")"),"")</f>
        <v/>
      </c>
      <c r="W974" s="9"/>
      <c r="X974" s="9"/>
      <c r="Y974" s="9"/>
      <c r="Z974" s="9"/>
    </row>
    <row r="975" spans="1:26" ht="15.75" hidden="1" customHeight="1">
      <c r="A975" s="9" t="s">
        <v>167</v>
      </c>
      <c r="B975" s="9" t="s">
        <v>2044</v>
      </c>
      <c r="C975" s="9" t="s">
        <v>168</v>
      </c>
      <c r="D975" s="9" t="s">
        <v>74</v>
      </c>
      <c r="E975" s="9" t="s">
        <v>12</v>
      </c>
      <c r="F975" s="9" t="s">
        <v>1124</v>
      </c>
      <c r="G975" s="9">
        <v>180</v>
      </c>
      <c r="H975" s="9">
        <v>2</v>
      </c>
      <c r="I975" s="9">
        <v>1.0149999999999999</v>
      </c>
      <c r="J975" s="9">
        <v>103</v>
      </c>
      <c r="K975" s="9" t="s">
        <v>424</v>
      </c>
      <c r="L975" s="9" t="s">
        <v>1210</v>
      </c>
      <c r="M975" s="9"/>
      <c r="N975" s="9" t="str">
        <f ca="1">IFERROR(__xludf.DUMMYFUNCTION("IFERROR(VALUE(REGEXEXTRACT(TO_TEXT($F975), N$1 &amp; ""x(\d+)"")), """")
"),"")</f>
        <v/>
      </c>
      <c r="O975" s="9" t="str">
        <f ca="1">IFERROR(__xludf.DUMMYFUNCTION("IFERROR(VALUE(REGEXEXTRACT(TO_TEXT($F975), O$1 &amp; ""x(\d+)"")), """")"),"")</f>
        <v/>
      </c>
      <c r="P975" s="9" t="str">
        <f ca="1">IFERROR(__xludf.DUMMYFUNCTION("IFERROR(VALUE(REGEXEXTRACT(TO_TEXT($F975), P$1 &amp; ""x(\d+)"")), """")"),"")</f>
        <v/>
      </c>
      <c r="Q975" s="9">
        <f ca="1">IFERROR(__xludf.DUMMYFUNCTION("IFERROR(VALUE(REGEXEXTRACT(TO_TEXT($F975), Q$1 &amp; ""x(\d+)"")), """")"),1)</f>
        <v>1</v>
      </c>
      <c r="R975" s="9" t="str">
        <f ca="1">IFERROR(__xludf.DUMMYFUNCTION("IFERROR(VALUE(REGEXEXTRACT(TO_TEXT($F975), R$1 &amp; ""x(\d+)"")), """")"),"")</f>
        <v/>
      </c>
      <c r="S975" s="9" t="str">
        <f ca="1">IFERROR(__xludf.DUMMYFUNCTION("IFERROR(VALUE(REGEXEXTRACT(TO_TEXT($F975), S$1 &amp; ""x(\d+)"")), """")"),"")</f>
        <v/>
      </c>
      <c r="T975" s="9" t="str">
        <f ca="1">IFERROR(__xludf.DUMMYFUNCTION("IFERROR(VALUE(REGEXEXTRACT(TO_TEXT($F975), T$1 &amp; ""x(\d+)"")), """")"),"")</f>
        <v/>
      </c>
      <c r="U975" s="9" t="str">
        <f ca="1">IFERROR(__xludf.DUMMYFUNCTION("IFERROR(VALUE(REGEXEXTRACT(TO_TEXT($F975), U$1 &amp; ""x(\d+)"")), """")"),"")</f>
        <v/>
      </c>
      <c r="V975" s="9" t="str">
        <f ca="1">IFERROR(__xludf.DUMMYFUNCTION("IFERROR(VALUE(REGEXEXTRACT(TO_TEXT($F975), V$1 &amp; ""x(\d+)"")), """")"),"")</f>
        <v/>
      </c>
      <c r="W975" s="9"/>
      <c r="X975" s="9"/>
      <c r="Y975" s="9"/>
      <c r="Z975" s="9"/>
    </row>
    <row r="976" spans="1:26" ht="15.75" hidden="1" customHeight="1">
      <c r="A976" s="9" t="s">
        <v>167</v>
      </c>
      <c r="B976" s="9" t="s">
        <v>2044</v>
      </c>
      <c r="C976" s="9" t="s">
        <v>168</v>
      </c>
      <c r="D976" s="9" t="s">
        <v>74</v>
      </c>
      <c r="E976" s="9" t="s">
        <v>13</v>
      </c>
      <c r="F976" s="9" t="s">
        <v>1125</v>
      </c>
      <c r="G976" s="9">
        <v>40</v>
      </c>
      <c r="H976" s="9">
        <v>2</v>
      </c>
      <c r="I976" s="9">
        <v>1.0149999999999999</v>
      </c>
      <c r="J976" s="9">
        <v>103</v>
      </c>
      <c r="K976" s="9" t="s">
        <v>424</v>
      </c>
      <c r="L976" s="9"/>
      <c r="M976" s="9"/>
      <c r="N976" s="9" t="str">
        <f ca="1">IFERROR(__xludf.DUMMYFUNCTION("IFERROR(VALUE(REGEXEXTRACT(TO_TEXT($F976), N$1 &amp; ""x(\d+)"")), """")
"),"")</f>
        <v/>
      </c>
      <c r="O976" s="9" t="str">
        <f ca="1">IFERROR(__xludf.DUMMYFUNCTION("IFERROR(VALUE(REGEXEXTRACT(TO_TEXT($F976), O$1 &amp; ""x(\d+)"")), """")"),"")</f>
        <v/>
      </c>
      <c r="P976" s="9" t="str">
        <f ca="1">IFERROR(__xludf.DUMMYFUNCTION("IFERROR(VALUE(REGEXEXTRACT(TO_TEXT($F976), P$1 &amp; ""x(\d+)"")), """")"),"")</f>
        <v/>
      </c>
      <c r="Q976" s="9">
        <f ca="1">IFERROR(__xludf.DUMMYFUNCTION("IFERROR(VALUE(REGEXEXTRACT(TO_TEXT($F976), Q$1 &amp; ""x(\d+)"")), """")"),1)</f>
        <v>1</v>
      </c>
      <c r="R976" s="9" t="str">
        <f ca="1">IFERROR(__xludf.DUMMYFUNCTION("IFERROR(VALUE(REGEXEXTRACT(TO_TEXT($F976), R$1 &amp; ""x(\d+)"")), """")"),"")</f>
        <v/>
      </c>
      <c r="S976" s="9" t="str">
        <f ca="1">IFERROR(__xludf.DUMMYFUNCTION("IFERROR(VALUE(REGEXEXTRACT(TO_TEXT($F976), S$1 &amp; ""x(\d+)"")), """")"),"")</f>
        <v/>
      </c>
      <c r="T976" s="9" t="str">
        <f ca="1">IFERROR(__xludf.DUMMYFUNCTION("IFERROR(VALUE(REGEXEXTRACT(TO_TEXT($F976), T$1 &amp; ""x(\d+)"")), """")"),"")</f>
        <v/>
      </c>
      <c r="U976" s="9" t="str">
        <f ca="1">IFERROR(__xludf.DUMMYFUNCTION("IFERROR(VALUE(REGEXEXTRACT(TO_TEXT($F976), U$1 &amp; ""x(\d+)"")), """")"),"")</f>
        <v/>
      </c>
      <c r="V976" s="9" t="str">
        <f ca="1">IFERROR(__xludf.DUMMYFUNCTION("IFERROR(VALUE(REGEXEXTRACT(TO_TEXT($F976), V$1 &amp; ""x(\d+)"")), """")"),"")</f>
        <v/>
      </c>
      <c r="W976" s="9"/>
      <c r="X976" s="9"/>
      <c r="Y976" s="9"/>
      <c r="Z976" s="9"/>
    </row>
    <row r="977" spans="1:26" ht="15.75" hidden="1" customHeight="1">
      <c r="A977" s="9" t="s">
        <v>2046</v>
      </c>
      <c r="B977" s="9" t="s">
        <v>2047</v>
      </c>
      <c r="C977" s="9" t="s">
        <v>451</v>
      </c>
      <c r="D977" s="9" t="s">
        <v>48</v>
      </c>
      <c r="E977" s="9" t="s">
        <v>11</v>
      </c>
      <c r="F977" s="9" t="s">
        <v>2048</v>
      </c>
      <c r="G977" s="9">
        <v>25</v>
      </c>
      <c r="H977" s="9">
        <v>3</v>
      </c>
      <c r="I977" s="9">
        <v>1.0149999999999999</v>
      </c>
      <c r="J977" s="9">
        <v>52</v>
      </c>
      <c r="K977" s="9" t="s">
        <v>424</v>
      </c>
      <c r="L977" s="9"/>
      <c r="M977" s="9"/>
      <c r="N977" s="9" t="str">
        <f ca="1">IFERROR(__xludf.DUMMYFUNCTION("IFERROR(VALUE(REGEXEXTRACT(TO_TEXT($F977), N$1 &amp; ""x(\d+)"")), """")
"),"")</f>
        <v/>
      </c>
      <c r="O977" s="9" t="str">
        <f ca="1">IFERROR(__xludf.DUMMYFUNCTION("IFERROR(VALUE(REGEXEXTRACT(TO_TEXT($F977), O$1 &amp; ""x(\d+)"")), """")"),"")</f>
        <v/>
      </c>
      <c r="P977" s="9" t="str">
        <f ca="1">IFERROR(__xludf.DUMMYFUNCTION("IFERROR(VALUE(REGEXEXTRACT(TO_TEXT($F977), P$1 &amp; ""x(\d+)"")), """")"),"")</f>
        <v/>
      </c>
      <c r="Q977" s="9" t="str">
        <f ca="1">IFERROR(__xludf.DUMMYFUNCTION("IFERROR(VALUE(REGEXEXTRACT(TO_TEXT($F977), Q$1 &amp; ""x(\d+)"")), """")"),"")</f>
        <v/>
      </c>
      <c r="R977" s="9" t="str">
        <f ca="1">IFERROR(__xludf.DUMMYFUNCTION("IFERROR(VALUE(REGEXEXTRACT(TO_TEXT($F977), R$1 &amp; ""x(\d+)"")), """")"),"")</f>
        <v/>
      </c>
      <c r="S977" s="9" t="str">
        <f ca="1">IFERROR(__xludf.DUMMYFUNCTION("IFERROR(VALUE(REGEXEXTRACT(TO_TEXT($F977), S$1 &amp; ""x(\d+)"")), """")"),"")</f>
        <v/>
      </c>
      <c r="T977" s="9" t="str">
        <f ca="1">IFERROR(__xludf.DUMMYFUNCTION("IFERROR(VALUE(REGEXEXTRACT(TO_TEXT($F977), T$1 &amp; ""x(\d+)"")), """")"),"")</f>
        <v/>
      </c>
      <c r="U977" s="9" t="str">
        <f ca="1">IFERROR(__xludf.DUMMYFUNCTION("IFERROR(VALUE(REGEXEXTRACT(TO_TEXT($F977), U$1 &amp; ""x(\d+)"")), """")"),"")</f>
        <v/>
      </c>
      <c r="V977" s="9" t="str">
        <f ca="1">IFERROR(__xludf.DUMMYFUNCTION("IFERROR(VALUE(REGEXEXTRACT(TO_TEXT($F977), V$1 &amp; ""x(\d+)"")), """")"),"")</f>
        <v/>
      </c>
      <c r="W977" s="9"/>
      <c r="X977" s="9"/>
      <c r="Y977" s="9"/>
      <c r="Z977" s="9"/>
    </row>
    <row r="978" spans="1:26" ht="15.75" hidden="1" customHeight="1">
      <c r="A978" s="9" t="s">
        <v>2046</v>
      </c>
      <c r="B978" s="9" t="s">
        <v>2047</v>
      </c>
      <c r="C978" s="9" t="s">
        <v>451</v>
      </c>
      <c r="D978" s="9" t="s">
        <v>48</v>
      </c>
      <c r="E978" s="9" t="s">
        <v>12</v>
      </c>
      <c r="F978" s="9" t="s">
        <v>2049</v>
      </c>
      <c r="G978" s="9">
        <v>145</v>
      </c>
      <c r="H978" s="9">
        <v>3</v>
      </c>
      <c r="I978" s="9">
        <v>1.0149999999999999</v>
      </c>
      <c r="J978" s="9">
        <v>52</v>
      </c>
      <c r="K978" s="9" t="s">
        <v>424</v>
      </c>
      <c r="L978" s="9" t="s">
        <v>1210</v>
      </c>
      <c r="M978" s="9"/>
      <c r="N978" s="9" t="str">
        <f ca="1">IFERROR(__xludf.DUMMYFUNCTION("IFERROR(VALUE(REGEXEXTRACT(TO_TEXT($F978), N$1 &amp; ""x(\d+)"")), """")
"),"")</f>
        <v/>
      </c>
      <c r="O978" s="9" t="str">
        <f ca="1">IFERROR(__xludf.DUMMYFUNCTION("IFERROR(VALUE(REGEXEXTRACT(TO_TEXT($F978), O$1 &amp; ""x(\d+)"")), """")"),"")</f>
        <v/>
      </c>
      <c r="P978" s="9">
        <f ca="1">IFERROR(__xludf.DUMMYFUNCTION("IFERROR(VALUE(REGEXEXTRACT(TO_TEXT($F978), P$1 &amp; ""x(\d+)"")), """")"),1)</f>
        <v>1</v>
      </c>
      <c r="Q978" s="9" t="str">
        <f ca="1">IFERROR(__xludf.DUMMYFUNCTION("IFERROR(VALUE(REGEXEXTRACT(TO_TEXT($F978), Q$1 &amp; ""x(\d+)"")), """")"),"")</f>
        <v/>
      </c>
      <c r="R978" s="9" t="str">
        <f ca="1">IFERROR(__xludf.DUMMYFUNCTION("IFERROR(VALUE(REGEXEXTRACT(TO_TEXT($F978), R$1 &amp; ""x(\d+)"")), """")"),"")</f>
        <v/>
      </c>
      <c r="S978" s="9" t="str">
        <f ca="1">IFERROR(__xludf.DUMMYFUNCTION("IFERROR(VALUE(REGEXEXTRACT(TO_TEXT($F978), S$1 &amp; ""x(\d+)"")), """")"),"")</f>
        <v/>
      </c>
      <c r="T978" s="9" t="str">
        <f ca="1">IFERROR(__xludf.DUMMYFUNCTION("IFERROR(VALUE(REGEXEXTRACT(TO_TEXT($F978), T$1 &amp; ""x(\d+)"")), """")"),"")</f>
        <v/>
      </c>
      <c r="U978" s="9" t="str">
        <f ca="1">IFERROR(__xludf.DUMMYFUNCTION("IFERROR(VALUE(REGEXEXTRACT(TO_TEXT($F978), U$1 &amp; ""x(\d+)"")), """")"),"")</f>
        <v/>
      </c>
      <c r="V978" s="9" t="str">
        <f ca="1">IFERROR(__xludf.DUMMYFUNCTION("IFERROR(VALUE(REGEXEXTRACT(TO_TEXT($F978), V$1 &amp; ""x(\d+)"")), """")"),"")</f>
        <v/>
      </c>
      <c r="W978" s="9"/>
      <c r="X978" s="9"/>
      <c r="Y978" s="9"/>
      <c r="Z978" s="9"/>
    </row>
    <row r="979" spans="1:26" ht="15.75" hidden="1" customHeight="1">
      <c r="A979" s="9" t="s">
        <v>2046</v>
      </c>
      <c r="B979" s="9" t="s">
        <v>2047</v>
      </c>
      <c r="C979" s="9" t="s">
        <v>451</v>
      </c>
      <c r="D979" s="9" t="s">
        <v>48</v>
      </c>
      <c r="E979" s="9" t="s">
        <v>13</v>
      </c>
      <c r="F979" s="9" t="s">
        <v>2050</v>
      </c>
      <c r="G979" s="9">
        <v>30</v>
      </c>
      <c r="H979" s="9">
        <v>3</v>
      </c>
      <c r="I979" s="9">
        <v>1.0149999999999999</v>
      </c>
      <c r="J979" s="9">
        <v>52</v>
      </c>
      <c r="K979" s="9" t="s">
        <v>424</v>
      </c>
      <c r="L979" s="9"/>
      <c r="M979" s="9"/>
      <c r="N979" s="9" t="str">
        <f ca="1">IFERROR(__xludf.DUMMYFUNCTION("IFERROR(VALUE(REGEXEXTRACT(TO_TEXT($F979), N$1 &amp; ""x(\d+)"")), """")
"),"")</f>
        <v/>
      </c>
      <c r="O979" s="9" t="str">
        <f ca="1">IFERROR(__xludf.DUMMYFUNCTION("IFERROR(VALUE(REGEXEXTRACT(TO_TEXT($F979), O$1 &amp; ""x(\d+)"")), """")"),"")</f>
        <v/>
      </c>
      <c r="P979" s="9">
        <f ca="1">IFERROR(__xludf.DUMMYFUNCTION("IFERROR(VALUE(REGEXEXTRACT(TO_TEXT($F979), P$1 &amp; ""x(\d+)"")), """")"),1)</f>
        <v>1</v>
      </c>
      <c r="Q979" s="9" t="str">
        <f ca="1">IFERROR(__xludf.DUMMYFUNCTION("IFERROR(VALUE(REGEXEXTRACT(TO_TEXT($F979), Q$1 &amp; ""x(\d+)"")), """")"),"")</f>
        <v/>
      </c>
      <c r="R979" s="9" t="str">
        <f ca="1">IFERROR(__xludf.DUMMYFUNCTION("IFERROR(VALUE(REGEXEXTRACT(TO_TEXT($F979), R$1 &amp; ""x(\d+)"")), """")"),"")</f>
        <v/>
      </c>
      <c r="S979" s="9" t="str">
        <f ca="1">IFERROR(__xludf.DUMMYFUNCTION("IFERROR(VALUE(REGEXEXTRACT(TO_TEXT($F979), S$1 &amp; ""x(\d+)"")), """")"),"")</f>
        <v/>
      </c>
      <c r="T979" s="9" t="str">
        <f ca="1">IFERROR(__xludf.DUMMYFUNCTION("IFERROR(VALUE(REGEXEXTRACT(TO_TEXT($F979), T$1 &amp; ""x(\d+)"")), """")"),"")</f>
        <v/>
      </c>
      <c r="U979" s="9" t="str">
        <f ca="1">IFERROR(__xludf.DUMMYFUNCTION("IFERROR(VALUE(REGEXEXTRACT(TO_TEXT($F979), U$1 &amp; ""x(\d+)"")), """")"),"")</f>
        <v/>
      </c>
      <c r="V979" s="9" t="str">
        <f ca="1">IFERROR(__xludf.DUMMYFUNCTION("IFERROR(VALUE(REGEXEXTRACT(TO_TEXT($F979), V$1 &amp; ""x(\d+)"")), """")"),"")</f>
        <v/>
      </c>
      <c r="W979" s="9"/>
      <c r="X979" s="9"/>
      <c r="Y979" s="9"/>
      <c r="Z979" s="9"/>
    </row>
    <row r="980" spans="1:26" ht="15.75" hidden="1" customHeight="1">
      <c r="A980" s="9" t="s">
        <v>2046</v>
      </c>
      <c r="B980" s="9" t="s">
        <v>2047</v>
      </c>
      <c r="C980" s="9" t="s">
        <v>451</v>
      </c>
      <c r="D980" s="9" t="s">
        <v>74</v>
      </c>
      <c r="E980" s="9" t="s">
        <v>11</v>
      </c>
      <c r="F980" s="9" t="s">
        <v>2051</v>
      </c>
      <c r="G980" s="9">
        <v>25</v>
      </c>
      <c r="H980" s="9">
        <v>2</v>
      </c>
      <c r="I980" s="9">
        <v>1.0149999999999999</v>
      </c>
      <c r="J980" s="9">
        <v>103</v>
      </c>
      <c r="K980" s="9" t="s">
        <v>424</v>
      </c>
      <c r="L980" s="9"/>
      <c r="M980" s="9"/>
      <c r="N980" s="9" t="str">
        <f ca="1">IFERROR(__xludf.DUMMYFUNCTION("IFERROR(VALUE(REGEXEXTRACT(TO_TEXT($F980), N$1 &amp; ""x(\d+)"")), """")
"),"")</f>
        <v/>
      </c>
      <c r="O980" s="9" t="str">
        <f ca="1">IFERROR(__xludf.DUMMYFUNCTION("IFERROR(VALUE(REGEXEXTRACT(TO_TEXT($F980), O$1 &amp; ""x(\d+)"")), """")"),"")</f>
        <v/>
      </c>
      <c r="P980" s="9" t="str">
        <f ca="1">IFERROR(__xludf.DUMMYFUNCTION("IFERROR(VALUE(REGEXEXTRACT(TO_TEXT($F980), P$1 &amp; ""x(\d+)"")), """")"),"")</f>
        <v/>
      </c>
      <c r="Q980" s="9" t="str">
        <f ca="1">IFERROR(__xludf.DUMMYFUNCTION("IFERROR(VALUE(REGEXEXTRACT(TO_TEXT($F980), Q$1 &amp; ""x(\d+)"")), """")"),"")</f>
        <v/>
      </c>
      <c r="R980" s="9" t="str">
        <f ca="1">IFERROR(__xludf.DUMMYFUNCTION("IFERROR(VALUE(REGEXEXTRACT(TO_TEXT($F980), R$1 &amp; ""x(\d+)"")), """")"),"")</f>
        <v/>
      </c>
      <c r="S980" s="9" t="str">
        <f ca="1">IFERROR(__xludf.DUMMYFUNCTION("IFERROR(VALUE(REGEXEXTRACT(TO_TEXT($F980), S$1 &amp; ""x(\d+)"")), """")"),"")</f>
        <v/>
      </c>
      <c r="T980" s="9" t="str">
        <f ca="1">IFERROR(__xludf.DUMMYFUNCTION("IFERROR(VALUE(REGEXEXTRACT(TO_TEXT($F980), T$1 &amp; ""x(\d+)"")), """")"),"")</f>
        <v/>
      </c>
      <c r="U980" s="9" t="str">
        <f ca="1">IFERROR(__xludf.DUMMYFUNCTION("IFERROR(VALUE(REGEXEXTRACT(TO_TEXT($F980), U$1 &amp; ""x(\d+)"")), """")"),"")</f>
        <v/>
      </c>
      <c r="V980" s="9" t="str">
        <f ca="1">IFERROR(__xludf.DUMMYFUNCTION("IFERROR(VALUE(REGEXEXTRACT(TO_TEXT($F980), V$1 &amp; ""x(\d+)"")), """")"),"")</f>
        <v/>
      </c>
      <c r="W980" s="9"/>
      <c r="X980" s="9"/>
      <c r="Y980" s="9"/>
      <c r="Z980" s="9"/>
    </row>
    <row r="981" spans="1:26" ht="15.75" hidden="1" customHeight="1">
      <c r="A981" s="9" t="s">
        <v>2046</v>
      </c>
      <c r="B981" s="9" t="s">
        <v>2047</v>
      </c>
      <c r="C981" s="9" t="s">
        <v>451</v>
      </c>
      <c r="D981" s="9" t="s">
        <v>74</v>
      </c>
      <c r="E981" s="9" t="s">
        <v>12</v>
      </c>
      <c r="F981" s="9" t="s">
        <v>1316</v>
      </c>
      <c r="G981" s="9">
        <v>190</v>
      </c>
      <c r="H981" s="9">
        <v>2</v>
      </c>
      <c r="I981" s="9">
        <v>1.0149999999999999</v>
      </c>
      <c r="J981" s="9">
        <v>103</v>
      </c>
      <c r="K981" s="9" t="s">
        <v>424</v>
      </c>
      <c r="L981" s="9" t="s">
        <v>1210</v>
      </c>
      <c r="M981" s="9"/>
      <c r="N981" s="9" t="str">
        <f ca="1">IFERROR(__xludf.DUMMYFUNCTION("IFERROR(VALUE(REGEXEXTRACT(TO_TEXT($F981), N$1 &amp; ""x(\d+)"")), """")
"),"")</f>
        <v/>
      </c>
      <c r="O981" s="9" t="str">
        <f ca="1">IFERROR(__xludf.DUMMYFUNCTION("IFERROR(VALUE(REGEXEXTRACT(TO_TEXT($F981), O$1 &amp; ""x(\d+)"")), """")"),"")</f>
        <v/>
      </c>
      <c r="P981" s="9" t="str">
        <f ca="1">IFERROR(__xludf.DUMMYFUNCTION("IFERROR(VALUE(REGEXEXTRACT(TO_TEXT($F981), P$1 &amp; ""x(\d+)"")), """")"),"")</f>
        <v/>
      </c>
      <c r="Q981" s="9">
        <f ca="1">IFERROR(__xludf.DUMMYFUNCTION("IFERROR(VALUE(REGEXEXTRACT(TO_TEXT($F981), Q$1 &amp; ""x(\d+)"")), """")"),1)</f>
        <v>1</v>
      </c>
      <c r="R981" s="9" t="str">
        <f ca="1">IFERROR(__xludf.DUMMYFUNCTION("IFERROR(VALUE(REGEXEXTRACT(TO_TEXT($F981), R$1 &amp; ""x(\d+)"")), """")"),"")</f>
        <v/>
      </c>
      <c r="S981" s="9" t="str">
        <f ca="1">IFERROR(__xludf.DUMMYFUNCTION("IFERROR(VALUE(REGEXEXTRACT(TO_TEXT($F981), S$1 &amp; ""x(\d+)"")), """")"),"")</f>
        <v/>
      </c>
      <c r="T981" s="9" t="str">
        <f ca="1">IFERROR(__xludf.DUMMYFUNCTION("IFERROR(VALUE(REGEXEXTRACT(TO_TEXT($F981), T$1 &amp; ""x(\d+)"")), """")"),"")</f>
        <v/>
      </c>
      <c r="U981" s="9" t="str">
        <f ca="1">IFERROR(__xludf.DUMMYFUNCTION("IFERROR(VALUE(REGEXEXTRACT(TO_TEXT($F981), U$1 &amp; ""x(\d+)"")), """")"),"")</f>
        <v/>
      </c>
      <c r="V981" s="9" t="str">
        <f ca="1">IFERROR(__xludf.DUMMYFUNCTION("IFERROR(VALUE(REGEXEXTRACT(TO_TEXT($F981), V$1 &amp; ""x(\d+)"")), """")"),"")</f>
        <v/>
      </c>
      <c r="W981" s="9"/>
      <c r="X981" s="9"/>
      <c r="Y981" s="9"/>
      <c r="Z981" s="9"/>
    </row>
    <row r="982" spans="1:26" ht="15.75" hidden="1" customHeight="1">
      <c r="A982" s="9" t="s">
        <v>2046</v>
      </c>
      <c r="B982" s="9" t="s">
        <v>2047</v>
      </c>
      <c r="C982" s="9" t="s">
        <v>451</v>
      </c>
      <c r="D982" s="9" t="s">
        <v>74</v>
      </c>
      <c r="E982" s="9" t="s">
        <v>13</v>
      </c>
      <c r="F982" s="9" t="s">
        <v>1125</v>
      </c>
      <c r="G982" s="9">
        <v>40</v>
      </c>
      <c r="H982" s="9">
        <v>2</v>
      </c>
      <c r="I982" s="9">
        <v>1.0149999999999999</v>
      </c>
      <c r="J982" s="9">
        <v>103</v>
      </c>
      <c r="K982" s="9" t="s">
        <v>424</v>
      </c>
      <c r="L982" s="9"/>
      <c r="M982" s="9"/>
      <c r="N982" s="9" t="str">
        <f ca="1">IFERROR(__xludf.DUMMYFUNCTION("IFERROR(VALUE(REGEXEXTRACT(TO_TEXT($F982), N$1 &amp; ""x(\d+)"")), """")
"),"")</f>
        <v/>
      </c>
      <c r="O982" s="9" t="str">
        <f ca="1">IFERROR(__xludf.DUMMYFUNCTION("IFERROR(VALUE(REGEXEXTRACT(TO_TEXT($F982), O$1 &amp; ""x(\d+)"")), """")"),"")</f>
        <v/>
      </c>
      <c r="P982" s="9" t="str">
        <f ca="1">IFERROR(__xludf.DUMMYFUNCTION("IFERROR(VALUE(REGEXEXTRACT(TO_TEXT($F982), P$1 &amp; ""x(\d+)"")), """")"),"")</f>
        <v/>
      </c>
      <c r="Q982" s="9">
        <f ca="1">IFERROR(__xludf.DUMMYFUNCTION("IFERROR(VALUE(REGEXEXTRACT(TO_TEXT($F982), Q$1 &amp; ""x(\d+)"")), """")"),1)</f>
        <v>1</v>
      </c>
      <c r="R982" s="9" t="str">
        <f ca="1">IFERROR(__xludf.DUMMYFUNCTION("IFERROR(VALUE(REGEXEXTRACT(TO_TEXT($F982), R$1 &amp; ""x(\d+)"")), """")"),"")</f>
        <v/>
      </c>
      <c r="S982" s="9" t="str">
        <f ca="1">IFERROR(__xludf.DUMMYFUNCTION("IFERROR(VALUE(REGEXEXTRACT(TO_TEXT($F982), S$1 &amp; ""x(\d+)"")), """")"),"")</f>
        <v/>
      </c>
      <c r="T982" s="9" t="str">
        <f ca="1">IFERROR(__xludf.DUMMYFUNCTION("IFERROR(VALUE(REGEXEXTRACT(TO_TEXT($F982), T$1 &amp; ""x(\d+)"")), """")"),"")</f>
        <v/>
      </c>
      <c r="U982" s="9" t="str">
        <f ca="1">IFERROR(__xludf.DUMMYFUNCTION("IFERROR(VALUE(REGEXEXTRACT(TO_TEXT($F982), U$1 &amp; ""x(\d+)"")), """")"),"")</f>
        <v/>
      </c>
      <c r="V982" s="9" t="str">
        <f ca="1">IFERROR(__xludf.DUMMYFUNCTION("IFERROR(VALUE(REGEXEXTRACT(TO_TEXT($F982), V$1 &amp; ""x(\d+)"")), """")"),"")</f>
        <v/>
      </c>
      <c r="W982" s="9"/>
      <c r="X982" s="9"/>
      <c r="Y982" s="9"/>
      <c r="Z982" s="9"/>
    </row>
    <row r="983" spans="1:26" ht="15.75" hidden="1" customHeight="1">
      <c r="A983" s="9" t="s">
        <v>2052</v>
      </c>
      <c r="B983" s="9" t="s">
        <v>2053</v>
      </c>
      <c r="C983" s="9" t="s">
        <v>554</v>
      </c>
      <c r="D983" s="9" t="s">
        <v>48</v>
      </c>
      <c r="E983" s="9" t="s">
        <v>11</v>
      </c>
      <c r="F983" s="9" t="s">
        <v>1353</v>
      </c>
      <c r="G983" s="9">
        <v>30</v>
      </c>
      <c r="H983" s="9">
        <v>6</v>
      </c>
      <c r="I983" s="9">
        <v>1.0149999999999999</v>
      </c>
      <c r="J983" s="9">
        <v>52</v>
      </c>
      <c r="K983" s="9" t="s">
        <v>424</v>
      </c>
      <c r="L983" s="9"/>
      <c r="M983" s="9"/>
      <c r="N983" s="9" t="str">
        <f ca="1">IFERROR(__xludf.DUMMYFUNCTION("IFERROR(VALUE(REGEXEXTRACT(TO_TEXT($F983), N$1 &amp; ""x(\d+)"")), """")
"),"")</f>
        <v/>
      </c>
      <c r="O983" s="9" t="str">
        <f ca="1">IFERROR(__xludf.DUMMYFUNCTION("IFERROR(VALUE(REGEXEXTRACT(TO_TEXT($F983), O$1 &amp; ""x(\d+)"")), """")"),"")</f>
        <v/>
      </c>
      <c r="P983" s="9" t="str">
        <f ca="1">IFERROR(__xludf.DUMMYFUNCTION("IFERROR(VALUE(REGEXEXTRACT(TO_TEXT($F983), P$1 &amp; ""x(\d+)"")), """")"),"")</f>
        <v/>
      </c>
      <c r="Q983" s="9" t="str">
        <f ca="1">IFERROR(__xludf.DUMMYFUNCTION("IFERROR(VALUE(REGEXEXTRACT(TO_TEXT($F983), Q$1 &amp; ""x(\d+)"")), """")"),"")</f>
        <v/>
      </c>
      <c r="R983" s="9" t="str">
        <f ca="1">IFERROR(__xludf.DUMMYFUNCTION("IFERROR(VALUE(REGEXEXTRACT(TO_TEXT($F983), R$1 &amp; ""x(\d+)"")), """")"),"")</f>
        <v/>
      </c>
      <c r="S983" s="9" t="str">
        <f ca="1">IFERROR(__xludf.DUMMYFUNCTION("IFERROR(VALUE(REGEXEXTRACT(TO_TEXT($F983), S$1 &amp; ""x(\d+)"")), """")"),"")</f>
        <v/>
      </c>
      <c r="T983" s="9" t="str">
        <f ca="1">IFERROR(__xludf.DUMMYFUNCTION("IFERROR(VALUE(REGEXEXTRACT(TO_TEXT($F983), T$1 &amp; ""x(\d+)"")), """")"),"")</f>
        <v/>
      </c>
      <c r="U983" s="9" t="str">
        <f ca="1">IFERROR(__xludf.DUMMYFUNCTION("IFERROR(VALUE(REGEXEXTRACT(TO_TEXT($F983), U$1 &amp; ""x(\d+)"")), """")"),"")</f>
        <v/>
      </c>
      <c r="V983" s="9" t="str">
        <f ca="1">IFERROR(__xludf.DUMMYFUNCTION("IFERROR(VALUE(REGEXEXTRACT(TO_TEXT($F983), V$1 &amp; ""x(\d+)"")), """")"),"")</f>
        <v/>
      </c>
      <c r="W983" s="9"/>
      <c r="X983" s="9"/>
      <c r="Y983" s="9"/>
      <c r="Z983" s="9"/>
    </row>
    <row r="984" spans="1:26" ht="15.75" hidden="1" customHeight="1">
      <c r="A984" s="9" t="s">
        <v>2052</v>
      </c>
      <c r="B984" s="9" t="s">
        <v>2053</v>
      </c>
      <c r="C984" s="9" t="s">
        <v>554</v>
      </c>
      <c r="D984" s="9" t="s">
        <v>48</v>
      </c>
      <c r="E984" s="9" t="s">
        <v>12</v>
      </c>
      <c r="F984" s="9" t="s">
        <v>2054</v>
      </c>
      <c r="G984" s="9">
        <v>140</v>
      </c>
      <c r="H984" s="9">
        <v>6</v>
      </c>
      <c r="I984" s="9">
        <v>1.0149999999999999</v>
      </c>
      <c r="J984" s="9">
        <v>52</v>
      </c>
      <c r="K984" s="9" t="s">
        <v>424</v>
      </c>
      <c r="L984" s="9" t="s">
        <v>1015</v>
      </c>
      <c r="M984" s="9"/>
      <c r="N984" s="9" t="str">
        <f ca="1">IFERROR(__xludf.DUMMYFUNCTION("IFERROR(VALUE(REGEXEXTRACT(TO_TEXT($F984), N$1 &amp; ""x(\d+)"")), """")
"),"")</f>
        <v/>
      </c>
      <c r="O984" s="9" t="str">
        <f ca="1">IFERROR(__xludf.DUMMYFUNCTION("IFERROR(VALUE(REGEXEXTRACT(TO_TEXT($F984), O$1 &amp; ""x(\d+)"")), """")"),"")</f>
        <v/>
      </c>
      <c r="P984" s="9">
        <f ca="1">IFERROR(__xludf.DUMMYFUNCTION("IFERROR(VALUE(REGEXEXTRACT(TO_TEXT($F984), P$1 &amp; ""x(\d+)"")), """")"),1)</f>
        <v>1</v>
      </c>
      <c r="Q984" s="9" t="str">
        <f ca="1">IFERROR(__xludf.DUMMYFUNCTION("IFERROR(VALUE(REGEXEXTRACT(TO_TEXT($F984), Q$1 &amp; ""x(\d+)"")), """")"),"")</f>
        <v/>
      </c>
      <c r="R984" s="9" t="str">
        <f ca="1">IFERROR(__xludf.DUMMYFUNCTION("IFERROR(VALUE(REGEXEXTRACT(TO_TEXT($F984), R$1 &amp; ""x(\d+)"")), """")"),"")</f>
        <v/>
      </c>
      <c r="S984" s="9" t="str">
        <f ca="1">IFERROR(__xludf.DUMMYFUNCTION("IFERROR(VALUE(REGEXEXTRACT(TO_TEXT($F984), S$1 &amp; ""x(\d+)"")), """")"),"")</f>
        <v/>
      </c>
      <c r="T984" s="9">
        <f ca="1">IFERROR(__xludf.DUMMYFUNCTION("IFERROR(VALUE(REGEXEXTRACT(TO_TEXT($F984), T$1 &amp; ""x(\d+)"")), """")"),1)</f>
        <v>1</v>
      </c>
      <c r="U984" s="9" t="str">
        <f ca="1">IFERROR(__xludf.DUMMYFUNCTION("IFERROR(VALUE(REGEXEXTRACT(TO_TEXT($F984), U$1 &amp; ""x(\d+)"")), """")"),"")</f>
        <v/>
      </c>
      <c r="V984" s="9" t="str">
        <f ca="1">IFERROR(__xludf.DUMMYFUNCTION("IFERROR(VALUE(REGEXEXTRACT(TO_TEXT($F984), V$1 &amp; ""x(\d+)"")), """")"),"")</f>
        <v/>
      </c>
      <c r="W984" s="9"/>
      <c r="X984" s="9"/>
      <c r="Y984" s="9"/>
      <c r="Z984" s="9"/>
    </row>
    <row r="985" spans="1:26" ht="15.75" hidden="1" customHeight="1">
      <c r="A985" s="9" t="s">
        <v>2052</v>
      </c>
      <c r="B985" s="9" t="s">
        <v>2053</v>
      </c>
      <c r="C985" s="9" t="s">
        <v>554</v>
      </c>
      <c r="D985" s="9" t="s">
        <v>48</v>
      </c>
      <c r="E985" s="9" t="s">
        <v>13</v>
      </c>
      <c r="F985" s="9" t="s">
        <v>1359</v>
      </c>
      <c r="G985" s="9">
        <v>30</v>
      </c>
      <c r="H985" s="9">
        <v>6</v>
      </c>
      <c r="I985" s="9">
        <v>1.0149999999999999</v>
      </c>
      <c r="J985" s="9">
        <v>52</v>
      </c>
      <c r="K985" s="9" t="s">
        <v>424</v>
      </c>
      <c r="L985" s="9"/>
      <c r="M985" s="9"/>
      <c r="N985" s="9" t="str">
        <f ca="1">IFERROR(__xludf.DUMMYFUNCTION("IFERROR(VALUE(REGEXEXTRACT(TO_TEXT($F985), N$1 &amp; ""x(\d+)"")), """")
"),"")</f>
        <v/>
      </c>
      <c r="O985" s="9" t="str">
        <f ca="1">IFERROR(__xludf.DUMMYFUNCTION("IFERROR(VALUE(REGEXEXTRACT(TO_TEXT($F985), O$1 &amp; ""x(\d+)"")), """")"),"")</f>
        <v/>
      </c>
      <c r="P985" s="9">
        <f ca="1">IFERROR(__xludf.DUMMYFUNCTION("IFERROR(VALUE(REGEXEXTRACT(TO_TEXT($F985), P$1 &amp; ""x(\d+)"")), """")"),1)</f>
        <v>1</v>
      </c>
      <c r="Q985" s="9" t="str">
        <f ca="1">IFERROR(__xludf.DUMMYFUNCTION("IFERROR(VALUE(REGEXEXTRACT(TO_TEXT($F985), Q$1 &amp; ""x(\d+)"")), """")"),"")</f>
        <v/>
      </c>
      <c r="R985" s="9" t="str">
        <f ca="1">IFERROR(__xludf.DUMMYFUNCTION("IFERROR(VALUE(REGEXEXTRACT(TO_TEXT($F985), R$1 &amp; ""x(\d+)"")), """")"),"")</f>
        <v/>
      </c>
      <c r="S985" s="9" t="str">
        <f ca="1">IFERROR(__xludf.DUMMYFUNCTION("IFERROR(VALUE(REGEXEXTRACT(TO_TEXT($F985), S$1 &amp; ""x(\d+)"")), """")"),"")</f>
        <v/>
      </c>
      <c r="T985" s="9">
        <f ca="1">IFERROR(__xludf.DUMMYFUNCTION("IFERROR(VALUE(REGEXEXTRACT(TO_TEXT($F985), T$1 &amp; ""x(\d+)"")), """")"),1)</f>
        <v>1</v>
      </c>
      <c r="U985" s="9" t="str">
        <f ca="1">IFERROR(__xludf.DUMMYFUNCTION("IFERROR(VALUE(REGEXEXTRACT(TO_TEXT($F985), U$1 &amp; ""x(\d+)"")), """")"),"")</f>
        <v/>
      </c>
      <c r="V985" s="9" t="str">
        <f ca="1">IFERROR(__xludf.DUMMYFUNCTION("IFERROR(VALUE(REGEXEXTRACT(TO_TEXT($F985), V$1 &amp; ""x(\d+)"")), """")"),"")</f>
        <v/>
      </c>
      <c r="W985" s="9"/>
      <c r="X985" s="9"/>
      <c r="Y985" s="9"/>
      <c r="Z985" s="9"/>
    </row>
    <row r="986" spans="1:26" ht="15.75" hidden="1" customHeight="1">
      <c r="A986" s="9" t="s">
        <v>2055</v>
      </c>
      <c r="B986" s="9" t="s">
        <v>2056</v>
      </c>
      <c r="C986" s="9" t="s">
        <v>453</v>
      </c>
      <c r="D986" s="9" t="s">
        <v>48</v>
      </c>
      <c r="E986" s="9" t="s">
        <v>11</v>
      </c>
      <c r="F986" s="9" t="s">
        <v>2057</v>
      </c>
      <c r="G986" s="9">
        <v>30</v>
      </c>
      <c r="H986" s="9">
        <v>5</v>
      </c>
      <c r="I986" s="9">
        <v>1.0149999999999999</v>
      </c>
      <c r="J986" s="9">
        <v>52</v>
      </c>
      <c r="K986" s="9" t="s">
        <v>424</v>
      </c>
      <c r="L986" s="9"/>
      <c r="M986" s="9"/>
      <c r="N986" s="9">
        <f ca="1">IFERROR(__xludf.DUMMYFUNCTION("IFERROR(VALUE(REGEXEXTRACT(TO_TEXT($F986), N$1 &amp; ""x(\d+)"")), """")
"),1)</f>
        <v>1</v>
      </c>
      <c r="O986" s="9" t="str">
        <f ca="1">IFERROR(__xludf.DUMMYFUNCTION("IFERROR(VALUE(REGEXEXTRACT(TO_TEXT($F986), O$1 &amp; ""x(\d+)"")), """")"),"")</f>
        <v/>
      </c>
      <c r="P986" s="9" t="str">
        <f ca="1">IFERROR(__xludf.DUMMYFUNCTION("IFERROR(VALUE(REGEXEXTRACT(TO_TEXT($F986), P$1 &amp; ""x(\d+)"")), """")"),"")</f>
        <v/>
      </c>
      <c r="Q986" s="9" t="str">
        <f ca="1">IFERROR(__xludf.DUMMYFUNCTION("IFERROR(VALUE(REGEXEXTRACT(TO_TEXT($F986), Q$1 &amp; ""x(\d+)"")), """")"),"")</f>
        <v/>
      </c>
      <c r="R986" s="9" t="str">
        <f ca="1">IFERROR(__xludf.DUMMYFUNCTION("IFERROR(VALUE(REGEXEXTRACT(TO_TEXT($F986), R$1 &amp; ""x(\d+)"")), """")"),"")</f>
        <v/>
      </c>
      <c r="S986" s="9" t="str">
        <f ca="1">IFERROR(__xludf.DUMMYFUNCTION("IFERROR(VALUE(REGEXEXTRACT(TO_TEXT($F986), S$1 &amp; ""x(\d+)"")), """")"),"")</f>
        <v/>
      </c>
      <c r="T986" s="9" t="str">
        <f ca="1">IFERROR(__xludf.DUMMYFUNCTION("IFERROR(VALUE(REGEXEXTRACT(TO_TEXT($F986), T$1 &amp; ""x(\d+)"")), """")"),"")</f>
        <v/>
      </c>
      <c r="U986" s="9" t="str">
        <f ca="1">IFERROR(__xludf.DUMMYFUNCTION("IFERROR(VALUE(REGEXEXTRACT(TO_TEXT($F986), U$1 &amp; ""x(\d+)"")), """")"),"")</f>
        <v/>
      </c>
      <c r="V986" s="9" t="str">
        <f ca="1">IFERROR(__xludf.DUMMYFUNCTION("IFERROR(VALUE(REGEXEXTRACT(TO_TEXT($F986), V$1 &amp; ""x(\d+)"")), """")"),"")</f>
        <v/>
      </c>
      <c r="W986" s="9"/>
      <c r="X986" s="9"/>
      <c r="Y986" s="9"/>
      <c r="Z986" s="9"/>
    </row>
    <row r="987" spans="1:26" ht="15.75" hidden="1" customHeight="1">
      <c r="A987" s="9" t="s">
        <v>2055</v>
      </c>
      <c r="B987" s="9" t="s">
        <v>2056</v>
      </c>
      <c r="C987" s="9" t="s">
        <v>453</v>
      </c>
      <c r="D987" s="9" t="s">
        <v>48</v>
      </c>
      <c r="E987" s="9" t="s">
        <v>12</v>
      </c>
      <c r="F987" s="9" t="s">
        <v>2058</v>
      </c>
      <c r="G987" s="9">
        <v>125</v>
      </c>
      <c r="H987" s="9">
        <v>5</v>
      </c>
      <c r="I987" s="9">
        <v>1.0149999999999999</v>
      </c>
      <c r="J987" s="9">
        <v>52</v>
      </c>
      <c r="K987" s="9" t="s">
        <v>424</v>
      </c>
      <c r="L987" s="9" t="s">
        <v>2059</v>
      </c>
      <c r="M987" s="9"/>
      <c r="N987" s="9" t="str">
        <f ca="1">IFERROR(__xludf.DUMMYFUNCTION("IFERROR(VALUE(REGEXEXTRACT(TO_TEXT($F987), N$1 &amp; ""x(\d+)"")), """")
"),"")</f>
        <v/>
      </c>
      <c r="O987" s="9" t="str">
        <f ca="1">IFERROR(__xludf.DUMMYFUNCTION("IFERROR(VALUE(REGEXEXTRACT(TO_TEXT($F987), O$1 &amp; ""x(\d+)"")), """")"),"")</f>
        <v/>
      </c>
      <c r="P987" s="9">
        <f ca="1">IFERROR(__xludf.DUMMYFUNCTION("IFERROR(VALUE(REGEXEXTRACT(TO_TEXT($F987), P$1 &amp; ""x(\d+)"")), """")"),1)</f>
        <v>1</v>
      </c>
      <c r="Q987" s="9" t="str">
        <f ca="1">IFERROR(__xludf.DUMMYFUNCTION("IFERROR(VALUE(REGEXEXTRACT(TO_TEXT($F987), Q$1 &amp; ""x(\d+)"")), """")"),"")</f>
        <v/>
      </c>
      <c r="R987" s="9">
        <f ca="1">IFERROR(__xludf.DUMMYFUNCTION("IFERROR(VALUE(REGEXEXTRACT(TO_TEXT($F987), R$1 &amp; ""x(\d+)"")), """")"),1)</f>
        <v>1</v>
      </c>
      <c r="S987" s="9" t="str">
        <f ca="1">IFERROR(__xludf.DUMMYFUNCTION("IFERROR(VALUE(REGEXEXTRACT(TO_TEXT($F987), S$1 &amp; ""x(\d+)"")), """")"),"")</f>
        <v/>
      </c>
      <c r="T987" s="9">
        <f ca="1">IFERROR(__xludf.DUMMYFUNCTION("IFERROR(VALUE(REGEXEXTRACT(TO_TEXT($F987), T$1 &amp; ""x(\d+)"")), """")"),1)</f>
        <v>1</v>
      </c>
      <c r="U987" s="9" t="str">
        <f ca="1">IFERROR(__xludf.DUMMYFUNCTION("IFERROR(VALUE(REGEXEXTRACT(TO_TEXT($F987), U$1 &amp; ""x(\d+)"")), """")"),"")</f>
        <v/>
      </c>
      <c r="V987" s="9" t="str">
        <f ca="1">IFERROR(__xludf.DUMMYFUNCTION("IFERROR(VALUE(REGEXEXTRACT(TO_TEXT($F987), V$1 &amp; ""x(\d+)"")), """")"),"")</f>
        <v/>
      </c>
      <c r="W987" s="9"/>
      <c r="X987" s="9"/>
      <c r="Y987" s="9"/>
      <c r="Z987" s="9"/>
    </row>
    <row r="988" spans="1:26" ht="15.75" hidden="1" customHeight="1">
      <c r="A988" s="9" t="s">
        <v>2055</v>
      </c>
      <c r="B988" s="9" t="s">
        <v>2056</v>
      </c>
      <c r="C988" s="9" t="s">
        <v>453</v>
      </c>
      <c r="D988" s="9" t="s">
        <v>48</v>
      </c>
      <c r="E988" s="9" t="s">
        <v>13</v>
      </c>
      <c r="F988" s="9" t="s">
        <v>1201</v>
      </c>
      <c r="G988" s="9">
        <v>30</v>
      </c>
      <c r="H988" s="9">
        <v>5</v>
      </c>
      <c r="I988" s="9">
        <v>1.0149999999999999</v>
      </c>
      <c r="J988" s="9">
        <v>52</v>
      </c>
      <c r="K988" s="9" t="s">
        <v>424</v>
      </c>
      <c r="L988" s="9"/>
      <c r="M988" s="9"/>
      <c r="N988" s="9" t="str">
        <f ca="1">IFERROR(__xludf.DUMMYFUNCTION("IFERROR(VALUE(REGEXEXTRACT(TO_TEXT($F988), N$1 &amp; ""x(\d+)"")), """")
"),"")</f>
        <v/>
      </c>
      <c r="O988" s="9" t="str">
        <f ca="1">IFERROR(__xludf.DUMMYFUNCTION("IFERROR(VALUE(REGEXEXTRACT(TO_TEXT($F988), O$1 &amp; ""x(\d+)"")), """")"),"")</f>
        <v/>
      </c>
      <c r="P988" s="9">
        <f ca="1">IFERROR(__xludf.DUMMYFUNCTION("IFERROR(VALUE(REGEXEXTRACT(TO_TEXT($F988), P$1 &amp; ""x(\d+)"")), """")"),1)</f>
        <v>1</v>
      </c>
      <c r="Q988" s="9" t="str">
        <f ca="1">IFERROR(__xludf.DUMMYFUNCTION("IFERROR(VALUE(REGEXEXTRACT(TO_TEXT($F988), Q$1 &amp; ""x(\d+)"")), """")"),"")</f>
        <v/>
      </c>
      <c r="R988" s="9" t="str">
        <f ca="1">IFERROR(__xludf.DUMMYFUNCTION("IFERROR(VALUE(REGEXEXTRACT(TO_TEXT($F988), R$1 &amp; ""x(\d+)"")), """")"),"")</f>
        <v/>
      </c>
      <c r="S988" s="9" t="str">
        <f ca="1">IFERROR(__xludf.DUMMYFUNCTION("IFERROR(VALUE(REGEXEXTRACT(TO_TEXT($F988), S$1 &amp; ""x(\d+)"")), """")"),"")</f>
        <v/>
      </c>
      <c r="T988" s="9" t="str">
        <f ca="1">IFERROR(__xludf.DUMMYFUNCTION("IFERROR(VALUE(REGEXEXTRACT(TO_TEXT($F988), T$1 &amp; ""x(\d+)"")), """")"),"")</f>
        <v/>
      </c>
      <c r="U988" s="9" t="str">
        <f ca="1">IFERROR(__xludf.DUMMYFUNCTION("IFERROR(VALUE(REGEXEXTRACT(TO_TEXT($F988), U$1 &amp; ""x(\d+)"")), """")"),"")</f>
        <v/>
      </c>
      <c r="V988" s="9" t="str">
        <f ca="1">IFERROR(__xludf.DUMMYFUNCTION("IFERROR(VALUE(REGEXEXTRACT(TO_TEXT($F988), V$1 &amp; ""x(\d+)"")), """")"),"")</f>
        <v/>
      </c>
      <c r="W988" s="9"/>
      <c r="X988" s="9"/>
      <c r="Y988" s="9"/>
      <c r="Z988" s="9"/>
    </row>
    <row r="989" spans="1:26" ht="15.75" hidden="1" customHeight="1">
      <c r="A989" s="9" t="s">
        <v>2055</v>
      </c>
      <c r="B989" s="9" t="s">
        <v>2056</v>
      </c>
      <c r="C989" s="9" t="s">
        <v>453</v>
      </c>
      <c r="D989" s="9" t="s">
        <v>74</v>
      </c>
      <c r="E989" s="9" t="s">
        <v>11</v>
      </c>
      <c r="F989" s="9" t="s">
        <v>1315</v>
      </c>
      <c r="G989" s="9">
        <v>25</v>
      </c>
      <c r="H989" s="9">
        <v>2</v>
      </c>
      <c r="I989" s="9">
        <v>1.0149999999999999</v>
      </c>
      <c r="J989" s="9">
        <v>103</v>
      </c>
      <c r="K989" s="9" t="s">
        <v>424</v>
      </c>
      <c r="L989" s="9"/>
      <c r="M989" s="9"/>
      <c r="N989" s="9" t="str">
        <f ca="1">IFERROR(__xludf.DUMMYFUNCTION("IFERROR(VALUE(REGEXEXTRACT(TO_TEXT($F989), N$1 &amp; ""x(\d+)"")), """")
"),"")</f>
        <v/>
      </c>
      <c r="O989" s="9" t="str">
        <f ca="1">IFERROR(__xludf.DUMMYFUNCTION("IFERROR(VALUE(REGEXEXTRACT(TO_TEXT($F989), O$1 &amp; ""x(\d+)"")), """")"),"")</f>
        <v/>
      </c>
      <c r="P989" s="9" t="str">
        <f ca="1">IFERROR(__xludf.DUMMYFUNCTION("IFERROR(VALUE(REGEXEXTRACT(TO_TEXT($F989), P$1 &amp; ""x(\d+)"")), """")"),"")</f>
        <v/>
      </c>
      <c r="Q989" s="9" t="str">
        <f ca="1">IFERROR(__xludf.DUMMYFUNCTION("IFERROR(VALUE(REGEXEXTRACT(TO_TEXT($F989), Q$1 &amp; ""x(\d+)"")), """")"),"")</f>
        <v/>
      </c>
      <c r="R989" s="9" t="str">
        <f ca="1">IFERROR(__xludf.DUMMYFUNCTION("IFERROR(VALUE(REGEXEXTRACT(TO_TEXT($F989), R$1 &amp; ""x(\d+)"")), """")"),"")</f>
        <v/>
      </c>
      <c r="S989" s="9" t="str">
        <f ca="1">IFERROR(__xludf.DUMMYFUNCTION("IFERROR(VALUE(REGEXEXTRACT(TO_TEXT($F989), S$1 &amp; ""x(\d+)"")), """")"),"")</f>
        <v/>
      </c>
      <c r="T989" s="9" t="str">
        <f ca="1">IFERROR(__xludf.DUMMYFUNCTION("IFERROR(VALUE(REGEXEXTRACT(TO_TEXT($F989), T$1 &amp; ""x(\d+)"")), """")"),"")</f>
        <v/>
      </c>
      <c r="U989" s="9" t="str">
        <f ca="1">IFERROR(__xludf.DUMMYFUNCTION("IFERROR(VALUE(REGEXEXTRACT(TO_TEXT($F989), U$1 &amp; ""x(\d+)"")), """")"),"")</f>
        <v/>
      </c>
      <c r="V989" s="9" t="str">
        <f ca="1">IFERROR(__xludf.DUMMYFUNCTION("IFERROR(VALUE(REGEXEXTRACT(TO_TEXT($F989), V$1 &amp; ""x(\d+)"")), """")"),"")</f>
        <v/>
      </c>
      <c r="W989" s="9"/>
      <c r="X989" s="9"/>
      <c r="Y989" s="9"/>
      <c r="Z989" s="9"/>
    </row>
    <row r="990" spans="1:26" ht="15.75" hidden="1" customHeight="1">
      <c r="A990" s="9" t="s">
        <v>2055</v>
      </c>
      <c r="B990" s="9" t="s">
        <v>2056</v>
      </c>
      <c r="C990" s="9" t="s">
        <v>453</v>
      </c>
      <c r="D990" s="9" t="s">
        <v>74</v>
      </c>
      <c r="E990" s="9" t="s">
        <v>12</v>
      </c>
      <c r="F990" s="9" t="s">
        <v>1124</v>
      </c>
      <c r="G990" s="9">
        <v>180</v>
      </c>
      <c r="H990" s="9">
        <v>2</v>
      </c>
      <c r="I990" s="9">
        <v>1.0149999999999999</v>
      </c>
      <c r="J990" s="9">
        <v>103</v>
      </c>
      <c r="K990" s="9" t="s">
        <v>424</v>
      </c>
      <c r="L990" s="9" t="s">
        <v>1210</v>
      </c>
      <c r="M990" s="9"/>
      <c r="N990" s="9" t="str">
        <f ca="1">IFERROR(__xludf.DUMMYFUNCTION("IFERROR(VALUE(REGEXEXTRACT(TO_TEXT($F990), N$1 &amp; ""x(\d+)"")), """")
"),"")</f>
        <v/>
      </c>
      <c r="O990" s="9" t="str">
        <f ca="1">IFERROR(__xludf.DUMMYFUNCTION("IFERROR(VALUE(REGEXEXTRACT(TO_TEXT($F990), O$1 &amp; ""x(\d+)"")), """")"),"")</f>
        <v/>
      </c>
      <c r="P990" s="9" t="str">
        <f ca="1">IFERROR(__xludf.DUMMYFUNCTION("IFERROR(VALUE(REGEXEXTRACT(TO_TEXT($F990), P$1 &amp; ""x(\d+)"")), """")"),"")</f>
        <v/>
      </c>
      <c r="Q990" s="9">
        <f ca="1">IFERROR(__xludf.DUMMYFUNCTION("IFERROR(VALUE(REGEXEXTRACT(TO_TEXT($F990), Q$1 &amp; ""x(\d+)"")), """")"),1)</f>
        <v>1</v>
      </c>
      <c r="R990" s="9" t="str">
        <f ca="1">IFERROR(__xludf.DUMMYFUNCTION("IFERROR(VALUE(REGEXEXTRACT(TO_TEXT($F990), R$1 &amp; ""x(\d+)"")), """")"),"")</f>
        <v/>
      </c>
      <c r="S990" s="9" t="str">
        <f ca="1">IFERROR(__xludf.DUMMYFUNCTION("IFERROR(VALUE(REGEXEXTRACT(TO_TEXT($F990), S$1 &amp; ""x(\d+)"")), """")"),"")</f>
        <v/>
      </c>
      <c r="T990" s="9" t="str">
        <f ca="1">IFERROR(__xludf.DUMMYFUNCTION("IFERROR(VALUE(REGEXEXTRACT(TO_TEXT($F990), T$1 &amp; ""x(\d+)"")), """")"),"")</f>
        <v/>
      </c>
      <c r="U990" s="9" t="str">
        <f ca="1">IFERROR(__xludf.DUMMYFUNCTION("IFERROR(VALUE(REGEXEXTRACT(TO_TEXT($F990), U$1 &amp; ""x(\d+)"")), """")"),"")</f>
        <v/>
      </c>
      <c r="V990" s="9" t="str">
        <f ca="1">IFERROR(__xludf.DUMMYFUNCTION("IFERROR(VALUE(REGEXEXTRACT(TO_TEXT($F990), V$1 &amp; ""x(\d+)"")), """")"),"")</f>
        <v/>
      </c>
      <c r="W990" s="9"/>
      <c r="X990" s="9"/>
      <c r="Y990" s="9"/>
      <c r="Z990" s="9"/>
    </row>
    <row r="991" spans="1:26" ht="15.75" hidden="1" customHeight="1">
      <c r="A991" s="9" t="s">
        <v>2055</v>
      </c>
      <c r="B991" s="9" t="s">
        <v>2056</v>
      </c>
      <c r="C991" s="9" t="s">
        <v>453</v>
      </c>
      <c r="D991" s="9" t="s">
        <v>74</v>
      </c>
      <c r="E991" s="9" t="s">
        <v>13</v>
      </c>
      <c r="F991" s="9" t="s">
        <v>1125</v>
      </c>
      <c r="G991" s="9">
        <v>40</v>
      </c>
      <c r="H991" s="9">
        <v>2</v>
      </c>
      <c r="I991" s="9">
        <v>1.0149999999999999</v>
      </c>
      <c r="J991" s="9">
        <v>103</v>
      </c>
      <c r="K991" s="9" t="s">
        <v>424</v>
      </c>
      <c r="L991" s="9"/>
      <c r="M991" s="9"/>
      <c r="N991" s="9" t="str">
        <f ca="1">IFERROR(__xludf.DUMMYFUNCTION("IFERROR(VALUE(REGEXEXTRACT(TO_TEXT($F991), N$1 &amp; ""x(\d+)"")), """")
"),"")</f>
        <v/>
      </c>
      <c r="O991" s="9" t="str">
        <f ca="1">IFERROR(__xludf.DUMMYFUNCTION("IFERROR(VALUE(REGEXEXTRACT(TO_TEXT($F991), O$1 &amp; ""x(\d+)"")), """")"),"")</f>
        <v/>
      </c>
      <c r="P991" s="9" t="str">
        <f ca="1">IFERROR(__xludf.DUMMYFUNCTION("IFERROR(VALUE(REGEXEXTRACT(TO_TEXT($F991), P$1 &amp; ""x(\d+)"")), """")"),"")</f>
        <v/>
      </c>
      <c r="Q991" s="9">
        <f ca="1">IFERROR(__xludf.DUMMYFUNCTION("IFERROR(VALUE(REGEXEXTRACT(TO_TEXT($F991), Q$1 &amp; ""x(\d+)"")), """")"),1)</f>
        <v>1</v>
      </c>
      <c r="R991" s="9" t="str">
        <f ca="1">IFERROR(__xludf.DUMMYFUNCTION("IFERROR(VALUE(REGEXEXTRACT(TO_TEXT($F991), R$1 &amp; ""x(\d+)"")), """")"),"")</f>
        <v/>
      </c>
      <c r="S991" s="9" t="str">
        <f ca="1">IFERROR(__xludf.DUMMYFUNCTION("IFERROR(VALUE(REGEXEXTRACT(TO_TEXT($F991), S$1 &amp; ""x(\d+)"")), """")"),"")</f>
        <v/>
      </c>
      <c r="T991" s="9" t="str">
        <f ca="1">IFERROR(__xludf.DUMMYFUNCTION("IFERROR(VALUE(REGEXEXTRACT(TO_TEXT($F991), T$1 &amp; ""x(\d+)"")), """")"),"")</f>
        <v/>
      </c>
      <c r="U991" s="9" t="str">
        <f ca="1">IFERROR(__xludf.DUMMYFUNCTION("IFERROR(VALUE(REGEXEXTRACT(TO_TEXT($F991), U$1 &amp; ""x(\d+)"")), """")"),"")</f>
        <v/>
      </c>
      <c r="V991" s="9" t="str">
        <f ca="1">IFERROR(__xludf.DUMMYFUNCTION("IFERROR(VALUE(REGEXEXTRACT(TO_TEXT($F991), V$1 &amp; ""x(\d+)"")), """")"),"")</f>
        <v/>
      </c>
      <c r="W991" s="9"/>
      <c r="X991" s="9"/>
      <c r="Y991" s="9"/>
      <c r="Z991" s="9"/>
    </row>
    <row r="992" spans="1:26" ht="15.75" hidden="1" customHeight="1">
      <c r="A992" s="9" t="s">
        <v>2060</v>
      </c>
      <c r="B992" s="9" t="s">
        <v>2061</v>
      </c>
      <c r="C992" s="9" t="s">
        <v>550</v>
      </c>
      <c r="D992" s="9" t="s">
        <v>48</v>
      </c>
      <c r="E992" s="9" t="s">
        <v>11</v>
      </c>
      <c r="F992" s="9" t="s">
        <v>2062</v>
      </c>
      <c r="G992" s="9">
        <v>30</v>
      </c>
      <c r="H992" s="9">
        <v>5</v>
      </c>
      <c r="I992" s="9">
        <v>1.0149999999999999</v>
      </c>
      <c r="J992" s="9">
        <v>52</v>
      </c>
      <c r="K992" s="9" t="s">
        <v>424</v>
      </c>
      <c r="L992" s="9"/>
      <c r="M992" s="9"/>
      <c r="N992" s="9">
        <f ca="1">IFERROR(__xludf.DUMMYFUNCTION("IFERROR(VALUE(REGEXEXTRACT(TO_TEXT($F992), N$1 &amp; ""x(\d+)"")), """")
"),1)</f>
        <v>1</v>
      </c>
      <c r="O992" s="9" t="str">
        <f ca="1">IFERROR(__xludf.DUMMYFUNCTION("IFERROR(VALUE(REGEXEXTRACT(TO_TEXT($F992), O$1 &amp; ""x(\d+)"")), """")"),"")</f>
        <v/>
      </c>
      <c r="P992" s="9" t="str">
        <f ca="1">IFERROR(__xludf.DUMMYFUNCTION("IFERROR(VALUE(REGEXEXTRACT(TO_TEXT($F992), P$1 &amp; ""x(\d+)"")), """")"),"")</f>
        <v/>
      </c>
      <c r="Q992" s="9" t="str">
        <f ca="1">IFERROR(__xludf.DUMMYFUNCTION("IFERROR(VALUE(REGEXEXTRACT(TO_TEXT($F992), Q$1 &amp; ""x(\d+)"")), """")"),"")</f>
        <v/>
      </c>
      <c r="R992" s="9" t="str">
        <f ca="1">IFERROR(__xludf.DUMMYFUNCTION("IFERROR(VALUE(REGEXEXTRACT(TO_TEXT($F992), R$1 &amp; ""x(\d+)"")), """")"),"")</f>
        <v/>
      </c>
      <c r="S992" s="9" t="str">
        <f ca="1">IFERROR(__xludf.DUMMYFUNCTION("IFERROR(VALUE(REGEXEXTRACT(TO_TEXT($F992), S$1 &amp; ""x(\d+)"")), """")"),"")</f>
        <v/>
      </c>
      <c r="T992" s="9" t="str">
        <f ca="1">IFERROR(__xludf.DUMMYFUNCTION("IFERROR(VALUE(REGEXEXTRACT(TO_TEXT($F992), T$1 &amp; ""x(\d+)"")), """")"),"")</f>
        <v/>
      </c>
      <c r="U992" s="9" t="str">
        <f ca="1">IFERROR(__xludf.DUMMYFUNCTION("IFERROR(VALUE(REGEXEXTRACT(TO_TEXT($F992), U$1 &amp; ""x(\d+)"")), """")"),"")</f>
        <v/>
      </c>
      <c r="V992" s="9" t="str">
        <f ca="1">IFERROR(__xludf.DUMMYFUNCTION("IFERROR(VALUE(REGEXEXTRACT(TO_TEXT($F992), V$1 &amp; ""x(\d+)"")), """")"),"")</f>
        <v/>
      </c>
      <c r="W992" s="9"/>
      <c r="X992" s="9"/>
      <c r="Y992" s="9"/>
      <c r="Z992" s="9"/>
    </row>
    <row r="993" spans="1:26" ht="15.75" hidden="1" customHeight="1">
      <c r="A993" s="9" t="s">
        <v>2060</v>
      </c>
      <c r="B993" s="9" t="s">
        <v>2061</v>
      </c>
      <c r="C993" s="9" t="s">
        <v>550</v>
      </c>
      <c r="D993" s="9" t="s">
        <v>48</v>
      </c>
      <c r="E993" s="9" t="s">
        <v>12</v>
      </c>
      <c r="F993" s="9" t="s">
        <v>2063</v>
      </c>
      <c r="G993" s="9">
        <v>140</v>
      </c>
      <c r="H993" s="9">
        <v>5</v>
      </c>
      <c r="I993" s="9">
        <v>1.0149999999999999</v>
      </c>
      <c r="J993" s="9">
        <v>52</v>
      </c>
      <c r="K993" s="9" t="s">
        <v>424</v>
      </c>
      <c r="L993" s="9" t="s">
        <v>1015</v>
      </c>
      <c r="M993" s="9"/>
      <c r="N993" s="9" t="str">
        <f ca="1">IFERROR(__xludf.DUMMYFUNCTION("IFERROR(VALUE(REGEXEXTRACT(TO_TEXT($F993), N$1 &amp; ""x(\d+)"")), """")
"),"")</f>
        <v/>
      </c>
      <c r="O993" s="9" t="str">
        <f ca="1">IFERROR(__xludf.DUMMYFUNCTION("IFERROR(VALUE(REGEXEXTRACT(TO_TEXT($F993), O$1 &amp; ""x(\d+)"")), """")"),"")</f>
        <v/>
      </c>
      <c r="P993" s="9">
        <f ca="1">IFERROR(__xludf.DUMMYFUNCTION("IFERROR(VALUE(REGEXEXTRACT(TO_TEXT($F993), P$1 &amp; ""x(\d+)"")), """")"),1)</f>
        <v>1</v>
      </c>
      <c r="Q993" s="9" t="str">
        <f ca="1">IFERROR(__xludf.DUMMYFUNCTION("IFERROR(VALUE(REGEXEXTRACT(TO_TEXT($F993), Q$1 &amp; ""x(\d+)"")), """")"),"")</f>
        <v/>
      </c>
      <c r="R993" s="9">
        <f ca="1">IFERROR(__xludf.DUMMYFUNCTION("IFERROR(VALUE(REGEXEXTRACT(TO_TEXT($F993), R$1 &amp; ""x(\d+)"")), """")"),1)</f>
        <v>1</v>
      </c>
      <c r="S993" s="9" t="str">
        <f ca="1">IFERROR(__xludf.DUMMYFUNCTION("IFERROR(VALUE(REGEXEXTRACT(TO_TEXT($F993), S$1 &amp; ""x(\d+)"")), """")"),"")</f>
        <v/>
      </c>
      <c r="T993" s="9" t="str">
        <f ca="1">IFERROR(__xludf.DUMMYFUNCTION("IFERROR(VALUE(REGEXEXTRACT(TO_TEXT($F993), T$1 &amp; ""x(\d+)"")), """")"),"")</f>
        <v/>
      </c>
      <c r="U993" s="9" t="str">
        <f ca="1">IFERROR(__xludf.DUMMYFUNCTION("IFERROR(VALUE(REGEXEXTRACT(TO_TEXT($F993), U$1 &amp; ""x(\d+)"")), """")"),"")</f>
        <v/>
      </c>
      <c r="V993" s="9" t="str">
        <f ca="1">IFERROR(__xludf.DUMMYFUNCTION("IFERROR(VALUE(REGEXEXTRACT(TO_TEXT($F993), V$1 &amp; ""x(\d+)"")), """")"),"")</f>
        <v/>
      </c>
      <c r="W993" s="9"/>
      <c r="X993" s="9"/>
      <c r="Y993" s="9"/>
      <c r="Z993" s="9"/>
    </row>
    <row r="994" spans="1:26" ht="15.75" hidden="1" customHeight="1">
      <c r="A994" s="9" t="s">
        <v>2060</v>
      </c>
      <c r="B994" s="9" t="s">
        <v>2061</v>
      </c>
      <c r="C994" s="9" t="s">
        <v>550</v>
      </c>
      <c r="D994" s="9" t="s">
        <v>48</v>
      </c>
      <c r="E994" s="9" t="s">
        <v>13</v>
      </c>
      <c r="F994" s="9" t="s">
        <v>1220</v>
      </c>
      <c r="G994" s="9">
        <v>30</v>
      </c>
      <c r="H994" s="9">
        <v>5</v>
      </c>
      <c r="I994" s="9">
        <v>1.0149999999999999</v>
      </c>
      <c r="J994" s="9">
        <v>52</v>
      </c>
      <c r="K994" s="9" t="s">
        <v>424</v>
      </c>
      <c r="L994" s="9"/>
      <c r="M994" s="9"/>
      <c r="N994" s="9" t="str">
        <f ca="1">IFERROR(__xludf.DUMMYFUNCTION("IFERROR(VALUE(REGEXEXTRACT(TO_TEXT($F994), N$1 &amp; ""x(\d+)"")), """")
"),"")</f>
        <v/>
      </c>
      <c r="O994" s="9" t="str">
        <f ca="1">IFERROR(__xludf.DUMMYFUNCTION("IFERROR(VALUE(REGEXEXTRACT(TO_TEXT($F994), O$1 &amp; ""x(\d+)"")), """")"),"")</f>
        <v/>
      </c>
      <c r="P994" s="9">
        <f ca="1">IFERROR(__xludf.DUMMYFUNCTION("IFERROR(VALUE(REGEXEXTRACT(TO_TEXT($F994), P$1 &amp; ""x(\d+)"")), """")"),1)</f>
        <v>1</v>
      </c>
      <c r="Q994" s="9" t="str">
        <f ca="1">IFERROR(__xludf.DUMMYFUNCTION("IFERROR(VALUE(REGEXEXTRACT(TO_TEXT($F994), Q$1 &amp; ""x(\d+)"")), """")"),"")</f>
        <v/>
      </c>
      <c r="R994" s="9" t="str">
        <f ca="1">IFERROR(__xludf.DUMMYFUNCTION("IFERROR(VALUE(REGEXEXTRACT(TO_TEXT($F994), R$1 &amp; ""x(\d+)"")), """")"),"")</f>
        <v/>
      </c>
      <c r="S994" s="9" t="str">
        <f ca="1">IFERROR(__xludf.DUMMYFUNCTION("IFERROR(VALUE(REGEXEXTRACT(TO_TEXT($F994), S$1 &amp; ""x(\d+)"")), """")"),"")</f>
        <v/>
      </c>
      <c r="T994" s="9" t="str">
        <f ca="1">IFERROR(__xludf.DUMMYFUNCTION("IFERROR(VALUE(REGEXEXTRACT(TO_TEXT($F994), T$1 &amp; ""x(\d+)"")), """")"),"")</f>
        <v/>
      </c>
      <c r="U994" s="9" t="str">
        <f ca="1">IFERROR(__xludf.DUMMYFUNCTION("IFERROR(VALUE(REGEXEXTRACT(TO_TEXT($F994), U$1 &amp; ""x(\d+)"")), """")"),"")</f>
        <v/>
      </c>
      <c r="V994" s="9" t="str">
        <f ca="1">IFERROR(__xludf.DUMMYFUNCTION("IFERROR(VALUE(REGEXEXTRACT(TO_TEXT($F994), V$1 &amp; ""x(\d+)"")), """")"),"")</f>
        <v/>
      </c>
      <c r="W994" s="9"/>
      <c r="X994" s="9"/>
      <c r="Y994" s="9"/>
      <c r="Z994" s="9"/>
    </row>
    <row r="995" spans="1:26" ht="15.75" customHeight="1">
      <c r="A995" s="9" t="s">
        <v>2064</v>
      </c>
      <c r="B995" s="9" t="s">
        <v>2065</v>
      </c>
      <c r="C995" s="9" t="s">
        <v>599</v>
      </c>
      <c r="D995" s="9" t="s">
        <v>33</v>
      </c>
      <c r="E995" s="9" t="s">
        <v>12</v>
      </c>
      <c r="F995" s="9" t="s">
        <v>2066</v>
      </c>
      <c r="G995" s="9">
        <v>35</v>
      </c>
      <c r="H995" s="9">
        <v>4</v>
      </c>
      <c r="I995" s="9">
        <v>1.0149999999999999</v>
      </c>
      <c r="J995" s="9">
        <v>100</v>
      </c>
      <c r="K995" s="9" t="s">
        <v>499</v>
      </c>
      <c r="L995" s="9"/>
      <c r="M995" s="9"/>
      <c r="N995" s="9" t="str">
        <f ca="1">IFERROR(__xludf.DUMMYFUNCTION("IFERROR(VALUE(REGEXEXTRACT(TO_TEXT($F995), N$1 &amp; ""x(\d+)"")), """")
"),"")</f>
        <v/>
      </c>
      <c r="O995" s="9">
        <f ca="1">IFERROR(__xludf.DUMMYFUNCTION("IFERROR(VALUE(REGEXEXTRACT(TO_TEXT($F995), O$1 &amp; ""x(\d+)"")), """")"),1)</f>
        <v>1</v>
      </c>
      <c r="P995" s="9" t="str">
        <f ca="1">IFERROR(__xludf.DUMMYFUNCTION("IFERROR(VALUE(REGEXEXTRACT(TO_TEXT($F995), P$1 &amp; ""x(\d+)"")), """")"),"")</f>
        <v/>
      </c>
      <c r="Q995" s="9" t="str">
        <f ca="1">IFERROR(__xludf.DUMMYFUNCTION("IFERROR(VALUE(REGEXEXTRACT(TO_TEXT($F995), Q$1 &amp; ""x(\d+)"")), """")"),"")</f>
        <v/>
      </c>
      <c r="R995" s="9" t="str">
        <f ca="1">IFERROR(__xludf.DUMMYFUNCTION("IFERROR(VALUE(REGEXEXTRACT(TO_TEXT($F995), R$1 &amp; ""x(\d+)"")), """")"),"")</f>
        <v/>
      </c>
      <c r="S995" s="9" t="str">
        <f ca="1">IFERROR(__xludf.DUMMYFUNCTION("IFERROR(VALUE(REGEXEXTRACT(TO_TEXT($F995), S$1 &amp; ""x(\d+)"")), """")"),"")</f>
        <v/>
      </c>
      <c r="T995" s="9" t="str">
        <f ca="1">IFERROR(__xludf.DUMMYFUNCTION("IFERROR(VALUE(REGEXEXTRACT(TO_TEXT($F995), T$1 &amp; ""x(\d+)"")), """")"),"")</f>
        <v/>
      </c>
      <c r="U995" s="9" t="str">
        <f ca="1">IFERROR(__xludf.DUMMYFUNCTION("IFERROR(VALUE(REGEXEXTRACT(TO_TEXT($F995), U$1 &amp; ""x(\d+)"")), """")"),"")</f>
        <v/>
      </c>
      <c r="V995" s="9" t="str">
        <f ca="1">IFERROR(__xludf.DUMMYFUNCTION("IFERROR(VALUE(REGEXEXTRACT(TO_TEXT($F995), V$1 &amp; ""x(\d+)"")), """")"),"")</f>
        <v/>
      </c>
      <c r="W995" s="9"/>
      <c r="X995" s="9"/>
      <c r="Y995" s="9"/>
      <c r="Z995" s="9"/>
    </row>
    <row r="996" spans="1:26" ht="15.75" customHeight="1">
      <c r="A996" s="9" t="s">
        <v>2064</v>
      </c>
      <c r="B996" s="9" t="s">
        <v>2065</v>
      </c>
      <c r="C996" s="9" t="s">
        <v>599</v>
      </c>
      <c r="D996" s="9" t="s">
        <v>33</v>
      </c>
      <c r="E996" s="9" t="s">
        <v>13</v>
      </c>
      <c r="F996" s="9" t="s">
        <v>1108</v>
      </c>
      <c r="G996" s="9">
        <v>20</v>
      </c>
      <c r="H996" s="9">
        <v>4</v>
      </c>
      <c r="I996" s="9">
        <v>1.0149999999999999</v>
      </c>
      <c r="J996" s="9">
        <v>100</v>
      </c>
      <c r="K996" s="9" t="s">
        <v>499</v>
      </c>
      <c r="L996" s="9"/>
      <c r="M996" s="9"/>
      <c r="N996" s="9" t="str">
        <f ca="1">IFERROR(__xludf.DUMMYFUNCTION("IFERROR(VALUE(REGEXEXTRACT(TO_TEXT($F996), N$1 &amp; ""x(\d+)"")), """")
"),"")</f>
        <v/>
      </c>
      <c r="O996" s="9">
        <f ca="1">IFERROR(__xludf.DUMMYFUNCTION("IFERROR(VALUE(REGEXEXTRACT(TO_TEXT($F996), O$1 &amp; ""x(\d+)"")), """")"),1)</f>
        <v>1</v>
      </c>
      <c r="P996" s="9" t="str">
        <f ca="1">IFERROR(__xludf.DUMMYFUNCTION("IFERROR(VALUE(REGEXEXTRACT(TO_TEXT($F996), P$1 &amp; ""x(\d+)"")), """")"),"")</f>
        <v/>
      </c>
      <c r="Q996" s="9" t="str">
        <f ca="1">IFERROR(__xludf.DUMMYFUNCTION("IFERROR(VALUE(REGEXEXTRACT(TO_TEXT($F996), Q$1 &amp; ""x(\d+)"")), """")"),"")</f>
        <v/>
      </c>
      <c r="R996" s="9" t="str">
        <f ca="1">IFERROR(__xludf.DUMMYFUNCTION("IFERROR(VALUE(REGEXEXTRACT(TO_TEXT($F996), R$1 &amp; ""x(\d+)"")), """")"),"")</f>
        <v/>
      </c>
      <c r="S996" s="9" t="str">
        <f ca="1">IFERROR(__xludf.DUMMYFUNCTION("IFERROR(VALUE(REGEXEXTRACT(TO_TEXT($F996), S$1 &amp; ""x(\d+)"")), """")"),"")</f>
        <v/>
      </c>
      <c r="T996" s="9" t="str">
        <f ca="1">IFERROR(__xludf.DUMMYFUNCTION("IFERROR(VALUE(REGEXEXTRACT(TO_TEXT($F996), T$1 &amp; ""x(\d+)"")), """")"),"")</f>
        <v/>
      </c>
      <c r="U996" s="9" t="str">
        <f ca="1">IFERROR(__xludf.DUMMYFUNCTION("IFERROR(VALUE(REGEXEXTRACT(TO_TEXT($F996), U$1 &amp; ""x(\d+)"")), """")"),"")</f>
        <v/>
      </c>
      <c r="V996" s="9" t="str">
        <f ca="1">IFERROR(__xludf.DUMMYFUNCTION("IFERROR(VALUE(REGEXEXTRACT(TO_TEXT($F996), V$1 &amp; ""x(\d+)"")), """")"),"")</f>
        <v/>
      </c>
      <c r="W996" s="9"/>
      <c r="X996" s="9"/>
      <c r="Y996" s="9"/>
      <c r="Z996" s="9"/>
    </row>
    <row r="997" spans="1:26" ht="15.75" customHeight="1">
      <c r="A997" s="9" t="s">
        <v>190</v>
      </c>
      <c r="B997" s="9" t="s">
        <v>2067</v>
      </c>
      <c r="C997" s="9" t="s">
        <v>44</v>
      </c>
      <c r="D997" s="9" t="s">
        <v>33</v>
      </c>
      <c r="E997" s="9" t="s">
        <v>11</v>
      </c>
      <c r="F997" s="9" t="s">
        <v>1263</v>
      </c>
      <c r="G997" s="9">
        <v>35</v>
      </c>
      <c r="H997" s="9">
        <v>4</v>
      </c>
      <c r="I997" s="9">
        <v>1.0149999999999999</v>
      </c>
      <c r="J997" s="9">
        <v>70</v>
      </c>
      <c r="K997" s="9" t="s">
        <v>424</v>
      </c>
      <c r="L997" s="9"/>
      <c r="M997" s="9"/>
      <c r="N997" s="9" t="str">
        <f ca="1">IFERROR(__xludf.DUMMYFUNCTION("IFERROR(VALUE(REGEXEXTRACT(TO_TEXT($F997), N$1 &amp; ""x(\d+)"")), """")
"),"")</f>
        <v/>
      </c>
      <c r="O997" s="9" t="str">
        <f ca="1">IFERROR(__xludf.DUMMYFUNCTION("IFERROR(VALUE(REGEXEXTRACT(TO_TEXT($F997), O$1 &amp; ""x(\d+)"")), """")"),"")</f>
        <v/>
      </c>
      <c r="P997" s="9" t="str">
        <f ca="1">IFERROR(__xludf.DUMMYFUNCTION("IFERROR(VALUE(REGEXEXTRACT(TO_TEXT($F997), P$1 &amp; ""x(\d+)"")), """")"),"")</f>
        <v/>
      </c>
      <c r="Q997" s="9" t="str">
        <f ca="1">IFERROR(__xludf.DUMMYFUNCTION("IFERROR(VALUE(REGEXEXTRACT(TO_TEXT($F997), Q$1 &amp; ""x(\d+)"")), """")"),"")</f>
        <v/>
      </c>
      <c r="R997" s="9" t="str">
        <f ca="1">IFERROR(__xludf.DUMMYFUNCTION("IFERROR(VALUE(REGEXEXTRACT(TO_TEXT($F997), R$1 &amp; ""x(\d+)"")), """")"),"")</f>
        <v/>
      </c>
      <c r="S997" s="9" t="str">
        <f ca="1">IFERROR(__xludf.DUMMYFUNCTION("IFERROR(VALUE(REGEXEXTRACT(TO_TEXT($F997), S$1 &amp; ""x(\d+)"")), """")"),"")</f>
        <v/>
      </c>
      <c r="T997" s="9" t="str">
        <f ca="1">IFERROR(__xludf.DUMMYFUNCTION("IFERROR(VALUE(REGEXEXTRACT(TO_TEXT($F997), T$1 &amp; ""x(\d+)"")), """")"),"")</f>
        <v/>
      </c>
      <c r="U997" s="9" t="str">
        <f ca="1">IFERROR(__xludf.DUMMYFUNCTION("IFERROR(VALUE(REGEXEXTRACT(TO_TEXT($F997), U$1 &amp; ""x(\d+)"")), """")"),"")</f>
        <v/>
      </c>
      <c r="V997" s="9" t="str">
        <f ca="1">IFERROR(__xludf.DUMMYFUNCTION("IFERROR(VALUE(REGEXEXTRACT(TO_TEXT($F997), V$1 &amp; ""x(\d+)"")), """")"),"")</f>
        <v/>
      </c>
      <c r="W997" s="9"/>
      <c r="X997" s="9"/>
      <c r="Y997" s="9"/>
      <c r="Z997" s="9"/>
    </row>
    <row r="998" spans="1:26" ht="15.75" customHeight="1">
      <c r="A998" s="9" t="s">
        <v>190</v>
      </c>
      <c r="B998" s="9" t="s">
        <v>2067</v>
      </c>
      <c r="C998" s="9" t="s">
        <v>44</v>
      </c>
      <c r="D998" s="9" t="s">
        <v>33</v>
      </c>
      <c r="E998" s="9" t="s">
        <v>12</v>
      </c>
      <c r="F998" s="9" t="s">
        <v>1264</v>
      </c>
      <c r="G998" s="9">
        <v>125</v>
      </c>
      <c r="H998" s="9">
        <v>4</v>
      </c>
      <c r="I998" s="9">
        <v>1.0149999999999999</v>
      </c>
      <c r="J998" s="9">
        <v>70</v>
      </c>
      <c r="K998" s="9" t="s">
        <v>424</v>
      </c>
      <c r="L998" s="9"/>
      <c r="M998" s="9"/>
      <c r="N998" s="9" t="str">
        <f ca="1">IFERROR(__xludf.DUMMYFUNCTION("IFERROR(VALUE(REGEXEXTRACT(TO_TEXT($F998), N$1 &amp; ""x(\d+)"")), """")
"),"")</f>
        <v/>
      </c>
      <c r="O998" s="9">
        <f ca="1">IFERROR(__xludf.DUMMYFUNCTION("IFERROR(VALUE(REGEXEXTRACT(TO_TEXT($F998), O$1 &amp; ""x(\d+)"")), """")"),1)</f>
        <v>1</v>
      </c>
      <c r="P998" s="9" t="str">
        <f ca="1">IFERROR(__xludf.DUMMYFUNCTION("IFERROR(VALUE(REGEXEXTRACT(TO_TEXT($F998), P$1 &amp; ""x(\d+)"")), """")"),"")</f>
        <v/>
      </c>
      <c r="Q998" s="9" t="str">
        <f ca="1">IFERROR(__xludf.DUMMYFUNCTION("IFERROR(VALUE(REGEXEXTRACT(TO_TEXT($F998), Q$1 &amp; ""x(\d+)"")), """")"),"")</f>
        <v/>
      </c>
      <c r="R998" s="9" t="str">
        <f ca="1">IFERROR(__xludf.DUMMYFUNCTION("IFERROR(VALUE(REGEXEXTRACT(TO_TEXT($F998), R$1 &amp; ""x(\d+)"")), """")"),"")</f>
        <v/>
      </c>
      <c r="S998" s="9" t="str">
        <f ca="1">IFERROR(__xludf.DUMMYFUNCTION("IFERROR(VALUE(REGEXEXTRACT(TO_TEXT($F998), S$1 &amp; ""x(\d+)"")), """")"),"")</f>
        <v/>
      </c>
      <c r="T998" s="9" t="str">
        <f ca="1">IFERROR(__xludf.DUMMYFUNCTION("IFERROR(VALUE(REGEXEXTRACT(TO_TEXT($F998), T$1 &amp; ""x(\d+)"")), """")"),"")</f>
        <v/>
      </c>
      <c r="U998" s="9" t="str">
        <f ca="1">IFERROR(__xludf.DUMMYFUNCTION("IFERROR(VALUE(REGEXEXTRACT(TO_TEXT($F998), U$1 &amp; ""x(\d+)"")), """")"),"")</f>
        <v/>
      </c>
      <c r="V998" s="9" t="str">
        <f ca="1">IFERROR(__xludf.DUMMYFUNCTION("IFERROR(VALUE(REGEXEXTRACT(TO_TEXT($F998), V$1 &amp; ""x(\d+)"")), """")"),"")</f>
        <v/>
      </c>
      <c r="W998" s="9"/>
      <c r="X998" s="9"/>
      <c r="Y998" s="9"/>
      <c r="Z998" s="9"/>
    </row>
    <row r="999" spans="1:26" ht="15.75" customHeight="1">
      <c r="A999" s="9" t="s">
        <v>190</v>
      </c>
      <c r="B999" s="9" t="s">
        <v>2067</v>
      </c>
      <c r="C999" s="9" t="s">
        <v>44</v>
      </c>
      <c r="D999" s="9" t="s">
        <v>33</v>
      </c>
      <c r="E999" s="9" t="s">
        <v>13</v>
      </c>
      <c r="F999" s="9" t="s">
        <v>1058</v>
      </c>
      <c r="G999" s="9">
        <v>15</v>
      </c>
      <c r="H999" s="9">
        <v>4</v>
      </c>
      <c r="I999" s="9">
        <v>1.0149999999999999</v>
      </c>
      <c r="J999" s="9">
        <v>70</v>
      </c>
      <c r="K999" s="9" t="s">
        <v>424</v>
      </c>
      <c r="L999" s="9"/>
      <c r="M999" s="9"/>
      <c r="N999" s="9" t="str">
        <f ca="1">IFERROR(__xludf.DUMMYFUNCTION("IFERROR(VALUE(REGEXEXTRACT(TO_TEXT($F999), N$1 &amp; ""x(\d+)"")), """")
"),"")</f>
        <v/>
      </c>
      <c r="O999" s="9">
        <f ca="1">IFERROR(__xludf.DUMMYFUNCTION("IFERROR(VALUE(REGEXEXTRACT(TO_TEXT($F999), O$1 &amp; ""x(\d+)"")), """")"),1)</f>
        <v>1</v>
      </c>
      <c r="P999" s="9" t="str">
        <f ca="1">IFERROR(__xludf.DUMMYFUNCTION("IFERROR(VALUE(REGEXEXTRACT(TO_TEXT($F999), P$1 &amp; ""x(\d+)"")), """")"),"")</f>
        <v/>
      </c>
      <c r="Q999" s="9" t="str">
        <f ca="1">IFERROR(__xludf.DUMMYFUNCTION("IFERROR(VALUE(REGEXEXTRACT(TO_TEXT($F999), Q$1 &amp; ""x(\d+)"")), """")"),"")</f>
        <v/>
      </c>
      <c r="R999" s="9" t="str">
        <f ca="1">IFERROR(__xludf.DUMMYFUNCTION("IFERROR(VALUE(REGEXEXTRACT(TO_TEXT($F999), R$1 &amp; ""x(\d+)"")), """")"),"")</f>
        <v/>
      </c>
      <c r="S999" s="9" t="str">
        <f ca="1">IFERROR(__xludf.DUMMYFUNCTION("IFERROR(VALUE(REGEXEXTRACT(TO_TEXT($F999), S$1 &amp; ""x(\d+)"")), """")"),"")</f>
        <v/>
      </c>
      <c r="T999" s="9" t="str">
        <f ca="1">IFERROR(__xludf.DUMMYFUNCTION("IFERROR(VALUE(REGEXEXTRACT(TO_TEXT($F999), T$1 &amp; ""x(\d+)"")), """")"),"")</f>
        <v/>
      </c>
      <c r="U999" s="9" t="str">
        <f ca="1">IFERROR(__xludf.DUMMYFUNCTION("IFERROR(VALUE(REGEXEXTRACT(TO_TEXT($F999), U$1 &amp; ""x(\d+)"")), """")"),"")</f>
        <v/>
      </c>
      <c r="V999" s="9" t="str">
        <f ca="1">IFERROR(__xludf.DUMMYFUNCTION("IFERROR(VALUE(REGEXEXTRACT(TO_TEXT($F999), V$1 &amp; ""x(\d+)"")), """")"),"")</f>
        <v/>
      </c>
      <c r="W999" s="9"/>
      <c r="X999" s="9"/>
      <c r="Y999" s="9"/>
      <c r="Z999" s="9"/>
    </row>
    <row r="1000" spans="1:26" ht="15.75" customHeight="1">
      <c r="A1000" s="9" t="s">
        <v>129</v>
      </c>
      <c r="B1000" s="9" t="s">
        <v>2068</v>
      </c>
      <c r="C1000" s="9" t="s">
        <v>130</v>
      </c>
      <c r="D1000" s="9" t="s">
        <v>33</v>
      </c>
      <c r="E1000" s="9" t="s">
        <v>11</v>
      </c>
      <c r="F1000" s="9" t="s">
        <v>2069</v>
      </c>
      <c r="G1000" s="9">
        <v>95</v>
      </c>
      <c r="H1000" s="9">
        <v>4</v>
      </c>
      <c r="I1000" s="9">
        <v>1.0149999999999999</v>
      </c>
      <c r="J1000" s="9">
        <v>76</v>
      </c>
      <c r="K1000" s="9" t="s">
        <v>424</v>
      </c>
      <c r="L1000" s="9"/>
      <c r="M1000" s="9"/>
      <c r="N1000" s="9">
        <f ca="1">IFERROR(__xludf.DUMMYFUNCTION("IFERROR(VALUE(REGEXEXTRACT(TO_TEXT($F1000), N$1 &amp; ""x(\d+)"")), """")
"),1)</f>
        <v>1</v>
      </c>
      <c r="O1000" s="9">
        <f ca="1">IFERROR(__xludf.DUMMYFUNCTION("IFERROR(VALUE(REGEXEXTRACT(TO_TEXT($F1000), O$1 &amp; ""x(\d+)"")), """")"),1)</f>
        <v>1</v>
      </c>
      <c r="P1000" s="9" t="str">
        <f ca="1">IFERROR(__xludf.DUMMYFUNCTION("IFERROR(VALUE(REGEXEXTRACT(TO_TEXT($F1000), P$1 &amp; ""x(\d+)"")), """")"),"")</f>
        <v/>
      </c>
      <c r="Q1000" s="9" t="str">
        <f ca="1">IFERROR(__xludf.DUMMYFUNCTION("IFERROR(VALUE(REGEXEXTRACT(TO_TEXT($F1000), Q$1 &amp; ""x(\d+)"")), """")"),"")</f>
        <v/>
      </c>
      <c r="R1000" s="9" t="str">
        <f ca="1">IFERROR(__xludf.DUMMYFUNCTION("IFERROR(VALUE(REGEXEXTRACT(TO_TEXT($F1000), R$1 &amp; ""x(\d+)"")), """")"),"")</f>
        <v/>
      </c>
      <c r="S1000" s="9" t="str">
        <f ca="1">IFERROR(__xludf.DUMMYFUNCTION("IFERROR(VALUE(REGEXEXTRACT(TO_TEXT($F1000), S$1 &amp; ""x(\d+)"")), """")"),"")</f>
        <v/>
      </c>
      <c r="T1000" s="9" t="str">
        <f ca="1">IFERROR(__xludf.DUMMYFUNCTION("IFERROR(VALUE(REGEXEXTRACT(TO_TEXT($F1000), T$1 &amp; ""x(\d+)"")), """")"),"")</f>
        <v/>
      </c>
      <c r="U1000" s="9" t="str">
        <f ca="1">IFERROR(__xludf.DUMMYFUNCTION("IFERROR(VALUE(REGEXEXTRACT(TO_TEXT($F1000), U$1 &amp; ""x(\d+)"")), """")"),"")</f>
        <v/>
      </c>
      <c r="V1000" s="9" t="str">
        <f ca="1">IFERROR(__xludf.DUMMYFUNCTION("IFERROR(VALUE(REGEXEXTRACT(TO_TEXT($F1000), V$1 &amp; ""x(\d+)"")), """")"),"")</f>
        <v/>
      </c>
      <c r="W1000" s="9"/>
      <c r="X1000" s="9"/>
      <c r="Y1000" s="9"/>
      <c r="Z1000" s="9"/>
    </row>
    <row r="1001" spans="1:26" ht="15.75" customHeight="1">
      <c r="A1001" s="9" t="s">
        <v>129</v>
      </c>
      <c r="B1001" s="9" t="s">
        <v>2068</v>
      </c>
      <c r="C1001" s="9" t="s">
        <v>130</v>
      </c>
      <c r="D1001" s="9" t="s">
        <v>33</v>
      </c>
      <c r="E1001" s="9" t="s">
        <v>12</v>
      </c>
      <c r="F1001" s="9" t="s">
        <v>1187</v>
      </c>
      <c r="G1001" s="9">
        <v>80</v>
      </c>
      <c r="H1001" s="9">
        <v>4</v>
      </c>
      <c r="I1001" s="9">
        <v>1.0149999999999999</v>
      </c>
      <c r="J1001" s="9">
        <v>76</v>
      </c>
      <c r="K1001" s="9" t="s">
        <v>424</v>
      </c>
      <c r="L1001" s="9"/>
      <c r="M1001" s="9"/>
      <c r="N1001" s="9" t="str">
        <f ca="1">IFERROR(__xludf.DUMMYFUNCTION("IFERROR(VALUE(REGEXEXTRACT(TO_TEXT($F1001), N$1 &amp; ""x(\d+)"")), """")
"),"")</f>
        <v/>
      </c>
      <c r="O1001" s="9">
        <f ca="1">IFERROR(__xludf.DUMMYFUNCTION("IFERROR(VALUE(REGEXEXTRACT(TO_TEXT($F1001), O$1 &amp; ""x(\d+)"")), """")"),1)</f>
        <v>1</v>
      </c>
      <c r="P1001" s="9" t="str">
        <f ca="1">IFERROR(__xludf.DUMMYFUNCTION("IFERROR(VALUE(REGEXEXTRACT(TO_TEXT($F1001), P$1 &amp; ""x(\d+)"")), """")"),"")</f>
        <v/>
      </c>
      <c r="Q1001" s="9" t="str">
        <f ca="1">IFERROR(__xludf.DUMMYFUNCTION("IFERROR(VALUE(REGEXEXTRACT(TO_TEXT($F1001), Q$1 &amp; ""x(\d+)"")), """")"),"")</f>
        <v/>
      </c>
      <c r="R1001" s="9" t="str">
        <f ca="1">IFERROR(__xludf.DUMMYFUNCTION("IFERROR(VALUE(REGEXEXTRACT(TO_TEXT($F1001), R$1 &amp; ""x(\d+)"")), """")"),"")</f>
        <v/>
      </c>
      <c r="S1001" s="9" t="str">
        <f ca="1">IFERROR(__xludf.DUMMYFUNCTION("IFERROR(VALUE(REGEXEXTRACT(TO_TEXT($F1001), S$1 &amp; ""x(\d+)"")), """")"),"")</f>
        <v/>
      </c>
      <c r="T1001" s="9" t="str">
        <f ca="1">IFERROR(__xludf.DUMMYFUNCTION("IFERROR(VALUE(REGEXEXTRACT(TO_TEXT($F1001), T$1 &amp; ""x(\d+)"")), """")"),"")</f>
        <v/>
      </c>
      <c r="U1001" s="9" t="str">
        <f ca="1">IFERROR(__xludf.DUMMYFUNCTION("IFERROR(VALUE(REGEXEXTRACT(TO_TEXT($F1001), U$1 &amp; ""x(\d+)"")), """")"),"")</f>
        <v/>
      </c>
      <c r="V1001" s="9" t="str">
        <f ca="1">IFERROR(__xludf.DUMMYFUNCTION("IFERROR(VALUE(REGEXEXTRACT(TO_TEXT($F1001), V$1 &amp; ""x(\d+)"")), """")"),"")</f>
        <v/>
      </c>
      <c r="W1001" s="9"/>
      <c r="X1001" s="9"/>
      <c r="Y1001" s="9"/>
      <c r="Z1001" s="9"/>
    </row>
    <row r="1002" spans="1:26" ht="15.75" customHeight="1">
      <c r="A1002" s="9" t="s">
        <v>129</v>
      </c>
      <c r="B1002" s="9" t="s">
        <v>2068</v>
      </c>
      <c r="C1002" s="9" t="s">
        <v>130</v>
      </c>
      <c r="D1002" s="9" t="s">
        <v>33</v>
      </c>
      <c r="E1002" s="9" t="s">
        <v>13</v>
      </c>
      <c r="F1002" s="9" t="s">
        <v>1188</v>
      </c>
      <c r="G1002" s="9">
        <v>30</v>
      </c>
      <c r="H1002" s="9">
        <v>4</v>
      </c>
      <c r="I1002" s="9">
        <v>1.0149999999999999</v>
      </c>
      <c r="J1002" s="9">
        <v>76</v>
      </c>
      <c r="K1002" s="9" t="s">
        <v>424</v>
      </c>
      <c r="L1002" s="9"/>
      <c r="M1002" s="9"/>
      <c r="N1002" s="9" t="str">
        <f ca="1">IFERROR(__xludf.DUMMYFUNCTION("IFERROR(VALUE(REGEXEXTRACT(TO_TEXT($F1002), N$1 &amp; ""x(\d+)"")), """")
"),"")</f>
        <v/>
      </c>
      <c r="O1002" s="9">
        <f ca="1">IFERROR(__xludf.DUMMYFUNCTION("IFERROR(VALUE(REGEXEXTRACT(TO_TEXT($F1002), O$1 &amp; ""x(\d+)"")), """")"),1)</f>
        <v>1</v>
      </c>
      <c r="P1002" s="9" t="str">
        <f ca="1">IFERROR(__xludf.DUMMYFUNCTION("IFERROR(VALUE(REGEXEXTRACT(TO_TEXT($F1002), P$1 &amp; ""x(\d+)"")), """")"),"")</f>
        <v/>
      </c>
      <c r="Q1002" s="9" t="str">
        <f ca="1">IFERROR(__xludf.DUMMYFUNCTION("IFERROR(VALUE(REGEXEXTRACT(TO_TEXT($F1002), Q$1 &amp; ""x(\d+)"")), """")"),"")</f>
        <v/>
      </c>
      <c r="R1002" s="9" t="str">
        <f ca="1">IFERROR(__xludf.DUMMYFUNCTION("IFERROR(VALUE(REGEXEXTRACT(TO_TEXT($F1002), R$1 &amp; ""x(\d+)"")), """")"),"")</f>
        <v/>
      </c>
      <c r="S1002" s="9" t="str">
        <f ca="1">IFERROR(__xludf.DUMMYFUNCTION("IFERROR(VALUE(REGEXEXTRACT(TO_TEXT($F1002), S$1 &amp; ""x(\d+)"")), """")"),"")</f>
        <v/>
      </c>
      <c r="T1002" s="9" t="str">
        <f ca="1">IFERROR(__xludf.DUMMYFUNCTION("IFERROR(VALUE(REGEXEXTRACT(TO_TEXT($F1002), T$1 &amp; ""x(\d+)"")), """")"),"")</f>
        <v/>
      </c>
      <c r="U1002" s="9" t="str">
        <f ca="1">IFERROR(__xludf.DUMMYFUNCTION("IFERROR(VALUE(REGEXEXTRACT(TO_TEXT($F1002), U$1 &amp; ""x(\d+)"")), """")"),"")</f>
        <v/>
      </c>
      <c r="V1002" s="9" t="str">
        <f ca="1">IFERROR(__xludf.DUMMYFUNCTION("IFERROR(VALUE(REGEXEXTRACT(TO_TEXT($F1002), V$1 &amp; ""x(\d+)"")), """")"),"")</f>
        <v/>
      </c>
      <c r="W1002" s="9"/>
      <c r="X1002" s="9"/>
      <c r="Y1002" s="9"/>
      <c r="Z1002" s="9"/>
    </row>
    <row r="1003" spans="1:26" ht="15.75" hidden="1" customHeight="1">
      <c r="A1003" s="9" t="s">
        <v>2070</v>
      </c>
      <c r="B1003" s="9" t="s">
        <v>2071</v>
      </c>
      <c r="C1003" s="9" t="s">
        <v>543</v>
      </c>
      <c r="D1003" s="9" t="s">
        <v>48</v>
      </c>
      <c r="E1003" s="9" t="s">
        <v>11</v>
      </c>
      <c r="F1003" s="9" t="s">
        <v>1180</v>
      </c>
      <c r="G1003" s="9">
        <v>25</v>
      </c>
      <c r="H1003" s="9">
        <v>4</v>
      </c>
      <c r="I1003" s="9">
        <v>1.0149999999999999</v>
      </c>
      <c r="J1003" s="9">
        <v>52</v>
      </c>
      <c r="K1003" s="9" t="s">
        <v>424</v>
      </c>
      <c r="L1003" s="9"/>
      <c r="M1003" s="9"/>
      <c r="N1003" s="9" t="str">
        <f ca="1">IFERROR(__xludf.DUMMYFUNCTION("IFERROR(VALUE(REGEXEXTRACT(TO_TEXT($F1003), N$1 &amp; ""x(\d+)"")), """")
"),"")</f>
        <v/>
      </c>
      <c r="O1003" s="9" t="str">
        <f ca="1">IFERROR(__xludf.DUMMYFUNCTION("IFERROR(VALUE(REGEXEXTRACT(TO_TEXT($F1003), O$1 &amp; ""x(\d+)"")), """")"),"")</f>
        <v/>
      </c>
      <c r="P1003" s="9" t="str">
        <f ca="1">IFERROR(__xludf.DUMMYFUNCTION("IFERROR(VALUE(REGEXEXTRACT(TO_TEXT($F1003), P$1 &amp; ""x(\d+)"")), """")"),"")</f>
        <v/>
      </c>
      <c r="Q1003" s="9" t="str">
        <f ca="1">IFERROR(__xludf.DUMMYFUNCTION("IFERROR(VALUE(REGEXEXTRACT(TO_TEXT($F1003), Q$1 &amp; ""x(\d+)"")), """")"),"")</f>
        <v/>
      </c>
      <c r="R1003" s="9" t="str">
        <f ca="1">IFERROR(__xludf.DUMMYFUNCTION("IFERROR(VALUE(REGEXEXTRACT(TO_TEXT($F1003), R$1 &amp; ""x(\d+)"")), """")"),"")</f>
        <v/>
      </c>
      <c r="S1003" s="9" t="str">
        <f ca="1">IFERROR(__xludf.DUMMYFUNCTION("IFERROR(VALUE(REGEXEXTRACT(TO_TEXT($F1003), S$1 &amp; ""x(\d+)"")), """")"),"")</f>
        <v/>
      </c>
      <c r="T1003" s="9" t="str">
        <f ca="1">IFERROR(__xludf.DUMMYFUNCTION("IFERROR(VALUE(REGEXEXTRACT(TO_TEXT($F1003), T$1 &amp; ""x(\d+)"")), """")"),"")</f>
        <v/>
      </c>
      <c r="U1003" s="9" t="str">
        <f ca="1">IFERROR(__xludf.DUMMYFUNCTION("IFERROR(VALUE(REGEXEXTRACT(TO_TEXT($F1003), U$1 &amp; ""x(\d+)"")), """")"),"")</f>
        <v/>
      </c>
      <c r="V1003" s="9" t="str">
        <f ca="1">IFERROR(__xludf.DUMMYFUNCTION("IFERROR(VALUE(REGEXEXTRACT(TO_TEXT($F1003), V$1 &amp; ""x(\d+)"")), """")"),"")</f>
        <v/>
      </c>
      <c r="W1003" s="9"/>
      <c r="X1003" s="9"/>
      <c r="Y1003" s="9"/>
      <c r="Z1003" s="9"/>
    </row>
    <row r="1004" spans="1:26" ht="15.75" hidden="1" customHeight="1">
      <c r="A1004" s="9" t="s">
        <v>2070</v>
      </c>
      <c r="B1004" s="9" t="s">
        <v>2071</v>
      </c>
      <c r="C1004" s="9" t="s">
        <v>543</v>
      </c>
      <c r="D1004" s="9" t="s">
        <v>48</v>
      </c>
      <c r="E1004" s="9" t="s">
        <v>12</v>
      </c>
      <c r="F1004" s="9" t="s">
        <v>1347</v>
      </c>
      <c r="G1004" s="9">
        <v>140</v>
      </c>
      <c r="H1004" s="9">
        <v>4</v>
      </c>
      <c r="I1004" s="9">
        <v>1.0149999999999999</v>
      </c>
      <c r="J1004" s="9">
        <v>52</v>
      </c>
      <c r="K1004" s="9" t="s">
        <v>424</v>
      </c>
      <c r="L1004" s="9" t="s">
        <v>1210</v>
      </c>
      <c r="M1004" s="9"/>
      <c r="N1004" s="9" t="str">
        <f ca="1">IFERROR(__xludf.DUMMYFUNCTION("IFERROR(VALUE(REGEXEXTRACT(TO_TEXT($F1004), N$1 &amp; ""x(\d+)"")), """")
"),"")</f>
        <v/>
      </c>
      <c r="O1004" s="9" t="str">
        <f ca="1">IFERROR(__xludf.DUMMYFUNCTION("IFERROR(VALUE(REGEXEXTRACT(TO_TEXT($F1004), O$1 &amp; ""x(\d+)"")), """")"),"")</f>
        <v/>
      </c>
      <c r="P1004" s="9">
        <f ca="1">IFERROR(__xludf.DUMMYFUNCTION("IFERROR(VALUE(REGEXEXTRACT(TO_TEXT($F1004), P$1 &amp; ""x(\d+)"")), """")"),1)</f>
        <v>1</v>
      </c>
      <c r="Q1004" s="9" t="str">
        <f ca="1">IFERROR(__xludf.DUMMYFUNCTION("IFERROR(VALUE(REGEXEXTRACT(TO_TEXT($F1004), Q$1 &amp; ""x(\d+)"")), """")"),"")</f>
        <v/>
      </c>
      <c r="R1004" s="9">
        <f ca="1">IFERROR(__xludf.DUMMYFUNCTION("IFERROR(VALUE(REGEXEXTRACT(TO_TEXT($F1004), R$1 &amp; ""x(\d+)"")), """")"),1)</f>
        <v>1</v>
      </c>
      <c r="S1004" s="9" t="str">
        <f ca="1">IFERROR(__xludf.DUMMYFUNCTION("IFERROR(VALUE(REGEXEXTRACT(TO_TEXT($F1004), S$1 &amp; ""x(\d+)"")), """")"),"")</f>
        <v/>
      </c>
      <c r="T1004" s="9" t="str">
        <f ca="1">IFERROR(__xludf.DUMMYFUNCTION("IFERROR(VALUE(REGEXEXTRACT(TO_TEXT($F1004), T$1 &amp; ""x(\d+)"")), """")"),"")</f>
        <v/>
      </c>
      <c r="U1004" s="9" t="str">
        <f ca="1">IFERROR(__xludf.DUMMYFUNCTION("IFERROR(VALUE(REGEXEXTRACT(TO_TEXT($F1004), U$1 &amp; ""x(\d+)"")), """")"),"")</f>
        <v/>
      </c>
      <c r="V1004" s="9" t="str">
        <f ca="1">IFERROR(__xludf.DUMMYFUNCTION("IFERROR(VALUE(REGEXEXTRACT(TO_TEXT($F1004), V$1 &amp; ""x(\d+)"")), """")"),"")</f>
        <v/>
      </c>
      <c r="W1004" s="9"/>
      <c r="X1004" s="9"/>
      <c r="Y1004" s="9"/>
      <c r="Z1004" s="9"/>
    </row>
    <row r="1005" spans="1:26" ht="15.75" hidden="1" customHeight="1">
      <c r="A1005" s="9" t="s">
        <v>2070</v>
      </c>
      <c r="B1005" s="9" t="s">
        <v>2071</v>
      </c>
      <c r="C1005" s="9" t="s">
        <v>543</v>
      </c>
      <c r="D1005" s="9" t="s">
        <v>48</v>
      </c>
      <c r="E1005" s="9" t="s">
        <v>13</v>
      </c>
      <c r="F1005" s="9" t="s">
        <v>1348</v>
      </c>
      <c r="G1005" s="9">
        <v>90</v>
      </c>
      <c r="H1005" s="9">
        <v>4</v>
      </c>
      <c r="I1005" s="9">
        <v>1.0149999999999999</v>
      </c>
      <c r="J1005" s="9">
        <v>52</v>
      </c>
      <c r="K1005" s="9" t="s">
        <v>424</v>
      </c>
      <c r="L1005" s="9"/>
      <c r="M1005" s="9"/>
      <c r="N1005" s="9" t="str">
        <f ca="1">IFERROR(__xludf.DUMMYFUNCTION("IFERROR(VALUE(REGEXEXTRACT(TO_TEXT($F1005), N$1 &amp; ""x(\d+)"")), """")
"),"")</f>
        <v/>
      </c>
      <c r="O1005" s="9" t="str">
        <f ca="1">IFERROR(__xludf.DUMMYFUNCTION("IFERROR(VALUE(REGEXEXTRACT(TO_TEXT($F1005), O$1 &amp; ""x(\d+)"")), """")"),"")</f>
        <v/>
      </c>
      <c r="P1005" s="9">
        <f ca="1">IFERROR(__xludf.DUMMYFUNCTION("IFERROR(VALUE(REGEXEXTRACT(TO_TEXT($F1005), P$1 &amp; ""x(\d+)"")), """")"),1)</f>
        <v>1</v>
      </c>
      <c r="Q1005" s="9" t="str">
        <f ca="1">IFERROR(__xludf.DUMMYFUNCTION("IFERROR(VALUE(REGEXEXTRACT(TO_TEXT($F1005), Q$1 &amp; ""x(\d+)"")), """")"),"")</f>
        <v/>
      </c>
      <c r="R1005" s="9">
        <f ca="1">IFERROR(__xludf.DUMMYFUNCTION("IFERROR(VALUE(REGEXEXTRACT(TO_TEXT($F1005), R$1 &amp; ""x(\d+)"")), """")"),1)</f>
        <v>1</v>
      </c>
      <c r="S1005" s="9" t="str">
        <f ca="1">IFERROR(__xludf.DUMMYFUNCTION("IFERROR(VALUE(REGEXEXTRACT(TO_TEXT($F1005), S$1 &amp; ""x(\d+)"")), """")"),"")</f>
        <v/>
      </c>
      <c r="T1005" s="9" t="str">
        <f ca="1">IFERROR(__xludf.DUMMYFUNCTION("IFERROR(VALUE(REGEXEXTRACT(TO_TEXT($F1005), T$1 &amp; ""x(\d+)"")), """")"),"")</f>
        <v/>
      </c>
      <c r="U1005" s="9" t="str">
        <f ca="1">IFERROR(__xludf.DUMMYFUNCTION("IFERROR(VALUE(REGEXEXTRACT(TO_TEXT($F1005), U$1 &amp; ""x(\d+)"")), """")"),"")</f>
        <v/>
      </c>
      <c r="V1005" s="9" t="str">
        <f ca="1">IFERROR(__xludf.DUMMYFUNCTION("IFERROR(VALUE(REGEXEXTRACT(TO_TEXT($F1005), V$1 &amp; ""x(\d+)"")), """")"),"")</f>
        <v/>
      </c>
      <c r="W1005" s="9"/>
      <c r="X1005" s="9"/>
      <c r="Y1005" s="9"/>
      <c r="Z1005" s="9"/>
    </row>
    <row r="1006" spans="1:26" ht="15.75" customHeight="1">
      <c r="A1006" s="9" t="s">
        <v>2072</v>
      </c>
      <c r="B1006" s="9" t="s">
        <v>2073</v>
      </c>
      <c r="C1006" s="9" t="s">
        <v>511</v>
      </c>
      <c r="D1006" s="9" t="s">
        <v>33</v>
      </c>
      <c r="E1006" s="9" t="s">
        <v>11</v>
      </c>
      <c r="F1006" s="9" t="s">
        <v>1263</v>
      </c>
      <c r="G1006" s="9">
        <v>35</v>
      </c>
      <c r="H1006" s="9">
        <v>4</v>
      </c>
      <c r="I1006" s="9">
        <v>1.0149999999999999</v>
      </c>
      <c r="J1006" s="9">
        <v>78</v>
      </c>
      <c r="K1006" s="9" t="s">
        <v>424</v>
      </c>
      <c r="L1006" s="9"/>
      <c r="M1006" s="9"/>
      <c r="N1006" s="9" t="str">
        <f ca="1">IFERROR(__xludf.DUMMYFUNCTION("IFERROR(VALUE(REGEXEXTRACT(TO_TEXT($F1006), N$1 &amp; ""x(\d+)"")), """")
"),"")</f>
        <v/>
      </c>
      <c r="O1006" s="9" t="str">
        <f ca="1">IFERROR(__xludf.DUMMYFUNCTION("IFERROR(VALUE(REGEXEXTRACT(TO_TEXT($F1006), O$1 &amp; ""x(\d+)"")), """")"),"")</f>
        <v/>
      </c>
      <c r="P1006" s="9" t="str">
        <f ca="1">IFERROR(__xludf.DUMMYFUNCTION("IFERROR(VALUE(REGEXEXTRACT(TO_TEXT($F1006), P$1 &amp; ""x(\d+)"")), """")"),"")</f>
        <v/>
      </c>
      <c r="Q1006" s="9" t="str">
        <f ca="1">IFERROR(__xludf.DUMMYFUNCTION("IFERROR(VALUE(REGEXEXTRACT(TO_TEXT($F1006), Q$1 &amp; ""x(\d+)"")), """")"),"")</f>
        <v/>
      </c>
      <c r="R1006" s="9" t="str">
        <f ca="1">IFERROR(__xludf.DUMMYFUNCTION("IFERROR(VALUE(REGEXEXTRACT(TO_TEXT($F1006), R$1 &amp; ""x(\d+)"")), """")"),"")</f>
        <v/>
      </c>
      <c r="S1006" s="9" t="str">
        <f ca="1">IFERROR(__xludf.DUMMYFUNCTION("IFERROR(VALUE(REGEXEXTRACT(TO_TEXT($F1006), S$1 &amp; ""x(\d+)"")), """")"),"")</f>
        <v/>
      </c>
      <c r="T1006" s="9" t="str">
        <f ca="1">IFERROR(__xludf.DUMMYFUNCTION("IFERROR(VALUE(REGEXEXTRACT(TO_TEXT($F1006), T$1 &amp; ""x(\d+)"")), """")"),"")</f>
        <v/>
      </c>
      <c r="U1006" s="9" t="str">
        <f ca="1">IFERROR(__xludf.DUMMYFUNCTION("IFERROR(VALUE(REGEXEXTRACT(TO_TEXT($F1006), U$1 &amp; ""x(\d+)"")), """")"),"")</f>
        <v/>
      </c>
      <c r="V1006" s="9" t="str">
        <f ca="1">IFERROR(__xludf.DUMMYFUNCTION("IFERROR(VALUE(REGEXEXTRACT(TO_TEXT($F1006), V$1 &amp; ""x(\d+)"")), """")"),"")</f>
        <v/>
      </c>
      <c r="W1006" s="9"/>
      <c r="X1006" s="9"/>
      <c r="Y1006" s="9"/>
      <c r="Z1006" s="9"/>
    </row>
    <row r="1007" spans="1:26" ht="15.75" customHeight="1">
      <c r="A1007" s="9" t="s">
        <v>2072</v>
      </c>
      <c r="B1007" s="9" t="s">
        <v>2073</v>
      </c>
      <c r="C1007" s="9" t="s">
        <v>511</v>
      </c>
      <c r="D1007" s="9" t="s">
        <v>33</v>
      </c>
      <c r="E1007" s="9" t="s">
        <v>12</v>
      </c>
      <c r="F1007" s="9" t="s">
        <v>1264</v>
      </c>
      <c r="G1007" s="9">
        <v>125</v>
      </c>
      <c r="H1007" s="9">
        <v>4</v>
      </c>
      <c r="I1007" s="9">
        <v>1.0149999999999999</v>
      </c>
      <c r="J1007" s="9">
        <v>78</v>
      </c>
      <c r="K1007" s="9" t="s">
        <v>424</v>
      </c>
      <c r="L1007" s="9"/>
      <c r="M1007" s="9"/>
      <c r="N1007" s="9" t="str">
        <f ca="1">IFERROR(__xludf.DUMMYFUNCTION("IFERROR(VALUE(REGEXEXTRACT(TO_TEXT($F1007), N$1 &amp; ""x(\d+)"")), """")
"),"")</f>
        <v/>
      </c>
      <c r="O1007" s="9">
        <f ca="1">IFERROR(__xludf.DUMMYFUNCTION("IFERROR(VALUE(REGEXEXTRACT(TO_TEXT($F1007), O$1 &amp; ""x(\d+)"")), """")"),1)</f>
        <v>1</v>
      </c>
      <c r="P1007" s="9" t="str">
        <f ca="1">IFERROR(__xludf.DUMMYFUNCTION("IFERROR(VALUE(REGEXEXTRACT(TO_TEXT($F1007), P$1 &amp; ""x(\d+)"")), """")"),"")</f>
        <v/>
      </c>
      <c r="Q1007" s="9" t="str">
        <f ca="1">IFERROR(__xludf.DUMMYFUNCTION("IFERROR(VALUE(REGEXEXTRACT(TO_TEXT($F1007), Q$1 &amp; ""x(\d+)"")), """")"),"")</f>
        <v/>
      </c>
      <c r="R1007" s="9" t="str">
        <f ca="1">IFERROR(__xludf.DUMMYFUNCTION("IFERROR(VALUE(REGEXEXTRACT(TO_TEXT($F1007), R$1 &amp; ""x(\d+)"")), """")"),"")</f>
        <v/>
      </c>
      <c r="S1007" s="9" t="str">
        <f ca="1">IFERROR(__xludf.DUMMYFUNCTION("IFERROR(VALUE(REGEXEXTRACT(TO_TEXT($F1007), S$1 &amp; ""x(\d+)"")), """")"),"")</f>
        <v/>
      </c>
      <c r="T1007" s="9" t="str">
        <f ca="1">IFERROR(__xludf.DUMMYFUNCTION("IFERROR(VALUE(REGEXEXTRACT(TO_TEXT($F1007), T$1 &amp; ""x(\d+)"")), """")"),"")</f>
        <v/>
      </c>
      <c r="U1007" s="9" t="str">
        <f ca="1">IFERROR(__xludf.DUMMYFUNCTION("IFERROR(VALUE(REGEXEXTRACT(TO_TEXT($F1007), U$1 &amp; ""x(\d+)"")), """")"),"")</f>
        <v/>
      </c>
      <c r="V1007" s="9" t="str">
        <f ca="1">IFERROR(__xludf.DUMMYFUNCTION("IFERROR(VALUE(REGEXEXTRACT(TO_TEXT($F1007), V$1 &amp; ""x(\d+)"")), """")"),"")</f>
        <v/>
      </c>
      <c r="W1007" s="9"/>
      <c r="X1007" s="9"/>
      <c r="Y1007" s="9"/>
      <c r="Z1007" s="9"/>
    </row>
    <row r="1008" spans="1:26" ht="15.75" customHeight="1">
      <c r="A1008" s="9" t="s">
        <v>2072</v>
      </c>
      <c r="B1008" s="9" t="s">
        <v>2073</v>
      </c>
      <c r="C1008" s="9" t="s">
        <v>511</v>
      </c>
      <c r="D1008" s="9" t="s">
        <v>33</v>
      </c>
      <c r="E1008" s="9" t="s">
        <v>13</v>
      </c>
      <c r="F1008" s="9" t="s">
        <v>1058</v>
      </c>
      <c r="G1008" s="9">
        <v>15</v>
      </c>
      <c r="H1008" s="9">
        <v>4</v>
      </c>
      <c r="I1008" s="9">
        <v>1.0149999999999999</v>
      </c>
      <c r="J1008" s="9">
        <v>78</v>
      </c>
      <c r="K1008" s="9" t="s">
        <v>424</v>
      </c>
      <c r="L1008" s="9"/>
      <c r="M1008" s="9"/>
      <c r="N1008" s="9" t="str">
        <f ca="1">IFERROR(__xludf.DUMMYFUNCTION("IFERROR(VALUE(REGEXEXTRACT(TO_TEXT($F1008), N$1 &amp; ""x(\d+)"")), """")
"),"")</f>
        <v/>
      </c>
      <c r="O1008" s="9">
        <f ca="1">IFERROR(__xludf.DUMMYFUNCTION("IFERROR(VALUE(REGEXEXTRACT(TO_TEXT($F1008), O$1 &amp; ""x(\d+)"")), """")"),1)</f>
        <v>1</v>
      </c>
      <c r="P1008" s="9" t="str">
        <f ca="1">IFERROR(__xludf.DUMMYFUNCTION("IFERROR(VALUE(REGEXEXTRACT(TO_TEXT($F1008), P$1 &amp; ""x(\d+)"")), """")"),"")</f>
        <v/>
      </c>
      <c r="Q1008" s="9" t="str">
        <f ca="1">IFERROR(__xludf.DUMMYFUNCTION("IFERROR(VALUE(REGEXEXTRACT(TO_TEXT($F1008), Q$1 &amp; ""x(\d+)"")), """")"),"")</f>
        <v/>
      </c>
      <c r="R1008" s="9" t="str">
        <f ca="1">IFERROR(__xludf.DUMMYFUNCTION("IFERROR(VALUE(REGEXEXTRACT(TO_TEXT($F1008), R$1 &amp; ""x(\d+)"")), """")"),"")</f>
        <v/>
      </c>
      <c r="S1008" s="9" t="str">
        <f ca="1">IFERROR(__xludf.DUMMYFUNCTION("IFERROR(VALUE(REGEXEXTRACT(TO_TEXT($F1008), S$1 &amp; ""x(\d+)"")), """")"),"")</f>
        <v/>
      </c>
      <c r="T1008" s="9" t="str">
        <f ca="1">IFERROR(__xludf.DUMMYFUNCTION("IFERROR(VALUE(REGEXEXTRACT(TO_TEXT($F1008), T$1 &amp; ""x(\d+)"")), """")"),"")</f>
        <v/>
      </c>
      <c r="U1008" s="9" t="str">
        <f ca="1">IFERROR(__xludf.DUMMYFUNCTION("IFERROR(VALUE(REGEXEXTRACT(TO_TEXT($F1008), U$1 &amp; ""x(\d+)"")), """")"),"")</f>
        <v/>
      </c>
      <c r="V1008" s="9" t="str">
        <f ca="1">IFERROR(__xludf.DUMMYFUNCTION("IFERROR(VALUE(REGEXEXTRACT(TO_TEXT($F1008), V$1 &amp; ""x(\d+)"")), """")"),"")</f>
        <v/>
      </c>
      <c r="W1008" s="9"/>
      <c r="X1008" s="9"/>
      <c r="Y1008" s="9"/>
      <c r="Z1008" s="9"/>
    </row>
    <row r="1009" spans="1:26" ht="15.75" customHeight="1">
      <c r="A1009" s="9" t="s">
        <v>2074</v>
      </c>
      <c r="B1009" s="9" t="s">
        <v>2075</v>
      </c>
      <c r="C1009" s="9" t="s">
        <v>541</v>
      </c>
      <c r="D1009" s="9" t="s">
        <v>33</v>
      </c>
      <c r="E1009" s="9" t="s">
        <v>11</v>
      </c>
      <c r="F1009" s="9" t="s">
        <v>2069</v>
      </c>
      <c r="G1009" s="9">
        <v>95</v>
      </c>
      <c r="H1009" s="9">
        <v>4</v>
      </c>
      <c r="I1009" s="9">
        <v>1.0149999999999999</v>
      </c>
      <c r="J1009" s="9">
        <v>76</v>
      </c>
      <c r="K1009" s="9" t="s">
        <v>424</v>
      </c>
      <c r="L1009" s="9"/>
      <c r="M1009" s="9"/>
      <c r="N1009" s="9">
        <f ca="1">IFERROR(__xludf.DUMMYFUNCTION("IFERROR(VALUE(REGEXEXTRACT(TO_TEXT($F1009), N$1 &amp; ""x(\d+)"")), """")
"),1)</f>
        <v>1</v>
      </c>
      <c r="O1009" s="9">
        <f ca="1">IFERROR(__xludf.DUMMYFUNCTION("IFERROR(VALUE(REGEXEXTRACT(TO_TEXT($F1009), O$1 &amp; ""x(\d+)"")), """")"),1)</f>
        <v>1</v>
      </c>
      <c r="P1009" s="9" t="str">
        <f ca="1">IFERROR(__xludf.DUMMYFUNCTION("IFERROR(VALUE(REGEXEXTRACT(TO_TEXT($F1009), P$1 &amp; ""x(\d+)"")), """")"),"")</f>
        <v/>
      </c>
      <c r="Q1009" s="9" t="str">
        <f ca="1">IFERROR(__xludf.DUMMYFUNCTION("IFERROR(VALUE(REGEXEXTRACT(TO_TEXT($F1009), Q$1 &amp; ""x(\d+)"")), """")"),"")</f>
        <v/>
      </c>
      <c r="R1009" s="9" t="str">
        <f ca="1">IFERROR(__xludf.DUMMYFUNCTION("IFERROR(VALUE(REGEXEXTRACT(TO_TEXT($F1009), R$1 &amp; ""x(\d+)"")), """")"),"")</f>
        <v/>
      </c>
      <c r="S1009" s="9" t="str">
        <f ca="1">IFERROR(__xludf.DUMMYFUNCTION("IFERROR(VALUE(REGEXEXTRACT(TO_TEXT($F1009), S$1 &amp; ""x(\d+)"")), """")"),"")</f>
        <v/>
      </c>
      <c r="T1009" s="9" t="str">
        <f ca="1">IFERROR(__xludf.DUMMYFUNCTION("IFERROR(VALUE(REGEXEXTRACT(TO_TEXT($F1009), T$1 &amp; ""x(\d+)"")), """")"),"")</f>
        <v/>
      </c>
      <c r="U1009" s="9" t="str">
        <f ca="1">IFERROR(__xludf.DUMMYFUNCTION("IFERROR(VALUE(REGEXEXTRACT(TO_TEXT($F1009), U$1 &amp; ""x(\d+)"")), """")"),"")</f>
        <v/>
      </c>
      <c r="V1009" s="9" t="str">
        <f ca="1">IFERROR(__xludf.DUMMYFUNCTION("IFERROR(VALUE(REGEXEXTRACT(TO_TEXT($F1009), V$1 &amp; ""x(\d+)"")), """")"),"")</f>
        <v/>
      </c>
      <c r="W1009" s="9"/>
      <c r="X1009" s="9"/>
      <c r="Y1009" s="9"/>
      <c r="Z1009" s="9"/>
    </row>
    <row r="1010" spans="1:26" ht="15.75" customHeight="1">
      <c r="A1010" s="9" t="s">
        <v>2074</v>
      </c>
      <c r="B1010" s="9" t="s">
        <v>2075</v>
      </c>
      <c r="C1010" s="9" t="s">
        <v>541</v>
      </c>
      <c r="D1010" s="9" t="s">
        <v>33</v>
      </c>
      <c r="E1010" s="9" t="s">
        <v>12</v>
      </c>
      <c r="F1010" s="9" t="s">
        <v>1187</v>
      </c>
      <c r="G1010" s="9">
        <v>80</v>
      </c>
      <c r="H1010" s="9">
        <v>4</v>
      </c>
      <c r="I1010" s="9">
        <v>1.0149999999999999</v>
      </c>
      <c r="J1010" s="9">
        <v>76</v>
      </c>
      <c r="K1010" s="9" t="s">
        <v>424</v>
      </c>
      <c r="L1010" s="9"/>
      <c r="M1010" s="9"/>
      <c r="N1010" s="9" t="str">
        <f ca="1">IFERROR(__xludf.DUMMYFUNCTION("IFERROR(VALUE(REGEXEXTRACT(TO_TEXT($F1010), N$1 &amp; ""x(\d+)"")), """")
"),"")</f>
        <v/>
      </c>
      <c r="O1010" s="9">
        <f ca="1">IFERROR(__xludf.DUMMYFUNCTION("IFERROR(VALUE(REGEXEXTRACT(TO_TEXT($F1010), O$1 &amp; ""x(\d+)"")), """")"),1)</f>
        <v>1</v>
      </c>
      <c r="P1010" s="9" t="str">
        <f ca="1">IFERROR(__xludf.DUMMYFUNCTION("IFERROR(VALUE(REGEXEXTRACT(TO_TEXT($F1010), P$1 &amp; ""x(\d+)"")), """")"),"")</f>
        <v/>
      </c>
      <c r="Q1010" s="9" t="str">
        <f ca="1">IFERROR(__xludf.DUMMYFUNCTION("IFERROR(VALUE(REGEXEXTRACT(TO_TEXT($F1010), Q$1 &amp; ""x(\d+)"")), """")"),"")</f>
        <v/>
      </c>
      <c r="R1010" s="9" t="str">
        <f ca="1">IFERROR(__xludf.DUMMYFUNCTION("IFERROR(VALUE(REGEXEXTRACT(TO_TEXT($F1010), R$1 &amp; ""x(\d+)"")), """")"),"")</f>
        <v/>
      </c>
      <c r="S1010" s="9" t="str">
        <f ca="1">IFERROR(__xludf.DUMMYFUNCTION("IFERROR(VALUE(REGEXEXTRACT(TO_TEXT($F1010), S$1 &amp; ""x(\d+)"")), """")"),"")</f>
        <v/>
      </c>
      <c r="T1010" s="9" t="str">
        <f ca="1">IFERROR(__xludf.DUMMYFUNCTION("IFERROR(VALUE(REGEXEXTRACT(TO_TEXT($F1010), T$1 &amp; ""x(\d+)"")), """")"),"")</f>
        <v/>
      </c>
      <c r="U1010" s="9" t="str">
        <f ca="1">IFERROR(__xludf.DUMMYFUNCTION("IFERROR(VALUE(REGEXEXTRACT(TO_TEXT($F1010), U$1 &amp; ""x(\d+)"")), """")"),"")</f>
        <v/>
      </c>
      <c r="V1010" s="9" t="str">
        <f ca="1">IFERROR(__xludf.DUMMYFUNCTION("IFERROR(VALUE(REGEXEXTRACT(TO_TEXT($F1010), V$1 &amp; ""x(\d+)"")), """")"),"")</f>
        <v/>
      </c>
      <c r="W1010" s="9"/>
      <c r="X1010" s="9"/>
      <c r="Y1010" s="9"/>
      <c r="Z1010" s="9"/>
    </row>
    <row r="1011" spans="1:26" ht="15.75" customHeight="1">
      <c r="A1011" s="9" t="s">
        <v>2074</v>
      </c>
      <c r="B1011" s="9" t="s">
        <v>2075</v>
      </c>
      <c r="C1011" s="9" t="s">
        <v>541</v>
      </c>
      <c r="D1011" s="9" t="s">
        <v>33</v>
      </c>
      <c r="E1011" s="9" t="s">
        <v>13</v>
      </c>
      <c r="F1011" s="9" t="s">
        <v>1188</v>
      </c>
      <c r="G1011" s="9">
        <v>30</v>
      </c>
      <c r="H1011" s="9">
        <v>4</v>
      </c>
      <c r="I1011" s="9">
        <v>1.0149999999999999</v>
      </c>
      <c r="J1011" s="9">
        <v>76</v>
      </c>
      <c r="K1011" s="9" t="s">
        <v>424</v>
      </c>
      <c r="L1011" s="9"/>
      <c r="M1011" s="9"/>
      <c r="N1011" s="9" t="str">
        <f ca="1">IFERROR(__xludf.DUMMYFUNCTION("IFERROR(VALUE(REGEXEXTRACT(TO_TEXT($F1011), N$1 &amp; ""x(\d+)"")), """")
"),"")</f>
        <v/>
      </c>
      <c r="O1011" s="9">
        <f ca="1">IFERROR(__xludf.DUMMYFUNCTION("IFERROR(VALUE(REGEXEXTRACT(TO_TEXT($F1011), O$1 &amp; ""x(\d+)"")), """")"),1)</f>
        <v>1</v>
      </c>
      <c r="P1011" s="9" t="str">
        <f ca="1">IFERROR(__xludf.DUMMYFUNCTION("IFERROR(VALUE(REGEXEXTRACT(TO_TEXT($F1011), P$1 &amp; ""x(\d+)"")), """")"),"")</f>
        <v/>
      </c>
      <c r="Q1011" s="9" t="str">
        <f ca="1">IFERROR(__xludf.DUMMYFUNCTION("IFERROR(VALUE(REGEXEXTRACT(TO_TEXT($F1011), Q$1 &amp; ""x(\d+)"")), """")"),"")</f>
        <v/>
      </c>
      <c r="R1011" s="9" t="str">
        <f ca="1">IFERROR(__xludf.DUMMYFUNCTION("IFERROR(VALUE(REGEXEXTRACT(TO_TEXT($F1011), R$1 &amp; ""x(\d+)"")), """")"),"")</f>
        <v/>
      </c>
      <c r="S1011" s="9" t="str">
        <f ca="1">IFERROR(__xludf.DUMMYFUNCTION("IFERROR(VALUE(REGEXEXTRACT(TO_TEXT($F1011), S$1 &amp; ""x(\d+)"")), """")"),"")</f>
        <v/>
      </c>
      <c r="T1011" s="9" t="str">
        <f ca="1">IFERROR(__xludf.DUMMYFUNCTION("IFERROR(VALUE(REGEXEXTRACT(TO_TEXT($F1011), T$1 &amp; ""x(\d+)"")), """")"),"")</f>
        <v/>
      </c>
      <c r="U1011" s="9" t="str">
        <f ca="1">IFERROR(__xludf.DUMMYFUNCTION("IFERROR(VALUE(REGEXEXTRACT(TO_TEXT($F1011), U$1 &amp; ""x(\d+)"")), """")"),"")</f>
        <v/>
      </c>
      <c r="V1011" s="9" t="str">
        <f ca="1">IFERROR(__xludf.DUMMYFUNCTION("IFERROR(VALUE(REGEXEXTRACT(TO_TEXT($F1011), V$1 &amp; ""x(\d+)"")), """")"),"")</f>
        <v/>
      </c>
      <c r="W1011" s="9"/>
      <c r="X1011" s="9"/>
      <c r="Y1011" s="9"/>
      <c r="Z1011" s="9"/>
    </row>
    <row r="1012" spans="1:26" ht="15.75" hidden="1" customHeight="1">
      <c r="A1012" s="9" t="s">
        <v>2076</v>
      </c>
      <c r="B1012" s="9" t="s">
        <v>2077</v>
      </c>
      <c r="C1012" s="9" t="s">
        <v>735</v>
      </c>
      <c r="D1012" s="9" t="s">
        <v>48</v>
      </c>
      <c r="E1012" s="9" t="s">
        <v>11</v>
      </c>
      <c r="F1012" s="9" t="s">
        <v>1180</v>
      </c>
      <c r="G1012" s="9">
        <v>25</v>
      </c>
      <c r="H1012" s="9">
        <v>4</v>
      </c>
      <c r="I1012" s="9">
        <v>1.0149999999999999</v>
      </c>
      <c r="J1012" s="9">
        <v>52</v>
      </c>
      <c r="K1012" s="9" t="s">
        <v>424</v>
      </c>
      <c r="L1012" s="9"/>
      <c r="M1012" s="9"/>
      <c r="N1012" s="9" t="str">
        <f ca="1">IFERROR(__xludf.DUMMYFUNCTION("IFERROR(VALUE(REGEXEXTRACT(TO_TEXT($F1012), N$1 &amp; ""x(\d+)"")), """")
"),"")</f>
        <v/>
      </c>
      <c r="O1012" s="9" t="str">
        <f ca="1">IFERROR(__xludf.DUMMYFUNCTION("IFERROR(VALUE(REGEXEXTRACT(TO_TEXT($F1012), O$1 &amp; ""x(\d+)"")), """")"),"")</f>
        <v/>
      </c>
      <c r="P1012" s="9" t="str">
        <f ca="1">IFERROR(__xludf.DUMMYFUNCTION("IFERROR(VALUE(REGEXEXTRACT(TO_TEXT($F1012), P$1 &amp; ""x(\d+)"")), """")"),"")</f>
        <v/>
      </c>
      <c r="Q1012" s="9" t="str">
        <f ca="1">IFERROR(__xludf.DUMMYFUNCTION("IFERROR(VALUE(REGEXEXTRACT(TO_TEXT($F1012), Q$1 &amp; ""x(\d+)"")), """")"),"")</f>
        <v/>
      </c>
      <c r="R1012" s="9" t="str">
        <f ca="1">IFERROR(__xludf.DUMMYFUNCTION("IFERROR(VALUE(REGEXEXTRACT(TO_TEXT($F1012), R$1 &amp; ""x(\d+)"")), """")"),"")</f>
        <v/>
      </c>
      <c r="S1012" s="9" t="str">
        <f ca="1">IFERROR(__xludf.DUMMYFUNCTION("IFERROR(VALUE(REGEXEXTRACT(TO_TEXT($F1012), S$1 &amp; ""x(\d+)"")), """")"),"")</f>
        <v/>
      </c>
      <c r="T1012" s="9" t="str">
        <f ca="1">IFERROR(__xludf.DUMMYFUNCTION("IFERROR(VALUE(REGEXEXTRACT(TO_TEXT($F1012), T$1 &amp; ""x(\d+)"")), """")"),"")</f>
        <v/>
      </c>
      <c r="U1012" s="9" t="str">
        <f ca="1">IFERROR(__xludf.DUMMYFUNCTION("IFERROR(VALUE(REGEXEXTRACT(TO_TEXT($F1012), U$1 &amp; ""x(\d+)"")), """")"),"")</f>
        <v/>
      </c>
      <c r="V1012" s="9" t="str">
        <f ca="1">IFERROR(__xludf.DUMMYFUNCTION("IFERROR(VALUE(REGEXEXTRACT(TO_TEXT($F1012), V$1 &amp; ""x(\d+)"")), """")"),"")</f>
        <v/>
      </c>
      <c r="W1012" s="9"/>
      <c r="X1012" s="9"/>
      <c r="Y1012" s="9"/>
      <c r="Z1012" s="9"/>
    </row>
    <row r="1013" spans="1:26" ht="15.75" hidden="1" customHeight="1">
      <c r="A1013" s="9" t="s">
        <v>2076</v>
      </c>
      <c r="B1013" s="9" t="s">
        <v>2077</v>
      </c>
      <c r="C1013" s="9" t="s">
        <v>735</v>
      </c>
      <c r="D1013" s="9" t="s">
        <v>48</v>
      </c>
      <c r="E1013" s="9" t="s">
        <v>12</v>
      </c>
      <c r="F1013" s="9" t="s">
        <v>1347</v>
      </c>
      <c r="G1013" s="9">
        <v>140</v>
      </c>
      <c r="H1013" s="9">
        <v>4</v>
      </c>
      <c r="I1013" s="9">
        <v>1.0149999999999999</v>
      </c>
      <c r="J1013" s="9">
        <v>52</v>
      </c>
      <c r="K1013" s="9" t="s">
        <v>424</v>
      </c>
      <c r="L1013" s="9" t="s">
        <v>1210</v>
      </c>
      <c r="M1013" s="9"/>
      <c r="N1013" s="9" t="str">
        <f ca="1">IFERROR(__xludf.DUMMYFUNCTION("IFERROR(VALUE(REGEXEXTRACT(TO_TEXT($F1013), N$1 &amp; ""x(\d+)"")), """")
"),"")</f>
        <v/>
      </c>
      <c r="O1013" s="9" t="str">
        <f ca="1">IFERROR(__xludf.DUMMYFUNCTION("IFERROR(VALUE(REGEXEXTRACT(TO_TEXT($F1013), O$1 &amp; ""x(\d+)"")), """")"),"")</f>
        <v/>
      </c>
      <c r="P1013" s="9">
        <f ca="1">IFERROR(__xludf.DUMMYFUNCTION("IFERROR(VALUE(REGEXEXTRACT(TO_TEXT($F1013), P$1 &amp; ""x(\d+)"")), """")"),1)</f>
        <v>1</v>
      </c>
      <c r="Q1013" s="9" t="str">
        <f ca="1">IFERROR(__xludf.DUMMYFUNCTION("IFERROR(VALUE(REGEXEXTRACT(TO_TEXT($F1013), Q$1 &amp; ""x(\d+)"")), """")"),"")</f>
        <v/>
      </c>
      <c r="R1013" s="9">
        <f ca="1">IFERROR(__xludf.DUMMYFUNCTION("IFERROR(VALUE(REGEXEXTRACT(TO_TEXT($F1013), R$1 &amp; ""x(\d+)"")), """")"),1)</f>
        <v>1</v>
      </c>
      <c r="S1013" s="9" t="str">
        <f ca="1">IFERROR(__xludf.DUMMYFUNCTION("IFERROR(VALUE(REGEXEXTRACT(TO_TEXT($F1013), S$1 &amp; ""x(\d+)"")), """")"),"")</f>
        <v/>
      </c>
      <c r="T1013" s="9" t="str">
        <f ca="1">IFERROR(__xludf.DUMMYFUNCTION("IFERROR(VALUE(REGEXEXTRACT(TO_TEXT($F1013), T$1 &amp; ""x(\d+)"")), """")"),"")</f>
        <v/>
      </c>
      <c r="U1013" s="9" t="str">
        <f ca="1">IFERROR(__xludf.DUMMYFUNCTION("IFERROR(VALUE(REGEXEXTRACT(TO_TEXT($F1013), U$1 &amp; ""x(\d+)"")), """")"),"")</f>
        <v/>
      </c>
      <c r="V1013" s="9" t="str">
        <f ca="1">IFERROR(__xludf.DUMMYFUNCTION("IFERROR(VALUE(REGEXEXTRACT(TO_TEXT($F1013), V$1 &amp; ""x(\d+)"")), """")"),"")</f>
        <v/>
      </c>
      <c r="W1013" s="9"/>
      <c r="X1013" s="9"/>
      <c r="Y1013" s="9"/>
      <c r="Z1013" s="9"/>
    </row>
    <row r="1014" spans="1:26" ht="15.75" hidden="1" customHeight="1">
      <c r="A1014" s="9" t="s">
        <v>2076</v>
      </c>
      <c r="B1014" s="9" t="s">
        <v>2077</v>
      </c>
      <c r="C1014" s="9" t="s">
        <v>735</v>
      </c>
      <c r="D1014" s="9" t="s">
        <v>48</v>
      </c>
      <c r="E1014" s="9" t="s">
        <v>13</v>
      </c>
      <c r="F1014" s="9" t="s">
        <v>1348</v>
      </c>
      <c r="G1014" s="9">
        <v>90</v>
      </c>
      <c r="H1014" s="9">
        <v>4</v>
      </c>
      <c r="I1014" s="9">
        <v>1.0149999999999999</v>
      </c>
      <c r="J1014" s="9">
        <v>52</v>
      </c>
      <c r="K1014" s="9" t="s">
        <v>424</v>
      </c>
      <c r="L1014" s="9"/>
      <c r="M1014" s="9"/>
      <c r="N1014" s="9" t="str">
        <f ca="1">IFERROR(__xludf.DUMMYFUNCTION("IFERROR(VALUE(REGEXEXTRACT(TO_TEXT($F1014), N$1 &amp; ""x(\d+)"")), """")
"),"")</f>
        <v/>
      </c>
      <c r="O1014" s="9" t="str">
        <f ca="1">IFERROR(__xludf.DUMMYFUNCTION("IFERROR(VALUE(REGEXEXTRACT(TO_TEXT($F1014), O$1 &amp; ""x(\d+)"")), """")"),"")</f>
        <v/>
      </c>
      <c r="P1014" s="9">
        <f ca="1">IFERROR(__xludf.DUMMYFUNCTION("IFERROR(VALUE(REGEXEXTRACT(TO_TEXT($F1014), P$1 &amp; ""x(\d+)"")), """")"),1)</f>
        <v>1</v>
      </c>
      <c r="Q1014" s="9" t="str">
        <f ca="1">IFERROR(__xludf.DUMMYFUNCTION("IFERROR(VALUE(REGEXEXTRACT(TO_TEXT($F1014), Q$1 &amp; ""x(\d+)"")), """")"),"")</f>
        <v/>
      </c>
      <c r="R1014" s="9">
        <f ca="1">IFERROR(__xludf.DUMMYFUNCTION("IFERROR(VALUE(REGEXEXTRACT(TO_TEXT($F1014), R$1 &amp; ""x(\d+)"")), """")"),1)</f>
        <v>1</v>
      </c>
      <c r="S1014" s="9" t="str">
        <f ca="1">IFERROR(__xludf.DUMMYFUNCTION("IFERROR(VALUE(REGEXEXTRACT(TO_TEXT($F1014), S$1 &amp; ""x(\d+)"")), """")"),"")</f>
        <v/>
      </c>
      <c r="T1014" s="9" t="str">
        <f ca="1">IFERROR(__xludf.DUMMYFUNCTION("IFERROR(VALUE(REGEXEXTRACT(TO_TEXT($F1014), T$1 &amp; ""x(\d+)"")), """")"),"")</f>
        <v/>
      </c>
      <c r="U1014" s="9" t="str">
        <f ca="1">IFERROR(__xludf.DUMMYFUNCTION("IFERROR(VALUE(REGEXEXTRACT(TO_TEXT($F1014), U$1 &amp; ""x(\d+)"")), """")"),"")</f>
        <v/>
      </c>
      <c r="V1014" s="9" t="str">
        <f ca="1">IFERROR(__xludf.DUMMYFUNCTION("IFERROR(VALUE(REGEXEXTRACT(TO_TEXT($F1014), V$1 &amp; ""x(\d+)"")), """")"),"")</f>
        <v/>
      </c>
      <c r="W1014" s="9"/>
      <c r="X1014" s="9"/>
      <c r="Y1014" s="9"/>
      <c r="Z1014" s="9"/>
    </row>
    <row r="1015" spans="1:26" ht="15.75" hidden="1" customHeight="1">
      <c r="A1015" s="9" t="s">
        <v>2076</v>
      </c>
      <c r="B1015" s="9" t="s">
        <v>2077</v>
      </c>
      <c r="C1015" s="9" t="s">
        <v>735</v>
      </c>
      <c r="D1015" s="9" t="s">
        <v>74</v>
      </c>
      <c r="E1015" s="9" t="s">
        <v>11</v>
      </c>
      <c r="F1015" s="9" t="s">
        <v>1204</v>
      </c>
      <c r="G1015" s="9">
        <v>30</v>
      </c>
      <c r="H1015" s="9">
        <v>3</v>
      </c>
      <c r="I1015" s="9">
        <v>1.0149999999999999</v>
      </c>
      <c r="J1015" s="9">
        <v>103</v>
      </c>
      <c r="K1015" s="9" t="s">
        <v>424</v>
      </c>
      <c r="L1015" s="9"/>
      <c r="M1015" s="9"/>
      <c r="N1015" s="9" t="str">
        <f ca="1">IFERROR(__xludf.DUMMYFUNCTION("IFERROR(VALUE(REGEXEXTRACT(TO_TEXT($F1015), N$1 &amp; ""x(\d+)"")), """")
"),"")</f>
        <v/>
      </c>
      <c r="O1015" s="9" t="str">
        <f ca="1">IFERROR(__xludf.DUMMYFUNCTION("IFERROR(VALUE(REGEXEXTRACT(TO_TEXT($F1015), O$1 &amp; ""x(\d+)"")), """")"),"")</f>
        <v/>
      </c>
      <c r="P1015" s="9" t="str">
        <f ca="1">IFERROR(__xludf.DUMMYFUNCTION("IFERROR(VALUE(REGEXEXTRACT(TO_TEXT($F1015), P$1 &amp; ""x(\d+)"")), """")"),"")</f>
        <v/>
      </c>
      <c r="Q1015" s="9" t="str">
        <f ca="1">IFERROR(__xludf.DUMMYFUNCTION("IFERROR(VALUE(REGEXEXTRACT(TO_TEXT($F1015), Q$1 &amp; ""x(\d+)"")), """")"),"")</f>
        <v/>
      </c>
      <c r="R1015" s="9" t="str">
        <f ca="1">IFERROR(__xludf.DUMMYFUNCTION("IFERROR(VALUE(REGEXEXTRACT(TO_TEXT($F1015), R$1 &amp; ""x(\d+)"")), """")"),"")</f>
        <v/>
      </c>
      <c r="S1015" s="9" t="str">
        <f ca="1">IFERROR(__xludf.DUMMYFUNCTION("IFERROR(VALUE(REGEXEXTRACT(TO_TEXT($F1015), S$1 &amp; ""x(\d+)"")), """")"),"")</f>
        <v/>
      </c>
      <c r="T1015" s="9" t="str">
        <f ca="1">IFERROR(__xludf.DUMMYFUNCTION("IFERROR(VALUE(REGEXEXTRACT(TO_TEXT($F1015), T$1 &amp; ""x(\d+)"")), """")"),"")</f>
        <v/>
      </c>
      <c r="U1015" s="9" t="str">
        <f ca="1">IFERROR(__xludf.DUMMYFUNCTION("IFERROR(VALUE(REGEXEXTRACT(TO_TEXT($F1015), U$1 &amp; ""x(\d+)"")), """")"),"")</f>
        <v/>
      </c>
      <c r="V1015" s="9" t="str">
        <f ca="1">IFERROR(__xludf.DUMMYFUNCTION("IFERROR(VALUE(REGEXEXTRACT(TO_TEXT($F1015), V$1 &amp; ""x(\d+)"")), """")"),"")</f>
        <v/>
      </c>
      <c r="W1015" s="9"/>
      <c r="X1015" s="9"/>
      <c r="Y1015" s="9"/>
      <c r="Z1015" s="9"/>
    </row>
    <row r="1016" spans="1:26" ht="15.75" hidden="1" customHeight="1">
      <c r="A1016" s="9" t="s">
        <v>2076</v>
      </c>
      <c r="B1016" s="9" t="s">
        <v>2077</v>
      </c>
      <c r="C1016" s="9" t="s">
        <v>735</v>
      </c>
      <c r="D1016" s="9" t="s">
        <v>74</v>
      </c>
      <c r="E1016" s="9" t="s">
        <v>12</v>
      </c>
      <c r="F1016" s="9" t="s">
        <v>2078</v>
      </c>
      <c r="G1016" s="9">
        <v>170</v>
      </c>
      <c r="H1016" s="9">
        <v>3</v>
      </c>
      <c r="I1016" s="9">
        <v>1.0149999999999999</v>
      </c>
      <c r="J1016" s="9">
        <v>103</v>
      </c>
      <c r="K1016" s="9" t="s">
        <v>424</v>
      </c>
      <c r="L1016" s="9" t="s">
        <v>1015</v>
      </c>
      <c r="M1016" s="9"/>
      <c r="N1016" s="9" t="str">
        <f ca="1">IFERROR(__xludf.DUMMYFUNCTION("IFERROR(VALUE(REGEXEXTRACT(TO_TEXT($F1016), N$1 &amp; ""x(\d+)"")), """")
"),"")</f>
        <v/>
      </c>
      <c r="O1016" s="9" t="str">
        <f ca="1">IFERROR(__xludf.DUMMYFUNCTION("IFERROR(VALUE(REGEXEXTRACT(TO_TEXT($F1016), O$1 &amp; ""x(\d+)"")), """")"),"")</f>
        <v/>
      </c>
      <c r="P1016" s="9" t="str">
        <f ca="1">IFERROR(__xludf.DUMMYFUNCTION("IFERROR(VALUE(REGEXEXTRACT(TO_TEXT($F1016), P$1 &amp; ""x(\d+)"")), """")"),"")</f>
        <v/>
      </c>
      <c r="Q1016" s="9">
        <f ca="1">IFERROR(__xludf.DUMMYFUNCTION("IFERROR(VALUE(REGEXEXTRACT(TO_TEXT($F1016), Q$1 &amp; ""x(\d+)"")), """")"),1)</f>
        <v>1</v>
      </c>
      <c r="R1016" s="9">
        <f ca="1">IFERROR(__xludf.DUMMYFUNCTION("IFERROR(VALUE(REGEXEXTRACT(TO_TEXT($F1016), R$1 &amp; ""x(\d+)"")), """")"),1)</f>
        <v>1</v>
      </c>
      <c r="S1016" s="9" t="str">
        <f ca="1">IFERROR(__xludf.DUMMYFUNCTION("IFERROR(VALUE(REGEXEXTRACT(TO_TEXT($F1016), S$1 &amp; ""x(\d+)"")), """")"),"")</f>
        <v/>
      </c>
      <c r="T1016" s="9" t="str">
        <f ca="1">IFERROR(__xludf.DUMMYFUNCTION("IFERROR(VALUE(REGEXEXTRACT(TO_TEXT($F1016), T$1 &amp; ""x(\d+)"")), """")"),"")</f>
        <v/>
      </c>
      <c r="U1016" s="9" t="str">
        <f ca="1">IFERROR(__xludf.DUMMYFUNCTION("IFERROR(VALUE(REGEXEXTRACT(TO_TEXT($F1016), U$1 &amp; ""x(\d+)"")), """")"),"")</f>
        <v/>
      </c>
      <c r="V1016" s="9" t="str">
        <f ca="1">IFERROR(__xludf.DUMMYFUNCTION("IFERROR(VALUE(REGEXEXTRACT(TO_TEXT($F1016), V$1 &amp; ""x(\d+)"")), """")"),"")</f>
        <v/>
      </c>
      <c r="W1016" s="9"/>
      <c r="X1016" s="9"/>
      <c r="Y1016" s="9"/>
      <c r="Z1016" s="9"/>
    </row>
    <row r="1017" spans="1:26" ht="15.75" hidden="1" customHeight="1">
      <c r="A1017" s="9" t="s">
        <v>2076</v>
      </c>
      <c r="B1017" s="9" t="s">
        <v>2077</v>
      </c>
      <c r="C1017" s="9" t="s">
        <v>735</v>
      </c>
      <c r="D1017" s="9" t="s">
        <v>74</v>
      </c>
      <c r="E1017" s="9" t="s">
        <v>13</v>
      </c>
      <c r="F1017" s="9" t="s">
        <v>2079</v>
      </c>
      <c r="G1017" s="9">
        <v>90</v>
      </c>
      <c r="H1017" s="9">
        <v>3</v>
      </c>
      <c r="I1017" s="9">
        <v>1.0149999999999999</v>
      </c>
      <c r="J1017" s="9">
        <v>103</v>
      </c>
      <c r="K1017" s="9" t="s">
        <v>424</v>
      </c>
      <c r="L1017" s="9"/>
      <c r="M1017" s="9"/>
      <c r="N1017" s="9" t="str">
        <f ca="1">IFERROR(__xludf.DUMMYFUNCTION("IFERROR(VALUE(REGEXEXTRACT(TO_TEXT($F1017), N$1 &amp; ""x(\d+)"")), """")
"),"")</f>
        <v/>
      </c>
      <c r="O1017" s="9" t="str">
        <f ca="1">IFERROR(__xludf.DUMMYFUNCTION("IFERROR(VALUE(REGEXEXTRACT(TO_TEXT($F1017), O$1 &amp; ""x(\d+)"")), """")"),"")</f>
        <v/>
      </c>
      <c r="P1017" s="9" t="str">
        <f ca="1">IFERROR(__xludf.DUMMYFUNCTION("IFERROR(VALUE(REGEXEXTRACT(TO_TEXT($F1017), P$1 &amp; ""x(\d+)"")), """")"),"")</f>
        <v/>
      </c>
      <c r="Q1017" s="9">
        <f ca="1">IFERROR(__xludf.DUMMYFUNCTION("IFERROR(VALUE(REGEXEXTRACT(TO_TEXT($F1017), Q$1 &amp; ""x(\d+)"")), """")"),1)</f>
        <v>1</v>
      </c>
      <c r="R1017" s="9">
        <f ca="1">IFERROR(__xludf.DUMMYFUNCTION("IFERROR(VALUE(REGEXEXTRACT(TO_TEXT($F1017), R$1 &amp; ""x(\d+)"")), """")"),1)</f>
        <v>1</v>
      </c>
      <c r="S1017" s="9" t="str">
        <f ca="1">IFERROR(__xludf.DUMMYFUNCTION("IFERROR(VALUE(REGEXEXTRACT(TO_TEXT($F1017), S$1 &amp; ""x(\d+)"")), """")"),"")</f>
        <v/>
      </c>
      <c r="T1017" s="9" t="str">
        <f ca="1">IFERROR(__xludf.DUMMYFUNCTION("IFERROR(VALUE(REGEXEXTRACT(TO_TEXT($F1017), T$1 &amp; ""x(\d+)"")), """")"),"")</f>
        <v/>
      </c>
      <c r="U1017" s="9" t="str">
        <f ca="1">IFERROR(__xludf.DUMMYFUNCTION("IFERROR(VALUE(REGEXEXTRACT(TO_TEXT($F1017), U$1 &amp; ""x(\d+)"")), """")"),"")</f>
        <v/>
      </c>
      <c r="V1017" s="9" t="str">
        <f ca="1">IFERROR(__xludf.DUMMYFUNCTION("IFERROR(VALUE(REGEXEXTRACT(TO_TEXT($F1017), V$1 &amp; ""x(\d+)"")), """")"),"")</f>
        <v/>
      </c>
      <c r="W1017" s="9"/>
      <c r="X1017" s="9"/>
      <c r="Y1017" s="9"/>
      <c r="Z1017" s="9"/>
    </row>
    <row r="1018" spans="1:26" ht="15.75" hidden="1" customHeight="1">
      <c r="A1018" s="9" t="s">
        <v>2080</v>
      </c>
      <c r="B1018" s="9" t="s">
        <v>2081</v>
      </c>
      <c r="C1018" s="9" t="s">
        <v>839</v>
      </c>
      <c r="D1018" s="9" t="s">
        <v>48</v>
      </c>
      <c r="E1018" s="9" t="s">
        <v>11</v>
      </c>
      <c r="F1018" s="9" t="s">
        <v>2082</v>
      </c>
      <c r="G1018" s="9">
        <v>75</v>
      </c>
      <c r="H1018" s="9">
        <v>3</v>
      </c>
      <c r="I1018" s="9">
        <v>1.0149999999999999</v>
      </c>
      <c r="J1018" s="9">
        <v>52</v>
      </c>
      <c r="K1018" s="9" t="s">
        <v>424</v>
      </c>
      <c r="L1018" s="9"/>
      <c r="M1018" s="9"/>
      <c r="N1018" s="9">
        <f ca="1">IFERROR(__xludf.DUMMYFUNCTION("IFERROR(VALUE(REGEXEXTRACT(TO_TEXT($F1018), N$1 &amp; ""x(\d+)"")), """")
"),1)</f>
        <v>1</v>
      </c>
      <c r="O1018" s="9">
        <f ca="1">IFERROR(__xludf.DUMMYFUNCTION("IFERROR(VALUE(REGEXEXTRACT(TO_TEXT($F1018), O$1 &amp; ""x(\d+)"")), """")"),1)</f>
        <v>1</v>
      </c>
      <c r="P1018" s="9" t="str">
        <f ca="1">IFERROR(__xludf.DUMMYFUNCTION("IFERROR(VALUE(REGEXEXTRACT(TO_TEXT($F1018), P$1 &amp; ""x(\d+)"")), """")"),"")</f>
        <v/>
      </c>
      <c r="Q1018" s="9" t="str">
        <f ca="1">IFERROR(__xludf.DUMMYFUNCTION("IFERROR(VALUE(REGEXEXTRACT(TO_TEXT($F1018), Q$1 &amp; ""x(\d+)"")), """")"),"")</f>
        <v/>
      </c>
      <c r="R1018" s="9" t="str">
        <f ca="1">IFERROR(__xludf.DUMMYFUNCTION("IFERROR(VALUE(REGEXEXTRACT(TO_TEXT($F1018), R$1 &amp; ""x(\d+)"")), """")"),"")</f>
        <v/>
      </c>
      <c r="S1018" s="9" t="str">
        <f ca="1">IFERROR(__xludf.DUMMYFUNCTION("IFERROR(VALUE(REGEXEXTRACT(TO_TEXT($F1018), S$1 &amp; ""x(\d+)"")), """")"),"")</f>
        <v/>
      </c>
      <c r="T1018" s="9" t="str">
        <f ca="1">IFERROR(__xludf.DUMMYFUNCTION("IFERROR(VALUE(REGEXEXTRACT(TO_TEXT($F1018), T$1 &amp; ""x(\d+)"")), """")"),"")</f>
        <v/>
      </c>
      <c r="U1018" s="9" t="str">
        <f ca="1">IFERROR(__xludf.DUMMYFUNCTION("IFERROR(VALUE(REGEXEXTRACT(TO_TEXT($F1018), U$1 &amp; ""x(\d+)"")), """")"),"")</f>
        <v/>
      </c>
      <c r="V1018" s="9">
        <f ca="1">IFERROR(__xludf.DUMMYFUNCTION("IFERROR(VALUE(REGEXEXTRACT(TO_TEXT($F1018), V$1 &amp; ""x(\d+)"")), """")"),1)</f>
        <v>1</v>
      </c>
      <c r="W1018" s="9"/>
      <c r="X1018" s="9"/>
      <c r="Y1018" s="9"/>
      <c r="Z1018" s="9"/>
    </row>
    <row r="1019" spans="1:26" ht="15.75" hidden="1" customHeight="1">
      <c r="A1019" s="9" t="s">
        <v>2080</v>
      </c>
      <c r="B1019" s="9" t="s">
        <v>2081</v>
      </c>
      <c r="C1019" s="9" t="s">
        <v>839</v>
      </c>
      <c r="D1019" s="9" t="s">
        <v>48</v>
      </c>
      <c r="E1019" s="9" t="s">
        <v>12</v>
      </c>
      <c r="F1019" s="9" t="s">
        <v>1604</v>
      </c>
      <c r="G1019" s="9">
        <v>120</v>
      </c>
      <c r="H1019" s="9">
        <v>3</v>
      </c>
      <c r="I1019" s="9">
        <v>1.0149999999999999</v>
      </c>
      <c r="J1019" s="9">
        <v>52</v>
      </c>
      <c r="K1019" s="9" t="s">
        <v>424</v>
      </c>
      <c r="L1019" s="9" t="s">
        <v>1035</v>
      </c>
      <c r="M1019" s="9"/>
      <c r="N1019" s="9" t="str">
        <f ca="1">IFERROR(__xludf.DUMMYFUNCTION("IFERROR(VALUE(REGEXEXTRACT(TO_TEXT($F1019), N$1 &amp; ""x(\d+)"")), """")
"),"")</f>
        <v/>
      </c>
      <c r="O1019" s="9">
        <f ca="1">IFERROR(__xludf.DUMMYFUNCTION("IFERROR(VALUE(REGEXEXTRACT(TO_TEXT($F1019), O$1 &amp; ""x(\d+)"")), """")"),1)</f>
        <v>1</v>
      </c>
      <c r="P1019" s="9">
        <f ca="1">IFERROR(__xludf.DUMMYFUNCTION("IFERROR(VALUE(REGEXEXTRACT(TO_TEXT($F1019), P$1 &amp; ""x(\d+)"")), """")"),1)</f>
        <v>1</v>
      </c>
      <c r="Q1019" s="9" t="str">
        <f ca="1">IFERROR(__xludf.DUMMYFUNCTION("IFERROR(VALUE(REGEXEXTRACT(TO_TEXT($F1019), Q$1 &amp; ""x(\d+)"")), """")"),"")</f>
        <v/>
      </c>
      <c r="R1019" s="9" t="str">
        <f ca="1">IFERROR(__xludf.DUMMYFUNCTION("IFERROR(VALUE(REGEXEXTRACT(TO_TEXT($F1019), R$1 &amp; ""x(\d+)"")), """")"),"")</f>
        <v/>
      </c>
      <c r="S1019" s="9" t="str">
        <f ca="1">IFERROR(__xludf.DUMMYFUNCTION("IFERROR(VALUE(REGEXEXTRACT(TO_TEXT($F1019), S$1 &amp; ""x(\d+)"")), """")"),"")</f>
        <v/>
      </c>
      <c r="T1019" s="9" t="str">
        <f ca="1">IFERROR(__xludf.DUMMYFUNCTION("IFERROR(VALUE(REGEXEXTRACT(TO_TEXT($F1019), T$1 &amp; ""x(\d+)"")), """")"),"")</f>
        <v/>
      </c>
      <c r="U1019" s="9" t="str">
        <f ca="1">IFERROR(__xludf.DUMMYFUNCTION("IFERROR(VALUE(REGEXEXTRACT(TO_TEXT($F1019), U$1 &amp; ""x(\d+)"")), """")"),"")</f>
        <v/>
      </c>
      <c r="V1019" s="9" t="str">
        <f ca="1">IFERROR(__xludf.DUMMYFUNCTION("IFERROR(VALUE(REGEXEXTRACT(TO_TEXT($F1019), V$1 &amp; ""x(\d+)"")), """")"),"")</f>
        <v/>
      </c>
      <c r="W1019" s="9"/>
      <c r="X1019" s="9"/>
      <c r="Y1019" s="9"/>
      <c r="Z1019" s="9"/>
    </row>
    <row r="1020" spans="1:26" ht="15.75" hidden="1" customHeight="1">
      <c r="A1020" s="9" t="s">
        <v>2080</v>
      </c>
      <c r="B1020" s="9" t="s">
        <v>2081</v>
      </c>
      <c r="C1020" s="9" t="s">
        <v>839</v>
      </c>
      <c r="D1020" s="9" t="s">
        <v>48</v>
      </c>
      <c r="E1020" s="9" t="s">
        <v>13</v>
      </c>
      <c r="F1020" s="9" t="s">
        <v>1063</v>
      </c>
      <c r="G1020" s="9">
        <v>90</v>
      </c>
      <c r="H1020" s="9">
        <v>3</v>
      </c>
      <c r="I1020" s="9">
        <v>1.0149999999999999</v>
      </c>
      <c r="J1020" s="9">
        <v>52</v>
      </c>
      <c r="K1020" s="9" t="s">
        <v>424</v>
      </c>
      <c r="L1020" s="9"/>
      <c r="M1020" s="9"/>
      <c r="N1020" s="9" t="str">
        <f ca="1">IFERROR(__xludf.DUMMYFUNCTION("IFERROR(VALUE(REGEXEXTRACT(TO_TEXT($F1020), N$1 &amp; ""x(\d+)"")), """")
"),"")</f>
        <v/>
      </c>
      <c r="O1020" s="9">
        <f ca="1">IFERROR(__xludf.DUMMYFUNCTION("IFERROR(VALUE(REGEXEXTRACT(TO_TEXT($F1020), O$1 &amp; ""x(\d+)"")), """")"),1)</f>
        <v>1</v>
      </c>
      <c r="P1020" s="9">
        <f ca="1">IFERROR(__xludf.DUMMYFUNCTION("IFERROR(VALUE(REGEXEXTRACT(TO_TEXT($F1020), P$1 &amp; ""x(\d+)"")), """")"),1)</f>
        <v>1</v>
      </c>
      <c r="Q1020" s="9" t="str">
        <f ca="1">IFERROR(__xludf.DUMMYFUNCTION("IFERROR(VALUE(REGEXEXTRACT(TO_TEXT($F1020), Q$1 &amp; ""x(\d+)"")), """")"),"")</f>
        <v/>
      </c>
      <c r="R1020" s="9" t="str">
        <f ca="1">IFERROR(__xludf.DUMMYFUNCTION("IFERROR(VALUE(REGEXEXTRACT(TO_TEXT($F1020), R$1 &amp; ""x(\d+)"")), """")"),"")</f>
        <v/>
      </c>
      <c r="S1020" s="9" t="str">
        <f ca="1">IFERROR(__xludf.DUMMYFUNCTION("IFERROR(VALUE(REGEXEXTRACT(TO_TEXT($F1020), S$1 &amp; ""x(\d+)"")), """")"),"")</f>
        <v/>
      </c>
      <c r="T1020" s="9" t="str">
        <f ca="1">IFERROR(__xludf.DUMMYFUNCTION("IFERROR(VALUE(REGEXEXTRACT(TO_TEXT($F1020), T$1 &amp; ""x(\d+)"")), """")"),"")</f>
        <v/>
      </c>
      <c r="U1020" s="9" t="str">
        <f ca="1">IFERROR(__xludf.DUMMYFUNCTION("IFERROR(VALUE(REGEXEXTRACT(TO_TEXT($F1020), U$1 &amp; ""x(\d+)"")), """")"),"")</f>
        <v/>
      </c>
      <c r="V1020" s="9" t="str">
        <f ca="1">IFERROR(__xludf.DUMMYFUNCTION("IFERROR(VALUE(REGEXEXTRACT(TO_TEXT($F1020), V$1 &amp; ""x(\d+)"")), """")"),"")</f>
        <v/>
      </c>
      <c r="W1020" s="9"/>
      <c r="X1020" s="9"/>
      <c r="Y1020" s="9"/>
      <c r="Z1020" s="9"/>
    </row>
    <row r="1021" spans="1:26" ht="15.75" hidden="1" customHeight="1">
      <c r="A1021" s="9" t="s">
        <v>2083</v>
      </c>
      <c r="B1021" s="9" t="s">
        <v>2084</v>
      </c>
      <c r="C1021" s="9" t="s">
        <v>789</v>
      </c>
      <c r="D1021" s="9" t="s">
        <v>74</v>
      </c>
      <c r="E1021" s="9" t="s">
        <v>11</v>
      </c>
      <c r="F1021" s="9" t="s">
        <v>1204</v>
      </c>
      <c r="G1021" s="9">
        <v>30</v>
      </c>
      <c r="H1021" s="9">
        <v>3</v>
      </c>
      <c r="I1021" s="9">
        <v>1.0149999999999999</v>
      </c>
      <c r="J1021" s="9">
        <v>103</v>
      </c>
      <c r="K1021" s="9" t="s">
        <v>424</v>
      </c>
      <c r="L1021" s="9"/>
      <c r="M1021" s="9"/>
      <c r="N1021" s="9" t="str">
        <f ca="1">IFERROR(__xludf.DUMMYFUNCTION("IFERROR(VALUE(REGEXEXTRACT(TO_TEXT($F1021), N$1 &amp; ""x(\d+)"")), """")
"),"")</f>
        <v/>
      </c>
      <c r="O1021" s="9" t="str">
        <f ca="1">IFERROR(__xludf.DUMMYFUNCTION("IFERROR(VALUE(REGEXEXTRACT(TO_TEXT($F1021), O$1 &amp; ""x(\d+)"")), """")"),"")</f>
        <v/>
      </c>
      <c r="P1021" s="9" t="str">
        <f ca="1">IFERROR(__xludf.DUMMYFUNCTION("IFERROR(VALUE(REGEXEXTRACT(TO_TEXT($F1021), P$1 &amp; ""x(\d+)"")), """")"),"")</f>
        <v/>
      </c>
      <c r="Q1021" s="9" t="str">
        <f ca="1">IFERROR(__xludf.DUMMYFUNCTION("IFERROR(VALUE(REGEXEXTRACT(TO_TEXT($F1021), Q$1 &amp; ""x(\d+)"")), """")"),"")</f>
        <v/>
      </c>
      <c r="R1021" s="9" t="str">
        <f ca="1">IFERROR(__xludf.DUMMYFUNCTION("IFERROR(VALUE(REGEXEXTRACT(TO_TEXT($F1021), R$1 &amp; ""x(\d+)"")), """")"),"")</f>
        <v/>
      </c>
      <c r="S1021" s="9" t="str">
        <f ca="1">IFERROR(__xludf.DUMMYFUNCTION("IFERROR(VALUE(REGEXEXTRACT(TO_TEXT($F1021), S$1 &amp; ""x(\d+)"")), """")"),"")</f>
        <v/>
      </c>
      <c r="T1021" s="9" t="str">
        <f ca="1">IFERROR(__xludf.DUMMYFUNCTION("IFERROR(VALUE(REGEXEXTRACT(TO_TEXT($F1021), T$1 &amp; ""x(\d+)"")), """")"),"")</f>
        <v/>
      </c>
      <c r="U1021" s="9" t="str">
        <f ca="1">IFERROR(__xludf.DUMMYFUNCTION("IFERROR(VALUE(REGEXEXTRACT(TO_TEXT($F1021), U$1 &amp; ""x(\d+)"")), """")"),"")</f>
        <v/>
      </c>
      <c r="V1021" s="9" t="str">
        <f ca="1">IFERROR(__xludf.DUMMYFUNCTION("IFERROR(VALUE(REGEXEXTRACT(TO_TEXT($F1021), V$1 &amp; ""x(\d+)"")), """")"),"")</f>
        <v/>
      </c>
      <c r="W1021" s="9"/>
      <c r="X1021" s="9"/>
      <c r="Y1021" s="9"/>
      <c r="Z1021" s="9"/>
    </row>
    <row r="1022" spans="1:26" ht="15.75" hidden="1" customHeight="1">
      <c r="A1022" s="9" t="s">
        <v>2083</v>
      </c>
      <c r="B1022" s="9" t="s">
        <v>2084</v>
      </c>
      <c r="C1022" s="9" t="s">
        <v>789</v>
      </c>
      <c r="D1022" s="9" t="s">
        <v>74</v>
      </c>
      <c r="E1022" s="9" t="s">
        <v>12</v>
      </c>
      <c r="F1022" s="9" t="s">
        <v>2085</v>
      </c>
      <c r="G1022" s="9">
        <v>180</v>
      </c>
      <c r="H1022" s="9">
        <v>3</v>
      </c>
      <c r="I1022" s="9">
        <v>1.0149999999999999</v>
      </c>
      <c r="J1022" s="9">
        <v>103</v>
      </c>
      <c r="K1022" s="9" t="s">
        <v>424</v>
      </c>
      <c r="L1022" s="9" t="s">
        <v>1210</v>
      </c>
      <c r="M1022" s="9"/>
      <c r="N1022" s="9" t="str">
        <f ca="1">IFERROR(__xludf.DUMMYFUNCTION("IFERROR(VALUE(REGEXEXTRACT(TO_TEXT($F1022), N$1 &amp; ""x(\d+)"")), """")
"),"")</f>
        <v/>
      </c>
      <c r="O1022" s="9" t="str">
        <f ca="1">IFERROR(__xludf.DUMMYFUNCTION("IFERROR(VALUE(REGEXEXTRACT(TO_TEXT($F1022), O$1 &amp; ""x(\d+)"")), """")"),"")</f>
        <v/>
      </c>
      <c r="P1022" s="9" t="str">
        <f ca="1">IFERROR(__xludf.DUMMYFUNCTION("IFERROR(VALUE(REGEXEXTRACT(TO_TEXT($F1022), P$1 &amp; ""x(\d+)"")), """")"),"")</f>
        <v/>
      </c>
      <c r="Q1022" s="9">
        <f ca="1">IFERROR(__xludf.DUMMYFUNCTION("IFERROR(VALUE(REGEXEXTRACT(TO_TEXT($F1022), Q$1 &amp; ""x(\d+)"")), """")"),1)</f>
        <v>1</v>
      </c>
      <c r="R1022" s="9" t="str">
        <f ca="1">IFERROR(__xludf.DUMMYFUNCTION("IFERROR(VALUE(REGEXEXTRACT(TO_TEXT($F1022), R$1 &amp; ""x(\d+)"")), """")"),"")</f>
        <v/>
      </c>
      <c r="S1022" s="9" t="str">
        <f ca="1">IFERROR(__xludf.DUMMYFUNCTION("IFERROR(VALUE(REGEXEXTRACT(TO_TEXT($F1022), S$1 &amp; ""x(\d+)"")), """")"),"")</f>
        <v/>
      </c>
      <c r="T1022" s="9" t="str">
        <f ca="1">IFERROR(__xludf.DUMMYFUNCTION("IFERROR(VALUE(REGEXEXTRACT(TO_TEXT($F1022), T$1 &amp; ""x(\d+)"")), """")"),"")</f>
        <v/>
      </c>
      <c r="U1022" s="9" t="str">
        <f ca="1">IFERROR(__xludf.DUMMYFUNCTION("IFERROR(VALUE(REGEXEXTRACT(TO_TEXT($F1022), U$1 &amp; ""x(\d+)"")), """")"),"")</f>
        <v/>
      </c>
      <c r="V1022" s="9" t="str">
        <f ca="1">IFERROR(__xludf.DUMMYFUNCTION("IFERROR(VALUE(REGEXEXTRACT(TO_TEXT($F1022), V$1 &amp; ""x(\d+)"")), """")"),"")</f>
        <v/>
      </c>
      <c r="W1022" s="9"/>
      <c r="X1022" s="9"/>
      <c r="Y1022" s="9"/>
      <c r="Z1022" s="9"/>
    </row>
    <row r="1023" spans="1:26" ht="15.75" hidden="1" customHeight="1">
      <c r="A1023" s="9" t="s">
        <v>2083</v>
      </c>
      <c r="B1023" s="9" t="s">
        <v>2084</v>
      </c>
      <c r="C1023" s="9" t="s">
        <v>789</v>
      </c>
      <c r="D1023" s="9" t="s">
        <v>74</v>
      </c>
      <c r="E1023" s="9" t="s">
        <v>13</v>
      </c>
      <c r="F1023" s="9" t="s">
        <v>2086</v>
      </c>
      <c r="G1023" s="9">
        <v>40</v>
      </c>
      <c r="H1023" s="9">
        <v>3</v>
      </c>
      <c r="I1023" s="9">
        <v>1.0149999999999999</v>
      </c>
      <c r="J1023" s="9">
        <v>103</v>
      </c>
      <c r="K1023" s="9" t="s">
        <v>424</v>
      </c>
      <c r="L1023" s="9"/>
      <c r="M1023" s="9"/>
      <c r="N1023" s="9" t="str">
        <f ca="1">IFERROR(__xludf.DUMMYFUNCTION("IFERROR(VALUE(REGEXEXTRACT(TO_TEXT($F1023), N$1 &amp; ""x(\d+)"")), """")
"),"")</f>
        <v/>
      </c>
      <c r="O1023" s="9" t="str">
        <f ca="1">IFERROR(__xludf.DUMMYFUNCTION("IFERROR(VALUE(REGEXEXTRACT(TO_TEXT($F1023), O$1 &amp; ""x(\d+)"")), """")"),"")</f>
        <v/>
      </c>
      <c r="P1023" s="9" t="str">
        <f ca="1">IFERROR(__xludf.DUMMYFUNCTION("IFERROR(VALUE(REGEXEXTRACT(TO_TEXT($F1023), P$1 &amp; ""x(\d+)"")), """")"),"")</f>
        <v/>
      </c>
      <c r="Q1023" s="9">
        <f ca="1">IFERROR(__xludf.DUMMYFUNCTION("IFERROR(VALUE(REGEXEXTRACT(TO_TEXT($F1023), Q$1 &amp; ""x(\d+)"")), """")"),1)</f>
        <v>1</v>
      </c>
      <c r="R1023" s="9" t="str">
        <f ca="1">IFERROR(__xludf.DUMMYFUNCTION("IFERROR(VALUE(REGEXEXTRACT(TO_TEXT($F1023), R$1 &amp; ""x(\d+)"")), """")"),"")</f>
        <v/>
      </c>
      <c r="S1023" s="9" t="str">
        <f ca="1">IFERROR(__xludf.DUMMYFUNCTION("IFERROR(VALUE(REGEXEXTRACT(TO_TEXT($F1023), S$1 &amp; ""x(\d+)"")), """")"),"")</f>
        <v/>
      </c>
      <c r="T1023" s="9" t="str">
        <f ca="1">IFERROR(__xludf.DUMMYFUNCTION("IFERROR(VALUE(REGEXEXTRACT(TO_TEXT($F1023), T$1 &amp; ""x(\d+)"")), """")"),"")</f>
        <v/>
      </c>
      <c r="U1023" s="9" t="str">
        <f ca="1">IFERROR(__xludf.DUMMYFUNCTION("IFERROR(VALUE(REGEXEXTRACT(TO_TEXT($F1023), U$1 &amp; ""x(\d+)"")), """")"),"")</f>
        <v/>
      </c>
      <c r="V1023" s="9" t="str">
        <f ca="1">IFERROR(__xludf.DUMMYFUNCTION("IFERROR(VALUE(REGEXEXTRACT(TO_TEXT($F1023), V$1 &amp; ""x(\d+)"")), """")"),"")</f>
        <v/>
      </c>
      <c r="W1023" s="9"/>
      <c r="X1023" s="9"/>
      <c r="Y1023" s="9"/>
      <c r="Z1023" s="9"/>
    </row>
    <row r="1024" spans="1:26" ht="15.75" hidden="1" customHeight="1">
      <c r="A1024" s="9" t="s">
        <v>2083</v>
      </c>
      <c r="B1024" s="9" t="s">
        <v>2084</v>
      </c>
      <c r="C1024" s="9" t="s">
        <v>789</v>
      </c>
      <c r="D1024" s="9" t="s">
        <v>48</v>
      </c>
      <c r="E1024" s="9" t="s">
        <v>11</v>
      </c>
      <c r="F1024" s="9" t="s">
        <v>1353</v>
      </c>
      <c r="G1024" s="9">
        <v>30</v>
      </c>
      <c r="H1024" s="9">
        <v>3</v>
      </c>
      <c r="I1024" s="9">
        <v>1.0149999999999999</v>
      </c>
      <c r="J1024" s="9">
        <v>52</v>
      </c>
      <c r="K1024" s="9" t="s">
        <v>424</v>
      </c>
      <c r="L1024" s="9"/>
      <c r="M1024" s="9"/>
      <c r="N1024" s="9" t="str">
        <f ca="1">IFERROR(__xludf.DUMMYFUNCTION("IFERROR(VALUE(REGEXEXTRACT(TO_TEXT($F1024), N$1 &amp; ""x(\d+)"")), """")
"),"")</f>
        <v/>
      </c>
      <c r="O1024" s="9" t="str">
        <f ca="1">IFERROR(__xludf.DUMMYFUNCTION("IFERROR(VALUE(REGEXEXTRACT(TO_TEXT($F1024), O$1 &amp; ""x(\d+)"")), """")"),"")</f>
        <v/>
      </c>
      <c r="P1024" s="9" t="str">
        <f ca="1">IFERROR(__xludf.DUMMYFUNCTION("IFERROR(VALUE(REGEXEXTRACT(TO_TEXT($F1024), P$1 &amp; ""x(\d+)"")), """")"),"")</f>
        <v/>
      </c>
      <c r="Q1024" s="9" t="str">
        <f ca="1">IFERROR(__xludf.DUMMYFUNCTION("IFERROR(VALUE(REGEXEXTRACT(TO_TEXT($F1024), Q$1 &amp; ""x(\d+)"")), """")"),"")</f>
        <v/>
      </c>
      <c r="R1024" s="9" t="str">
        <f ca="1">IFERROR(__xludf.DUMMYFUNCTION("IFERROR(VALUE(REGEXEXTRACT(TO_TEXT($F1024), R$1 &amp; ""x(\d+)"")), """")"),"")</f>
        <v/>
      </c>
      <c r="S1024" s="9" t="str">
        <f ca="1">IFERROR(__xludf.DUMMYFUNCTION("IFERROR(VALUE(REGEXEXTRACT(TO_TEXT($F1024), S$1 &amp; ""x(\d+)"")), """")"),"")</f>
        <v/>
      </c>
      <c r="T1024" s="9" t="str">
        <f ca="1">IFERROR(__xludf.DUMMYFUNCTION("IFERROR(VALUE(REGEXEXTRACT(TO_TEXT($F1024), T$1 &amp; ""x(\d+)"")), """")"),"")</f>
        <v/>
      </c>
      <c r="U1024" s="9" t="str">
        <f ca="1">IFERROR(__xludf.DUMMYFUNCTION("IFERROR(VALUE(REGEXEXTRACT(TO_TEXT($F1024), U$1 &amp; ""x(\d+)"")), """")"),"")</f>
        <v/>
      </c>
      <c r="V1024" s="9" t="str">
        <f ca="1">IFERROR(__xludf.DUMMYFUNCTION("IFERROR(VALUE(REGEXEXTRACT(TO_TEXT($F1024), V$1 &amp; ""x(\d+)"")), """")"),"")</f>
        <v/>
      </c>
      <c r="W1024" s="9"/>
      <c r="X1024" s="9"/>
      <c r="Y1024" s="9"/>
      <c r="Z1024" s="9"/>
    </row>
    <row r="1025" spans="1:26" ht="15.75" hidden="1" customHeight="1">
      <c r="A1025" s="9" t="s">
        <v>2083</v>
      </c>
      <c r="B1025" s="9" t="s">
        <v>2084</v>
      </c>
      <c r="C1025" s="9" t="s">
        <v>789</v>
      </c>
      <c r="D1025" s="9" t="s">
        <v>48</v>
      </c>
      <c r="E1025" s="9" t="s">
        <v>12</v>
      </c>
      <c r="F1025" s="9" t="s">
        <v>2087</v>
      </c>
      <c r="G1025" s="9">
        <v>140</v>
      </c>
      <c r="H1025" s="9">
        <v>3</v>
      </c>
      <c r="I1025" s="9">
        <v>1.0149999999999999</v>
      </c>
      <c r="J1025" s="9">
        <v>52</v>
      </c>
      <c r="K1025" s="9" t="s">
        <v>424</v>
      </c>
      <c r="L1025" s="9" t="s">
        <v>1210</v>
      </c>
      <c r="M1025" s="9"/>
      <c r="N1025" s="9" t="str">
        <f ca="1">IFERROR(__xludf.DUMMYFUNCTION("IFERROR(VALUE(REGEXEXTRACT(TO_TEXT($F1025), N$1 &amp; ""x(\d+)"")), """")
"),"")</f>
        <v/>
      </c>
      <c r="O1025" s="9" t="str">
        <f ca="1">IFERROR(__xludf.DUMMYFUNCTION("IFERROR(VALUE(REGEXEXTRACT(TO_TEXT($F1025), O$1 &amp; ""x(\d+)"")), """")"),"")</f>
        <v/>
      </c>
      <c r="P1025" s="9">
        <f ca="1">IFERROR(__xludf.DUMMYFUNCTION("IFERROR(VALUE(REGEXEXTRACT(TO_TEXT($F1025), P$1 &amp; ""x(\d+)"")), """")"),1)</f>
        <v>1</v>
      </c>
      <c r="Q1025" s="9" t="str">
        <f ca="1">IFERROR(__xludf.DUMMYFUNCTION("IFERROR(VALUE(REGEXEXTRACT(TO_TEXT($F1025), Q$1 &amp; ""x(\d+)"")), """")"),"")</f>
        <v/>
      </c>
      <c r="R1025" s="9" t="str">
        <f ca="1">IFERROR(__xludf.DUMMYFUNCTION("IFERROR(VALUE(REGEXEXTRACT(TO_TEXT($F1025), R$1 &amp; ""x(\d+)"")), """")"),"")</f>
        <v/>
      </c>
      <c r="S1025" s="9" t="str">
        <f ca="1">IFERROR(__xludf.DUMMYFUNCTION("IFERROR(VALUE(REGEXEXTRACT(TO_TEXT($F1025), S$1 &amp; ""x(\d+)"")), """")"),"")</f>
        <v/>
      </c>
      <c r="T1025" s="9">
        <f ca="1">IFERROR(__xludf.DUMMYFUNCTION("IFERROR(VALUE(REGEXEXTRACT(TO_TEXT($F1025), T$1 &amp; ""x(\d+)"")), """")"),1)</f>
        <v>1</v>
      </c>
      <c r="U1025" s="9" t="str">
        <f ca="1">IFERROR(__xludf.DUMMYFUNCTION("IFERROR(VALUE(REGEXEXTRACT(TO_TEXT($F1025), U$1 &amp; ""x(\d+)"")), """")"),"")</f>
        <v/>
      </c>
      <c r="V1025" s="9" t="str">
        <f ca="1">IFERROR(__xludf.DUMMYFUNCTION("IFERROR(VALUE(REGEXEXTRACT(TO_TEXT($F1025), V$1 &amp; ""x(\d+)"")), """")"),"")</f>
        <v/>
      </c>
      <c r="W1025" s="9"/>
      <c r="X1025" s="9"/>
      <c r="Y1025" s="9"/>
      <c r="Z1025" s="9"/>
    </row>
    <row r="1026" spans="1:26" ht="15.75" hidden="1" customHeight="1">
      <c r="A1026" s="9" t="s">
        <v>2083</v>
      </c>
      <c r="B1026" s="9" t="s">
        <v>2084</v>
      </c>
      <c r="C1026" s="9" t="s">
        <v>789</v>
      </c>
      <c r="D1026" s="9" t="s">
        <v>48</v>
      </c>
      <c r="E1026" s="9" t="s">
        <v>13</v>
      </c>
      <c r="F1026" s="9" t="s">
        <v>1220</v>
      </c>
      <c r="G1026" s="9">
        <v>30</v>
      </c>
      <c r="H1026" s="9">
        <v>3</v>
      </c>
      <c r="I1026" s="9">
        <v>1.0149999999999999</v>
      </c>
      <c r="J1026" s="9">
        <v>52</v>
      </c>
      <c r="K1026" s="9" t="s">
        <v>424</v>
      </c>
      <c r="L1026" s="9"/>
      <c r="M1026" s="9"/>
      <c r="N1026" s="9" t="str">
        <f ca="1">IFERROR(__xludf.DUMMYFUNCTION("IFERROR(VALUE(REGEXEXTRACT(TO_TEXT($F1026), N$1 &amp; ""x(\d+)"")), """")
"),"")</f>
        <v/>
      </c>
      <c r="O1026" s="9" t="str">
        <f ca="1">IFERROR(__xludf.DUMMYFUNCTION("IFERROR(VALUE(REGEXEXTRACT(TO_TEXT($F1026), O$1 &amp; ""x(\d+)"")), """")"),"")</f>
        <v/>
      </c>
      <c r="P1026" s="9">
        <f ca="1">IFERROR(__xludf.DUMMYFUNCTION("IFERROR(VALUE(REGEXEXTRACT(TO_TEXT($F1026), P$1 &amp; ""x(\d+)"")), """")"),1)</f>
        <v>1</v>
      </c>
      <c r="Q1026" s="9" t="str">
        <f ca="1">IFERROR(__xludf.DUMMYFUNCTION("IFERROR(VALUE(REGEXEXTRACT(TO_TEXT($F1026), Q$1 &amp; ""x(\d+)"")), """")"),"")</f>
        <v/>
      </c>
      <c r="R1026" s="9" t="str">
        <f ca="1">IFERROR(__xludf.DUMMYFUNCTION("IFERROR(VALUE(REGEXEXTRACT(TO_TEXT($F1026), R$1 &amp; ""x(\d+)"")), """")"),"")</f>
        <v/>
      </c>
      <c r="S1026" s="9" t="str">
        <f ca="1">IFERROR(__xludf.DUMMYFUNCTION("IFERROR(VALUE(REGEXEXTRACT(TO_TEXT($F1026), S$1 &amp; ""x(\d+)"")), """")"),"")</f>
        <v/>
      </c>
      <c r="T1026" s="9" t="str">
        <f ca="1">IFERROR(__xludf.DUMMYFUNCTION("IFERROR(VALUE(REGEXEXTRACT(TO_TEXT($F1026), T$1 &amp; ""x(\d+)"")), """")"),"")</f>
        <v/>
      </c>
      <c r="U1026" s="9" t="str">
        <f ca="1">IFERROR(__xludf.DUMMYFUNCTION("IFERROR(VALUE(REGEXEXTRACT(TO_TEXT($F1026), U$1 &amp; ""x(\d+)"")), """")"),"")</f>
        <v/>
      </c>
      <c r="V1026" s="9" t="str">
        <f ca="1">IFERROR(__xludf.DUMMYFUNCTION("IFERROR(VALUE(REGEXEXTRACT(TO_TEXT($F1026), V$1 &amp; ""x(\d+)"")), """")"),"")</f>
        <v/>
      </c>
      <c r="W1026" s="9"/>
      <c r="X1026" s="9"/>
      <c r="Y1026" s="9"/>
      <c r="Z1026" s="9"/>
    </row>
    <row r="1027" spans="1:26" ht="15.75" customHeight="1">
      <c r="A1027" s="9" t="s">
        <v>2088</v>
      </c>
      <c r="B1027" s="9" t="s">
        <v>2089</v>
      </c>
      <c r="C1027" s="9" t="s">
        <v>786</v>
      </c>
      <c r="D1027" s="9" t="s">
        <v>33</v>
      </c>
      <c r="E1027" s="9" t="s">
        <v>11</v>
      </c>
      <c r="F1027" s="9" t="s">
        <v>2090</v>
      </c>
      <c r="G1027" s="9">
        <v>100</v>
      </c>
      <c r="H1027" s="9">
        <v>3</v>
      </c>
      <c r="I1027" s="9">
        <v>1.0149999999999999</v>
      </c>
      <c r="J1027" s="9">
        <v>101.7</v>
      </c>
      <c r="K1027" s="9" t="s">
        <v>442</v>
      </c>
      <c r="L1027" s="9"/>
      <c r="M1027" s="9"/>
      <c r="N1027" s="9">
        <f ca="1">IFERROR(__xludf.DUMMYFUNCTION("IFERROR(VALUE(REGEXEXTRACT(TO_TEXT($F1027), N$1 &amp; ""x(\d+)"")), """")
"),1)</f>
        <v>1</v>
      </c>
      <c r="O1027" s="9">
        <f ca="1">IFERROR(__xludf.DUMMYFUNCTION("IFERROR(VALUE(REGEXEXTRACT(TO_TEXT($F1027), O$1 &amp; ""x(\d+)"")), """")"),1)</f>
        <v>1</v>
      </c>
      <c r="P1027" s="9" t="str">
        <f ca="1">IFERROR(__xludf.DUMMYFUNCTION("IFERROR(VALUE(REGEXEXTRACT(TO_TEXT($F1027), P$1 &amp; ""x(\d+)"")), """")"),"")</f>
        <v/>
      </c>
      <c r="Q1027" s="9" t="str">
        <f ca="1">IFERROR(__xludf.DUMMYFUNCTION("IFERROR(VALUE(REGEXEXTRACT(TO_TEXT($F1027), Q$1 &amp; ""x(\d+)"")), """")"),"")</f>
        <v/>
      </c>
      <c r="R1027" s="9" t="str">
        <f ca="1">IFERROR(__xludf.DUMMYFUNCTION("IFERROR(VALUE(REGEXEXTRACT(TO_TEXT($F1027), R$1 &amp; ""x(\d+)"")), """")"),"")</f>
        <v/>
      </c>
      <c r="S1027" s="9" t="str">
        <f ca="1">IFERROR(__xludf.DUMMYFUNCTION("IFERROR(VALUE(REGEXEXTRACT(TO_TEXT($F1027), S$1 &amp; ""x(\d+)"")), """")"),"")</f>
        <v/>
      </c>
      <c r="T1027" s="9" t="str">
        <f ca="1">IFERROR(__xludf.DUMMYFUNCTION("IFERROR(VALUE(REGEXEXTRACT(TO_TEXT($F1027), T$1 &amp; ""x(\d+)"")), """")"),"")</f>
        <v/>
      </c>
      <c r="U1027" s="9" t="str">
        <f ca="1">IFERROR(__xludf.DUMMYFUNCTION("IFERROR(VALUE(REGEXEXTRACT(TO_TEXT($F1027), U$1 &amp; ""x(\d+)"")), """")"),"")</f>
        <v/>
      </c>
      <c r="V1027" s="9" t="str">
        <f ca="1">IFERROR(__xludf.DUMMYFUNCTION("IFERROR(VALUE(REGEXEXTRACT(TO_TEXT($F1027), V$1 &amp; ""x(\d+)"")), """")"),"")</f>
        <v/>
      </c>
      <c r="W1027" s="9"/>
      <c r="X1027" s="9"/>
      <c r="Y1027" s="9"/>
      <c r="Z1027" s="9"/>
    </row>
    <row r="1028" spans="1:26" ht="15.75" customHeight="1">
      <c r="A1028" s="9" t="s">
        <v>2088</v>
      </c>
      <c r="B1028" s="9" t="s">
        <v>2089</v>
      </c>
      <c r="C1028" s="9" t="s">
        <v>786</v>
      </c>
      <c r="D1028" s="9" t="s">
        <v>33</v>
      </c>
      <c r="E1028" s="9" t="s">
        <v>12</v>
      </c>
      <c r="F1028" s="9" t="s">
        <v>2091</v>
      </c>
      <c r="G1028" s="9">
        <v>115</v>
      </c>
      <c r="H1028" s="9">
        <v>3</v>
      </c>
      <c r="I1028" s="9">
        <v>1.0149999999999999</v>
      </c>
      <c r="J1028" s="9">
        <v>101.7</v>
      </c>
      <c r="K1028" s="9" t="s">
        <v>442</v>
      </c>
      <c r="L1028" s="9"/>
      <c r="M1028" s="9"/>
      <c r="N1028" s="9">
        <f ca="1">IFERROR(__xludf.DUMMYFUNCTION("IFERROR(VALUE(REGEXEXTRACT(TO_TEXT($F1028), N$1 &amp; ""x(\d+)"")), """")
"),1)</f>
        <v>1</v>
      </c>
      <c r="O1028" s="9">
        <f ca="1">IFERROR(__xludf.DUMMYFUNCTION("IFERROR(VALUE(REGEXEXTRACT(TO_TEXT($F1028), O$1 &amp; ""x(\d+)"")), """")"),2)</f>
        <v>2</v>
      </c>
      <c r="P1028" s="9" t="str">
        <f ca="1">IFERROR(__xludf.DUMMYFUNCTION("IFERROR(VALUE(REGEXEXTRACT(TO_TEXT($F1028), P$1 &amp; ""x(\d+)"")), """")"),"")</f>
        <v/>
      </c>
      <c r="Q1028" s="9" t="str">
        <f ca="1">IFERROR(__xludf.DUMMYFUNCTION("IFERROR(VALUE(REGEXEXTRACT(TO_TEXT($F1028), Q$1 &amp; ""x(\d+)"")), """")"),"")</f>
        <v/>
      </c>
      <c r="R1028" s="9" t="str">
        <f ca="1">IFERROR(__xludf.DUMMYFUNCTION("IFERROR(VALUE(REGEXEXTRACT(TO_TEXT($F1028), R$1 &amp; ""x(\d+)"")), """")"),"")</f>
        <v/>
      </c>
      <c r="S1028" s="9" t="str">
        <f ca="1">IFERROR(__xludf.DUMMYFUNCTION("IFERROR(VALUE(REGEXEXTRACT(TO_TEXT($F1028), S$1 &amp; ""x(\d+)"")), """")"),"")</f>
        <v/>
      </c>
      <c r="T1028" s="9" t="str">
        <f ca="1">IFERROR(__xludf.DUMMYFUNCTION("IFERROR(VALUE(REGEXEXTRACT(TO_TEXT($F1028), T$1 &amp; ""x(\d+)"")), """")"),"")</f>
        <v/>
      </c>
      <c r="U1028" s="9" t="str">
        <f ca="1">IFERROR(__xludf.DUMMYFUNCTION("IFERROR(VALUE(REGEXEXTRACT(TO_TEXT($F1028), U$1 &amp; ""x(\d+)"")), """")"),"")</f>
        <v/>
      </c>
      <c r="V1028" s="9" t="str">
        <f ca="1">IFERROR(__xludf.DUMMYFUNCTION("IFERROR(VALUE(REGEXEXTRACT(TO_TEXT($F1028), V$1 &amp; ""x(\d+)"")), """")"),"")</f>
        <v/>
      </c>
      <c r="W1028" s="9"/>
      <c r="X1028" s="9"/>
      <c r="Y1028" s="9"/>
      <c r="Z1028" s="9"/>
    </row>
    <row r="1029" spans="1:26" ht="15.75" customHeight="1">
      <c r="A1029" s="9" t="s">
        <v>2088</v>
      </c>
      <c r="B1029" s="9" t="s">
        <v>2089</v>
      </c>
      <c r="C1029" s="9" t="s">
        <v>786</v>
      </c>
      <c r="D1029" s="9" t="s">
        <v>33</v>
      </c>
      <c r="E1029" s="9" t="s">
        <v>13</v>
      </c>
      <c r="F1029" s="9" t="s">
        <v>2092</v>
      </c>
      <c r="G1029" s="9">
        <v>50</v>
      </c>
      <c r="H1029" s="9">
        <v>3</v>
      </c>
      <c r="I1029" s="9">
        <v>1.0149999999999999</v>
      </c>
      <c r="J1029" s="9">
        <v>101.7</v>
      </c>
      <c r="K1029" s="9" t="s">
        <v>442</v>
      </c>
      <c r="L1029" s="9"/>
      <c r="M1029" s="9"/>
      <c r="N1029" s="9">
        <f ca="1">IFERROR(__xludf.DUMMYFUNCTION("IFERROR(VALUE(REGEXEXTRACT(TO_TEXT($F1029), N$1 &amp; ""x(\d+)"")), """")
"),1)</f>
        <v>1</v>
      </c>
      <c r="O1029" s="9">
        <f ca="1">IFERROR(__xludf.DUMMYFUNCTION("IFERROR(VALUE(REGEXEXTRACT(TO_TEXT($F1029), O$1 &amp; ""x(\d+)"")), """")"),2)</f>
        <v>2</v>
      </c>
      <c r="P1029" s="9" t="str">
        <f ca="1">IFERROR(__xludf.DUMMYFUNCTION("IFERROR(VALUE(REGEXEXTRACT(TO_TEXT($F1029), P$1 &amp; ""x(\d+)"")), """")"),"")</f>
        <v/>
      </c>
      <c r="Q1029" s="9" t="str">
        <f ca="1">IFERROR(__xludf.DUMMYFUNCTION("IFERROR(VALUE(REGEXEXTRACT(TO_TEXT($F1029), Q$1 &amp; ""x(\d+)"")), """")"),"")</f>
        <v/>
      </c>
      <c r="R1029" s="9" t="str">
        <f ca="1">IFERROR(__xludf.DUMMYFUNCTION("IFERROR(VALUE(REGEXEXTRACT(TO_TEXT($F1029), R$1 &amp; ""x(\d+)"")), """")"),"")</f>
        <v/>
      </c>
      <c r="S1029" s="9" t="str">
        <f ca="1">IFERROR(__xludf.DUMMYFUNCTION("IFERROR(VALUE(REGEXEXTRACT(TO_TEXT($F1029), S$1 &amp; ""x(\d+)"")), """")"),"")</f>
        <v/>
      </c>
      <c r="T1029" s="9" t="str">
        <f ca="1">IFERROR(__xludf.DUMMYFUNCTION("IFERROR(VALUE(REGEXEXTRACT(TO_TEXT($F1029), T$1 &amp; ""x(\d+)"")), """")"),"")</f>
        <v/>
      </c>
      <c r="U1029" s="9" t="str">
        <f ca="1">IFERROR(__xludf.DUMMYFUNCTION("IFERROR(VALUE(REGEXEXTRACT(TO_TEXT($F1029), U$1 &amp; ""x(\d+)"")), """")"),"")</f>
        <v/>
      </c>
      <c r="V1029" s="9" t="str">
        <f ca="1">IFERROR(__xludf.DUMMYFUNCTION("IFERROR(VALUE(REGEXEXTRACT(TO_TEXT($F1029), V$1 &amp; ""x(\d+)"")), """")"),"")</f>
        <v/>
      </c>
      <c r="W1029" s="9"/>
      <c r="X1029" s="9"/>
      <c r="Y1029" s="9"/>
      <c r="Z1029" s="9"/>
    </row>
    <row r="1030" spans="1:26" ht="15.75" customHeight="1">
      <c r="A1030" s="9" t="s">
        <v>2093</v>
      </c>
      <c r="B1030" s="9" t="s">
        <v>2089</v>
      </c>
      <c r="C1030" s="9" t="s">
        <v>2094</v>
      </c>
      <c r="D1030" s="9" t="s">
        <v>33</v>
      </c>
      <c r="E1030" s="9" t="s">
        <v>11</v>
      </c>
      <c r="F1030" s="9" t="s">
        <v>2090</v>
      </c>
      <c r="G1030" s="9">
        <v>100</v>
      </c>
      <c r="H1030" s="9">
        <v>3</v>
      </c>
      <c r="I1030" s="9">
        <v>1.0149999999999999</v>
      </c>
      <c r="J1030" s="9">
        <v>101.7</v>
      </c>
      <c r="K1030" s="9" t="s">
        <v>442</v>
      </c>
      <c r="L1030" s="9"/>
      <c r="M1030" s="9"/>
      <c r="N1030" s="9">
        <f ca="1">IFERROR(__xludf.DUMMYFUNCTION("IFERROR(VALUE(REGEXEXTRACT(TO_TEXT($F1030), N$1 &amp; ""x(\d+)"")), """")
"),1)</f>
        <v>1</v>
      </c>
      <c r="O1030" s="9">
        <f ca="1">IFERROR(__xludf.DUMMYFUNCTION("IFERROR(VALUE(REGEXEXTRACT(TO_TEXT($F1030), O$1 &amp; ""x(\d+)"")), """")"),1)</f>
        <v>1</v>
      </c>
      <c r="P1030" s="9" t="str">
        <f ca="1">IFERROR(__xludf.DUMMYFUNCTION("IFERROR(VALUE(REGEXEXTRACT(TO_TEXT($F1030), P$1 &amp; ""x(\d+)"")), """")"),"")</f>
        <v/>
      </c>
      <c r="Q1030" s="9" t="str">
        <f ca="1">IFERROR(__xludf.DUMMYFUNCTION("IFERROR(VALUE(REGEXEXTRACT(TO_TEXT($F1030), Q$1 &amp; ""x(\d+)"")), """")"),"")</f>
        <v/>
      </c>
      <c r="R1030" s="9" t="str">
        <f ca="1">IFERROR(__xludf.DUMMYFUNCTION("IFERROR(VALUE(REGEXEXTRACT(TO_TEXT($F1030), R$1 &amp; ""x(\d+)"")), """")"),"")</f>
        <v/>
      </c>
      <c r="S1030" s="9" t="str">
        <f ca="1">IFERROR(__xludf.DUMMYFUNCTION("IFERROR(VALUE(REGEXEXTRACT(TO_TEXT($F1030), S$1 &amp; ""x(\d+)"")), """")"),"")</f>
        <v/>
      </c>
      <c r="T1030" s="9" t="str">
        <f ca="1">IFERROR(__xludf.DUMMYFUNCTION("IFERROR(VALUE(REGEXEXTRACT(TO_TEXT($F1030), T$1 &amp; ""x(\d+)"")), """")"),"")</f>
        <v/>
      </c>
      <c r="U1030" s="9" t="str">
        <f ca="1">IFERROR(__xludf.DUMMYFUNCTION("IFERROR(VALUE(REGEXEXTRACT(TO_TEXT($F1030), U$1 &amp; ""x(\d+)"")), """")"),"")</f>
        <v/>
      </c>
      <c r="V1030" s="9" t="str">
        <f ca="1">IFERROR(__xludf.DUMMYFUNCTION("IFERROR(VALUE(REGEXEXTRACT(TO_TEXT($F1030), V$1 &amp; ""x(\d+)"")), """")"),"")</f>
        <v/>
      </c>
      <c r="W1030" s="9"/>
      <c r="X1030" s="9"/>
      <c r="Y1030" s="9"/>
      <c r="Z1030" s="9"/>
    </row>
    <row r="1031" spans="1:26" ht="15.75" customHeight="1">
      <c r="A1031" s="9" t="s">
        <v>2093</v>
      </c>
      <c r="B1031" s="9" t="s">
        <v>2089</v>
      </c>
      <c r="C1031" s="9" t="s">
        <v>2094</v>
      </c>
      <c r="D1031" s="9" t="s">
        <v>33</v>
      </c>
      <c r="E1031" s="9" t="s">
        <v>12</v>
      </c>
      <c r="F1031" s="9" t="s">
        <v>2091</v>
      </c>
      <c r="G1031" s="9">
        <v>115</v>
      </c>
      <c r="H1031" s="9">
        <v>3</v>
      </c>
      <c r="I1031" s="9">
        <v>1.0149999999999999</v>
      </c>
      <c r="J1031" s="9">
        <v>101.7</v>
      </c>
      <c r="K1031" s="9" t="s">
        <v>442</v>
      </c>
      <c r="L1031" s="9"/>
      <c r="M1031" s="9"/>
      <c r="N1031" s="9">
        <f ca="1">IFERROR(__xludf.DUMMYFUNCTION("IFERROR(VALUE(REGEXEXTRACT(TO_TEXT($F1031), N$1 &amp; ""x(\d+)"")), """")
"),1)</f>
        <v>1</v>
      </c>
      <c r="O1031" s="9">
        <f ca="1">IFERROR(__xludf.DUMMYFUNCTION("IFERROR(VALUE(REGEXEXTRACT(TO_TEXT($F1031), O$1 &amp; ""x(\d+)"")), """")"),2)</f>
        <v>2</v>
      </c>
      <c r="P1031" s="9" t="str">
        <f ca="1">IFERROR(__xludf.DUMMYFUNCTION("IFERROR(VALUE(REGEXEXTRACT(TO_TEXT($F1031), P$1 &amp; ""x(\d+)"")), """")"),"")</f>
        <v/>
      </c>
      <c r="Q1031" s="9" t="str">
        <f ca="1">IFERROR(__xludf.DUMMYFUNCTION("IFERROR(VALUE(REGEXEXTRACT(TO_TEXT($F1031), Q$1 &amp; ""x(\d+)"")), """")"),"")</f>
        <v/>
      </c>
      <c r="R1031" s="9" t="str">
        <f ca="1">IFERROR(__xludf.DUMMYFUNCTION("IFERROR(VALUE(REGEXEXTRACT(TO_TEXT($F1031), R$1 &amp; ""x(\d+)"")), """")"),"")</f>
        <v/>
      </c>
      <c r="S1031" s="9" t="str">
        <f ca="1">IFERROR(__xludf.DUMMYFUNCTION("IFERROR(VALUE(REGEXEXTRACT(TO_TEXT($F1031), S$1 &amp; ""x(\d+)"")), """")"),"")</f>
        <v/>
      </c>
      <c r="T1031" s="9" t="str">
        <f ca="1">IFERROR(__xludf.DUMMYFUNCTION("IFERROR(VALUE(REGEXEXTRACT(TO_TEXT($F1031), T$1 &amp; ""x(\d+)"")), """")"),"")</f>
        <v/>
      </c>
      <c r="U1031" s="9" t="str">
        <f ca="1">IFERROR(__xludf.DUMMYFUNCTION("IFERROR(VALUE(REGEXEXTRACT(TO_TEXT($F1031), U$1 &amp; ""x(\d+)"")), """")"),"")</f>
        <v/>
      </c>
      <c r="V1031" s="9" t="str">
        <f ca="1">IFERROR(__xludf.DUMMYFUNCTION("IFERROR(VALUE(REGEXEXTRACT(TO_TEXT($F1031), V$1 &amp; ""x(\d+)"")), """")"),"")</f>
        <v/>
      </c>
      <c r="W1031" s="9"/>
      <c r="X1031" s="9"/>
      <c r="Y1031" s="9"/>
      <c r="Z1031" s="9"/>
    </row>
    <row r="1032" spans="1:26" ht="15.75" customHeight="1">
      <c r="A1032" s="9" t="s">
        <v>2093</v>
      </c>
      <c r="B1032" s="9" t="s">
        <v>2089</v>
      </c>
      <c r="C1032" s="9" t="s">
        <v>2094</v>
      </c>
      <c r="D1032" s="9" t="s">
        <v>33</v>
      </c>
      <c r="E1032" s="9" t="s">
        <v>13</v>
      </c>
      <c r="F1032" s="9" t="s">
        <v>2092</v>
      </c>
      <c r="G1032" s="9">
        <v>50</v>
      </c>
      <c r="H1032" s="9">
        <v>3</v>
      </c>
      <c r="I1032" s="9">
        <v>1.0149999999999999</v>
      </c>
      <c r="J1032" s="9">
        <v>101.7</v>
      </c>
      <c r="K1032" s="9" t="s">
        <v>442</v>
      </c>
      <c r="L1032" s="9"/>
      <c r="M1032" s="9"/>
      <c r="N1032" s="9">
        <f ca="1">IFERROR(__xludf.DUMMYFUNCTION("IFERROR(VALUE(REGEXEXTRACT(TO_TEXT($F1032), N$1 &amp; ""x(\d+)"")), """")
"),1)</f>
        <v>1</v>
      </c>
      <c r="O1032" s="9">
        <f ca="1">IFERROR(__xludf.DUMMYFUNCTION("IFERROR(VALUE(REGEXEXTRACT(TO_TEXT($F1032), O$1 &amp; ""x(\d+)"")), """")"),2)</f>
        <v>2</v>
      </c>
      <c r="P1032" s="9" t="str">
        <f ca="1">IFERROR(__xludf.DUMMYFUNCTION("IFERROR(VALUE(REGEXEXTRACT(TO_TEXT($F1032), P$1 &amp; ""x(\d+)"")), """")"),"")</f>
        <v/>
      </c>
      <c r="Q1032" s="9" t="str">
        <f ca="1">IFERROR(__xludf.DUMMYFUNCTION("IFERROR(VALUE(REGEXEXTRACT(TO_TEXT($F1032), Q$1 &amp; ""x(\d+)"")), """")"),"")</f>
        <v/>
      </c>
      <c r="R1032" s="9" t="str">
        <f ca="1">IFERROR(__xludf.DUMMYFUNCTION("IFERROR(VALUE(REGEXEXTRACT(TO_TEXT($F1032), R$1 &amp; ""x(\d+)"")), """")"),"")</f>
        <v/>
      </c>
      <c r="S1032" s="9" t="str">
        <f ca="1">IFERROR(__xludf.DUMMYFUNCTION("IFERROR(VALUE(REGEXEXTRACT(TO_TEXT($F1032), S$1 &amp; ""x(\d+)"")), """")"),"")</f>
        <v/>
      </c>
      <c r="T1032" s="9" t="str">
        <f ca="1">IFERROR(__xludf.DUMMYFUNCTION("IFERROR(VALUE(REGEXEXTRACT(TO_TEXT($F1032), T$1 &amp; ""x(\d+)"")), """")"),"")</f>
        <v/>
      </c>
      <c r="U1032" s="9" t="str">
        <f ca="1">IFERROR(__xludf.DUMMYFUNCTION("IFERROR(VALUE(REGEXEXTRACT(TO_TEXT($F1032), U$1 &amp; ""x(\d+)"")), """")"),"")</f>
        <v/>
      </c>
      <c r="V1032" s="9" t="str">
        <f ca="1">IFERROR(__xludf.DUMMYFUNCTION("IFERROR(VALUE(REGEXEXTRACT(TO_TEXT($F1032), V$1 &amp; ""x(\d+)"")), """")"),"")</f>
        <v/>
      </c>
      <c r="W1032" s="9"/>
      <c r="X1032" s="9"/>
      <c r="Y1032" s="9"/>
      <c r="Z1032" s="9"/>
    </row>
    <row r="1033" spans="1:26" ht="15.75" hidden="1" customHeight="1">
      <c r="A1033" s="9" t="s">
        <v>2095</v>
      </c>
      <c r="B1033" s="9" t="s">
        <v>2096</v>
      </c>
      <c r="C1033" s="9" t="s">
        <v>2097</v>
      </c>
      <c r="D1033" s="9" t="s">
        <v>74</v>
      </c>
      <c r="E1033" s="9" t="s">
        <v>11</v>
      </c>
      <c r="F1033" s="9" t="s">
        <v>2098</v>
      </c>
      <c r="G1033" s="9">
        <v>25</v>
      </c>
      <c r="H1033" s="9">
        <v>2</v>
      </c>
      <c r="I1033" s="9">
        <v>1.0149999999999999</v>
      </c>
      <c r="J1033" s="9">
        <v>103</v>
      </c>
      <c r="K1033" s="9" t="s">
        <v>424</v>
      </c>
      <c r="L1033" s="9"/>
      <c r="M1033" s="9"/>
      <c r="N1033" s="9" t="str">
        <f ca="1">IFERROR(__xludf.DUMMYFUNCTION("IFERROR(VALUE(REGEXEXTRACT(TO_TEXT($F1033), N$1 &amp; ""x(\d+)"")), """")
"),"")</f>
        <v/>
      </c>
      <c r="O1033" s="9">
        <f ca="1">IFERROR(__xludf.DUMMYFUNCTION("IFERROR(VALUE(REGEXEXTRACT(TO_TEXT($F1033), O$1 &amp; ""x(\d+)"")), """")"),1)</f>
        <v>1</v>
      </c>
      <c r="P1033" s="9" t="str">
        <f ca="1">IFERROR(__xludf.DUMMYFUNCTION("IFERROR(VALUE(REGEXEXTRACT(TO_TEXT($F1033), P$1 &amp; ""x(\d+)"")), """")"),"")</f>
        <v/>
      </c>
      <c r="Q1033" s="9" t="str">
        <f ca="1">IFERROR(__xludf.DUMMYFUNCTION("IFERROR(VALUE(REGEXEXTRACT(TO_TEXT($F1033), Q$1 &amp; ""x(\d+)"")), """")"),"")</f>
        <v/>
      </c>
      <c r="R1033" s="9" t="str">
        <f ca="1">IFERROR(__xludf.DUMMYFUNCTION("IFERROR(VALUE(REGEXEXTRACT(TO_TEXT($F1033), R$1 &amp; ""x(\d+)"")), """")"),"")</f>
        <v/>
      </c>
      <c r="S1033" s="9" t="str">
        <f ca="1">IFERROR(__xludf.DUMMYFUNCTION("IFERROR(VALUE(REGEXEXTRACT(TO_TEXT($F1033), S$1 &amp; ""x(\d+)"")), """")"),"")</f>
        <v/>
      </c>
      <c r="T1033" s="9" t="str">
        <f ca="1">IFERROR(__xludf.DUMMYFUNCTION("IFERROR(VALUE(REGEXEXTRACT(TO_TEXT($F1033), T$1 &amp; ""x(\d+)"")), """")"),"")</f>
        <v/>
      </c>
      <c r="U1033" s="9" t="str">
        <f ca="1">IFERROR(__xludf.DUMMYFUNCTION("IFERROR(VALUE(REGEXEXTRACT(TO_TEXT($F1033), U$1 &amp; ""x(\d+)"")), """")"),"")</f>
        <v/>
      </c>
      <c r="V1033" s="9" t="str">
        <f ca="1">IFERROR(__xludf.DUMMYFUNCTION("IFERROR(VALUE(REGEXEXTRACT(TO_TEXT($F1033), V$1 &amp; ""x(\d+)"")), """")"),"")</f>
        <v/>
      </c>
      <c r="W1033" s="9"/>
      <c r="X1033" s="9"/>
      <c r="Y1033" s="9"/>
      <c r="Z1033" s="9"/>
    </row>
    <row r="1034" spans="1:26" ht="15.75" hidden="1" customHeight="1">
      <c r="A1034" s="9" t="s">
        <v>2095</v>
      </c>
      <c r="B1034" s="9" t="s">
        <v>2096</v>
      </c>
      <c r="C1034" s="9" t="s">
        <v>2097</v>
      </c>
      <c r="D1034" s="9" t="s">
        <v>74</v>
      </c>
      <c r="E1034" s="9" t="s">
        <v>12</v>
      </c>
      <c r="F1034" s="9" t="s">
        <v>1124</v>
      </c>
      <c r="G1034" s="9">
        <v>180</v>
      </c>
      <c r="H1034" s="9">
        <v>2</v>
      </c>
      <c r="I1034" s="9">
        <v>1.0149999999999999</v>
      </c>
      <c r="J1034" s="9">
        <v>103</v>
      </c>
      <c r="K1034" s="9" t="s">
        <v>424</v>
      </c>
      <c r="L1034" s="9" t="s">
        <v>1210</v>
      </c>
      <c r="M1034" s="9"/>
      <c r="N1034" s="9" t="str">
        <f ca="1">IFERROR(__xludf.DUMMYFUNCTION("IFERROR(VALUE(REGEXEXTRACT(TO_TEXT($F1034), N$1 &amp; ""x(\d+)"")), """")
"),"")</f>
        <v/>
      </c>
      <c r="O1034" s="9" t="str">
        <f ca="1">IFERROR(__xludf.DUMMYFUNCTION("IFERROR(VALUE(REGEXEXTRACT(TO_TEXT($F1034), O$1 &amp; ""x(\d+)"")), """")"),"")</f>
        <v/>
      </c>
      <c r="P1034" s="9" t="str">
        <f ca="1">IFERROR(__xludf.DUMMYFUNCTION("IFERROR(VALUE(REGEXEXTRACT(TO_TEXT($F1034), P$1 &amp; ""x(\d+)"")), """")"),"")</f>
        <v/>
      </c>
      <c r="Q1034" s="9">
        <f ca="1">IFERROR(__xludf.DUMMYFUNCTION("IFERROR(VALUE(REGEXEXTRACT(TO_TEXT($F1034), Q$1 &amp; ""x(\d+)"")), """")"),1)</f>
        <v>1</v>
      </c>
      <c r="R1034" s="9" t="str">
        <f ca="1">IFERROR(__xludf.DUMMYFUNCTION("IFERROR(VALUE(REGEXEXTRACT(TO_TEXT($F1034), R$1 &amp; ""x(\d+)"")), """")"),"")</f>
        <v/>
      </c>
      <c r="S1034" s="9" t="str">
        <f ca="1">IFERROR(__xludf.DUMMYFUNCTION("IFERROR(VALUE(REGEXEXTRACT(TO_TEXT($F1034), S$1 &amp; ""x(\d+)"")), """")"),"")</f>
        <v/>
      </c>
      <c r="T1034" s="9" t="str">
        <f ca="1">IFERROR(__xludf.DUMMYFUNCTION("IFERROR(VALUE(REGEXEXTRACT(TO_TEXT($F1034), T$1 &amp; ""x(\d+)"")), """")"),"")</f>
        <v/>
      </c>
      <c r="U1034" s="9" t="str">
        <f ca="1">IFERROR(__xludf.DUMMYFUNCTION("IFERROR(VALUE(REGEXEXTRACT(TO_TEXT($F1034), U$1 &amp; ""x(\d+)"")), """")"),"")</f>
        <v/>
      </c>
      <c r="V1034" s="9" t="str">
        <f ca="1">IFERROR(__xludf.DUMMYFUNCTION("IFERROR(VALUE(REGEXEXTRACT(TO_TEXT($F1034), V$1 &amp; ""x(\d+)"")), """")"),"")</f>
        <v/>
      </c>
      <c r="W1034" s="9"/>
      <c r="X1034" s="9"/>
      <c r="Y1034" s="9"/>
      <c r="Z1034" s="9"/>
    </row>
    <row r="1035" spans="1:26" ht="15.75" hidden="1" customHeight="1">
      <c r="A1035" s="9" t="s">
        <v>2095</v>
      </c>
      <c r="B1035" s="9" t="s">
        <v>2096</v>
      </c>
      <c r="C1035" s="9" t="s">
        <v>2097</v>
      </c>
      <c r="D1035" s="9" t="s">
        <v>74</v>
      </c>
      <c r="E1035" s="9" t="s">
        <v>13</v>
      </c>
      <c r="F1035" s="9" t="s">
        <v>1125</v>
      </c>
      <c r="G1035" s="9">
        <v>40</v>
      </c>
      <c r="H1035" s="9">
        <v>2</v>
      </c>
      <c r="I1035" s="9">
        <v>1.0149999999999999</v>
      </c>
      <c r="J1035" s="9">
        <v>103</v>
      </c>
      <c r="K1035" s="9" t="s">
        <v>424</v>
      </c>
      <c r="L1035" s="9"/>
      <c r="M1035" s="9"/>
      <c r="N1035" s="9" t="str">
        <f ca="1">IFERROR(__xludf.DUMMYFUNCTION("IFERROR(VALUE(REGEXEXTRACT(TO_TEXT($F1035), N$1 &amp; ""x(\d+)"")), """")
"),"")</f>
        <v/>
      </c>
      <c r="O1035" s="9" t="str">
        <f ca="1">IFERROR(__xludf.DUMMYFUNCTION("IFERROR(VALUE(REGEXEXTRACT(TO_TEXT($F1035), O$1 &amp; ""x(\d+)"")), """")"),"")</f>
        <v/>
      </c>
      <c r="P1035" s="9" t="str">
        <f ca="1">IFERROR(__xludf.DUMMYFUNCTION("IFERROR(VALUE(REGEXEXTRACT(TO_TEXT($F1035), P$1 &amp; ""x(\d+)"")), """")"),"")</f>
        <v/>
      </c>
      <c r="Q1035" s="9">
        <f ca="1">IFERROR(__xludf.DUMMYFUNCTION("IFERROR(VALUE(REGEXEXTRACT(TO_TEXT($F1035), Q$1 &amp; ""x(\d+)"")), """")"),1)</f>
        <v>1</v>
      </c>
      <c r="R1035" s="9" t="str">
        <f ca="1">IFERROR(__xludf.DUMMYFUNCTION("IFERROR(VALUE(REGEXEXTRACT(TO_TEXT($F1035), R$1 &amp; ""x(\d+)"")), """")"),"")</f>
        <v/>
      </c>
      <c r="S1035" s="9" t="str">
        <f ca="1">IFERROR(__xludf.DUMMYFUNCTION("IFERROR(VALUE(REGEXEXTRACT(TO_TEXT($F1035), S$1 &amp; ""x(\d+)"")), """")"),"")</f>
        <v/>
      </c>
      <c r="T1035" s="9" t="str">
        <f ca="1">IFERROR(__xludf.DUMMYFUNCTION("IFERROR(VALUE(REGEXEXTRACT(TO_TEXT($F1035), T$1 &amp; ""x(\d+)"")), """")"),"")</f>
        <v/>
      </c>
      <c r="U1035" s="9" t="str">
        <f ca="1">IFERROR(__xludf.DUMMYFUNCTION("IFERROR(VALUE(REGEXEXTRACT(TO_TEXT($F1035), U$1 &amp; ""x(\d+)"")), """")"),"")</f>
        <v/>
      </c>
      <c r="V1035" s="9" t="str">
        <f ca="1">IFERROR(__xludf.DUMMYFUNCTION("IFERROR(VALUE(REGEXEXTRACT(TO_TEXT($F1035), V$1 &amp; ""x(\d+)"")), """")"),"")</f>
        <v/>
      </c>
      <c r="W1035" s="9"/>
      <c r="X1035" s="9"/>
      <c r="Y1035" s="9"/>
      <c r="Z1035" s="9"/>
    </row>
    <row r="1036" spans="1:26" ht="15.75" hidden="1" customHeight="1">
      <c r="A1036" s="9" t="s">
        <v>2099</v>
      </c>
      <c r="B1036" s="9" t="s">
        <v>2100</v>
      </c>
      <c r="C1036" s="9" t="s">
        <v>791</v>
      </c>
      <c r="D1036" s="9" t="s">
        <v>74</v>
      </c>
      <c r="E1036" s="9" t="s">
        <v>11</v>
      </c>
      <c r="F1036" s="9" t="s">
        <v>1204</v>
      </c>
      <c r="G1036" s="9">
        <v>30</v>
      </c>
      <c r="H1036" s="9">
        <v>3</v>
      </c>
      <c r="I1036" s="9">
        <v>1.0149999999999999</v>
      </c>
      <c r="J1036" s="9">
        <v>103</v>
      </c>
      <c r="K1036" s="9" t="s">
        <v>424</v>
      </c>
      <c r="L1036" s="9"/>
      <c r="M1036" s="9"/>
      <c r="N1036" s="9" t="str">
        <f ca="1">IFERROR(__xludf.DUMMYFUNCTION("IFERROR(VALUE(REGEXEXTRACT(TO_TEXT($F1036), N$1 &amp; ""x(\d+)"")), """")
"),"")</f>
        <v/>
      </c>
      <c r="O1036" s="9" t="str">
        <f ca="1">IFERROR(__xludf.DUMMYFUNCTION("IFERROR(VALUE(REGEXEXTRACT(TO_TEXT($F1036), O$1 &amp; ""x(\d+)"")), """")"),"")</f>
        <v/>
      </c>
      <c r="P1036" s="9" t="str">
        <f ca="1">IFERROR(__xludf.DUMMYFUNCTION("IFERROR(VALUE(REGEXEXTRACT(TO_TEXT($F1036), P$1 &amp; ""x(\d+)"")), """")"),"")</f>
        <v/>
      </c>
      <c r="Q1036" s="9" t="str">
        <f ca="1">IFERROR(__xludf.DUMMYFUNCTION("IFERROR(VALUE(REGEXEXTRACT(TO_TEXT($F1036), Q$1 &amp; ""x(\d+)"")), """")"),"")</f>
        <v/>
      </c>
      <c r="R1036" s="9" t="str">
        <f ca="1">IFERROR(__xludf.DUMMYFUNCTION("IFERROR(VALUE(REGEXEXTRACT(TO_TEXT($F1036), R$1 &amp; ""x(\d+)"")), """")"),"")</f>
        <v/>
      </c>
      <c r="S1036" s="9" t="str">
        <f ca="1">IFERROR(__xludf.DUMMYFUNCTION("IFERROR(VALUE(REGEXEXTRACT(TO_TEXT($F1036), S$1 &amp; ""x(\d+)"")), """")"),"")</f>
        <v/>
      </c>
      <c r="T1036" s="9" t="str">
        <f ca="1">IFERROR(__xludf.DUMMYFUNCTION("IFERROR(VALUE(REGEXEXTRACT(TO_TEXT($F1036), T$1 &amp; ""x(\d+)"")), """")"),"")</f>
        <v/>
      </c>
      <c r="U1036" s="9" t="str">
        <f ca="1">IFERROR(__xludf.DUMMYFUNCTION("IFERROR(VALUE(REGEXEXTRACT(TO_TEXT($F1036), U$1 &amp; ""x(\d+)"")), """")"),"")</f>
        <v/>
      </c>
      <c r="V1036" s="9" t="str">
        <f ca="1">IFERROR(__xludf.DUMMYFUNCTION("IFERROR(VALUE(REGEXEXTRACT(TO_TEXT($F1036), V$1 &amp; ""x(\d+)"")), """")"),"")</f>
        <v/>
      </c>
      <c r="W1036" s="9"/>
      <c r="X1036" s="9"/>
      <c r="Y1036" s="9"/>
      <c r="Z1036" s="9"/>
    </row>
    <row r="1037" spans="1:26" ht="15.75" hidden="1" customHeight="1">
      <c r="A1037" s="9" t="s">
        <v>2099</v>
      </c>
      <c r="B1037" s="9" t="s">
        <v>2100</v>
      </c>
      <c r="C1037" s="9" t="s">
        <v>791</v>
      </c>
      <c r="D1037" s="9" t="s">
        <v>74</v>
      </c>
      <c r="E1037" s="9" t="s">
        <v>12</v>
      </c>
      <c r="F1037" s="9" t="s">
        <v>2085</v>
      </c>
      <c r="G1037" s="9">
        <v>180</v>
      </c>
      <c r="H1037" s="9">
        <v>3</v>
      </c>
      <c r="I1037" s="9">
        <v>1.0149999999999999</v>
      </c>
      <c r="J1037" s="9">
        <v>103</v>
      </c>
      <c r="K1037" s="9" t="s">
        <v>424</v>
      </c>
      <c r="L1037" s="9" t="s">
        <v>1210</v>
      </c>
      <c r="M1037" s="9"/>
      <c r="N1037" s="9" t="str">
        <f ca="1">IFERROR(__xludf.DUMMYFUNCTION("IFERROR(VALUE(REGEXEXTRACT(TO_TEXT($F1037), N$1 &amp; ""x(\d+)"")), """")
"),"")</f>
        <v/>
      </c>
      <c r="O1037" s="9" t="str">
        <f ca="1">IFERROR(__xludf.DUMMYFUNCTION("IFERROR(VALUE(REGEXEXTRACT(TO_TEXT($F1037), O$1 &amp; ""x(\d+)"")), """")"),"")</f>
        <v/>
      </c>
      <c r="P1037" s="9" t="str">
        <f ca="1">IFERROR(__xludf.DUMMYFUNCTION("IFERROR(VALUE(REGEXEXTRACT(TO_TEXT($F1037), P$1 &amp; ""x(\d+)"")), """")"),"")</f>
        <v/>
      </c>
      <c r="Q1037" s="9">
        <f ca="1">IFERROR(__xludf.DUMMYFUNCTION("IFERROR(VALUE(REGEXEXTRACT(TO_TEXT($F1037), Q$1 &amp; ""x(\d+)"")), """")"),1)</f>
        <v>1</v>
      </c>
      <c r="R1037" s="9" t="str">
        <f ca="1">IFERROR(__xludf.DUMMYFUNCTION("IFERROR(VALUE(REGEXEXTRACT(TO_TEXT($F1037), R$1 &amp; ""x(\d+)"")), """")"),"")</f>
        <v/>
      </c>
      <c r="S1037" s="9" t="str">
        <f ca="1">IFERROR(__xludf.DUMMYFUNCTION("IFERROR(VALUE(REGEXEXTRACT(TO_TEXT($F1037), S$1 &amp; ""x(\d+)"")), """")"),"")</f>
        <v/>
      </c>
      <c r="T1037" s="9" t="str">
        <f ca="1">IFERROR(__xludf.DUMMYFUNCTION("IFERROR(VALUE(REGEXEXTRACT(TO_TEXT($F1037), T$1 &amp; ""x(\d+)"")), """")"),"")</f>
        <v/>
      </c>
      <c r="U1037" s="9" t="str">
        <f ca="1">IFERROR(__xludf.DUMMYFUNCTION("IFERROR(VALUE(REGEXEXTRACT(TO_TEXT($F1037), U$1 &amp; ""x(\d+)"")), """")"),"")</f>
        <v/>
      </c>
      <c r="V1037" s="9" t="str">
        <f ca="1">IFERROR(__xludf.DUMMYFUNCTION("IFERROR(VALUE(REGEXEXTRACT(TO_TEXT($F1037), V$1 &amp; ""x(\d+)"")), """")"),"")</f>
        <v/>
      </c>
      <c r="W1037" s="9"/>
      <c r="X1037" s="9"/>
      <c r="Y1037" s="9"/>
      <c r="Z1037" s="9"/>
    </row>
    <row r="1038" spans="1:26" ht="15.75" hidden="1" customHeight="1">
      <c r="A1038" s="9" t="s">
        <v>2099</v>
      </c>
      <c r="B1038" s="9" t="s">
        <v>2100</v>
      </c>
      <c r="C1038" s="9" t="s">
        <v>791</v>
      </c>
      <c r="D1038" s="9" t="s">
        <v>74</v>
      </c>
      <c r="E1038" s="9" t="s">
        <v>13</v>
      </c>
      <c r="F1038" s="9" t="s">
        <v>2086</v>
      </c>
      <c r="G1038" s="9">
        <v>40</v>
      </c>
      <c r="H1038" s="9">
        <v>3</v>
      </c>
      <c r="I1038" s="9">
        <v>1.0149999999999999</v>
      </c>
      <c r="J1038" s="9">
        <v>103</v>
      </c>
      <c r="K1038" s="9" t="s">
        <v>424</v>
      </c>
      <c r="L1038" s="9"/>
      <c r="M1038" s="9"/>
      <c r="N1038" s="9" t="str">
        <f ca="1">IFERROR(__xludf.DUMMYFUNCTION("IFERROR(VALUE(REGEXEXTRACT(TO_TEXT($F1038), N$1 &amp; ""x(\d+)"")), """")
"),"")</f>
        <v/>
      </c>
      <c r="O1038" s="9" t="str">
        <f ca="1">IFERROR(__xludf.DUMMYFUNCTION("IFERROR(VALUE(REGEXEXTRACT(TO_TEXT($F1038), O$1 &amp; ""x(\d+)"")), """")"),"")</f>
        <v/>
      </c>
      <c r="P1038" s="9" t="str">
        <f ca="1">IFERROR(__xludf.DUMMYFUNCTION("IFERROR(VALUE(REGEXEXTRACT(TO_TEXT($F1038), P$1 &amp; ""x(\d+)"")), """")"),"")</f>
        <v/>
      </c>
      <c r="Q1038" s="9">
        <f ca="1">IFERROR(__xludf.DUMMYFUNCTION("IFERROR(VALUE(REGEXEXTRACT(TO_TEXT($F1038), Q$1 &amp; ""x(\d+)"")), """")"),1)</f>
        <v>1</v>
      </c>
      <c r="R1038" s="9" t="str">
        <f ca="1">IFERROR(__xludf.DUMMYFUNCTION("IFERROR(VALUE(REGEXEXTRACT(TO_TEXT($F1038), R$1 &amp; ""x(\d+)"")), """")"),"")</f>
        <v/>
      </c>
      <c r="S1038" s="9" t="str">
        <f ca="1">IFERROR(__xludf.DUMMYFUNCTION("IFERROR(VALUE(REGEXEXTRACT(TO_TEXT($F1038), S$1 &amp; ""x(\d+)"")), """")"),"")</f>
        <v/>
      </c>
      <c r="T1038" s="9" t="str">
        <f ca="1">IFERROR(__xludf.DUMMYFUNCTION("IFERROR(VALUE(REGEXEXTRACT(TO_TEXT($F1038), T$1 &amp; ""x(\d+)"")), """")"),"")</f>
        <v/>
      </c>
      <c r="U1038" s="9" t="str">
        <f ca="1">IFERROR(__xludf.DUMMYFUNCTION("IFERROR(VALUE(REGEXEXTRACT(TO_TEXT($F1038), U$1 &amp; ""x(\d+)"")), """")"),"")</f>
        <v/>
      </c>
      <c r="V1038" s="9" t="str">
        <f ca="1">IFERROR(__xludf.DUMMYFUNCTION("IFERROR(VALUE(REGEXEXTRACT(TO_TEXT($F1038), V$1 &amp; ""x(\d+)"")), """")"),"")</f>
        <v/>
      </c>
      <c r="W1038" s="9"/>
      <c r="X1038" s="9"/>
      <c r="Y1038" s="9"/>
      <c r="Z1038" s="9"/>
    </row>
    <row r="1039" spans="1:26" ht="15.75" hidden="1" customHeight="1">
      <c r="A1039" s="9" t="s">
        <v>2101</v>
      </c>
      <c r="B1039" s="9" t="s">
        <v>2102</v>
      </c>
      <c r="C1039" s="9" t="s">
        <v>558</v>
      </c>
      <c r="D1039" s="9" t="s">
        <v>40</v>
      </c>
      <c r="E1039" s="9" t="s">
        <v>11</v>
      </c>
      <c r="F1039" s="9" t="s">
        <v>2103</v>
      </c>
      <c r="G1039" s="9">
        <v>45</v>
      </c>
      <c r="H1039" s="9">
        <v>2</v>
      </c>
      <c r="I1039" s="9">
        <v>1.0149999999999999</v>
      </c>
      <c r="J1039" s="9">
        <v>400</v>
      </c>
      <c r="K1039" s="9" t="s">
        <v>442</v>
      </c>
      <c r="L1039" s="9"/>
      <c r="M1039" s="9"/>
      <c r="N1039" s="9" t="str">
        <f ca="1">IFERROR(__xludf.DUMMYFUNCTION("IFERROR(VALUE(REGEXEXTRACT(TO_TEXT($F1039), N$1 &amp; ""x(\d+)"")), """")
"),"")</f>
        <v/>
      </c>
      <c r="O1039" s="9" t="str">
        <f ca="1">IFERROR(__xludf.DUMMYFUNCTION("IFERROR(VALUE(REGEXEXTRACT(TO_TEXT($F1039), O$1 &amp; ""x(\d+)"")), """")"),"")</f>
        <v/>
      </c>
      <c r="P1039" s="9" t="str">
        <f ca="1">IFERROR(__xludf.DUMMYFUNCTION("IFERROR(VALUE(REGEXEXTRACT(TO_TEXT($F1039), P$1 &amp; ""x(\d+)"")), """")"),"")</f>
        <v/>
      </c>
      <c r="Q1039" s="9" t="str">
        <f ca="1">IFERROR(__xludf.DUMMYFUNCTION("IFERROR(VALUE(REGEXEXTRACT(TO_TEXT($F1039), Q$1 &amp; ""x(\d+)"")), """")"),"")</f>
        <v/>
      </c>
      <c r="R1039" s="9" t="str">
        <f ca="1">IFERROR(__xludf.DUMMYFUNCTION("IFERROR(VALUE(REGEXEXTRACT(TO_TEXT($F1039), R$1 &amp; ""x(\d+)"")), """")"),"")</f>
        <v/>
      </c>
      <c r="S1039" s="9" t="str">
        <f ca="1">IFERROR(__xludf.DUMMYFUNCTION("IFERROR(VALUE(REGEXEXTRACT(TO_TEXT($F1039), S$1 &amp; ""x(\d+)"")), """")"),"")</f>
        <v/>
      </c>
      <c r="T1039" s="9" t="str">
        <f ca="1">IFERROR(__xludf.DUMMYFUNCTION("IFERROR(VALUE(REGEXEXTRACT(TO_TEXT($F1039), T$1 &amp; ""x(\d+)"")), """")"),"")</f>
        <v/>
      </c>
      <c r="U1039" s="9" t="str">
        <f ca="1">IFERROR(__xludf.DUMMYFUNCTION("IFERROR(VALUE(REGEXEXTRACT(TO_TEXT($F1039), U$1 &amp; ""x(\d+)"")), """")"),"")</f>
        <v/>
      </c>
      <c r="V1039" s="9" t="str">
        <f ca="1">IFERROR(__xludf.DUMMYFUNCTION("IFERROR(VALUE(REGEXEXTRACT(TO_TEXT($F1039), V$1 &amp; ""x(\d+)"")), """")"),"")</f>
        <v/>
      </c>
      <c r="W1039" s="9"/>
      <c r="X1039" s="9"/>
      <c r="Y1039" s="9"/>
      <c r="Z1039" s="9"/>
    </row>
    <row r="1040" spans="1:26" ht="15.75" hidden="1" customHeight="1">
      <c r="A1040" s="9" t="s">
        <v>2101</v>
      </c>
      <c r="B1040" s="9" t="s">
        <v>2102</v>
      </c>
      <c r="C1040" s="9" t="s">
        <v>558</v>
      </c>
      <c r="D1040" s="9" t="s">
        <v>40</v>
      </c>
      <c r="E1040" s="9" t="s">
        <v>12</v>
      </c>
      <c r="F1040" s="9" t="s">
        <v>2104</v>
      </c>
      <c r="G1040" s="9">
        <v>180</v>
      </c>
      <c r="H1040" s="9">
        <v>2</v>
      </c>
      <c r="I1040" s="9">
        <v>1.0149999999999999</v>
      </c>
      <c r="J1040" s="9">
        <v>400</v>
      </c>
      <c r="K1040" s="9" t="s">
        <v>442</v>
      </c>
      <c r="L1040" s="9"/>
      <c r="M1040" s="9"/>
      <c r="N1040" s="9" t="str">
        <f ca="1">IFERROR(__xludf.DUMMYFUNCTION("IFERROR(VALUE(REGEXEXTRACT(TO_TEXT($F1040), N$1 &amp; ""x(\d+)"")), """")
"),"")</f>
        <v/>
      </c>
      <c r="O1040" s="9">
        <f ca="1">IFERROR(__xludf.DUMMYFUNCTION("IFERROR(VALUE(REGEXEXTRACT(TO_TEXT($F1040), O$1 &amp; ""x(\d+)"")), """")"),2)</f>
        <v>2</v>
      </c>
      <c r="P1040" s="9" t="str">
        <f ca="1">IFERROR(__xludf.DUMMYFUNCTION("IFERROR(VALUE(REGEXEXTRACT(TO_TEXT($F1040), P$1 &amp; ""x(\d+)"")), """")"),"")</f>
        <v/>
      </c>
      <c r="Q1040" s="9" t="str">
        <f ca="1">IFERROR(__xludf.DUMMYFUNCTION("IFERROR(VALUE(REGEXEXTRACT(TO_TEXT($F1040), Q$1 &amp; ""x(\d+)"")), """")"),"")</f>
        <v/>
      </c>
      <c r="R1040" s="9" t="str">
        <f ca="1">IFERROR(__xludf.DUMMYFUNCTION("IFERROR(VALUE(REGEXEXTRACT(TO_TEXT($F1040), R$1 &amp; ""x(\d+)"")), """")"),"")</f>
        <v/>
      </c>
      <c r="S1040" s="9">
        <f ca="1">IFERROR(__xludf.DUMMYFUNCTION("IFERROR(VALUE(REGEXEXTRACT(TO_TEXT($F1040), S$1 &amp; ""x(\d+)"")), """")"),1)</f>
        <v>1</v>
      </c>
      <c r="T1040" s="9" t="str">
        <f ca="1">IFERROR(__xludf.DUMMYFUNCTION("IFERROR(VALUE(REGEXEXTRACT(TO_TEXT($F1040), T$1 &amp; ""x(\d+)"")), """")"),"")</f>
        <v/>
      </c>
      <c r="U1040" s="9" t="str">
        <f ca="1">IFERROR(__xludf.DUMMYFUNCTION("IFERROR(VALUE(REGEXEXTRACT(TO_TEXT($F1040), U$1 &amp; ""x(\d+)"")), """")"),"")</f>
        <v/>
      </c>
      <c r="V1040" s="9" t="str">
        <f ca="1">IFERROR(__xludf.DUMMYFUNCTION("IFERROR(VALUE(REGEXEXTRACT(TO_TEXT($F1040), V$1 &amp; ""x(\d+)"")), """")"),"")</f>
        <v/>
      </c>
      <c r="W1040" s="9"/>
      <c r="X1040" s="9"/>
      <c r="Y1040" s="9"/>
      <c r="Z1040" s="9"/>
    </row>
    <row r="1041" spans="1:26" ht="15.75" hidden="1" customHeight="1">
      <c r="A1041" s="9" t="s">
        <v>2101</v>
      </c>
      <c r="B1041" s="9" t="s">
        <v>2102</v>
      </c>
      <c r="C1041" s="9" t="s">
        <v>558</v>
      </c>
      <c r="D1041" s="9" t="s">
        <v>40</v>
      </c>
      <c r="E1041" s="9" t="s">
        <v>13</v>
      </c>
      <c r="F1041" s="9" t="s">
        <v>2105</v>
      </c>
      <c r="G1041" s="9">
        <v>30</v>
      </c>
      <c r="H1041" s="9">
        <v>2</v>
      </c>
      <c r="I1041" s="9">
        <v>1.0149999999999999</v>
      </c>
      <c r="J1041" s="9">
        <v>400</v>
      </c>
      <c r="K1041" s="9" t="s">
        <v>442</v>
      </c>
      <c r="L1041" s="9"/>
      <c r="M1041" s="9"/>
      <c r="N1041" s="9" t="str">
        <f ca="1">IFERROR(__xludf.DUMMYFUNCTION("IFERROR(VALUE(REGEXEXTRACT(TO_TEXT($F1041), N$1 &amp; ""x(\d+)"")), """")
"),"")</f>
        <v/>
      </c>
      <c r="O1041" s="9">
        <f ca="1">IFERROR(__xludf.DUMMYFUNCTION("IFERROR(VALUE(REGEXEXTRACT(TO_TEXT($F1041), O$1 &amp; ""x(\d+)"")), """")"),2)</f>
        <v>2</v>
      </c>
      <c r="P1041" s="9" t="str">
        <f ca="1">IFERROR(__xludf.DUMMYFUNCTION("IFERROR(VALUE(REGEXEXTRACT(TO_TEXT($F1041), P$1 &amp; ""x(\d+)"")), """")"),"")</f>
        <v/>
      </c>
      <c r="Q1041" s="9" t="str">
        <f ca="1">IFERROR(__xludf.DUMMYFUNCTION("IFERROR(VALUE(REGEXEXTRACT(TO_TEXT($F1041), Q$1 &amp; ""x(\d+)"")), """")"),"")</f>
        <v/>
      </c>
      <c r="R1041" s="9" t="str">
        <f ca="1">IFERROR(__xludf.DUMMYFUNCTION("IFERROR(VALUE(REGEXEXTRACT(TO_TEXT($F1041), R$1 &amp; ""x(\d+)"")), """")"),"")</f>
        <v/>
      </c>
      <c r="S1041" s="9">
        <f ca="1">IFERROR(__xludf.DUMMYFUNCTION("IFERROR(VALUE(REGEXEXTRACT(TO_TEXT($F1041), S$1 &amp; ""x(\d+)"")), """")"),1)</f>
        <v>1</v>
      </c>
      <c r="T1041" s="9" t="str">
        <f ca="1">IFERROR(__xludf.DUMMYFUNCTION("IFERROR(VALUE(REGEXEXTRACT(TO_TEXT($F1041), T$1 &amp; ""x(\d+)"")), """")"),"")</f>
        <v/>
      </c>
      <c r="U1041" s="9" t="str">
        <f ca="1">IFERROR(__xludf.DUMMYFUNCTION("IFERROR(VALUE(REGEXEXTRACT(TO_TEXT($F1041), U$1 &amp; ""x(\d+)"")), """")"),"")</f>
        <v/>
      </c>
      <c r="V1041" s="9" t="str">
        <f ca="1">IFERROR(__xludf.DUMMYFUNCTION("IFERROR(VALUE(REGEXEXTRACT(TO_TEXT($F1041), V$1 &amp; ""x(\d+)"")), """")"),"")</f>
        <v/>
      </c>
      <c r="W1041" s="9"/>
      <c r="X1041" s="9"/>
      <c r="Y1041" s="9"/>
      <c r="Z1041" s="9"/>
    </row>
    <row r="1042" spans="1:26" ht="15.75" customHeight="1">
      <c r="A1042" s="9" t="s">
        <v>2101</v>
      </c>
      <c r="B1042" s="9" t="s">
        <v>2102</v>
      </c>
      <c r="C1042" s="9" t="s">
        <v>558</v>
      </c>
      <c r="D1042" s="9" t="s">
        <v>33</v>
      </c>
      <c r="E1042" s="9" t="s">
        <v>11</v>
      </c>
      <c r="F1042" s="9" t="s">
        <v>2103</v>
      </c>
      <c r="G1042" s="9">
        <v>45</v>
      </c>
      <c r="H1042" s="9">
        <v>2</v>
      </c>
      <c r="I1042" s="9">
        <v>1.0149999999999999</v>
      </c>
      <c r="J1042" s="9">
        <v>100</v>
      </c>
      <c r="K1042" s="9" t="s">
        <v>442</v>
      </c>
      <c r="L1042" s="9"/>
      <c r="M1042" s="9"/>
      <c r="N1042" s="9" t="str">
        <f ca="1">IFERROR(__xludf.DUMMYFUNCTION("IFERROR(VALUE(REGEXEXTRACT(TO_TEXT($F1042), N$1 &amp; ""x(\d+)"")), """")
"),"")</f>
        <v/>
      </c>
      <c r="O1042" s="9" t="str">
        <f ca="1">IFERROR(__xludf.DUMMYFUNCTION("IFERROR(VALUE(REGEXEXTRACT(TO_TEXT($F1042), O$1 &amp; ""x(\d+)"")), """")"),"")</f>
        <v/>
      </c>
      <c r="P1042" s="9" t="str">
        <f ca="1">IFERROR(__xludf.DUMMYFUNCTION("IFERROR(VALUE(REGEXEXTRACT(TO_TEXT($F1042), P$1 &amp; ""x(\d+)"")), """")"),"")</f>
        <v/>
      </c>
      <c r="Q1042" s="9" t="str">
        <f ca="1">IFERROR(__xludf.DUMMYFUNCTION("IFERROR(VALUE(REGEXEXTRACT(TO_TEXT($F1042), Q$1 &amp; ""x(\d+)"")), """")"),"")</f>
        <v/>
      </c>
      <c r="R1042" s="9" t="str">
        <f ca="1">IFERROR(__xludf.DUMMYFUNCTION("IFERROR(VALUE(REGEXEXTRACT(TO_TEXT($F1042), R$1 &amp; ""x(\d+)"")), """")"),"")</f>
        <v/>
      </c>
      <c r="S1042" s="9" t="str">
        <f ca="1">IFERROR(__xludf.DUMMYFUNCTION("IFERROR(VALUE(REGEXEXTRACT(TO_TEXT($F1042), S$1 &amp; ""x(\d+)"")), """")"),"")</f>
        <v/>
      </c>
      <c r="T1042" s="9" t="str">
        <f ca="1">IFERROR(__xludf.DUMMYFUNCTION("IFERROR(VALUE(REGEXEXTRACT(TO_TEXT($F1042), T$1 &amp; ""x(\d+)"")), """")"),"")</f>
        <v/>
      </c>
      <c r="U1042" s="9" t="str">
        <f ca="1">IFERROR(__xludf.DUMMYFUNCTION("IFERROR(VALUE(REGEXEXTRACT(TO_TEXT($F1042), U$1 &amp; ""x(\d+)"")), """")"),"")</f>
        <v/>
      </c>
      <c r="V1042" s="9" t="str">
        <f ca="1">IFERROR(__xludf.DUMMYFUNCTION("IFERROR(VALUE(REGEXEXTRACT(TO_TEXT($F1042), V$1 &amp; ""x(\d+)"")), """")"),"")</f>
        <v/>
      </c>
      <c r="W1042" s="9"/>
      <c r="X1042" s="9"/>
      <c r="Y1042" s="9"/>
      <c r="Z1042" s="9"/>
    </row>
    <row r="1043" spans="1:26" ht="15.75" customHeight="1">
      <c r="A1043" s="9" t="s">
        <v>2101</v>
      </c>
      <c r="B1043" s="9" t="s">
        <v>2102</v>
      </c>
      <c r="C1043" s="9" t="s">
        <v>558</v>
      </c>
      <c r="D1043" s="9" t="s">
        <v>33</v>
      </c>
      <c r="E1043" s="9" t="s">
        <v>12</v>
      </c>
      <c r="F1043" s="9" t="s">
        <v>2106</v>
      </c>
      <c r="G1043" s="9">
        <v>180</v>
      </c>
      <c r="H1043" s="9">
        <v>2</v>
      </c>
      <c r="I1043" s="9">
        <v>1.0149999999999999</v>
      </c>
      <c r="J1043" s="9">
        <v>100</v>
      </c>
      <c r="K1043" s="9" t="s">
        <v>442</v>
      </c>
      <c r="L1043" s="9"/>
      <c r="M1043" s="9"/>
      <c r="N1043" s="9" t="str">
        <f ca="1">IFERROR(__xludf.DUMMYFUNCTION("IFERROR(VALUE(REGEXEXTRACT(TO_TEXT($F1043), N$1 &amp; ""x(\d+)"")), """")
"),"")</f>
        <v/>
      </c>
      <c r="O1043" s="9">
        <f ca="1">IFERROR(__xludf.DUMMYFUNCTION("IFERROR(VALUE(REGEXEXTRACT(TO_TEXT($F1043), O$1 &amp; ""x(\d+)"")), """")"),2)</f>
        <v>2</v>
      </c>
      <c r="P1043" s="9" t="str">
        <f ca="1">IFERROR(__xludf.DUMMYFUNCTION("IFERROR(VALUE(REGEXEXTRACT(TO_TEXT($F1043), P$1 &amp; ""x(\d+)"")), """")"),"")</f>
        <v/>
      </c>
      <c r="Q1043" s="9" t="str">
        <f ca="1">IFERROR(__xludf.DUMMYFUNCTION("IFERROR(VALUE(REGEXEXTRACT(TO_TEXT($F1043), Q$1 &amp; ""x(\d+)"")), """")"),"")</f>
        <v/>
      </c>
      <c r="R1043" s="9" t="str">
        <f ca="1">IFERROR(__xludf.DUMMYFUNCTION("IFERROR(VALUE(REGEXEXTRACT(TO_TEXT($F1043), R$1 &amp; ""x(\d+)"")), """")"),"")</f>
        <v/>
      </c>
      <c r="S1043" s="9" t="str">
        <f ca="1">IFERROR(__xludf.DUMMYFUNCTION("IFERROR(VALUE(REGEXEXTRACT(TO_TEXT($F1043), S$1 &amp; ""x(\d+)"")), """")"),"")</f>
        <v/>
      </c>
      <c r="T1043" s="9" t="str">
        <f ca="1">IFERROR(__xludf.DUMMYFUNCTION("IFERROR(VALUE(REGEXEXTRACT(TO_TEXT($F1043), T$1 &amp; ""x(\d+)"")), """")"),"")</f>
        <v/>
      </c>
      <c r="U1043" s="9" t="str">
        <f ca="1">IFERROR(__xludf.DUMMYFUNCTION("IFERROR(VALUE(REGEXEXTRACT(TO_TEXT($F1043), U$1 &amp; ""x(\d+)"")), """")"),"")</f>
        <v/>
      </c>
      <c r="V1043" s="9" t="str">
        <f ca="1">IFERROR(__xludf.DUMMYFUNCTION("IFERROR(VALUE(REGEXEXTRACT(TO_TEXT($F1043), V$1 &amp; ""x(\d+)"")), """")"),"")</f>
        <v/>
      </c>
      <c r="W1043" s="9"/>
      <c r="X1043" s="9"/>
      <c r="Y1043" s="9"/>
      <c r="Z1043" s="9"/>
    </row>
    <row r="1044" spans="1:26" ht="15.75" customHeight="1">
      <c r="A1044" s="9" t="s">
        <v>2101</v>
      </c>
      <c r="B1044" s="9" t="s">
        <v>2102</v>
      </c>
      <c r="C1044" s="9" t="s">
        <v>558</v>
      </c>
      <c r="D1044" s="9" t="s">
        <v>33</v>
      </c>
      <c r="E1044" s="9" t="s">
        <v>13</v>
      </c>
      <c r="F1044" s="9" t="s">
        <v>2107</v>
      </c>
      <c r="G1044" s="9">
        <v>15</v>
      </c>
      <c r="H1044" s="9">
        <v>2</v>
      </c>
      <c r="I1044" s="9">
        <v>1.0149999999999999</v>
      </c>
      <c r="J1044" s="9">
        <v>100</v>
      </c>
      <c r="K1044" s="9" t="s">
        <v>442</v>
      </c>
      <c r="L1044" s="9"/>
      <c r="M1044" s="9"/>
      <c r="N1044" s="9" t="str">
        <f ca="1">IFERROR(__xludf.DUMMYFUNCTION("IFERROR(VALUE(REGEXEXTRACT(TO_TEXT($F1044), N$1 &amp; ""x(\d+)"")), """")
"),"")</f>
        <v/>
      </c>
      <c r="O1044" s="9">
        <f ca="1">IFERROR(__xludf.DUMMYFUNCTION("IFERROR(VALUE(REGEXEXTRACT(TO_TEXT($F1044), O$1 &amp; ""x(\d+)"")), """")"),2)</f>
        <v>2</v>
      </c>
      <c r="P1044" s="9" t="str">
        <f ca="1">IFERROR(__xludf.DUMMYFUNCTION("IFERROR(VALUE(REGEXEXTRACT(TO_TEXT($F1044), P$1 &amp; ""x(\d+)"")), """")"),"")</f>
        <v/>
      </c>
      <c r="Q1044" s="9" t="str">
        <f ca="1">IFERROR(__xludf.DUMMYFUNCTION("IFERROR(VALUE(REGEXEXTRACT(TO_TEXT($F1044), Q$1 &amp; ""x(\d+)"")), """")"),"")</f>
        <v/>
      </c>
      <c r="R1044" s="9" t="str">
        <f ca="1">IFERROR(__xludf.DUMMYFUNCTION("IFERROR(VALUE(REGEXEXTRACT(TO_TEXT($F1044), R$1 &amp; ""x(\d+)"")), """")"),"")</f>
        <v/>
      </c>
      <c r="S1044" s="9" t="str">
        <f ca="1">IFERROR(__xludf.DUMMYFUNCTION("IFERROR(VALUE(REGEXEXTRACT(TO_TEXT($F1044), S$1 &amp; ""x(\d+)"")), """")"),"")</f>
        <v/>
      </c>
      <c r="T1044" s="9" t="str">
        <f ca="1">IFERROR(__xludf.DUMMYFUNCTION("IFERROR(VALUE(REGEXEXTRACT(TO_TEXT($F1044), T$1 &amp; ""x(\d+)"")), """")"),"")</f>
        <v/>
      </c>
      <c r="U1044" s="9" t="str">
        <f ca="1">IFERROR(__xludf.DUMMYFUNCTION("IFERROR(VALUE(REGEXEXTRACT(TO_TEXT($F1044), U$1 &amp; ""x(\d+)"")), """")"),"")</f>
        <v/>
      </c>
      <c r="V1044" s="9" t="str">
        <f ca="1">IFERROR(__xludf.DUMMYFUNCTION("IFERROR(VALUE(REGEXEXTRACT(TO_TEXT($F1044), V$1 &amp; ""x(\d+)"")), """")"),"")</f>
        <v/>
      </c>
      <c r="W1044" s="9"/>
      <c r="X1044" s="9"/>
      <c r="Y1044" s="9"/>
      <c r="Z1044" s="9"/>
    </row>
    <row r="1045" spans="1:26" ht="15.75" customHeight="1">
      <c r="A1045" s="9" t="s">
        <v>2108</v>
      </c>
      <c r="B1045" s="9" t="s">
        <v>2109</v>
      </c>
      <c r="C1045" s="9" t="s">
        <v>873</v>
      </c>
      <c r="D1045" s="9" t="s">
        <v>33</v>
      </c>
      <c r="E1045" s="9" t="s">
        <v>12</v>
      </c>
      <c r="F1045" s="9" t="s">
        <v>1305</v>
      </c>
      <c r="G1045" s="9">
        <v>75</v>
      </c>
      <c r="H1045" s="9">
        <v>5</v>
      </c>
      <c r="I1045" s="9">
        <v>1.0149999999999999</v>
      </c>
      <c r="J1045" s="9">
        <v>56</v>
      </c>
      <c r="K1045" s="9" t="s">
        <v>499</v>
      </c>
      <c r="L1045" s="9"/>
      <c r="M1045" s="9"/>
      <c r="N1045" s="9" t="str">
        <f ca="1">IFERROR(__xludf.DUMMYFUNCTION("IFERROR(VALUE(REGEXEXTRACT(TO_TEXT($F1045), N$1 &amp; ""x(\d+)"")), """")
"),"")</f>
        <v/>
      </c>
      <c r="O1045" s="9">
        <f ca="1">IFERROR(__xludf.DUMMYFUNCTION("IFERROR(VALUE(REGEXEXTRACT(TO_TEXT($F1045), O$1 &amp; ""x(\d+)"")), """")"),2)</f>
        <v>2</v>
      </c>
      <c r="P1045" s="9" t="str">
        <f ca="1">IFERROR(__xludf.DUMMYFUNCTION("IFERROR(VALUE(REGEXEXTRACT(TO_TEXT($F1045), P$1 &amp; ""x(\d+)"")), """")"),"")</f>
        <v/>
      </c>
      <c r="Q1045" s="9" t="str">
        <f ca="1">IFERROR(__xludf.DUMMYFUNCTION("IFERROR(VALUE(REGEXEXTRACT(TO_TEXT($F1045), Q$1 &amp; ""x(\d+)"")), """")"),"")</f>
        <v/>
      </c>
      <c r="R1045" s="9" t="str">
        <f ca="1">IFERROR(__xludf.DUMMYFUNCTION("IFERROR(VALUE(REGEXEXTRACT(TO_TEXT($F1045), R$1 &amp; ""x(\d+)"")), """")"),"")</f>
        <v/>
      </c>
      <c r="S1045" s="9" t="str">
        <f ca="1">IFERROR(__xludf.DUMMYFUNCTION("IFERROR(VALUE(REGEXEXTRACT(TO_TEXT($F1045), S$1 &amp; ""x(\d+)"")), """")"),"")</f>
        <v/>
      </c>
      <c r="T1045" s="9" t="str">
        <f ca="1">IFERROR(__xludf.DUMMYFUNCTION("IFERROR(VALUE(REGEXEXTRACT(TO_TEXT($F1045), T$1 &amp; ""x(\d+)"")), """")"),"")</f>
        <v/>
      </c>
      <c r="U1045" s="9" t="str">
        <f ca="1">IFERROR(__xludf.DUMMYFUNCTION("IFERROR(VALUE(REGEXEXTRACT(TO_TEXT($F1045), U$1 &amp; ""x(\d+)"")), """")"),"")</f>
        <v/>
      </c>
      <c r="V1045" s="9" t="str">
        <f ca="1">IFERROR(__xludf.DUMMYFUNCTION("IFERROR(VALUE(REGEXEXTRACT(TO_TEXT($F1045), V$1 &amp; ""x(\d+)"")), """")"),"")</f>
        <v/>
      </c>
      <c r="W1045" s="9"/>
      <c r="X1045" s="9"/>
      <c r="Y1045" s="9"/>
      <c r="Z1045" s="9"/>
    </row>
    <row r="1046" spans="1:26" ht="15.75" customHeight="1">
      <c r="A1046" s="9" t="s">
        <v>2108</v>
      </c>
      <c r="B1046" s="9" t="s">
        <v>2109</v>
      </c>
      <c r="C1046" s="9" t="s">
        <v>873</v>
      </c>
      <c r="D1046" s="9" t="s">
        <v>33</v>
      </c>
      <c r="E1046" s="9" t="s">
        <v>13</v>
      </c>
      <c r="F1046" s="9" t="s">
        <v>1306</v>
      </c>
      <c r="G1046" s="9">
        <v>15</v>
      </c>
      <c r="H1046" s="9">
        <v>5</v>
      </c>
      <c r="I1046" s="9">
        <v>1.0149999999999999</v>
      </c>
      <c r="J1046" s="9">
        <v>56</v>
      </c>
      <c r="K1046" s="9" t="s">
        <v>499</v>
      </c>
      <c r="L1046" s="9"/>
      <c r="M1046" s="9"/>
      <c r="N1046" s="9" t="str">
        <f ca="1">IFERROR(__xludf.DUMMYFUNCTION("IFERROR(VALUE(REGEXEXTRACT(TO_TEXT($F1046), N$1 &amp; ""x(\d+)"")), """")
"),"")</f>
        <v/>
      </c>
      <c r="O1046" s="9">
        <f ca="1">IFERROR(__xludf.DUMMYFUNCTION("IFERROR(VALUE(REGEXEXTRACT(TO_TEXT($F1046), O$1 &amp; ""x(\d+)"")), """")"),2)</f>
        <v>2</v>
      </c>
      <c r="P1046" s="9" t="str">
        <f ca="1">IFERROR(__xludf.DUMMYFUNCTION("IFERROR(VALUE(REGEXEXTRACT(TO_TEXT($F1046), P$1 &amp; ""x(\d+)"")), """")"),"")</f>
        <v/>
      </c>
      <c r="Q1046" s="9" t="str">
        <f ca="1">IFERROR(__xludf.DUMMYFUNCTION("IFERROR(VALUE(REGEXEXTRACT(TO_TEXT($F1046), Q$1 &amp; ""x(\d+)"")), """")"),"")</f>
        <v/>
      </c>
      <c r="R1046" s="9" t="str">
        <f ca="1">IFERROR(__xludf.DUMMYFUNCTION("IFERROR(VALUE(REGEXEXTRACT(TO_TEXT($F1046), R$1 &amp; ""x(\d+)"")), """")"),"")</f>
        <v/>
      </c>
      <c r="S1046" s="9" t="str">
        <f ca="1">IFERROR(__xludf.DUMMYFUNCTION("IFERROR(VALUE(REGEXEXTRACT(TO_TEXT($F1046), S$1 &amp; ""x(\d+)"")), """")"),"")</f>
        <v/>
      </c>
      <c r="T1046" s="9" t="str">
        <f ca="1">IFERROR(__xludf.DUMMYFUNCTION("IFERROR(VALUE(REGEXEXTRACT(TO_TEXT($F1046), T$1 &amp; ""x(\d+)"")), """")"),"")</f>
        <v/>
      </c>
      <c r="U1046" s="9" t="str">
        <f ca="1">IFERROR(__xludf.DUMMYFUNCTION("IFERROR(VALUE(REGEXEXTRACT(TO_TEXT($F1046), U$1 &amp; ""x(\d+)"")), """")"),"")</f>
        <v/>
      </c>
      <c r="V1046" s="9" t="str">
        <f ca="1">IFERROR(__xludf.DUMMYFUNCTION("IFERROR(VALUE(REGEXEXTRACT(TO_TEXT($F1046), V$1 &amp; ""x(\d+)"")), """")"),"")</f>
        <v/>
      </c>
      <c r="W1046" s="9"/>
      <c r="X1046" s="9"/>
      <c r="Y1046" s="9"/>
      <c r="Z1046" s="9"/>
    </row>
    <row r="1047" spans="1:26" ht="15.75" customHeight="1">
      <c r="A1047" s="9" t="s">
        <v>2108</v>
      </c>
      <c r="B1047" s="9" t="s">
        <v>2109</v>
      </c>
      <c r="C1047" s="9" t="s">
        <v>873</v>
      </c>
      <c r="D1047" s="9" t="s">
        <v>33</v>
      </c>
      <c r="E1047" s="9" t="s">
        <v>12</v>
      </c>
      <c r="F1047" s="9" t="s">
        <v>1307</v>
      </c>
      <c r="G1047" s="9">
        <v>335</v>
      </c>
      <c r="H1047" s="9">
        <v>1</v>
      </c>
      <c r="I1047" s="9">
        <v>1.0149999999999999</v>
      </c>
      <c r="J1047" s="9">
        <v>56</v>
      </c>
      <c r="K1047" s="9" t="s">
        <v>708</v>
      </c>
      <c r="L1047" s="9"/>
      <c r="M1047" s="9"/>
      <c r="N1047" s="9" t="str">
        <f ca="1">IFERROR(__xludf.DUMMYFUNCTION("IFERROR(VALUE(REGEXEXTRACT(TO_TEXT($F1047), N$1 &amp; ""x(\d+)"")), """")
"),"")</f>
        <v/>
      </c>
      <c r="O1047" s="9" t="str">
        <f ca="1">IFERROR(__xludf.DUMMYFUNCTION("IFERROR(VALUE(REGEXEXTRACT(TO_TEXT($F1047), O$1 &amp; ""x(\d+)"")), """")"),"")</f>
        <v/>
      </c>
      <c r="P1047" s="9" t="str">
        <f ca="1">IFERROR(__xludf.DUMMYFUNCTION("IFERROR(VALUE(REGEXEXTRACT(TO_TEXT($F1047), P$1 &amp; ""x(\d+)"")), """")"),"")</f>
        <v/>
      </c>
      <c r="Q1047" s="9" t="str">
        <f ca="1">IFERROR(__xludf.DUMMYFUNCTION("IFERROR(VALUE(REGEXEXTRACT(TO_TEXT($F1047), Q$1 &amp; ""x(\d+)"")), """")"),"")</f>
        <v/>
      </c>
      <c r="R1047" s="9">
        <f ca="1">IFERROR(__xludf.DUMMYFUNCTION("IFERROR(VALUE(REGEXEXTRACT(TO_TEXT($F1047), R$1 &amp; ""x(\d+)"")), """")"),1)</f>
        <v>1</v>
      </c>
      <c r="S1047" s="9" t="str">
        <f ca="1">IFERROR(__xludf.DUMMYFUNCTION("IFERROR(VALUE(REGEXEXTRACT(TO_TEXT($F1047), S$1 &amp; ""x(\d+)"")), """")"),"")</f>
        <v/>
      </c>
      <c r="T1047" s="9" t="str">
        <f ca="1">IFERROR(__xludf.DUMMYFUNCTION("IFERROR(VALUE(REGEXEXTRACT(TO_TEXT($F1047), T$1 &amp; ""x(\d+)"")), """")"),"")</f>
        <v/>
      </c>
      <c r="U1047" s="9" t="str">
        <f ca="1">IFERROR(__xludf.DUMMYFUNCTION("IFERROR(VALUE(REGEXEXTRACT(TO_TEXT($F1047), U$1 &amp; ""x(\d+)"")), """")"),"")</f>
        <v/>
      </c>
      <c r="V1047" s="9" t="str">
        <f ca="1">IFERROR(__xludf.DUMMYFUNCTION("IFERROR(VALUE(REGEXEXTRACT(TO_TEXT($F1047), V$1 &amp; ""x(\d+)"")), """")"),"")</f>
        <v/>
      </c>
      <c r="W1047" s="9"/>
      <c r="X1047" s="9"/>
      <c r="Y1047" s="9"/>
      <c r="Z1047" s="9"/>
    </row>
    <row r="1048" spans="1:26" ht="15.75" customHeight="1">
      <c r="A1048" s="9" t="s">
        <v>2108</v>
      </c>
      <c r="B1048" s="9" t="s">
        <v>2109</v>
      </c>
      <c r="C1048" s="9" t="s">
        <v>873</v>
      </c>
      <c r="D1048" s="9" t="s">
        <v>33</v>
      </c>
      <c r="E1048" s="9" t="s">
        <v>13</v>
      </c>
      <c r="F1048" s="9" t="s">
        <v>1308</v>
      </c>
      <c r="G1048" s="9">
        <v>30</v>
      </c>
      <c r="H1048" s="9">
        <v>1</v>
      </c>
      <c r="I1048" s="9">
        <v>1.0149999999999999</v>
      </c>
      <c r="J1048" s="9">
        <v>56</v>
      </c>
      <c r="K1048" s="9" t="s">
        <v>708</v>
      </c>
      <c r="L1048" s="9"/>
      <c r="M1048" s="9"/>
      <c r="N1048" s="9" t="str">
        <f ca="1">IFERROR(__xludf.DUMMYFUNCTION("IFERROR(VALUE(REGEXEXTRACT(TO_TEXT($F1048), N$1 &amp; ""x(\d+)"")), """")
"),"")</f>
        <v/>
      </c>
      <c r="O1048" s="9" t="str">
        <f ca="1">IFERROR(__xludf.DUMMYFUNCTION("IFERROR(VALUE(REGEXEXTRACT(TO_TEXT($F1048), O$1 &amp; ""x(\d+)"")), """")"),"")</f>
        <v/>
      </c>
      <c r="P1048" s="9" t="str">
        <f ca="1">IFERROR(__xludf.DUMMYFUNCTION("IFERROR(VALUE(REGEXEXTRACT(TO_TEXT($F1048), P$1 &amp; ""x(\d+)"")), """")"),"")</f>
        <v/>
      </c>
      <c r="Q1048" s="9" t="str">
        <f ca="1">IFERROR(__xludf.DUMMYFUNCTION("IFERROR(VALUE(REGEXEXTRACT(TO_TEXT($F1048), Q$1 &amp; ""x(\d+)"")), """")"),"")</f>
        <v/>
      </c>
      <c r="R1048" s="9">
        <f ca="1">IFERROR(__xludf.DUMMYFUNCTION("IFERROR(VALUE(REGEXEXTRACT(TO_TEXT($F1048), R$1 &amp; ""x(\d+)"")), """")"),1)</f>
        <v>1</v>
      </c>
      <c r="S1048" s="9" t="str">
        <f ca="1">IFERROR(__xludf.DUMMYFUNCTION("IFERROR(VALUE(REGEXEXTRACT(TO_TEXT($F1048), S$1 &amp; ""x(\d+)"")), """")"),"")</f>
        <v/>
      </c>
      <c r="T1048" s="9" t="str">
        <f ca="1">IFERROR(__xludf.DUMMYFUNCTION("IFERROR(VALUE(REGEXEXTRACT(TO_TEXT($F1048), T$1 &amp; ""x(\d+)"")), """")"),"")</f>
        <v/>
      </c>
      <c r="U1048" s="9" t="str">
        <f ca="1">IFERROR(__xludf.DUMMYFUNCTION("IFERROR(VALUE(REGEXEXTRACT(TO_TEXT($F1048), U$1 &amp; ""x(\d+)"")), """")"),"")</f>
        <v/>
      </c>
      <c r="V1048" s="9" t="str">
        <f ca="1">IFERROR(__xludf.DUMMYFUNCTION("IFERROR(VALUE(REGEXEXTRACT(TO_TEXT($F1048), V$1 &amp; ""x(\d+)"")), """")"),"")</f>
        <v/>
      </c>
      <c r="W1048" s="9"/>
      <c r="X1048" s="9"/>
      <c r="Y1048" s="9"/>
      <c r="Z1048" s="9"/>
    </row>
    <row r="1049" spans="1:26" ht="15.75" hidden="1" customHeight="1">
      <c r="A1049" s="9" t="s">
        <v>2110</v>
      </c>
      <c r="B1049" s="9" t="s">
        <v>2111</v>
      </c>
      <c r="C1049" s="9" t="s">
        <v>548</v>
      </c>
      <c r="D1049" s="9" t="s">
        <v>48</v>
      </c>
      <c r="E1049" s="9" t="s">
        <v>11</v>
      </c>
      <c r="F1049" s="9" t="s">
        <v>2112</v>
      </c>
      <c r="G1049" s="9">
        <v>50</v>
      </c>
      <c r="H1049" s="9">
        <v>3</v>
      </c>
      <c r="I1049" s="9">
        <v>1.0149999999999999</v>
      </c>
      <c r="J1049" s="9">
        <v>51</v>
      </c>
      <c r="K1049" s="9" t="s">
        <v>424</v>
      </c>
      <c r="L1049" s="9"/>
      <c r="M1049" s="9"/>
      <c r="N1049" s="9" t="str">
        <f ca="1">IFERROR(__xludf.DUMMYFUNCTION("IFERROR(VALUE(REGEXEXTRACT(TO_TEXT($F1049), N$1 &amp; ""x(\d+)"")), """")
"),"")</f>
        <v/>
      </c>
      <c r="O1049" s="9">
        <f ca="1">IFERROR(__xludf.DUMMYFUNCTION("IFERROR(VALUE(REGEXEXTRACT(TO_TEXT($F1049), O$1 &amp; ""x(\d+)"")), """")"),1)</f>
        <v>1</v>
      </c>
      <c r="P1049" s="9" t="str">
        <f ca="1">IFERROR(__xludf.DUMMYFUNCTION("IFERROR(VALUE(REGEXEXTRACT(TO_TEXT($F1049), P$1 &amp; ""x(\d+)"")), """")"),"")</f>
        <v/>
      </c>
      <c r="Q1049" s="9" t="str">
        <f ca="1">IFERROR(__xludf.DUMMYFUNCTION("IFERROR(VALUE(REGEXEXTRACT(TO_TEXT($F1049), Q$1 &amp; ""x(\d+)"")), """")"),"")</f>
        <v/>
      </c>
      <c r="R1049" s="9" t="str">
        <f ca="1">IFERROR(__xludf.DUMMYFUNCTION("IFERROR(VALUE(REGEXEXTRACT(TO_TEXT($F1049), R$1 &amp; ""x(\d+)"")), """")"),"")</f>
        <v/>
      </c>
      <c r="S1049" s="9" t="str">
        <f ca="1">IFERROR(__xludf.DUMMYFUNCTION("IFERROR(VALUE(REGEXEXTRACT(TO_TEXT($F1049), S$1 &amp; ""x(\d+)"")), """")"),"")</f>
        <v/>
      </c>
      <c r="T1049" s="9" t="str">
        <f ca="1">IFERROR(__xludf.DUMMYFUNCTION("IFERROR(VALUE(REGEXEXTRACT(TO_TEXT($F1049), T$1 &amp; ""x(\d+)"")), """")"),"")</f>
        <v/>
      </c>
      <c r="U1049" s="9" t="str">
        <f ca="1">IFERROR(__xludf.DUMMYFUNCTION("IFERROR(VALUE(REGEXEXTRACT(TO_TEXT($F1049), U$1 &amp; ""x(\d+)"")), """")"),"")</f>
        <v/>
      </c>
      <c r="V1049" s="9" t="str">
        <f ca="1">IFERROR(__xludf.DUMMYFUNCTION("IFERROR(VALUE(REGEXEXTRACT(TO_TEXT($F1049), V$1 &amp; ""x(\d+)"")), """")"),"")</f>
        <v/>
      </c>
      <c r="W1049" s="9"/>
      <c r="X1049" s="9"/>
      <c r="Y1049" s="9"/>
      <c r="Z1049" s="9"/>
    </row>
    <row r="1050" spans="1:26" ht="15.75" hidden="1" customHeight="1">
      <c r="A1050" s="9" t="s">
        <v>2110</v>
      </c>
      <c r="B1050" s="9" t="s">
        <v>2111</v>
      </c>
      <c r="C1050" s="9" t="s">
        <v>548</v>
      </c>
      <c r="D1050" s="9" t="s">
        <v>48</v>
      </c>
      <c r="E1050" s="9" t="s">
        <v>12</v>
      </c>
      <c r="F1050" s="9" t="s">
        <v>2113</v>
      </c>
      <c r="G1050" s="9">
        <v>135</v>
      </c>
      <c r="H1050" s="9">
        <v>3</v>
      </c>
      <c r="I1050" s="9">
        <v>1.0149999999999999</v>
      </c>
      <c r="J1050" s="9">
        <v>51</v>
      </c>
      <c r="K1050" s="9" t="s">
        <v>424</v>
      </c>
      <c r="L1050" s="9" t="s">
        <v>1030</v>
      </c>
      <c r="M1050" s="9"/>
      <c r="N1050" s="9" t="str">
        <f ca="1">IFERROR(__xludf.DUMMYFUNCTION("IFERROR(VALUE(REGEXEXTRACT(TO_TEXT($F1050), N$1 &amp; ""x(\d+)"")), """")
"),"")</f>
        <v/>
      </c>
      <c r="O1050" s="9" t="str">
        <f ca="1">IFERROR(__xludf.DUMMYFUNCTION("IFERROR(VALUE(REGEXEXTRACT(TO_TEXT($F1050), O$1 &amp; ""x(\d+)"")), """")"),"")</f>
        <v/>
      </c>
      <c r="P1050" s="9">
        <f ca="1">IFERROR(__xludf.DUMMYFUNCTION("IFERROR(VALUE(REGEXEXTRACT(TO_TEXT($F1050), P$1 &amp; ""x(\d+)"")), """")"),1)</f>
        <v>1</v>
      </c>
      <c r="Q1050" s="9" t="str">
        <f ca="1">IFERROR(__xludf.DUMMYFUNCTION("IFERROR(VALUE(REGEXEXTRACT(TO_TEXT($F1050), Q$1 &amp; ""x(\d+)"")), """")"),"")</f>
        <v/>
      </c>
      <c r="R1050" s="9" t="str">
        <f ca="1">IFERROR(__xludf.DUMMYFUNCTION("IFERROR(VALUE(REGEXEXTRACT(TO_TEXT($F1050), R$1 &amp; ""x(\d+)"")), """")"),"")</f>
        <v/>
      </c>
      <c r="S1050" s="9" t="str">
        <f ca="1">IFERROR(__xludf.DUMMYFUNCTION("IFERROR(VALUE(REGEXEXTRACT(TO_TEXT($F1050), S$1 &amp; ""x(\d+)"")), """")"),"")</f>
        <v/>
      </c>
      <c r="T1050" s="9" t="str">
        <f ca="1">IFERROR(__xludf.DUMMYFUNCTION("IFERROR(VALUE(REGEXEXTRACT(TO_TEXT($F1050), T$1 &amp; ""x(\d+)"")), """")"),"")</f>
        <v/>
      </c>
      <c r="U1050" s="9" t="str">
        <f ca="1">IFERROR(__xludf.DUMMYFUNCTION("IFERROR(VALUE(REGEXEXTRACT(TO_TEXT($F1050), U$1 &amp; ""x(\d+)"")), """")"),"")</f>
        <v/>
      </c>
      <c r="V1050" s="9" t="str">
        <f ca="1">IFERROR(__xludf.DUMMYFUNCTION("IFERROR(VALUE(REGEXEXTRACT(TO_TEXT($F1050), V$1 &amp; ""x(\d+)"")), """")"),"")</f>
        <v/>
      </c>
      <c r="W1050" s="9"/>
      <c r="X1050" s="9"/>
      <c r="Y1050" s="9"/>
      <c r="Z1050" s="9"/>
    </row>
    <row r="1051" spans="1:26" ht="15.75" hidden="1" customHeight="1">
      <c r="A1051" s="9" t="s">
        <v>2110</v>
      </c>
      <c r="B1051" s="9" t="s">
        <v>2111</v>
      </c>
      <c r="C1051" s="9" t="s">
        <v>548</v>
      </c>
      <c r="D1051" s="9" t="s">
        <v>48</v>
      </c>
      <c r="E1051" s="9" t="s">
        <v>13</v>
      </c>
      <c r="F1051" s="9" t="s">
        <v>1694</v>
      </c>
      <c r="G1051" s="9">
        <v>30</v>
      </c>
      <c r="H1051" s="9">
        <v>3</v>
      </c>
      <c r="I1051" s="9">
        <v>1.0149999999999999</v>
      </c>
      <c r="J1051" s="9">
        <v>51</v>
      </c>
      <c r="K1051" s="9" t="s">
        <v>424</v>
      </c>
      <c r="L1051" s="9"/>
      <c r="M1051" s="9"/>
      <c r="N1051" s="9" t="str">
        <f ca="1">IFERROR(__xludf.DUMMYFUNCTION("IFERROR(VALUE(REGEXEXTRACT(TO_TEXT($F1051), N$1 &amp; ""x(\d+)"")), """")
"),"")</f>
        <v/>
      </c>
      <c r="O1051" s="9" t="str">
        <f ca="1">IFERROR(__xludf.DUMMYFUNCTION("IFERROR(VALUE(REGEXEXTRACT(TO_TEXT($F1051), O$1 &amp; ""x(\d+)"")), """")"),"")</f>
        <v/>
      </c>
      <c r="P1051" s="9">
        <f ca="1">IFERROR(__xludf.DUMMYFUNCTION("IFERROR(VALUE(REGEXEXTRACT(TO_TEXT($F1051), P$1 &amp; ""x(\d+)"")), """")"),1)</f>
        <v>1</v>
      </c>
      <c r="Q1051" s="9" t="str">
        <f ca="1">IFERROR(__xludf.DUMMYFUNCTION("IFERROR(VALUE(REGEXEXTRACT(TO_TEXT($F1051), Q$1 &amp; ""x(\d+)"")), """")"),"")</f>
        <v/>
      </c>
      <c r="R1051" s="9" t="str">
        <f ca="1">IFERROR(__xludf.DUMMYFUNCTION("IFERROR(VALUE(REGEXEXTRACT(TO_TEXT($F1051), R$1 &amp; ""x(\d+)"")), """")"),"")</f>
        <v/>
      </c>
      <c r="S1051" s="9" t="str">
        <f ca="1">IFERROR(__xludf.DUMMYFUNCTION("IFERROR(VALUE(REGEXEXTRACT(TO_TEXT($F1051), S$1 &amp; ""x(\d+)"")), """")"),"")</f>
        <v/>
      </c>
      <c r="T1051" s="9" t="str">
        <f ca="1">IFERROR(__xludf.DUMMYFUNCTION("IFERROR(VALUE(REGEXEXTRACT(TO_TEXT($F1051), T$1 &amp; ""x(\d+)"")), """")"),"")</f>
        <v/>
      </c>
      <c r="U1051" s="9" t="str">
        <f ca="1">IFERROR(__xludf.DUMMYFUNCTION("IFERROR(VALUE(REGEXEXTRACT(TO_TEXT($F1051), U$1 &amp; ""x(\d+)"")), """")"),"")</f>
        <v/>
      </c>
      <c r="V1051" s="9" t="str">
        <f ca="1">IFERROR(__xludf.DUMMYFUNCTION("IFERROR(VALUE(REGEXEXTRACT(TO_TEXT($F1051), V$1 &amp; ""x(\d+)"")), """")"),"")</f>
        <v/>
      </c>
      <c r="W1051" s="9"/>
      <c r="X1051" s="9"/>
      <c r="Y1051" s="9"/>
      <c r="Z1051" s="9"/>
    </row>
    <row r="1052" spans="1:26" ht="15.75" hidden="1" customHeight="1">
      <c r="A1052" s="9" t="s">
        <v>2110</v>
      </c>
      <c r="B1052" s="9" t="s">
        <v>2111</v>
      </c>
      <c r="C1052" s="9" t="s">
        <v>548</v>
      </c>
      <c r="D1052" s="9" t="s">
        <v>74</v>
      </c>
      <c r="E1052" s="9" t="s">
        <v>12</v>
      </c>
      <c r="F1052" s="9" t="s">
        <v>2114</v>
      </c>
      <c r="G1052" s="9">
        <v>180</v>
      </c>
      <c r="H1052" s="9">
        <v>2</v>
      </c>
      <c r="I1052" s="9">
        <v>1.0149999999999999</v>
      </c>
      <c r="J1052" s="9">
        <v>103</v>
      </c>
      <c r="K1052" s="9" t="s">
        <v>424</v>
      </c>
      <c r="L1052" s="9" t="s">
        <v>1030</v>
      </c>
      <c r="M1052" s="9"/>
      <c r="N1052" s="9" t="str">
        <f ca="1">IFERROR(__xludf.DUMMYFUNCTION("IFERROR(VALUE(REGEXEXTRACT(TO_TEXT($F1052), N$1 &amp; ""x(\d+)"")), """")
"),"")</f>
        <v/>
      </c>
      <c r="O1052" s="9" t="str">
        <f ca="1">IFERROR(__xludf.DUMMYFUNCTION("IFERROR(VALUE(REGEXEXTRACT(TO_TEXT($F1052), O$1 &amp; ""x(\d+)"")), """")"),"")</f>
        <v/>
      </c>
      <c r="P1052" s="9">
        <f ca="1">IFERROR(__xludf.DUMMYFUNCTION("IFERROR(VALUE(REGEXEXTRACT(TO_TEXT($F1052), P$1 &amp; ""x(\d+)"")), """")"),1)</f>
        <v>1</v>
      </c>
      <c r="Q1052" s="9" t="str">
        <f ca="1">IFERROR(__xludf.DUMMYFUNCTION("IFERROR(VALUE(REGEXEXTRACT(TO_TEXT($F1052), Q$1 &amp; ""x(\d+)"")), """")"),"")</f>
        <v/>
      </c>
      <c r="R1052" s="9" t="str">
        <f ca="1">IFERROR(__xludf.DUMMYFUNCTION("IFERROR(VALUE(REGEXEXTRACT(TO_TEXT($F1052), R$1 &amp; ""x(\d+)"")), """")"),"")</f>
        <v/>
      </c>
      <c r="S1052" s="9" t="str">
        <f ca="1">IFERROR(__xludf.DUMMYFUNCTION("IFERROR(VALUE(REGEXEXTRACT(TO_TEXT($F1052), S$1 &amp; ""x(\d+)"")), """")"),"")</f>
        <v/>
      </c>
      <c r="T1052" s="9" t="str">
        <f ca="1">IFERROR(__xludf.DUMMYFUNCTION("IFERROR(VALUE(REGEXEXTRACT(TO_TEXT($F1052), T$1 &amp; ""x(\d+)"")), """")"),"")</f>
        <v/>
      </c>
      <c r="U1052" s="9" t="str">
        <f ca="1">IFERROR(__xludf.DUMMYFUNCTION("IFERROR(VALUE(REGEXEXTRACT(TO_TEXT($F1052), U$1 &amp; ""x(\d+)"")), """")"),"")</f>
        <v/>
      </c>
      <c r="V1052" s="9" t="str">
        <f ca="1">IFERROR(__xludf.DUMMYFUNCTION("IFERROR(VALUE(REGEXEXTRACT(TO_TEXT($F1052), V$1 &amp; ""x(\d+)"")), """")"),"")</f>
        <v/>
      </c>
      <c r="W1052" s="9"/>
      <c r="X1052" s="9"/>
      <c r="Y1052" s="9"/>
      <c r="Z1052" s="9"/>
    </row>
    <row r="1053" spans="1:26" ht="15.75" hidden="1" customHeight="1">
      <c r="A1053" s="9" t="s">
        <v>2110</v>
      </c>
      <c r="B1053" s="9" t="s">
        <v>2111</v>
      </c>
      <c r="C1053" s="9" t="s">
        <v>548</v>
      </c>
      <c r="D1053" s="9" t="s">
        <v>74</v>
      </c>
      <c r="E1053" s="9" t="s">
        <v>13</v>
      </c>
      <c r="F1053" s="9" t="s">
        <v>2115</v>
      </c>
      <c r="G1053" s="9">
        <v>30</v>
      </c>
      <c r="H1053" s="9">
        <v>2</v>
      </c>
      <c r="I1053" s="9">
        <v>1.0149999999999999</v>
      </c>
      <c r="J1053" s="9">
        <v>103</v>
      </c>
      <c r="K1053" s="9" t="s">
        <v>424</v>
      </c>
      <c r="L1053" s="9"/>
      <c r="M1053" s="9"/>
      <c r="N1053" s="9" t="str">
        <f ca="1">IFERROR(__xludf.DUMMYFUNCTION("IFERROR(VALUE(REGEXEXTRACT(TO_TEXT($F1053), N$1 &amp; ""x(\d+)"")), """")
"),"")</f>
        <v/>
      </c>
      <c r="O1053" s="9" t="str">
        <f ca="1">IFERROR(__xludf.DUMMYFUNCTION("IFERROR(VALUE(REGEXEXTRACT(TO_TEXT($F1053), O$1 &amp; ""x(\d+)"")), """")"),"")</f>
        <v/>
      </c>
      <c r="P1053" s="9">
        <f ca="1">IFERROR(__xludf.DUMMYFUNCTION("IFERROR(VALUE(REGEXEXTRACT(TO_TEXT($F1053), P$1 &amp; ""x(\d+)"")), """")"),1)</f>
        <v>1</v>
      </c>
      <c r="Q1053" s="9" t="str">
        <f ca="1">IFERROR(__xludf.DUMMYFUNCTION("IFERROR(VALUE(REGEXEXTRACT(TO_TEXT($F1053), Q$1 &amp; ""x(\d+)"")), """")"),"")</f>
        <v/>
      </c>
      <c r="R1053" s="9" t="str">
        <f ca="1">IFERROR(__xludf.DUMMYFUNCTION("IFERROR(VALUE(REGEXEXTRACT(TO_TEXT($F1053), R$1 &amp; ""x(\d+)"")), """")"),"")</f>
        <v/>
      </c>
      <c r="S1053" s="9" t="str">
        <f ca="1">IFERROR(__xludf.DUMMYFUNCTION("IFERROR(VALUE(REGEXEXTRACT(TO_TEXT($F1053), S$1 &amp; ""x(\d+)"")), """")"),"")</f>
        <v/>
      </c>
      <c r="T1053" s="9" t="str">
        <f ca="1">IFERROR(__xludf.DUMMYFUNCTION("IFERROR(VALUE(REGEXEXTRACT(TO_TEXT($F1053), T$1 &amp; ""x(\d+)"")), """")"),"")</f>
        <v/>
      </c>
      <c r="U1053" s="9" t="str">
        <f ca="1">IFERROR(__xludf.DUMMYFUNCTION("IFERROR(VALUE(REGEXEXTRACT(TO_TEXT($F1053), U$1 &amp; ""x(\d+)"")), """")"),"")</f>
        <v/>
      </c>
      <c r="V1053" s="9" t="str">
        <f ca="1">IFERROR(__xludf.DUMMYFUNCTION("IFERROR(VALUE(REGEXEXTRACT(TO_TEXT($F1053), V$1 &amp; ""x(\d+)"")), """")"),"")</f>
        <v/>
      </c>
      <c r="W1053" s="9"/>
      <c r="X1053" s="9"/>
      <c r="Y1053" s="9"/>
      <c r="Z1053" s="9"/>
    </row>
    <row r="1054" spans="1:26" ht="15.75" hidden="1" customHeight="1">
      <c r="A1054" s="9" t="s">
        <v>145</v>
      </c>
      <c r="B1054" s="9" t="s">
        <v>2116</v>
      </c>
      <c r="C1054" s="9" t="s">
        <v>146</v>
      </c>
      <c r="D1054" s="9" t="s">
        <v>48</v>
      </c>
      <c r="E1054" s="9" t="s">
        <v>11</v>
      </c>
      <c r="F1054" s="9" t="s">
        <v>2117</v>
      </c>
      <c r="G1054" s="9">
        <v>30</v>
      </c>
      <c r="H1054" s="9">
        <v>5</v>
      </c>
      <c r="I1054" s="9">
        <v>1.0149999999999999</v>
      </c>
      <c r="J1054" s="9">
        <v>52</v>
      </c>
      <c r="K1054" s="9" t="s">
        <v>424</v>
      </c>
      <c r="L1054" s="9"/>
      <c r="M1054" s="9"/>
      <c r="N1054" s="9" t="str">
        <f ca="1">IFERROR(__xludf.DUMMYFUNCTION("IFERROR(VALUE(REGEXEXTRACT(TO_TEXT($F1054), N$1 &amp; ""x(\d+)"")), """")
"),"")</f>
        <v/>
      </c>
      <c r="O1054" s="9" t="str">
        <f ca="1">IFERROR(__xludf.DUMMYFUNCTION("IFERROR(VALUE(REGEXEXTRACT(TO_TEXT($F1054), O$1 &amp; ""x(\d+)"")), """")"),"")</f>
        <v/>
      </c>
      <c r="P1054" s="9" t="str">
        <f ca="1">IFERROR(__xludf.DUMMYFUNCTION("IFERROR(VALUE(REGEXEXTRACT(TO_TEXT($F1054), P$1 &amp; ""x(\d+)"")), """")"),"")</f>
        <v/>
      </c>
      <c r="Q1054" s="9" t="str">
        <f ca="1">IFERROR(__xludf.DUMMYFUNCTION("IFERROR(VALUE(REGEXEXTRACT(TO_TEXT($F1054), Q$1 &amp; ""x(\d+)"")), """")"),"")</f>
        <v/>
      </c>
      <c r="R1054" s="9" t="str">
        <f ca="1">IFERROR(__xludf.DUMMYFUNCTION("IFERROR(VALUE(REGEXEXTRACT(TO_TEXT($F1054), R$1 &amp; ""x(\d+)"")), """")"),"")</f>
        <v/>
      </c>
      <c r="S1054" s="9" t="str">
        <f ca="1">IFERROR(__xludf.DUMMYFUNCTION("IFERROR(VALUE(REGEXEXTRACT(TO_TEXT($F1054), S$1 &amp; ""x(\d+)"")), """")"),"")</f>
        <v/>
      </c>
      <c r="T1054" s="9" t="str">
        <f ca="1">IFERROR(__xludf.DUMMYFUNCTION("IFERROR(VALUE(REGEXEXTRACT(TO_TEXT($F1054), T$1 &amp; ""x(\d+)"")), """")"),"")</f>
        <v/>
      </c>
      <c r="U1054" s="9" t="str">
        <f ca="1">IFERROR(__xludf.DUMMYFUNCTION("IFERROR(VALUE(REGEXEXTRACT(TO_TEXT($F1054), U$1 &amp; ""x(\d+)"")), """")"),"")</f>
        <v/>
      </c>
      <c r="V1054" s="9" t="str">
        <f ca="1">IFERROR(__xludf.DUMMYFUNCTION("IFERROR(VALUE(REGEXEXTRACT(TO_TEXT($F1054), V$1 &amp; ""x(\d+)"")), """")"),"")</f>
        <v/>
      </c>
      <c r="W1054" s="9"/>
      <c r="X1054" s="9"/>
      <c r="Y1054" s="9"/>
      <c r="Z1054" s="9"/>
    </row>
    <row r="1055" spans="1:26" ht="15.75" hidden="1" customHeight="1">
      <c r="A1055" s="9" t="s">
        <v>145</v>
      </c>
      <c r="B1055" s="9" t="s">
        <v>2116</v>
      </c>
      <c r="C1055" s="9" t="s">
        <v>146</v>
      </c>
      <c r="D1055" s="9" t="s">
        <v>48</v>
      </c>
      <c r="E1055" s="9" t="s">
        <v>12</v>
      </c>
      <c r="F1055" s="9" t="s">
        <v>2058</v>
      </c>
      <c r="G1055" s="9">
        <v>125</v>
      </c>
      <c r="H1055" s="9">
        <v>5</v>
      </c>
      <c r="I1055" s="9">
        <v>1.0149999999999999</v>
      </c>
      <c r="J1055" s="9">
        <v>52</v>
      </c>
      <c r="K1055" s="9" t="s">
        <v>424</v>
      </c>
      <c r="L1055" s="9" t="s">
        <v>2059</v>
      </c>
      <c r="M1055" s="9"/>
      <c r="N1055" s="9" t="str">
        <f ca="1">IFERROR(__xludf.DUMMYFUNCTION("IFERROR(VALUE(REGEXEXTRACT(TO_TEXT($F1055), N$1 &amp; ""x(\d+)"")), """")
"),"")</f>
        <v/>
      </c>
      <c r="O1055" s="9" t="str">
        <f ca="1">IFERROR(__xludf.DUMMYFUNCTION("IFERROR(VALUE(REGEXEXTRACT(TO_TEXT($F1055), O$1 &amp; ""x(\d+)"")), """")"),"")</f>
        <v/>
      </c>
      <c r="P1055" s="9">
        <f ca="1">IFERROR(__xludf.DUMMYFUNCTION("IFERROR(VALUE(REGEXEXTRACT(TO_TEXT($F1055), P$1 &amp; ""x(\d+)"")), """")"),1)</f>
        <v>1</v>
      </c>
      <c r="Q1055" s="9" t="str">
        <f ca="1">IFERROR(__xludf.DUMMYFUNCTION("IFERROR(VALUE(REGEXEXTRACT(TO_TEXT($F1055), Q$1 &amp; ""x(\d+)"")), """")"),"")</f>
        <v/>
      </c>
      <c r="R1055" s="9">
        <f ca="1">IFERROR(__xludf.DUMMYFUNCTION("IFERROR(VALUE(REGEXEXTRACT(TO_TEXT($F1055), R$1 &amp; ""x(\d+)"")), """")"),1)</f>
        <v>1</v>
      </c>
      <c r="S1055" s="9" t="str">
        <f ca="1">IFERROR(__xludf.DUMMYFUNCTION("IFERROR(VALUE(REGEXEXTRACT(TO_TEXT($F1055), S$1 &amp; ""x(\d+)"")), """")"),"")</f>
        <v/>
      </c>
      <c r="T1055" s="9">
        <f ca="1">IFERROR(__xludf.DUMMYFUNCTION("IFERROR(VALUE(REGEXEXTRACT(TO_TEXT($F1055), T$1 &amp; ""x(\d+)"")), """")"),1)</f>
        <v>1</v>
      </c>
      <c r="U1055" s="9" t="str">
        <f ca="1">IFERROR(__xludf.DUMMYFUNCTION("IFERROR(VALUE(REGEXEXTRACT(TO_TEXT($F1055), U$1 &amp; ""x(\d+)"")), """")"),"")</f>
        <v/>
      </c>
      <c r="V1055" s="9" t="str">
        <f ca="1">IFERROR(__xludf.DUMMYFUNCTION("IFERROR(VALUE(REGEXEXTRACT(TO_TEXT($F1055), V$1 &amp; ""x(\d+)"")), """")"),"")</f>
        <v/>
      </c>
      <c r="W1055" s="9"/>
      <c r="X1055" s="9"/>
      <c r="Y1055" s="9"/>
      <c r="Z1055" s="9"/>
    </row>
    <row r="1056" spans="1:26" ht="15.75" hidden="1" customHeight="1">
      <c r="A1056" s="9" t="s">
        <v>145</v>
      </c>
      <c r="B1056" s="9" t="s">
        <v>2116</v>
      </c>
      <c r="C1056" s="9" t="s">
        <v>146</v>
      </c>
      <c r="D1056" s="9" t="s">
        <v>48</v>
      </c>
      <c r="E1056" s="9" t="s">
        <v>13</v>
      </c>
      <c r="F1056" s="9" t="s">
        <v>1201</v>
      </c>
      <c r="G1056" s="9">
        <v>30</v>
      </c>
      <c r="H1056" s="9">
        <v>5</v>
      </c>
      <c r="I1056" s="9">
        <v>1.0149999999999999</v>
      </c>
      <c r="J1056" s="9">
        <v>52</v>
      </c>
      <c r="K1056" s="9" t="s">
        <v>424</v>
      </c>
      <c r="L1056" s="9"/>
      <c r="M1056" s="9"/>
      <c r="N1056" s="9" t="str">
        <f ca="1">IFERROR(__xludf.DUMMYFUNCTION("IFERROR(VALUE(REGEXEXTRACT(TO_TEXT($F1056), N$1 &amp; ""x(\d+)"")), """")
"),"")</f>
        <v/>
      </c>
      <c r="O1056" s="9" t="str">
        <f ca="1">IFERROR(__xludf.DUMMYFUNCTION("IFERROR(VALUE(REGEXEXTRACT(TO_TEXT($F1056), O$1 &amp; ""x(\d+)"")), """")"),"")</f>
        <v/>
      </c>
      <c r="P1056" s="9">
        <f ca="1">IFERROR(__xludf.DUMMYFUNCTION("IFERROR(VALUE(REGEXEXTRACT(TO_TEXT($F1056), P$1 &amp; ""x(\d+)"")), """")"),1)</f>
        <v>1</v>
      </c>
      <c r="Q1056" s="9" t="str">
        <f ca="1">IFERROR(__xludf.DUMMYFUNCTION("IFERROR(VALUE(REGEXEXTRACT(TO_TEXT($F1056), Q$1 &amp; ""x(\d+)"")), """")"),"")</f>
        <v/>
      </c>
      <c r="R1056" s="9" t="str">
        <f ca="1">IFERROR(__xludf.DUMMYFUNCTION("IFERROR(VALUE(REGEXEXTRACT(TO_TEXT($F1056), R$1 &amp; ""x(\d+)"")), """")"),"")</f>
        <v/>
      </c>
      <c r="S1056" s="9" t="str">
        <f ca="1">IFERROR(__xludf.DUMMYFUNCTION("IFERROR(VALUE(REGEXEXTRACT(TO_TEXT($F1056), S$1 &amp; ""x(\d+)"")), """")"),"")</f>
        <v/>
      </c>
      <c r="T1056" s="9" t="str">
        <f ca="1">IFERROR(__xludf.DUMMYFUNCTION("IFERROR(VALUE(REGEXEXTRACT(TO_TEXT($F1056), T$1 &amp; ""x(\d+)"")), """")"),"")</f>
        <v/>
      </c>
      <c r="U1056" s="9" t="str">
        <f ca="1">IFERROR(__xludf.DUMMYFUNCTION("IFERROR(VALUE(REGEXEXTRACT(TO_TEXT($F1056), U$1 &amp; ""x(\d+)"")), """")"),"")</f>
        <v/>
      </c>
      <c r="V1056" s="9" t="str">
        <f ca="1">IFERROR(__xludf.DUMMYFUNCTION("IFERROR(VALUE(REGEXEXTRACT(TO_TEXT($F1056), V$1 &amp; ""x(\d+)"")), """")"),"")</f>
        <v/>
      </c>
      <c r="W1056" s="9"/>
      <c r="X1056" s="9"/>
      <c r="Y1056" s="9"/>
      <c r="Z1056" s="9"/>
    </row>
    <row r="1057" spans="1:26" ht="15.75" hidden="1" customHeight="1">
      <c r="A1057" s="9" t="s">
        <v>145</v>
      </c>
      <c r="B1057" s="9" t="s">
        <v>2116</v>
      </c>
      <c r="C1057" s="9" t="s">
        <v>146</v>
      </c>
      <c r="D1057" s="9" t="s">
        <v>74</v>
      </c>
      <c r="E1057" s="9" t="s">
        <v>11</v>
      </c>
      <c r="F1057" s="9" t="s">
        <v>1204</v>
      </c>
      <c r="G1057" s="9">
        <v>30</v>
      </c>
      <c r="H1057" s="9">
        <v>3</v>
      </c>
      <c r="I1057" s="9">
        <v>1.0149999999999999</v>
      </c>
      <c r="J1057" s="9">
        <v>103</v>
      </c>
      <c r="K1057" s="9" t="s">
        <v>424</v>
      </c>
      <c r="L1057" s="9"/>
      <c r="M1057" s="9"/>
      <c r="N1057" s="9" t="str">
        <f ca="1">IFERROR(__xludf.DUMMYFUNCTION("IFERROR(VALUE(REGEXEXTRACT(TO_TEXT($F1057), N$1 &amp; ""x(\d+)"")), """")
"),"")</f>
        <v/>
      </c>
      <c r="O1057" s="9" t="str">
        <f ca="1">IFERROR(__xludf.DUMMYFUNCTION("IFERROR(VALUE(REGEXEXTRACT(TO_TEXT($F1057), O$1 &amp; ""x(\d+)"")), """")"),"")</f>
        <v/>
      </c>
      <c r="P1057" s="9" t="str">
        <f ca="1">IFERROR(__xludf.DUMMYFUNCTION("IFERROR(VALUE(REGEXEXTRACT(TO_TEXT($F1057), P$1 &amp; ""x(\d+)"")), """")"),"")</f>
        <v/>
      </c>
      <c r="Q1057" s="9" t="str">
        <f ca="1">IFERROR(__xludf.DUMMYFUNCTION("IFERROR(VALUE(REGEXEXTRACT(TO_TEXT($F1057), Q$1 &amp; ""x(\d+)"")), """")"),"")</f>
        <v/>
      </c>
      <c r="R1057" s="9" t="str">
        <f ca="1">IFERROR(__xludf.DUMMYFUNCTION("IFERROR(VALUE(REGEXEXTRACT(TO_TEXT($F1057), R$1 &amp; ""x(\d+)"")), """")"),"")</f>
        <v/>
      </c>
      <c r="S1057" s="9" t="str">
        <f ca="1">IFERROR(__xludf.DUMMYFUNCTION("IFERROR(VALUE(REGEXEXTRACT(TO_TEXT($F1057), S$1 &amp; ""x(\d+)"")), """")"),"")</f>
        <v/>
      </c>
      <c r="T1057" s="9" t="str">
        <f ca="1">IFERROR(__xludf.DUMMYFUNCTION("IFERROR(VALUE(REGEXEXTRACT(TO_TEXT($F1057), T$1 &amp; ""x(\d+)"")), """")"),"")</f>
        <v/>
      </c>
      <c r="U1057" s="9" t="str">
        <f ca="1">IFERROR(__xludf.DUMMYFUNCTION("IFERROR(VALUE(REGEXEXTRACT(TO_TEXT($F1057), U$1 &amp; ""x(\d+)"")), """")"),"")</f>
        <v/>
      </c>
      <c r="V1057" s="9" t="str">
        <f ca="1">IFERROR(__xludf.DUMMYFUNCTION("IFERROR(VALUE(REGEXEXTRACT(TO_TEXT($F1057), V$1 &amp; ""x(\d+)"")), """")"),"")</f>
        <v/>
      </c>
      <c r="W1057" s="9"/>
      <c r="X1057" s="9"/>
      <c r="Y1057" s="9"/>
      <c r="Z1057" s="9"/>
    </row>
    <row r="1058" spans="1:26" ht="15.75" hidden="1" customHeight="1">
      <c r="A1058" s="9" t="s">
        <v>145</v>
      </c>
      <c r="B1058" s="9" t="s">
        <v>2116</v>
      </c>
      <c r="C1058" s="9" t="s">
        <v>146</v>
      </c>
      <c r="D1058" s="9" t="s">
        <v>74</v>
      </c>
      <c r="E1058" s="9" t="s">
        <v>12</v>
      </c>
      <c r="F1058" s="9" t="s">
        <v>2118</v>
      </c>
      <c r="G1058" s="9">
        <v>180</v>
      </c>
      <c r="H1058" s="9">
        <v>3</v>
      </c>
      <c r="I1058" s="9">
        <v>1.0149999999999999</v>
      </c>
      <c r="J1058" s="9">
        <v>103</v>
      </c>
      <c r="K1058" s="9" t="s">
        <v>424</v>
      </c>
      <c r="L1058" s="9" t="s">
        <v>1210</v>
      </c>
      <c r="M1058" s="9"/>
      <c r="N1058" s="9" t="str">
        <f ca="1">IFERROR(__xludf.DUMMYFUNCTION("IFERROR(VALUE(REGEXEXTRACT(TO_TEXT($F1058), N$1 &amp; ""x(\d+)"")), """")
"),"")</f>
        <v/>
      </c>
      <c r="O1058" s="9" t="str">
        <f ca="1">IFERROR(__xludf.DUMMYFUNCTION("IFERROR(VALUE(REGEXEXTRACT(TO_TEXT($F1058), O$1 &amp; ""x(\d+)"")), """")"),"")</f>
        <v/>
      </c>
      <c r="P1058" s="9" t="str">
        <f ca="1">IFERROR(__xludf.DUMMYFUNCTION("IFERROR(VALUE(REGEXEXTRACT(TO_TEXT($F1058), P$1 &amp; ""x(\d+)"")), """")"),"")</f>
        <v/>
      </c>
      <c r="Q1058" s="9">
        <f ca="1">IFERROR(__xludf.DUMMYFUNCTION("IFERROR(VALUE(REGEXEXTRACT(TO_TEXT($F1058), Q$1 &amp; ""x(\d+)"")), """")"),1)</f>
        <v>1</v>
      </c>
      <c r="R1058" s="9" t="str">
        <f ca="1">IFERROR(__xludf.DUMMYFUNCTION("IFERROR(VALUE(REGEXEXTRACT(TO_TEXT($F1058), R$1 &amp; ""x(\d+)"")), """")"),"")</f>
        <v/>
      </c>
      <c r="S1058" s="9" t="str">
        <f ca="1">IFERROR(__xludf.DUMMYFUNCTION("IFERROR(VALUE(REGEXEXTRACT(TO_TEXT($F1058), S$1 &amp; ""x(\d+)"")), """")"),"")</f>
        <v/>
      </c>
      <c r="T1058" s="9" t="str">
        <f ca="1">IFERROR(__xludf.DUMMYFUNCTION("IFERROR(VALUE(REGEXEXTRACT(TO_TEXT($F1058), T$1 &amp; ""x(\d+)"")), """")"),"")</f>
        <v/>
      </c>
      <c r="U1058" s="9" t="str">
        <f ca="1">IFERROR(__xludf.DUMMYFUNCTION("IFERROR(VALUE(REGEXEXTRACT(TO_TEXT($F1058), U$1 &amp; ""x(\d+)"")), """")"),"")</f>
        <v/>
      </c>
      <c r="V1058" s="9" t="str">
        <f ca="1">IFERROR(__xludf.DUMMYFUNCTION("IFERROR(VALUE(REGEXEXTRACT(TO_TEXT($F1058), V$1 &amp; ""x(\d+)"")), """")"),"")</f>
        <v/>
      </c>
      <c r="W1058" s="9"/>
      <c r="X1058" s="9"/>
      <c r="Y1058" s="9"/>
      <c r="Z1058" s="9"/>
    </row>
    <row r="1059" spans="1:26" ht="15.75" hidden="1" customHeight="1">
      <c r="A1059" s="9" t="s">
        <v>145</v>
      </c>
      <c r="B1059" s="9" t="s">
        <v>2116</v>
      </c>
      <c r="C1059" s="9" t="s">
        <v>146</v>
      </c>
      <c r="D1059" s="9" t="s">
        <v>74</v>
      </c>
      <c r="E1059" s="9" t="s">
        <v>13</v>
      </c>
      <c r="F1059" s="9" t="s">
        <v>1233</v>
      </c>
      <c r="G1059" s="9">
        <v>40</v>
      </c>
      <c r="H1059" s="9">
        <v>3</v>
      </c>
      <c r="I1059" s="9">
        <v>1.0149999999999999</v>
      </c>
      <c r="J1059" s="9">
        <v>103</v>
      </c>
      <c r="K1059" s="9" t="s">
        <v>424</v>
      </c>
      <c r="L1059" s="9"/>
      <c r="M1059" s="9"/>
      <c r="N1059" s="9" t="str">
        <f ca="1">IFERROR(__xludf.DUMMYFUNCTION("IFERROR(VALUE(REGEXEXTRACT(TO_TEXT($F1059), N$1 &amp; ""x(\d+)"")), """")
"),"")</f>
        <v/>
      </c>
      <c r="O1059" s="9" t="str">
        <f ca="1">IFERROR(__xludf.DUMMYFUNCTION("IFERROR(VALUE(REGEXEXTRACT(TO_TEXT($F1059), O$1 &amp; ""x(\d+)"")), """")"),"")</f>
        <v/>
      </c>
      <c r="P1059" s="9" t="str">
        <f ca="1">IFERROR(__xludf.DUMMYFUNCTION("IFERROR(VALUE(REGEXEXTRACT(TO_TEXT($F1059), P$1 &amp; ""x(\d+)"")), """")"),"")</f>
        <v/>
      </c>
      <c r="Q1059" s="9">
        <f ca="1">IFERROR(__xludf.DUMMYFUNCTION("IFERROR(VALUE(REGEXEXTRACT(TO_TEXT($F1059), Q$1 &amp; ""x(\d+)"")), """")"),1)</f>
        <v>1</v>
      </c>
      <c r="R1059" s="9" t="str">
        <f ca="1">IFERROR(__xludf.DUMMYFUNCTION("IFERROR(VALUE(REGEXEXTRACT(TO_TEXT($F1059), R$1 &amp; ""x(\d+)"")), """")"),"")</f>
        <v/>
      </c>
      <c r="S1059" s="9" t="str">
        <f ca="1">IFERROR(__xludf.DUMMYFUNCTION("IFERROR(VALUE(REGEXEXTRACT(TO_TEXT($F1059), S$1 &amp; ""x(\d+)"")), """")"),"")</f>
        <v/>
      </c>
      <c r="T1059" s="9" t="str">
        <f ca="1">IFERROR(__xludf.DUMMYFUNCTION("IFERROR(VALUE(REGEXEXTRACT(TO_TEXT($F1059), T$1 &amp; ""x(\d+)"")), """")"),"")</f>
        <v/>
      </c>
      <c r="U1059" s="9" t="str">
        <f ca="1">IFERROR(__xludf.DUMMYFUNCTION("IFERROR(VALUE(REGEXEXTRACT(TO_TEXT($F1059), U$1 &amp; ""x(\d+)"")), """")"),"")</f>
        <v/>
      </c>
      <c r="V1059" s="9" t="str">
        <f ca="1">IFERROR(__xludf.DUMMYFUNCTION("IFERROR(VALUE(REGEXEXTRACT(TO_TEXT($F1059), V$1 &amp; ""x(\d+)"")), """")"),"")</f>
        <v/>
      </c>
      <c r="W1059" s="9"/>
      <c r="X1059" s="9"/>
      <c r="Y1059" s="9"/>
      <c r="Z1059" s="9"/>
    </row>
    <row r="1060" spans="1:26" ht="15.75" hidden="1" customHeight="1">
      <c r="A1060" s="9" t="s">
        <v>105</v>
      </c>
      <c r="B1060" s="9" t="s">
        <v>2119</v>
      </c>
      <c r="C1060" s="9" t="s">
        <v>106</v>
      </c>
      <c r="D1060" s="9" t="s">
        <v>40</v>
      </c>
      <c r="E1060" s="9" t="s">
        <v>11</v>
      </c>
      <c r="F1060" s="9" t="s">
        <v>2120</v>
      </c>
      <c r="G1060" s="9">
        <v>30</v>
      </c>
      <c r="H1060" s="9">
        <v>4</v>
      </c>
      <c r="I1060" s="9">
        <v>1.0149999999999999</v>
      </c>
      <c r="J1060" s="9">
        <v>297</v>
      </c>
      <c r="K1060" s="9" t="s">
        <v>442</v>
      </c>
      <c r="L1060" s="9"/>
      <c r="M1060" s="9"/>
      <c r="N1060" s="9" t="str">
        <f ca="1">IFERROR(__xludf.DUMMYFUNCTION("IFERROR(VALUE(REGEXEXTRACT(TO_TEXT($F1060), N$1 &amp; ""x(\d+)"")), """")
"),"")</f>
        <v/>
      </c>
      <c r="O1060" s="9" t="str">
        <f ca="1">IFERROR(__xludf.DUMMYFUNCTION("IFERROR(VALUE(REGEXEXTRACT(TO_TEXT($F1060), O$1 &amp; ""x(\d+)"")), """")"),"")</f>
        <v/>
      </c>
      <c r="P1060" s="9" t="str">
        <f ca="1">IFERROR(__xludf.DUMMYFUNCTION("IFERROR(VALUE(REGEXEXTRACT(TO_TEXT($F1060), P$1 &amp; ""x(\d+)"")), """")"),"")</f>
        <v/>
      </c>
      <c r="Q1060" s="9" t="str">
        <f ca="1">IFERROR(__xludf.DUMMYFUNCTION("IFERROR(VALUE(REGEXEXTRACT(TO_TEXT($F1060), Q$1 &amp; ""x(\d+)"")), """")"),"")</f>
        <v/>
      </c>
      <c r="R1060" s="9" t="str">
        <f ca="1">IFERROR(__xludf.DUMMYFUNCTION("IFERROR(VALUE(REGEXEXTRACT(TO_TEXT($F1060), R$1 &amp; ""x(\d+)"")), """")"),"")</f>
        <v/>
      </c>
      <c r="S1060" s="9" t="str">
        <f ca="1">IFERROR(__xludf.DUMMYFUNCTION("IFERROR(VALUE(REGEXEXTRACT(TO_TEXT($F1060), S$1 &amp; ""x(\d+)"")), """")"),"")</f>
        <v/>
      </c>
      <c r="T1060" s="9" t="str">
        <f ca="1">IFERROR(__xludf.DUMMYFUNCTION("IFERROR(VALUE(REGEXEXTRACT(TO_TEXT($F1060), T$1 &amp; ""x(\d+)"")), """")"),"")</f>
        <v/>
      </c>
      <c r="U1060" s="9" t="str">
        <f ca="1">IFERROR(__xludf.DUMMYFUNCTION("IFERROR(VALUE(REGEXEXTRACT(TO_TEXT($F1060), U$1 &amp; ""x(\d+)"")), """")"),"")</f>
        <v/>
      </c>
      <c r="V1060" s="9" t="str">
        <f ca="1">IFERROR(__xludf.DUMMYFUNCTION("IFERROR(VALUE(REGEXEXTRACT(TO_TEXT($F1060), V$1 &amp; ""x(\d+)"")), """")"),"")</f>
        <v/>
      </c>
      <c r="W1060" s="9"/>
      <c r="X1060" s="9"/>
      <c r="Y1060" s="9"/>
      <c r="Z1060" s="9"/>
    </row>
    <row r="1061" spans="1:26" ht="15.75" hidden="1" customHeight="1">
      <c r="A1061" s="9" t="s">
        <v>105</v>
      </c>
      <c r="B1061" s="9" t="s">
        <v>2119</v>
      </c>
      <c r="C1061" s="9" t="s">
        <v>106</v>
      </c>
      <c r="D1061" s="9" t="s">
        <v>40</v>
      </c>
      <c r="E1061" s="9" t="s">
        <v>12</v>
      </c>
      <c r="F1061" s="9" t="s">
        <v>2121</v>
      </c>
      <c r="G1061" s="9">
        <v>95</v>
      </c>
      <c r="H1061" s="9">
        <v>4</v>
      </c>
      <c r="I1061" s="9">
        <v>1.0149999999999999</v>
      </c>
      <c r="J1061" s="9">
        <v>297</v>
      </c>
      <c r="K1061" s="9" t="s">
        <v>442</v>
      </c>
      <c r="L1061" s="9" t="s">
        <v>1210</v>
      </c>
      <c r="M1061" s="9"/>
      <c r="N1061" s="9" t="str">
        <f ca="1">IFERROR(__xludf.DUMMYFUNCTION("IFERROR(VALUE(REGEXEXTRACT(TO_TEXT($F1061), N$1 &amp; ""x(\d+)"")), """")
"),"")</f>
        <v/>
      </c>
      <c r="O1061" s="9" t="str">
        <f ca="1">IFERROR(__xludf.DUMMYFUNCTION("IFERROR(VALUE(REGEXEXTRACT(TO_TEXT($F1061), O$1 &amp; ""x(\d+)"")), """")"),"")</f>
        <v/>
      </c>
      <c r="P1061" s="9" t="str">
        <f ca="1">IFERROR(__xludf.DUMMYFUNCTION("IFERROR(VALUE(REGEXEXTRACT(TO_TEXT($F1061), P$1 &amp; ""x(\d+)"")), """")"),"")</f>
        <v/>
      </c>
      <c r="Q1061" s="9" t="str">
        <f ca="1">IFERROR(__xludf.DUMMYFUNCTION("IFERROR(VALUE(REGEXEXTRACT(TO_TEXT($F1061), Q$1 &amp; ""x(\d+)"")), """")"),"")</f>
        <v/>
      </c>
      <c r="R1061" s="9" t="str">
        <f ca="1">IFERROR(__xludf.DUMMYFUNCTION("IFERROR(VALUE(REGEXEXTRACT(TO_TEXT($F1061), R$1 &amp; ""x(\d+)"")), """")"),"")</f>
        <v/>
      </c>
      <c r="S1061" s="9">
        <f ca="1">IFERROR(__xludf.DUMMYFUNCTION("IFERROR(VALUE(REGEXEXTRACT(TO_TEXT($F1061), S$1 &amp; ""x(\d+)"")), """")"),1)</f>
        <v>1</v>
      </c>
      <c r="T1061" s="9" t="str">
        <f ca="1">IFERROR(__xludf.DUMMYFUNCTION("IFERROR(VALUE(REGEXEXTRACT(TO_TEXT($F1061), T$1 &amp; ""x(\d+)"")), """")"),"")</f>
        <v/>
      </c>
      <c r="U1061" s="9" t="str">
        <f ca="1">IFERROR(__xludf.DUMMYFUNCTION("IFERROR(VALUE(REGEXEXTRACT(TO_TEXT($F1061), U$1 &amp; ""x(\d+)"")), """")"),"")</f>
        <v/>
      </c>
      <c r="V1061" s="9" t="str">
        <f ca="1">IFERROR(__xludf.DUMMYFUNCTION("IFERROR(VALUE(REGEXEXTRACT(TO_TEXT($F1061), V$1 &amp; ""x(\d+)"")), """")"),"")</f>
        <v/>
      </c>
      <c r="W1061" s="9"/>
      <c r="X1061" s="9"/>
      <c r="Y1061" s="9"/>
      <c r="Z1061" s="9"/>
    </row>
    <row r="1062" spans="1:26" ht="15.75" hidden="1" customHeight="1">
      <c r="A1062" s="9" t="s">
        <v>105</v>
      </c>
      <c r="B1062" s="9" t="s">
        <v>2119</v>
      </c>
      <c r="C1062" s="9" t="s">
        <v>106</v>
      </c>
      <c r="D1062" s="9" t="s">
        <v>40</v>
      </c>
      <c r="E1062" s="9" t="s">
        <v>13</v>
      </c>
      <c r="F1062" s="9" t="s">
        <v>1133</v>
      </c>
      <c r="G1062" s="9">
        <v>30</v>
      </c>
      <c r="H1062" s="9">
        <v>4</v>
      </c>
      <c r="I1062" s="9">
        <v>1.0149999999999999</v>
      </c>
      <c r="J1062" s="9">
        <v>297</v>
      </c>
      <c r="K1062" s="9" t="s">
        <v>442</v>
      </c>
      <c r="L1062" s="9"/>
      <c r="M1062" s="9"/>
      <c r="N1062" s="9" t="str">
        <f ca="1">IFERROR(__xludf.DUMMYFUNCTION("IFERROR(VALUE(REGEXEXTRACT(TO_TEXT($F1062), N$1 &amp; ""x(\d+)"")), """")
"),"")</f>
        <v/>
      </c>
      <c r="O1062" s="9" t="str">
        <f ca="1">IFERROR(__xludf.DUMMYFUNCTION("IFERROR(VALUE(REGEXEXTRACT(TO_TEXT($F1062), O$1 &amp; ""x(\d+)"")), """")"),"")</f>
        <v/>
      </c>
      <c r="P1062" s="9" t="str">
        <f ca="1">IFERROR(__xludf.DUMMYFUNCTION("IFERROR(VALUE(REGEXEXTRACT(TO_TEXT($F1062), P$1 &amp; ""x(\d+)"")), """")"),"")</f>
        <v/>
      </c>
      <c r="Q1062" s="9" t="str">
        <f ca="1">IFERROR(__xludf.DUMMYFUNCTION("IFERROR(VALUE(REGEXEXTRACT(TO_TEXT($F1062), Q$1 &amp; ""x(\d+)"")), """")"),"")</f>
        <v/>
      </c>
      <c r="R1062" s="9" t="str">
        <f ca="1">IFERROR(__xludf.DUMMYFUNCTION("IFERROR(VALUE(REGEXEXTRACT(TO_TEXT($F1062), R$1 &amp; ""x(\d+)"")), """")"),"")</f>
        <v/>
      </c>
      <c r="S1062" s="9">
        <f ca="1">IFERROR(__xludf.DUMMYFUNCTION("IFERROR(VALUE(REGEXEXTRACT(TO_TEXT($F1062), S$1 &amp; ""x(\d+)"")), """")"),1)</f>
        <v>1</v>
      </c>
      <c r="T1062" s="9" t="str">
        <f ca="1">IFERROR(__xludf.DUMMYFUNCTION("IFERROR(VALUE(REGEXEXTRACT(TO_TEXT($F1062), T$1 &amp; ""x(\d+)"")), """")"),"")</f>
        <v/>
      </c>
      <c r="U1062" s="9" t="str">
        <f ca="1">IFERROR(__xludf.DUMMYFUNCTION("IFERROR(VALUE(REGEXEXTRACT(TO_TEXT($F1062), U$1 &amp; ""x(\d+)"")), """")"),"")</f>
        <v/>
      </c>
      <c r="V1062" s="9" t="str">
        <f ca="1">IFERROR(__xludf.DUMMYFUNCTION("IFERROR(VALUE(REGEXEXTRACT(TO_TEXT($F1062), V$1 &amp; ""x(\d+)"")), """")"),"")</f>
        <v/>
      </c>
      <c r="W1062" s="9"/>
      <c r="X1062" s="9"/>
      <c r="Y1062" s="9"/>
      <c r="Z1062" s="9"/>
    </row>
    <row r="1063" spans="1:26" ht="15.75" hidden="1" customHeight="1">
      <c r="A1063" s="9" t="s">
        <v>2122</v>
      </c>
      <c r="B1063" s="9" t="s">
        <v>2123</v>
      </c>
      <c r="C1063" s="9" t="s">
        <v>490</v>
      </c>
      <c r="D1063" s="9" t="s">
        <v>40</v>
      </c>
      <c r="E1063" s="9" t="s">
        <v>11</v>
      </c>
      <c r="F1063" s="9" t="s">
        <v>1422</v>
      </c>
      <c r="G1063" s="9">
        <v>35</v>
      </c>
      <c r="H1063" s="9">
        <v>2</v>
      </c>
      <c r="I1063" s="9">
        <v>1.0149999999999999</v>
      </c>
      <c r="J1063" s="9">
        <v>350</v>
      </c>
      <c r="K1063" s="9" t="s">
        <v>442</v>
      </c>
      <c r="L1063" s="9"/>
      <c r="M1063" s="9"/>
      <c r="N1063" s="9" t="str">
        <f ca="1">IFERROR(__xludf.DUMMYFUNCTION("IFERROR(VALUE(REGEXEXTRACT(TO_TEXT($F1063), N$1 &amp; ""x(\d+)"")), """")
"),"")</f>
        <v/>
      </c>
      <c r="O1063" s="9" t="str">
        <f ca="1">IFERROR(__xludf.DUMMYFUNCTION("IFERROR(VALUE(REGEXEXTRACT(TO_TEXT($F1063), O$1 &amp; ""x(\d+)"")), """")"),"")</f>
        <v/>
      </c>
      <c r="P1063" s="9" t="str">
        <f ca="1">IFERROR(__xludf.DUMMYFUNCTION("IFERROR(VALUE(REGEXEXTRACT(TO_TEXT($F1063), P$1 &amp; ""x(\d+)"")), """")"),"")</f>
        <v/>
      </c>
      <c r="Q1063" s="9" t="str">
        <f ca="1">IFERROR(__xludf.DUMMYFUNCTION("IFERROR(VALUE(REGEXEXTRACT(TO_TEXT($F1063), Q$1 &amp; ""x(\d+)"")), """")"),"")</f>
        <v/>
      </c>
      <c r="R1063" s="9" t="str">
        <f ca="1">IFERROR(__xludf.DUMMYFUNCTION("IFERROR(VALUE(REGEXEXTRACT(TO_TEXT($F1063), R$1 &amp; ""x(\d+)"")), """")"),"")</f>
        <v/>
      </c>
      <c r="S1063" s="9" t="str">
        <f ca="1">IFERROR(__xludf.DUMMYFUNCTION("IFERROR(VALUE(REGEXEXTRACT(TO_TEXT($F1063), S$1 &amp; ""x(\d+)"")), """")"),"")</f>
        <v/>
      </c>
      <c r="T1063" s="9" t="str">
        <f ca="1">IFERROR(__xludf.DUMMYFUNCTION("IFERROR(VALUE(REGEXEXTRACT(TO_TEXT($F1063), T$1 &amp; ""x(\d+)"")), """")"),"")</f>
        <v/>
      </c>
      <c r="U1063" s="9" t="str">
        <f ca="1">IFERROR(__xludf.DUMMYFUNCTION("IFERROR(VALUE(REGEXEXTRACT(TO_TEXT($F1063), U$1 &amp; ""x(\d+)"")), """")"),"")</f>
        <v/>
      </c>
      <c r="V1063" s="9" t="str">
        <f ca="1">IFERROR(__xludf.DUMMYFUNCTION("IFERROR(VALUE(REGEXEXTRACT(TO_TEXT($F1063), V$1 &amp; ""x(\d+)"")), """")"),"")</f>
        <v/>
      </c>
      <c r="W1063" s="9"/>
      <c r="X1063" s="9"/>
      <c r="Y1063" s="9"/>
      <c r="Z1063" s="9"/>
    </row>
    <row r="1064" spans="1:26" ht="15.75" hidden="1" customHeight="1">
      <c r="A1064" s="9" t="s">
        <v>2122</v>
      </c>
      <c r="B1064" s="9" t="s">
        <v>2123</v>
      </c>
      <c r="C1064" s="9" t="s">
        <v>490</v>
      </c>
      <c r="D1064" s="9" t="s">
        <v>40</v>
      </c>
      <c r="E1064" s="9" t="s">
        <v>12</v>
      </c>
      <c r="F1064" s="9" t="s">
        <v>2124</v>
      </c>
      <c r="G1064" s="9">
        <v>165</v>
      </c>
      <c r="H1064" s="9">
        <v>2</v>
      </c>
      <c r="I1064" s="9">
        <v>1.0149999999999999</v>
      </c>
      <c r="J1064" s="9">
        <v>350</v>
      </c>
      <c r="K1064" s="9" t="s">
        <v>442</v>
      </c>
      <c r="L1064" s="9" t="s">
        <v>1030</v>
      </c>
      <c r="M1064" s="9"/>
      <c r="N1064" s="9" t="str">
        <f ca="1">IFERROR(__xludf.DUMMYFUNCTION("IFERROR(VALUE(REGEXEXTRACT(TO_TEXT($F1064), N$1 &amp; ""x(\d+)"")), """")
"),"")</f>
        <v/>
      </c>
      <c r="O1064" s="9" t="str">
        <f ca="1">IFERROR(__xludf.DUMMYFUNCTION("IFERROR(VALUE(REGEXEXTRACT(TO_TEXT($F1064), O$1 &amp; ""x(\d+)"")), """")"),"")</f>
        <v/>
      </c>
      <c r="P1064" s="9" t="str">
        <f ca="1">IFERROR(__xludf.DUMMYFUNCTION("IFERROR(VALUE(REGEXEXTRACT(TO_TEXT($F1064), P$1 &amp; ""x(\d+)"")), """")"),"")</f>
        <v/>
      </c>
      <c r="Q1064" s="9" t="str">
        <f ca="1">IFERROR(__xludf.DUMMYFUNCTION("IFERROR(VALUE(REGEXEXTRACT(TO_TEXT($F1064), Q$1 &amp; ""x(\d+)"")), """")"),"")</f>
        <v/>
      </c>
      <c r="R1064" s="9" t="str">
        <f ca="1">IFERROR(__xludf.DUMMYFUNCTION("IFERROR(VALUE(REGEXEXTRACT(TO_TEXT($F1064), R$1 &amp; ""x(\d+)"")), """")"),"")</f>
        <v/>
      </c>
      <c r="S1064" s="9" t="str">
        <f ca="1">IFERROR(__xludf.DUMMYFUNCTION("IFERROR(VALUE(REGEXEXTRACT(TO_TEXT($F1064), S$1 &amp; ""x(\d+)"")), """")"),"")</f>
        <v/>
      </c>
      <c r="T1064" s="9">
        <f ca="1">IFERROR(__xludf.DUMMYFUNCTION("IFERROR(VALUE(REGEXEXTRACT(TO_TEXT($F1064), T$1 &amp; ""x(\d+)"")), """")"),1)</f>
        <v>1</v>
      </c>
      <c r="U1064" s="9" t="str">
        <f ca="1">IFERROR(__xludf.DUMMYFUNCTION("IFERROR(VALUE(REGEXEXTRACT(TO_TEXT($F1064), U$1 &amp; ""x(\d+)"")), """")"),"")</f>
        <v/>
      </c>
      <c r="V1064" s="9" t="str">
        <f ca="1">IFERROR(__xludf.DUMMYFUNCTION("IFERROR(VALUE(REGEXEXTRACT(TO_TEXT($F1064), V$1 &amp; ""x(\d+)"")), """")"),"")</f>
        <v/>
      </c>
      <c r="W1064" s="9"/>
      <c r="X1064" s="9"/>
      <c r="Y1064" s="9"/>
      <c r="Z1064" s="9"/>
    </row>
    <row r="1065" spans="1:26" ht="15.75" hidden="1" customHeight="1">
      <c r="A1065" s="9" t="s">
        <v>2122</v>
      </c>
      <c r="B1065" s="9" t="s">
        <v>2123</v>
      </c>
      <c r="C1065" s="9" t="s">
        <v>490</v>
      </c>
      <c r="D1065" s="9" t="s">
        <v>40</v>
      </c>
      <c r="E1065" s="9" t="s">
        <v>13</v>
      </c>
      <c r="F1065" s="9" t="s">
        <v>2125</v>
      </c>
      <c r="G1065" s="9">
        <v>30</v>
      </c>
      <c r="H1065" s="9">
        <v>2</v>
      </c>
      <c r="I1065" s="9">
        <v>1.0149999999999999</v>
      </c>
      <c r="J1065" s="9">
        <v>350</v>
      </c>
      <c r="K1065" s="9" t="s">
        <v>442</v>
      </c>
      <c r="L1065" s="9"/>
      <c r="M1065" s="9"/>
      <c r="N1065" s="9" t="str">
        <f ca="1">IFERROR(__xludf.DUMMYFUNCTION("IFERROR(VALUE(REGEXEXTRACT(TO_TEXT($F1065), N$1 &amp; ""x(\d+)"")), """")
"),"")</f>
        <v/>
      </c>
      <c r="O1065" s="9" t="str">
        <f ca="1">IFERROR(__xludf.DUMMYFUNCTION("IFERROR(VALUE(REGEXEXTRACT(TO_TEXT($F1065), O$1 &amp; ""x(\d+)"")), """")"),"")</f>
        <v/>
      </c>
      <c r="P1065" s="9" t="str">
        <f ca="1">IFERROR(__xludf.DUMMYFUNCTION("IFERROR(VALUE(REGEXEXTRACT(TO_TEXT($F1065), P$1 &amp; ""x(\d+)"")), """")"),"")</f>
        <v/>
      </c>
      <c r="Q1065" s="9" t="str">
        <f ca="1">IFERROR(__xludf.DUMMYFUNCTION("IFERROR(VALUE(REGEXEXTRACT(TO_TEXT($F1065), Q$1 &amp; ""x(\d+)"")), """")"),"")</f>
        <v/>
      </c>
      <c r="R1065" s="9" t="str">
        <f ca="1">IFERROR(__xludf.DUMMYFUNCTION("IFERROR(VALUE(REGEXEXTRACT(TO_TEXT($F1065), R$1 &amp; ""x(\d+)"")), """")"),"")</f>
        <v/>
      </c>
      <c r="S1065" s="9" t="str">
        <f ca="1">IFERROR(__xludf.DUMMYFUNCTION("IFERROR(VALUE(REGEXEXTRACT(TO_TEXT($F1065), S$1 &amp; ""x(\d+)"")), """")"),"")</f>
        <v/>
      </c>
      <c r="T1065" s="9">
        <f ca="1">IFERROR(__xludf.DUMMYFUNCTION("IFERROR(VALUE(REGEXEXTRACT(TO_TEXT($F1065), T$1 &amp; ""x(\d+)"")), """")"),1)</f>
        <v>1</v>
      </c>
      <c r="U1065" s="9" t="str">
        <f ca="1">IFERROR(__xludf.DUMMYFUNCTION("IFERROR(VALUE(REGEXEXTRACT(TO_TEXT($F1065), U$1 &amp; ""x(\d+)"")), """")"),"")</f>
        <v/>
      </c>
      <c r="V1065" s="9" t="str">
        <f ca="1">IFERROR(__xludf.DUMMYFUNCTION("IFERROR(VALUE(REGEXEXTRACT(TO_TEXT($F1065), V$1 &amp; ""x(\d+)"")), """")"),"")</f>
        <v/>
      </c>
      <c r="W1065" s="9"/>
      <c r="X1065" s="9"/>
      <c r="Y1065" s="9"/>
      <c r="Z1065" s="9"/>
    </row>
    <row r="1066" spans="1:26" ht="15.75" customHeight="1">
      <c r="A1066" s="9" t="s">
        <v>2126</v>
      </c>
      <c r="B1066" s="9" t="s">
        <v>2127</v>
      </c>
      <c r="C1066" s="9" t="s">
        <v>460</v>
      </c>
      <c r="D1066" s="9" t="s">
        <v>33</v>
      </c>
      <c r="E1066" s="9" t="s">
        <v>11</v>
      </c>
      <c r="F1066" s="9" t="s">
        <v>2128</v>
      </c>
      <c r="G1066" s="9">
        <v>30</v>
      </c>
      <c r="H1066" s="9">
        <v>5</v>
      </c>
      <c r="I1066" s="9">
        <v>1.0149999999999999</v>
      </c>
      <c r="J1066" s="9">
        <v>103</v>
      </c>
      <c r="K1066" s="9" t="s">
        <v>442</v>
      </c>
      <c r="L1066" s="9"/>
      <c r="M1066" s="9"/>
      <c r="N1066" s="9" t="str">
        <f ca="1">IFERROR(__xludf.DUMMYFUNCTION("IFERROR(VALUE(REGEXEXTRACT(TO_TEXT($F1066), N$1 &amp; ""x(\d+)"")), """")
"),"")</f>
        <v/>
      </c>
      <c r="O1066" s="9">
        <f ca="1">IFERROR(__xludf.DUMMYFUNCTION("IFERROR(VALUE(REGEXEXTRACT(TO_TEXT($F1066), O$1 &amp; ""x(\d+)"")), """")"),1)</f>
        <v>1</v>
      </c>
      <c r="P1066" s="9" t="str">
        <f ca="1">IFERROR(__xludf.DUMMYFUNCTION("IFERROR(VALUE(REGEXEXTRACT(TO_TEXT($F1066), P$1 &amp; ""x(\d+)"")), """")"),"")</f>
        <v/>
      </c>
      <c r="Q1066" s="9" t="str">
        <f ca="1">IFERROR(__xludf.DUMMYFUNCTION("IFERROR(VALUE(REGEXEXTRACT(TO_TEXT($F1066), Q$1 &amp; ""x(\d+)"")), """")"),"")</f>
        <v/>
      </c>
      <c r="R1066" s="9" t="str">
        <f ca="1">IFERROR(__xludf.DUMMYFUNCTION("IFERROR(VALUE(REGEXEXTRACT(TO_TEXT($F1066), R$1 &amp; ""x(\d+)"")), """")"),"")</f>
        <v/>
      </c>
      <c r="S1066" s="9" t="str">
        <f ca="1">IFERROR(__xludf.DUMMYFUNCTION("IFERROR(VALUE(REGEXEXTRACT(TO_TEXT($F1066), S$1 &amp; ""x(\d+)"")), """")"),"")</f>
        <v/>
      </c>
      <c r="T1066" s="9" t="str">
        <f ca="1">IFERROR(__xludf.DUMMYFUNCTION("IFERROR(VALUE(REGEXEXTRACT(TO_TEXT($F1066), T$1 &amp; ""x(\d+)"")), """")"),"")</f>
        <v/>
      </c>
      <c r="U1066" s="9" t="str">
        <f ca="1">IFERROR(__xludf.DUMMYFUNCTION("IFERROR(VALUE(REGEXEXTRACT(TO_TEXT($F1066), U$1 &amp; ""x(\d+)"")), """")"),"")</f>
        <v/>
      </c>
      <c r="V1066" s="9" t="str">
        <f ca="1">IFERROR(__xludf.DUMMYFUNCTION("IFERROR(VALUE(REGEXEXTRACT(TO_TEXT($F1066), V$1 &amp; ""x(\d+)"")), """")"),"")</f>
        <v/>
      </c>
      <c r="W1066" s="9"/>
      <c r="X1066" s="9"/>
      <c r="Y1066" s="9"/>
      <c r="Z1066" s="9"/>
    </row>
    <row r="1067" spans="1:26" ht="15.75" customHeight="1">
      <c r="A1067" s="9" t="s">
        <v>2126</v>
      </c>
      <c r="B1067" s="9" t="s">
        <v>2127</v>
      </c>
      <c r="C1067" s="9" t="s">
        <v>460</v>
      </c>
      <c r="D1067" s="9" t="s">
        <v>33</v>
      </c>
      <c r="E1067" s="9" t="s">
        <v>12</v>
      </c>
      <c r="F1067" s="9" t="s">
        <v>1767</v>
      </c>
      <c r="G1067" s="9">
        <v>75</v>
      </c>
      <c r="H1067" s="9">
        <v>5</v>
      </c>
      <c r="I1067" s="9">
        <v>1.0149999999999999</v>
      </c>
      <c r="J1067" s="9">
        <v>100</v>
      </c>
      <c r="K1067" s="9" t="s">
        <v>442</v>
      </c>
      <c r="L1067" s="9"/>
      <c r="M1067" s="9"/>
      <c r="N1067" s="9" t="str">
        <f ca="1">IFERROR(__xludf.DUMMYFUNCTION("IFERROR(VALUE(REGEXEXTRACT(TO_TEXT($F1067), N$1 &amp; ""x(\d+)"")), """")
"),"")</f>
        <v/>
      </c>
      <c r="O1067" s="9">
        <f ca="1">IFERROR(__xludf.DUMMYFUNCTION("IFERROR(VALUE(REGEXEXTRACT(TO_TEXT($F1067), O$1 &amp; ""x(\d+)"")), """")"),1)</f>
        <v>1</v>
      </c>
      <c r="P1067" s="9" t="str">
        <f ca="1">IFERROR(__xludf.DUMMYFUNCTION("IFERROR(VALUE(REGEXEXTRACT(TO_TEXT($F1067), P$1 &amp; ""x(\d+)"")), """")"),"")</f>
        <v/>
      </c>
      <c r="Q1067" s="9" t="str">
        <f ca="1">IFERROR(__xludf.DUMMYFUNCTION("IFERROR(VALUE(REGEXEXTRACT(TO_TEXT($F1067), Q$1 &amp; ""x(\d+)"")), """")"),"")</f>
        <v/>
      </c>
      <c r="R1067" s="9" t="str">
        <f ca="1">IFERROR(__xludf.DUMMYFUNCTION("IFERROR(VALUE(REGEXEXTRACT(TO_TEXT($F1067), R$1 &amp; ""x(\d+)"")), """")"),"")</f>
        <v/>
      </c>
      <c r="S1067" s="9" t="str">
        <f ca="1">IFERROR(__xludf.DUMMYFUNCTION("IFERROR(VALUE(REGEXEXTRACT(TO_TEXT($F1067), S$1 &amp; ""x(\d+)"")), """")"),"")</f>
        <v/>
      </c>
      <c r="T1067" s="9" t="str">
        <f ca="1">IFERROR(__xludf.DUMMYFUNCTION("IFERROR(VALUE(REGEXEXTRACT(TO_TEXT($F1067), T$1 &amp; ""x(\d+)"")), """")"),"")</f>
        <v/>
      </c>
      <c r="U1067" s="9" t="str">
        <f ca="1">IFERROR(__xludf.DUMMYFUNCTION("IFERROR(VALUE(REGEXEXTRACT(TO_TEXT($F1067), U$1 &amp; ""x(\d+)"")), """")"),"")</f>
        <v/>
      </c>
      <c r="V1067" s="9" t="str">
        <f ca="1">IFERROR(__xludf.DUMMYFUNCTION("IFERROR(VALUE(REGEXEXTRACT(TO_TEXT($F1067), V$1 &amp; ""x(\d+)"")), """")"),"")</f>
        <v/>
      </c>
      <c r="W1067" s="9"/>
      <c r="X1067" s="9"/>
      <c r="Y1067" s="9"/>
      <c r="Z1067" s="9"/>
    </row>
    <row r="1068" spans="1:26" ht="15.75" customHeight="1">
      <c r="A1068" s="9" t="s">
        <v>2126</v>
      </c>
      <c r="B1068" s="9" t="s">
        <v>2127</v>
      </c>
      <c r="C1068" s="9" t="s">
        <v>460</v>
      </c>
      <c r="D1068" s="9" t="s">
        <v>33</v>
      </c>
      <c r="E1068" s="9" t="s">
        <v>13</v>
      </c>
      <c r="F1068" s="9" t="s">
        <v>1130</v>
      </c>
      <c r="G1068" s="9">
        <v>15</v>
      </c>
      <c r="H1068" s="9">
        <v>5</v>
      </c>
      <c r="I1068" s="9">
        <v>1.0149999999999999</v>
      </c>
      <c r="J1068" s="9">
        <v>100</v>
      </c>
      <c r="K1068" s="9" t="s">
        <v>442</v>
      </c>
      <c r="L1068" s="9"/>
      <c r="M1068" s="9"/>
      <c r="N1068" s="9" t="str">
        <f ca="1">IFERROR(__xludf.DUMMYFUNCTION("IFERROR(VALUE(REGEXEXTRACT(TO_TEXT($F1068), N$1 &amp; ""x(\d+)"")), """")
"),"")</f>
        <v/>
      </c>
      <c r="O1068" s="9">
        <f ca="1">IFERROR(__xludf.DUMMYFUNCTION("IFERROR(VALUE(REGEXEXTRACT(TO_TEXT($F1068), O$1 &amp; ""x(\d+)"")), """")"),1)</f>
        <v>1</v>
      </c>
      <c r="P1068" s="9" t="str">
        <f ca="1">IFERROR(__xludf.DUMMYFUNCTION("IFERROR(VALUE(REGEXEXTRACT(TO_TEXT($F1068), P$1 &amp; ""x(\d+)"")), """")"),"")</f>
        <v/>
      </c>
      <c r="Q1068" s="9" t="str">
        <f ca="1">IFERROR(__xludf.DUMMYFUNCTION("IFERROR(VALUE(REGEXEXTRACT(TO_TEXT($F1068), Q$1 &amp; ""x(\d+)"")), """")"),"")</f>
        <v/>
      </c>
      <c r="R1068" s="9" t="str">
        <f ca="1">IFERROR(__xludf.DUMMYFUNCTION("IFERROR(VALUE(REGEXEXTRACT(TO_TEXT($F1068), R$1 &amp; ""x(\d+)"")), """")"),"")</f>
        <v/>
      </c>
      <c r="S1068" s="9" t="str">
        <f ca="1">IFERROR(__xludf.DUMMYFUNCTION("IFERROR(VALUE(REGEXEXTRACT(TO_TEXT($F1068), S$1 &amp; ""x(\d+)"")), """")"),"")</f>
        <v/>
      </c>
      <c r="T1068" s="9" t="str">
        <f ca="1">IFERROR(__xludf.DUMMYFUNCTION("IFERROR(VALUE(REGEXEXTRACT(TO_TEXT($F1068), T$1 &amp; ""x(\d+)"")), """")"),"")</f>
        <v/>
      </c>
      <c r="U1068" s="9" t="str">
        <f ca="1">IFERROR(__xludf.DUMMYFUNCTION("IFERROR(VALUE(REGEXEXTRACT(TO_TEXT($F1068), U$1 &amp; ""x(\d+)"")), """")"),"")</f>
        <v/>
      </c>
      <c r="V1068" s="9" t="str">
        <f ca="1">IFERROR(__xludf.DUMMYFUNCTION("IFERROR(VALUE(REGEXEXTRACT(TO_TEXT($F1068), V$1 &amp; ""x(\d+)"")), """")"),"")</f>
        <v/>
      </c>
      <c r="W1068" s="9"/>
      <c r="X1068" s="9"/>
      <c r="Y1068" s="9"/>
      <c r="Z1068" s="9"/>
    </row>
    <row r="1069" spans="1:26" ht="15.75" customHeight="1">
      <c r="A1069" s="9" t="s">
        <v>1444</v>
      </c>
      <c r="B1069" s="9" t="s">
        <v>1445</v>
      </c>
      <c r="C1069" s="9" t="s">
        <v>1446</v>
      </c>
      <c r="D1069" s="9" t="s">
        <v>33</v>
      </c>
      <c r="E1069" s="9" t="s">
        <v>13</v>
      </c>
      <c r="F1069" s="9" t="s">
        <v>1443</v>
      </c>
      <c r="G1069" s="9">
        <v>20</v>
      </c>
      <c r="H1069" s="9">
        <v>4</v>
      </c>
      <c r="I1069" s="9">
        <v>1.0149999999999999</v>
      </c>
      <c r="J1069" s="9">
        <v>100</v>
      </c>
      <c r="K1069" s="9" t="s">
        <v>442</v>
      </c>
      <c r="L1069" s="9"/>
      <c r="M1069" s="9"/>
      <c r="N1069" s="9" t="str">
        <f ca="1">IFERROR(__xludf.DUMMYFUNCTION("IFERROR(VALUE(REGEXEXTRACT(TO_TEXT($F1069), N$1 &amp; ""x(\d+)"")), """")
"),"")</f>
        <v/>
      </c>
      <c r="O1069" s="9" t="str">
        <f ca="1">IFERROR(__xludf.DUMMYFUNCTION("IFERROR(VALUE(REGEXEXTRACT(TO_TEXT($F1069), O$1 &amp; ""x(\d+)"")), """")"),"")</f>
        <v/>
      </c>
      <c r="P1069" s="9" t="str">
        <f ca="1">IFERROR(__xludf.DUMMYFUNCTION("IFERROR(VALUE(REGEXEXTRACT(TO_TEXT($F1069), P$1 &amp; ""x(\d+)"")), """")"),"")</f>
        <v/>
      </c>
      <c r="Q1069" s="9" t="str">
        <f ca="1">IFERROR(__xludf.DUMMYFUNCTION("IFERROR(VALUE(REGEXEXTRACT(TO_TEXT($F1069), Q$1 &amp; ""x(\d+)"")), """")"),"")</f>
        <v/>
      </c>
      <c r="R1069" s="9" t="str">
        <f ca="1">IFERROR(__xludf.DUMMYFUNCTION("IFERROR(VALUE(REGEXEXTRACT(TO_TEXT($F1069), R$1 &amp; ""x(\d+)"")), """")"),"")</f>
        <v/>
      </c>
      <c r="S1069" s="9" t="str">
        <f ca="1">IFERROR(__xludf.DUMMYFUNCTION("IFERROR(VALUE(REGEXEXTRACT(TO_TEXT($F1069), S$1 &amp; ""x(\d+)"")), """")"),"")</f>
        <v/>
      </c>
      <c r="T1069" s="9" t="str">
        <f ca="1">IFERROR(__xludf.DUMMYFUNCTION("IFERROR(VALUE(REGEXEXTRACT(TO_TEXT($F1069), T$1 &amp; ""x(\d+)"")), """")"),"")</f>
        <v/>
      </c>
      <c r="U1069" s="9" t="str">
        <f ca="1">IFERROR(__xludf.DUMMYFUNCTION("IFERROR(VALUE(REGEXEXTRACT(TO_TEXT($F1069), U$1 &amp; ""x(\d+)"")), """")"),"")</f>
        <v/>
      </c>
      <c r="V1069" s="9" t="str">
        <f ca="1">IFERROR(__xludf.DUMMYFUNCTION("IFERROR(VALUE(REGEXEXTRACT(TO_TEXT($F1069), V$1 &amp; ""x(\d+)"")), """")"),"")</f>
        <v/>
      </c>
      <c r="W1069" s="9"/>
      <c r="X1069" s="9"/>
      <c r="Y1069" s="9"/>
      <c r="Z1069" s="9"/>
    </row>
    <row r="1070" spans="1:26" ht="15.75" customHeight="1">
      <c r="A1070" s="9" t="s">
        <v>2129</v>
      </c>
      <c r="B1070" s="9" t="s">
        <v>2130</v>
      </c>
      <c r="C1070" s="9" t="s">
        <v>2131</v>
      </c>
      <c r="D1070" s="9" t="s">
        <v>33</v>
      </c>
      <c r="E1070" s="9" t="s">
        <v>11</v>
      </c>
      <c r="F1070" s="9" t="s">
        <v>2132</v>
      </c>
      <c r="G1070" s="9">
        <v>20</v>
      </c>
      <c r="H1070" s="9">
        <v>4</v>
      </c>
      <c r="I1070" s="9">
        <v>1.0149999999999999</v>
      </c>
      <c r="J1070" s="9">
        <v>100</v>
      </c>
      <c r="K1070" s="9" t="s">
        <v>442</v>
      </c>
      <c r="L1070" s="9"/>
      <c r="M1070" s="9"/>
      <c r="N1070" s="9" t="str">
        <f ca="1">IFERROR(__xludf.DUMMYFUNCTION("IFERROR(VALUE(REGEXEXTRACT(TO_TEXT($F1070), N$1 &amp; ""x(\d+)"")), """")
"),"")</f>
        <v/>
      </c>
      <c r="O1070" s="9" t="str">
        <f ca="1">IFERROR(__xludf.DUMMYFUNCTION("IFERROR(VALUE(REGEXEXTRACT(TO_TEXT($F1070), O$1 &amp; ""x(\d+)"")), """")"),"")</f>
        <v/>
      </c>
      <c r="P1070" s="9" t="str">
        <f ca="1">IFERROR(__xludf.DUMMYFUNCTION("IFERROR(VALUE(REGEXEXTRACT(TO_TEXT($F1070), P$1 &amp; ""x(\d+)"")), """")"),"")</f>
        <v/>
      </c>
      <c r="Q1070" s="9" t="str">
        <f ca="1">IFERROR(__xludf.DUMMYFUNCTION("IFERROR(VALUE(REGEXEXTRACT(TO_TEXT($F1070), Q$1 &amp; ""x(\d+)"")), """")"),"")</f>
        <v/>
      </c>
      <c r="R1070" s="9" t="str">
        <f ca="1">IFERROR(__xludf.DUMMYFUNCTION("IFERROR(VALUE(REGEXEXTRACT(TO_TEXT($F1070), R$1 &amp; ""x(\d+)"")), """")"),"")</f>
        <v/>
      </c>
      <c r="S1070" s="9" t="str">
        <f ca="1">IFERROR(__xludf.DUMMYFUNCTION("IFERROR(VALUE(REGEXEXTRACT(TO_TEXT($F1070), S$1 &amp; ""x(\d+)"")), """")"),"")</f>
        <v/>
      </c>
      <c r="T1070" s="9" t="str">
        <f ca="1">IFERROR(__xludf.DUMMYFUNCTION("IFERROR(VALUE(REGEXEXTRACT(TO_TEXT($F1070), T$1 &amp; ""x(\d+)"")), """")"),"")</f>
        <v/>
      </c>
      <c r="U1070" s="9" t="str">
        <f ca="1">IFERROR(__xludf.DUMMYFUNCTION("IFERROR(VALUE(REGEXEXTRACT(TO_TEXT($F1070), U$1 &amp; ""x(\d+)"")), """")"),"")</f>
        <v/>
      </c>
      <c r="V1070" s="9" t="str">
        <f ca="1">IFERROR(__xludf.DUMMYFUNCTION("IFERROR(VALUE(REGEXEXTRACT(TO_TEXT($F1070), V$1 &amp; ""x(\d+)"")), """")"),"")</f>
        <v/>
      </c>
      <c r="W1070" s="9"/>
      <c r="X1070" s="9"/>
      <c r="Y1070" s="9"/>
      <c r="Z1070" s="9"/>
    </row>
    <row r="1071" spans="1:26" ht="15.75" customHeight="1">
      <c r="A1071" s="9" t="s">
        <v>2129</v>
      </c>
      <c r="B1071" s="9" t="s">
        <v>2130</v>
      </c>
      <c r="C1071" s="9" t="s">
        <v>2131</v>
      </c>
      <c r="D1071" s="9" t="s">
        <v>33</v>
      </c>
      <c r="E1071" s="9" t="s">
        <v>12</v>
      </c>
      <c r="F1071" s="9" t="s">
        <v>2133</v>
      </c>
      <c r="G1071" s="9">
        <v>90</v>
      </c>
      <c r="H1071" s="9">
        <v>4</v>
      </c>
      <c r="I1071" s="9">
        <v>1.0149999999999999</v>
      </c>
      <c r="J1071" s="9">
        <v>100</v>
      </c>
      <c r="K1071" s="9" t="s">
        <v>442</v>
      </c>
      <c r="L1071" s="9"/>
      <c r="M1071" s="9"/>
      <c r="N1071" s="9" t="str">
        <f ca="1">IFERROR(__xludf.DUMMYFUNCTION("IFERROR(VALUE(REGEXEXTRACT(TO_TEXT($F1071), N$1 &amp; ""x(\d+)"")), """")
"),"")</f>
        <v/>
      </c>
      <c r="O1071" s="9" t="str">
        <f ca="1">IFERROR(__xludf.DUMMYFUNCTION("IFERROR(VALUE(REGEXEXTRACT(TO_TEXT($F1071), O$1 &amp; ""x(\d+)"")), """")"),"")</f>
        <v/>
      </c>
      <c r="P1071" s="9" t="str">
        <f ca="1">IFERROR(__xludf.DUMMYFUNCTION("IFERROR(VALUE(REGEXEXTRACT(TO_TEXT($F1071), P$1 &amp; ""x(\d+)"")), """")"),"")</f>
        <v/>
      </c>
      <c r="Q1071" s="9" t="str">
        <f ca="1">IFERROR(__xludf.DUMMYFUNCTION("IFERROR(VALUE(REGEXEXTRACT(TO_TEXT($F1071), Q$1 &amp; ""x(\d+)"")), """")"),"")</f>
        <v/>
      </c>
      <c r="R1071" s="9" t="str">
        <f ca="1">IFERROR(__xludf.DUMMYFUNCTION("IFERROR(VALUE(REGEXEXTRACT(TO_TEXT($F1071), R$1 &amp; ""x(\d+)"")), """")"),"")</f>
        <v/>
      </c>
      <c r="S1071" s="9" t="str">
        <f ca="1">IFERROR(__xludf.DUMMYFUNCTION("IFERROR(VALUE(REGEXEXTRACT(TO_TEXT($F1071), S$1 &amp; ""x(\d+)"")), """")"),"")</f>
        <v/>
      </c>
      <c r="T1071" s="9" t="str">
        <f ca="1">IFERROR(__xludf.DUMMYFUNCTION("IFERROR(VALUE(REGEXEXTRACT(TO_TEXT($F1071), T$1 &amp; ""x(\d+)"")), """")"),"")</f>
        <v/>
      </c>
      <c r="U1071" s="9" t="str">
        <f ca="1">IFERROR(__xludf.DUMMYFUNCTION("IFERROR(VALUE(REGEXEXTRACT(TO_TEXT($F1071), U$1 &amp; ""x(\d+)"")), """")"),"")</f>
        <v/>
      </c>
      <c r="V1071" s="9" t="str">
        <f ca="1">IFERROR(__xludf.DUMMYFUNCTION("IFERROR(VALUE(REGEXEXTRACT(TO_TEXT($F1071), V$1 &amp; ""x(\d+)"")), """")"),"")</f>
        <v/>
      </c>
      <c r="W1071" s="9"/>
      <c r="X1071" s="9"/>
      <c r="Y1071" s="9"/>
      <c r="Z1071" s="9"/>
    </row>
    <row r="1072" spans="1:26" ht="15.75" customHeight="1">
      <c r="A1072" s="9" t="s">
        <v>2129</v>
      </c>
      <c r="B1072" s="9" t="s">
        <v>2130</v>
      </c>
      <c r="C1072" s="9" t="s">
        <v>2131</v>
      </c>
      <c r="D1072" s="9" t="s">
        <v>33</v>
      </c>
      <c r="E1072" s="9" t="s">
        <v>13</v>
      </c>
      <c r="F1072" s="9" t="s">
        <v>2134</v>
      </c>
      <c r="G1072" s="9">
        <v>20</v>
      </c>
      <c r="H1072" s="9">
        <v>4</v>
      </c>
      <c r="I1072" s="9">
        <v>1.0149999999999999</v>
      </c>
      <c r="J1072" s="9">
        <v>100</v>
      </c>
      <c r="K1072" s="9" t="s">
        <v>442</v>
      </c>
      <c r="L1072" s="9"/>
      <c r="M1072" s="9"/>
      <c r="N1072" s="9" t="str">
        <f ca="1">IFERROR(__xludf.DUMMYFUNCTION("IFERROR(VALUE(REGEXEXTRACT(TO_TEXT($F1072), N$1 &amp; ""x(\d+)"")), """")
"),"")</f>
        <v/>
      </c>
      <c r="O1072" s="9" t="str">
        <f ca="1">IFERROR(__xludf.DUMMYFUNCTION("IFERROR(VALUE(REGEXEXTRACT(TO_TEXT($F1072), O$1 &amp; ""x(\d+)"")), """")"),"")</f>
        <v/>
      </c>
      <c r="P1072" s="9" t="str">
        <f ca="1">IFERROR(__xludf.DUMMYFUNCTION("IFERROR(VALUE(REGEXEXTRACT(TO_TEXT($F1072), P$1 &amp; ""x(\d+)"")), """")"),"")</f>
        <v/>
      </c>
      <c r="Q1072" s="9" t="str">
        <f ca="1">IFERROR(__xludf.DUMMYFUNCTION("IFERROR(VALUE(REGEXEXTRACT(TO_TEXT($F1072), Q$1 &amp; ""x(\d+)"")), """")"),"")</f>
        <v/>
      </c>
      <c r="R1072" s="9" t="str">
        <f ca="1">IFERROR(__xludf.DUMMYFUNCTION("IFERROR(VALUE(REGEXEXTRACT(TO_TEXT($F1072), R$1 &amp; ""x(\d+)"")), """")"),"")</f>
        <v/>
      </c>
      <c r="S1072" s="9" t="str">
        <f ca="1">IFERROR(__xludf.DUMMYFUNCTION("IFERROR(VALUE(REGEXEXTRACT(TO_TEXT($F1072), S$1 &amp; ""x(\d+)"")), """")"),"")</f>
        <v/>
      </c>
      <c r="T1072" s="9" t="str">
        <f ca="1">IFERROR(__xludf.DUMMYFUNCTION("IFERROR(VALUE(REGEXEXTRACT(TO_TEXT($F1072), T$1 &amp; ""x(\d+)"")), """")"),"")</f>
        <v/>
      </c>
      <c r="U1072" s="9" t="str">
        <f ca="1">IFERROR(__xludf.DUMMYFUNCTION("IFERROR(VALUE(REGEXEXTRACT(TO_TEXT($F1072), U$1 &amp; ""x(\d+)"")), """")"),"")</f>
        <v/>
      </c>
      <c r="V1072" s="9" t="str">
        <f ca="1">IFERROR(__xludf.DUMMYFUNCTION("IFERROR(VALUE(REGEXEXTRACT(TO_TEXT($F1072), V$1 &amp; ""x(\d+)"")), """")"),"")</f>
        <v/>
      </c>
      <c r="W1072" s="9"/>
      <c r="X1072" s="9"/>
      <c r="Y1072" s="9"/>
      <c r="Z1072" s="9"/>
    </row>
    <row r="1073" spans="1:26" ht="15.75" customHeight="1">
      <c r="A1073" s="9" t="s">
        <v>2135</v>
      </c>
      <c r="B1073" s="9" t="s">
        <v>2136</v>
      </c>
      <c r="C1073" s="9" t="s">
        <v>2137</v>
      </c>
      <c r="D1073" s="9" t="s">
        <v>48</v>
      </c>
      <c r="E1073" s="9" t="s">
        <v>11</v>
      </c>
      <c r="F1073" s="9" t="s">
        <v>1799</v>
      </c>
      <c r="G1073" s="9">
        <v>30</v>
      </c>
      <c r="H1073" s="9">
        <v>4</v>
      </c>
      <c r="I1073" s="9">
        <v>1.0149999999999999</v>
      </c>
      <c r="J1073" s="9">
        <v>52</v>
      </c>
      <c r="K1073" s="9" t="s">
        <v>424</v>
      </c>
      <c r="L1073" s="9"/>
      <c r="M1073" s="9"/>
      <c r="N1073" s="9" t="str">
        <f ca="1">IFERROR(__xludf.DUMMYFUNCTION("IFERROR(VALUE(REGEXEXTRACT(TO_TEXT($F1073), N$1 &amp; ""x(\d+)"")), """")
"),"")</f>
        <v/>
      </c>
      <c r="O1073" s="9" t="str">
        <f ca="1">IFERROR(__xludf.DUMMYFUNCTION("IFERROR(VALUE(REGEXEXTRACT(TO_TEXT($F1073), O$1 &amp; ""x(\d+)"")), """")"),"")</f>
        <v/>
      </c>
      <c r="P1073" s="9" t="str">
        <f ca="1">IFERROR(__xludf.DUMMYFUNCTION("IFERROR(VALUE(REGEXEXTRACT(TO_TEXT($F1073), P$1 &amp; ""x(\d+)"")), """")"),"")</f>
        <v/>
      </c>
      <c r="Q1073" s="9" t="str">
        <f ca="1">IFERROR(__xludf.DUMMYFUNCTION("IFERROR(VALUE(REGEXEXTRACT(TO_TEXT($F1073), Q$1 &amp; ""x(\d+)"")), """")"),"")</f>
        <v/>
      </c>
      <c r="R1073" s="9" t="str">
        <f ca="1">IFERROR(__xludf.DUMMYFUNCTION("IFERROR(VALUE(REGEXEXTRACT(TO_TEXT($F1073), R$1 &amp; ""x(\d+)"")), """")"),"")</f>
        <v/>
      </c>
      <c r="S1073" s="9" t="str">
        <f ca="1">IFERROR(__xludf.DUMMYFUNCTION("IFERROR(VALUE(REGEXEXTRACT(TO_TEXT($F1073), S$1 &amp; ""x(\d+)"")), """")"),"")</f>
        <v/>
      </c>
      <c r="T1073" s="9" t="str">
        <f ca="1">IFERROR(__xludf.DUMMYFUNCTION("IFERROR(VALUE(REGEXEXTRACT(TO_TEXT($F1073), T$1 &amp; ""x(\d+)"")), """")"),"")</f>
        <v/>
      </c>
      <c r="U1073" s="9" t="str">
        <f ca="1">IFERROR(__xludf.DUMMYFUNCTION("IFERROR(VALUE(REGEXEXTRACT(TO_TEXT($F1073), U$1 &amp; ""x(\d+)"")), """")"),"")</f>
        <v/>
      </c>
      <c r="V1073" s="9" t="str">
        <f ca="1">IFERROR(__xludf.DUMMYFUNCTION("IFERROR(VALUE(REGEXEXTRACT(TO_TEXT($F1073), V$1 &amp; ""x(\d+)"")), """")"),"")</f>
        <v/>
      </c>
      <c r="W1073" s="9"/>
      <c r="X1073" s="9"/>
      <c r="Y1073" s="9"/>
      <c r="Z1073" s="9"/>
    </row>
    <row r="1074" spans="1:26" ht="15.75" customHeight="1">
      <c r="A1074" s="9" t="s">
        <v>2135</v>
      </c>
      <c r="B1074" s="9" t="s">
        <v>2136</v>
      </c>
      <c r="C1074" s="9" t="s">
        <v>2137</v>
      </c>
      <c r="D1074" s="9" t="s">
        <v>48</v>
      </c>
      <c r="E1074" s="9" t="s">
        <v>12</v>
      </c>
      <c r="F1074" s="9" t="s">
        <v>2138</v>
      </c>
      <c r="G1074" s="9">
        <v>145</v>
      </c>
      <c r="H1074" s="9">
        <v>4</v>
      </c>
      <c r="I1074" s="9">
        <v>1.0149999999999999</v>
      </c>
      <c r="J1074" s="9">
        <v>52</v>
      </c>
      <c r="K1074" s="9" t="s">
        <v>424</v>
      </c>
      <c r="L1074" s="9" t="s">
        <v>1015</v>
      </c>
      <c r="M1074" s="9"/>
      <c r="N1074" s="9" t="str">
        <f ca="1">IFERROR(__xludf.DUMMYFUNCTION("IFERROR(VALUE(REGEXEXTRACT(TO_TEXT($F1074), N$1 &amp; ""x(\d+)"")), """")
"),"")</f>
        <v/>
      </c>
      <c r="O1074" s="9" t="str">
        <f ca="1">IFERROR(__xludf.DUMMYFUNCTION("IFERROR(VALUE(REGEXEXTRACT(TO_TEXT($F1074), O$1 &amp; ""x(\d+)"")), """")"),"")</f>
        <v/>
      </c>
      <c r="P1074" s="9">
        <f ca="1">IFERROR(__xludf.DUMMYFUNCTION("IFERROR(VALUE(REGEXEXTRACT(TO_TEXT($F1074), P$1 &amp; ""x(\d+)"")), """")"),1)</f>
        <v>1</v>
      </c>
      <c r="Q1074" s="9" t="str">
        <f ca="1">IFERROR(__xludf.DUMMYFUNCTION("IFERROR(VALUE(REGEXEXTRACT(TO_TEXT($F1074), Q$1 &amp; ""x(\d+)"")), """")"),"")</f>
        <v/>
      </c>
      <c r="R1074" s="9">
        <f ca="1">IFERROR(__xludf.DUMMYFUNCTION("IFERROR(VALUE(REGEXEXTRACT(TO_TEXT($F1074), R$1 &amp; ""x(\d+)"")), """")"),1)</f>
        <v>1</v>
      </c>
      <c r="S1074" s="9" t="str">
        <f ca="1">IFERROR(__xludf.DUMMYFUNCTION("IFERROR(VALUE(REGEXEXTRACT(TO_TEXT($F1074), S$1 &amp; ""x(\d+)"")), """")"),"")</f>
        <v/>
      </c>
      <c r="T1074" s="9" t="str">
        <f ca="1">IFERROR(__xludf.DUMMYFUNCTION("IFERROR(VALUE(REGEXEXTRACT(TO_TEXT($F1074), T$1 &amp; ""x(\d+)"")), """")"),"")</f>
        <v/>
      </c>
      <c r="U1074" s="9" t="str">
        <f ca="1">IFERROR(__xludf.DUMMYFUNCTION("IFERROR(VALUE(REGEXEXTRACT(TO_TEXT($F1074), U$1 &amp; ""x(\d+)"")), """")"),"")</f>
        <v/>
      </c>
      <c r="V1074" s="9" t="str">
        <f ca="1">IFERROR(__xludf.DUMMYFUNCTION("IFERROR(VALUE(REGEXEXTRACT(TO_TEXT($F1074), V$1 &amp; ""x(\d+)"")), """")"),"")</f>
        <v/>
      </c>
      <c r="W1074" s="9"/>
      <c r="X1074" s="9"/>
      <c r="Y1074" s="9"/>
      <c r="Z1074" s="9"/>
    </row>
    <row r="1075" spans="1:26" ht="15.75" customHeight="1">
      <c r="A1075" s="9" t="s">
        <v>2135</v>
      </c>
      <c r="B1075" s="9" t="s">
        <v>2136</v>
      </c>
      <c r="C1075" s="9" t="s">
        <v>2137</v>
      </c>
      <c r="D1075" s="9" t="s">
        <v>48</v>
      </c>
      <c r="E1075" s="9" t="s">
        <v>13</v>
      </c>
      <c r="F1075" s="9" t="s">
        <v>1348</v>
      </c>
      <c r="G1075" s="9">
        <v>90</v>
      </c>
      <c r="H1075" s="9">
        <v>4</v>
      </c>
      <c r="I1075" s="9">
        <v>1.0149999999999999</v>
      </c>
      <c r="J1075" s="9">
        <v>52</v>
      </c>
      <c r="K1075" s="9" t="s">
        <v>424</v>
      </c>
      <c r="L1075" s="9"/>
      <c r="M1075" s="9"/>
      <c r="N1075" s="9" t="str">
        <f ca="1">IFERROR(__xludf.DUMMYFUNCTION("IFERROR(VALUE(REGEXEXTRACT(TO_TEXT($F1075), N$1 &amp; ""x(\d+)"")), """")
"),"")</f>
        <v/>
      </c>
      <c r="O1075" s="9" t="str">
        <f ca="1">IFERROR(__xludf.DUMMYFUNCTION("IFERROR(VALUE(REGEXEXTRACT(TO_TEXT($F1075), O$1 &amp; ""x(\d+)"")), """")"),"")</f>
        <v/>
      </c>
      <c r="P1075" s="9">
        <f ca="1">IFERROR(__xludf.DUMMYFUNCTION("IFERROR(VALUE(REGEXEXTRACT(TO_TEXT($F1075), P$1 &amp; ""x(\d+)"")), """")"),1)</f>
        <v>1</v>
      </c>
      <c r="Q1075" s="9" t="str">
        <f ca="1">IFERROR(__xludf.DUMMYFUNCTION("IFERROR(VALUE(REGEXEXTRACT(TO_TEXT($F1075), Q$1 &amp; ""x(\d+)"")), """")"),"")</f>
        <v/>
      </c>
      <c r="R1075" s="9">
        <f ca="1">IFERROR(__xludf.DUMMYFUNCTION("IFERROR(VALUE(REGEXEXTRACT(TO_TEXT($F1075), R$1 &amp; ""x(\d+)"")), """")"),1)</f>
        <v>1</v>
      </c>
      <c r="S1075" s="9" t="str">
        <f ca="1">IFERROR(__xludf.DUMMYFUNCTION("IFERROR(VALUE(REGEXEXTRACT(TO_TEXT($F1075), S$1 &amp; ""x(\d+)"")), """")"),"")</f>
        <v/>
      </c>
      <c r="T1075" s="9" t="str">
        <f ca="1">IFERROR(__xludf.DUMMYFUNCTION("IFERROR(VALUE(REGEXEXTRACT(TO_TEXT($F1075), T$1 &amp; ""x(\d+)"")), """")"),"")</f>
        <v/>
      </c>
      <c r="U1075" s="9" t="str">
        <f ca="1">IFERROR(__xludf.DUMMYFUNCTION("IFERROR(VALUE(REGEXEXTRACT(TO_TEXT($F1075), U$1 &amp; ""x(\d+)"")), """")"),"")</f>
        <v/>
      </c>
      <c r="V1075" s="9" t="str">
        <f ca="1">IFERROR(__xludf.DUMMYFUNCTION("IFERROR(VALUE(REGEXEXTRACT(TO_TEXT($F1075), V$1 &amp; ""x(\d+)"")), """")"),"")</f>
        <v/>
      </c>
      <c r="W1075" s="9"/>
      <c r="X1075" s="9"/>
      <c r="Y1075" s="9"/>
      <c r="Z1075" s="9"/>
    </row>
    <row r="1076" spans="1:26" ht="15.75" customHeight="1">
      <c r="A1076" s="9" t="s">
        <v>2135</v>
      </c>
      <c r="B1076" s="9" t="s">
        <v>2136</v>
      </c>
      <c r="C1076" s="9" t="s">
        <v>2137</v>
      </c>
      <c r="D1076" s="9" t="s">
        <v>74</v>
      </c>
      <c r="E1076" s="9" t="s">
        <v>11</v>
      </c>
      <c r="F1076" s="9" t="s">
        <v>1204</v>
      </c>
      <c r="G1076" s="9">
        <v>30</v>
      </c>
      <c r="H1076" s="9">
        <v>3</v>
      </c>
      <c r="I1076" s="9">
        <v>1.0149999999999999</v>
      </c>
      <c r="J1076" s="9">
        <v>103</v>
      </c>
      <c r="K1076" s="9" t="s">
        <v>424</v>
      </c>
      <c r="L1076" s="9"/>
      <c r="M1076" s="9"/>
      <c r="N1076" s="9" t="str">
        <f ca="1">IFERROR(__xludf.DUMMYFUNCTION("IFERROR(VALUE(REGEXEXTRACT(TO_TEXT($F1076), N$1 &amp; ""x(\d+)"")), """")
"),"")</f>
        <v/>
      </c>
      <c r="O1076" s="9" t="str">
        <f ca="1">IFERROR(__xludf.DUMMYFUNCTION("IFERROR(VALUE(REGEXEXTRACT(TO_TEXT($F1076), O$1 &amp; ""x(\d+)"")), """")"),"")</f>
        <v/>
      </c>
      <c r="P1076" s="9" t="str">
        <f ca="1">IFERROR(__xludf.DUMMYFUNCTION("IFERROR(VALUE(REGEXEXTRACT(TO_TEXT($F1076), P$1 &amp; ""x(\d+)"")), """")"),"")</f>
        <v/>
      </c>
      <c r="Q1076" s="9" t="str">
        <f ca="1">IFERROR(__xludf.DUMMYFUNCTION("IFERROR(VALUE(REGEXEXTRACT(TO_TEXT($F1076), Q$1 &amp; ""x(\d+)"")), """")"),"")</f>
        <v/>
      </c>
      <c r="R1076" s="9" t="str">
        <f ca="1">IFERROR(__xludf.DUMMYFUNCTION("IFERROR(VALUE(REGEXEXTRACT(TO_TEXT($F1076), R$1 &amp; ""x(\d+)"")), """")"),"")</f>
        <v/>
      </c>
      <c r="S1076" s="9" t="str">
        <f ca="1">IFERROR(__xludf.DUMMYFUNCTION("IFERROR(VALUE(REGEXEXTRACT(TO_TEXT($F1076), S$1 &amp; ""x(\d+)"")), """")"),"")</f>
        <v/>
      </c>
      <c r="T1076" s="9" t="str">
        <f ca="1">IFERROR(__xludf.DUMMYFUNCTION("IFERROR(VALUE(REGEXEXTRACT(TO_TEXT($F1076), T$1 &amp; ""x(\d+)"")), """")"),"")</f>
        <v/>
      </c>
      <c r="U1076" s="9" t="str">
        <f ca="1">IFERROR(__xludf.DUMMYFUNCTION("IFERROR(VALUE(REGEXEXTRACT(TO_TEXT($F1076), U$1 &amp; ""x(\d+)"")), """")"),"")</f>
        <v/>
      </c>
      <c r="V1076" s="9" t="str">
        <f ca="1">IFERROR(__xludf.DUMMYFUNCTION("IFERROR(VALUE(REGEXEXTRACT(TO_TEXT($F1076), V$1 &amp; ""x(\d+)"")), """")"),"")</f>
        <v/>
      </c>
      <c r="W1076" s="9"/>
      <c r="X1076" s="9"/>
      <c r="Y1076" s="9"/>
      <c r="Z1076" s="9"/>
    </row>
    <row r="1077" spans="1:26" ht="15.75" customHeight="1">
      <c r="A1077" s="9" t="s">
        <v>2135</v>
      </c>
      <c r="B1077" s="9" t="s">
        <v>2136</v>
      </c>
      <c r="C1077" s="9" t="s">
        <v>2137</v>
      </c>
      <c r="D1077" s="9" t="s">
        <v>74</v>
      </c>
      <c r="E1077" s="9" t="s">
        <v>12</v>
      </c>
      <c r="F1077" s="9" t="s">
        <v>2078</v>
      </c>
      <c r="G1077" s="9">
        <v>170</v>
      </c>
      <c r="H1077" s="9">
        <v>3</v>
      </c>
      <c r="I1077" s="9">
        <v>1.0149999999999999</v>
      </c>
      <c r="J1077" s="9">
        <v>103</v>
      </c>
      <c r="K1077" s="9" t="s">
        <v>424</v>
      </c>
      <c r="L1077" s="9" t="s">
        <v>1015</v>
      </c>
      <c r="M1077" s="9"/>
      <c r="N1077" s="9" t="str">
        <f ca="1">IFERROR(__xludf.DUMMYFUNCTION("IFERROR(VALUE(REGEXEXTRACT(TO_TEXT($F1077), N$1 &amp; ""x(\d+)"")), """")
"),"")</f>
        <v/>
      </c>
      <c r="O1077" s="9" t="str">
        <f ca="1">IFERROR(__xludf.DUMMYFUNCTION("IFERROR(VALUE(REGEXEXTRACT(TO_TEXT($F1077), O$1 &amp; ""x(\d+)"")), """")"),"")</f>
        <v/>
      </c>
      <c r="P1077" s="9" t="str">
        <f ca="1">IFERROR(__xludf.DUMMYFUNCTION("IFERROR(VALUE(REGEXEXTRACT(TO_TEXT($F1077), P$1 &amp; ""x(\d+)"")), """")"),"")</f>
        <v/>
      </c>
      <c r="Q1077" s="9">
        <f ca="1">IFERROR(__xludf.DUMMYFUNCTION("IFERROR(VALUE(REGEXEXTRACT(TO_TEXT($F1077), Q$1 &amp; ""x(\d+)"")), """")"),1)</f>
        <v>1</v>
      </c>
      <c r="R1077" s="9">
        <f ca="1">IFERROR(__xludf.DUMMYFUNCTION("IFERROR(VALUE(REGEXEXTRACT(TO_TEXT($F1077), R$1 &amp; ""x(\d+)"")), """")"),1)</f>
        <v>1</v>
      </c>
      <c r="S1077" s="9" t="str">
        <f ca="1">IFERROR(__xludf.DUMMYFUNCTION("IFERROR(VALUE(REGEXEXTRACT(TO_TEXT($F1077), S$1 &amp; ""x(\d+)"")), """")"),"")</f>
        <v/>
      </c>
      <c r="T1077" s="9" t="str">
        <f ca="1">IFERROR(__xludf.DUMMYFUNCTION("IFERROR(VALUE(REGEXEXTRACT(TO_TEXT($F1077), T$1 &amp; ""x(\d+)"")), """")"),"")</f>
        <v/>
      </c>
      <c r="U1077" s="9" t="str">
        <f ca="1">IFERROR(__xludf.DUMMYFUNCTION("IFERROR(VALUE(REGEXEXTRACT(TO_TEXT($F1077), U$1 &amp; ""x(\d+)"")), """")"),"")</f>
        <v/>
      </c>
      <c r="V1077" s="9" t="str">
        <f ca="1">IFERROR(__xludf.DUMMYFUNCTION("IFERROR(VALUE(REGEXEXTRACT(TO_TEXT($F1077), V$1 &amp; ""x(\d+)"")), """")"),"")</f>
        <v/>
      </c>
      <c r="W1077" s="9"/>
      <c r="X1077" s="9"/>
      <c r="Y1077" s="9"/>
      <c r="Z1077" s="9"/>
    </row>
    <row r="1078" spans="1:26" ht="15.75" customHeight="1">
      <c r="A1078" s="9" t="s">
        <v>2135</v>
      </c>
      <c r="B1078" s="9" t="s">
        <v>2136</v>
      </c>
      <c r="C1078" s="9" t="s">
        <v>2137</v>
      </c>
      <c r="D1078" s="9" t="s">
        <v>74</v>
      </c>
      <c r="E1078" s="9" t="s">
        <v>13</v>
      </c>
      <c r="F1078" s="9" t="s">
        <v>2079</v>
      </c>
      <c r="G1078" s="9">
        <v>90</v>
      </c>
      <c r="H1078" s="9">
        <v>3</v>
      </c>
      <c r="I1078" s="9">
        <v>1.0149999999999999</v>
      </c>
      <c r="J1078" s="9">
        <v>103</v>
      </c>
      <c r="K1078" s="9" t="s">
        <v>424</v>
      </c>
      <c r="L1078" s="9"/>
      <c r="M1078" s="9"/>
      <c r="N1078" s="9" t="str">
        <f ca="1">IFERROR(__xludf.DUMMYFUNCTION("IFERROR(VALUE(REGEXEXTRACT(TO_TEXT($F1078), N$1 &amp; ""x(\d+)"")), """")
"),"")</f>
        <v/>
      </c>
      <c r="O1078" s="9" t="str">
        <f ca="1">IFERROR(__xludf.DUMMYFUNCTION("IFERROR(VALUE(REGEXEXTRACT(TO_TEXT($F1078), O$1 &amp; ""x(\d+)"")), """")"),"")</f>
        <v/>
      </c>
      <c r="P1078" s="9" t="str">
        <f ca="1">IFERROR(__xludf.DUMMYFUNCTION("IFERROR(VALUE(REGEXEXTRACT(TO_TEXT($F1078), P$1 &amp; ""x(\d+)"")), """")"),"")</f>
        <v/>
      </c>
      <c r="Q1078" s="9">
        <f ca="1">IFERROR(__xludf.DUMMYFUNCTION("IFERROR(VALUE(REGEXEXTRACT(TO_TEXT($F1078), Q$1 &amp; ""x(\d+)"")), """")"),1)</f>
        <v>1</v>
      </c>
      <c r="R1078" s="9">
        <f ca="1">IFERROR(__xludf.DUMMYFUNCTION("IFERROR(VALUE(REGEXEXTRACT(TO_TEXT($F1078), R$1 &amp; ""x(\d+)"")), """")"),1)</f>
        <v>1</v>
      </c>
      <c r="S1078" s="9" t="str">
        <f ca="1">IFERROR(__xludf.DUMMYFUNCTION("IFERROR(VALUE(REGEXEXTRACT(TO_TEXT($F1078), S$1 &amp; ""x(\d+)"")), """")"),"")</f>
        <v/>
      </c>
      <c r="T1078" s="9" t="str">
        <f ca="1">IFERROR(__xludf.DUMMYFUNCTION("IFERROR(VALUE(REGEXEXTRACT(TO_TEXT($F1078), T$1 &amp; ""x(\d+)"")), """")"),"")</f>
        <v/>
      </c>
      <c r="U1078" s="9" t="str">
        <f ca="1">IFERROR(__xludf.DUMMYFUNCTION("IFERROR(VALUE(REGEXEXTRACT(TO_TEXT($F1078), U$1 &amp; ""x(\d+)"")), """")"),"")</f>
        <v/>
      </c>
      <c r="V1078" s="9" t="str">
        <f ca="1">IFERROR(__xludf.DUMMYFUNCTION("IFERROR(VALUE(REGEXEXTRACT(TO_TEXT($F1078), V$1 &amp; ""x(\d+)"")), """")"),"")</f>
        <v/>
      </c>
      <c r="W1078" s="9"/>
      <c r="X1078" s="9"/>
      <c r="Y1078" s="9"/>
      <c r="Z1078" s="9"/>
    </row>
    <row r="1079" spans="1:26" ht="15.75" customHeight="1">
      <c r="A1079" s="9" t="s">
        <v>2139</v>
      </c>
      <c r="B1079" s="9" t="s">
        <v>2140</v>
      </c>
      <c r="C1079" s="9" t="s">
        <v>2137</v>
      </c>
      <c r="D1079" s="9" t="s">
        <v>48</v>
      </c>
      <c r="E1079" s="9" t="s">
        <v>11</v>
      </c>
      <c r="F1079" s="9" t="s">
        <v>1799</v>
      </c>
      <c r="G1079" s="9">
        <v>30</v>
      </c>
      <c r="H1079" s="9">
        <v>4</v>
      </c>
      <c r="I1079" s="9">
        <v>1.0149999999999999</v>
      </c>
      <c r="J1079" s="9">
        <v>52</v>
      </c>
      <c r="K1079" s="9" t="s">
        <v>424</v>
      </c>
      <c r="L1079" s="9"/>
      <c r="M1079" s="9"/>
      <c r="N1079" s="9" t="str">
        <f ca="1">IFERROR(__xludf.DUMMYFUNCTION("IFERROR(VALUE(REGEXEXTRACT(TO_TEXT($F1079), N$1 &amp; ""x(\d+)"")), """")
"),"")</f>
        <v/>
      </c>
      <c r="O1079" s="9" t="str">
        <f ca="1">IFERROR(__xludf.DUMMYFUNCTION("IFERROR(VALUE(REGEXEXTRACT(TO_TEXT($F1079), O$1 &amp; ""x(\d+)"")), """")"),"")</f>
        <v/>
      </c>
      <c r="P1079" s="9" t="str">
        <f ca="1">IFERROR(__xludf.DUMMYFUNCTION("IFERROR(VALUE(REGEXEXTRACT(TO_TEXT($F1079), P$1 &amp; ""x(\d+)"")), """")"),"")</f>
        <v/>
      </c>
      <c r="Q1079" s="9" t="str">
        <f ca="1">IFERROR(__xludf.DUMMYFUNCTION("IFERROR(VALUE(REGEXEXTRACT(TO_TEXT($F1079), Q$1 &amp; ""x(\d+)"")), """")"),"")</f>
        <v/>
      </c>
      <c r="R1079" s="9" t="str">
        <f ca="1">IFERROR(__xludf.DUMMYFUNCTION("IFERROR(VALUE(REGEXEXTRACT(TO_TEXT($F1079), R$1 &amp; ""x(\d+)"")), """")"),"")</f>
        <v/>
      </c>
      <c r="S1079" s="9" t="str">
        <f ca="1">IFERROR(__xludf.DUMMYFUNCTION("IFERROR(VALUE(REGEXEXTRACT(TO_TEXT($F1079), S$1 &amp; ""x(\d+)"")), """")"),"")</f>
        <v/>
      </c>
      <c r="T1079" s="9" t="str">
        <f ca="1">IFERROR(__xludf.DUMMYFUNCTION("IFERROR(VALUE(REGEXEXTRACT(TO_TEXT($F1079), T$1 &amp; ""x(\d+)"")), """")"),"")</f>
        <v/>
      </c>
      <c r="U1079" s="9" t="str">
        <f ca="1">IFERROR(__xludf.DUMMYFUNCTION("IFERROR(VALUE(REGEXEXTRACT(TO_TEXT($F1079), U$1 &amp; ""x(\d+)"")), """")"),"")</f>
        <v/>
      </c>
      <c r="V1079" s="9" t="str">
        <f ca="1">IFERROR(__xludf.DUMMYFUNCTION("IFERROR(VALUE(REGEXEXTRACT(TO_TEXT($F1079), V$1 &amp; ""x(\d+)"")), """")"),"")</f>
        <v/>
      </c>
      <c r="W1079" s="9"/>
      <c r="X1079" s="9"/>
      <c r="Y1079" s="9"/>
      <c r="Z1079" s="9"/>
    </row>
    <row r="1080" spans="1:26" ht="15.75" customHeight="1">
      <c r="A1080" s="9" t="s">
        <v>2139</v>
      </c>
      <c r="B1080" s="9" t="s">
        <v>2140</v>
      </c>
      <c r="C1080" s="9" t="s">
        <v>2137</v>
      </c>
      <c r="D1080" s="9" t="s">
        <v>48</v>
      </c>
      <c r="E1080" s="9" t="s">
        <v>12</v>
      </c>
      <c r="F1080" s="9" t="s">
        <v>2138</v>
      </c>
      <c r="G1080" s="9">
        <v>145</v>
      </c>
      <c r="H1080" s="9">
        <v>4</v>
      </c>
      <c r="I1080" s="9">
        <v>1.0149999999999999</v>
      </c>
      <c r="J1080" s="9">
        <v>52</v>
      </c>
      <c r="K1080" s="9" t="s">
        <v>424</v>
      </c>
      <c r="L1080" s="9" t="s">
        <v>1015</v>
      </c>
      <c r="M1080" s="9"/>
      <c r="N1080" s="9" t="str">
        <f ca="1">IFERROR(__xludf.DUMMYFUNCTION("IFERROR(VALUE(REGEXEXTRACT(TO_TEXT($F1080), N$1 &amp; ""x(\d+)"")), """")
"),"")</f>
        <v/>
      </c>
      <c r="O1080" s="9" t="str">
        <f ca="1">IFERROR(__xludf.DUMMYFUNCTION("IFERROR(VALUE(REGEXEXTRACT(TO_TEXT($F1080), O$1 &amp; ""x(\d+)"")), """")"),"")</f>
        <v/>
      </c>
      <c r="P1080" s="9">
        <f ca="1">IFERROR(__xludf.DUMMYFUNCTION("IFERROR(VALUE(REGEXEXTRACT(TO_TEXT($F1080), P$1 &amp; ""x(\d+)"")), """")"),1)</f>
        <v>1</v>
      </c>
      <c r="Q1080" s="9" t="str">
        <f ca="1">IFERROR(__xludf.DUMMYFUNCTION("IFERROR(VALUE(REGEXEXTRACT(TO_TEXT($F1080), Q$1 &amp; ""x(\d+)"")), """")"),"")</f>
        <v/>
      </c>
      <c r="R1080" s="9">
        <f ca="1">IFERROR(__xludf.DUMMYFUNCTION("IFERROR(VALUE(REGEXEXTRACT(TO_TEXT($F1080), R$1 &amp; ""x(\d+)"")), """")"),1)</f>
        <v>1</v>
      </c>
      <c r="S1080" s="9" t="str">
        <f ca="1">IFERROR(__xludf.DUMMYFUNCTION("IFERROR(VALUE(REGEXEXTRACT(TO_TEXT($F1080), S$1 &amp; ""x(\d+)"")), """")"),"")</f>
        <v/>
      </c>
      <c r="T1080" s="9" t="str">
        <f ca="1">IFERROR(__xludf.DUMMYFUNCTION("IFERROR(VALUE(REGEXEXTRACT(TO_TEXT($F1080), T$1 &amp; ""x(\d+)"")), """")"),"")</f>
        <v/>
      </c>
      <c r="U1080" s="9" t="str">
        <f ca="1">IFERROR(__xludf.DUMMYFUNCTION("IFERROR(VALUE(REGEXEXTRACT(TO_TEXT($F1080), U$1 &amp; ""x(\d+)"")), """")"),"")</f>
        <v/>
      </c>
      <c r="V1080" s="9" t="str">
        <f ca="1">IFERROR(__xludf.DUMMYFUNCTION("IFERROR(VALUE(REGEXEXTRACT(TO_TEXT($F1080), V$1 &amp; ""x(\d+)"")), """")"),"")</f>
        <v/>
      </c>
      <c r="W1080" s="9"/>
      <c r="X1080" s="9"/>
      <c r="Y1080" s="9"/>
      <c r="Z1080" s="9"/>
    </row>
    <row r="1081" spans="1:26" ht="15.75" customHeight="1">
      <c r="A1081" s="9" t="s">
        <v>2139</v>
      </c>
      <c r="B1081" s="9" t="s">
        <v>2140</v>
      </c>
      <c r="C1081" s="9" t="s">
        <v>2137</v>
      </c>
      <c r="D1081" s="9" t="s">
        <v>48</v>
      </c>
      <c r="E1081" s="9" t="s">
        <v>13</v>
      </c>
      <c r="F1081" s="9" t="s">
        <v>1348</v>
      </c>
      <c r="G1081" s="9">
        <v>90</v>
      </c>
      <c r="H1081" s="9">
        <v>4</v>
      </c>
      <c r="I1081" s="9">
        <v>1.0149999999999999</v>
      </c>
      <c r="J1081" s="9">
        <v>52</v>
      </c>
      <c r="K1081" s="9" t="s">
        <v>424</v>
      </c>
      <c r="L1081" s="9"/>
      <c r="M1081" s="9"/>
      <c r="N1081" s="9" t="str">
        <f ca="1">IFERROR(__xludf.DUMMYFUNCTION("IFERROR(VALUE(REGEXEXTRACT(TO_TEXT($F1081), N$1 &amp; ""x(\d+)"")), """")
"),"")</f>
        <v/>
      </c>
      <c r="O1081" s="9" t="str">
        <f ca="1">IFERROR(__xludf.DUMMYFUNCTION("IFERROR(VALUE(REGEXEXTRACT(TO_TEXT($F1081), O$1 &amp; ""x(\d+)"")), """")"),"")</f>
        <v/>
      </c>
      <c r="P1081" s="9">
        <f ca="1">IFERROR(__xludf.DUMMYFUNCTION("IFERROR(VALUE(REGEXEXTRACT(TO_TEXT($F1081), P$1 &amp; ""x(\d+)"")), """")"),1)</f>
        <v>1</v>
      </c>
      <c r="Q1081" s="9" t="str">
        <f ca="1">IFERROR(__xludf.DUMMYFUNCTION("IFERROR(VALUE(REGEXEXTRACT(TO_TEXT($F1081), Q$1 &amp; ""x(\d+)"")), """")"),"")</f>
        <v/>
      </c>
      <c r="R1081" s="9">
        <f ca="1">IFERROR(__xludf.DUMMYFUNCTION("IFERROR(VALUE(REGEXEXTRACT(TO_TEXT($F1081), R$1 &amp; ""x(\d+)"")), """")"),1)</f>
        <v>1</v>
      </c>
      <c r="S1081" s="9" t="str">
        <f ca="1">IFERROR(__xludf.DUMMYFUNCTION("IFERROR(VALUE(REGEXEXTRACT(TO_TEXT($F1081), S$1 &amp; ""x(\d+)"")), """")"),"")</f>
        <v/>
      </c>
      <c r="T1081" s="9" t="str">
        <f ca="1">IFERROR(__xludf.DUMMYFUNCTION("IFERROR(VALUE(REGEXEXTRACT(TO_TEXT($F1081), T$1 &amp; ""x(\d+)"")), """")"),"")</f>
        <v/>
      </c>
      <c r="U1081" s="9" t="str">
        <f ca="1">IFERROR(__xludf.DUMMYFUNCTION("IFERROR(VALUE(REGEXEXTRACT(TO_TEXT($F1081), U$1 &amp; ""x(\d+)"")), """")"),"")</f>
        <v/>
      </c>
      <c r="V1081" s="9" t="str">
        <f ca="1">IFERROR(__xludf.DUMMYFUNCTION("IFERROR(VALUE(REGEXEXTRACT(TO_TEXT($F1081), V$1 &amp; ""x(\d+)"")), """")"),"")</f>
        <v/>
      </c>
      <c r="W1081" s="9"/>
      <c r="X1081" s="9"/>
      <c r="Y1081" s="9"/>
      <c r="Z1081" s="9"/>
    </row>
    <row r="1082" spans="1:26" ht="15.75" customHeight="1">
      <c r="A1082" s="9" t="s">
        <v>2139</v>
      </c>
      <c r="B1082" s="9" t="s">
        <v>2140</v>
      </c>
      <c r="C1082" s="9" t="s">
        <v>2137</v>
      </c>
      <c r="D1082" s="9" t="s">
        <v>74</v>
      </c>
      <c r="E1082" s="9" t="s">
        <v>11</v>
      </c>
      <c r="F1082" s="9" t="s">
        <v>1204</v>
      </c>
      <c r="G1082" s="9">
        <v>30</v>
      </c>
      <c r="H1082" s="9">
        <v>3</v>
      </c>
      <c r="I1082" s="9">
        <v>1.0149999999999999</v>
      </c>
      <c r="J1082" s="9">
        <v>103</v>
      </c>
      <c r="K1082" s="9" t="s">
        <v>424</v>
      </c>
      <c r="L1082" s="9"/>
      <c r="M1082" s="9"/>
      <c r="N1082" s="9" t="str">
        <f ca="1">IFERROR(__xludf.DUMMYFUNCTION("IFERROR(VALUE(REGEXEXTRACT(TO_TEXT($F1082), N$1 &amp; ""x(\d+)"")), """")
"),"")</f>
        <v/>
      </c>
      <c r="O1082" s="9" t="str">
        <f ca="1">IFERROR(__xludf.DUMMYFUNCTION("IFERROR(VALUE(REGEXEXTRACT(TO_TEXT($F1082), O$1 &amp; ""x(\d+)"")), """")"),"")</f>
        <v/>
      </c>
      <c r="P1082" s="9" t="str">
        <f ca="1">IFERROR(__xludf.DUMMYFUNCTION("IFERROR(VALUE(REGEXEXTRACT(TO_TEXT($F1082), P$1 &amp; ""x(\d+)"")), """")"),"")</f>
        <v/>
      </c>
      <c r="Q1082" s="9" t="str">
        <f ca="1">IFERROR(__xludf.DUMMYFUNCTION("IFERROR(VALUE(REGEXEXTRACT(TO_TEXT($F1082), Q$1 &amp; ""x(\d+)"")), """")"),"")</f>
        <v/>
      </c>
      <c r="R1082" s="9" t="str">
        <f ca="1">IFERROR(__xludf.DUMMYFUNCTION("IFERROR(VALUE(REGEXEXTRACT(TO_TEXT($F1082), R$1 &amp; ""x(\d+)"")), """")"),"")</f>
        <v/>
      </c>
      <c r="S1082" s="9" t="str">
        <f ca="1">IFERROR(__xludf.DUMMYFUNCTION("IFERROR(VALUE(REGEXEXTRACT(TO_TEXT($F1082), S$1 &amp; ""x(\d+)"")), """")"),"")</f>
        <v/>
      </c>
      <c r="T1082" s="9" t="str">
        <f ca="1">IFERROR(__xludf.DUMMYFUNCTION("IFERROR(VALUE(REGEXEXTRACT(TO_TEXT($F1082), T$1 &amp; ""x(\d+)"")), """")"),"")</f>
        <v/>
      </c>
      <c r="U1082" s="9" t="str">
        <f ca="1">IFERROR(__xludf.DUMMYFUNCTION("IFERROR(VALUE(REGEXEXTRACT(TO_TEXT($F1082), U$1 &amp; ""x(\d+)"")), """")"),"")</f>
        <v/>
      </c>
      <c r="V1082" s="9" t="str">
        <f ca="1">IFERROR(__xludf.DUMMYFUNCTION("IFERROR(VALUE(REGEXEXTRACT(TO_TEXT($F1082), V$1 &amp; ""x(\d+)"")), """")"),"")</f>
        <v/>
      </c>
      <c r="W1082" s="9"/>
      <c r="X1082" s="9"/>
      <c r="Y1082" s="9"/>
      <c r="Z1082" s="9"/>
    </row>
    <row r="1083" spans="1:26" ht="15.75" customHeight="1">
      <c r="A1083" s="9" t="s">
        <v>2139</v>
      </c>
      <c r="B1083" s="9" t="s">
        <v>2140</v>
      </c>
      <c r="C1083" s="9" t="s">
        <v>2137</v>
      </c>
      <c r="D1083" s="9" t="s">
        <v>74</v>
      </c>
      <c r="E1083" s="9" t="s">
        <v>12</v>
      </c>
      <c r="F1083" s="9" t="s">
        <v>2078</v>
      </c>
      <c r="G1083" s="9">
        <v>170</v>
      </c>
      <c r="H1083" s="9">
        <v>3</v>
      </c>
      <c r="I1083" s="9">
        <v>1.0149999999999999</v>
      </c>
      <c r="J1083" s="9">
        <v>103</v>
      </c>
      <c r="K1083" s="9" t="s">
        <v>424</v>
      </c>
      <c r="L1083" s="9" t="s">
        <v>1015</v>
      </c>
      <c r="M1083" s="9"/>
      <c r="N1083" s="9" t="str">
        <f ca="1">IFERROR(__xludf.DUMMYFUNCTION("IFERROR(VALUE(REGEXEXTRACT(TO_TEXT($F1083), N$1 &amp; ""x(\d+)"")), """")
"),"")</f>
        <v/>
      </c>
      <c r="O1083" s="9" t="str">
        <f ca="1">IFERROR(__xludf.DUMMYFUNCTION("IFERROR(VALUE(REGEXEXTRACT(TO_TEXT($F1083), O$1 &amp; ""x(\d+)"")), """")"),"")</f>
        <v/>
      </c>
      <c r="P1083" s="9" t="str">
        <f ca="1">IFERROR(__xludf.DUMMYFUNCTION("IFERROR(VALUE(REGEXEXTRACT(TO_TEXT($F1083), P$1 &amp; ""x(\d+)"")), """")"),"")</f>
        <v/>
      </c>
      <c r="Q1083" s="9">
        <f ca="1">IFERROR(__xludf.DUMMYFUNCTION("IFERROR(VALUE(REGEXEXTRACT(TO_TEXT($F1083), Q$1 &amp; ""x(\d+)"")), """")"),1)</f>
        <v>1</v>
      </c>
      <c r="R1083" s="9">
        <f ca="1">IFERROR(__xludf.DUMMYFUNCTION("IFERROR(VALUE(REGEXEXTRACT(TO_TEXT($F1083), R$1 &amp; ""x(\d+)"")), """")"),1)</f>
        <v>1</v>
      </c>
      <c r="S1083" s="9" t="str">
        <f ca="1">IFERROR(__xludf.DUMMYFUNCTION("IFERROR(VALUE(REGEXEXTRACT(TO_TEXT($F1083), S$1 &amp; ""x(\d+)"")), """")"),"")</f>
        <v/>
      </c>
      <c r="T1083" s="9" t="str">
        <f ca="1">IFERROR(__xludf.DUMMYFUNCTION("IFERROR(VALUE(REGEXEXTRACT(TO_TEXT($F1083), T$1 &amp; ""x(\d+)"")), """")"),"")</f>
        <v/>
      </c>
      <c r="U1083" s="9" t="str">
        <f ca="1">IFERROR(__xludf.DUMMYFUNCTION("IFERROR(VALUE(REGEXEXTRACT(TO_TEXT($F1083), U$1 &amp; ""x(\d+)"")), """")"),"")</f>
        <v/>
      </c>
      <c r="V1083" s="9" t="str">
        <f ca="1">IFERROR(__xludf.DUMMYFUNCTION("IFERROR(VALUE(REGEXEXTRACT(TO_TEXT($F1083), V$1 &amp; ""x(\d+)"")), """")"),"")</f>
        <v/>
      </c>
      <c r="W1083" s="9"/>
      <c r="X1083" s="9"/>
      <c r="Y1083" s="9"/>
      <c r="Z1083" s="9"/>
    </row>
    <row r="1084" spans="1:26" ht="15.75" customHeight="1">
      <c r="A1084" s="9" t="s">
        <v>2139</v>
      </c>
      <c r="B1084" s="9" t="s">
        <v>2140</v>
      </c>
      <c r="C1084" s="9" t="s">
        <v>2137</v>
      </c>
      <c r="D1084" s="9" t="s">
        <v>74</v>
      </c>
      <c r="E1084" s="9" t="s">
        <v>13</v>
      </c>
      <c r="F1084" s="9" t="s">
        <v>2079</v>
      </c>
      <c r="G1084" s="9">
        <v>90</v>
      </c>
      <c r="H1084" s="9">
        <v>3</v>
      </c>
      <c r="I1084" s="9">
        <v>1.0149999999999999</v>
      </c>
      <c r="J1084" s="9">
        <v>103</v>
      </c>
      <c r="K1084" s="9" t="s">
        <v>424</v>
      </c>
      <c r="L1084" s="9"/>
      <c r="M1084" s="9"/>
      <c r="N1084" s="9" t="str">
        <f ca="1">IFERROR(__xludf.DUMMYFUNCTION("IFERROR(VALUE(REGEXEXTRACT(TO_TEXT($F1084), N$1 &amp; ""x(\d+)"")), """")
"),"")</f>
        <v/>
      </c>
      <c r="O1084" s="9" t="str">
        <f ca="1">IFERROR(__xludf.DUMMYFUNCTION("IFERROR(VALUE(REGEXEXTRACT(TO_TEXT($F1084), O$1 &amp; ""x(\d+)"")), """")"),"")</f>
        <v/>
      </c>
      <c r="P1084" s="9" t="str">
        <f ca="1">IFERROR(__xludf.DUMMYFUNCTION("IFERROR(VALUE(REGEXEXTRACT(TO_TEXT($F1084), P$1 &amp; ""x(\d+)"")), """")"),"")</f>
        <v/>
      </c>
      <c r="Q1084" s="9">
        <f ca="1">IFERROR(__xludf.DUMMYFUNCTION("IFERROR(VALUE(REGEXEXTRACT(TO_TEXT($F1084), Q$1 &amp; ""x(\d+)"")), """")"),1)</f>
        <v>1</v>
      </c>
      <c r="R1084" s="9">
        <f ca="1">IFERROR(__xludf.DUMMYFUNCTION("IFERROR(VALUE(REGEXEXTRACT(TO_TEXT($F1084), R$1 &amp; ""x(\d+)"")), """")"),1)</f>
        <v>1</v>
      </c>
      <c r="S1084" s="9" t="str">
        <f ca="1">IFERROR(__xludf.DUMMYFUNCTION("IFERROR(VALUE(REGEXEXTRACT(TO_TEXT($F1084), S$1 &amp; ""x(\d+)"")), """")"),"")</f>
        <v/>
      </c>
      <c r="T1084" s="9" t="str">
        <f ca="1">IFERROR(__xludf.DUMMYFUNCTION("IFERROR(VALUE(REGEXEXTRACT(TO_TEXT($F1084), T$1 &amp; ""x(\d+)"")), """")"),"")</f>
        <v/>
      </c>
      <c r="U1084" s="9" t="str">
        <f ca="1">IFERROR(__xludf.DUMMYFUNCTION("IFERROR(VALUE(REGEXEXTRACT(TO_TEXT($F1084), U$1 &amp; ""x(\d+)"")), """")"),"")</f>
        <v/>
      </c>
      <c r="V1084" s="9" t="str">
        <f ca="1">IFERROR(__xludf.DUMMYFUNCTION("IFERROR(VALUE(REGEXEXTRACT(TO_TEXT($F1084), V$1 &amp; ""x(\d+)"")), """")"),"")</f>
        <v/>
      </c>
      <c r="W1084" s="9"/>
      <c r="X1084" s="9"/>
      <c r="Y1084" s="9"/>
      <c r="Z1084" s="9"/>
    </row>
    <row r="1085" spans="1:26" ht="15.75" customHeight="1">
      <c r="A1085" s="9" t="s">
        <v>2141</v>
      </c>
      <c r="B1085" s="9" t="s">
        <v>1119</v>
      </c>
      <c r="C1085" s="9" t="s">
        <v>2142</v>
      </c>
      <c r="D1085" s="9" t="s">
        <v>48</v>
      </c>
      <c r="E1085" s="9" t="s">
        <v>11</v>
      </c>
      <c r="F1085" s="9" t="s">
        <v>1123</v>
      </c>
      <c r="G1085" s="9">
        <v>45</v>
      </c>
      <c r="H1085" s="9">
        <v>3</v>
      </c>
      <c r="I1085" s="9">
        <v>1.0149999999999999</v>
      </c>
      <c r="J1085" s="9">
        <v>52</v>
      </c>
      <c r="K1085" s="9" t="s">
        <v>424</v>
      </c>
      <c r="L1085" s="9"/>
      <c r="M1085" s="9"/>
      <c r="N1085" s="9" t="str">
        <f ca="1">IFERROR(__xludf.DUMMYFUNCTION("IFERROR(VALUE(REGEXEXTRACT(TO_TEXT($F1085), N$1 &amp; ""x(\d+)"")), """")
"),"")</f>
        <v/>
      </c>
      <c r="O1085" s="9" t="str">
        <f ca="1">IFERROR(__xludf.DUMMYFUNCTION("IFERROR(VALUE(REGEXEXTRACT(TO_TEXT($F1085), O$1 &amp; ""x(\d+)"")), """")"),"")</f>
        <v/>
      </c>
      <c r="P1085" s="9" t="str">
        <f ca="1">IFERROR(__xludf.DUMMYFUNCTION("IFERROR(VALUE(REGEXEXTRACT(TO_TEXT($F1085), P$1 &amp; ""x(\d+)"")), """")"),"")</f>
        <v/>
      </c>
      <c r="Q1085" s="9" t="str">
        <f ca="1">IFERROR(__xludf.DUMMYFUNCTION("IFERROR(VALUE(REGEXEXTRACT(TO_TEXT($F1085), Q$1 &amp; ""x(\d+)"")), """")"),"")</f>
        <v/>
      </c>
      <c r="R1085" s="9" t="str">
        <f ca="1">IFERROR(__xludf.DUMMYFUNCTION("IFERROR(VALUE(REGEXEXTRACT(TO_TEXT($F1085), R$1 &amp; ""x(\d+)"")), """")"),"")</f>
        <v/>
      </c>
      <c r="S1085" s="9" t="str">
        <f ca="1">IFERROR(__xludf.DUMMYFUNCTION("IFERROR(VALUE(REGEXEXTRACT(TO_TEXT($F1085), S$1 &amp; ""x(\d+)"")), """")"),"")</f>
        <v/>
      </c>
      <c r="T1085" s="9" t="str">
        <f ca="1">IFERROR(__xludf.DUMMYFUNCTION("IFERROR(VALUE(REGEXEXTRACT(TO_TEXT($F1085), T$1 &amp; ""x(\d+)"")), """")"),"")</f>
        <v/>
      </c>
      <c r="U1085" s="9" t="str">
        <f ca="1">IFERROR(__xludf.DUMMYFUNCTION("IFERROR(VALUE(REGEXEXTRACT(TO_TEXT($F1085), U$1 &amp; ""x(\d+)"")), """")"),"")</f>
        <v/>
      </c>
      <c r="V1085" s="9" t="str">
        <f ca="1">IFERROR(__xludf.DUMMYFUNCTION("IFERROR(VALUE(REGEXEXTRACT(TO_TEXT($F1085), V$1 &amp; ""x(\d+)"")), """")"),"")</f>
        <v/>
      </c>
      <c r="W1085" s="9"/>
      <c r="X1085" s="9"/>
      <c r="Y1085" s="9"/>
      <c r="Z1085" s="9"/>
    </row>
    <row r="1086" spans="1:26" ht="15.75" customHeight="1">
      <c r="A1086" s="9" t="s">
        <v>2141</v>
      </c>
      <c r="B1086" s="9" t="s">
        <v>1119</v>
      </c>
      <c r="C1086" s="9" t="s">
        <v>2142</v>
      </c>
      <c r="D1086" s="9" t="s">
        <v>48</v>
      </c>
      <c r="E1086" s="9" t="s">
        <v>12</v>
      </c>
      <c r="F1086" s="9" t="s">
        <v>1502</v>
      </c>
      <c r="G1086" s="9">
        <v>130</v>
      </c>
      <c r="H1086" s="9">
        <v>3</v>
      </c>
      <c r="I1086" s="9">
        <v>1.0149999999999999</v>
      </c>
      <c r="J1086" s="9">
        <v>52</v>
      </c>
      <c r="K1086" s="9" t="s">
        <v>424</v>
      </c>
      <c r="L1086" s="9" t="s">
        <v>1015</v>
      </c>
      <c r="M1086" s="9"/>
      <c r="N1086" s="9" t="str">
        <f ca="1">IFERROR(__xludf.DUMMYFUNCTION("IFERROR(VALUE(REGEXEXTRACT(TO_TEXT($F1086), N$1 &amp; ""x(\d+)"")), """")
"),"")</f>
        <v/>
      </c>
      <c r="O1086" s="9" t="str">
        <f ca="1">IFERROR(__xludf.DUMMYFUNCTION("IFERROR(VALUE(REGEXEXTRACT(TO_TEXT($F1086), O$1 &amp; ""x(\d+)"")), """")"),"")</f>
        <v/>
      </c>
      <c r="P1086" s="9">
        <f ca="1">IFERROR(__xludf.DUMMYFUNCTION("IFERROR(VALUE(REGEXEXTRACT(TO_TEXT($F1086), P$1 &amp; ""x(\d+)"")), """")"),1)</f>
        <v>1</v>
      </c>
      <c r="Q1086" s="9" t="str">
        <f ca="1">IFERROR(__xludf.DUMMYFUNCTION("IFERROR(VALUE(REGEXEXTRACT(TO_TEXT($F1086), Q$1 &amp; ""x(\d+)"")), """")"),"")</f>
        <v/>
      </c>
      <c r="R1086" s="9" t="str">
        <f ca="1">IFERROR(__xludf.DUMMYFUNCTION("IFERROR(VALUE(REGEXEXTRACT(TO_TEXT($F1086), R$1 &amp; ""x(\d+)"")), """")"),"")</f>
        <v/>
      </c>
      <c r="S1086" s="9" t="str">
        <f ca="1">IFERROR(__xludf.DUMMYFUNCTION("IFERROR(VALUE(REGEXEXTRACT(TO_TEXT($F1086), S$1 &amp; ""x(\d+)"")), """")"),"")</f>
        <v/>
      </c>
      <c r="T1086" s="9" t="str">
        <f ca="1">IFERROR(__xludf.DUMMYFUNCTION("IFERROR(VALUE(REGEXEXTRACT(TO_TEXT($F1086), T$1 &amp; ""x(\d+)"")), """")"),"")</f>
        <v/>
      </c>
      <c r="U1086" s="9" t="str">
        <f ca="1">IFERROR(__xludf.DUMMYFUNCTION("IFERROR(VALUE(REGEXEXTRACT(TO_TEXT($F1086), U$1 &amp; ""x(\d+)"")), """")"),"")</f>
        <v/>
      </c>
      <c r="V1086" s="9" t="str">
        <f ca="1">IFERROR(__xludf.DUMMYFUNCTION("IFERROR(VALUE(REGEXEXTRACT(TO_TEXT($F1086), V$1 &amp; ""x(\d+)"")), """")"),"")</f>
        <v/>
      </c>
      <c r="W1086" s="9"/>
      <c r="X1086" s="9"/>
      <c r="Y1086" s="9"/>
      <c r="Z1086" s="9"/>
    </row>
    <row r="1087" spans="1:26" ht="15.75" customHeight="1">
      <c r="A1087" s="9" t="s">
        <v>2141</v>
      </c>
      <c r="B1087" s="9" t="s">
        <v>1119</v>
      </c>
      <c r="C1087" s="9" t="s">
        <v>2142</v>
      </c>
      <c r="D1087" s="9" t="s">
        <v>48</v>
      </c>
      <c r="E1087" s="9" t="s">
        <v>13</v>
      </c>
      <c r="F1087" s="9" t="s">
        <v>1206</v>
      </c>
      <c r="G1087" s="9">
        <v>30</v>
      </c>
      <c r="H1087" s="9">
        <v>3</v>
      </c>
      <c r="I1087" s="9">
        <v>1.0149999999999999</v>
      </c>
      <c r="J1087" s="9">
        <v>52</v>
      </c>
      <c r="K1087" s="9" t="s">
        <v>424</v>
      </c>
      <c r="L1087" s="9"/>
      <c r="M1087" s="9"/>
      <c r="N1087" s="9" t="str">
        <f ca="1">IFERROR(__xludf.DUMMYFUNCTION("IFERROR(VALUE(REGEXEXTRACT(TO_TEXT($F1087), N$1 &amp; ""x(\d+)"")), """")
"),"")</f>
        <v/>
      </c>
      <c r="O1087" s="9" t="str">
        <f ca="1">IFERROR(__xludf.DUMMYFUNCTION("IFERROR(VALUE(REGEXEXTRACT(TO_TEXT($F1087), O$1 &amp; ""x(\d+)"")), """")"),"")</f>
        <v/>
      </c>
      <c r="P1087" s="9">
        <f ca="1">IFERROR(__xludf.DUMMYFUNCTION("IFERROR(VALUE(REGEXEXTRACT(TO_TEXT($F1087), P$1 &amp; ""x(\d+)"")), """")"),1)</f>
        <v>1</v>
      </c>
      <c r="Q1087" s="9" t="str">
        <f ca="1">IFERROR(__xludf.DUMMYFUNCTION("IFERROR(VALUE(REGEXEXTRACT(TO_TEXT($F1087), Q$1 &amp; ""x(\d+)"")), """")"),"")</f>
        <v/>
      </c>
      <c r="R1087" s="9" t="str">
        <f ca="1">IFERROR(__xludf.DUMMYFUNCTION("IFERROR(VALUE(REGEXEXTRACT(TO_TEXT($F1087), R$1 &amp; ""x(\d+)"")), """")"),"")</f>
        <v/>
      </c>
      <c r="S1087" s="9" t="str">
        <f ca="1">IFERROR(__xludf.DUMMYFUNCTION("IFERROR(VALUE(REGEXEXTRACT(TO_TEXT($F1087), S$1 &amp; ""x(\d+)"")), """")"),"")</f>
        <v/>
      </c>
      <c r="T1087" s="9" t="str">
        <f ca="1">IFERROR(__xludf.DUMMYFUNCTION("IFERROR(VALUE(REGEXEXTRACT(TO_TEXT($F1087), T$1 &amp; ""x(\d+)"")), """")"),"")</f>
        <v/>
      </c>
      <c r="U1087" s="9" t="str">
        <f ca="1">IFERROR(__xludf.DUMMYFUNCTION("IFERROR(VALUE(REGEXEXTRACT(TO_TEXT($F1087), U$1 &amp; ""x(\d+)"")), """")"),"")</f>
        <v/>
      </c>
      <c r="V1087" s="9" t="str">
        <f ca="1">IFERROR(__xludf.DUMMYFUNCTION("IFERROR(VALUE(REGEXEXTRACT(TO_TEXT($F1087), V$1 &amp; ""x(\d+)"")), """")"),"")</f>
        <v/>
      </c>
      <c r="W1087" s="9"/>
      <c r="X1087" s="9"/>
      <c r="Y1087" s="9"/>
      <c r="Z1087" s="9"/>
    </row>
    <row r="1088" spans="1:26" ht="15.75" customHeight="1">
      <c r="A1088" s="9" t="s">
        <v>2143</v>
      </c>
      <c r="B1088" s="9" t="s">
        <v>2027</v>
      </c>
      <c r="C1088" s="9" t="s">
        <v>479</v>
      </c>
      <c r="D1088" s="9" t="s">
        <v>33</v>
      </c>
      <c r="E1088" s="9" t="s">
        <v>11</v>
      </c>
      <c r="F1088" s="9" t="s">
        <v>2028</v>
      </c>
      <c r="G1088" s="9">
        <v>20</v>
      </c>
      <c r="H1088" s="9">
        <v>1</v>
      </c>
      <c r="I1088" s="9">
        <v>1.0149999999999999</v>
      </c>
      <c r="J1088" s="9">
        <v>110</v>
      </c>
      <c r="K1088" s="9" t="s">
        <v>442</v>
      </c>
      <c r="L1088" s="9"/>
      <c r="M1088" s="9"/>
      <c r="N1088" s="9" t="str">
        <f ca="1">IFERROR(__xludf.DUMMYFUNCTION("IFERROR(VALUE(REGEXEXTRACT(TO_TEXT($F1088), N$1 &amp; ""x(\d+)"")), """")
"),"")</f>
        <v/>
      </c>
      <c r="O1088" s="9" t="str">
        <f ca="1">IFERROR(__xludf.DUMMYFUNCTION("IFERROR(VALUE(REGEXEXTRACT(TO_TEXT($F1088), O$1 &amp; ""x(\d+)"")), """")"),"")</f>
        <v/>
      </c>
      <c r="P1088" s="9" t="str">
        <f ca="1">IFERROR(__xludf.DUMMYFUNCTION("IFERROR(VALUE(REGEXEXTRACT(TO_TEXT($F1088), P$1 &amp; ""x(\d+)"")), """")"),"")</f>
        <v/>
      </c>
      <c r="Q1088" s="9" t="str">
        <f ca="1">IFERROR(__xludf.DUMMYFUNCTION("IFERROR(VALUE(REGEXEXTRACT(TO_TEXT($F1088), Q$1 &amp; ""x(\d+)"")), """")"),"")</f>
        <v/>
      </c>
      <c r="R1088" s="9" t="str">
        <f ca="1">IFERROR(__xludf.DUMMYFUNCTION("IFERROR(VALUE(REGEXEXTRACT(TO_TEXT($F1088), R$1 &amp; ""x(\d+)"")), """")"),"")</f>
        <v/>
      </c>
      <c r="S1088" s="9" t="str">
        <f ca="1">IFERROR(__xludf.DUMMYFUNCTION("IFERROR(VALUE(REGEXEXTRACT(TO_TEXT($F1088), S$1 &amp; ""x(\d+)"")), """")"),"")</f>
        <v/>
      </c>
      <c r="T1088" s="9" t="str">
        <f ca="1">IFERROR(__xludf.DUMMYFUNCTION("IFERROR(VALUE(REGEXEXTRACT(TO_TEXT($F1088), T$1 &amp; ""x(\d+)"")), """")"),"")</f>
        <v/>
      </c>
      <c r="U1088" s="9" t="str">
        <f ca="1">IFERROR(__xludf.DUMMYFUNCTION("IFERROR(VALUE(REGEXEXTRACT(TO_TEXT($F1088), U$1 &amp; ""x(\d+)"")), """")"),"")</f>
        <v/>
      </c>
      <c r="V1088" s="9" t="str">
        <f ca="1">IFERROR(__xludf.DUMMYFUNCTION("IFERROR(VALUE(REGEXEXTRACT(TO_TEXT($F1088), V$1 &amp; ""x(\d+)"")), """")"),"")</f>
        <v/>
      </c>
      <c r="W1088" s="9"/>
      <c r="X1088" s="9"/>
      <c r="Y1088" s="9"/>
      <c r="Z1088" s="9"/>
    </row>
    <row r="1089" spans="1:26" ht="15.75" customHeight="1">
      <c r="A1089" s="9" t="s">
        <v>2143</v>
      </c>
      <c r="B1089" s="9" t="s">
        <v>2027</v>
      </c>
      <c r="C1089" s="9" t="s">
        <v>479</v>
      </c>
      <c r="D1089" s="9" t="s">
        <v>33</v>
      </c>
      <c r="E1089" s="9" t="s">
        <v>12</v>
      </c>
      <c r="F1089" s="9" t="s">
        <v>2029</v>
      </c>
      <c r="G1089" s="9">
        <v>130</v>
      </c>
      <c r="H1089" s="9">
        <v>1</v>
      </c>
      <c r="I1089" s="9">
        <v>1.0149999999999999</v>
      </c>
      <c r="J1089" s="9">
        <v>110</v>
      </c>
      <c r="K1089" s="9" t="s">
        <v>442</v>
      </c>
      <c r="L1089" s="9"/>
      <c r="M1089" s="9"/>
      <c r="N1089" s="9" t="str">
        <f ca="1">IFERROR(__xludf.DUMMYFUNCTION("IFERROR(VALUE(REGEXEXTRACT(TO_TEXT($F1089), N$1 &amp; ""x(\d+)"")), """")
"),"")</f>
        <v/>
      </c>
      <c r="O1089" s="9" t="str">
        <f ca="1">IFERROR(__xludf.DUMMYFUNCTION("IFERROR(VALUE(REGEXEXTRACT(TO_TEXT($F1089), O$1 &amp; ""x(\d+)"")), """")"),"")</f>
        <v/>
      </c>
      <c r="P1089" s="9" t="str">
        <f ca="1">IFERROR(__xludf.DUMMYFUNCTION("IFERROR(VALUE(REGEXEXTRACT(TO_TEXT($F1089), P$1 &amp; ""x(\d+)"")), """")"),"")</f>
        <v/>
      </c>
      <c r="Q1089" s="9" t="str">
        <f ca="1">IFERROR(__xludf.DUMMYFUNCTION("IFERROR(VALUE(REGEXEXTRACT(TO_TEXT($F1089), Q$1 &amp; ""x(\d+)"")), """")"),"")</f>
        <v/>
      </c>
      <c r="R1089" s="9">
        <f ca="1">IFERROR(__xludf.DUMMYFUNCTION("IFERROR(VALUE(REGEXEXTRACT(TO_TEXT($F1089), R$1 &amp; ""x(\d+)"")), """")"),1)</f>
        <v>1</v>
      </c>
      <c r="S1089" s="9" t="str">
        <f ca="1">IFERROR(__xludf.DUMMYFUNCTION("IFERROR(VALUE(REGEXEXTRACT(TO_TEXT($F1089), S$1 &amp; ""x(\d+)"")), """")"),"")</f>
        <v/>
      </c>
      <c r="T1089" s="9" t="str">
        <f ca="1">IFERROR(__xludf.DUMMYFUNCTION("IFERROR(VALUE(REGEXEXTRACT(TO_TEXT($F1089), T$1 &amp; ""x(\d+)"")), """")"),"")</f>
        <v/>
      </c>
      <c r="U1089" s="9" t="str">
        <f ca="1">IFERROR(__xludf.DUMMYFUNCTION("IFERROR(VALUE(REGEXEXTRACT(TO_TEXT($F1089), U$1 &amp; ""x(\d+)"")), """")"),"")</f>
        <v/>
      </c>
      <c r="V1089" s="9" t="str">
        <f ca="1">IFERROR(__xludf.DUMMYFUNCTION("IFERROR(VALUE(REGEXEXTRACT(TO_TEXT($F1089), V$1 &amp; ""x(\d+)"")), """")"),"")</f>
        <v/>
      </c>
      <c r="W1089" s="9"/>
      <c r="X1089" s="9"/>
      <c r="Y1089" s="9"/>
      <c r="Z1089" s="9"/>
    </row>
    <row r="1090" spans="1:26" ht="15.75" customHeight="1">
      <c r="A1090" s="9" t="s">
        <v>2143</v>
      </c>
      <c r="B1090" s="9" t="s">
        <v>2027</v>
      </c>
      <c r="C1090" s="9" t="s">
        <v>479</v>
      </c>
      <c r="D1090" s="9" t="s">
        <v>33</v>
      </c>
      <c r="E1090" s="9" t="s">
        <v>13</v>
      </c>
      <c r="F1090" s="9" t="s">
        <v>2030</v>
      </c>
      <c r="G1090" s="9">
        <v>15</v>
      </c>
      <c r="H1090" s="9">
        <v>1</v>
      </c>
      <c r="I1090" s="9">
        <v>1.0149999999999999</v>
      </c>
      <c r="J1090" s="9">
        <v>110</v>
      </c>
      <c r="K1090" s="9" t="s">
        <v>442</v>
      </c>
      <c r="L1090" s="9"/>
      <c r="M1090" s="9"/>
      <c r="N1090" s="9" t="str">
        <f ca="1">IFERROR(__xludf.DUMMYFUNCTION("IFERROR(VALUE(REGEXEXTRACT(TO_TEXT($F1090), N$1 &amp; ""x(\d+)"")), """")
"),"")</f>
        <v/>
      </c>
      <c r="O1090" s="9" t="str">
        <f ca="1">IFERROR(__xludf.DUMMYFUNCTION("IFERROR(VALUE(REGEXEXTRACT(TO_TEXT($F1090), O$1 &amp; ""x(\d+)"")), """")"),"")</f>
        <v/>
      </c>
      <c r="P1090" s="9" t="str">
        <f ca="1">IFERROR(__xludf.DUMMYFUNCTION("IFERROR(VALUE(REGEXEXTRACT(TO_TEXT($F1090), P$1 &amp; ""x(\d+)"")), """")"),"")</f>
        <v/>
      </c>
      <c r="Q1090" s="9" t="str">
        <f ca="1">IFERROR(__xludf.DUMMYFUNCTION("IFERROR(VALUE(REGEXEXTRACT(TO_TEXT($F1090), Q$1 &amp; ""x(\d+)"")), """")"),"")</f>
        <v/>
      </c>
      <c r="R1090" s="9">
        <f ca="1">IFERROR(__xludf.DUMMYFUNCTION("IFERROR(VALUE(REGEXEXTRACT(TO_TEXT($F1090), R$1 &amp; ""x(\d+)"")), """")"),1)</f>
        <v>1</v>
      </c>
      <c r="S1090" s="9" t="str">
        <f ca="1">IFERROR(__xludf.DUMMYFUNCTION("IFERROR(VALUE(REGEXEXTRACT(TO_TEXT($F1090), S$1 &amp; ""x(\d+)"")), """")"),"")</f>
        <v/>
      </c>
      <c r="T1090" s="9" t="str">
        <f ca="1">IFERROR(__xludf.DUMMYFUNCTION("IFERROR(VALUE(REGEXEXTRACT(TO_TEXT($F1090), T$1 &amp; ""x(\d+)"")), """")"),"")</f>
        <v/>
      </c>
      <c r="U1090" s="9" t="str">
        <f ca="1">IFERROR(__xludf.DUMMYFUNCTION("IFERROR(VALUE(REGEXEXTRACT(TO_TEXT($F1090), U$1 &amp; ""x(\d+)"")), """")"),"")</f>
        <v/>
      </c>
      <c r="V1090" s="9" t="str">
        <f ca="1">IFERROR(__xludf.DUMMYFUNCTION("IFERROR(VALUE(REGEXEXTRACT(TO_TEXT($F1090), V$1 &amp; ""x(\d+)"")), """")"),"")</f>
        <v/>
      </c>
      <c r="W1090" s="9"/>
      <c r="X1090" s="9"/>
      <c r="Y1090" s="9"/>
      <c r="Z1090" s="9"/>
    </row>
    <row r="1091" spans="1:26" ht="15.75" customHeight="1">
      <c r="A1091" s="9" t="s">
        <v>2143</v>
      </c>
      <c r="B1091" s="9" t="s">
        <v>2027</v>
      </c>
      <c r="C1091" s="9" t="s">
        <v>479</v>
      </c>
      <c r="D1091" s="9" t="s">
        <v>40</v>
      </c>
      <c r="E1091" s="9" t="s">
        <v>11</v>
      </c>
      <c r="F1091" s="9" t="s">
        <v>1533</v>
      </c>
      <c r="G1091" s="9">
        <v>20</v>
      </c>
      <c r="H1091" s="9">
        <v>2</v>
      </c>
      <c r="I1091" s="9">
        <v>1.0149999999999999</v>
      </c>
      <c r="J1091" s="9">
        <v>412</v>
      </c>
      <c r="K1091" s="9" t="s">
        <v>442</v>
      </c>
      <c r="L1091" s="9"/>
      <c r="M1091" s="9"/>
      <c r="N1091" s="9" t="str">
        <f ca="1">IFERROR(__xludf.DUMMYFUNCTION("IFERROR(VALUE(REGEXEXTRACT(TO_TEXT($F1091), N$1 &amp; ""x(\d+)"")), """")
"),"")</f>
        <v/>
      </c>
      <c r="O1091" s="9" t="str">
        <f ca="1">IFERROR(__xludf.DUMMYFUNCTION("IFERROR(VALUE(REGEXEXTRACT(TO_TEXT($F1091), O$1 &amp; ""x(\d+)"")), """")"),"")</f>
        <v/>
      </c>
      <c r="P1091" s="9" t="str">
        <f ca="1">IFERROR(__xludf.DUMMYFUNCTION("IFERROR(VALUE(REGEXEXTRACT(TO_TEXT($F1091), P$1 &amp; ""x(\d+)"")), """")"),"")</f>
        <v/>
      </c>
      <c r="Q1091" s="9" t="str">
        <f ca="1">IFERROR(__xludf.DUMMYFUNCTION("IFERROR(VALUE(REGEXEXTRACT(TO_TEXT($F1091), Q$1 &amp; ""x(\d+)"")), """")"),"")</f>
        <v/>
      </c>
      <c r="R1091" s="9" t="str">
        <f ca="1">IFERROR(__xludf.DUMMYFUNCTION("IFERROR(VALUE(REGEXEXTRACT(TO_TEXT($F1091), R$1 &amp; ""x(\d+)"")), """")"),"")</f>
        <v/>
      </c>
      <c r="S1091" s="9" t="str">
        <f ca="1">IFERROR(__xludf.DUMMYFUNCTION("IFERROR(VALUE(REGEXEXTRACT(TO_TEXT($F1091), S$1 &amp; ""x(\d+)"")), """")"),"")</f>
        <v/>
      </c>
      <c r="T1091" s="9" t="str">
        <f ca="1">IFERROR(__xludf.DUMMYFUNCTION("IFERROR(VALUE(REGEXEXTRACT(TO_TEXT($F1091), T$1 &amp; ""x(\d+)"")), """")"),"")</f>
        <v/>
      </c>
      <c r="U1091" s="9" t="str">
        <f ca="1">IFERROR(__xludf.DUMMYFUNCTION("IFERROR(VALUE(REGEXEXTRACT(TO_TEXT($F1091), U$1 &amp; ""x(\d+)"")), """")"),"")</f>
        <v/>
      </c>
      <c r="V1091" s="9" t="str">
        <f ca="1">IFERROR(__xludf.DUMMYFUNCTION("IFERROR(VALUE(REGEXEXTRACT(TO_TEXT($F1091), V$1 &amp; ""x(\d+)"")), """")"),"")</f>
        <v/>
      </c>
      <c r="W1091" s="9"/>
      <c r="X1091" s="9"/>
      <c r="Y1091" s="9"/>
      <c r="Z1091" s="9"/>
    </row>
    <row r="1092" spans="1:26" ht="15.75" customHeight="1">
      <c r="A1092" s="9" t="s">
        <v>2143</v>
      </c>
      <c r="B1092" s="9" t="s">
        <v>2027</v>
      </c>
      <c r="C1092" s="9" t="s">
        <v>479</v>
      </c>
      <c r="D1092" s="9" t="s">
        <v>40</v>
      </c>
      <c r="E1092" s="9" t="s">
        <v>12</v>
      </c>
      <c r="F1092" s="9" t="s">
        <v>2031</v>
      </c>
      <c r="G1092" s="9">
        <v>160</v>
      </c>
      <c r="H1092" s="9">
        <v>2</v>
      </c>
      <c r="I1092" s="9">
        <v>1.0149999999999999</v>
      </c>
      <c r="J1092" s="9">
        <v>412</v>
      </c>
      <c r="K1092" s="9" t="s">
        <v>442</v>
      </c>
      <c r="L1092" s="9"/>
      <c r="M1092" s="9"/>
      <c r="N1092" s="9" t="str">
        <f ca="1">IFERROR(__xludf.DUMMYFUNCTION("IFERROR(VALUE(REGEXEXTRACT(TO_TEXT($F1092), N$1 &amp; ""x(\d+)"")), """")
"),"")</f>
        <v/>
      </c>
      <c r="O1092" s="9" t="str">
        <f ca="1">IFERROR(__xludf.DUMMYFUNCTION("IFERROR(VALUE(REGEXEXTRACT(TO_TEXT($F1092), O$1 &amp; ""x(\d+)"")), """")"),"")</f>
        <v/>
      </c>
      <c r="P1092" s="9" t="str">
        <f ca="1">IFERROR(__xludf.DUMMYFUNCTION("IFERROR(VALUE(REGEXEXTRACT(TO_TEXT($F1092), P$1 &amp; ""x(\d+)"")), """")"),"")</f>
        <v/>
      </c>
      <c r="Q1092" s="9" t="str">
        <f ca="1">IFERROR(__xludf.DUMMYFUNCTION("IFERROR(VALUE(REGEXEXTRACT(TO_TEXT($F1092), Q$1 &amp; ""x(\d+)"")), """")"),"")</f>
        <v/>
      </c>
      <c r="R1092" s="9" t="str">
        <f ca="1">IFERROR(__xludf.DUMMYFUNCTION("IFERROR(VALUE(REGEXEXTRACT(TO_TEXT($F1092), R$1 &amp; ""x(\d+)"")), """")"),"")</f>
        <v/>
      </c>
      <c r="S1092" s="9" t="str">
        <f ca="1">IFERROR(__xludf.DUMMYFUNCTION("IFERROR(VALUE(REGEXEXTRACT(TO_TEXT($F1092), S$1 &amp; ""x(\d+)"")), """")"),"")</f>
        <v/>
      </c>
      <c r="T1092" s="9">
        <f ca="1">IFERROR(__xludf.DUMMYFUNCTION("IFERROR(VALUE(REGEXEXTRACT(TO_TEXT($F1092), T$1 &amp; ""x(\d+)"")), """")"),1)</f>
        <v>1</v>
      </c>
      <c r="U1092" s="9" t="str">
        <f ca="1">IFERROR(__xludf.DUMMYFUNCTION("IFERROR(VALUE(REGEXEXTRACT(TO_TEXT($F1092), U$1 &amp; ""x(\d+)"")), """")"),"")</f>
        <v/>
      </c>
      <c r="V1092" s="9" t="str">
        <f ca="1">IFERROR(__xludf.DUMMYFUNCTION("IFERROR(VALUE(REGEXEXTRACT(TO_TEXT($F1092), V$1 &amp; ""x(\d+)"")), """")"),"")</f>
        <v/>
      </c>
      <c r="W1092" s="9"/>
      <c r="X1092" s="9"/>
      <c r="Y1092" s="9"/>
      <c r="Z1092" s="9"/>
    </row>
    <row r="1093" spans="1:26" ht="15.75" customHeight="1">
      <c r="A1093" s="9" t="s">
        <v>2143</v>
      </c>
      <c r="B1093" s="9" t="s">
        <v>2027</v>
      </c>
      <c r="C1093" s="9" t="s">
        <v>479</v>
      </c>
      <c r="D1093" s="9" t="s">
        <v>40</v>
      </c>
      <c r="E1093" s="9" t="s">
        <v>13</v>
      </c>
      <c r="F1093" s="9" t="s">
        <v>1031</v>
      </c>
      <c r="G1093" s="9">
        <v>30</v>
      </c>
      <c r="H1093" s="9">
        <v>2</v>
      </c>
      <c r="I1093" s="9">
        <v>1.0149999999999999</v>
      </c>
      <c r="J1093" s="9">
        <v>412</v>
      </c>
      <c r="K1093" s="9" t="s">
        <v>442</v>
      </c>
      <c r="L1093" s="9"/>
      <c r="M1093" s="9"/>
      <c r="N1093" s="9" t="str">
        <f ca="1">IFERROR(__xludf.DUMMYFUNCTION("IFERROR(VALUE(REGEXEXTRACT(TO_TEXT($F1093), N$1 &amp; ""x(\d+)"")), """")
"),"")</f>
        <v/>
      </c>
      <c r="O1093" s="9" t="str">
        <f ca="1">IFERROR(__xludf.DUMMYFUNCTION("IFERROR(VALUE(REGEXEXTRACT(TO_TEXT($F1093), O$1 &amp; ""x(\d+)"")), """")"),"")</f>
        <v/>
      </c>
      <c r="P1093" s="9" t="str">
        <f ca="1">IFERROR(__xludf.DUMMYFUNCTION("IFERROR(VALUE(REGEXEXTRACT(TO_TEXT($F1093), P$1 &amp; ""x(\d+)"")), """")"),"")</f>
        <v/>
      </c>
      <c r="Q1093" s="9" t="str">
        <f ca="1">IFERROR(__xludf.DUMMYFUNCTION("IFERROR(VALUE(REGEXEXTRACT(TO_TEXT($F1093), Q$1 &amp; ""x(\d+)"")), """")"),"")</f>
        <v/>
      </c>
      <c r="R1093" s="9" t="str">
        <f ca="1">IFERROR(__xludf.DUMMYFUNCTION("IFERROR(VALUE(REGEXEXTRACT(TO_TEXT($F1093), R$1 &amp; ""x(\d+)"")), """")"),"")</f>
        <v/>
      </c>
      <c r="S1093" s="9" t="str">
        <f ca="1">IFERROR(__xludf.DUMMYFUNCTION("IFERROR(VALUE(REGEXEXTRACT(TO_TEXT($F1093), S$1 &amp; ""x(\d+)"")), """")"),"")</f>
        <v/>
      </c>
      <c r="T1093" s="9">
        <f ca="1">IFERROR(__xludf.DUMMYFUNCTION("IFERROR(VALUE(REGEXEXTRACT(TO_TEXT($F1093), T$1 &amp; ""x(\d+)"")), """")"),1)</f>
        <v>1</v>
      </c>
      <c r="U1093" s="9" t="str">
        <f ca="1">IFERROR(__xludf.DUMMYFUNCTION("IFERROR(VALUE(REGEXEXTRACT(TO_TEXT($F1093), U$1 &amp; ""x(\d+)"")), """")"),"")</f>
        <v/>
      </c>
      <c r="V1093" s="9" t="str">
        <f ca="1">IFERROR(__xludf.DUMMYFUNCTION("IFERROR(VALUE(REGEXEXTRACT(TO_TEXT($F1093), V$1 &amp; ""x(\d+)"")), """")"),"")</f>
        <v/>
      </c>
      <c r="W1093" s="9"/>
      <c r="X1093" s="9"/>
      <c r="Y1093" s="9"/>
      <c r="Z1093" s="9"/>
    </row>
    <row r="1094" spans="1:26" ht="15.75" customHeight="1">
      <c r="A1094" s="9" t="s">
        <v>2144</v>
      </c>
      <c r="B1094" s="9" t="s">
        <v>1909</v>
      </c>
      <c r="C1094" s="9" t="s">
        <v>2145</v>
      </c>
      <c r="D1094" s="9" t="s">
        <v>48</v>
      </c>
      <c r="E1094" s="9" t="s">
        <v>11</v>
      </c>
      <c r="F1094" s="9" t="s">
        <v>1180</v>
      </c>
      <c r="G1094" s="9">
        <v>25</v>
      </c>
      <c r="H1094" s="9">
        <v>4</v>
      </c>
      <c r="I1094" s="9">
        <v>1.0149999999999999</v>
      </c>
      <c r="J1094" s="9">
        <v>52</v>
      </c>
      <c r="K1094" s="9" t="s">
        <v>424</v>
      </c>
      <c r="L1094" s="9"/>
      <c r="M1094" s="9"/>
      <c r="N1094" s="9" t="str">
        <f ca="1">IFERROR(__xludf.DUMMYFUNCTION("IFERROR(VALUE(REGEXEXTRACT(TO_TEXT($F1094), N$1 &amp; ""x(\d+)"")), """")
"),"")</f>
        <v/>
      </c>
      <c r="O1094" s="9" t="str">
        <f ca="1">IFERROR(__xludf.DUMMYFUNCTION("IFERROR(VALUE(REGEXEXTRACT(TO_TEXT($F1094), O$1 &amp; ""x(\d+)"")), """")"),"")</f>
        <v/>
      </c>
      <c r="P1094" s="9" t="str">
        <f ca="1">IFERROR(__xludf.DUMMYFUNCTION("IFERROR(VALUE(REGEXEXTRACT(TO_TEXT($F1094), P$1 &amp; ""x(\d+)"")), """")"),"")</f>
        <v/>
      </c>
      <c r="Q1094" s="9" t="str">
        <f ca="1">IFERROR(__xludf.DUMMYFUNCTION("IFERROR(VALUE(REGEXEXTRACT(TO_TEXT($F1094), Q$1 &amp; ""x(\d+)"")), """")"),"")</f>
        <v/>
      </c>
      <c r="R1094" s="9" t="str">
        <f ca="1">IFERROR(__xludf.DUMMYFUNCTION("IFERROR(VALUE(REGEXEXTRACT(TO_TEXT($F1094), R$1 &amp; ""x(\d+)"")), """")"),"")</f>
        <v/>
      </c>
      <c r="S1094" s="9" t="str">
        <f ca="1">IFERROR(__xludf.DUMMYFUNCTION("IFERROR(VALUE(REGEXEXTRACT(TO_TEXT($F1094), S$1 &amp; ""x(\d+)"")), """")"),"")</f>
        <v/>
      </c>
      <c r="T1094" s="9" t="str">
        <f ca="1">IFERROR(__xludf.DUMMYFUNCTION("IFERROR(VALUE(REGEXEXTRACT(TO_TEXT($F1094), T$1 &amp; ""x(\d+)"")), """")"),"")</f>
        <v/>
      </c>
      <c r="U1094" s="9" t="str">
        <f ca="1">IFERROR(__xludf.DUMMYFUNCTION("IFERROR(VALUE(REGEXEXTRACT(TO_TEXT($F1094), U$1 &amp; ""x(\d+)"")), """")"),"")</f>
        <v/>
      </c>
      <c r="V1094" s="9" t="str">
        <f ca="1">IFERROR(__xludf.DUMMYFUNCTION("IFERROR(VALUE(REGEXEXTRACT(TO_TEXT($F1094), V$1 &amp; ""x(\d+)"")), """")"),"")</f>
        <v/>
      </c>
      <c r="W1094" s="9"/>
      <c r="X1094" s="9"/>
      <c r="Y1094" s="9"/>
      <c r="Z1094" s="9"/>
    </row>
    <row r="1095" spans="1:26" ht="15.75" customHeight="1">
      <c r="A1095" s="9" t="s">
        <v>2144</v>
      </c>
      <c r="B1095" s="9" t="s">
        <v>1909</v>
      </c>
      <c r="C1095" s="9" t="s">
        <v>2145</v>
      </c>
      <c r="D1095" s="9" t="s">
        <v>48</v>
      </c>
      <c r="E1095" s="9" t="s">
        <v>12</v>
      </c>
      <c r="F1095" s="9" t="s">
        <v>1654</v>
      </c>
      <c r="G1095" s="9">
        <v>140</v>
      </c>
      <c r="H1095" s="9">
        <v>4</v>
      </c>
      <c r="I1095" s="9">
        <v>1.0149999999999999</v>
      </c>
      <c r="J1095" s="9">
        <v>52</v>
      </c>
      <c r="K1095" s="9" t="s">
        <v>424</v>
      </c>
      <c r="L1095" s="9"/>
      <c r="M1095" s="9"/>
      <c r="N1095" s="9" t="str">
        <f ca="1">IFERROR(__xludf.DUMMYFUNCTION("IFERROR(VALUE(REGEXEXTRACT(TO_TEXT($F1095), N$1 &amp; ""x(\d+)"")), """")
"),"")</f>
        <v/>
      </c>
      <c r="O1095" s="9" t="str">
        <f ca="1">IFERROR(__xludf.DUMMYFUNCTION("IFERROR(VALUE(REGEXEXTRACT(TO_TEXT($F1095), O$1 &amp; ""x(\d+)"")), """")"),"")</f>
        <v/>
      </c>
      <c r="P1095" s="9">
        <f ca="1">IFERROR(__xludf.DUMMYFUNCTION("IFERROR(VALUE(REGEXEXTRACT(TO_TEXT($F1095), P$1 &amp; ""x(\d+)"")), """")"),1)</f>
        <v>1</v>
      </c>
      <c r="Q1095" s="9" t="str">
        <f ca="1">IFERROR(__xludf.DUMMYFUNCTION("IFERROR(VALUE(REGEXEXTRACT(TO_TEXT($F1095), Q$1 &amp; ""x(\d+)"")), """")"),"")</f>
        <v/>
      </c>
      <c r="R1095" s="9" t="str">
        <f ca="1">IFERROR(__xludf.DUMMYFUNCTION("IFERROR(VALUE(REGEXEXTRACT(TO_TEXT($F1095), R$1 &amp; ""x(\d+)"")), """")"),"")</f>
        <v/>
      </c>
      <c r="S1095" s="9" t="str">
        <f ca="1">IFERROR(__xludf.DUMMYFUNCTION("IFERROR(VALUE(REGEXEXTRACT(TO_TEXT($F1095), S$1 &amp; ""x(\d+)"")), """")"),"")</f>
        <v/>
      </c>
      <c r="T1095" s="9" t="str">
        <f ca="1">IFERROR(__xludf.DUMMYFUNCTION("IFERROR(VALUE(REGEXEXTRACT(TO_TEXT($F1095), T$1 &amp; ""x(\d+)"")), """")"),"")</f>
        <v/>
      </c>
      <c r="U1095" s="9" t="str">
        <f ca="1">IFERROR(__xludf.DUMMYFUNCTION("IFERROR(VALUE(REGEXEXTRACT(TO_TEXT($F1095), U$1 &amp; ""x(\d+)"")), """")"),"")</f>
        <v/>
      </c>
      <c r="V1095" s="9" t="str">
        <f ca="1">IFERROR(__xludf.DUMMYFUNCTION("IFERROR(VALUE(REGEXEXTRACT(TO_TEXT($F1095), V$1 &amp; ""x(\d+)"")), """")"),"")</f>
        <v/>
      </c>
      <c r="W1095" s="9"/>
      <c r="X1095" s="9"/>
      <c r="Y1095" s="9"/>
      <c r="Z1095" s="9"/>
    </row>
    <row r="1096" spans="1:26" ht="15.75" customHeight="1">
      <c r="A1096" s="9" t="s">
        <v>2144</v>
      </c>
      <c r="B1096" s="9" t="s">
        <v>1909</v>
      </c>
      <c r="C1096" s="9" t="s">
        <v>2145</v>
      </c>
      <c r="D1096" s="9" t="s">
        <v>48</v>
      </c>
      <c r="E1096" s="9" t="s">
        <v>13</v>
      </c>
      <c r="F1096" s="9" t="s">
        <v>1655</v>
      </c>
      <c r="G1096" s="9">
        <v>90</v>
      </c>
      <c r="H1096" s="9">
        <v>4</v>
      </c>
      <c r="I1096" s="9">
        <v>1.0149999999999999</v>
      </c>
      <c r="J1096" s="9">
        <v>52</v>
      </c>
      <c r="K1096" s="9" t="s">
        <v>424</v>
      </c>
      <c r="L1096" s="9"/>
      <c r="M1096" s="9"/>
      <c r="N1096" s="9" t="str">
        <f ca="1">IFERROR(__xludf.DUMMYFUNCTION("IFERROR(VALUE(REGEXEXTRACT(TO_TEXT($F1096), N$1 &amp; ""x(\d+)"")), """")
"),"")</f>
        <v/>
      </c>
      <c r="O1096" s="9" t="str">
        <f ca="1">IFERROR(__xludf.DUMMYFUNCTION("IFERROR(VALUE(REGEXEXTRACT(TO_TEXT($F1096), O$1 &amp; ""x(\d+)"")), """")"),"")</f>
        <v/>
      </c>
      <c r="P1096" s="9">
        <f ca="1">IFERROR(__xludf.DUMMYFUNCTION("IFERROR(VALUE(REGEXEXTRACT(TO_TEXT($F1096), P$1 &amp; ""x(\d+)"")), """")"),1)</f>
        <v>1</v>
      </c>
      <c r="Q1096" s="9" t="str">
        <f ca="1">IFERROR(__xludf.DUMMYFUNCTION("IFERROR(VALUE(REGEXEXTRACT(TO_TEXT($F1096), Q$1 &amp; ""x(\d+)"")), """")"),"")</f>
        <v/>
      </c>
      <c r="R1096" s="9" t="str">
        <f ca="1">IFERROR(__xludf.DUMMYFUNCTION("IFERROR(VALUE(REGEXEXTRACT(TO_TEXT($F1096), R$1 &amp; ""x(\d+)"")), """")"),"")</f>
        <v/>
      </c>
      <c r="S1096" s="9" t="str">
        <f ca="1">IFERROR(__xludf.DUMMYFUNCTION("IFERROR(VALUE(REGEXEXTRACT(TO_TEXT($F1096), S$1 &amp; ""x(\d+)"")), """")"),"")</f>
        <v/>
      </c>
      <c r="T1096" s="9" t="str">
        <f ca="1">IFERROR(__xludf.DUMMYFUNCTION("IFERROR(VALUE(REGEXEXTRACT(TO_TEXT($F1096), T$1 &amp; ""x(\d+)"")), """")"),"")</f>
        <v/>
      </c>
      <c r="U1096" s="9" t="str">
        <f ca="1">IFERROR(__xludf.DUMMYFUNCTION("IFERROR(VALUE(REGEXEXTRACT(TO_TEXT($F1096), U$1 &amp; ""x(\d+)"")), """")"),"")</f>
        <v/>
      </c>
      <c r="V1096" s="9" t="str">
        <f ca="1">IFERROR(__xludf.DUMMYFUNCTION("IFERROR(VALUE(REGEXEXTRACT(TO_TEXT($F1096), V$1 &amp; ""x(\d+)"")), """")"),"")</f>
        <v/>
      </c>
      <c r="W1096" s="9"/>
      <c r="X1096" s="9"/>
      <c r="Y1096" s="9"/>
      <c r="Z1096" s="9"/>
    </row>
    <row r="1097" spans="1:26" ht="15.75" customHeight="1">
      <c r="A1097" s="9" t="s">
        <v>2146</v>
      </c>
      <c r="B1097" s="9" t="s">
        <v>2147</v>
      </c>
      <c r="C1097" s="9" t="s">
        <v>2148</v>
      </c>
      <c r="D1097" s="9" t="s">
        <v>40</v>
      </c>
      <c r="E1097" s="9" t="s">
        <v>11</v>
      </c>
      <c r="F1097" s="9" t="s">
        <v>1422</v>
      </c>
      <c r="G1097" s="9">
        <v>35</v>
      </c>
      <c r="H1097" s="9">
        <v>2</v>
      </c>
      <c r="I1097" s="9">
        <v>1.0149999999999999</v>
      </c>
      <c r="J1097" s="9">
        <v>350</v>
      </c>
      <c r="K1097" s="9" t="s">
        <v>442</v>
      </c>
      <c r="L1097" s="9"/>
      <c r="M1097" s="9"/>
      <c r="N1097" s="9" t="str">
        <f ca="1">IFERROR(__xludf.DUMMYFUNCTION("IFERROR(VALUE(REGEXEXTRACT(TO_TEXT($F1097), N$1 &amp; ""x(\d+)"")), """")
"),"")</f>
        <v/>
      </c>
      <c r="O1097" s="9" t="str">
        <f ca="1">IFERROR(__xludf.DUMMYFUNCTION("IFERROR(VALUE(REGEXEXTRACT(TO_TEXT($F1097), O$1 &amp; ""x(\d+)"")), """")"),"")</f>
        <v/>
      </c>
      <c r="P1097" s="9" t="str">
        <f ca="1">IFERROR(__xludf.DUMMYFUNCTION("IFERROR(VALUE(REGEXEXTRACT(TO_TEXT($F1097), P$1 &amp; ""x(\d+)"")), """")"),"")</f>
        <v/>
      </c>
      <c r="Q1097" s="9" t="str">
        <f ca="1">IFERROR(__xludf.DUMMYFUNCTION("IFERROR(VALUE(REGEXEXTRACT(TO_TEXT($F1097), Q$1 &amp; ""x(\d+)"")), """")"),"")</f>
        <v/>
      </c>
      <c r="R1097" s="9" t="str">
        <f ca="1">IFERROR(__xludf.DUMMYFUNCTION("IFERROR(VALUE(REGEXEXTRACT(TO_TEXT($F1097), R$1 &amp; ""x(\d+)"")), """")"),"")</f>
        <v/>
      </c>
      <c r="S1097" s="9" t="str">
        <f ca="1">IFERROR(__xludf.DUMMYFUNCTION("IFERROR(VALUE(REGEXEXTRACT(TO_TEXT($F1097), S$1 &amp; ""x(\d+)"")), """")"),"")</f>
        <v/>
      </c>
      <c r="T1097" s="9" t="str">
        <f ca="1">IFERROR(__xludf.DUMMYFUNCTION("IFERROR(VALUE(REGEXEXTRACT(TO_TEXT($F1097), T$1 &amp; ""x(\d+)"")), """")"),"")</f>
        <v/>
      </c>
      <c r="U1097" s="9" t="str">
        <f ca="1">IFERROR(__xludf.DUMMYFUNCTION("IFERROR(VALUE(REGEXEXTRACT(TO_TEXT($F1097), U$1 &amp; ""x(\d+)"")), """")"),"")</f>
        <v/>
      </c>
      <c r="V1097" s="9" t="str">
        <f ca="1">IFERROR(__xludf.DUMMYFUNCTION("IFERROR(VALUE(REGEXEXTRACT(TO_TEXT($F1097), V$1 &amp; ""x(\d+)"")), """")"),"")</f>
        <v/>
      </c>
      <c r="W1097" s="9"/>
      <c r="X1097" s="9"/>
      <c r="Y1097" s="9"/>
      <c r="Z1097" s="9"/>
    </row>
    <row r="1098" spans="1:26" ht="15.75" customHeight="1">
      <c r="A1098" s="9" t="s">
        <v>2146</v>
      </c>
      <c r="B1098" s="9" t="s">
        <v>2147</v>
      </c>
      <c r="C1098" s="9" t="s">
        <v>2148</v>
      </c>
      <c r="D1098" s="9" t="s">
        <v>40</v>
      </c>
      <c r="E1098" s="9" t="s">
        <v>12</v>
      </c>
      <c r="F1098" s="9" t="s">
        <v>2124</v>
      </c>
      <c r="G1098" s="9">
        <v>165</v>
      </c>
      <c r="H1098" s="9">
        <v>2</v>
      </c>
      <c r="I1098" s="9">
        <v>1.0149999999999999</v>
      </c>
      <c r="J1098" s="9">
        <v>350</v>
      </c>
      <c r="K1098" s="9" t="s">
        <v>442</v>
      </c>
      <c r="L1098" s="9" t="s">
        <v>1030</v>
      </c>
      <c r="M1098" s="9"/>
      <c r="N1098" s="9" t="str">
        <f ca="1">IFERROR(__xludf.DUMMYFUNCTION("IFERROR(VALUE(REGEXEXTRACT(TO_TEXT($F1098), N$1 &amp; ""x(\d+)"")), """")
"),"")</f>
        <v/>
      </c>
      <c r="O1098" s="9" t="str">
        <f ca="1">IFERROR(__xludf.DUMMYFUNCTION("IFERROR(VALUE(REGEXEXTRACT(TO_TEXT($F1098), O$1 &amp; ""x(\d+)"")), """")"),"")</f>
        <v/>
      </c>
      <c r="P1098" s="9" t="str">
        <f ca="1">IFERROR(__xludf.DUMMYFUNCTION("IFERROR(VALUE(REGEXEXTRACT(TO_TEXT($F1098), P$1 &amp; ""x(\d+)"")), """")"),"")</f>
        <v/>
      </c>
      <c r="Q1098" s="9" t="str">
        <f ca="1">IFERROR(__xludf.DUMMYFUNCTION("IFERROR(VALUE(REGEXEXTRACT(TO_TEXT($F1098), Q$1 &amp; ""x(\d+)"")), """")"),"")</f>
        <v/>
      </c>
      <c r="R1098" s="9" t="str">
        <f ca="1">IFERROR(__xludf.DUMMYFUNCTION("IFERROR(VALUE(REGEXEXTRACT(TO_TEXT($F1098), R$1 &amp; ""x(\d+)"")), """")"),"")</f>
        <v/>
      </c>
      <c r="S1098" s="9" t="str">
        <f ca="1">IFERROR(__xludf.DUMMYFUNCTION("IFERROR(VALUE(REGEXEXTRACT(TO_TEXT($F1098), S$1 &amp; ""x(\d+)"")), """")"),"")</f>
        <v/>
      </c>
      <c r="T1098" s="9">
        <f ca="1">IFERROR(__xludf.DUMMYFUNCTION("IFERROR(VALUE(REGEXEXTRACT(TO_TEXT($F1098), T$1 &amp; ""x(\d+)"")), """")"),1)</f>
        <v>1</v>
      </c>
      <c r="U1098" s="9" t="str">
        <f ca="1">IFERROR(__xludf.DUMMYFUNCTION("IFERROR(VALUE(REGEXEXTRACT(TO_TEXT($F1098), U$1 &amp; ""x(\d+)"")), """")"),"")</f>
        <v/>
      </c>
      <c r="V1098" s="9" t="str">
        <f ca="1">IFERROR(__xludf.DUMMYFUNCTION("IFERROR(VALUE(REGEXEXTRACT(TO_TEXT($F1098), V$1 &amp; ""x(\d+)"")), """")"),"")</f>
        <v/>
      </c>
      <c r="W1098" s="9"/>
      <c r="X1098" s="9"/>
      <c r="Y1098" s="9"/>
      <c r="Z1098" s="9"/>
    </row>
    <row r="1099" spans="1:26" ht="15.75" customHeight="1">
      <c r="A1099" s="9" t="s">
        <v>2146</v>
      </c>
      <c r="B1099" s="9" t="s">
        <v>2147</v>
      </c>
      <c r="C1099" s="9" t="s">
        <v>2148</v>
      </c>
      <c r="D1099" s="9" t="s">
        <v>40</v>
      </c>
      <c r="E1099" s="9" t="s">
        <v>13</v>
      </c>
      <c r="F1099" s="9" t="s">
        <v>2125</v>
      </c>
      <c r="G1099" s="9">
        <v>30</v>
      </c>
      <c r="H1099" s="9">
        <v>2</v>
      </c>
      <c r="I1099" s="9">
        <v>1.0149999999999999</v>
      </c>
      <c r="J1099" s="9">
        <v>350</v>
      </c>
      <c r="K1099" s="9" t="s">
        <v>442</v>
      </c>
      <c r="L1099" s="9"/>
      <c r="M1099" s="9"/>
      <c r="N1099" s="9" t="str">
        <f ca="1">IFERROR(__xludf.DUMMYFUNCTION("IFERROR(VALUE(REGEXEXTRACT(TO_TEXT($F1099), N$1 &amp; ""x(\d+)"")), """")
"),"")</f>
        <v/>
      </c>
      <c r="O1099" s="9" t="str">
        <f ca="1">IFERROR(__xludf.DUMMYFUNCTION("IFERROR(VALUE(REGEXEXTRACT(TO_TEXT($F1099), O$1 &amp; ""x(\d+)"")), """")"),"")</f>
        <v/>
      </c>
      <c r="P1099" s="9" t="str">
        <f ca="1">IFERROR(__xludf.DUMMYFUNCTION("IFERROR(VALUE(REGEXEXTRACT(TO_TEXT($F1099), P$1 &amp; ""x(\d+)"")), """")"),"")</f>
        <v/>
      </c>
      <c r="Q1099" s="9" t="str">
        <f ca="1">IFERROR(__xludf.DUMMYFUNCTION("IFERROR(VALUE(REGEXEXTRACT(TO_TEXT($F1099), Q$1 &amp; ""x(\d+)"")), """")"),"")</f>
        <v/>
      </c>
      <c r="R1099" s="9" t="str">
        <f ca="1">IFERROR(__xludf.DUMMYFUNCTION("IFERROR(VALUE(REGEXEXTRACT(TO_TEXT($F1099), R$1 &amp; ""x(\d+)"")), """")"),"")</f>
        <v/>
      </c>
      <c r="S1099" s="9" t="str">
        <f ca="1">IFERROR(__xludf.DUMMYFUNCTION("IFERROR(VALUE(REGEXEXTRACT(TO_TEXT($F1099), S$1 &amp; ""x(\d+)"")), """")"),"")</f>
        <v/>
      </c>
      <c r="T1099" s="9">
        <f ca="1">IFERROR(__xludf.DUMMYFUNCTION("IFERROR(VALUE(REGEXEXTRACT(TO_TEXT($F1099), T$1 &amp; ""x(\d+)"")), """")"),1)</f>
        <v>1</v>
      </c>
      <c r="U1099" s="9" t="str">
        <f ca="1">IFERROR(__xludf.DUMMYFUNCTION("IFERROR(VALUE(REGEXEXTRACT(TO_TEXT($F1099), U$1 &amp; ""x(\d+)"")), """")"),"")</f>
        <v/>
      </c>
      <c r="V1099" s="9" t="str">
        <f ca="1">IFERROR(__xludf.DUMMYFUNCTION("IFERROR(VALUE(REGEXEXTRACT(TO_TEXT($F1099), V$1 &amp; ""x(\d+)"")), """")"),"")</f>
        <v/>
      </c>
      <c r="W1099" s="9"/>
      <c r="X1099" s="9"/>
      <c r="Y1099" s="9"/>
      <c r="Z1099" s="9"/>
    </row>
    <row r="1100" spans="1:26" ht="15.75" customHeight="1">
      <c r="A1100" s="9" t="s">
        <v>2149</v>
      </c>
      <c r="B1100" s="9" t="s">
        <v>2150</v>
      </c>
      <c r="C1100" s="9" t="s">
        <v>2151</v>
      </c>
      <c r="D1100" s="9" t="s">
        <v>48</v>
      </c>
      <c r="E1100" s="9" t="s">
        <v>11</v>
      </c>
      <c r="F1100" s="9" t="s">
        <v>1301</v>
      </c>
      <c r="G1100" s="9">
        <v>30</v>
      </c>
      <c r="H1100" s="9">
        <v>5</v>
      </c>
      <c r="I1100" s="9">
        <v>1.0149999999999999</v>
      </c>
      <c r="J1100" s="9">
        <v>52</v>
      </c>
      <c r="K1100" s="9" t="s">
        <v>424</v>
      </c>
      <c r="L1100" s="9"/>
      <c r="M1100" s="9"/>
      <c r="N1100" s="9" t="str">
        <f ca="1">IFERROR(__xludf.DUMMYFUNCTION("IFERROR(VALUE(REGEXEXTRACT(TO_TEXT($F1100), N$1 &amp; ""x(\d+)"")), """")
"),"")</f>
        <v/>
      </c>
      <c r="O1100" s="9" t="str">
        <f ca="1">IFERROR(__xludf.DUMMYFUNCTION("IFERROR(VALUE(REGEXEXTRACT(TO_TEXT($F1100), O$1 &amp; ""x(\d+)"")), """")"),"")</f>
        <v/>
      </c>
      <c r="P1100" s="9" t="str">
        <f ca="1">IFERROR(__xludf.DUMMYFUNCTION("IFERROR(VALUE(REGEXEXTRACT(TO_TEXT($F1100), P$1 &amp; ""x(\d+)"")), """")"),"")</f>
        <v/>
      </c>
      <c r="Q1100" s="9" t="str">
        <f ca="1">IFERROR(__xludf.DUMMYFUNCTION("IFERROR(VALUE(REGEXEXTRACT(TO_TEXT($F1100), Q$1 &amp; ""x(\d+)"")), """")"),"")</f>
        <v/>
      </c>
      <c r="R1100" s="9" t="str">
        <f ca="1">IFERROR(__xludf.DUMMYFUNCTION("IFERROR(VALUE(REGEXEXTRACT(TO_TEXT($F1100), R$1 &amp; ""x(\d+)"")), """")"),"")</f>
        <v/>
      </c>
      <c r="S1100" s="9" t="str">
        <f ca="1">IFERROR(__xludf.DUMMYFUNCTION("IFERROR(VALUE(REGEXEXTRACT(TO_TEXT($F1100), S$1 &amp; ""x(\d+)"")), """")"),"")</f>
        <v/>
      </c>
      <c r="T1100" s="9" t="str">
        <f ca="1">IFERROR(__xludf.DUMMYFUNCTION("IFERROR(VALUE(REGEXEXTRACT(TO_TEXT($F1100), T$1 &amp; ""x(\d+)"")), """")"),"")</f>
        <v/>
      </c>
      <c r="U1100" s="9" t="str">
        <f ca="1">IFERROR(__xludf.DUMMYFUNCTION("IFERROR(VALUE(REGEXEXTRACT(TO_TEXT($F1100), U$1 &amp; ""x(\d+)"")), """")"),"")</f>
        <v/>
      </c>
      <c r="V1100" s="9" t="str">
        <f ca="1">IFERROR(__xludf.DUMMYFUNCTION("IFERROR(VALUE(REGEXEXTRACT(TO_TEXT($F1100), V$1 &amp; ""x(\d+)"")), """")"),"")</f>
        <v/>
      </c>
      <c r="W1100" s="9"/>
      <c r="X1100" s="9"/>
      <c r="Y1100" s="9"/>
      <c r="Z1100" s="9"/>
    </row>
    <row r="1101" spans="1:26" ht="15.75" customHeight="1">
      <c r="A1101" s="9" t="s">
        <v>2149</v>
      </c>
      <c r="B1101" s="9" t="s">
        <v>2150</v>
      </c>
      <c r="C1101" s="9" t="s">
        <v>2151</v>
      </c>
      <c r="D1101" s="9" t="s">
        <v>48</v>
      </c>
      <c r="E1101" s="9" t="s">
        <v>12</v>
      </c>
      <c r="F1101" s="9" t="s">
        <v>1994</v>
      </c>
      <c r="G1101" s="9">
        <v>160</v>
      </c>
      <c r="H1101" s="9">
        <v>5</v>
      </c>
      <c r="I1101" s="9">
        <v>1.0149999999999999</v>
      </c>
      <c r="J1101" s="9">
        <v>52</v>
      </c>
      <c r="K1101" s="9" t="s">
        <v>424</v>
      </c>
      <c r="L1101" s="9" t="s">
        <v>1015</v>
      </c>
      <c r="M1101" s="9"/>
      <c r="N1101" s="9" t="str">
        <f ca="1">IFERROR(__xludf.DUMMYFUNCTION("IFERROR(VALUE(REGEXEXTRACT(TO_TEXT($F1101), N$1 &amp; ""x(\d+)"")), """")
"),"")</f>
        <v/>
      </c>
      <c r="O1101" s="9" t="str">
        <f ca="1">IFERROR(__xludf.DUMMYFUNCTION("IFERROR(VALUE(REGEXEXTRACT(TO_TEXT($F1101), O$1 &amp; ""x(\d+)"")), """")"),"")</f>
        <v/>
      </c>
      <c r="P1101" s="9">
        <f ca="1">IFERROR(__xludf.DUMMYFUNCTION("IFERROR(VALUE(REGEXEXTRACT(TO_TEXT($F1101), P$1 &amp; ""x(\d+)"")), """")"),1)</f>
        <v>1</v>
      </c>
      <c r="Q1101" s="9" t="str">
        <f ca="1">IFERROR(__xludf.DUMMYFUNCTION("IFERROR(VALUE(REGEXEXTRACT(TO_TEXT($F1101), Q$1 &amp; ""x(\d+)"")), """")"),"")</f>
        <v/>
      </c>
      <c r="R1101" s="9">
        <f ca="1">IFERROR(__xludf.DUMMYFUNCTION("IFERROR(VALUE(REGEXEXTRACT(TO_TEXT($F1101), R$1 &amp; ""x(\d+)"")), """")"),1)</f>
        <v>1</v>
      </c>
      <c r="S1101" s="9" t="str">
        <f ca="1">IFERROR(__xludf.DUMMYFUNCTION("IFERROR(VALUE(REGEXEXTRACT(TO_TEXT($F1101), S$1 &amp; ""x(\d+)"")), """")"),"")</f>
        <v/>
      </c>
      <c r="T1101" s="9">
        <f ca="1">IFERROR(__xludf.DUMMYFUNCTION("IFERROR(VALUE(REGEXEXTRACT(TO_TEXT($F1101), T$1 &amp; ""x(\d+)"")), """")"),1)</f>
        <v>1</v>
      </c>
      <c r="U1101" s="9" t="str">
        <f ca="1">IFERROR(__xludf.DUMMYFUNCTION("IFERROR(VALUE(REGEXEXTRACT(TO_TEXT($F1101), U$1 &amp; ""x(\d+)"")), """")"),"")</f>
        <v/>
      </c>
      <c r="V1101" s="9" t="str">
        <f ca="1">IFERROR(__xludf.DUMMYFUNCTION("IFERROR(VALUE(REGEXEXTRACT(TO_TEXT($F1101), V$1 &amp; ""x(\d+)"")), """")"),"")</f>
        <v/>
      </c>
      <c r="W1101" s="9"/>
      <c r="X1101" s="9"/>
      <c r="Y1101" s="9"/>
      <c r="Z1101" s="9"/>
    </row>
    <row r="1102" spans="1:26" ht="15.75" customHeight="1">
      <c r="A1102" s="9" t="s">
        <v>2149</v>
      </c>
      <c r="B1102" s="9" t="s">
        <v>2150</v>
      </c>
      <c r="C1102" s="9" t="s">
        <v>2151</v>
      </c>
      <c r="D1102" s="9" t="s">
        <v>48</v>
      </c>
      <c r="E1102" s="9" t="s">
        <v>13</v>
      </c>
      <c r="F1102" s="9" t="s">
        <v>1634</v>
      </c>
      <c r="G1102" s="9">
        <v>40</v>
      </c>
      <c r="H1102" s="9">
        <v>5</v>
      </c>
      <c r="I1102" s="9">
        <v>1.0149999999999999</v>
      </c>
      <c r="J1102" s="9">
        <v>52</v>
      </c>
      <c r="K1102" s="9" t="s">
        <v>424</v>
      </c>
      <c r="L1102" s="9"/>
      <c r="M1102" s="9"/>
      <c r="N1102" s="9" t="str">
        <f ca="1">IFERROR(__xludf.DUMMYFUNCTION("IFERROR(VALUE(REGEXEXTRACT(TO_TEXT($F1102), N$1 &amp; ""x(\d+)"")), """")
"),"")</f>
        <v/>
      </c>
      <c r="O1102" s="9" t="str">
        <f ca="1">IFERROR(__xludf.DUMMYFUNCTION("IFERROR(VALUE(REGEXEXTRACT(TO_TEXT($F1102), O$1 &amp; ""x(\d+)"")), """")"),"")</f>
        <v/>
      </c>
      <c r="P1102" s="9">
        <f ca="1">IFERROR(__xludf.DUMMYFUNCTION("IFERROR(VALUE(REGEXEXTRACT(TO_TEXT($F1102), P$1 &amp; ""x(\d+)"")), """")"),1)</f>
        <v>1</v>
      </c>
      <c r="Q1102" s="9" t="str">
        <f ca="1">IFERROR(__xludf.DUMMYFUNCTION("IFERROR(VALUE(REGEXEXTRACT(TO_TEXT($F1102), Q$1 &amp; ""x(\d+)"")), """")"),"")</f>
        <v/>
      </c>
      <c r="R1102" s="9">
        <f ca="1">IFERROR(__xludf.DUMMYFUNCTION("IFERROR(VALUE(REGEXEXTRACT(TO_TEXT($F1102), R$1 &amp; ""x(\d+)"")), """")"),1)</f>
        <v>1</v>
      </c>
      <c r="S1102" s="9" t="str">
        <f ca="1">IFERROR(__xludf.DUMMYFUNCTION("IFERROR(VALUE(REGEXEXTRACT(TO_TEXT($F1102), S$1 &amp; ""x(\d+)"")), """")"),"")</f>
        <v/>
      </c>
      <c r="T1102" s="9">
        <f ca="1">IFERROR(__xludf.DUMMYFUNCTION("IFERROR(VALUE(REGEXEXTRACT(TO_TEXT($F1102), T$1 &amp; ""x(\d+)"")), """")"),1)</f>
        <v>1</v>
      </c>
      <c r="U1102" s="9" t="str">
        <f ca="1">IFERROR(__xludf.DUMMYFUNCTION("IFERROR(VALUE(REGEXEXTRACT(TO_TEXT($F1102), U$1 &amp; ""x(\d+)"")), """")"),"")</f>
        <v/>
      </c>
      <c r="V1102" s="9" t="str">
        <f ca="1">IFERROR(__xludf.DUMMYFUNCTION("IFERROR(VALUE(REGEXEXTRACT(TO_TEXT($F1102), V$1 &amp; ""x(\d+)"")), """")"),"")</f>
        <v/>
      </c>
      <c r="W1102" s="9"/>
      <c r="X1102" s="9"/>
      <c r="Y1102" s="9"/>
      <c r="Z1102" s="9"/>
    </row>
    <row r="1103" spans="1:26" ht="15.75" customHeight="1">
      <c r="A1103" s="9" t="s">
        <v>2149</v>
      </c>
      <c r="B1103" s="9" t="s">
        <v>2150</v>
      </c>
      <c r="C1103" s="9" t="s">
        <v>2151</v>
      </c>
      <c r="D1103" s="9" t="s">
        <v>74</v>
      </c>
      <c r="E1103" s="9" t="s">
        <v>11</v>
      </c>
      <c r="F1103" s="9" t="s">
        <v>1341</v>
      </c>
      <c r="G1103" s="9">
        <v>30</v>
      </c>
      <c r="H1103" s="9">
        <v>3</v>
      </c>
      <c r="I1103" s="9">
        <v>1.0149999999999999</v>
      </c>
      <c r="J1103" s="9">
        <v>103</v>
      </c>
      <c r="K1103" s="9" t="s">
        <v>424</v>
      </c>
      <c r="L1103" s="9"/>
      <c r="M1103" s="9"/>
      <c r="N1103" s="9" t="str">
        <f ca="1">IFERROR(__xludf.DUMMYFUNCTION("IFERROR(VALUE(REGEXEXTRACT(TO_TEXT($F1103), N$1 &amp; ""x(\d+)"")), """")
"),"")</f>
        <v/>
      </c>
      <c r="O1103" s="9" t="str">
        <f ca="1">IFERROR(__xludf.DUMMYFUNCTION("IFERROR(VALUE(REGEXEXTRACT(TO_TEXT($F1103), O$1 &amp; ""x(\d+)"")), """")"),"")</f>
        <v/>
      </c>
      <c r="P1103" s="9" t="str">
        <f ca="1">IFERROR(__xludf.DUMMYFUNCTION("IFERROR(VALUE(REGEXEXTRACT(TO_TEXT($F1103), P$1 &amp; ""x(\d+)"")), """")"),"")</f>
        <v/>
      </c>
      <c r="Q1103" s="9" t="str">
        <f ca="1">IFERROR(__xludf.DUMMYFUNCTION("IFERROR(VALUE(REGEXEXTRACT(TO_TEXT($F1103), Q$1 &amp; ""x(\d+)"")), """")"),"")</f>
        <v/>
      </c>
      <c r="R1103" s="9" t="str">
        <f ca="1">IFERROR(__xludf.DUMMYFUNCTION("IFERROR(VALUE(REGEXEXTRACT(TO_TEXT($F1103), R$1 &amp; ""x(\d+)"")), """")"),"")</f>
        <v/>
      </c>
      <c r="S1103" s="9" t="str">
        <f ca="1">IFERROR(__xludf.DUMMYFUNCTION("IFERROR(VALUE(REGEXEXTRACT(TO_TEXT($F1103), S$1 &amp; ""x(\d+)"")), """")"),"")</f>
        <v/>
      </c>
      <c r="T1103" s="9" t="str">
        <f ca="1">IFERROR(__xludf.DUMMYFUNCTION("IFERROR(VALUE(REGEXEXTRACT(TO_TEXT($F1103), T$1 &amp; ""x(\d+)"")), """")"),"")</f>
        <v/>
      </c>
      <c r="U1103" s="9" t="str">
        <f ca="1">IFERROR(__xludf.DUMMYFUNCTION("IFERROR(VALUE(REGEXEXTRACT(TO_TEXT($F1103), U$1 &amp; ""x(\d+)"")), """")"),"")</f>
        <v/>
      </c>
      <c r="V1103" s="9" t="str">
        <f ca="1">IFERROR(__xludf.DUMMYFUNCTION("IFERROR(VALUE(REGEXEXTRACT(TO_TEXT($F1103), V$1 &amp; ""x(\d+)"")), """")"),"")</f>
        <v/>
      </c>
      <c r="W1103" s="9"/>
      <c r="X1103" s="9"/>
      <c r="Y1103" s="9"/>
      <c r="Z1103" s="9"/>
    </row>
    <row r="1104" spans="1:26" ht="15.75" customHeight="1">
      <c r="A1104" s="9" t="s">
        <v>2149</v>
      </c>
      <c r="B1104" s="9" t="s">
        <v>2150</v>
      </c>
      <c r="C1104" s="9" t="s">
        <v>2151</v>
      </c>
      <c r="D1104" s="9" t="s">
        <v>74</v>
      </c>
      <c r="E1104" s="9" t="s">
        <v>12</v>
      </c>
      <c r="F1104" s="9" t="s">
        <v>2152</v>
      </c>
      <c r="G1104" s="9">
        <v>170</v>
      </c>
      <c r="H1104" s="9">
        <v>3</v>
      </c>
      <c r="I1104" s="9">
        <v>1.0149999999999999</v>
      </c>
      <c r="J1104" s="9">
        <v>103</v>
      </c>
      <c r="K1104" s="9" t="s">
        <v>424</v>
      </c>
      <c r="L1104" s="9" t="s">
        <v>1015</v>
      </c>
      <c r="M1104" s="9"/>
      <c r="N1104" s="9" t="str">
        <f ca="1">IFERROR(__xludf.DUMMYFUNCTION("IFERROR(VALUE(REGEXEXTRACT(TO_TEXT($F1104), N$1 &amp; ""x(\d+)"")), """")
"),"")</f>
        <v/>
      </c>
      <c r="O1104" s="9" t="str">
        <f ca="1">IFERROR(__xludf.DUMMYFUNCTION("IFERROR(VALUE(REGEXEXTRACT(TO_TEXT($F1104), O$1 &amp; ""x(\d+)"")), """")"),"")</f>
        <v/>
      </c>
      <c r="P1104" s="9" t="str">
        <f ca="1">IFERROR(__xludf.DUMMYFUNCTION("IFERROR(VALUE(REGEXEXTRACT(TO_TEXT($F1104), P$1 &amp; ""x(\d+)"")), """")"),"")</f>
        <v/>
      </c>
      <c r="Q1104" s="9">
        <f ca="1">IFERROR(__xludf.DUMMYFUNCTION("IFERROR(VALUE(REGEXEXTRACT(TO_TEXT($F1104), Q$1 &amp; ""x(\d+)"")), """")"),1)</f>
        <v>1</v>
      </c>
      <c r="R1104" s="9">
        <f ca="1">IFERROR(__xludf.DUMMYFUNCTION("IFERROR(VALUE(REGEXEXTRACT(TO_TEXT($F1104), R$1 &amp; ""x(\d+)"")), """")"),1)</f>
        <v>1</v>
      </c>
      <c r="S1104" s="9" t="str">
        <f ca="1">IFERROR(__xludf.DUMMYFUNCTION("IFERROR(VALUE(REGEXEXTRACT(TO_TEXT($F1104), S$1 &amp; ""x(\d+)"")), """")"),"")</f>
        <v/>
      </c>
      <c r="T1104" s="9" t="str">
        <f ca="1">IFERROR(__xludf.DUMMYFUNCTION("IFERROR(VALUE(REGEXEXTRACT(TO_TEXT($F1104), T$1 &amp; ""x(\d+)"")), """")"),"")</f>
        <v/>
      </c>
      <c r="U1104" s="9" t="str">
        <f ca="1">IFERROR(__xludf.DUMMYFUNCTION("IFERROR(VALUE(REGEXEXTRACT(TO_TEXT($F1104), U$1 &amp; ""x(\d+)"")), """")"),"")</f>
        <v/>
      </c>
      <c r="V1104" s="9" t="str">
        <f ca="1">IFERROR(__xludf.DUMMYFUNCTION("IFERROR(VALUE(REGEXEXTRACT(TO_TEXT($F1104), V$1 &amp; ""x(\d+)"")), """")"),"")</f>
        <v/>
      </c>
      <c r="W1104" s="9"/>
      <c r="X1104" s="9"/>
      <c r="Y1104" s="9"/>
      <c r="Z1104" s="9"/>
    </row>
    <row r="1105" spans="1:26" ht="15.75" customHeight="1">
      <c r="A1105" s="9" t="s">
        <v>2149</v>
      </c>
      <c r="B1105" s="9" t="s">
        <v>2150</v>
      </c>
      <c r="C1105" s="9" t="s">
        <v>2151</v>
      </c>
      <c r="D1105" s="9" t="s">
        <v>74</v>
      </c>
      <c r="E1105" s="9" t="s">
        <v>13</v>
      </c>
      <c r="F1105" s="9" t="s">
        <v>2153</v>
      </c>
      <c r="G1105" s="9">
        <v>40</v>
      </c>
      <c r="H1105" s="9">
        <v>3</v>
      </c>
      <c r="I1105" s="9">
        <v>1.0149999999999999</v>
      </c>
      <c r="J1105" s="9">
        <v>103</v>
      </c>
      <c r="K1105" s="9" t="s">
        <v>424</v>
      </c>
      <c r="L1105" s="9"/>
      <c r="M1105" s="9"/>
      <c r="N1105" s="9" t="str">
        <f ca="1">IFERROR(__xludf.DUMMYFUNCTION("IFERROR(VALUE(REGEXEXTRACT(TO_TEXT($F1105), N$1 &amp; ""x(\d+)"")), """")
"),"")</f>
        <v/>
      </c>
      <c r="O1105" s="9" t="str">
        <f ca="1">IFERROR(__xludf.DUMMYFUNCTION("IFERROR(VALUE(REGEXEXTRACT(TO_TEXT($F1105), O$1 &amp; ""x(\d+)"")), """")"),"")</f>
        <v/>
      </c>
      <c r="P1105" s="9" t="str">
        <f ca="1">IFERROR(__xludf.DUMMYFUNCTION("IFERROR(VALUE(REGEXEXTRACT(TO_TEXT($F1105), P$1 &amp; ""x(\d+)"")), """")"),"")</f>
        <v/>
      </c>
      <c r="Q1105" s="9">
        <f ca="1">IFERROR(__xludf.DUMMYFUNCTION("IFERROR(VALUE(REGEXEXTRACT(TO_TEXT($F1105), Q$1 &amp; ""x(\d+)"")), """")"),1)</f>
        <v>1</v>
      </c>
      <c r="R1105" s="9">
        <f ca="1">IFERROR(__xludf.DUMMYFUNCTION("IFERROR(VALUE(REGEXEXTRACT(TO_TEXT($F1105), R$1 &amp; ""x(\d+)"")), """")"),1)</f>
        <v>1</v>
      </c>
      <c r="S1105" s="9" t="str">
        <f ca="1">IFERROR(__xludf.DUMMYFUNCTION("IFERROR(VALUE(REGEXEXTRACT(TO_TEXT($F1105), S$1 &amp; ""x(\d+)"")), """")"),"")</f>
        <v/>
      </c>
      <c r="T1105" s="9" t="str">
        <f ca="1">IFERROR(__xludf.DUMMYFUNCTION("IFERROR(VALUE(REGEXEXTRACT(TO_TEXT($F1105), T$1 &amp; ""x(\d+)"")), """")"),"")</f>
        <v/>
      </c>
      <c r="U1105" s="9" t="str">
        <f ca="1">IFERROR(__xludf.DUMMYFUNCTION("IFERROR(VALUE(REGEXEXTRACT(TO_TEXT($F1105), U$1 &amp; ""x(\d+)"")), """")"),"")</f>
        <v/>
      </c>
      <c r="V1105" s="9" t="str">
        <f ca="1">IFERROR(__xludf.DUMMYFUNCTION("IFERROR(VALUE(REGEXEXTRACT(TO_TEXT($F1105), V$1 &amp; ""x(\d+)"")), """")"),"")</f>
        <v/>
      </c>
      <c r="W1105" s="9"/>
      <c r="X1105" s="9"/>
      <c r="Y1105" s="9"/>
      <c r="Z1105" s="9"/>
    </row>
    <row r="1106" spans="1:26" ht="15.75" customHeight="1">
      <c r="A1106" s="9" t="s">
        <v>2154</v>
      </c>
      <c r="B1106" s="9" t="s">
        <v>2155</v>
      </c>
      <c r="C1106" s="9" t="s">
        <v>2156</v>
      </c>
      <c r="D1106" s="9" t="s">
        <v>33</v>
      </c>
      <c r="E1106" s="9" t="s">
        <v>11</v>
      </c>
      <c r="F1106" s="9" t="s">
        <v>1094</v>
      </c>
      <c r="G1106" s="9">
        <v>55</v>
      </c>
      <c r="H1106" s="9">
        <v>4</v>
      </c>
      <c r="I1106" s="9">
        <v>1.0149999999999999</v>
      </c>
      <c r="J1106" s="9">
        <v>107</v>
      </c>
      <c r="K1106" s="9" t="s">
        <v>442</v>
      </c>
      <c r="L1106" s="9"/>
      <c r="M1106" s="9"/>
      <c r="N1106" s="9" t="str">
        <f ca="1">IFERROR(__xludf.DUMMYFUNCTION("IFERROR(VALUE(REGEXEXTRACT(TO_TEXT($F1106), N$1 &amp; ""x(\d+)"")), """")
"),"")</f>
        <v/>
      </c>
      <c r="O1106" s="9">
        <f ca="1">IFERROR(__xludf.DUMMYFUNCTION("IFERROR(VALUE(REGEXEXTRACT(TO_TEXT($F1106), O$1 &amp; ""x(\d+)"")), """")"),1)</f>
        <v>1</v>
      </c>
      <c r="P1106" s="9" t="str">
        <f ca="1">IFERROR(__xludf.DUMMYFUNCTION("IFERROR(VALUE(REGEXEXTRACT(TO_TEXT($F1106), P$1 &amp; ""x(\d+)"")), """")"),"")</f>
        <v/>
      </c>
      <c r="Q1106" s="9" t="str">
        <f ca="1">IFERROR(__xludf.DUMMYFUNCTION("IFERROR(VALUE(REGEXEXTRACT(TO_TEXT($F1106), Q$1 &amp; ""x(\d+)"")), """")"),"")</f>
        <v/>
      </c>
      <c r="R1106" s="9" t="str">
        <f ca="1">IFERROR(__xludf.DUMMYFUNCTION("IFERROR(VALUE(REGEXEXTRACT(TO_TEXT($F1106), R$1 &amp; ""x(\d+)"")), """")"),"")</f>
        <v/>
      </c>
      <c r="S1106" s="9" t="str">
        <f ca="1">IFERROR(__xludf.DUMMYFUNCTION("IFERROR(VALUE(REGEXEXTRACT(TO_TEXT($F1106), S$1 &amp; ""x(\d+)"")), """")"),"")</f>
        <v/>
      </c>
      <c r="T1106" s="9" t="str">
        <f ca="1">IFERROR(__xludf.DUMMYFUNCTION("IFERROR(VALUE(REGEXEXTRACT(TO_TEXT($F1106), T$1 &amp; ""x(\d+)"")), """")"),"")</f>
        <v/>
      </c>
      <c r="U1106" s="9" t="str">
        <f ca="1">IFERROR(__xludf.DUMMYFUNCTION("IFERROR(VALUE(REGEXEXTRACT(TO_TEXT($F1106), U$1 &amp; ""x(\d+)"")), """")"),"")</f>
        <v/>
      </c>
      <c r="V1106" s="9" t="str">
        <f ca="1">IFERROR(__xludf.DUMMYFUNCTION("IFERROR(VALUE(REGEXEXTRACT(TO_TEXT($F1106), V$1 &amp; ""x(\d+)"")), """")"),"")</f>
        <v/>
      </c>
      <c r="W1106" s="9"/>
      <c r="X1106" s="9"/>
      <c r="Y1106" s="9"/>
      <c r="Z1106" s="9"/>
    </row>
    <row r="1107" spans="1:26" ht="15.75" customHeight="1">
      <c r="A1107" s="9" t="s">
        <v>2154</v>
      </c>
      <c r="B1107" s="9" t="s">
        <v>2155</v>
      </c>
      <c r="C1107" s="9" t="s">
        <v>2156</v>
      </c>
      <c r="D1107" s="9" t="s">
        <v>33</v>
      </c>
      <c r="E1107" s="9" t="s">
        <v>12</v>
      </c>
      <c r="F1107" s="9" t="s">
        <v>1094</v>
      </c>
      <c r="G1107" s="9">
        <v>55</v>
      </c>
      <c r="H1107" s="9">
        <v>4</v>
      </c>
      <c r="I1107" s="9">
        <v>1.0149999999999999</v>
      </c>
      <c r="J1107" s="9">
        <v>107</v>
      </c>
      <c r="K1107" s="9" t="s">
        <v>442</v>
      </c>
      <c r="L1107" s="9"/>
      <c r="M1107" s="9"/>
      <c r="N1107" s="9" t="str">
        <f ca="1">IFERROR(__xludf.DUMMYFUNCTION("IFERROR(VALUE(REGEXEXTRACT(TO_TEXT($F1107), N$1 &amp; ""x(\d+)"")), """")
"),"")</f>
        <v/>
      </c>
      <c r="O1107" s="9">
        <f ca="1">IFERROR(__xludf.DUMMYFUNCTION("IFERROR(VALUE(REGEXEXTRACT(TO_TEXT($F1107), O$1 &amp; ""x(\d+)"")), """")"),1)</f>
        <v>1</v>
      </c>
      <c r="P1107" s="9" t="str">
        <f ca="1">IFERROR(__xludf.DUMMYFUNCTION("IFERROR(VALUE(REGEXEXTRACT(TO_TEXT($F1107), P$1 &amp; ""x(\d+)"")), """")"),"")</f>
        <v/>
      </c>
      <c r="Q1107" s="9" t="str">
        <f ca="1">IFERROR(__xludf.DUMMYFUNCTION("IFERROR(VALUE(REGEXEXTRACT(TO_TEXT($F1107), Q$1 &amp; ""x(\d+)"")), """")"),"")</f>
        <v/>
      </c>
      <c r="R1107" s="9" t="str">
        <f ca="1">IFERROR(__xludf.DUMMYFUNCTION("IFERROR(VALUE(REGEXEXTRACT(TO_TEXT($F1107), R$1 &amp; ""x(\d+)"")), """")"),"")</f>
        <v/>
      </c>
      <c r="S1107" s="9" t="str">
        <f ca="1">IFERROR(__xludf.DUMMYFUNCTION("IFERROR(VALUE(REGEXEXTRACT(TO_TEXT($F1107), S$1 &amp; ""x(\d+)"")), """")"),"")</f>
        <v/>
      </c>
      <c r="T1107" s="9" t="str">
        <f ca="1">IFERROR(__xludf.DUMMYFUNCTION("IFERROR(VALUE(REGEXEXTRACT(TO_TEXT($F1107), T$1 &amp; ""x(\d+)"")), """")"),"")</f>
        <v/>
      </c>
      <c r="U1107" s="9" t="str">
        <f ca="1">IFERROR(__xludf.DUMMYFUNCTION("IFERROR(VALUE(REGEXEXTRACT(TO_TEXT($F1107), U$1 &amp; ""x(\d+)"")), """")"),"")</f>
        <v/>
      </c>
      <c r="V1107" s="9" t="str">
        <f ca="1">IFERROR(__xludf.DUMMYFUNCTION("IFERROR(VALUE(REGEXEXTRACT(TO_TEXT($F1107), V$1 &amp; ""x(\d+)"")), """")"),"")</f>
        <v/>
      </c>
      <c r="W1107" s="9"/>
      <c r="X1107" s="9"/>
      <c r="Y1107" s="9"/>
      <c r="Z1107" s="9"/>
    </row>
    <row r="1108" spans="1:26" ht="15.75" customHeight="1">
      <c r="A1108" s="9" t="s">
        <v>2154</v>
      </c>
      <c r="B1108" s="9" t="s">
        <v>2155</v>
      </c>
      <c r="C1108" s="9" t="s">
        <v>2156</v>
      </c>
      <c r="D1108" s="9" t="s">
        <v>33</v>
      </c>
      <c r="E1108" s="9" t="s">
        <v>13</v>
      </c>
      <c r="F1108" s="9" t="s">
        <v>1058</v>
      </c>
      <c r="G1108" s="9">
        <v>15</v>
      </c>
      <c r="H1108" s="9">
        <v>4</v>
      </c>
      <c r="I1108" s="9">
        <v>1.0149999999999999</v>
      </c>
      <c r="J1108" s="9">
        <v>107</v>
      </c>
      <c r="K1108" s="9" t="s">
        <v>442</v>
      </c>
      <c r="L1108" s="9"/>
      <c r="M1108" s="9"/>
      <c r="N1108" s="9" t="str">
        <f ca="1">IFERROR(__xludf.DUMMYFUNCTION("IFERROR(VALUE(REGEXEXTRACT(TO_TEXT($F1108), N$1 &amp; ""x(\d+)"")), """")
"),"")</f>
        <v/>
      </c>
      <c r="O1108" s="9">
        <f ca="1">IFERROR(__xludf.DUMMYFUNCTION("IFERROR(VALUE(REGEXEXTRACT(TO_TEXT($F1108), O$1 &amp; ""x(\d+)"")), """")"),1)</f>
        <v>1</v>
      </c>
      <c r="P1108" s="9" t="str">
        <f ca="1">IFERROR(__xludf.DUMMYFUNCTION("IFERROR(VALUE(REGEXEXTRACT(TO_TEXT($F1108), P$1 &amp; ""x(\d+)"")), """")"),"")</f>
        <v/>
      </c>
      <c r="Q1108" s="9" t="str">
        <f ca="1">IFERROR(__xludf.DUMMYFUNCTION("IFERROR(VALUE(REGEXEXTRACT(TO_TEXT($F1108), Q$1 &amp; ""x(\d+)"")), """")"),"")</f>
        <v/>
      </c>
      <c r="R1108" s="9" t="str">
        <f ca="1">IFERROR(__xludf.DUMMYFUNCTION("IFERROR(VALUE(REGEXEXTRACT(TO_TEXT($F1108), R$1 &amp; ""x(\d+)"")), """")"),"")</f>
        <v/>
      </c>
      <c r="S1108" s="9" t="str">
        <f ca="1">IFERROR(__xludf.DUMMYFUNCTION("IFERROR(VALUE(REGEXEXTRACT(TO_TEXT($F1108), S$1 &amp; ""x(\d+)"")), """")"),"")</f>
        <v/>
      </c>
      <c r="T1108" s="9" t="str">
        <f ca="1">IFERROR(__xludf.DUMMYFUNCTION("IFERROR(VALUE(REGEXEXTRACT(TO_TEXT($F1108), T$1 &amp; ""x(\d+)"")), """")"),"")</f>
        <v/>
      </c>
      <c r="U1108" s="9" t="str">
        <f ca="1">IFERROR(__xludf.DUMMYFUNCTION("IFERROR(VALUE(REGEXEXTRACT(TO_TEXT($F1108), U$1 &amp; ""x(\d+)"")), """")"),"")</f>
        <v/>
      </c>
      <c r="V1108" s="9" t="str">
        <f ca="1">IFERROR(__xludf.DUMMYFUNCTION("IFERROR(VALUE(REGEXEXTRACT(TO_TEXT($F1108), V$1 &amp; ""x(\d+)"")), """")"),"")</f>
        <v/>
      </c>
      <c r="W1108" s="9"/>
      <c r="X1108" s="9"/>
      <c r="Y1108" s="9"/>
      <c r="Z1108" s="9"/>
    </row>
    <row r="1109" spans="1:26" ht="15.75" customHeight="1">
      <c r="A1109" s="9" t="s">
        <v>2157</v>
      </c>
      <c r="B1109" s="9" t="s">
        <v>2158</v>
      </c>
      <c r="C1109" s="9" t="s">
        <v>2159</v>
      </c>
      <c r="D1109" s="9" t="s">
        <v>48</v>
      </c>
      <c r="E1109" s="9" t="s">
        <v>11</v>
      </c>
      <c r="F1109" s="9" t="s">
        <v>1805</v>
      </c>
      <c r="G1109" s="9">
        <v>40</v>
      </c>
      <c r="H1109" s="9">
        <v>5</v>
      </c>
      <c r="I1109" s="9">
        <v>1.0149999999999999</v>
      </c>
      <c r="J1109" s="9">
        <v>52</v>
      </c>
      <c r="K1109" s="9" t="s">
        <v>424</v>
      </c>
      <c r="L1109" s="9"/>
      <c r="M1109" s="9"/>
      <c r="N1109" s="9" t="str">
        <f ca="1">IFERROR(__xludf.DUMMYFUNCTION("IFERROR(VALUE(REGEXEXTRACT(TO_TEXT($F1109), N$1 &amp; ""x(\d+)"")), """")
"),"")</f>
        <v/>
      </c>
      <c r="O1109" s="9" t="str">
        <f ca="1">IFERROR(__xludf.DUMMYFUNCTION("IFERROR(VALUE(REGEXEXTRACT(TO_TEXT($F1109), O$1 &amp; ""x(\d+)"")), """")"),"")</f>
        <v/>
      </c>
      <c r="P1109" s="9" t="str">
        <f ca="1">IFERROR(__xludf.DUMMYFUNCTION("IFERROR(VALUE(REGEXEXTRACT(TO_TEXT($F1109), P$1 &amp; ""x(\d+)"")), """")"),"")</f>
        <v/>
      </c>
      <c r="Q1109" s="9" t="str">
        <f ca="1">IFERROR(__xludf.DUMMYFUNCTION("IFERROR(VALUE(REGEXEXTRACT(TO_TEXT($F1109), Q$1 &amp; ""x(\d+)"")), """")"),"")</f>
        <v/>
      </c>
      <c r="R1109" s="9" t="str">
        <f ca="1">IFERROR(__xludf.DUMMYFUNCTION("IFERROR(VALUE(REGEXEXTRACT(TO_TEXT($F1109), R$1 &amp; ""x(\d+)"")), """")"),"")</f>
        <v/>
      </c>
      <c r="S1109" s="9" t="str">
        <f ca="1">IFERROR(__xludf.DUMMYFUNCTION("IFERROR(VALUE(REGEXEXTRACT(TO_TEXT($F1109), S$1 &amp; ""x(\d+)"")), """")"),"")</f>
        <v/>
      </c>
      <c r="T1109" s="9" t="str">
        <f ca="1">IFERROR(__xludf.DUMMYFUNCTION("IFERROR(VALUE(REGEXEXTRACT(TO_TEXT($F1109), T$1 &amp; ""x(\d+)"")), """")"),"")</f>
        <v/>
      </c>
      <c r="U1109" s="9" t="str">
        <f ca="1">IFERROR(__xludf.DUMMYFUNCTION("IFERROR(VALUE(REGEXEXTRACT(TO_TEXT($F1109), U$1 &amp; ""x(\d+)"")), """")"),"")</f>
        <v/>
      </c>
      <c r="V1109" s="9" t="str">
        <f ca="1">IFERROR(__xludf.DUMMYFUNCTION("IFERROR(VALUE(REGEXEXTRACT(TO_TEXT($F1109), V$1 &amp; ""x(\d+)"")), """")"),"")</f>
        <v/>
      </c>
      <c r="W1109" s="9"/>
      <c r="X1109" s="9"/>
      <c r="Y1109" s="9"/>
      <c r="Z1109" s="9"/>
    </row>
    <row r="1110" spans="1:26" ht="15.75" customHeight="1">
      <c r="A1110" s="9" t="s">
        <v>2157</v>
      </c>
      <c r="B1110" s="9" t="s">
        <v>2158</v>
      </c>
      <c r="C1110" s="9" t="s">
        <v>2159</v>
      </c>
      <c r="D1110" s="9" t="s">
        <v>48</v>
      </c>
      <c r="E1110" s="9" t="s">
        <v>12</v>
      </c>
      <c r="F1110" s="9" t="s">
        <v>1302</v>
      </c>
      <c r="G1110" s="9">
        <v>140</v>
      </c>
      <c r="H1110" s="9">
        <v>5</v>
      </c>
      <c r="I1110" s="9">
        <v>1.0149999999999999</v>
      </c>
      <c r="J1110" s="9">
        <v>52</v>
      </c>
      <c r="K1110" s="9" t="s">
        <v>424</v>
      </c>
      <c r="L1110" s="9"/>
      <c r="M1110" s="9"/>
      <c r="N1110" s="9" t="str">
        <f ca="1">IFERROR(__xludf.DUMMYFUNCTION("IFERROR(VALUE(REGEXEXTRACT(TO_TEXT($F1110), N$1 &amp; ""x(\d+)"")), """")
"),"")</f>
        <v/>
      </c>
      <c r="O1110" s="9" t="str">
        <f ca="1">IFERROR(__xludf.DUMMYFUNCTION("IFERROR(VALUE(REGEXEXTRACT(TO_TEXT($F1110), O$1 &amp; ""x(\d+)"")), """")"),"")</f>
        <v/>
      </c>
      <c r="P1110" s="9">
        <f ca="1">IFERROR(__xludf.DUMMYFUNCTION("IFERROR(VALUE(REGEXEXTRACT(TO_TEXT($F1110), P$1 &amp; ""x(\d+)"")), """")"),1)</f>
        <v>1</v>
      </c>
      <c r="Q1110" s="9" t="str">
        <f ca="1">IFERROR(__xludf.DUMMYFUNCTION("IFERROR(VALUE(REGEXEXTRACT(TO_TEXT($F1110), Q$1 &amp; ""x(\d+)"")), """")"),"")</f>
        <v/>
      </c>
      <c r="R1110" s="9" t="str">
        <f ca="1">IFERROR(__xludf.DUMMYFUNCTION("IFERROR(VALUE(REGEXEXTRACT(TO_TEXT($F1110), R$1 &amp; ""x(\d+)"")), """")"),"")</f>
        <v/>
      </c>
      <c r="S1110" s="9" t="str">
        <f ca="1">IFERROR(__xludf.DUMMYFUNCTION("IFERROR(VALUE(REGEXEXTRACT(TO_TEXT($F1110), S$1 &amp; ""x(\d+)"")), """")"),"")</f>
        <v/>
      </c>
      <c r="T1110" s="9" t="str">
        <f ca="1">IFERROR(__xludf.DUMMYFUNCTION("IFERROR(VALUE(REGEXEXTRACT(TO_TEXT($F1110), T$1 &amp; ""x(\d+)"")), """")"),"")</f>
        <v/>
      </c>
      <c r="U1110" s="9" t="str">
        <f ca="1">IFERROR(__xludf.DUMMYFUNCTION("IFERROR(VALUE(REGEXEXTRACT(TO_TEXT($F1110), U$1 &amp; ""x(\d+)"")), """")"),"")</f>
        <v/>
      </c>
      <c r="V1110" s="9" t="str">
        <f ca="1">IFERROR(__xludf.DUMMYFUNCTION("IFERROR(VALUE(REGEXEXTRACT(TO_TEXT($F1110), V$1 &amp; ""x(\d+)"")), """")"),"")</f>
        <v/>
      </c>
      <c r="W1110" s="9"/>
      <c r="X1110" s="9"/>
      <c r="Y1110" s="9"/>
      <c r="Z1110" s="9"/>
    </row>
    <row r="1111" spans="1:26" ht="15.75" customHeight="1">
      <c r="A1111" s="9" t="s">
        <v>2157</v>
      </c>
      <c r="B1111" s="9" t="s">
        <v>2158</v>
      </c>
      <c r="C1111" s="9" t="s">
        <v>2159</v>
      </c>
      <c r="D1111" s="9" t="s">
        <v>48</v>
      </c>
      <c r="E1111" s="9" t="s">
        <v>13</v>
      </c>
      <c r="F1111" s="9" t="s">
        <v>1216</v>
      </c>
      <c r="G1111" s="9">
        <v>30</v>
      </c>
      <c r="H1111" s="9">
        <v>5</v>
      </c>
      <c r="I1111" s="9">
        <v>1.0149999999999999</v>
      </c>
      <c r="J1111" s="9">
        <v>52</v>
      </c>
      <c r="K1111" s="9" t="s">
        <v>424</v>
      </c>
      <c r="L1111" s="9"/>
      <c r="M1111" s="9"/>
      <c r="N1111" s="9" t="str">
        <f ca="1">IFERROR(__xludf.DUMMYFUNCTION("IFERROR(VALUE(REGEXEXTRACT(TO_TEXT($F1111), N$1 &amp; ""x(\d+)"")), """")
"),"")</f>
        <v/>
      </c>
      <c r="O1111" s="9" t="str">
        <f ca="1">IFERROR(__xludf.DUMMYFUNCTION("IFERROR(VALUE(REGEXEXTRACT(TO_TEXT($F1111), O$1 &amp; ""x(\d+)"")), """")"),"")</f>
        <v/>
      </c>
      <c r="P1111" s="9">
        <f ca="1">IFERROR(__xludf.DUMMYFUNCTION("IFERROR(VALUE(REGEXEXTRACT(TO_TEXT($F1111), P$1 &amp; ""x(\d+)"")), """")"),1)</f>
        <v>1</v>
      </c>
      <c r="Q1111" s="9" t="str">
        <f ca="1">IFERROR(__xludf.DUMMYFUNCTION("IFERROR(VALUE(REGEXEXTRACT(TO_TEXT($F1111), Q$1 &amp; ""x(\d+)"")), """")"),"")</f>
        <v/>
      </c>
      <c r="R1111" s="9" t="str">
        <f ca="1">IFERROR(__xludf.DUMMYFUNCTION("IFERROR(VALUE(REGEXEXTRACT(TO_TEXT($F1111), R$1 &amp; ""x(\d+)"")), """")"),"")</f>
        <v/>
      </c>
      <c r="S1111" s="9" t="str">
        <f ca="1">IFERROR(__xludf.DUMMYFUNCTION("IFERROR(VALUE(REGEXEXTRACT(TO_TEXT($F1111), S$1 &amp; ""x(\d+)"")), """")"),"")</f>
        <v/>
      </c>
      <c r="T1111" s="9" t="str">
        <f ca="1">IFERROR(__xludf.DUMMYFUNCTION("IFERROR(VALUE(REGEXEXTRACT(TO_TEXT($F1111), T$1 &amp; ""x(\d+)"")), """")"),"")</f>
        <v/>
      </c>
      <c r="U1111" s="9" t="str">
        <f ca="1">IFERROR(__xludf.DUMMYFUNCTION("IFERROR(VALUE(REGEXEXTRACT(TO_TEXT($F1111), U$1 &amp; ""x(\d+)"")), """")"),"")</f>
        <v/>
      </c>
      <c r="V1111" s="9" t="str">
        <f ca="1">IFERROR(__xludf.DUMMYFUNCTION("IFERROR(VALUE(REGEXEXTRACT(TO_TEXT($F1111), V$1 &amp; ""x(\d+)"")), """")"),"")</f>
        <v/>
      </c>
      <c r="W1111" s="9"/>
      <c r="X1111" s="9"/>
      <c r="Y1111" s="9"/>
      <c r="Z1111" s="9"/>
    </row>
    <row r="1112" spans="1:26" ht="15.75" customHeight="1">
      <c r="A1112" s="9" t="s">
        <v>2160</v>
      </c>
      <c r="B1112" s="9" t="s">
        <v>2161</v>
      </c>
      <c r="C1112" s="9" t="s">
        <v>2162</v>
      </c>
      <c r="D1112" s="9" t="s">
        <v>33</v>
      </c>
      <c r="E1112" s="9" t="s">
        <v>11</v>
      </c>
      <c r="F1112" s="9" t="s">
        <v>2163</v>
      </c>
      <c r="G1112" s="9">
        <v>30</v>
      </c>
      <c r="H1112" s="9">
        <v>2</v>
      </c>
      <c r="I1112" s="9">
        <v>1.0149999999999999</v>
      </c>
      <c r="J1112" s="9">
        <v>60</v>
      </c>
      <c r="K1112" s="9" t="s">
        <v>442</v>
      </c>
      <c r="L1112" s="9"/>
      <c r="M1112" s="9"/>
      <c r="N1112" s="9" t="str">
        <f ca="1">IFERROR(__xludf.DUMMYFUNCTION("IFERROR(VALUE(REGEXEXTRACT(TO_TEXT($F1112), N$1 &amp; ""x(\d+)"")), """")
"),"")</f>
        <v/>
      </c>
      <c r="O1112" s="9" t="str">
        <f ca="1">IFERROR(__xludf.DUMMYFUNCTION("IFERROR(VALUE(REGEXEXTRACT(TO_TEXT($F1112), O$1 &amp; ""x(\d+)"")), """")"),"")</f>
        <v/>
      </c>
      <c r="P1112" s="9" t="str">
        <f ca="1">IFERROR(__xludf.DUMMYFUNCTION("IFERROR(VALUE(REGEXEXTRACT(TO_TEXT($F1112), P$1 &amp; ""x(\d+)"")), """")"),"")</f>
        <v/>
      </c>
      <c r="Q1112" s="9" t="str">
        <f ca="1">IFERROR(__xludf.DUMMYFUNCTION("IFERROR(VALUE(REGEXEXTRACT(TO_TEXT($F1112), Q$1 &amp; ""x(\d+)"")), """")"),"")</f>
        <v/>
      </c>
      <c r="R1112" s="9" t="str">
        <f ca="1">IFERROR(__xludf.DUMMYFUNCTION("IFERROR(VALUE(REGEXEXTRACT(TO_TEXT($F1112), R$1 &amp; ""x(\d+)"")), """")"),"")</f>
        <v/>
      </c>
      <c r="S1112" s="9" t="str">
        <f ca="1">IFERROR(__xludf.DUMMYFUNCTION("IFERROR(VALUE(REGEXEXTRACT(TO_TEXT($F1112), S$1 &amp; ""x(\d+)"")), """")"),"")</f>
        <v/>
      </c>
      <c r="T1112" s="9" t="str">
        <f ca="1">IFERROR(__xludf.DUMMYFUNCTION("IFERROR(VALUE(REGEXEXTRACT(TO_TEXT($F1112), T$1 &amp; ""x(\d+)"")), """")"),"")</f>
        <v/>
      </c>
      <c r="U1112" s="9" t="str">
        <f ca="1">IFERROR(__xludf.DUMMYFUNCTION("IFERROR(VALUE(REGEXEXTRACT(TO_TEXT($F1112), U$1 &amp; ""x(\d+)"")), """")"),"")</f>
        <v/>
      </c>
      <c r="V1112" s="9" t="str">
        <f ca="1">IFERROR(__xludf.DUMMYFUNCTION("IFERROR(VALUE(REGEXEXTRACT(TO_TEXT($F1112), V$1 &amp; ""x(\d+)"")), """")"),"")</f>
        <v/>
      </c>
      <c r="W1112" s="9"/>
      <c r="X1112" s="9"/>
      <c r="Y1112" s="9"/>
      <c r="Z1112" s="9"/>
    </row>
    <row r="1113" spans="1:26" ht="15.75" customHeight="1">
      <c r="A1113" s="9" t="s">
        <v>2160</v>
      </c>
      <c r="B1113" s="9" t="s">
        <v>2161</v>
      </c>
      <c r="C1113" s="9" t="s">
        <v>2162</v>
      </c>
      <c r="D1113" s="9" t="s">
        <v>33</v>
      </c>
      <c r="E1113" s="9" t="s">
        <v>12</v>
      </c>
      <c r="F1113" s="9" t="s">
        <v>2164</v>
      </c>
      <c r="G1113" s="9">
        <v>125</v>
      </c>
      <c r="H1113" s="9">
        <v>2</v>
      </c>
      <c r="I1113" s="9">
        <v>1.0149999999999999</v>
      </c>
      <c r="J1113" s="9">
        <v>60</v>
      </c>
      <c r="K1113" s="9" t="s">
        <v>442</v>
      </c>
      <c r="L1113" s="9"/>
      <c r="M1113" s="9"/>
      <c r="N1113" s="9" t="str">
        <f ca="1">IFERROR(__xludf.DUMMYFUNCTION("IFERROR(VALUE(REGEXEXTRACT(TO_TEXT($F1113), N$1 &amp; ""x(\d+)"")), """")
"),"")</f>
        <v/>
      </c>
      <c r="O1113" s="9" t="str">
        <f ca="1">IFERROR(__xludf.DUMMYFUNCTION("IFERROR(VALUE(REGEXEXTRACT(TO_TEXT($F1113), O$1 &amp; ""x(\d+)"")), """")"),"")</f>
        <v/>
      </c>
      <c r="P1113" s="9" t="str">
        <f ca="1">IFERROR(__xludf.DUMMYFUNCTION("IFERROR(VALUE(REGEXEXTRACT(TO_TEXT($F1113), P$1 &amp; ""x(\d+)"")), """")"),"")</f>
        <v/>
      </c>
      <c r="Q1113" s="9" t="str">
        <f ca="1">IFERROR(__xludf.DUMMYFUNCTION("IFERROR(VALUE(REGEXEXTRACT(TO_TEXT($F1113), Q$1 &amp; ""x(\d+)"")), """")"),"")</f>
        <v/>
      </c>
      <c r="R1113" s="9" t="str">
        <f ca="1">IFERROR(__xludf.DUMMYFUNCTION("IFERROR(VALUE(REGEXEXTRACT(TO_TEXT($F1113), R$1 &amp; ""x(\d+)"")), """")"),"")</f>
        <v/>
      </c>
      <c r="S1113" s="9" t="str">
        <f ca="1">IFERROR(__xludf.DUMMYFUNCTION("IFERROR(VALUE(REGEXEXTRACT(TO_TEXT($F1113), S$1 &amp; ""x(\d+)"")), """")"),"")</f>
        <v/>
      </c>
      <c r="T1113" s="9" t="str">
        <f ca="1">IFERROR(__xludf.DUMMYFUNCTION("IFERROR(VALUE(REGEXEXTRACT(TO_TEXT($F1113), T$1 &amp; ""x(\d+)"")), """")"),"")</f>
        <v/>
      </c>
      <c r="U1113" s="9" t="str">
        <f ca="1">IFERROR(__xludf.DUMMYFUNCTION("IFERROR(VALUE(REGEXEXTRACT(TO_TEXT($F1113), U$1 &amp; ""x(\d+)"")), """")"),"")</f>
        <v/>
      </c>
      <c r="V1113" s="9" t="str">
        <f ca="1">IFERROR(__xludf.DUMMYFUNCTION("IFERROR(VALUE(REGEXEXTRACT(TO_TEXT($F1113), V$1 &amp; ""x(\d+)"")), """")"),"")</f>
        <v/>
      </c>
      <c r="W1113" s="9"/>
      <c r="X1113" s="9"/>
      <c r="Y1113" s="9"/>
      <c r="Z1113" s="9"/>
    </row>
    <row r="1114" spans="1:26" ht="15.75" customHeight="1">
      <c r="A1114" s="9" t="s">
        <v>2160</v>
      </c>
      <c r="B1114" s="9" t="s">
        <v>2161</v>
      </c>
      <c r="C1114" s="9" t="s">
        <v>2162</v>
      </c>
      <c r="D1114" s="9" t="s">
        <v>33</v>
      </c>
      <c r="E1114" s="9" t="s">
        <v>13</v>
      </c>
      <c r="F1114" s="9" t="s">
        <v>2165</v>
      </c>
      <c r="G1114" s="9">
        <v>15</v>
      </c>
      <c r="H1114" s="9">
        <v>2</v>
      </c>
      <c r="I1114" s="9">
        <v>1.0149999999999999</v>
      </c>
      <c r="J1114" s="9">
        <v>60</v>
      </c>
      <c r="K1114" s="9" t="s">
        <v>442</v>
      </c>
      <c r="L1114" s="9"/>
      <c r="M1114" s="9"/>
      <c r="N1114" s="9" t="str">
        <f ca="1">IFERROR(__xludf.DUMMYFUNCTION("IFERROR(VALUE(REGEXEXTRACT(TO_TEXT($F1114), N$1 &amp; ""x(\d+)"")), """")
"),"")</f>
        <v/>
      </c>
      <c r="O1114" s="9" t="str">
        <f ca="1">IFERROR(__xludf.DUMMYFUNCTION("IFERROR(VALUE(REGEXEXTRACT(TO_TEXT($F1114), O$1 &amp; ""x(\d+)"")), """")"),"")</f>
        <v/>
      </c>
      <c r="P1114" s="9" t="str">
        <f ca="1">IFERROR(__xludf.DUMMYFUNCTION("IFERROR(VALUE(REGEXEXTRACT(TO_TEXT($F1114), P$1 &amp; ""x(\d+)"")), """")"),"")</f>
        <v/>
      </c>
      <c r="Q1114" s="9" t="str">
        <f ca="1">IFERROR(__xludf.DUMMYFUNCTION("IFERROR(VALUE(REGEXEXTRACT(TO_TEXT($F1114), Q$1 &amp; ""x(\d+)"")), """")"),"")</f>
        <v/>
      </c>
      <c r="R1114" s="9" t="str">
        <f ca="1">IFERROR(__xludf.DUMMYFUNCTION("IFERROR(VALUE(REGEXEXTRACT(TO_TEXT($F1114), R$1 &amp; ""x(\d+)"")), """")"),"")</f>
        <v/>
      </c>
      <c r="S1114" s="9" t="str">
        <f ca="1">IFERROR(__xludf.DUMMYFUNCTION("IFERROR(VALUE(REGEXEXTRACT(TO_TEXT($F1114), S$1 &amp; ""x(\d+)"")), """")"),"")</f>
        <v/>
      </c>
      <c r="T1114" s="9" t="str">
        <f ca="1">IFERROR(__xludf.DUMMYFUNCTION("IFERROR(VALUE(REGEXEXTRACT(TO_TEXT($F1114), T$1 &amp; ""x(\d+)"")), """")"),"")</f>
        <v/>
      </c>
      <c r="U1114" s="9" t="str">
        <f ca="1">IFERROR(__xludf.DUMMYFUNCTION("IFERROR(VALUE(REGEXEXTRACT(TO_TEXT($F1114), U$1 &amp; ""x(\d+)"")), """")"),"")</f>
        <v/>
      </c>
      <c r="V1114" s="9" t="str">
        <f ca="1">IFERROR(__xludf.DUMMYFUNCTION("IFERROR(VALUE(REGEXEXTRACT(TO_TEXT($F1114), V$1 &amp; ""x(\d+)"")), """")"),"")</f>
        <v/>
      </c>
      <c r="W1114" s="9"/>
      <c r="X1114" s="9"/>
      <c r="Y1114" s="9"/>
      <c r="Z1114" s="9"/>
    </row>
    <row r="1115" spans="1:26" ht="15.75" customHeight="1">
      <c r="A1115" s="9" t="s">
        <v>2166</v>
      </c>
      <c r="B1115" s="9" t="s">
        <v>2167</v>
      </c>
      <c r="C1115" s="9" t="s">
        <v>2168</v>
      </c>
      <c r="D1115" s="9" t="s">
        <v>40</v>
      </c>
      <c r="E1115" s="9" t="s">
        <v>11</v>
      </c>
      <c r="F1115" s="9" t="s">
        <v>2169</v>
      </c>
      <c r="G1115" s="9">
        <v>40</v>
      </c>
      <c r="H1115" s="9">
        <v>1</v>
      </c>
      <c r="I1115" s="9">
        <v>1.0149999999999999</v>
      </c>
      <c r="J1115" s="9">
        <v>412</v>
      </c>
      <c r="K1115" s="9" t="s">
        <v>442</v>
      </c>
      <c r="L1115" s="9"/>
      <c r="M1115" s="9"/>
      <c r="N1115" s="9" t="str">
        <f ca="1">IFERROR(__xludf.DUMMYFUNCTION("IFERROR(VALUE(REGEXEXTRACT(TO_TEXT($F1115), N$1 &amp; ""x(\d+)"")), """")
"),"")</f>
        <v/>
      </c>
      <c r="O1115" s="9" t="str">
        <f ca="1">IFERROR(__xludf.DUMMYFUNCTION("IFERROR(VALUE(REGEXEXTRACT(TO_TEXT($F1115), O$1 &amp; ""x(\d+)"")), """")"),"")</f>
        <v/>
      </c>
      <c r="P1115" s="9" t="str">
        <f ca="1">IFERROR(__xludf.DUMMYFUNCTION("IFERROR(VALUE(REGEXEXTRACT(TO_TEXT($F1115), P$1 &amp; ""x(\d+)"")), """")"),"")</f>
        <v/>
      </c>
      <c r="Q1115" s="9" t="str">
        <f ca="1">IFERROR(__xludf.DUMMYFUNCTION("IFERROR(VALUE(REGEXEXTRACT(TO_TEXT($F1115), Q$1 &amp; ""x(\d+)"")), """")"),"")</f>
        <v/>
      </c>
      <c r="R1115" s="9" t="str">
        <f ca="1">IFERROR(__xludf.DUMMYFUNCTION("IFERROR(VALUE(REGEXEXTRACT(TO_TEXT($F1115), R$1 &amp; ""x(\d+)"")), """")"),"")</f>
        <v/>
      </c>
      <c r="S1115" s="9" t="str">
        <f ca="1">IFERROR(__xludf.DUMMYFUNCTION("IFERROR(VALUE(REGEXEXTRACT(TO_TEXT($F1115), S$1 &amp; ""x(\d+)"")), """")"),"")</f>
        <v/>
      </c>
      <c r="T1115" s="9" t="str">
        <f ca="1">IFERROR(__xludf.DUMMYFUNCTION("IFERROR(VALUE(REGEXEXTRACT(TO_TEXT($F1115), T$1 &amp; ""x(\d+)"")), """")"),"")</f>
        <v/>
      </c>
      <c r="U1115" s="9" t="str">
        <f ca="1">IFERROR(__xludf.DUMMYFUNCTION("IFERROR(VALUE(REGEXEXTRACT(TO_TEXT($F1115), U$1 &amp; ""x(\d+)"")), """")"),"")</f>
        <v/>
      </c>
      <c r="V1115" s="9" t="str">
        <f ca="1">IFERROR(__xludf.DUMMYFUNCTION("IFERROR(VALUE(REGEXEXTRACT(TO_TEXT($F1115), V$1 &amp; ""x(\d+)"")), """")"),"")</f>
        <v/>
      </c>
      <c r="W1115" s="9"/>
      <c r="X1115" s="9"/>
      <c r="Y1115" s="9"/>
      <c r="Z1115" s="9"/>
    </row>
    <row r="1116" spans="1:26" ht="15.75" customHeight="1">
      <c r="A1116" s="9" t="s">
        <v>2166</v>
      </c>
      <c r="B1116" s="9" t="s">
        <v>2167</v>
      </c>
      <c r="C1116" s="9" t="s">
        <v>2168</v>
      </c>
      <c r="D1116" s="9" t="s">
        <v>40</v>
      </c>
      <c r="E1116" s="9" t="s">
        <v>12</v>
      </c>
      <c r="F1116" s="9" t="s">
        <v>2170</v>
      </c>
      <c r="G1116" s="9">
        <v>350</v>
      </c>
      <c r="H1116" s="9">
        <v>1</v>
      </c>
      <c r="I1116" s="9">
        <v>1.0149999999999999</v>
      </c>
      <c r="J1116" s="9">
        <v>412</v>
      </c>
      <c r="K1116" s="9" t="s">
        <v>442</v>
      </c>
      <c r="L1116" s="9"/>
      <c r="M1116" s="9"/>
      <c r="N1116" s="9" t="str">
        <f ca="1">IFERROR(__xludf.DUMMYFUNCTION("IFERROR(VALUE(REGEXEXTRACT(TO_TEXT($F1116), N$1 &amp; ""x(\d+)"")), """")
"),"")</f>
        <v/>
      </c>
      <c r="O1116" s="9" t="str">
        <f ca="1">IFERROR(__xludf.DUMMYFUNCTION("IFERROR(VALUE(REGEXEXTRACT(TO_TEXT($F1116), O$1 &amp; ""x(\d+)"")), """")"),"")</f>
        <v/>
      </c>
      <c r="P1116" s="9" t="str">
        <f ca="1">IFERROR(__xludf.DUMMYFUNCTION("IFERROR(VALUE(REGEXEXTRACT(TO_TEXT($F1116), P$1 &amp; ""x(\d+)"")), """")"),"")</f>
        <v/>
      </c>
      <c r="Q1116" s="9" t="str">
        <f ca="1">IFERROR(__xludf.DUMMYFUNCTION("IFERROR(VALUE(REGEXEXTRACT(TO_TEXT($F1116), Q$1 &amp; ""x(\d+)"")), """")"),"")</f>
        <v/>
      </c>
      <c r="R1116" s="9" t="str">
        <f ca="1">IFERROR(__xludf.DUMMYFUNCTION("IFERROR(VALUE(REGEXEXTRACT(TO_TEXT($F1116), R$1 &amp; ""x(\d+)"")), """")"),"")</f>
        <v/>
      </c>
      <c r="S1116" s="9">
        <f ca="1">IFERROR(__xludf.DUMMYFUNCTION("IFERROR(VALUE(REGEXEXTRACT(TO_TEXT($F1116), S$1 &amp; ""x(\d+)"")), """")"),1)</f>
        <v>1</v>
      </c>
      <c r="T1116" s="9" t="str">
        <f ca="1">IFERROR(__xludf.DUMMYFUNCTION("IFERROR(VALUE(REGEXEXTRACT(TO_TEXT($F1116), T$1 &amp; ""x(\d+)"")), """")"),"")</f>
        <v/>
      </c>
      <c r="U1116" s="9" t="str">
        <f ca="1">IFERROR(__xludf.DUMMYFUNCTION("IFERROR(VALUE(REGEXEXTRACT(TO_TEXT($F1116), U$1 &amp; ""x(\d+)"")), """")"),"")</f>
        <v/>
      </c>
      <c r="V1116" s="9" t="str">
        <f ca="1">IFERROR(__xludf.DUMMYFUNCTION("IFERROR(VALUE(REGEXEXTRACT(TO_TEXT($F1116), V$1 &amp; ""x(\d+)"")), """")"),"")</f>
        <v/>
      </c>
      <c r="W1116" s="9"/>
      <c r="X1116" s="9"/>
      <c r="Y1116" s="9"/>
      <c r="Z1116" s="9"/>
    </row>
    <row r="1117" spans="1:26" ht="15.75" customHeight="1">
      <c r="A1117" s="9" t="s">
        <v>2166</v>
      </c>
      <c r="B1117" s="9" t="s">
        <v>2167</v>
      </c>
      <c r="C1117" s="9" t="s">
        <v>2168</v>
      </c>
      <c r="D1117" s="9" t="s">
        <v>40</v>
      </c>
      <c r="E1117" s="9" t="s">
        <v>13</v>
      </c>
      <c r="F1117" s="9" t="s">
        <v>2171</v>
      </c>
      <c r="G1117" s="9">
        <v>40</v>
      </c>
      <c r="H1117" s="9">
        <v>1</v>
      </c>
      <c r="I1117" s="9">
        <v>1.0149999999999999</v>
      </c>
      <c r="J1117" s="9">
        <v>412</v>
      </c>
      <c r="K1117" s="9" t="s">
        <v>442</v>
      </c>
      <c r="L1117" s="9"/>
      <c r="M1117" s="9"/>
      <c r="N1117" s="9" t="str">
        <f ca="1">IFERROR(__xludf.DUMMYFUNCTION("IFERROR(VALUE(REGEXEXTRACT(TO_TEXT($F1117), N$1 &amp; ""x(\d+)"")), """")
"),"")</f>
        <v/>
      </c>
      <c r="O1117" s="9" t="str">
        <f ca="1">IFERROR(__xludf.DUMMYFUNCTION("IFERROR(VALUE(REGEXEXTRACT(TO_TEXT($F1117), O$1 &amp; ""x(\d+)"")), """")"),"")</f>
        <v/>
      </c>
      <c r="P1117" s="9" t="str">
        <f ca="1">IFERROR(__xludf.DUMMYFUNCTION("IFERROR(VALUE(REGEXEXTRACT(TO_TEXT($F1117), P$1 &amp; ""x(\d+)"")), """")"),"")</f>
        <v/>
      </c>
      <c r="Q1117" s="9" t="str">
        <f ca="1">IFERROR(__xludf.DUMMYFUNCTION("IFERROR(VALUE(REGEXEXTRACT(TO_TEXT($F1117), Q$1 &amp; ""x(\d+)"")), """")"),"")</f>
        <v/>
      </c>
      <c r="R1117" s="9" t="str">
        <f ca="1">IFERROR(__xludf.DUMMYFUNCTION("IFERROR(VALUE(REGEXEXTRACT(TO_TEXT($F1117), R$1 &amp; ""x(\d+)"")), """")"),"")</f>
        <v/>
      </c>
      <c r="S1117" s="9">
        <f ca="1">IFERROR(__xludf.DUMMYFUNCTION("IFERROR(VALUE(REGEXEXTRACT(TO_TEXT($F1117), S$1 &amp; ""x(\d+)"")), """")"),1)</f>
        <v>1</v>
      </c>
      <c r="T1117" s="9" t="str">
        <f ca="1">IFERROR(__xludf.DUMMYFUNCTION("IFERROR(VALUE(REGEXEXTRACT(TO_TEXT($F1117), T$1 &amp; ""x(\d+)"")), """")"),"")</f>
        <v/>
      </c>
      <c r="U1117" s="9" t="str">
        <f ca="1">IFERROR(__xludf.DUMMYFUNCTION("IFERROR(VALUE(REGEXEXTRACT(TO_TEXT($F1117), U$1 &amp; ""x(\d+)"")), """")"),"")</f>
        <v/>
      </c>
      <c r="V1117" s="9" t="str">
        <f ca="1">IFERROR(__xludf.DUMMYFUNCTION("IFERROR(VALUE(REGEXEXTRACT(TO_TEXT($F1117), V$1 &amp; ""x(\d+)"")), """")"),"")</f>
        <v/>
      </c>
      <c r="W1117" s="9"/>
      <c r="X1117" s="9"/>
      <c r="Y1117" s="9"/>
      <c r="Z1117" s="9"/>
    </row>
    <row r="1118" spans="1:26" ht="15.75" customHeight="1">
      <c r="A1118" s="9" t="s">
        <v>2166</v>
      </c>
      <c r="B1118" s="9" t="s">
        <v>2167</v>
      </c>
      <c r="C1118" s="9" t="s">
        <v>2168</v>
      </c>
      <c r="D1118" s="9" t="s">
        <v>33</v>
      </c>
      <c r="E1118" s="9" t="s">
        <v>11</v>
      </c>
      <c r="F1118" s="9" t="s">
        <v>2172</v>
      </c>
      <c r="G1118" s="9">
        <v>25</v>
      </c>
      <c r="H1118" s="9">
        <v>1</v>
      </c>
      <c r="I1118" s="9">
        <v>1.0149999999999999</v>
      </c>
      <c r="J1118" s="9">
        <v>100</v>
      </c>
      <c r="K1118" s="9" t="s">
        <v>442</v>
      </c>
      <c r="L1118" s="9"/>
      <c r="M1118" s="9"/>
      <c r="N1118" s="9" t="str">
        <f ca="1">IFERROR(__xludf.DUMMYFUNCTION("IFERROR(VALUE(REGEXEXTRACT(TO_TEXT($F1118), N$1 &amp; ""x(\d+)"")), """")
"),"")</f>
        <v/>
      </c>
      <c r="O1118" s="9" t="str">
        <f ca="1">IFERROR(__xludf.DUMMYFUNCTION("IFERROR(VALUE(REGEXEXTRACT(TO_TEXT($F1118), O$1 &amp; ""x(\d+)"")), """")"),"")</f>
        <v/>
      </c>
      <c r="P1118" s="9" t="str">
        <f ca="1">IFERROR(__xludf.DUMMYFUNCTION("IFERROR(VALUE(REGEXEXTRACT(TO_TEXT($F1118), P$1 &amp; ""x(\d+)"")), """")"),"")</f>
        <v/>
      </c>
      <c r="Q1118" s="9" t="str">
        <f ca="1">IFERROR(__xludf.DUMMYFUNCTION("IFERROR(VALUE(REGEXEXTRACT(TO_TEXT($F1118), Q$1 &amp; ""x(\d+)"")), """")"),"")</f>
        <v/>
      </c>
      <c r="R1118" s="9" t="str">
        <f ca="1">IFERROR(__xludf.DUMMYFUNCTION("IFERROR(VALUE(REGEXEXTRACT(TO_TEXT($F1118), R$1 &amp; ""x(\d+)"")), """")"),"")</f>
        <v/>
      </c>
      <c r="S1118" s="9" t="str">
        <f ca="1">IFERROR(__xludf.DUMMYFUNCTION("IFERROR(VALUE(REGEXEXTRACT(TO_TEXT($F1118), S$1 &amp; ""x(\d+)"")), """")"),"")</f>
        <v/>
      </c>
      <c r="T1118" s="9" t="str">
        <f ca="1">IFERROR(__xludf.DUMMYFUNCTION("IFERROR(VALUE(REGEXEXTRACT(TO_TEXT($F1118), T$1 &amp; ""x(\d+)"")), """")"),"")</f>
        <v/>
      </c>
      <c r="U1118" s="9" t="str">
        <f ca="1">IFERROR(__xludf.DUMMYFUNCTION("IFERROR(VALUE(REGEXEXTRACT(TO_TEXT($F1118), U$1 &amp; ""x(\d+)"")), """")"),"")</f>
        <v/>
      </c>
      <c r="V1118" s="9" t="str">
        <f ca="1">IFERROR(__xludf.DUMMYFUNCTION("IFERROR(VALUE(REGEXEXTRACT(TO_TEXT($F1118), V$1 &amp; ""x(\d+)"")), """")"),"")</f>
        <v/>
      </c>
      <c r="W1118" s="9"/>
      <c r="X1118" s="9"/>
      <c r="Y1118" s="9"/>
      <c r="Z1118" s="9"/>
    </row>
    <row r="1119" spans="1:26" ht="15.75" customHeight="1">
      <c r="A1119" s="9" t="s">
        <v>2166</v>
      </c>
      <c r="B1119" s="9" t="s">
        <v>2167</v>
      </c>
      <c r="C1119" s="9" t="s">
        <v>2168</v>
      </c>
      <c r="D1119" s="9" t="s">
        <v>33</v>
      </c>
      <c r="E1119" s="9" t="s">
        <v>12</v>
      </c>
      <c r="F1119" s="9" t="s">
        <v>2173</v>
      </c>
      <c r="G1119" s="9">
        <v>200</v>
      </c>
      <c r="H1119" s="9">
        <v>1</v>
      </c>
      <c r="I1119" s="9">
        <v>1.0149999999999999</v>
      </c>
      <c r="J1119" s="9">
        <v>100</v>
      </c>
      <c r="K1119" s="9" t="s">
        <v>442</v>
      </c>
      <c r="L1119" s="9"/>
      <c r="M1119" s="9"/>
      <c r="N1119" s="9" t="str">
        <f ca="1">IFERROR(__xludf.DUMMYFUNCTION("IFERROR(VALUE(REGEXEXTRACT(TO_TEXT($F1119), N$1 &amp; ""x(\d+)"")), """")
"),"")</f>
        <v/>
      </c>
      <c r="O1119" s="9" t="str">
        <f ca="1">IFERROR(__xludf.DUMMYFUNCTION("IFERROR(VALUE(REGEXEXTRACT(TO_TEXT($F1119), O$1 &amp; ""x(\d+)"")), """")"),"")</f>
        <v/>
      </c>
      <c r="P1119" s="9" t="str">
        <f ca="1">IFERROR(__xludf.DUMMYFUNCTION("IFERROR(VALUE(REGEXEXTRACT(TO_TEXT($F1119), P$1 &amp; ""x(\d+)"")), """")"),"")</f>
        <v/>
      </c>
      <c r="Q1119" s="9" t="str">
        <f ca="1">IFERROR(__xludf.DUMMYFUNCTION("IFERROR(VALUE(REGEXEXTRACT(TO_TEXT($F1119), Q$1 &amp; ""x(\d+)"")), """")"),"")</f>
        <v/>
      </c>
      <c r="R1119" s="9" t="str">
        <f ca="1">IFERROR(__xludf.DUMMYFUNCTION("IFERROR(VALUE(REGEXEXTRACT(TO_TEXT($F1119), R$1 &amp; ""x(\d+)"")), """")"),"")</f>
        <v/>
      </c>
      <c r="S1119" s="9" t="str">
        <f ca="1">IFERROR(__xludf.DUMMYFUNCTION("IFERROR(VALUE(REGEXEXTRACT(TO_TEXT($F1119), S$1 &amp; ""x(\d+)"")), """")"),"")</f>
        <v/>
      </c>
      <c r="T1119" s="9" t="str">
        <f ca="1">IFERROR(__xludf.DUMMYFUNCTION("IFERROR(VALUE(REGEXEXTRACT(TO_TEXT($F1119), T$1 &amp; ""x(\d+)"")), """")"),"")</f>
        <v/>
      </c>
      <c r="U1119" s="9" t="str">
        <f ca="1">IFERROR(__xludf.DUMMYFUNCTION("IFERROR(VALUE(REGEXEXTRACT(TO_TEXT($F1119), U$1 &amp; ""x(\d+)"")), """")"),"")</f>
        <v/>
      </c>
      <c r="V1119" s="9" t="str">
        <f ca="1">IFERROR(__xludf.DUMMYFUNCTION("IFERROR(VALUE(REGEXEXTRACT(TO_TEXT($F1119), V$1 &amp; ""x(\d+)"")), """")"),"")</f>
        <v/>
      </c>
      <c r="W1119" s="9"/>
      <c r="X1119" s="9"/>
      <c r="Y1119" s="9"/>
      <c r="Z1119" s="9"/>
    </row>
    <row r="1120" spans="1:26" ht="15.75" customHeight="1">
      <c r="A1120" s="9" t="s">
        <v>2166</v>
      </c>
      <c r="B1120" s="9" t="s">
        <v>2167</v>
      </c>
      <c r="C1120" s="9" t="s">
        <v>2168</v>
      </c>
      <c r="D1120" s="9" t="s">
        <v>33</v>
      </c>
      <c r="E1120" s="9" t="s">
        <v>13</v>
      </c>
      <c r="F1120" s="9" t="s">
        <v>2174</v>
      </c>
      <c r="G1120" s="9">
        <v>30</v>
      </c>
      <c r="H1120" s="9">
        <v>1</v>
      </c>
      <c r="I1120" s="9">
        <v>1.0149999999999999</v>
      </c>
      <c r="J1120" s="9">
        <v>100</v>
      </c>
      <c r="K1120" s="9" t="s">
        <v>442</v>
      </c>
      <c r="L1120" s="9"/>
      <c r="M1120" s="9"/>
      <c r="N1120" s="9" t="str">
        <f ca="1">IFERROR(__xludf.DUMMYFUNCTION("IFERROR(VALUE(REGEXEXTRACT(TO_TEXT($F1120), N$1 &amp; ""x(\d+)"")), """")
"),"")</f>
        <v/>
      </c>
      <c r="O1120" s="9" t="str">
        <f ca="1">IFERROR(__xludf.DUMMYFUNCTION("IFERROR(VALUE(REGEXEXTRACT(TO_TEXT($F1120), O$1 &amp; ""x(\d+)"")), """")"),"")</f>
        <v/>
      </c>
      <c r="P1120" s="9" t="str">
        <f ca="1">IFERROR(__xludf.DUMMYFUNCTION("IFERROR(VALUE(REGEXEXTRACT(TO_TEXT($F1120), P$1 &amp; ""x(\d+)"")), """")"),"")</f>
        <v/>
      </c>
      <c r="Q1120" s="9" t="str">
        <f ca="1">IFERROR(__xludf.DUMMYFUNCTION("IFERROR(VALUE(REGEXEXTRACT(TO_TEXT($F1120), Q$1 &amp; ""x(\d+)"")), """")"),"")</f>
        <v/>
      </c>
      <c r="R1120" s="9" t="str">
        <f ca="1">IFERROR(__xludf.DUMMYFUNCTION("IFERROR(VALUE(REGEXEXTRACT(TO_TEXT($F1120), R$1 &amp; ""x(\d+)"")), """")"),"")</f>
        <v/>
      </c>
      <c r="S1120" s="9" t="str">
        <f ca="1">IFERROR(__xludf.DUMMYFUNCTION("IFERROR(VALUE(REGEXEXTRACT(TO_TEXT($F1120), S$1 &amp; ""x(\d+)"")), """")"),"")</f>
        <v/>
      </c>
      <c r="T1120" s="9" t="str">
        <f ca="1">IFERROR(__xludf.DUMMYFUNCTION("IFERROR(VALUE(REGEXEXTRACT(TO_TEXT($F1120), T$1 &amp; ""x(\d+)"")), """")"),"")</f>
        <v/>
      </c>
      <c r="U1120" s="9" t="str">
        <f ca="1">IFERROR(__xludf.DUMMYFUNCTION("IFERROR(VALUE(REGEXEXTRACT(TO_TEXT($F1120), U$1 &amp; ""x(\d+)"")), """")"),"")</f>
        <v/>
      </c>
      <c r="V1120" s="9" t="str">
        <f ca="1">IFERROR(__xludf.DUMMYFUNCTION("IFERROR(VALUE(REGEXEXTRACT(TO_TEXT($F1120), V$1 &amp; ""x(\d+)"")), """")"),"")</f>
        <v/>
      </c>
      <c r="W1120" s="9"/>
      <c r="X1120" s="9"/>
      <c r="Y1120" s="9"/>
      <c r="Z1120" s="9"/>
    </row>
    <row r="1121" spans="1:26" ht="15.75" customHeight="1">
      <c r="A1121" s="9" t="s">
        <v>2175</v>
      </c>
      <c r="B1121" s="9" t="s">
        <v>2176</v>
      </c>
      <c r="C1121" s="9" t="s">
        <v>2177</v>
      </c>
      <c r="D1121" s="9" t="s">
        <v>40</v>
      </c>
      <c r="E1121" s="9" t="s">
        <v>11</v>
      </c>
      <c r="F1121" s="9" t="s">
        <v>2178</v>
      </c>
      <c r="G1121" s="9">
        <v>30</v>
      </c>
      <c r="H1121" s="9">
        <v>1</v>
      </c>
      <c r="I1121" s="9">
        <v>1.0149999999999999</v>
      </c>
      <c r="J1121" s="9">
        <v>412</v>
      </c>
      <c r="K1121" s="9" t="s">
        <v>442</v>
      </c>
      <c r="L1121" s="9"/>
      <c r="M1121" s="9"/>
      <c r="N1121" s="9" t="str">
        <f ca="1">IFERROR(__xludf.DUMMYFUNCTION("IFERROR(VALUE(REGEXEXTRACT(TO_TEXT($F1121), N$1 &amp; ""x(\d+)"")), """")
"),"")</f>
        <v/>
      </c>
      <c r="O1121" s="9" t="str">
        <f ca="1">IFERROR(__xludf.DUMMYFUNCTION("IFERROR(VALUE(REGEXEXTRACT(TO_TEXT($F1121), O$1 &amp; ""x(\d+)"")), """")"),"")</f>
        <v/>
      </c>
      <c r="P1121" s="9" t="str">
        <f ca="1">IFERROR(__xludf.DUMMYFUNCTION("IFERROR(VALUE(REGEXEXTRACT(TO_TEXT($F1121), P$1 &amp; ""x(\d+)"")), """")"),"")</f>
        <v/>
      </c>
      <c r="Q1121" s="9" t="str">
        <f ca="1">IFERROR(__xludf.DUMMYFUNCTION("IFERROR(VALUE(REGEXEXTRACT(TO_TEXT($F1121), Q$1 &amp; ""x(\d+)"")), """")"),"")</f>
        <v/>
      </c>
      <c r="R1121" s="9" t="str">
        <f ca="1">IFERROR(__xludf.DUMMYFUNCTION("IFERROR(VALUE(REGEXEXTRACT(TO_TEXT($F1121), R$1 &amp; ""x(\d+)"")), """")"),"")</f>
        <v/>
      </c>
      <c r="S1121" s="9" t="str">
        <f ca="1">IFERROR(__xludf.DUMMYFUNCTION("IFERROR(VALUE(REGEXEXTRACT(TO_TEXT($F1121), S$1 &amp; ""x(\d+)"")), """")"),"")</f>
        <v/>
      </c>
      <c r="T1121" s="9" t="str">
        <f ca="1">IFERROR(__xludf.DUMMYFUNCTION("IFERROR(VALUE(REGEXEXTRACT(TO_TEXT($F1121), T$1 &amp; ""x(\d+)"")), """")"),"")</f>
        <v/>
      </c>
      <c r="U1121" s="9" t="str">
        <f ca="1">IFERROR(__xludf.DUMMYFUNCTION("IFERROR(VALUE(REGEXEXTRACT(TO_TEXT($F1121), U$1 &amp; ""x(\d+)"")), """")"),"")</f>
        <v/>
      </c>
      <c r="V1121" s="9" t="str">
        <f ca="1">IFERROR(__xludf.DUMMYFUNCTION("IFERROR(VALUE(REGEXEXTRACT(TO_TEXT($F1121), V$1 &amp; ""x(\d+)"")), """")"),"")</f>
        <v/>
      </c>
      <c r="W1121" s="9"/>
      <c r="X1121" s="9"/>
      <c r="Y1121" s="9"/>
      <c r="Z1121" s="9"/>
    </row>
    <row r="1122" spans="1:26" ht="15.75" customHeight="1">
      <c r="A1122" s="9" t="s">
        <v>2175</v>
      </c>
      <c r="B1122" s="9" t="s">
        <v>2176</v>
      </c>
      <c r="C1122" s="9" t="s">
        <v>2177</v>
      </c>
      <c r="D1122" s="9" t="s">
        <v>40</v>
      </c>
      <c r="E1122" s="9" t="s">
        <v>12</v>
      </c>
      <c r="F1122" s="9" t="s">
        <v>2179</v>
      </c>
      <c r="G1122" s="9">
        <v>300</v>
      </c>
      <c r="H1122" s="9">
        <v>1</v>
      </c>
      <c r="I1122" s="9">
        <v>1.0149999999999999</v>
      </c>
      <c r="J1122" s="9">
        <v>412</v>
      </c>
      <c r="K1122" s="9" t="s">
        <v>442</v>
      </c>
      <c r="L1122" s="9"/>
      <c r="M1122" s="9"/>
      <c r="N1122" s="9" t="str">
        <f ca="1">IFERROR(__xludf.DUMMYFUNCTION("IFERROR(VALUE(REGEXEXTRACT(TO_TEXT($F1122), N$1 &amp; ""x(\d+)"")), """")
"),"")</f>
        <v/>
      </c>
      <c r="O1122" s="9" t="str">
        <f ca="1">IFERROR(__xludf.DUMMYFUNCTION("IFERROR(VALUE(REGEXEXTRACT(TO_TEXT($F1122), O$1 &amp; ""x(\d+)"")), """")"),"")</f>
        <v/>
      </c>
      <c r="P1122" s="9" t="str">
        <f ca="1">IFERROR(__xludf.DUMMYFUNCTION("IFERROR(VALUE(REGEXEXTRACT(TO_TEXT($F1122), P$1 &amp; ""x(\d+)"")), """")"),"")</f>
        <v/>
      </c>
      <c r="Q1122" s="9" t="str">
        <f ca="1">IFERROR(__xludf.DUMMYFUNCTION("IFERROR(VALUE(REGEXEXTRACT(TO_TEXT($F1122), Q$1 &amp; ""x(\d+)"")), """")"),"")</f>
        <v/>
      </c>
      <c r="R1122" s="9" t="str">
        <f ca="1">IFERROR(__xludf.DUMMYFUNCTION("IFERROR(VALUE(REGEXEXTRACT(TO_TEXT($F1122), R$1 &amp; ""x(\d+)"")), """")"),"")</f>
        <v/>
      </c>
      <c r="S1122" s="9">
        <f ca="1">IFERROR(__xludf.DUMMYFUNCTION("IFERROR(VALUE(REGEXEXTRACT(TO_TEXT($F1122), S$1 &amp; ""x(\d+)"")), """")"),1)</f>
        <v>1</v>
      </c>
      <c r="T1122" s="9" t="str">
        <f ca="1">IFERROR(__xludf.DUMMYFUNCTION("IFERROR(VALUE(REGEXEXTRACT(TO_TEXT($F1122), T$1 &amp; ""x(\d+)"")), """")"),"")</f>
        <v/>
      </c>
      <c r="U1122" s="9" t="str">
        <f ca="1">IFERROR(__xludf.DUMMYFUNCTION("IFERROR(VALUE(REGEXEXTRACT(TO_TEXT($F1122), U$1 &amp; ""x(\d+)"")), """")"),"")</f>
        <v/>
      </c>
      <c r="V1122" s="9" t="str">
        <f ca="1">IFERROR(__xludf.DUMMYFUNCTION("IFERROR(VALUE(REGEXEXTRACT(TO_TEXT($F1122), V$1 &amp; ""x(\d+)"")), """")"),"")</f>
        <v/>
      </c>
      <c r="W1122" s="9"/>
      <c r="X1122" s="9"/>
      <c r="Y1122" s="9"/>
      <c r="Z1122" s="9"/>
    </row>
    <row r="1123" spans="1:26" ht="15.75" customHeight="1">
      <c r="A1123" s="9" t="s">
        <v>2175</v>
      </c>
      <c r="B1123" s="9" t="s">
        <v>2176</v>
      </c>
      <c r="C1123" s="9" t="s">
        <v>2177</v>
      </c>
      <c r="D1123" s="9" t="s">
        <v>40</v>
      </c>
      <c r="E1123" s="9" t="s">
        <v>13</v>
      </c>
      <c r="F1123" s="9" t="s">
        <v>2180</v>
      </c>
      <c r="G1123" s="9">
        <v>30</v>
      </c>
      <c r="H1123" s="9">
        <v>1</v>
      </c>
      <c r="I1123" s="9">
        <v>1.0149999999999999</v>
      </c>
      <c r="J1123" s="9">
        <v>412</v>
      </c>
      <c r="K1123" s="9" t="s">
        <v>442</v>
      </c>
      <c r="L1123" s="9"/>
      <c r="M1123" s="9"/>
      <c r="N1123" s="9" t="str">
        <f ca="1">IFERROR(__xludf.DUMMYFUNCTION("IFERROR(VALUE(REGEXEXTRACT(TO_TEXT($F1123), N$1 &amp; ""x(\d+)"")), """")
"),"")</f>
        <v/>
      </c>
      <c r="O1123" s="9" t="str">
        <f ca="1">IFERROR(__xludf.DUMMYFUNCTION("IFERROR(VALUE(REGEXEXTRACT(TO_TEXT($F1123), O$1 &amp; ""x(\d+)"")), """")"),"")</f>
        <v/>
      </c>
      <c r="P1123" s="9" t="str">
        <f ca="1">IFERROR(__xludf.DUMMYFUNCTION("IFERROR(VALUE(REGEXEXTRACT(TO_TEXT($F1123), P$1 &amp; ""x(\d+)"")), """")"),"")</f>
        <v/>
      </c>
      <c r="Q1123" s="9" t="str">
        <f ca="1">IFERROR(__xludf.DUMMYFUNCTION("IFERROR(VALUE(REGEXEXTRACT(TO_TEXT($F1123), Q$1 &amp; ""x(\d+)"")), """")"),"")</f>
        <v/>
      </c>
      <c r="R1123" s="9" t="str">
        <f ca="1">IFERROR(__xludf.DUMMYFUNCTION("IFERROR(VALUE(REGEXEXTRACT(TO_TEXT($F1123), R$1 &amp; ""x(\d+)"")), """")"),"")</f>
        <v/>
      </c>
      <c r="S1123" s="9">
        <f ca="1">IFERROR(__xludf.DUMMYFUNCTION("IFERROR(VALUE(REGEXEXTRACT(TO_TEXT($F1123), S$1 &amp; ""x(\d+)"")), """")"),1)</f>
        <v>1</v>
      </c>
      <c r="T1123" s="9" t="str">
        <f ca="1">IFERROR(__xludf.DUMMYFUNCTION("IFERROR(VALUE(REGEXEXTRACT(TO_TEXT($F1123), T$1 &amp; ""x(\d+)"")), """")"),"")</f>
        <v/>
      </c>
      <c r="U1123" s="9" t="str">
        <f ca="1">IFERROR(__xludf.DUMMYFUNCTION("IFERROR(VALUE(REGEXEXTRACT(TO_TEXT($F1123), U$1 &amp; ""x(\d+)"")), """")"),"")</f>
        <v/>
      </c>
      <c r="V1123" s="9" t="str">
        <f ca="1">IFERROR(__xludf.DUMMYFUNCTION("IFERROR(VALUE(REGEXEXTRACT(TO_TEXT($F1123), V$1 &amp; ""x(\d+)"")), """")"),"")</f>
        <v/>
      </c>
      <c r="W1123" s="9"/>
      <c r="X1123" s="9"/>
      <c r="Y1123" s="9"/>
      <c r="Z1123" s="9"/>
    </row>
    <row r="1124" spans="1:26" ht="15.75" customHeight="1">
      <c r="A1124" s="9" t="s">
        <v>2181</v>
      </c>
      <c r="B1124" s="9" t="s">
        <v>2182</v>
      </c>
      <c r="C1124" s="9" t="s">
        <v>2183</v>
      </c>
      <c r="D1124" s="9" t="s">
        <v>48</v>
      </c>
      <c r="E1124" s="9" t="s">
        <v>11</v>
      </c>
      <c r="F1124" s="9" t="s">
        <v>2184</v>
      </c>
      <c r="G1124" s="9">
        <v>30</v>
      </c>
      <c r="H1124" s="9">
        <v>5</v>
      </c>
      <c r="I1124" s="9">
        <v>1.0149999999999999</v>
      </c>
      <c r="J1124" s="9">
        <v>52</v>
      </c>
      <c r="K1124" s="9" t="s">
        <v>424</v>
      </c>
      <c r="L1124" s="9"/>
      <c r="M1124" s="9"/>
      <c r="N1124" s="9" t="str">
        <f ca="1">IFERROR(__xludf.DUMMYFUNCTION("IFERROR(VALUE(REGEXEXTRACT(TO_TEXT($F1124), N$1 &amp; ""x(\d+)"")), """")
"),"")</f>
        <v/>
      </c>
      <c r="O1124" s="9" t="str">
        <f ca="1">IFERROR(__xludf.DUMMYFUNCTION("IFERROR(VALUE(REGEXEXTRACT(TO_TEXT($F1124), O$1 &amp; ""x(\d+)"")), """")"),"")</f>
        <v/>
      </c>
      <c r="P1124" s="9" t="str">
        <f ca="1">IFERROR(__xludf.DUMMYFUNCTION("IFERROR(VALUE(REGEXEXTRACT(TO_TEXT($F1124), P$1 &amp; ""x(\d+)"")), """")"),"")</f>
        <v/>
      </c>
      <c r="Q1124" s="9" t="str">
        <f ca="1">IFERROR(__xludf.DUMMYFUNCTION("IFERROR(VALUE(REGEXEXTRACT(TO_TEXT($F1124), Q$1 &amp; ""x(\d+)"")), """")"),"")</f>
        <v/>
      </c>
      <c r="R1124" s="9" t="str">
        <f ca="1">IFERROR(__xludf.DUMMYFUNCTION("IFERROR(VALUE(REGEXEXTRACT(TO_TEXT($F1124), R$1 &amp; ""x(\d+)"")), """")"),"")</f>
        <v/>
      </c>
      <c r="S1124" s="9" t="str">
        <f ca="1">IFERROR(__xludf.DUMMYFUNCTION("IFERROR(VALUE(REGEXEXTRACT(TO_TEXT($F1124), S$1 &amp; ""x(\d+)"")), """")"),"")</f>
        <v/>
      </c>
      <c r="T1124" s="9" t="str">
        <f ca="1">IFERROR(__xludf.DUMMYFUNCTION("IFERROR(VALUE(REGEXEXTRACT(TO_TEXT($F1124), T$1 &amp; ""x(\d+)"")), """")"),"")</f>
        <v/>
      </c>
      <c r="U1124" s="9" t="str">
        <f ca="1">IFERROR(__xludf.DUMMYFUNCTION("IFERROR(VALUE(REGEXEXTRACT(TO_TEXT($F1124), U$1 &amp; ""x(\d+)"")), """")"),"")</f>
        <v/>
      </c>
      <c r="V1124" s="9" t="str">
        <f ca="1">IFERROR(__xludf.DUMMYFUNCTION("IFERROR(VALUE(REGEXEXTRACT(TO_TEXT($F1124), V$1 &amp; ""x(\d+)"")), """")"),"")</f>
        <v/>
      </c>
      <c r="W1124" s="9"/>
      <c r="X1124" s="9"/>
      <c r="Y1124" s="9"/>
      <c r="Z1124" s="9"/>
    </row>
    <row r="1125" spans="1:26" ht="15.75" customHeight="1">
      <c r="A1125" s="9" t="s">
        <v>2181</v>
      </c>
      <c r="B1125" s="9" t="s">
        <v>2182</v>
      </c>
      <c r="C1125" s="9" t="s">
        <v>2183</v>
      </c>
      <c r="D1125" s="9" t="s">
        <v>48</v>
      </c>
      <c r="E1125" s="9" t="s">
        <v>12</v>
      </c>
      <c r="F1125" s="9" t="s">
        <v>2185</v>
      </c>
      <c r="G1125" s="9">
        <v>130</v>
      </c>
      <c r="H1125" s="9">
        <v>5</v>
      </c>
      <c r="I1125" s="9">
        <v>1.0149999999999999</v>
      </c>
      <c r="J1125" s="9">
        <v>52</v>
      </c>
      <c r="K1125" s="9" t="s">
        <v>424</v>
      </c>
      <c r="L1125" s="9" t="s">
        <v>1169</v>
      </c>
      <c r="M1125" s="9"/>
      <c r="N1125" s="9" t="str">
        <f ca="1">IFERROR(__xludf.DUMMYFUNCTION("IFERROR(VALUE(REGEXEXTRACT(TO_TEXT($F1125), N$1 &amp; ""x(\d+)"")), """")
"),"")</f>
        <v/>
      </c>
      <c r="O1125" s="9" t="str">
        <f ca="1">IFERROR(__xludf.DUMMYFUNCTION("IFERROR(VALUE(REGEXEXTRACT(TO_TEXT($F1125), O$1 &amp; ""x(\d+)"")), """")"),"")</f>
        <v/>
      </c>
      <c r="P1125" s="9">
        <f ca="1">IFERROR(__xludf.DUMMYFUNCTION("IFERROR(VALUE(REGEXEXTRACT(TO_TEXT($F1125), P$1 &amp; ""x(\d+)"")), """")"),1)</f>
        <v>1</v>
      </c>
      <c r="Q1125" s="9" t="str">
        <f ca="1">IFERROR(__xludf.DUMMYFUNCTION("IFERROR(VALUE(REGEXEXTRACT(TO_TEXT($F1125), Q$1 &amp; ""x(\d+)"")), """")"),"")</f>
        <v/>
      </c>
      <c r="R1125" s="9" t="str">
        <f ca="1">IFERROR(__xludf.DUMMYFUNCTION("IFERROR(VALUE(REGEXEXTRACT(TO_TEXT($F1125), R$1 &amp; ""x(\d+)"")), """")"),"")</f>
        <v/>
      </c>
      <c r="S1125" s="9" t="str">
        <f ca="1">IFERROR(__xludf.DUMMYFUNCTION("IFERROR(VALUE(REGEXEXTRACT(TO_TEXT($F1125), S$1 &amp; ""x(\d+)"")), """")"),"")</f>
        <v/>
      </c>
      <c r="T1125" s="9" t="str">
        <f ca="1">IFERROR(__xludf.DUMMYFUNCTION("IFERROR(VALUE(REGEXEXTRACT(TO_TEXT($F1125), T$1 &amp; ""x(\d+)"")), """")"),"")</f>
        <v/>
      </c>
      <c r="U1125" s="9" t="str">
        <f ca="1">IFERROR(__xludf.DUMMYFUNCTION("IFERROR(VALUE(REGEXEXTRACT(TO_TEXT($F1125), U$1 &amp; ""x(\d+)"")), """")"),"")</f>
        <v/>
      </c>
      <c r="V1125" s="9" t="str">
        <f ca="1">IFERROR(__xludf.DUMMYFUNCTION("IFERROR(VALUE(REGEXEXTRACT(TO_TEXT($F1125), V$1 &amp; ""x(\d+)"")), """")"),"")</f>
        <v/>
      </c>
      <c r="W1125" s="9"/>
      <c r="X1125" s="9"/>
      <c r="Y1125" s="9"/>
      <c r="Z1125" s="9"/>
    </row>
    <row r="1126" spans="1:26" ht="15.75" customHeight="1">
      <c r="A1126" s="9" t="s">
        <v>2181</v>
      </c>
      <c r="B1126" s="9" t="s">
        <v>2182</v>
      </c>
      <c r="C1126" s="9" t="s">
        <v>2183</v>
      </c>
      <c r="D1126" s="9" t="s">
        <v>48</v>
      </c>
      <c r="E1126" s="9" t="s">
        <v>13</v>
      </c>
      <c r="F1126" s="9" t="s">
        <v>1220</v>
      </c>
      <c r="G1126" s="9">
        <v>30</v>
      </c>
      <c r="H1126" s="9">
        <v>5</v>
      </c>
      <c r="I1126" s="9">
        <v>1.0149999999999999</v>
      </c>
      <c r="J1126" s="9">
        <v>52</v>
      </c>
      <c r="K1126" s="9" t="s">
        <v>424</v>
      </c>
      <c r="L1126" s="9"/>
      <c r="M1126" s="9"/>
      <c r="N1126" s="9" t="str">
        <f ca="1">IFERROR(__xludf.DUMMYFUNCTION("IFERROR(VALUE(REGEXEXTRACT(TO_TEXT($F1126), N$1 &amp; ""x(\d+)"")), """")
"),"")</f>
        <v/>
      </c>
      <c r="O1126" s="9" t="str">
        <f ca="1">IFERROR(__xludf.DUMMYFUNCTION("IFERROR(VALUE(REGEXEXTRACT(TO_TEXT($F1126), O$1 &amp; ""x(\d+)"")), """")"),"")</f>
        <v/>
      </c>
      <c r="P1126" s="9">
        <f ca="1">IFERROR(__xludf.DUMMYFUNCTION("IFERROR(VALUE(REGEXEXTRACT(TO_TEXT($F1126), P$1 &amp; ""x(\d+)"")), """")"),1)</f>
        <v>1</v>
      </c>
      <c r="Q1126" s="9" t="str">
        <f ca="1">IFERROR(__xludf.DUMMYFUNCTION("IFERROR(VALUE(REGEXEXTRACT(TO_TEXT($F1126), Q$1 &amp; ""x(\d+)"")), """")"),"")</f>
        <v/>
      </c>
      <c r="R1126" s="9" t="str">
        <f ca="1">IFERROR(__xludf.DUMMYFUNCTION("IFERROR(VALUE(REGEXEXTRACT(TO_TEXT($F1126), R$1 &amp; ""x(\d+)"")), """")"),"")</f>
        <v/>
      </c>
      <c r="S1126" s="9" t="str">
        <f ca="1">IFERROR(__xludf.DUMMYFUNCTION("IFERROR(VALUE(REGEXEXTRACT(TO_TEXT($F1126), S$1 &amp; ""x(\d+)"")), """")"),"")</f>
        <v/>
      </c>
      <c r="T1126" s="9" t="str">
        <f ca="1">IFERROR(__xludf.DUMMYFUNCTION("IFERROR(VALUE(REGEXEXTRACT(TO_TEXT($F1126), T$1 &amp; ""x(\d+)"")), """")"),"")</f>
        <v/>
      </c>
      <c r="U1126" s="9" t="str">
        <f ca="1">IFERROR(__xludf.DUMMYFUNCTION("IFERROR(VALUE(REGEXEXTRACT(TO_TEXT($F1126), U$1 &amp; ""x(\d+)"")), """")"),"")</f>
        <v/>
      </c>
      <c r="V1126" s="9" t="str">
        <f ca="1">IFERROR(__xludf.DUMMYFUNCTION("IFERROR(VALUE(REGEXEXTRACT(TO_TEXT($F1126), V$1 &amp; ""x(\d+)"")), """")"),"")</f>
        <v/>
      </c>
      <c r="W1126" s="9"/>
      <c r="X1126" s="9"/>
      <c r="Y1126" s="9"/>
      <c r="Z1126" s="9"/>
    </row>
    <row r="1127" spans="1:26" ht="15.75" customHeight="1">
      <c r="A1127" s="9" t="s">
        <v>2186</v>
      </c>
      <c r="B1127" s="9" t="s">
        <v>2187</v>
      </c>
      <c r="C1127" s="9" t="s">
        <v>2188</v>
      </c>
      <c r="D1127" s="9" t="s">
        <v>33</v>
      </c>
      <c r="E1127" s="9" t="s">
        <v>11</v>
      </c>
      <c r="F1127" s="9" t="s">
        <v>2090</v>
      </c>
      <c r="G1127" s="9">
        <v>100</v>
      </c>
      <c r="H1127" s="9">
        <v>3</v>
      </c>
      <c r="I1127" s="9">
        <v>1.0149999999999999</v>
      </c>
      <c r="J1127" s="9">
        <v>101.7</v>
      </c>
      <c r="K1127" s="9" t="s">
        <v>442</v>
      </c>
      <c r="L1127" s="9"/>
      <c r="M1127" s="9"/>
      <c r="N1127" s="9">
        <f ca="1">IFERROR(__xludf.DUMMYFUNCTION("IFERROR(VALUE(REGEXEXTRACT(TO_TEXT($F1127), N$1 &amp; ""x(\d+)"")), """")
"),1)</f>
        <v>1</v>
      </c>
      <c r="O1127" s="9">
        <f ca="1">IFERROR(__xludf.DUMMYFUNCTION("IFERROR(VALUE(REGEXEXTRACT(TO_TEXT($F1127), O$1 &amp; ""x(\d+)"")), """")"),1)</f>
        <v>1</v>
      </c>
      <c r="P1127" s="9" t="str">
        <f ca="1">IFERROR(__xludf.DUMMYFUNCTION("IFERROR(VALUE(REGEXEXTRACT(TO_TEXT($F1127), P$1 &amp; ""x(\d+)"")), """")"),"")</f>
        <v/>
      </c>
      <c r="Q1127" s="9" t="str">
        <f ca="1">IFERROR(__xludf.DUMMYFUNCTION("IFERROR(VALUE(REGEXEXTRACT(TO_TEXT($F1127), Q$1 &amp; ""x(\d+)"")), """")"),"")</f>
        <v/>
      </c>
      <c r="R1127" s="9" t="str">
        <f ca="1">IFERROR(__xludf.DUMMYFUNCTION("IFERROR(VALUE(REGEXEXTRACT(TO_TEXT($F1127), R$1 &amp; ""x(\d+)"")), """")"),"")</f>
        <v/>
      </c>
      <c r="S1127" s="9" t="str">
        <f ca="1">IFERROR(__xludf.DUMMYFUNCTION("IFERROR(VALUE(REGEXEXTRACT(TO_TEXT($F1127), S$1 &amp; ""x(\d+)"")), """")"),"")</f>
        <v/>
      </c>
      <c r="T1127" s="9" t="str">
        <f ca="1">IFERROR(__xludf.DUMMYFUNCTION("IFERROR(VALUE(REGEXEXTRACT(TO_TEXT($F1127), T$1 &amp; ""x(\d+)"")), """")"),"")</f>
        <v/>
      </c>
      <c r="U1127" s="9" t="str">
        <f ca="1">IFERROR(__xludf.DUMMYFUNCTION("IFERROR(VALUE(REGEXEXTRACT(TO_TEXT($F1127), U$1 &amp; ""x(\d+)"")), """")"),"")</f>
        <v/>
      </c>
      <c r="V1127" s="9" t="str">
        <f ca="1">IFERROR(__xludf.DUMMYFUNCTION("IFERROR(VALUE(REGEXEXTRACT(TO_TEXT($F1127), V$1 &amp; ""x(\d+)"")), """")"),"")</f>
        <v/>
      </c>
      <c r="W1127" s="9"/>
      <c r="X1127" s="9"/>
      <c r="Y1127" s="9"/>
      <c r="Z1127" s="9"/>
    </row>
    <row r="1128" spans="1:26" ht="15.75" customHeight="1">
      <c r="A1128" s="9" t="s">
        <v>2186</v>
      </c>
      <c r="B1128" s="9" t="s">
        <v>2187</v>
      </c>
      <c r="C1128" s="9" t="s">
        <v>2188</v>
      </c>
      <c r="D1128" s="9" t="s">
        <v>33</v>
      </c>
      <c r="E1128" s="9" t="s">
        <v>12</v>
      </c>
      <c r="F1128" s="9" t="s">
        <v>2091</v>
      </c>
      <c r="G1128" s="9">
        <v>115</v>
      </c>
      <c r="H1128" s="9">
        <v>3</v>
      </c>
      <c r="I1128" s="9">
        <v>1.0149999999999999</v>
      </c>
      <c r="J1128" s="9">
        <v>101.7</v>
      </c>
      <c r="K1128" s="9" t="s">
        <v>442</v>
      </c>
      <c r="L1128" s="9"/>
      <c r="M1128" s="9"/>
      <c r="N1128" s="9">
        <f ca="1">IFERROR(__xludf.DUMMYFUNCTION("IFERROR(VALUE(REGEXEXTRACT(TO_TEXT($F1128), N$1 &amp; ""x(\d+)"")), """")
"),1)</f>
        <v>1</v>
      </c>
      <c r="O1128" s="9">
        <f ca="1">IFERROR(__xludf.DUMMYFUNCTION("IFERROR(VALUE(REGEXEXTRACT(TO_TEXT($F1128), O$1 &amp; ""x(\d+)"")), """")"),2)</f>
        <v>2</v>
      </c>
      <c r="P1128" s="9" t="str">
        <f ca="1">IFERROR(__xludf.DUMMYFUNCTION("IFERROR(VALUE(REGEXEXTRACT(TO_TEXT($F1128), P$1 &amp; ""x(\d+)"")), """")"),"")</f>
        <v/>
      </c>
      <c r="Q1128" s="9" t="str">
        <f ca="1">IFERROR(__xludf.DUMMYFUNCTION("IFERROR(VALUE(REGEXEXTRACT(TO_TEXT($F1128), Q$1 &amp; ""x(\d+)"")), """")"),"")</f>
        <v/>
      </c>
      <c r="R1128" s="9" t="str">
        <f ca="1">IFERROR(__xludf.DUMMYFUNCTION("IFERROR(VALUE(REGEXEXTRACT(TO_TEXT($F1128), R$1 &amp; ""x(\d+)"")), """")"),"")</f>
        <v/>
      </c>
      <c r="S1128" s="9" t="str">
        <f ca="1">IFERROR(__xludf.DUMMYFUNCTION("IFERROR(VALUE(REGEXEXTRACT(TO_TEXT($F1128), S$1 &amp; ""x(\d+)"")), """")"),"")</f>
        <v/>
      </c>
      <c r="T1128" s="9" t="str">
        <f ca="1">IFERROR(__xludf.DUMMYFUNCTION("IFERROR(VALUE(REGEXEXTRACT(TO_TEXT($F1128), T$1 &amp; ""x(\d+)"")), """")"),"")</f>
        <v/>
      </c>
      <c r="U1128" s="9" t="str">
        <f ca="1">IFERROR(__xludf.DUMMYFUNCTION("IFERROR(VALUE(REGEXEXTRACT(TO_TEXT($F1128), U$1 &amp; ""x(\d+)"")), """")"),"")</f>
        <v/>
      </c>
      <c r="V1128" s="9" t="str">
        <f ca="1">IFERROR(__xludf.DUMMYFUNCTION("IFERROR(VALUE(REGEXEXTRACT(TO_TEXT($F1128), V$1 &amp; ""x(\d+)"")), """")"),"")</f>
        <v/>
      </c>
      <c r="W1128" s="9"/>
      <c r="X1128" s="9"/>
      <c r="Y1128" s="9"/>
      <c r="Z1128" s="9"/>
    </row>
    <row r="1129" spans="1:26" ht="15.75" customHeight="1">
      <c r="A1129" s="9" t="s">
        <v>2186</v>
      </c>
      <c r="B1129" s="9" t="s">
        <v>2187</v>
      </c>
      <c r="C1129" s="9" t="s">
        <v>2188</v>
      </c>
      <c r="D1129" s="9" t="s">
        <v>33</v>
      </c>
      <c r="E1129" s="9" t="s">
        <v>13</v>
      </c>
      <c r="F1129" s="9" t="s">
        <v>2092</v>
      </c>
      <c r="G1129" s="9">
        <v>50</v>
      </c>
      <c r="H1129" s="9">
        <v>3</v>
      </c>
      <c r="I1129" s="9">
        <v>1.0149999999999999</v>
      </c>
      <c r="J1129" s="9">
        <v>101.7</v>
      </c>
      <c r="K1129" s="9" t="s">
        <v>442</v>
      </c>
      <c r="L1129" s="9"/>
      <c r="M1129" s="9"/>
      <c r="N1129" s="9">
        <f ca="1">IFERROR(__xludf.DUMMYFUNCTION("IFERROR(VALUE(REGEXEXTRACT(TO_TEXT($F1129), N$1 &amp; ""x(\d+)"")), """")
"),1)</f>
        <v>1</v>
      </c>
      <c r="O1129" s="9">
        <f ca="1">IFERROR(__xludf.DUMMYFUNCTION("IFERROR(VALUE(REGEXEXTRACT(TO_TEXT($F1129), O$1 &amp; ""x(\d+)"")), """")"),2)</f>
        <v>2</v>
      </c>
      <c r="P1129" s="9" t="str">
        <f ca="1">IFERROR(__xludf.DUMMYFUNCTION("IFERROR(VALUE(REGEXEXTRACT(TO_TEXT($F1129), P$1 &amp; ""x(\d+)"")), """")"),"")</f>
        <v/>
      </c>
      <c r="Q1129" s="9" t="str">
        <f ca="1">IFERROR(__xludf.DUMMYFUNCTION("IFERROR(VALUE(REGEXEXTRACT(TO_TEXT($F1129), Q$1 &amp; ""x(\d+)"")), """")"),"")</f>
        <v/>
      </c>
      <c r="R1129" s="9" t="str">
        <f ca="1">IFERROR(__xludf.DUMMYFUNCTION("IFERROR(VALUE(REGEXEXTRACT(TO_TEXT($F1129), R$1 &amp; ""x(\d+)"")), """")"),"")</f>
        <v/>
      </c>
      <c r="S1129" s="9" t="str">
        <f ca="1">IFERROR(__xludf.DUMMYFUNCTION("IFERROR(VALUE(REGEXEXTRACT(TO_TEXT($F1129), S$1 &amp; ""x(\d+)"")), """")"),"")</f>
        <v/>
      </c>
      <c r="T1129" s="9" t="str">
        <f ca="1">IFERROR(__xludf.DUMMYFUNCTION("IFERROR(VALUE(REGEXEXTRACT(TO_TEXT($F1129), T$1 &amp; ""x(\d+)"")), """")"),"")</f>
        <v/>
      </c>
      <c r="U1129" s="9" t="str">
        <f ca="1">IFERROR(__xludf.DUMMYFUNCTION("IFERROR(VALUE(REGEXEXTRACT(TO_TEXT($F1129), U$1 &amp; ""x(\d+)"")), """")"),"")</f>
        <v/>
      </c>
      <c r="V1129" s="9" t="str">
        <f ca="1">IFERROR(__xludf.DUMMYFUNCTION("IFERROR(VALUE(REGEXEXTRACT(TO_TEXT($F1129), V$1 &amp; ""x(\d+)"")), """")"),"")</f>
        <v/>
      </c>
      <c r="W1129" s="9"/>
      <c r="X1129" s="9"/>
      <c r="Y1129" s="9"/>
      <c r="Z1129" s="9"/>
    </row>
    <row r="1130" spans="1:26" ht="15.75" customHeight="1">
      <c r="A1130" s="9" t="s">
        <v>2189</v>
      </c>
      <c r="B1130" s="9" t="s">
        <v>2190</v>
      </c>
      <c r="C1130" s="9" t="s">
        <v>2191</v>
      </c>
      <c r="D1130" s="9" t="s">
        <v>33</v>
      </c>
      <c r="E1130" s="9" t="s">
        <v>11</v>
      </c>
      <c r="F1130" s="9" t="s">
        <v>1180</v>
      </c>
      <c r="G1130" s="9">
        <v>25</v>
      </c>
      <c r="H1130" s="9">
        <v>4</v>
      </c>
      <c r="I1130" s="9">
        <v>1.0149999999999999</v>
      </c>
      <c r="J1130" s="9">
        <v>103</v>
      </c>
      <c r="K1130" s="9" t="s">
        <v>424</v>
      </c>
      <c r="L1130" s="9"/>
      <c r="M1130" s="9"/>
      <c r="N1130" s="9" t="str">
        <f ca="1">IFERROR(__xludf.DUMMYFUNCTION("IFERROR(VALUE(REGEXEXTRACT(TO_TEXT($F1130), N$1 &amp; ""x(\d+)"")), """")
"),"")</f>
        <v/>
      </c>
      <c r="O1130" s="9" t="str">
        <f ca="1">IFERROR(__xludf.DUMMYFUNCTION("IFERROR(VALUE(REGEXEXTRACT(TO_TEXT($F1130), O$1 &amp; ""x(\d+)"")), """")"),"")</f>
        <v/>
      </c>
      <c r="P1130" s="9" t="str">
        <f ca="1">IFERROR(__xludf.DUMMYFUNCTION("IFERROR(VALUE(REGEXEXTRACT(TO_TEXT($F1130), P$1 &amp; ""x(\d+)"")), """")"),"")</f>
        <v/>
      </c>
      <c r="Q1130" s="9" t="str">
        <f ca="1">IFERROR(__xludf.DUMMYFUNCTION("IFERROR(VALUE(REGEXEXTRACT(TO_TEXT($F1130), Q$1 &amp; ""x(\d+)"")), """")"),"")</f>
        <v/>
      </c>
      <c r="R1130" s="9" t="str">
        <f ca="1">IFERROR(__xludf.DUMMYFUNCTION("IFERROR(VALUE(REGEXEXTRACT(TO_TEXT($F1130), R$1 &amp; ""x(\d+)"")), """")"),"")</f>
        <v/>
      </c>
      <c r="S1130" s="9" t="str">
        <f ca="1">IFERROR(__xludf.DUMMYFUNCTION("IFERROR(VALUE(REGEXEXTRACT(TO_TEXT($F1130), S$1 &amp; ""x(\d+)"")), """")"),"")</f>
        <v/>
      </c>
      <c r="T1130" s="9" t="str">
        <f ca="1">IFERROR(__xludf.DUMMYFUNCTION("IFERROR(VALUE(REGEXEXTRACT(TO_TEXT($F1130), T$1 &amp; ""x(\d+)"")), """")"),"")</f>
        <v/>
      </c>
      <c r="U1130" s="9" t="str">
        <f ca="1">IFERROR(__xludf.DUMMYFUNCTION("IFERROR(VALUE(REGEXEXTRACT(TO_TEXT($F1130), U$1 &amp; ""x(\d+)"")), """")"),"")</f>
        <v/>
      </c>
      <c r="V1130" s="9" t="str">
        <f ca="1">IFERROR(__xludf.DUMMYFUNCTION("IFERROR(VALUE(REGEXEXTRACT(TO_TEXT($F1130), V$1 &amp; ""x(\d+)"")), """")"),"")</f>
        <v/>
      </c>
      <c r="W1130" s="9"/>
      <c r="X1130" s="9"/>
      <c r="Y1130" s="9"/>
      <c r="Z1130" s="9"/>
    </row>
    <row r="1131" spans="1:26" ht="15.75" customHeight="1">
      <c r="A1131" s="9" t="s">
        <v>2189</v>
      </c>
      <c r="B1131" s="9" t="s">
        <v>2190</v>
      </c>
      <c r="C1131" s="9" t="s">
        <v>2191</v>
      </c>
      <c r="D1131" s="9" t="s">
        <v>33</v>
      </c>
      <c r="E1131" s="9" t="s">
        <v>12</v>
      </c>
      <c r="F1131" s="9" t="s">
        <v>1057</v>
      </c>
      <c r="G1131" s="9">
        <v>110</v>
      </c>
      <c r="H1131" s="9">
        <v>4</v>
      </c>
      <c r="I1131" s="9">
        <v>1.0149999999999999</v>
      </c>
      <c r="J1131" s="9">
        <v>103</v>
      </c>
      <c r="K1131" s="9" t="s">
        <v>424</v>
      </c>
      <c r="L1131" s="9" t="s">
        <v>1210</v>
      </c>
      <c r="M1131" s="9"/>
      <c r="N1131" s="9" t="str">
        <f ca="1">IFERROR(__xludf.DUMMYFUNCTION("IFERROR(VALUE(REGEXEXTRACT(TO_TEXT($F1131), N$1 &amp; ""x(\d+)"")), """")
"),"")</f>
        <v/>
      </c>
      <c r="O1131" s="9">
        <f ca="1">IFERROR(__xludf.DUMMYFUNCTION("IFERROR(VALUE(REGEXEXTRACT(TO_TEXT($F1131), O$1 &amp; ""x(\d+)"")), """")"),1)</f>
        <v>1</v>
      </c>
      <c r="P1131" s="9" t="str">
        <f ca="1">IFERROR(__xludf.DUMMYFUNCTION("IFERROR(VALUE(REGEXEXTRACT(TO_TEXT($F1131), P$1 &amp; ""x(\d+)"")), """")"),"")</f>
        <v/>
      </c>
      <c r="Q1131" s="9" t="str">
        <f ca="1">IFERROR(__xludf.DUMMYFUNCTION("IFERROR(VALUE(REGEXEXTRACT(TO_TEXT($F1131), Q$1 &amp; ""x(\d+)"")), """")"),"")</f>
        <v/>
      </c>
      <c r="R1131" s="9" t="str">
        <f ca="1">IFERROR(__xludf.DUMMYFUNCTION("IFERROR(VALUE(REGEXEXTRACT(TO_TEXT($F1131), R$1 &amp; ""x(\d+)"")), """")"),"")</f>
        <v/>
      </c>
      <c r="S1131" s="9" t="str">
        <f ca="1">IFERROR(__xludf.DUMMYFUNCTION("IFERROR(VALUE(REGEXEXTRACT(TO_TEXT($F1131), S$1 &amp; ""x(\d+)"")), """")"),"")</f>
        <v/>
      </c>
      <c r="T1131" s="9" t="str">
        <f ca="1">IFERROR(__xludf.DUMMYFUNCTION("IFERROR(VALUE(REGEXEXTRACT(TO_TEXT($F1131), T$1 &amp; ""x(\d+)"")), """")"),"")</f>
        <v/>
      </c>
      <c r="U1131" s="9" t="str">
        <f ca="1">IFERROR(__xludf.DUMMYFUNCTION("IFERROR(VALUE(REGEXEXTRACT(TO_TEXT($F1131), U$1 &amp; ""x(\d+)"")), """")"),"")</f>
        <v/>
      </c>
      <c r="V1131" s="9" t="str">
        <f ca="1">IFERROR(__xludf.DUMMYFUNCTION("IFERROR(VALUE(REGEXEXTRACT(TO_TEXT($F1131), V$1 &amp; ""x(\d+)"")), """")"),"")</f>
        <v/>
      </c>
      <c r="W1131" s="9"/>
      <c r="X1131" s="9"/>
      <c r="Y1131" s="9"/>
      <c r="Z1131" s="9"/>
    </row>
    <row r="1132" spans="1:26" ht="15.75" customHeight="1">
      <c r="A1132" s="9" t="s">
        <v>2189</v>
      </c>
      <c r="B1132" s="9" t="s">
        <v>2190</v>
      </c>
      <c r="C1132" s="9" t="s">
        <v>2191</v>
      </c>
      <c r="D1132" s="9" t="s">
        <v>33</v>
      </c>
      <c r="E1132" s="9" t="s">
        <v>13</v>
      </c>
      <c r="F1132" s="9" t="s">
        <v>1108</v>
      </c>
      <c r="G1132" s="9">
        <v>20</v>
      </c>
      <c r="H1132" s="9">
        <v>4</v>
      </c>
      <c r="I1132" s="9">
        <v>1.0149999999999999</v>
      </c>
      <c r="J1132" s="9">
        <v>103</v>
      </c>
      <c r="K1132" s="9" t="s">
        <v>424</v>
      </c>
      <c r="L1132" s="9"/>
      <c r="M1132" s="9"/>
      <c r="N1132" s="9" t="str">
        <f ca="1">IFERROR(__xludf.DUMMYFUNCTION("IFERROR(VALUE(REGEXEXTRACT(TO_TEXT($F1132), N$1 &amp; ""x(\d+)"")), """")
"),"")</f>
        <v/>
      </c>
      <c r="O1132" s="9">
        <f ca="1">IFERROR(__xludf.DUMMYFUNCTION("IFERROR(VALUE(REGEXEXTRACT(TO_TEXT($F1132), O$1 &amp; ""x(\d+)"")), """")"),1)</f>
        <v>1</v>
      </c>
      <c r="P1132" s="9" t="str">
        <f ca="1">IFERROR(__xludf.DUMMYFUNCTION("IFERROR(VALUE(REGEXEXTRACT(TO_TEXT($F1132), P$1 &amp; ""x(\d+)"")), """")"),"")</f>
        <v/>
      </c>
      <c r="Q1132" s="9" t="str">
        <f ca="1">IFERROR(__xludf.DUMMYFUNCTION("IFERROR(VALUE(REGEXEXTRACT(TO_TEXT($F1132), Q$1 &amp; ""x(\d+)"")), """")"),"")</f>
        <v/>
      </c>
      <c r="R1132" s="9" t="str">
        <f ca="1">IFERROR(__xludf.DUMMYFUNCTION("IFERROR(VALUE(REGEXEXTRACT(TO_TEXT($F1132), R$1 &amp; ""x(\d+)"")), """")"),"")</f>
        <v/>
      </c>
      <c r="S1132" s="9" t="str">
        <f ca="1">IFERROR(__xludf.DUMMYFUNCTION("IFERROR(VALUE(REGEXEXTRACT(TO_TEXT($F1132), S$1 &amp; ""x(\d+)"")), """")"),"")</f>
        <v/>
      </c>
      <c r="T1132" s="9" t="str">
        <f ca="1">IFERROR(__xludf.DUMMYFUNCTION("IFERROR(VALUE(REGEXEXTRACT(TO_TEXT($F1132), T$1 &amp; ""x(\d+)"")), """")"),"")</f>
        <v/>
      </c>
      <c r="U1132" s="9" t="str">
        <f ca="1">IFERROR(__xludf.DUMMYFUNCTION("IFERROR(VALUE(REGEXEXTRACT(TO_TEXT($F1132), U$1 &amp; ""x(\d+)"")), """")"),"")</f>
        <v/>
      </c>
      <c r="V1132" s="9" t="str">
        <f ca="1">IFERROR(__xludf.DUMMYFUNCTION("IFERROR(VALUE(REGEXEXTRACT(TO_TEXT($F1132), V$1 &amp; ""x(\d+)"")), """")"),"")</f>
        <v/>
      </c>
      <c r="W1132" s="9"/>
      <c r="X1132" s="9"/>
      <c r="Y1132" s="9"/>
      <c r="Z1132" s="9"/>
    </row>
    <row r="1133" spans="1:26" ht="15.75" customHeight="1">
      <c r="A1133" s="9" t="s">
        <v>2192</v>
      </c>
      <c r="B1133" s="9" t="s">
        <v>2193</v>
      </c>
      <c r="C1133" s="9" t="s">
        <v>2194</v>
      </c>
      <c r="D1133" s="9" t="s">
        <v>33</v>
      </c>
      <c r="E1133" s="9" t="s">
        <v>11</v>
      </c>
      <c r="F1133" s="9" t="s">
        <v>1473</v>
      </c>
      <c r="G1133" s="9">
        <v>20</v>
      </c>
      <c r="H1133" s="9">
        <v>4</v>
      </c>
      <c r="I1133" s="9">
        <v>1.0149999999999999</v>
      </c>
      <c r="J1133" s="9">
        <v>110</v>
      </c>
      <c r="K1133" s="9" t="s">
        <v>442</v>
      </c>
      <c r="L1133" s="9"/>
      <c r="M1133" s="9"/>
      <c r="N1133" s="9" t="str">
        <f ca="1">IFERROR(__xludf.DUMMYFUNCTION("IFERROR(VALUE(REGEXEXTRACT(TO_TEXT($F1133), N$1 &amp; ""x(\d+)"")), """")
"),"")</f>
        <v/>
      </c>
      <c r="O1133" s="9" t="str">
        <f ca="1">IFERROR(__xludf.DUMMYFUNCTION("IFERROR(VALUE(REGEXEXTRACT(TO_TEXT($F1133), O$1 &amp; ""x(\d+)"")), """")"),"")</f>
        <v/>
      </c>
      <c r="P1133" s="9" t="str">
        <f ca="1">IFERROR(__xludf.DUMMYFUNCTION("IFERROR(VALUE(REGEXEXTRACT(TO_TEXT($F1133), P$1 &amp; ""x(\d+)"")), """")"),"")</f>
        <v/>
      </c>
      <c r="Q1133" s="9" t="str">
        <f ca="1">IFERROR(__xludf.DUMMYFUNCTION("IFERROR(VALUE(REGEXEXTRACT(TO_TEXT($F1133), Q$1 &amp; ""x(\d+)"")), """")"),"")</f>
        <v/>
      </c>
      <c r="R1133" s="9" t="str">
        <f ca="1">IFERROR(__xludf.DUMMYFUNCTION("IFERROR(VALUE(REGEXEXTRACT(TO_TEXT($F1133), R$1 &amp; ""x(\d+)"")), """")"),"")</f>
        <v/>
      </c>
      <c r="S1133" s="9" t="str">
        <f ca="1">IFERROR(__xludf.DUMMYFUNCTION("IFERROR(VALUE(REGEXEXTRACT(TO_TEXT($F1133), S$1 &amp; ""x(\d+)"")), """")"),"")</f>
        <v/>
      </c>
      <c r="T1133" s="9" t="str">
        <f ca="1">IFERROR(__xludf.DUMMYFUNCTION("IFERROR(VALUE(REGEXEXTRACT(TO_TEXT($F1133), T$1 &amp; ""x(\d+)"")), """")"),"")</f>
        <v/>
      </c>
      <c r="U1133" s="9" t="str">
        <f ca="1">IFERROR(__xludf.DUMMYFUNCTION("IFERROR(VALUE(REGEXEXTRACT(TO_TEXT($F1133), U$1 &amp; ""x(\d+)"")), """")"),"")</f>
        <v/>
      </c>
      <c r="V1133" s="9" t="str">
        <f ca="1">IFERROR(__xludf.DUMMYFUNCTION("IFERROR(VALUE(REGEXEXTRACT(TO_TEXT($F1133), V$1 &amp; ""x(\d+)"")), """")"),"")</f>
        <v/>
      </c>
      <c r="W1133" s="9"/>
      <c r="X1133" s="9"/>
      <c r="Y1133" s="9"/>
      <c r="Z1133" s="9"/>
    </row>
    <row r="1134" spans="1:26" ht="15.75" customHeight="1">
      <c r="A1134" s="9" t="s">
        <v>2192</v>
      </c>
      <c r="B1134" s="9" t="s">
        <v>2193</v>
      </c>
      <c r="C1134" s="9" t="s">
        <v>2194</v>
      </c>
      <c r="D1134" s="9" t="s">
        <v>33</v>
      </c>
      <c r="E1134" s="9" t="s">
        <v>12</v>
      </c>
      <c r="F1134" s="9" t="s">
        <v>2195</v>
      </c>
      <c r="G1134" s="9">
        <v>75</v>
      </c>
      <c r="H1134" s="9">
        <v>4</v>
      </c>
      <c r="I1134" s="9">
        <v>1.0149999999999999</v>
      </c>
      <c r="J1134" s="9">
        <v>110</v>
      </c>
      <c r="K1134" s="9" t="s">
        <v>442</v>
      </c>
      <c r="L1134" s="9"/>
      <c r="M1134" s="9"/>
      <c r="N1134" s="9" t="str">
        <f ca="1">IFERROR(__xludf.DUMMYFUNCTION("IFERROR(VALUE(REGEXEXTRACT(TO_TEXT($F1134), N$1 &amp; ""x(\d+)"")), """")
"),"")</f>
        <v/>
      </c>
      <c r="O1134" s="9">
        <f ca="1">IFERROR(__xludf.DUMMYFUNCTION("IFERROR(VALUE(REGEXEXTRACT(TO_TEXT($F1134), O$1 &amp; ""x(\d+)"")), """")"),1)</f>
        <v>1</v>
      </c>
      <c r="P1134" s="9" t="str">
        <f ca="1">IFERROR(__xludf.DUMMYFUNCTION("IFERROR(VALUE(REGEXEXTRACT(TO_TEXT($F1134), P$1 &amp; ""x(\d+)"")), """")"),"")</f>
        <v/>
      </c>
      <c r="Q1134" s="9" t="str">
        <f ca="1">IFERROR(__xludf.DUMMYFUNCTION("IFERROR(VALUE(REGEXEXTRACT(TO_TEXT($F1134), Q$1 &amp; ""x(\d+)"")), """")"),"")</f>
        <v/>
      </c>
      <c r="R1134" s="9" t="str">
        <f ca="1">IFERROR(__xludf.DUMMYFUNCTION("IFERROR(VALUE(REGEXEXTRACT(TO_TEXT($F1134), R$1 &amp; ""x(\d+)"")), """")"),"")</f>
        <v/>
      </c>
      <c r="S1134" s="9" t="str">
        <f ca="1">IFERROR(__xludf.DUMMYFUNCTION("IFERROR(VALUE(REGEXEXTRACT(TO_TEXT($F1134), S$1 &amp; ""x(\d+)"")), """")"),"")</f>
        <v/>
      </c>
      <c r="T1134" s="9" t="str">
        <f ca="1">IFERROR(__xludf.DUMMYFUNCTION("IFERROR(VALUE(REGEXEXTRACT(TO_TEXT($F1134), T$1 &amp; ""x(\d+)"")), """")"),"")</f>
        <v/>
      </c>
      <c r="U1134" s="9" t="str">
        <f ca="1">IFERROR(__xludf.DUMMYFUNCTION("IFERROR(VALUE(REGEXEXTRACT(TO_TEXT($F1134), U$1 &amp; ""x(\d+)"")), """")"),"")</f>
        <v/>
      </c>
      <c r="V1134" s="9" t="str">
        <f ca="1">IFERROR(__xludf.DUMMYFUNCTION("IFERROR(VALUE(REGEXEXTRACT(TO_TEXT($F1134), V$1 &amp; ""x(\d+)"")), """")"),"")</f>
        <v/>
      </c>
      <c r="W1134" s="9"/>
      <c r="X1134" s="9"/>
      <c r="Y1134" s="9"/>
      <c r="Z1134" s="9"/>
    </row>
    <row r="1135" spans="1:26" ht="15.75" customHeight="1">
      <c r="A1135" s="9" t="s">
        <v>2192</v>
      </c>
      <c r="B1135" s="9" t="s">
        <v>2193</v>
      </c>
      <c r="C1135" s="9" t="s">
        <v>2194</v>
      </c>
      <c r="D1135" s="9" t="s">
        <v>33</v>
      </c>
      <c r="E1135" s="9" t="s">
        <v>13</v>
      </c>
      <c r="F1135" s="9" t="s">
        <v>1108</v>
      </c>
      <c r="G1135" s="9">
        <v>20</v>
      </c>
      <c r="H1135" s="9">
        <v>4</v>
      </c>
      <c r="I1135" s="9">
        <v>1.0149999999999999</v>
      </c>
      <c r="J1135" s="9">
        <v>110</v>
      </c>
      <c r="K1135" s="9" t="s">
        <v>442</v>
      </c>
      <c r="L1135" s="9"/>
      <c r="M1135" s="9"/>
      <c r="N1135" s="9" t="str">
        <f ca="1">IFERROR(__xludf.DUMMYFUNCTION("IFERROR(VALUE(REGEXEXTRACT(TO_TEXT($F1135), N$1 &amp; ""x(\d+)"")), """")
"),"")</f>
        <v/>
      </c>
      <c r="O1135" s="9">
        <f ca="1">IFERROR(__xludf.DUMMYFUNCTION("IFERROR(VALUE(REGEXEXTRACT(TO_TEXT($F1135), O$1 &amp; ""x(\d+)"")), """")"),1)</f>
        <v>1</v>
      </c>
      <c r="P1135" s="9" t="str">
        <f ca="1">IFERROR(__xludf.DUMMYFUNCTION("IFERROR(VALUE(REGEXEXTRACT(TO_TEXT($F1135), P$1 &amp; ""x(\d+)"")), """")"),"")</f>
        <v/>
      </c>
      <c r="Q1135" s="9" t="str">
        <f ca="1">IFERROR(__xludf.DUMMYFUNCTION("IFERROR(VALUE(REGEXEXTRACT(TO_TEXT($F1135), Q$1 &amp; ""x(\d+)"")), """")"),"")</f>
        <v/>
      </c>
      <c r="R1135" s="9" t="str">
        <f ca="1">IFERROR(__xludf.DUMMYFUNCTION("IFERROR(VALUE(REGEXEXTRACT(TO_TEXT($F1135), R$1 &amp; ""x(\d+)"")), """")"),"")</f>
        <v/>
      </c>
      <c r="S1135" s="9" t="str">
        <f ca="1">IFERROR(__xludf.DUMMYFUNCTION("IFERROR(VALUE(REGEXEXTRACT(TO_TEXT($F1135), S$1 &amp; ""x(\d+)"")), """")"),"")</f>
        <v/>
      </c>
      <c r="T1135" s="9" t="str">
        <f ca="1">IFERROR(__xludf.DUMMYFUNCTION("IFERROR(VALUE(REGEXEXTRACT(TO_TEXT($F1135), T$1 &amp; ""x(\d+)"")), """")"),"")</f>
        <v/>
      </c>
      <c r="U1135" s="9" t="str">
        <f ca="1">IFERROR(__xludf.DUMMYFUNCTION("IFERROR(VALUE(REGEXEXTRACT(TO_TEXT($F1135), U$1 &amp; ""x(\d+)"")), """")"),"")</f>
        <v/>
      </c>
      <c r="V1135" s="9" t="str">
        <f ca="1">IFERROR(__xludf.DUMMYFUNCTION("IFERROR(VALUE(REGEXEXTRACT(TO_TEXT($F1135), V$1 &amp; ""x(\d+)"")), """")"),"")</f>
        <v/>
      </c>
      <c r="W1135" s="9"/>
      <c r="X1135" s="9"/>
      <c r="Y1135" s="9"/>
      <c r="Z1135" s="9"/>
    </row>
    <row r="1136" spans="1:26" ht="15.75" customHeight="1">
      <c r="A1136" s="9" t="s">
        <v>2192</v>
      </c>
      <c r="B1136" s="9" t="s">
        <v>2193</v>
      </c>
      <c r="C1136" s="9" t="s">
        <v>2194</v>
      </c>
      <c r="D1136" s="9" t="s">
        <v>40</v>
      </c>
      <c r="E1136" s="9" t="s">
        <v>11</v>
      </c>
      <c r="F1136" s="9" t="s">
        <v>1260</v>
      </c>
      <c r="G1136" s="9">
        <v>20</v>
      </c>
      <c r="H1136" s="9">
        <v>2</v>
      </c>
      <c r="I1136" s="9">
        <v>1.0149999999999999</v>
      </c>
      <c r="J1136" s="9">
        <v>412</v>
      </c>
      <c r="K1136" s="9" t="s">
        <v>442</v>
      </c>
      <c r="L1136" s="9"/>
      <c r="M1136" s="9"/>
      <c r="N1136" s="9" t="str">
        <f ca="1">IFERROR(__xludf.DUMMYFUNCTION("IFERROR(VALUE(REGEXEXTRACT(TO_TEXT($F1136), N$1 &amp; ""x(\d+)"")), """")
"),"")</f>
        <v/>
      </c>
      <c r="O1136" s="9" t="str">
        <f ca="1">IFERROR(__xludf.DUMMYFUNCTION("IFERROR(VALUE(REGEXEXTRACT(TO_TEXT($F1136), O$1 &amp; ""x(\d+)"")), """")"),"")</f>
        <v/>
      </c>
      <c r="P1136" s="9" t="str">
        <f ca="1">IFERROR(__xludf.DUMMYFUNCTION("IFERROR(VALUE(REGEXEXTRACT(TO_TEXT($F1136), P$1 &amp; ""x(\d+)"")), """")"),"")</f>
        <v/>
      </c>
      <c r="Q1136" s="9" t="str">
        <f ca="1">IFERROR(__xludf.DUMMYFUNCTION("IFERROR(VALUE(REGEXEXTRACT(TO_TEXT($F1136), Q$1 &amp; ""x(\d+)"")), """")"),"")</f>
        <v/>
      </c>
      <c r="R1136" s="9" t="str">
        <f ca="1">IFERROR(__xludf.DUMMYFUNCTION("IFERROR(VALUE(REGEXEXTRACT(TO_TEXT($F1136), R$1 &amp; ""x(\d+)"")), """")"),"")</f>
        <v/>
      </c>
      <c r="S1136" s="9" t="str">
        <f ca="1">IFERROR(__xludf.DUMMYFUNCTION("IFERROR(VALUE(REGEXEXTRACT(TO_TEXT($F1136), S$1 &amp; ""x(\d+)"")), """")"),"")</f>
        <v/>
      </c>
      <c r="T1136" s="9" t="str">
        <f ca="1">IFERROR(__xludf.DUMMYFUNCTION("IFERROR(VALUE(REGEXEXTRACT(TO_TEXT($F1136), T$1 &amp; ""x(\d+)"")), """")"),"")</f>
        <v/>
      </c>
      <c r="U1136" s="9" t="str">
        <f ca="1">IFERROR(__xludf.DUMMYFUNCTION("IFERROR(VALUE(REGEXEXTRACT(TO_TEXT($F1136), U$1 &amp; ""x(\d+)"")), """")"),"")</f>
        <v/>
      </c>
      <c r="V1136" s="9" t="str">
        <f ca="1">IFERROR(__xludf.DUMMYFUNCTION("IFERROR(VALUE(REGEXEXTRACT(TO_TEXT($F1136), V$1 &amp; ""x(\d+)"")), """")"),"")</f>
        <v/>
      </c>
      <c r="W1136" s="9"/>
      <c r="X1136" s="9"/>
      <c r="Y1136" s="9"/>
      <c r="Z1136" s="9"/>
    </row>
    <row r="1137" spans="1:26" ht="15.75" customHeight="1">
      <c r="A1137" s="9" t="s">
        <v>2192</v>
      </c>
      <c r="B1137" s="9" t="s">
        <v>2193</v>
      </c>
      <c r="C1137" s="9" t="s">
        <v>2194</v>
      </c>
      <c r="D1137" s="9" t="s">
        <v>40</v>
      </c>
      <c r="E1137" s="9" t="s">
        <v>12</v>
      </c>
      <c r="F1137" s="9" t="s">
        <v>2196</v>
      </c>
      <c r="G1137" s="9">
        <v>100</v>
      </c>
      <c r="H1137" s="9">
        <v>2</v>
      </c>
      <c r="I1137" s="9">
        <v>1.0149999999999999</v>
      </c>
      <c r="J1137" s="9">
        <v>412</v>
      </c>
      <c r="K1137" s="9" t="s">
        <v>442</v>
      </c>
      <c r="L1137" s="9"/>
      <c r="M1137" s="9"/>
      <c r="N1137" s="9" t="str">
        <f ca="1">IFERROR(__xludf.DUMMYFUNCTION("IFERROR(VALUE(REGEXEXTRACT(TO_TEXT($F1137), N$1 &amp; ""x(\d+)"")), """")
"),"")</f>
        <v/>
      </c>
      <c r="O1137" s="9" t="str">
        <f ca="1">IFERROR(__xludf.DUMMYFUNCTION("IFERROR(VALUE(REGEXEXTRACT(TO_TEXT($F1137), O$1 &amp; ""x(\d+)"")), """")"),"")</f>
        <v/>
      </c>
      <c r="P1137" s="9" t="str">
        <f ca="1">IFERROR(__xludf.DUMMYFUNCTION("IFERROR(VALUE(REGEXEXTRACT(TO_TEXT($F1137), P$1 &amp; ""x(\d+)"")), """")"),"")</f>
        <v/>
      </c>
      <c r="Q1137" s="9" t="str">
        <f ca="1">IFERROR(__xludf.DUMMYFUNCTION("IFERROR(VALUE(REGEXEXTRACT(TO_TEXT($F1137), Q$1 &amp; ""x(\d+)"")), """")"),"")</f>
        <v/>
      </c>
      <c r="R1137" s="9" t="str">
        <f ca="1">IFERROR(__xludf.DUMMYFUNCTION("IFERROR(VALUE(REGEXEXTRACT(TO_TEXT($F1137), R$1 &amp; ""x(\d+)"")), """")"),"")</f>
        <v/>
      </c>
      <c r="S1137" s="9">
        <f ca="1">IFERROR(__xludf.DUMMYFUNCTION("IFERROR(VALUE(REGEXEXTRACT(TO_TEXT($F1137), S$1 &amp; ""x(\d+)"")), """")"),1)</f>
        <v>1</v>
      </c>
      <c r="T1137" s="9" t="str">
        <f ca="1">IFERROR(__xludf.DUMMYFUNCTION("IFERROR(VALUE(REGEXEXTRACT(TO_TEXT($F1137), T$1 &amp; ""x(\d+)"")), """")"),"")</f>
        <v/>
      </c>
      <c r="U1137" s="9" t="str">
        <f ca="1">IFERROR(__xludf.DUMMYFUNCTION("IFERROR(VALUE(REGEXEXTRACT(TO_TEXT($F1137), U$1 &amp; ""x(\d+)"")), """")"),"")</f>
        <v/>
      </c>
      <c r="V1137" s="9" t="str">
        <f ca="1">IFERROR(__xludf.DUMMYFUNCTION("IFERROR(VALUE(REGEXEXTRACT(TO_TEXT($F1137), V$1 &amp; ""x(\d+)"")), """")"),"")</f>
        <v/>
      </c>
      <c r="W1137" s="9"/>
      <c r="X1137" s="9"/>
      <c r="Y1137" s="9"/>
      <c r="Z1137" s="9"/>
    </row>
    <row r="1138" spans="1:26" ht="15.75" customHeight="1">
      <c r="A1138" s="9" t="s">
        <v>2192</v>
      </c>
      <c r="B1138" s="9" t="s">
        <v>2193</v>
      </c>
      <c r="C1138" s="9" t="s">
        <v>2194</v>
      </c>
      <c r="D1138" s="9" t="s">
        <v>40</v>
      </c>
      <c r="E1138" s="9" t="s">
        <v>13</v>
      </c>
      <c r="F1138" s="9" t="s">
        <v>1173</v>
      </c>
      <c r="G1138" s="9">
        <v>30</v>
      </c>
      <c r="H1138" s="9">
        <v>2</v>
      </c>
      <c r="I1138" s="9">
        <v>1.0149999999999999</v>
      </c>
      <c r="J1138" s="9">
        <v>412</v>
      </c>
      <c r="K1138" s="9" t="s">
        <v>442</v>
      </c>
      <c r="L1138" s="9"/>
      <c r="M1138" s="9"/>
      <c r="N1138" s="9" t="str">
        <f ca="1">IFERROR(__xludf.DUMMYFUNCTION("IFERROR(VALUE(REGEXEXTRACT(TO_TEXT($F1138), N$1 &amp; ""x(\d+)"")), """")
"),"")</f>
        <v/>
      </c>
      <c r="O1138" s="9" t="str">
        <f ca="1">IFERROR(__xludf.DUMMYFUNCTION("IFERROR(VALUE(REGEXEXTRACT(TO_TEXT($F1138), O$1 &amp; ""x(\d+)"")), """")"),"")</f>
        <v/>
      </c>
      <c r="P1138" s="9" t="str">
        <f ca="1">IFERROR(__xludf.DUMMYFUNCTION("IFERROR(VALUE(REGEXEXTRACT(TO_TEXT($F1138), P$1 &amp; ""x(\d+)"")), """")"),"")</f>
        <v/>
      </c>
      <c r="Q1138" s="9" t="str">
        <f ca="1">IFERROR(__xludf.DUMMYFUNCTION("IFERROR(VALUE(REGEXEXTRACT(TO_TEXT($F1138), Q$1 &amp; ""x(\d+)"")), """")"),"")</f>
        <v/>
      </c>
      <c r="R1138" s="9" t="str">
        <f ca="1">IFERROR(__xludf.DUMMYFUNCTION("IFERROR(VALUE(REGEXEXTRACT(TO_TEXT($F1138), R$1 &amp; ""x(\d+)"")), """")"),"")</f>
        <v/>
      </c>
      <c r="S1138" s="9">
        <f ca="1">IFERROR(__xludf.DUMMYFUNCTION("IFERROR(VALUE(REGEXEXTRACT(TO_TEXT($F1138), S$1 &amp; ""x(\d+)"")), """")"),1)</f>
        <v>1</v>
      </c>
      <c r="T1138" s="9" t="str">
        <f ca="1">IFERROR(__xludf.DUMMYFUNCTION("IFERROR(VALUE(REGEXEXTRACT(TO_TEXT($F1138), T$1 &amp; ""x(\d+)"")), """")"),"")</f>
        <v/>
      </c>
      <c r="U1138" s="9" t="str">
        <f ca="1">IFERROR(__xludf.DUMMYFUNCTION("IFERROR(VALUE(REGEXEXTRACT(TO_TEXT($F1138), U$1 &amp; ""x(\d+)"")), """")"),"")</f>
        <v/>
      </c>
      <c r="V1138" s="9" t="str">
        <f ca="1">IFERROR(__xludf.DUMMYFUNCTION("IFERROR(VALUE(REGEXEXTRACT(TO_TEXT($F1138), V$1 &amp; ""x(\d+)"")), """")"),"")</f>
        <v/>
      </c>
      <c r="W1138" s="9"/>
      <c r="X1138" s="9"/>
      <c r="Y1138" s="9"/>
      <c r="Z1138" s="9"/>
    </row>
    <row r="1139" spans="1:26" ht="15.75" customHeight="1">
      <c r="A1139" s="9" t="s">
        <v>2197</v>
      </c>
      <c r="B1139" s="9" t="s">
        <v>2198</v>
      </c>
      <c r="C1139" s="9" t="s">
        <v>2199</v>
      </c>
      <c r="D1139" s="9" t="s">
        <v>33</v>
      </c>
      <c r="E1139" s="9" t="s">
        <v>11</v>
      </c>
      <c r="F1139" s="9" t="s">
        <v>1204</v>
      </c>
      <c r="G1139" s="9">
        <v>30</v>
      </c>
      <c r="H1139" s="9">
        <v>3</v>
      </c>
      <c r="I1139" s="9">
        <v>1.0149999999999999</v>
      </c>
      <c r="J1139" s="9">
        <v>110</v>
      </c>
      <c r="K1139" s="9" t="s">
        <v>442</v>
      </c>
      <c r="L1139" s="9"/>
      <c r="M1139" s="9"/>
      <c r="N1139" s="9" t="str">
        <f ca="1">IFERROR(__xludf.DUMMYFUNCTION("IFERROR(VALUE(REGEXEXTRACT(TO_TEXT($F1139), N$1 &amp; ""x(\d+)"")), """")
"),"")</f>
        <v/>
      </c>
      <c r="O1139" s="9" t="str">
        <f ca="1">IFERROR(__xludf.DUMMYFUNCTION("IFERROR(VALUE(REGEXEXTRACT(TO_TEXT($F1139), O$1 &amp; ""x(\d+)"")), """")"),"")</f>
        <v/>
      </c>
      <c r="P1139" s="9" t="str">
        <f ca="1">IFERROR(__xludf.DUMMYFUNCTION("IFERROR(VALUE(REGEXEXTRACT(TO_TEXT($F1139), P$1 &amp; ""x(\d+)"")), """")"),"")</f>
        <v/>
      </c>
      <c r="Q1139" s="9" t="str">
        <f ca="1">IFERROR(__xludf.DUMMYFUNCTION("IFERROR(VALUE(REGEXEXTRACT(TO_TEXT($F1139), Q$1 &amp; ""x(\d+)"")), """")"),"")</f>
        <v/>
      </c>
      <c r="R1139" s="9" t="str">
        <f ca="1">IFERROR(__xludf.DUMMYFUNCTION("IFERROR(VALUE(REGEXEXTRACT(TO_TEXT($F1139), R$1 &amp; ""x(\d+)"")), """")"),"")</f>
        <v/>
      </c>
      <c r="S1139" s="9" t="str">
        <f ca="1">IFERROR(__xludf.DUMMYFUNCTION("IFERROR(VALUE(REGEXEXTRACT(TO_TEXT($F1139), S$1 &amp; ""x(\d+)"")), """")"),"")</f>
        <v/>
      </c>
      <c r="T1139" s="9" t="str">
        <f ca="1">IFERROR(__xludf.DUMMYFUNCTION("IFERROR(VALUE(REGEXEXTRACT(TO_TEXT($F1139), T$1 &amp; ""x(\d+)"")), """")"),"")</f>
        <v/>
      </c>
      <c r="U1139" s="9" t="str">
        <f ca="1">IFERROR(__xludf.DUMMYFUNCTION("IFERROR(VALUE(REGEXEXTRACT(TO_TEXT($F1139), U$1 &amp; ""x(\d+)"")), """")"),"")</f>
        <v/>
      </c>
      <c r="V1139" s="9" t="str">
        <f ca="1">IFERROR(__xludf.DUMMYFUNCTION("IFERROR(VALUE(REGEXEXTRACT(TO_TEXT($F1139), V$1 &amp; ""x(\d+)"")), """")"),"")</f>
        <v/>
      </c>
      <c r="W1139" s="9"/>
      <c r="X1139" s="9"/>
      <c r="Y1139" s="9"/>
      <c r="Z1139" s="9"/>
    </row>
    <row r="1140" spans="1:26" ht="15.75" customHeight="1">
      <c r="A1140" s="9" t="s">
        <v>2197</v>
      </c>
      <c r="B1140" s="9" t="s">
        <v>2198</v>
      </c>
      <c r="C1140" s="9" t="s">
        <v>2199</v>
      </c>
      <c r="D1140" s="9" t="s">
        <v>33</v>
      </c>
      <c r="E1140" s="9" t="s">
        <v>12</v>
      </c>
      <c r="F1140" s="9" t="s">
        <v>2200</v>
      </c>
      <c r="G1140" s="9">
        <v>90</v>
      </c>
      <c r="H1140" s="9">
        <v>3</v>
      </c>
      <c r="I1140" s="9">
        <v>1.0149999999999999</v>
      </c>
      <c r="J1140" s="9">
        <v>110</v>
      </c>
      <c r="K1140" s="9" t="s">
        <v>442</v>
      </c>
      <c r="L1140" s="9"/>
      <c r="M1140" s="9"/>
      <c r="N1140" s="9" t="str">
        <f ca="1">IFERROR(__xludf.DUMMYFUNCTION("IFERROR(VALUE(REGEXEXTRACT(TO_TEXT($F1140), N$1 &amp; ""x(\d+)"")), """")
"),"")</f>
        <v/>
      </c>
      <c r="O1140" s="9">
        <f ca="1">IFERROR(__xludf.DUMMYFUNCTION("IFERROR(VALUE(REGEXEXTRACT(TO_TEXT($F1140), O$1 &amp; ""x(\d+)"")), """")"),1)</f>
        <v>1</v>
      </c>
      <c r="P1140" s="9" t="str">
        <f ca="1">IFERROR(__xludf.DUMMYFUNCTION("IFERROR(VALUE(REGEXEXTRACT(TO_TEXT($F1140), P$1 &amp; ""x(\d+)"")), """")"),"")</f>
        <v/>
      </c>
      <c r="Q1140" s="9" t="str">
        <f ca="1">IFERROR(__xludf.DUMMYFUNCTION("IFERROR(VALUE(REGEXEXTRACT(TO_TEXT($F1140), Q$1 &amp; ""x(\d+)"")), """")"),"")</f>
        <v/>
      </c>
      <c r="R1140" s="9" t="str">
        <f ca="1">IFERROR(__xludf.DUMMYFUNCTION("IFERROR(VALUE(REGEXEXTRACT(TO_TEXT($F1140), R$1 &amp; ""x(\d+)"")), """")"),"")</f>
        <v/>
      </c>
      <c r="S1140" s="9" t="str">
        <f ca="1">IFERROR(__xludf.DUMMYFUNCTION("IFERROR(VALUE(REGEXEXTRACT(TO_TEXT($F1140), S$1 &amp; ""x(\d+)"")), """")"),"")</f>
        <v/>
      </c>
      <c r="T1140" s="9" t="str">
        <f ca="1">IFERROR(__xludf.DUMMYFUNCTION("IFERROR(VALUE(REGEXEXTRACT(TO_TEXT($F1140), T$1 &amp; ""x(\d+)"")), """")"),"")</f>
        <v/>
      </c>
      <c r="U1140" s="9" t="str">
        <f ca="1">IFERROR(__xludf.DUMMYFUNCTION("IFERROR(VALUE(REGEXEXTRACT(TO_TEXT($F1140), U$1 &amp; ""x(\d+)"")), """")"),"")</f>
        <v/>
      </c>
      <c r="V1140" s="9" t="str">
        <f ca="1">IFERROR(__xludf.DUMMYFUNCTION("IFERROR(VALUE(REGEXEXTRACT(TO_TEXT($F1140), V$1 &amp; ""x(\d+)"")), """")"),"")</f>
        <v/>
      </c>
      <c r="W1140" s="9"/>
      <c r="X1140" s="9"/>
      <c r="Y1140" s="9"/>
      <c r="Z1140" s="9"/>
    </row>
    <row r="1141" spans="1:26" ht="15.75" customHeight="1">
      <c r="A1141" s="9" t="s">
        <v>2197</v>
      </c>
      <c r="B1141" s="9" t="s">
        <v>2198</v>
      </c>
      <c r="C1141" s="9" t="s">
        <v>2199</v>
      </c>
      <c r="D1141" s="9" t="s">
        <v>33</v>
      </c>
      <c r="E1141" s="9" t="s">
        <v>13</v>
      </c>
      <c r="F1141" s="9" t="s">
        <v>1108</v>
      </c>
      <c r="G1141" s="9">
        <v>20</v>
      </c>
      <c r="H1141" s="9">
        <v>3</v>
      </c>
      <c r="I1141" s="9">
        <v>1.0149999999999999</v>
      </c>
      <c r="J1141" s="9">
        <v>110</v>
      </c>
      <c r="K1141" s="9" t="s">
        <v>442</v>
      </c>
      <c r="L1141" s="9"/>
      <c r="M1141" s="9"/>
      <c r="N1141" s="9" t="str">
        <f ca="1">IFERROR(__xludf.DUMMYFUNCTION("IFERROR(VALUE(REGEXEXTRACT(TO_TEXT($F1141), N$1 &amp; ""x(\d+)"")), """")
"),"")</f>
        <v/>
      </c>
      <c r="O1141" s="9">
        <f ca="1">IFERROR(__xludf.DUMMYFUNCTION("IFERROR(VALUE(REGEXEXTRACT(TO_TEXT($F1141), O$1 &amp; ""x(\d+)"")), """")"),1)</f>
        <v>1</v>
      </c>
      <c r="P1141" s="9" t="str">
        <f ca="1">IFERROR(__xludf.DUMMYFUNCTION("IFERROR(VALUE(REGEXEXTRACT(TO_TEXT($F1141), P$1 &amp; ""x(\d+)"")), """")"),"")</f>
        <v/>
      </c>
      <c r="Q1141" s="9" t="str">
        <f ca="1">IFERROR(__xludf.DUMMYFUNCTION("IFERROR(VALUE(REGEXEXTRACT(TO_TEXT($F1141), Q$1 &amp; ""x(\d+)"")), """")"),"")</f>
        <v/>
      </c>
      <c r="R1141" s="9" t="str">
        <f ca="1">IFERROR(__xludf.DUMMYFUNCTION("IFERROR(VALUE(REGEXEXTRACT(TO_TEXT($F1141), R$1 &amp; ""x(\d+)"")), """")"),"")</f>
        <v/>
      </c>
      <c r="S1141" s="9" t="str">
        <f ca="1">IFERROR(__xludf.DUMMYFUNCTION("IFERROR(VALUE(REGEXEXTRACT(TO_TEXT($F1141), S$1 &amp; ""x(\d+)"")), """")"),"")</f>
        <v/>
      </c>
      <c r="T1141" s="9" t="str">
        <f ca="1">IFERROR(__xludf.DUMMYFUNCTION("IFERROR(VALUE(REGEXEXTRACT(TO_TEXT($F1141), T$1 &amp; ""x(\d+)"")), """")"),"")</f>
        <v/>
      </c>
      <c r="U1141" s="9" t="str">
        <f ca="1">IFERROR(__xludf.DUMMYFUNCTION("IFERROR(VALUE(REGEXEXTRACT(TO_TEXT($F1141), U$1 &amp; ""x(\d+)"")), """")"),"")</f>
        <v/>
      </c>
      <c r="V1141" s="9" t="str">
        <f ca="1">IFERROR(__xludf.DUMMYFUNCTION("IFERROR(VALUE(REGEXEXTRACT(TO_TEXT($F1141), V$1 &amp; ""x(\d+)"")), """")"),"")</f>
        <v/>
      </c>
      <c r="W1141" s="9"/>
      <c r="X1141" s="9"/>
      <c r="Y1141" s="9"/>
      <c r="Z1141" s="9"/>
    </row>
    <row r="1142" spans="1:26" ht="15.75" customHeight="1">
      <c r="A1142" s="9" t="s">
        <v>2197</v>
      </c>
      <c r="B1142" s="9" t="s">
        <v>2198</v>
      </c>
      <c r="C1142" s="9" t="s">
        <v>2199</v>
      </c>
      <c r="D1142" s="9" t="s">
        <v>40</v>
      </c>
      <c r="E1142" s="9" t="s">
        <v>11</v>
      </c>
      <c r="F1142" s="9" t="s">
        <v>2201</v>
      </c>
      <c r="G1142" s="9">
        <v>50</v>
      </c>
      <c r="H1142" s="9">
        <v>3</v>
      </c>
      <c r="I1142" s="9">
        <v>1.0149999999999999</v>
      </c>
      <c r="J1142" s="9">
        <v>412</v>
      </c>
      <c r="K1142" s="9" t="s">
        <v>442</v>
      </c>
      <c r="L1142" s="9"/>
      <c r="M1142" s="9"/>
      <c r="N1142" s="9" t="str">
        <f ca="1">IFERROR(__xludf.DUMMYFUNCTION("IFERROR(VALUE(REGEXEXTRACT(TO_TEXT($F1142), N$1 &amp; ""x(\d+)"")), """")
"),"")</f>
        <v/>
      </c>
      <c r="O1142" s="9">
        <f ca="1">IFERROR(__xludf.DUMMYFUNCTION("IFERROR(VALUE(REGEXEXTRACT(TO_TEXT($F1142), O$1 &amp; ""x(\d+)"")), """")"),1)</f>
        <v>1</v>
      </c>
      <c r="P1142" s="9" t="str">
        <f ca="1">IFERROR(__xludf.DUMMYFUNCTION("IFERROR(VALUE(REGEXEXTRACT(TO_TEXT($F1142), P$1 &amp; ""x(\d+)"")), """")"),"")</f>
        <v/>
      </c>
      <c r="Q1142" s="9" t="str">
        <f ca="1">IFERROR(__xludf.DUMMYFUNCTION("IFERROR(VALUE(REGEXEXTRACT(TO_TEXT($F1142), Q$1 &amp; ""x(\d+)"")), """")"),"")</f>
        <v/>
      </c>
      <c r="R1142" s="9" t="str">
        <f ca="1">IFERROR(__xludf.DUMMYFUNCTION("IFERROR(VALUE(REGEXEXTRACT(TO_TEXT($F1142), R$1 &amp; ""x(\d+)"")), """")"),"")</f>
        <v/>
      </c>
      <c r="S1142" s="9" t="str">
        <f ca="1">IFERROR(__xludf.DUMMYFUNCTION("IFERROR(VALUE(REGEXEXTRACT(TO_TEXT($F1142), S$1 &amp; ""x(\d+)"")), """")"),"")</f>
        <v/>
      </c>
      <c r="T1142" s="9" t="str">
        <f ca="1">IFERROR(__xludf.DUMMYFUNCTION("IFERROR(VALUE(REGEXEXTRACT(TO_TEXT($F1142), T$1 &amp; ""x(\d+)"")), """")"),"")</f>
        <v/>
      </c>
      <c r="U1142" s="9" t="str">
        <f ca="1">IFERROR(__xludf.DUMMYFUNCTION("IFERROR(VALUE(REGEXEXTRACT(TO_TEXT($F1142), U$1 &amp; ""x(\d+)"")), """")"),"")</f>
        <v/>
      </c>
      <c r="V1142" s="9" t="str">
        <f ca="1">IFERROR(__xludf.DUMMYFUNCTION("IFERROR(VALUE(REGEXEXTRACT(TO_TEXT($F1142), V$1 &amp; ""x(\d+)"")), """")"),"")</f>
        <v/>
      </c>
      <c r="W1142" s="9"/>
      <c r="X1142" s="9"/>
      <c r="Y1142" s="9"/>
      <c r="Z1142" s="9"/>
    </row>
    <row r="1143" spans="1:26" ht="15.75" customHeight="1">
      <c r="A1143" s="9" t="s">
        <v>2197</v>
      </c>
      <c r="B1143" s="9" t="s">
        <v>2198</v>
      </c>
      <c r="C1143" s="9" t="s">
        <v>2199</v>
      </c>
      <c r="D1143" s="9" t="s">
        <v>40</v>
      </c>
      <c r="E1143" s="9" t="s">
        <v>12</v>
      </c>
      <c r="F1143" s="9" t="s">
        <v>2202</v>
      </c>
      <c r="G1143" s="9">
        <v>145</v>
      </c>
      <c r="H1143" s="9">
        <v>3</v>
      </c>
      <c r="I1143" s="9">
        <v>1.0149999999999999</v>
      </c>
      <c r="J1143" s="9">
        <v>412</v>
      </c>
      <c r="K1143" s="9" t="s">
        <v>442</v>
      </c>
      <c r="L1143" s="9"/>
      <c r="M1143" s="9"/>
      <c r="N1143" s="9" t="str">
        <f ca="1">IFERROR(__xludf.DUMMYFUNCTION("IFERROR(VALUE(REGEXEXTRACT(TO_TEXT($F1143), N$1 &amp; ""x(\d+)"")), """")
"),"")</f>
        <v/>
      </c>
      <c r="O1143" s="9" t="str">
        <f ca="1">IFERROR(__xludf.DUMMYFUNCTION("IFERROR(VALUE(REGEXEXTRACT(TO_TEXT($F1143), O$1 &amp; ""x(\d+)"")), """")"),"")</f>
        <v/>
      </c>
      <c r="P1143" s="9" t="str">
        <f ca="1">IFERROR(__xludf.DUMMYFUNCTION("IFERROR(VALUE(REGEXEXTRACT(TO_TEXT($F1143), P$1 &amp; ""x(\d+)"")), """")"),"")</f>
        <v/>
      </c>
      <c r="Q1143" s="9" t="str">
        <f ca="1">IFERROR(__xludf.DUMMYFUNCTION("IFERROR(VALUE(REGEXEXTRACT(TO_TEXT($F1143), Q$1 &amp; ""x(\d+)"")), """")"),"")</f>
        <v/>
      </c>
      <c r="R1143" s="9" t="str">
        <f ca="1">IFERROR(__xludf.DUMMYFUNCTION("IFERROR(VALUE(REGEXEXTRACT(TO_TEXT($F1143), R$1 &amp; ""x(\d+)"")), """")"),"")</f>
        <v/>
      </c>
      <c r="S1143" s="9">
        <f ca="1">IFERROR(__xludf.DUMMYFUNCTION("IFERROR(VALUE(REGEXEXTRACT(TO_TEXT($F1143), S$1 &amp; ""x(\d+)"")), """")"),1)</f>
        <v>1</v>
      </c>
      <c r="T1143" s="9" t="str">
        <f ca="1">IFERROR(__xludf.DUMMYFUNCTION("IFERROR(VALUE(REGEXEXTRACT(TO_TEXT($F1143), T$1 &amp; ""x(\d+)"")), """")"),"")</f>
        <v/>
      </c>
      <c r="U1143" s="9" t="str">
        <f ca="1">IFERROR(__xludf.DUMMYFUNCTION("IFERROR(VALUE(REGEXEXTRACT(TO_TEXT($F1143), U$1 &amp; ""x(\d+)"")), """")"),"")</f>
        <v/>
      </c>
      <c r="V1143" s="9" t="str">
        <f ca="1">IFERROR(__xludf.DUMMYFUNCTION("IFERROR(VALUE(REGEXEXTRACT(TO_TEXT($F1143), V$1 &amp; ""x(\d+)"")), """")"),"")</f>
        <v/>
      </c>
      <c r="W1143" s="9"/>
      <c r="X1143" s="9"/>
      <c r="Y1143" s="9"/>
      <c r="Z1143" s="9"/>
    </row>
    <row r="1144" spans="1:26" ht="15.75" customHeight="1">
      <c r="A1144" s="9" t="s">
        <v>2197</v>
      </c>
      <c r="B1144" s="9" t="s">
        <v>2198</v>
      </c>
      <c r="C1144" s="9" t="s">
        <v>2199</v>
      </c>
      <c r="D1144" s="9" t="s">
        <v>40</v>
      </c>
      <c r="E1144" s="9" t="s">
        <v>13</v>
      </c>
      <c r="F1144" s="9" t="s">
        <v>2203</v>
      </c>
      <c r="G1144" s="9">
        <v>40</v>
      </c>
      <c r="H1144" s="9">
        <v>3</v>
      </c>
      <c r="I1144" s="9">
        <v>1.0149999999999999</v>
      </c>
      <c r="J1144" s="9">
        <v>412</v>
      </c>
      <c r="K1144" s="9" t="s">
        <v>442</v>
      </c>
      <c r="L1144" s="9"/>
      <c r="M1144" s="9"/>
      <c r="N1144" s="9" t="str">
        <f ca="1">IFERROR(__xludf.DUMMYFUNCTION("IFERROR(VALUE(REGEXEXTRACT(TO_TEXT($F1144), N$1 &amp; ""x(\d+)"")), """")
"),"")</f>
        <v/>
      </c>
      <c r="O1144" s="9" t="str">
        <f ca="1">IFERROR(__xludf.DUMMYFUNCTION("IFERROR(VALUE(REGEXEXTRACT(TO_TEXT($F1144), O$1 &amp; ""x(\d+)"")), """")"),"")</f>
        <v/>
      </c>
      <c r="P1144" s="9" t="str">
        <f ca="1">IFERROR(__xludf.DUMMYFUNCTION("IFERROR(VALUE(REGEXEXTRACT(TO_TEXT($F1144), P$1 &amp; ""x(\d+)"")), """")"),"")</f>
        <v/>
      </c>
      <c r="Q1144" s="9" t="str">
        <f ca="1">IFERROR(__xludf.DUMMYFUNCTION("IFERROR(VALUE(REGEXEXTRACT(TO_TEXT($F1144), Q$1 &amp; ""x(\d+)"")), """")"),"")</f>
        <v/>
      </c>
      <c r="R1144" s="9" t="str">
        <f ca="1">IFERROR(__xludf.DUMMYFUNCTION("IFERROR(VALUE(REGEXEXTRACT(TO_TEXT($F1144), R$1 &amp; ""x(\d+)"")), """")"),"")</f>
        <v/>
      </c>
      <c r="S1144" s="9">
        <f ca="1">IFERROR(__xludf.DUMMYFUNCTION("IFERROR(VALUE(REGEXEXTRACT(TO_TEXT($F1144), S$1 &amp; ""x(\d+)"")), """")"),1)</f>
        <v>1</v>
      </c>
      <c r="T1144" s="9" t="str">
        <f ca="1">IFERROR(__xludf.DUMMYFUNCTION("IFERROR(VALUE(REGEXEXTRACT(TO_TEXT($F1144), T$1 &amp; ""x(\d+)"")), """")"),"")</f>
        <v/>
      </c>
      <c r="U1144" s="9" t="str">
        <f ca="1">IFERROR(__xludf.DUMMYFUNCTION("IFERROR(VALUE(REGEXEXTRACT(TO_TEXT($F1144), U$1 &amp; ""x(\d+)"")), """")"),"")</f>
        <v/>
      </c>
      <c r="V1144" s="9" t="str">
        <f ca="1">IFERROR(__xludf.DUMMYFUNCTION("IFERROR(VALUE(REGEXEXTRACT(TO_TEXT($F1144), V$1 &amp; ""x(\d+)"")), """")"),"")</f>
        <v/>
      </c>
      <c r="W1144" s="9"/>
      <c r="X1144" s="9"/>
      <c r="Y1144" s="9"/>
      <c r="Z1144" s="9"/>
    </row>
    <row r="1145" spans="1:26" ht="15.75" customHeight="1">
      <c r="A1145" s="9" t="s">
        <v>2204</v>
      </c>
      <c r="B1145" s="9" t="s">
        <v>2198</v>
      </c>
      <c r="C1145" s="9" t="s">
        <v>2205</v>
      </c>
      <c r="D1145" s="9" t="s">
        <v>33</v>
      </c>
      <c r="E1145" s="9" t="s">
        <v>11</v>
      </c>
      <c r="F1145" s="9" t="s">
        <v>1204</v>
      </c>
      <c r="G1145" s="9">
        <v>30</v>
      </c>
      <c r="H1145" s="9">
        <v>3</v>
      </c>
      <c r="I1145" s="9">
        <v>1.0149999999999999</v>
      </c>
      <c r="J1145" s="9">
        <v>110</v>
      </c>
      <c r="K1145" s="9" t="s">
        <v>442</v>
      </c>
      <c r="L1145" s="9"/>
      <c r="M1145" s="9"/>
      <c r="N1145" s="9" t="str">
        <f ca="1">IFERROR(__xludf.DUMMYFUNCTION("IFERROR(VALUE(REGEXEXTRACT(TO_TEXT($F1145), N$1 &amp; ""x(\d+)"")), """")
"),"")</f>
        <v/>
      </c>
      <c r="O1145" s="9" t="str">
        <f ca="1">IFERROR(__xludf.DUMMYFUNCTION("IFERROR(VALUE(REGEXEXTRACT(TO_TEXT($F1145), O$1 &amp; ""x(\d+)"")), """")"),"")</f>
        <v/>
      </c>
      <c r="P1145" s="9" t="str">
        <f ca="1">IFERROR(__xludf.DUMMYFUNCTION("IFERROR(VALUE(REGEXEXTRACT(TO_TEXT($F1145), P$1 &amp; ""x(\d+)"")), """")"),"")</f>
        <v/>
      </c>
      <c r="Q1145" s="9" t="str">
        <f ca="1">IFERROR(__xludf.DUMMYFUNCTION("IFERROR(VALUE(REGEXEXTRACT(TO_TEXT($F1145), Q$1 &amp; ""x(\d+)"")), """")"),"")</f>
        <v/>
      </c>
      <c r="R1145" s="9" t="str">
        <f ca="1">IFERROR(__xludf.DUMMYFUNCTION("IFERROR(VALUE(REGEXEXTRACT(TO_TEXT($F1145), R$1 &amp; ""x(\d+)"")), """")"),"")</f>
        <v/>
      </c>
      <c r="S1145" s="9" t="str">
        <f ca="1">IFERROR(__xludf.DUMMYFUNCTION("IFERROR(VALUE(REGEXEXTRACT(TO_TEXT($F1145), S$1 &amp; ""x(\d+)"")), """")"),"")</f>
        <v/>
      </c>
      <c r="T1145" s="9" t="str">
        <f ca="1">IFERROR(__xludf.DUMMYFUNCTION("IFERROR(VALUE(REGEXEXTRACT(TO_TEXT($F1145), T$1 &amp; ""x(\d+)"")), """")"),"")</f>
        <v/>
      </c>
      <c r="U1145" s="9" t="str">
        <f ca="1">IFERROR(__xludf.DUMMYFUNCTION("IFERROR(VALUE(REGEXEXTRACT(TO_TEXT($F1145), U$1 &amp; ""x(\d+)"")), """")"),"")</f>
        <v/>
      </c>
      <c r="V1145" s="9" t="str">
        <f ca="1">IFERROR(__xludf.DUMMYFUNCTION("IFERROR(VALUE(REGEXEXTRACT(TO_TEXT($F1145), V$1 &amp; ""x(\d+)"")), """")"),"")</f>
        <v/>
      </c>
      <c r="W1145" s="9"/>
      <c r="X1145" s="9"/>
      <c r="Y1145" s="9"/>
      <c r="Z1145" s="9"/>
    </row>
    <row r="1146" spans="1:26" ht="15.75" customHeight="1">
      <c r="A1146" s="9" t="s">
        <v>2204</v>
      </c>
      <c r="B1146" s="9" t="s">
        <v>2198</v>
      </c>
      <c r="C1146" s="9" t="s">
        <v>2205</v>
      </c>
      <c r="D1146" s="9" t="s">
        <v>33</v>
      </c>
      <c r="E1146" s="9" t="s">
        <v>12</v>
      </c>
      <c r="F1146" s="9" t="s">
        <v>2200</v>
      </c>
      <c r="G1146" s="9">
        <v>90</v>
      </c>
      <c r="H1146" s="9">
        <v>3</v>
      </c>
      <c r="I1146" s="9">
        <v>1.0149999999999999</v>
      </c>
      <c r="J1146" s="9">
        <v>110</v>
      </c>
      <c r="K1146" s="9" t="s">
        <v>442</v>
      </c>
      <c r="L1146" s="9"/>
      <c r="M1146" s="9"/>
      <c r="N1146" s="9" t="str">
        <f ca="1">IFERROR(__xludf.DUMMYFUNCTION("IFERROR(VALUE(REGEXEXTRACT(TO_TEXT($F1146), N$1 &amp; ""x(\d+)"")), """")
"),"")</f>
        <v/>
      </c>
      <c r="O1146" s="9">
        <f ca="1">IFERROR(__xludf.DUMMYFUNCTION("IFERROR(VALUE(REGEXEXTRACT(TO_TEXT($F1146), O$1 &amp; ""x(\d+)"")), """")"),1)</f>
        <v>1</v>
      </c>
      <c r="P1146" s="9" t="str">
        <f ca="1">IFERROR(__xludf.DUMMYFUNCTION("IFERROR(VALUE(REGEXEXTRACT(TO_TEXT($F1146), P$1 &amp; ""x(\d+)"")), """")"),"")</f>
        <v/>
      </c>
      <c r="Q1146" s="9" t="str">
        <f ca="1">IFERROR(__xludf.DUMMYFUNCTION("IFERROR(VALUE(REGEXEXTRACT(TO_TEXT($F1146), Q$1 &amp; ""x(\d+)"")), """")"),"")</f>
        <v/>
      </c>
      <c r="R1146" s="9" t="str">
        <f ca="1">IFERROR(__xludf.DUMMYFUNCTION("IFERROR(VALUE(REGEXEXTRACT(TO_TEXT($F1146), R$1 &amp; ""x(\d+)"")), """")"),"")</f>
        <v/>
      </c>
      <c r="S1146" s="9" t="str">
        <f ca="1">IFERROR(__xludf.DUMMYFUNCTION("IFERROR(VALUE(REGEXEXTRACT(TO_TEXT($F1146), S$1 &amp; ""x(\d+)"")), """")"),"")</f>
        <v/>
      </c>
      <c r="T1146" s="9" t="str">
        <f ca="1">IFERROR(__xludf.DUMMYFUNCTION("IFERROR(VALUE(REGEXEXTRACT(TO_TEXT($F1146), T$1 &amp; ""x(\d+)"")), """")"),"")</f>
        <v/>
      </c>
      <c r="U1146" s="9" t="str">
        <f ca="1">IFERROR(__xludf.DUMMYFUNCTION("IFERROR(VALUE(REGEXEXTRACT(TO_TEXT($F1146), U$1 &amp; ""x(\d+)"")), """")"),"")</f>
        <v/>
      </c>
      <c r="V1146" s="9" t="str">
        <f ca="1">IFERROR(__xludf.DUMMYFUNCTION("IFERROR(VALUE(REGEXEXTRACT(TO_TEXT($F1146), V$1 &amp; ""x(\d+)"")), """")"),"")</f>
        <v/>
      </c>
      <c r="W1146" s="9"/>
      <c r="X1146" s="9"/>
      <c r="Y1146" s="9"/>
      <c r="Z1146" s="9"/>
    </row>
    <row r="1147" spans="1:26" ht="15.75" customHeight="1">
      <c r="A1147" s="9" t="s">
        <v>2204</v>
      </c>
      <c r="B1147" s="9" t="s">
        <v>2198</v>
      </c>
      <c r="C1147" s="9" t="s">
        <v>2205</v>
      </c>
      <c r="D1147" s="9" t="s">
        <v>33</v>
      </c>
      <c r="E1147" s="9" t="s">
        <v>13</v>
      </c>
      <c r="F1147" s="9" t="s">
        <v>1108</v>
      </c>
      <c r="G1147" s="9">
        <v>20</v>
      </c>
      <c r="H1147" s="9">
        <v>3</v>
      </c>
      <c r="I1147" s="9">
        <v>1.0149999999999999</v>
      </c>
      <c r="J1147" s="9">
        <v>110</v>
      </c>
      <c r="K1147" s="9" t="s">
        <v>442</v>
      </c>
      <c r="L1147" s="9"/>
      <c r="M1147" s="9"/>
      <c r="N1147" s="9" t="str">
        <f ca="1">IFERROR(__xludf.DUMMYFUNCTION("IFERROR(VALUE(REGEXEXTRACT(TO_TEXT($F1147), N$1 &amp; ""x(\d+)"")), """")
"),"")</f>
        <v/>
      </c>
      <c r="O1147" s="9">
        <f ca="1">IFERROR(__xludf.DUMMYFUNCTION("IFERROR(VALUE(REGEXEXTRACT(TO_TEXT($F1147), O$1 &amp; ""x(\d+)"")), """")"),1)</f>
        <v>1</v>
      </c>
      <c r="P1147" s="9" t="str">
        <f ca="1">IFERROR(__xludf.DUMMYFUNCTION("IFERROR(VALUE(REGEXEXTRACT(TO_TEXT($F1147), P$1 &amp; ""x(\d+)"")), """")"),"")</f>
        <v/>
      </c>
      <c r="Q1147" s="9" t="str">
        <f ca="1">IFERROR(__xludf.DUMMYFUNCTION("IFERROR(VALUE(REGEXEXTRACT(TO_TEXT($F1147), Q$1 &amp; ""x(\d+)"")), """")"),"")</f>
        <v/>
      </c>
      <c r="R1147" s="9" t="str">
        <f ca="1">IFERROR(__xludf.DUMMYFUNCTION("IFERROR(VALUE(REGEXEXTRACT(TO_TEXT($F1147), R$1 &amp; ""x(\d+)"")), """")"),"")</f>
        <v/>
      </c>
      <c r="S1147" s="9" t="str">
        <f ca="1">IFERROR(__xludf.DUMMYFUNCTION("IFERROR(VALUE(REGEXEXTRACT(TO_TEXT($F1147), S$1 &amp; ""x(\d+)"")), """")"),"")</f>
        <v/>
      </c>
      <c r="T1147" s="9" t="str">
        <f ca="1">IFERROR(__xludf.DUMMYFUNCTION("IFERROR(VALUE(REGEXEXTRACT(TO_TEXT($F1147), T$1 &amp; ""x(\d+)"")), """")"),"")</f>
        <v/>
      </c>
      <c r="U1147" s="9" t="str">
        <f ca="1">IFERROR(__xludf.DUMMYFUNCTION("IFERROR(VALUE(REGEXEXTRACT(TO_TEXT($F1147), U$1 &amp; ""x(\d+)"")), """")"),"")</f>
        <v/>
      </c>
      <c r="V1147" s="9" t="str">
        <f ca="1">IFERROR(__xludf.DUMMYFUNCTION("IFERROR(VALUE(REGEXEXTRACT(TO_TEXT($F1147), V$1 &amp; ""x(\d+)"")), """")"),"")</f>
        <v/>
      </c>
      <c r="W1147" s="9"/>
      <c r="X1147" s="9"/>
      <c r="Y1147" s="9"/>
      <c r="Z1147" s="9"/>
    </row>
    <row r="1148" spans="1:26" ht="15.75" customHeight="1">
      <c r="A1148" s="9" t="s">
        <v>2204</v>
      </c>
      <c r="B1148" s="9" t="s">
        <v>2198</v>
      </c>
      <c r="C1148" s="9" t="s">
        <v>2205</v>
      </c>
      <c r="D1148" s="9" t="s">
        <v>40</v>
      </c>
      <c r="E1148" s="9" t="s">
        <v>11</v>
      </c>
      <c r="F1148" s="9" t="s">
        <v>2201</v>
      </c>
      <c r="G1148" s="9">
        <v>50</v>
      </c>
      <c r="H1148" s="9">
        <v>3</v>
      </c>
      <c r="I1148" s="9">
        <v>1.0149999999999999</v>
      </c>
      <c r="J1148" s="9">
        <v>412</v>
      </c>
      <c r="K1148" s="9" t="s">
        <v>442</v>
      </c>
      <c r="L1148" s="9"/>
      <c r="M1148" s="9"/>
      <c r="N1148" s="9" t="str">
        <f ca="1">IFERROR(__xludf.DUMMYFUNCTION("IFERROR(VALUE(REGEXEXTRACT(TO_TEXT($F1148), N$1 &amp; ""x(\d+)"")), """")
"),"")</f>
        <v/>
      </c>
      <c r="O1148" s="9">
        <f ca="1">IFERROR(__xludf.DUMMYFUNCTION("IFERROR(VALUE(REGEXEXTRACT(TO_TEXT($F1148), O$1 &amp; ""x(\d+)"")), """")"),1)</f>
        <v>1</v>
      </c>
      <c r="P1148" s="9" t="str">
        <f ca="1">IFERROR(__xludf.DUMMYFUNCTION("IFERROR(VALUE(REGEXEXTRACT(TO_TEXT($F1148), P$1 &amp; ""x(\d+)"")), """")"),"")</f>
        <v/>
      </c>
      <c r="Q1148" s="9" t="str">
        <f ca="1">IFERROR(__xludf.DUMMYFUNCTION("IFERROR(VALUE(REGEXEXTRACT(TO_TEXT($F1148), Q$1 &amp; ""x(\d+)"")), """")"),"")</f>
        <v/>
      </c>
      <c r="R1148" s="9" t="str">
        <f ca="1">IFERROR(__xludf.DUMMYFUNCTION("IFERROR(VALUE(REGEXEXTRACT(TO_TEXT($F1148), R$1 &amp; ""x(\d+)"")), """")"),"")</f>
        <v/>
      </c>
      <c r="S1148" s="9" t="str">
        <f ca="1">IFERROR(__xludf.DUMMYFUNCTION("IFERROR(VALUE(REGEXEXTRACT(TO_TEXT($F1148), S$1 &amp; ""x(\d+)"")), """")"),"")</f>
        <v/>
      </c>
      <c r="T1148" s="9" t="str">
        <f ca="1">IFERROR(__xludf.DUMMYFUNCTION("IFERROR(VALUE(REGEXEXTRACT(TO_TEXT($F1148), T$1 &amp; ""x(\d+)"")), """")"),"")</f>
        <v/>
      </c>
      <c r="U1148" s="9" t="str">
        <f ca="1">IFERROR(__xludf.DUMMYFUNCTION("IFERROR(VALUE(REGEXEXTRACT(TO_TEXT($F1148), U$1 &amp; ""x(\d+)"")), """")"),"")</f>
        <v/>
      </c>
      <c r="V1148" s="9" t="str">
        <f ca="1">IFERROR(__xludf.DUMMYFUNCTION("IFERROR(VALUE(REGEXEXTRACT(TO_TEXT($F1148), V$1 &amp; ""x(\d+)"")), """")"),"")</f>
        <v/>
      </c>
      <c r="W1148" s="9"/>
      <c r="X1148" s="9"/>
      <c r="Y1148" s="9"/>
      <c r="Z1148" s="9"/>
    </row>
    <row r="1149" spans="1:26" ht="15.75" customHeight="1">
      <c r="A1149" s="9" t="s">
        <v>2204</v>
      </c>
      <c r="B1149" s="9" t="s">
        <v>2198</v>
      </c>
      <c r="C1149" s="9" t="s">
        <v>2205</v>
      </c>
      <c r="D1149" s="9" t="s">
        <v>40</v>
      </c>
      <c r="E1149" s="9" t="s">
        <v>12</v>
      </c>
      <c r="F1149" s="9" t="s">
        <v>2202</v>
      </c>
      <c r="G1149" s="9">
        <v>145</v>
      </c>
      <c r="H1149" s="9">
        <v>3</v>
      </c>
      <c r="I1149" s="9">
        <v>1.0149999999999999</v>
      </c>
      <c r="J1149" s="9">
        <v>412</v>
      </c>
      <c r="K1149" s="9" t="s">
        <v>442</v>
      </c>
      <c r="L1149" s="9"/>
      <c r="M1149" s="9"/>
      <c r="N1149" s="9" t="str">
        <f ca="1">IFERROR(__xludf.DUMMYFUNCTION("IFERROR(VALUE(REGEXEXTRACT(TO_TEXT($F1149), N$1 &amp; ""x(\d+)"")), """")
"),"")</f>
        <v/>
      </c>
      <c r="O1149" s="9" t="str">
        <f ca="1">IFERROR(__xludf.DUMMYFUNCTION("IFERROR(VALUE(REGEXEXTRACT(TO_TEXT($F1149), O$1 &amp; ""x(\d+)"")), """")"),"")</f>
        <v/>
      </c>
      <c r="P1149" s="9" t="str">
        <f ca="1">IFERROR(__xludf.DUMMYFUNCTION("IFERROR(VALUE(REGEXEXTRACT(TO_TEXT($F1149), P$1 &amp; ""x(\d+)"")), """")"),"")</f>
        <v/>
      </c>
      <c r="Q1149" s="9" t="str">
        <f ca="1">IFERROR(__xludf.DUMMYFUNCTION("IFERROR(VALUE(REGEXEXTRACT(TO_TEXT($F1149), Q$1 &amp; ""x(\d+)"")), """")"),"")</f>
        <v/>
      </c>
      <c r="R1149" s="9" t="str">
        <f ca="1">IFERROR(__xludf.DUMMYFUNCTION("IFERROR(VALUE(REGEXEXTRACT(TO_TEXT($F1149), R$1 &amp; ""x(\d+)"")), """")"),"")</f>
        <v/>
      </c>
      <c r="S1149" s="9">
        <f ca="1">IFERROR(__xludf.DUMMYFUNCTION("IFERROR(VALUE(REGEXEXTRACT(TO_TEXT($F1149), S$1 &amp; ""x(\d+)"")), """")"),1)</f>
        <v>1</v>
      </c>
      <c r="T1149" s="9" t="str">
        <f ca="1">IFERROR(__xludf.DUMMYFUNCTION("IFERROR(VALUE(REGEXEXTRACT(TO_TEXT($F1149), T$1 &amp; ""x(\d+)"")), """")"),"")</f>
        <v/>
      </c>
      <c r="U1149" s="9" t="str">
        <f ca="1">IFERROR(__xludf.DUMMYFUNCTION("IFERROR(VALUE(REGEXEXTRACT(TO_TEXT($F1149), U$1 &amp; ""x(\d+)"")), """")"),"")</f>
        <v/>
      </c>
      <c r="V1149" s="9" t="str">
        <f ca="1">IFERROR(__xludf.DUMMYFUNCTION("IFERROR(VALUE(REGEXEXTRACT(TO_TEXT($F1149), V$1 &amp; ""x(\d+)"")), """")"),"")</f>
        <v/>
      </c>
      <c r="W1149" s="9"/>
      <c r="X1149" s="9"/>
      <c r="Y1149" s="9"/>
      <c r="Z1149" s="9"/>
    </row>
    <row r="1150" spans="1:26" ht="15.75" customHeight="1">
      <c r="A1150" s="9" t="s">
        <v>2204</v>
      </c>
      <c r="B1150" s="9" t="s">
        <v>2198</v>
      </c>
      <c r="C1150" s="9" t="s">
        <v>2205</v>
      </c>
      <c r="D1150" s="9" t="s">
        <v>40</v>
      </c>
      <c r="E1150" s="9" t="s">
        <v>13</v>
      </c>
      <c r="F1150" s="9" t="s">
        <v>2203</v>
      </c>
      <c r="G1150" s="9">
        <v>40</v>
      </c>
      <c r="H1150" s="9">
        <v>3</v>
      </c>
      <c r="I1150" s="9">
        <v>1.0149999999999999</v>
      </c>
      <c r="J1150" s="9">
        <v>412</v>
      </c>
      <c r="K1150" s="9" t="s">
        <v>442</v>
      </c>
      <c r="L1150" s="9"/>
      <c r="M1150" s="9"/>
      <c r="N1150" s="9" t="str">
        <f ca="1">IFERROR(__xludf.DUMMYFUNCTION("IFERROR(VALUE(REGEXEXTRACT(TO_TEXT($F1150), N$1 &amp; ""x(\d+)"")), """")
"),"")</f>
        <v/>
      </c>
      <c r="O1150" s="9" t="str">
        <f ca="1">IFERROR(__xludf.DUMMYFUNCTION("IFERROR(VALUE(REGEXEXTRACT(TO_TEXT($F1150), O$1 &amp; ""x(\d+)"")), """")"),"")</f>
        <v/>
      </c>
      <c r="P1150" s="9" t="str">
        <f ca="1">IFERROR(__xludf.DUMMYFUNCTION("IFERROR(VALUE(REGEXEXTRACT(TO_TEXT($F1150), P$1 &amp; ""x(\d+)"")), """")"),"")</f>
        <v/>
      </c>
      <c r="Q1150" s="9" t="str">
        <f ca="1">IFERROR(__xludf.DUMMYFUNCTION("IFERROR(VALUE(REGEXEXTRACT(TO_TEXT($F1150), Q$1 &amp; ""x(\d+)"")), """")"),"")</f>
        <v/>
      </c>
      <c r="R1150" s="9" t="str">
        <f ca="1">IFERROR(__xludf.DUMMYFUNCTION("IFERROR(VALUE(REGEXEXTRACT(TO_TEXT($F1150), R$1 &amp; ""x(\d+)"")), """")"),"")</f>
        <v/>
      </c>
      <c r="S1150" s="9">
        <f ca="1">IFERROR(__xludf.DUMMYFUNCTION("IFERROR(VALUE(REGEXEXTRACT(TO_TEXT($F1150), S$1 &amp; ""x(\d+)"")), """")"),1)</f>
        <v>1</v>
      </c>
      <c r="T1150" s="9" t="str">
        <f ca="1">IFERROR(__xludf.DUMMYFUNCTION("IFERROR(VALUE(REGEXEXTRACT(TO_TEXT($F1150), T$1 &amp; ""x(\d+)"")), """")"),"")</f>
        <v/>
      </c>
      <c r="U1150" s="9" t="str">
        <f ca="1">IFERROR(__xludf.DUMMYFUNCTION("IFERROR(VALUE(REGEXEXTRACT(TO_TEXT($F1150), U$1 &amp; ""x(\d+)"")), """")"),"")</f>
        <v/>
      </c>
      <c r="V1150" s="9" t="str">
        <f ca="1">IFERROR(__xludf.DUMMYFUNCTION("IFERROR(VALUE(REGEXEXTRACT(TO_TEXT($F1150), V$1 &amp; ""x(\d+)"")), """")"),"")</f>
        <v/>
      </c>
      <c r="W1150" s="9"/>
      <c r="X1150" s="9"/>
      <c r="Y1150" s="9"/>
      <c r="Z1150" s="9"/>
    </row>
    <row r="1151" spans="1:26" ht="15.75" customHeight="1">
      <c r="A1151" s="9" t="s">
        <v>2206</v>
      </c>
      <c r="B1151" s="9" t="s">
        <v>2207</v>
      </c>
      <c r="C1151" s="9" t="s">
        <v>2208</v>
      </c>
      <c r="D1151" s="9" t="s">
        <v>48</v>
      </c>
      <c r="E1151" s="9" t="s">
        <v>11</v>
      </c>
      <c r="F1151" s="9" t="s">
        <v>2117</v>
      </c>
      <c r="G1151" s="9">
        <v>30</v>
      </c>
      <c r="H1151" s="9">
        <v>5</v>
      </c>
      <c r="I1151" s="9">
        <v>1.0149999999999999</v>
      </c>
      <c r="J1151" s="9">
        <v>52</v>
      </c>
      <c r="K1151" s="9" t="s">
        <v>424</v>
      </c>
      <c r="L1151" s="9"/>
      <c r="M1151" s="9"/>
      <c r="N1151" s="9" t="str">
        <f ca="1">IFERROR(__xludf.DUMMYFUNCTION("IFERROR(VALUE(REGEXEXTRACT(TO_TEXT($F1151), N$1 &amp; ""x(\d+)"")), """")
"),"")</f>
        <v/>
      </c>
      <c r="O1151" s="9" t="str">
        <f ca="1">IFERROR(__xludf.DUMMYFUNCTION("IFERROR(VALUE(REGEXEXTRACT(TO_TEXT($F1151), O$1 &amp; ""x(\d+)"")), """")"),"")</f>
        <v/>
      </c>
      <c r="P1151" s="9" t="str">
        <f ca="1">IFERROR(__xludf.DUMMYFUNCTION("IFERROR(VALUE(REGEXEXTRACT(TO_TEXT($F1151), P$1 &amp; ""x(\d+)"")), """")"),"")</f>
        <v/>
      </c>
      <c r="Q1151" s="9" t="str">
        <f ca="1">IFERROR(__xludf.DUMMYFUNCTION("IFERROR(VALUE(REGEXEXTRACT(TO_TEXT($F1151), Q$1 &amp; ""x(\d+)"")), """")"),"")</f>
        <v/>
      </c>
      <c r="R1151" s="9" t="str">
        <f ca="1">IFERROR(__xludf.DUMMYFUNCTION("IFERROR(VALUE(REGEXEXTRACT(TO_TEXT($F1151), R$1 &amp; ""x(\d+)"")), """")"),"")</f>
        <v/>
      </c>
      <c r="S1151" s="9" t="str">
        <f ca="1">IFERROR(__xludf.DUMMYFUNCTION("IFERROR(VALUE(REGEXEXTRACT(TO_TEXT($F1151), S$1 &amp; ""x(\d+)"")), """")"),"")</f>
        <v/>
      </c>
      <c r="T1151" s="9" t="str">
        <f ca="1">IFERROR(__xludf.DUMMYFUNCTION("IFERROR(VALUE(REGEXEXTRACT(TO_TEXT($F1151), T$1 &amp; ""x(\d+)"")), """")"),"")</f>
        <v/>
      </c>
      <c r="U1151" s="9" t="str">
        <f ca="1">IFERROR(__xludf.DUMMYFUNCTION("IFERROR(VALUE(REGEXEXTRACT(TO_TEXT($F1151), U$1 &amp; ""x(\d+)"")), """")"),"")</f>
        <v/>
      </c>
      <c r="V1151" s="9" t="str">
        <f ca="1">IFERROR(__xludf.DUMMYFUNCTION("IFERROR(VALUE(REGEXEXTRACT(TO_TEXT($F1151), V$1 &amp; ""x(\d+)"")), """")"),"")</f>
        <v/>
      </c>
      <c r="W1151" s="9"/>
      <c r="X1151" s="9"/>
      <c r="Y1151" s="9"/>
      <c r="Z1151" s="9"/>
    </row>
    <row r="1152" spans="1:26" ht="15.75" customHeight="1">
      <c r="A1152" s="9" t="s">
        <v>2206</v>
      </c>
      <c r="B1152" s="9" t="s">
        <v>2207</v>
      </c>
      <c r="C1152" s="9" t="s">
        <v>2208</v>
      </c>
      <c r="D1152" s="9" t="s">
        <v>48</v>
      </c>
      <c r="E1152" s="9" t="s">
        <v>12</v>
      </c>
      <c r="F1152" s="9" t="s">
        <v>1568</v>
      </c>
      <c r="G1152" s="9">
        <v>140</v>
      </c>
      <c r="H1152" s="9">
        <v>5</v>
      </c>
      <c r="I1152" s="9">
        <v>1.0149999999999999</v>
      </c>
      <c r="J1152" s="9">
        <v>52</v>
      </c>
      <c r="K1152" s="9" t="s">
        <v>424</v>
      </c>
      <c r="L1152" s="9" t="s">
        <v>1488</v>
      </c>
      <c r="M1152" s="9"/>
      <c r="N1152" s="9" t="str">
        <f ca="1">IFERROR(__xludf.DUMMYFUNCTION("IFERROR(VALUE(REGEXEXTRACT(TO_TEXT($F1152), N$1 &amp; ""x(\d+)"")), """")
"),"")</f>
        <v/>
      </c>
      <c r="O1152" s="9" t="str">
        <f ca="1">IFERROR(__xludf.DUMMYFUNCTION("IFERROR(VALUE(REGEXEXTRACT(TO_TEXT($F1152), O$1 &amp; ""x(\d+)"")), """")"),"")</f>
        <v/>
      </c>
      <c r="P1152" s="9">
        <f ca="1">IFERROR(__xludf.DUMMYFUNCTION("IFERROR(VALUE(REGEXEXTRACT(TO_TEXT($F1152), P$1 &amp; ""x(\d+)"")), """")"),1)</f>
        <v>1</v>
      </c>
      <c r="Q1152" s="9" t="str">
        <f ca="1">IFERROR(__xludf.DUMMYFUNCTION("IFERROR(VALUE(REGEXEXTRACT(TO_TEXT($F1152), Q$1 &amp; ""x(\d+)"")), """")"),"")</f>
        <v/>
      </c>
      <c r="R1152" s="9" t="str">
        <f ca="1">IFERROR(__xludf.DUMMYFUNCTION("IFERROR(VALUE(REGEXEXTRACT(TO_TEXT($F1152), R$1 &amp; ""x(\d+)"")), """")"),"")</f>
        <v/>
      </c>
      <c r="S1152" s="9" t="str">
        <f ca="1">IFERROR(__xludf.DUMMYFUNCTION("IFERROR(VALUE(REGEXEXTRACT(TO_TEXT($F1152), S$1 &amp; ""x(\d+)"")), """")"),"")</f>
        <v/>
      </c>
      <c r="T1152" s="9">
        <f ca="1">IFERROR(__xludf.DUMMYFUNCTION("IFERROR(VALUE(REGEXEXTRACT(TO_TEXT($F1152), T$1 &amp; ""x(\d+)"")), """")"),1)</f>
        <v>1</v>
      </c>
      <c r="U1152" s="9" t="str">
        <f ca="1">IFERROR(__xludf.DUMMYFUNCTION("IFERROR(VALUE(REGEXEXTRACT(TO_TEXT($F1152), U$1 &amp; ""x(\d+)"")), """")"),"")</f>
        <v/>
      </c>
      <c r="V1152" s="9" t="str">
        <f ca="1">IFERROR(__xludf.DUMMYFUNCTION("IFERROR(VALUE(REGEXEXTRACT(TO_TEXT($F1152), V$1 &amp; ""x(\d+)"")), """")"),"")</f>
        <v/>
      </c>
      <c r="W1152" s="9"/>
      <c r="X1152" s="9"/>
      <c r="Y1152" s="9"/>
      <c r="Z1152" s="9"/>
    </row>
    <row r="1153" spans="1:26" ht="15.75" customHeight="1">
      <c r="A1153" s="9" t="s">
        <v>2206</v>
      </c>
      <c r="B1153" s="9" t="s">
        <v>2207</v>
      </c>
      <c r="C1153" s="9" t="s">
        <v>2208</v>
      </c>
      <c r="D1153" s="9" t="s">
        <v>48</v>
      </c>
      <c r="E1153" s="9" t="s">
        <v>13</v>
      </c>
      <c r="F1153" s="9" t="s">
        <v>1230</v>
      </c>
      <c r="G1153" s="9">
        <v>40</v>
      </c>
      <c r="H1153" s="9">
        <v>5</v>
      </c>
      <c r="I1153" s="9">
        <v>1.0149999999999999</v>
      </c>
      <c r="J1153" s="9">
        <v>52</v>
      </c>
      <c r="K1153" s="9" t="s">
        <v>424</v>
      </c>
      <c r="L1153" s="9"/>
      <c r="M1153" s="9"/>
      <c r="N1153" s="9" t="str">
        <f ca="1">IFERROR(__xludf.DUMMYFUNCTION("IFERROR(VALUE(REGEXEXTRACT(TO_TEXT($F1153), N$1 &amp; ""x(\d+)"")), """")
"),"")</f>
        <v/>
      </c>
      <c r="O1153" s="9" t="str">
        <f ca="1">IFERROR(__xludf.DUMMYFUNCTION("IFERROR(VALUE(REGEXEXTRACT(TO_TEXT($F1153), O$1 &amp; ""x(\d+)"")), """")"),"")</f>
        <v/>
      </c>
      <c r="P1153" s="9">
        <f ca="1">IFERROR(__xludf.DUMMYFUNCTION("IFERROR(VALUE(REGEXEXTRACT(TO_TEXT($F1153), P$1 &amp; ""x(\d+)"")), """")"),1)</f>
        <v>1</v>
      </c>
      <c r="Q1153" s="9" t="str">
        <f ca="1">IFERROR(__xludf.DUMMYFUNCTION("IFERROR(VALUE(REGEXEXTRACT(TO_TEXT($F1153), Q$1 &amp; ""x(\d+)"")), """")"),"")</f>
        <v/>
      </c>
      <c r="R1153" s="9" t="str">
        <f ca="1">IFERROR(__xludf.DUMMYFUNCTION("IFERROR(VALUE(REGEXEXTRACT(TO_TEXT($F1153), R$1 &amp; ""x(\d+)"")), """")"),"")</f>
        <v/>
      </c>
      <c r="S1153" s="9" t="str">
        <f ca="1">IFERROR(__xludf.DUMMYFUNCTION("IFERROR(VALUE(REGEXEXTRACT(TO_TEXT($F1153), S$1 &amp; ""x(\d+)"")), """")"),"")</f>
        <v/>
      </c>
      <c r="T1153" s="9">
        <f ca="1">IFERROR(__xludf.DUMMYFUNCTION("IFERROR(VALUE(REGEXEXTRACT(TO_TEXT($F1153), T$1 &amp; ""x(\d+)"")), """")"),1)</f>
        <v>1</v>
      </c>
      <c r="U1153" s="9" t="str">
        <f ca="1">IFERROR(__xludf.DUMMYFUNCTION("IFERROR(VALUE(REGEXEXTRACT(TO_TEXT($F1153), U$1 &amp; ""x(\d+)"")), """")"),"")</f>
        <v/>
      </c>
      <c r="V1153" s="9" t="str">
        <f ca="1">IFERROR(__xludf.DUMMYFUNCTION("IFERROR(VALUE(REGEXEXTRACT(TO_TEXT($F1153), V$1 &amp; ""x(\d+)"")), """")"),"")</f>
        <v/>
      </c>
      <c r="W1153" s="9"/>
      <c r="X1153" s="9"/>
      <c r="Y1153" s="9"/>
      <c r="Z1153" s="9"/>
    </row>
    <row r="1154" spans="1:26" ht="15.75" customHeight="1">
      <c r="A1154" s="9" t="s">
        <v>2209</v>
      </c>
      <c r="B1154" s="9" t="s">
        <v>2207</v>
      </c>
      <c r="C1154" s="9" t="s">
        <v>2210</v>
      </c>
      <c r="D1154" s="9" t="s">
        <v>48</v>
      </c>
      <c r="E1154" s="9" t="s">
        <v>11</v>
      </c>
      <c r="F1154" s="9" t="s">
        <v>2117</v>
      </c>
      <c r="G1154" s="9">
        <v>30</v>
      </c>
      <c r="H1154" s="9">
        <v>5</v>
      </c>
      <c r="I1154" s="9">
        <v>1.0149999999999999</v>
      </c>
      <c r="J1154" s="9">
        <v>52</v>
      </c>
      <c r="K1154" s="9" t="s">
        <v>424</v>
      </c>
      <c r="L1154" s="9"/>
      <c r="M1154" s="9"/>
      <c r="N1154" s="9" t="str">
        <f ca="1">IFERROR(__xludf.DUMMYFUNCTION("IFERROR(VALUE(REGEXEXTRACT(TO_TEXT($F1154), N$1 &amp; ""x(\d+)"")), """")
"),"")</f>
        <v/>
      </c>
      <c r="O1154" s="9" t="str">
        <f ca="1">IFERROR(__xludf.DUMMYFUNCTION("IFERROR(VALUE(REGEXEXTRACT(TO_TEXT($F1154), O$1 &amp; ""x(\d+)"")), """")"),"")</f>
        <v/>
      </c>
      <c r="P1154" s="9" t="str">
        <f ca="1">IFERROR(__xludf.DUMMYFUNCTION("IFERROR(VALUE(REGEXEXTRACT(TO_TEXT($F1154), P$1 &amp; ""x(\d+)"")), """")"),"")</f>
        <v/>
      </c>
      <c r="Q1154" s="9" t="str">
        <f ca="1">IFERROR(__xludf.DUMMYFUNCTION("IFERROR(VALUE(REGEXEXTRACT(TO_TEXT($F1154), Q$1 &amp; ""x(\d+)"")), """")"),"")</f>
        <v/>
      </c>
      <c r="R1154" s="9" t="str">
        <f ca="1">IFERROR(__xludf.DUMMYFUNCTION("IFERROR(VALUE(REGEXEXTRACT(TO_TEXT($F1154), R$1 &amp; ""x(\d+)"")), """")"),"")</f>
        <v/>
      </c>
      <c r="S1154" s="9" t="str">
        <f ca="1">IFERROR(__xludf.DUMMYFUNCTION("IFERROR(VALUE(REGEXEXTRACT(TO_TEXT($F1154), S$1 &amp; ""x(\d+)"")), """")"),"")</f>
        <v/>
      </c>
      <c r="T1154" s="9" t="str">
        <f ca="1">IFERROR(__xludf.DUMMYFUNCTION("IFERROR(VALUE(REGEXEXTRACT(TO_TEXT($F1154), T$1 &amp; ""x(\d+)"")), """")"),"")</f>
        <v/>
      </c>
      <c r="U1154" s="9" t="str">
        <f ca="1">IFERROR(__xludf.DUMMYFUNCTION("IFERROR(VALUE(REGEXEXTRACT(TO_TEXT($F1154), U$1 &amp; ""x(\d+)"")), """")"),"")</f>
        <v/>
      </c>
      <c r="V1154" s="9" t="str">
        <f ca="1">IFERROR(__xludf.DUMMYFUNCTION("IFERROR(VALUE(REGEXEXTRACT(TO_TEXT($F1154), V$1 &amp; ""x(\d+)"")), """")"),"")</f>
        <v/>
      </c>
      <c r="W1154" s="9"/>
      <c r="X1154" s="9"/>
      <c r="Y1154" s="9"/>
      <c r="Z1154" s="9"/>
    </row>
    <row r="1155" spans="1:26" ht="15.75" customHeight="1">
      <c r="A1155" s="9" t="s">
        <v>2209</v>
      </c>
      <c r="B1155" s="9" t="s">
        <v>2207</v>
      </c>
      <c r="C1155" s="9" t="s">
        <v>2210</v>
      </c>
      <c r="D1155" s="9" t="s">
        <v>48</v>
      </c>
      <c r="E1155" s="9" t="s">
        <v>12</v>
      </c>
      <c r="F1155" s="9" t="s">
        <v>1568</v>
      </c>
      <c r="G1155" s="9">
        <v>140</v>
      </c>
      <c r="H1155" s="9">
        <v>5</v>
      </c>
      <c r="I1155" s="9">
        <v>1.0149999999999999</v>
      </c>
      <c r="J1155" s="9">
        <v>52</v>
      </c>
      <c r="K1155" s="9" t="s">
        <v>424</v>
      </c>
      <c r="L1155" s="9" t="s">
        <v>1488</v>
      </c>
      <c r="M1155" s="9"/>
      <c r="N1155" s="9" t="str">
        <f ca="1">IFERROR(__xludf.DUMMYFUNCTION("IFERROR(VALUE(REGEXEXTRACT(TO_TEXT($F1155), N$1 &amp; ""x(\d+)"")), """")
"),"")</f>
        <v/>
      </c>
      <c r="O1155" s="9" t="str">
        <f ca="1">IFERROR(__xludf.DUMMYFUNCTION("IFERROR(VALUE(REGEXEXTRACT(TO_TEXT($F1155), O$1 &amp; ""x(\d+)"")), """")"),"")</f>
        <v/>
      </c>
      <c r="P1155" s="9">
        <f ca="1">IFERROR(__xludf.DUMMYFUNCTION("IFERROR(VALUE(REGEXEXTRACT(TO_TEXT($F1155), P$1 &amp; ""x(\d+)"")), """")"),1)</f>
        <v>1</v>
      </c>
      <c r="Q1155" s="9" t="str">
        <f ca="1">IFERROR(__xludf.DUMMYFUNCTION("IFERROR(VALUE(REGEXEXTRACT(TO_TEXT($F1155), Q$1 &amp; ""x(\d+)"")), """")"),"")</f>
        <v/>
      </c>
      <c r="R1155" s="9" t="str">
        <f ca="1">IFERROR(__xludf.DUMMYFUNCTION("IFERROR(VALUE(REGEXEXTRACT(TO_TEXT($F1155), R$1 &amp; ""x(\d+)"")), """")"),"")</f>
        <v/>
      </c>
      <c r="S1155" s="9" t="str">
        <f ca="1">IFERROR(__xludf.DUMMYFUNCTION("IFERROR(VALUE(REGEXEXTRACT(TO_TEXT($F1155), S$1 &amp; ""x(\d+)"")), """")"),"")</f>
        <v/>
      </c>
      <c r="T1155" s="9">
        <f ca="1">IFERROR(__xludf.DUMMYFUNCTION("IFERROR(VALUE(REGEXEXTRACT(TO_TEXT($F1155), T$1 &amp; ""x(\d+)"")), """")"),1)</f>
        <v>1</v>
      </c>
      <c r="U1155" s="9" t="str">
        <f ca="1">IFERROR(__xludf.DUMMYFUNCTION("IFERROR(VALUE(REGEXEXTRACT(TO_TEXT($F1155), U$1 &amp; ""x(\d+)"")), """")"),"")</f>
        <v/>
      </c>
      <c r="V1155" s="9" t="str">
        <f ca="1">IFERROR(__xludf.DUMMYFUNCTION("IFERROR(VALUE(REGEXEXTRACT(TO_TEXT($F1155), V$1 &amp; ""x(\d+)"")), """")"),"")</f>
        <v/>
      </c>
      <c r="W1155" s="9"/>
      <c r="X1155" s="9"/>
      <c r="Y1155" s="9"/>
      <c r="Z1155" s="9"/>
    </row>
    <row r="1156" spans="1:26" ht="15.75" customHeight="1">
      <c r="A1156" s="9" t="s">
        <v>2209</v>
      </c>
      <c r="B1156" s="9" t="s">
        <v>2207</v>
      </c>
      <c r="C1156" s="9" t="s">
        <v>2210</v>
      </c>
      <c r="D1156" s="9" t="s">
        <v>48</v>
      </c>
      <c r="E1156" s="9" t="s">
        <v>13</v>
      </c>
      <c r="F1156" s="9" t="s">
        <v>1230</v>
      </c>
      <c r="G1156" s="9">
        <v>40</v>
      </c>
      <c r="H1156" s="9">
        <v>5</v>
      </c>
      <c r="I1156" s="9">
        <v>1.0149999999999999</v>
      </c>
      <c r="J1156" s="9">
        <v>52</v>
      </c>
      <c r="K1156" s="9" t="s">
        <v>424</v>
      </c>
      <c r="L1156" s="9"/>
      <c r="M1156" s="9"/>
      <c r="N1156" s="9" t="str">
        <f ca="1">IFERROR(__xludf.DUMMYFUNCTION("IFERROR(VALUE(REGEXEXTRACT(TO_TEXT($F1156), N$1 &amp; ""x(\d+)"")), """")
"),"")</f>
        <v/>
      </c>
      <c r="O1156" s="9" t="str">
        <f ca="1">IFERROR(__xludf.DUMMYFUNCTION("IFERROR(VALUE(REGEXEXTRACT(TO_TEXT($F1156), O$1 &amp; ""x(\d+)"")), """")"),"")</f>
        <v/>
      </c>
      <c r="P1156" s="9">
        <f ca="1">IFERROR(__xludf.DUMMYFUNCTION("IFERROR(VALUE(REGEXEXTRACT(TO_TEXT($F1156), P$1 &amp; ""x(\d+)"")), """")"),1)</f>
        <v>1</v>
      </c>
      <c r="Q1156" s="9" t="str">
        <f ca="1">IFERROR(__xludf.DUMMYFUNCTION("IFERROR(VALUE(REGEXEXTRACT(TO_TEXT($F1156), Q$1 &amp; ""x(\d+)"")), """")"),"")</f>
        <v/>
      </c>
      <c r="R1156" s="9" t="str">
        <f ca="1">IFERROR(__xludf.DUMMYFUNCTION("IFERROR(VALUE(REGEXEXTRACT(TO_TEXT($F1156), R$1 &amp; ""x(\d+)"")), """")"),"")</f>
        <v/>
      </c>
      <c r="S1156" s="9" t="str">
        <f ca="1">IFERROR(__xludf.DUMMYFUNCTION("IFERROR(VALUE(REGEXEXTRACT(TO_TEXT($F1156), S$1 &amp; ""x(\d+)"")), """")"),"")</f>
        <v/>
      </c>
      <c r="T1156" s="9">
        <f ca="1">IFERROR(__xludf.DUMMYFUNCTION("IFERROR(VALUE(REGEXEXTRACT(TO_TEXT($F1156), T$1 &amp; ""x(\d+)"")), """")"),1)</f>
        <v>1</v>
      </c>
      <c r="U1156" s="9" t="str">
        <f ca="1">IFERROR(__xludf.DUMMYFUNCTION("IFERROR(VALUE(REGEXEXTRACT(TO_TEXT($F1156), U$1 &amp; ""x(\d+)"")), """")"),"")</f>
        <v/>
      </c>
      <c r="V1156" s="9" t="str">
        <f ca="1">IFERROR(__xludf.DUMMYFUNCTION("IFERROR(VALUE(REGEXEXTRACT(TO_TEXT($F1156), V$1 &amp; ""x(\d+)"")), """")"),"")</f>
        <v/>
      </c>
      <c r="W1156" s="9"/>
      <c r="X1156" s="9"/>
      <c r="Y1156" s="9"/>
      <c r="Z1156" s="9"/>
    </row>
    <row r="1157" spans="1:26" ht="15.75" customHeight="1">
      <c r="A1157" s="9" t="s">
        <v>2211</v>
      </c>
      <c r="B1157" s="9" t="s">
        <v>2212</v>
      </c>
      <c r="C1157" s="9" t="s">
        <v>2213</v>
      </c>
      <c r="D1157" s="9" t="s">
        <v>33</v>
      </c>
      <c r="E1157" s="9" t="s">
        <v>11</v>
      </c>
      <c r="F1157" s="9" t="s">
        <v>1254</v>
      </c>
      <c r="G1157" s="9">
        <v>30</v>
      </c>
      <c r="H1157" s="9">
        <v>2</v>
      </c>
      <c r="I1157" s="9">
        <v>1.0149999999999999</v>
      </c>
      <c r="J1157" s="9">
        <v>110</v>
      </c>
      <c r="K1157" s="9" t="s">
        <v>442</v>
      </c>
      <c r="L1157" s="9"/>
      <c r="M1157" s="9"/>
      <c r="N1157" s="9" t="str">
        <f ca="1">IFERROR(__xludf.DUMMYFUNCTION("IFERROR(VALUE(REGEXEXTRACT(TO_TEXT($F1157), N$1 &amp; ""x(\d+)"")), """")
"),"")</f>
        <v/>
      </c>
      <c r="O1157" s="9" t="str">
        <f ca="1">IFERROR(__xludf.DUMMYFUNCTION("IFERROR(VALUE(REGEXEXTRACT(TO_TEXT($F1157), O$1 &amp; ""x(\d+)"")), """")"),"")</f>
        <v/>
      </c>
      <c r="P1157" s="9" t="str">
        <f ca="1">IFERROR(__xludf.DUMMYFUNCTION("IFERROR(VALUE(REGEXEXTRACT(TO_TEXT($F1157), P$1 &amp; ""x(\d+)"")), """")"),"")</f>
        <v/>
      </c>
      <c r="Q1157" s="9" t="str">
        <f ca="1">IFERROR(__xludf.DUMMYFUNCTION("IFERROR(VALUE(REGEXEXTRACT(TO_TEXT($F1157), Q$1 &amp; ""x(\d+)"")), """")"),"")</f>
        <v/>
      </c>
      <c r="R1157" s="9" t="str">
        <f ca="1">IFERROR(__xludf.DUMMYFUNCTION("IFERROR(VALUE(REGEXEXTRACT(TO_TEXT($F1157), R$1 &amp; ""x(\d+)"")), """")"),"")</f>
        <v/>
      </c>
      <c r="S1157" s="9" t="str">
        <f ca="1">IFERROR(__xludf.DUMMYFUNCTION("IFERROR(VALUE(REGEXEXTRACT(TO_TEXT($F1157), S$1 &amp; ""x(\d+)"")), """")"),"")</f>
        <v/>
      </c>
      <c r="T1157" s="9" t="str">
        <f ca="1">IFERROR(__xludf.DUMMYFUNCTION("IFERROR(VALUE(REGEXEXTRACT(TO_TEXT($F1157), T$1 &amp; ""x(\d+)"")), """")"),"")</f>
        <v/>
      </c>
      <c r="U1157" s="9" t="str">
        <f ca="1">IFERROR(__xludf.DUMMYFUNCTION("IFERROR(VALUE(REGEXEXTRACT(TO_TEXT($F1157), U$1 &amp; ""x(\d+)"")), """")"),"")</f>
        <v/>
      </c>
      <c r="V1157" s="9" t="str">
        <f ca="1">IFERROR(__xludf.DUMMYFUNCTION("IFERROR(VALUE(REGEXEXTRACT(TO_TEXT($F1157), V$1 &amp; ""x(\d+)"")), """")"),"")</f>
        <v/>
      </c>
      <c r="W1157" s="9"/>
      <c r="X1157" s="9"/>
      <c r="Y1157" s="9"/>
      <c r="Z1157" s="9"/>
    </row>
    <row r="1158" spans="1:26" ht="15.75" customHeight="1">
      <c r="A1158" s="9" t="s">
        <v>2211</v>
      </c>
      <c r="B1158" s="9" t="s">
        <v>2212</v>
      </c>
      <c r="C1158" s="9" t="s">
        <v>2213</v>
      </c>
      <c r="D1158" s="9" t="s">
        <v>33</v>
      </c>
      <c r="E1158" s="9" t="s">
        <v>12</v>
      </c>
      <c r="F1158" s="9" t="s">
        <v>2214</v>
      </c>
      <c r="G1158" s="9">
        <v>90</v>
      </c>
      <c r="H1158" s="9">
        <v>2</v>
      </c>
      <c r="I1158" s="9">
        <v>1.0149999999999999</v>
      </c>
      <c r="J1158" s="9">
        <v>110</v>
      </c>
      <c r="K1158" s="9" t="s">
        <v>442</v>
      </c>
      <c r="L1158" s="9"/>
      <c r="M1158" s="9"/>
      <c r="N1158" s="9" t="str">
        <f ca="1">IFERROR(__xludf.DUMMYFUNCTION("IFERROR(VALUE(REGEXEXTRACT(TO_TEXT($F1158), N$1 &amp; ""x(\d+)"")), """")
"),"")</f>
        <v/>
      </c>
      <c r="O1158" s="9">
        <f ca="1">IFERROR(__xludf.DUMMYFUNCTION("IFERROR(VALUE(REGEXEXTRACT(TO_TEXT($F1158), O$1 &amp; ""x(\d+)"")), """")"),1)</f>
        <v>1</v>
      </c>
      <c r="P1158" s="9" t="str">
        <f ca="1">IFERROR(__xludf.DUMMYFUNCTION("IFERROR(VALUE(REGEXEXTRACT(TO_TEXT($F1158), P$1 &amp; ""x(\d+)"")), """")"),"")</f>
        <v/>
      </c>
      <c r="Q1158" s="9" t="str">
        <f ca="1">IFERROR(__xludf.DUMMYFUNCTION("IFERROR(VALUE(REGEXEXTRACT(TO_TEXT($F1158), Q$1 &amp; ""x(\d+)"")), """")"),"")</f>
        <v/>
      </c>
      <c r="R1158" s="9" t="str">
        <f ca="1">IFERROR(__xludf.DUMMYFUNCTION("IFERROR(VALUE(REGEXEXTRACT(TO_TEXT($F1158), R$1 &amp; ""x(\d+)"")), """")"),"")</f>
        <v/>
      </c>
      <c r="S1158" s="9" t="str">
        <f ca="1">IFERROR(__xludf.DUMMYFUNCTION("IFERROR(VALUE(REGEXEXTRACT(TO_TEXT($F1158), S$1 &amp; ""x(\d+)"")), """")"),"")</f>
        <v/>
      </c>
      <c r="T1158" s="9" t="str">
        <f ca="1">IFERROR(__xludf.DUMMYFUNCTION("IFERROR(VALUE(REGEXEXTRACT(TO_TEXT($F1158), T$1 &amp; ""x(\d+)"")), """")"),"")</f>
        <v/>
      </c>
      <c r="U1158" s="9" t="str">
        <f ca="1">IFERROR(__xludf.DUMMYFUNCTION("IFERROR(VALUE(REGEXEXTRACT(TO_TEXT($F1158), U$1 &amp; ""x(\d+)"")), """")"),"")</f>
        <v/>
      </c>
      <c r="V1158" s="9" t="str">
        <f ca="1">IFERROR(__xludf.DUMMYFUNCTION("IFERROR(VALUE(REGEXEXTRACT(TO_TEXT($F1158), V$1 &amp; ""x(\d+)"")), """")"),"")</f>
        <v/>
      </c>
      <c r="W1158" s="9"/>
      <c r="X1158" s="9"/>
      <c r="Y1158" s="9"/>
      <c r="Z1158" s="9"/>
    </row>
    <row r="1159" spans="1:26" ht="15.75" customHeight="1">
      <c r="A1159" s="9" t="s">
        <v>2211</v>
      </c>
      <c r="B1159" s="9" t="s">
        <v>2212</v>
      </c>
      <c r="C1159" s="9" t="s">
        <v>2213</v>
      </c>
      <c r="D1159" s="9" t="s">
        <v>33</v>
      </c>
      <c r="E1159" s="9" t="s">
        <v>13</v>
      </c>
      <c r="F1159" s="9" t="s">
        <v>1662</v>
      </c>
      <c r="G1159" s="9">
        <v>20</v>
      </c>
      <c r="H1159" s="9">
        <v>2</v>
      </c>
      <c r="I1159" s="9">
        <v>1.0149999999999999</v>
      </c>
      <c r="J1159" s="9">
        <v>110</v>
      </c>
      <c r="K1159" s="9" t="s">
        <v>442</v>
      </c>
      <c r="L1159" s="9"/>
      <c r="M1159" s="9"/>
      <c r="N1159" s="9" t="str">
        <f ca="1">IFERROR(__xludf.DUMMYFUNCTION("IFERROR(VALUE(REGEXEXTRACT(TO_TEXT($F1159), N$1 &amp; ""x(\d+)"")), """")
"),"")</f>
        <v/>
      </c>
      <c r="O1159" s="9">
        <f ca="1">IFERROR(__xludf.DUMMYFUNCTION("IFERROR(VALUE(REGEXEXTRACT(TO_TEXT($F1159), O$1 &amp; ""x(\d+)"")), """")"),1)</f>
        <v>1</v>
      </c>
      <c r="P1159" s="9" t="str">
        <f ca="1">IFERROR(__xludf.DUMMYFUNCTION("IFERROR(VALUE(REGEXEXTRACT(TO_TEXT($F1159), P$1 &amp; ""x(\d+)"")), """")"),"")</f>
        <v/>
      </c>
      <c r="Q1159" s="9" t="str">
        <f ca="1">IFERROR(__xludf.DUMMYFUNCTION("IFERROR(VALUE(REGEXEXTRACT(TO_TEXT($F1159), Q$1 &amp; ""x(\d+)"")), """")"),"")</f>
        <v/>
      </c>
      <c r="R1159" s="9" t="str">
        <f ca="1">IFERROR(__xludf.DUMMYFUNCTION("IFERROR(VALUE(REGEXEXTRACT(TO_TEXT($F1159), R$1 &amp; ""x(\d+)"")), """")"),"")</f>
        <v/>
      </c>
      <c r="S1159" s="9" t="str">
        <f ca="1">IFERROR(__xludf.DUMMYFUNCTION("IFERROR(VALUE(REGEXEXTRACT(TO_TEXT($F1159), S$1 &amp; ""x(\d+)"")), """")"),"")</f>
        <v/>
      </c>
      <c r="T1159" s="9" t="str">
        <f ca="1">IFERROR(__xludf.DUMMYFUNCTION("IFERROR(VALUE(REGEXEXTRACT(TO_TEXT($F1159), T$1 &amp; ""x(\d+)"")), """")"),"")</f>
        <v/>
      </c>
      <c r="U1159" s="9" t="str">
        <f ca="1">IFERROR(__xludf.DUMMYFUNCTION("IFERROR(VALUE(REGEXEXTRACT(TO_TEXT($F1159), U$1 &amp; ""x(\d+)"")), """")"),"")</f>
        <v/>
      </c>
      <c r="V1159" s="9" t="str">
        <f ca="1">IFERROR(__xludf.DUMMYFUNCTION("IFERROR(VALUE(REGEXEXTRACT(TO_TEXT($F1159), V$1 &amp; ""x(\d+)"")), """")"),"")</f>
        <v/>
      </c>
      <c r="W1159" s="9"/>
      <c r="X1159" s="9"/>
      <c r="Y1159" s="9"/>
      <c r="Z1159" s="9"/>
    </row>
    <row r="1160" spans="1:26" ht="15.75" customHeight="1">
      <c r="A1160" s="9" t="s">
        <v>2215</v>
      </c>
      <c r="B1160" s="9" t="s">
        <v>2216</v>
      </c>
      <c r="C1160" s="9" t="s">
        <v>2217</v>
      </c>
      <c r="D1160" s="9" t="s">
        <v>33</v>
      </c>
      <c r="E1160" s="9" t="s">
        <v>11</v>
      </c>
      <c r="F1160" s="9" t="s">
        <v>1315</v>
      </c>
      <c r="G1160" s="9">
        <v>25</v>
      </c>
      <c r="H1160" s="9">
        <v>4</v>
      </c>
      <c r="I1160" s="9">
        <v>1.0149999999999999</v>
      </c>
      <c r="J1160" s="9">
        <v>103</v>
      </c>
      <c r="K1160" s="9" t="s">
        <v>442</v>
      </c>
      <c r="L1160" s="9"/>
      <c r="M1160" s="9"/>
      <c r="N1160" s="9" t="str">
        <f ca="1">IFERROR(__xludf.DUMMYFUNCTION("IFERROR(VALUE(REGEXEXTRACT(TO_TEXT($F1160), N$1 &amp; ""x(\d+)"")), """")
"),"")</f>
        <v/>
      </c>
      <c r="O1160" s="9" t="str">
        <f ca="1">IFERROR(__xludf.DUMMYFUNCTION("IFERROR(VALUE(REGEXEXTRACT(TO_TEXT($F1160), O$1 &amp; ""x(\d+)"")), """")"),"")</f>
        <v/>
      </c>
      <c r="P1160" s="9" t="str">
        <f ca="1">IFERROR(__xludf.DUMMYFUNCTION("IFERROR(VALUE(REGEXEXTRACT(TO_TEXT($F1160), P$1 &amp; ""x(\d+)"")), """")"),"")</f>
        <v/>
      </c>
      <c r="Q1160" s="9" t="str">
        <f ca="1">IFERROR(__xludf.DUMMYFUNCTION("IFERROR(VALUE(REGEXEXTRACT(TO_TEXT($F1160), Q$1 &amp; ""x(\d+)"")), """")"),"")</f>
        <v/>
      </c>
      <c r="R1160" s="9" t="str">
        <f ca="1">IFERROR(__xludf.DUMMYFUNCTION("IFERROR(VALUE(REGEXEXTRACT(TO_TEXT($F1160), R$1 &amp; ""x(\d+)"")), """")"),"")</f>
        <v/>
      </c>
      <c r="S1160" s="9" t="str">
        <f ca="1">IFERROR(__xludf.DUMMYFUNCTION("IFERROR(VALUE(REGEXEXTRACT(TO_TEXT($F1160), S$1 &amp; ""x(\d+)"")), """")"),"")</f>
        <v/>
      </c>
      <c r="T1160" s="9" t="str">
        <f ca="1">IFERROR(__xludf.DUMMYFUNCTION("IFERROR(VALUE(REGEXEXTRACT(TO_TEXT($F1160), T$1 &amp; ""x(\d+)"")), """")"),"")</f>
        <v/>
      </c>
      <c r="U1160" s="9" t="str">
        <f ca="1">IFERROR(__xludf.DUMMYFUNCTION("IFERROR(VALUE(REGEXEXTRACT(TO_TEXT($F1160), U$1 &amp; ""x(\d+)"")), """")"),"")</f>
        <v/>
      </c>
      <c r="V1160" s="9" t="str">
        <f ca="1">IFERROR(__xludf.DUMMYFUNCTION("IFERROR(VALUE(REGEXEXTRACT(TO_TEXT($F1160), V$1 &amp; ""x(\d+)"")), """")"),"")</f>
        <v/>
      </c>
      <c r="W1160" s="9"/>
      <c r="X1160" s="9"/>
      <c r="Y1160" s="9"/>
      <c r="Z1160" s="9"/>
    </row>
    <row r="1161" spans="1:26" ht="15.75" customHeight="1">
      <c r="A1161" s="9" t="s">
        <v>2215</v>
      </c>
      <c r="B1161" s="9" t="s">
        <v>2216</v>
      </c>
      <c r="C1161" s="9" t="s">
        <v>2217</v>
      </c>
      <c r="D1161" s="9" t="s">
        <v>33</v>
      </c>
      <c r="E1161" s="9" t="s">
        <v>12</v>
      </c>
      <c r="F1161" s="9" t="s">
        <v>2214</v>
      </c>
      <c r="G1161" s="9">
        <v>90</v>
      </c>
      <c r="H1161" s="9">
        <v>4</v>
      </c>
      <c r="I1161" s="9">
        <v>1.0149999999999999</v>
      </c>
      <c r="J1161" s="9">
        <v>103</v>
      </c>
      <c r="K1161" s="9" t="s">
        <v>442</v>
      </c>
      <c r="L1161" s="9"/>
      <c r="M1161" s="9"/>
      <c r="N1161" s="9" t="str">
        <f ca="1">IFERROR(__xludf.DUMMYFUNCTION("IFERROR(VALUE(REGEXEXTRACT(TO_TEXT($F1161), N$1 &amp; ""x(\d+)"")), """")
"),"")</f>
        <v/>
      </c>
      <c r="O1161" s="9">
        <f ca="1">IFERROR(__xludf.DUMMYFUNCTION("IFERROR(VALUE(REGEXEXTRACT(TO_TEXT($F1161), O$1 &amp; ""x(\d+)"")), """")"),1)</f>
        <v>1</v>
      </c>
      <c r="P1161" s="9" t="str">
        <f ca="1">IFERROR(__xludf.DUMMYFUNCTION("IFERROR(VALUE(REGEXEXTRACT(TO_TEXT($F1161), P$1 &amp; ""x(\d+)"")), """")"),"")</f>
        <v/>
      </c>
      <c r="Q1161" s="9" t="str">
        <f ca="1">IFERROR(__xludf.DUMMYFUNCTION("IFERROR(VALUE(REGEXEXTRACT(TO_TEXT($F1161), Q$1 &amp; ""x(\d+)"")), """")"),"")</f>
        <v/>
      </c>
      <c r="R1161" s="9" t="str">
        <f ca="1">IFERROR(__xludf.DUMMYFUNCTION("IFERROR(VALUE(REGEXEXTRACT(TO_TEXT($F1161), R$1 &amp; ""x(\d+)"")), """")"),"")</f>
        <v/>
      </c>
      <c r="S1161" s="9" t="str">
        <f ca="1">IFERROR(__xludf.DUMMYFUNCTION("IFERROR(VALUE(REGEXEXTRACT(TO_TEXT($F1161), S$1 &amp; ""x(\d+)"")), """")"),"")</f>
        <v/>
      </c>
      <c r="T1161" s="9" t="str">
        <f ca="1">IFERROR(__xludf.DUMMYFUNCTION("IFERROR(VALUE(REGEXEXTRACT(TO_TEXT($F1161), T$1 &amp; ""x(\d+)"")), """")"),"")</f>
        <v/>
      </c>
      <c r="U1161" s="9" t="str">
        <f ca="1">IFERROR(__xludf.DUMMYFUNCTION("IFERROR(VALUE(REGEXEXTRACT(TO_TEXT($F1161), U$1 &amp; ""x(\d+)"")), """")"),"")</f>
        <v/>
      </c>
      <c r="V1161" s="9" t="str">
        <f ca="1">IFERROR(__xludf.DUMMYFUNCTION("IFERROR(VALUE(REGEXEXTRACT(TO_TEXT($F1161), V$1 &amp; ""x(\d+)"")), """")"),"")</f>
        <v/>
      </c>
      <c r="W1161" s="9"/>
      <c r="X1161" s="9"/>
      <c r="Y1161" s="9"/>
      <c r="Z1161" s="9"/>
    </row>
    <row r="1162" spans="1:26" ht="15.75" customHeight="1">
      <c r="A1162" s="9" t="s">
        <v>2215</v>
      </c>
      <c r="B1162" s="9" t="s">
        <v>2216</v>
      </c>
      <c r="C1162" s="9" t="s">
        <v>2217</v>
      </c>
      <c r="D1162" s="9" t="s">
        <v>33</v>
      </c>
      <c r="E1162" s="9" t="s">
        <v>13</v>
      </c>
      <c r="F1162" s="9" t="s">
        <v>1369</v>
      </c>
      <c r="G1162" s="9">
        <v>15</v>
      </c>
      <c r="H1162" s="9">
        <v>4</v>
      </c>
      <c r="I1162" s="9">
        <v>1.0149999999999999</v>
      </c>
      <c r="J1162" s="9">
        <v>103</v>
      </c>
      <c r="K1162" s="9" t="s">
        <v>442</v>
      </c>
      <c r="L1162" s="9"/>
      <c r="M1162" s="9"/>
      <c r="N1162" s="9" t="str">
        <f ca="1">IFERROR(__xludf.DUMMYFUNCTION("IFERROR(VALUE(REGEXEXTRACT(TO_TEXT($F1162), N$1 &amp; ""x(\d+)"")), """")
"),"")</f>
        <v/>
      </c>
      <c r="O1162" s="9">
        <f ca="1">IFERROR(__xludf.DUMMYFUNCTION("IFERROR(VALUE(REGEXEXTRACT(TO_TEXT($F1162), O$1 &amp; ""x(\d+)"")), """")"),1)</f>
        <v>1</v>
      </c>
      <c r="P1162" s="9" t="str">
        <f ca="1">IFERROR(__xludf.DUMMYFUNCTION("IFERROR(VALUE(REGEXEXTRACT(TO_TEXT($F1162), P$1 &amp; ""x(\d+)"")), """")"),"")</f>
        <v/>
      </c>
      <c r="Q1162" s="9" t="str">
        <f ca="1">IFERROR(__xludf.DUMMYFUNCTION("IFERROR(VALUE(REGEXEXTRACT(TO_TEXT($F1162), Q$1 &amp; ""x(\d+)"")), """")"),"")</f>
        <v/>
      </c>
      <c r="R1162" s="9" t="str">
        <f ca="1">IFERROR(__xludf.DUMMYFUNCTION("IFERROR(VALUE(REGEXEXTRACT(TO_TEXT($F1162), R$1 &amp; ""x(\d+)"")), """")"),"")</f>
        <v/>
      </c>
      <c r="S1162" s="9" t="str">
        <f ca="1">IFERROR(__xludf.DUMMYFUNCTION("IFERROR(VALUE(REGEXEXTRACT(TO_TEXT($F1162), S$1 &amp; ""x(\d+)"")), """")"),"")</f>
        <v/>
      </c>
      <c r="T1162" s="9" t="str">
        <f ca="1">IFERROR(__xludf.DUMMYFUNCTION("IFERROR(VALUE(REGEXEXTRACT(TO_TEXT($F1162), T$1 &amp; ""x(\d+)"")), """")"),"")</f>
        <v/>
      </c>
      <c r="U1162" s="9" t="str">
        <f ca="1">IFERROR(__xludf.DUMMYFUNCTION("IFERROR(VALUE(REGEXEXTRACT(TO_TEXT($F1162), U$1 &amp; ""x(\d+)"")), """")"),"")</f>
        <v/>
      </c>
      <c r="V1162" s="9" t="str">
        <f ca="1">IFERROR(__xludf.DUMMYFUNCTION("IFERROR(VALUE(REGEXEXTRACT(TO_TEXT($F1162), V$1 &amp; ""x(\d+)"")), """")"),"")</f>
        <v/>
      </c>
      <c r="W1162" s="9"/>
      <c r="X1162" s="9"/>
      <c r="Y1162" s="9"/>
      <c r="Z1162" s="9"/>
    </row>
    <row r="1163" spans="1:26" ht="15.75" customHeight="1">
      <c r="A1163" s="9" t="s">
        <v>2218</v>
      </c>
      <c r="B1163" s="9" t="s">
        <v>2219</v>
      </c>
      <c r="C1163" s="9" t="s">
        <v>2220</v>
      </c>
      <c r="D1163" s="9" t="s">
        <v>33</v>
      </c>
      <c r="E1163" s="9" t="s">
        <v>12</v>
      </c>
      <c r="F1163" s="9" t="s">
        <v>1498</v>
      </c>
      <c r="G1163" s="9">
        <v>60</v>
      </c>
      <c r="H1163" s="9">
        <v>2</v>
      </c>
      <c r="I1163" s="9">
        <v>1.0149999999999999</v>
      </c>
      <c r="J1163" s="9">
        <v>110</v>
      </c>
      <c r="K1163" s="9" t="s">
        <v>442</v>
      </c>
      <c r="L1163" s="9"/>
      <c r="M1163" s="9"/>
      <c r="N1163" s="9" t="str">
        <f ca="1">IFERROR(__xludf.DUMMYFUNCTION("IFERROR(VALUE(REGEXEXTRACT(TO_TEXT($F1163), N$1 &amp; ""x(\d+)"")), """")
"),"")</f>
        <v/>
      </c>
      <c r="O1163" s="9">
        <f ca="1">IFERROR(__xludf.DUMMYFUNCTION("IFERROR(VALUE(REGEXEXTRACT(TO_TEXT($F1163), O$1 &amp; ""x(\d+)"")), """")"),1)</f>
        <v>1</v>
      </c>
      <c r="P1163" s="9" t="str">
        <f ca="1">IFERROR(__xludf.DUMMYFUNCTION("IFERROR(VALUE(REGEXEXTRACT(TO_TEXT($F1163), P$1 &amp; ""x(\d+)"")), """")"),"")</f>
        <v/>
      </c>
      <c r="Q1163" s="9" t="str">
        <f ca="1">IFERROR(__xludf.DUMMYFUNCTION("IFERROR(VALUE(REGEXEXTRACT(TO_TEXT($F1163), Q$1 &amp; ""x(\d+)"")), """")"),"")</f>
        <v/>
      </c>
      <c r="R1163" s="9" t="str">
        <f ca="1">IFERROR(__xludf.DUMMYFUNCTION("IFERROR(VALUE(REGEXEXTRACT(TO_TEXT($F1163), R$1 &amp; ""x(\d+)"")), """")"),"")</f>
        <v/>
      </c>
      <c r="S1163" s="9" t="str">
        <f ca="1">IFERROR(__xludf.DUMMYFUNCTION("IFERROR(VALUE(REGEXEXTRACT(TO_TEXT($F1163), S$1 &amp; ""x(\d+)"")), """")"),"")</f>
        <v/>
      </c>
      <c r="T1163" s="9" t="str">
        <f ca="1">IFERROR(__xludf.DUMMYFUNCTION("IFERROR(VALUE(REGEXEXTRACT(TO_TEXT($F1163), T$1 &amp; ""x(\d+)"")), """")"),"")</f>
        <v/>
      </c>
      <c r="U1163" s="9" t="str">
        <f ca="1">IFERROR(__xludf.DUMMYFUNCTION("IFERROR(VALUE(REGEXEXTRACT(TO_TEXT($F1163), U$1 &amp; ""x(\d+)"")), """")"),"")</f>
        <v/>
      </c>
      <c r="V1163" s="9" t="str">
        <f ca="1">IFERROR(__xludf.DUMMYFUNCTION("IFERROR(VALUE(REGEXEXTRACT(TO_TEXT($F1163), V$1 &amp; ""x(\d+)"")), """")"),"")</f>
        <v/>
      </c>
      <c r="W1163" s="9"/>
      <c r="X1163" s="9"/>
      <c r="Y1163" s="9"/>
      <c r="Z1163" s="9"/>
    </row>
    <row r="1164" spans="1:26" ht="15.75" customHeight="1">
      <c r="A1164" s="9" t="s">
        <v>2218</v>
      </c>
      <c r="B1164" s="9" t="s">
        <v>2219</v>
      </c>
      <c r="C1164" s="9" t="s">
        <v>2220</v>
      </c>
      <c r="D1164" s="9" t="s">
        <v>33</v>
      </c>
      <c r="E1164" s="9" t="s">
        <v>13</v>
      </c>
      <c r="F1164" s="9" t="s">
        <v>1662</v>
      </c>
      <c r="G1164" s="9">
        <v>20</v>
      </c>
      <c r="H1164" s="9">
        <v>2</v>
      </c>
      <c r="I1164" s="9">
        <v>1.0149999999999999</v>
      </c>
      <c r="J1164" s="9">
        <v>110</v>
      </c>
      <c r="K1164" s="9" t="s">
        <v>442</v>
      </c>
      <c r="L1164" s="9"/>
      <c r="M1164" s="9"/>
      <c r="N1164" s="9" t="str">
        <f ca="1">IFERROR(__xludf.DUMMYFUNCTION("IFERROR(VALUE(REGEXEXTRACT(TO_TEXT($F1164), N$1 &amp; ""x(\d+)"")), """")
"),"")</f>
        <v/>
      </c>
      <c r="O1164" s="9">
        <f ca="1">IFERROR(__xludf.DUMMYFUNCTION("IFERROR(VALUE(REGEXEXTRACT(TO_TEXT($F1164), O$1 &amp; ""x(\d+)"")), """")"),1)</f>
        <v>1</v>
      </c>
      <c r="P1164" s="9" t="str">
        <f ca="1">IFERROR(__xludf.DUMMYFUNCTION("IFERROR(VALUE(REGEXEXTRACT(TO_TEXT($F1164), P$1 &amp; ""x(\d+)"")), """")"),"")</f>
        <v/>
      </c>
      <c r="Q1164" s="9" t="str">
        <f ca="1">IFERROR(__xludf.DUMMYFUNCTION("IFERROR(VALUE(REGEXEXTRACT(TO_TEXT($F1164), Q$1 &amp; ""x(\d+)"")), """")"),"")</f>
        <v/>
      </c>
      <c r="R1164" s="9" t="str">
        <f ca="1">IFERROR(__xludf.DUMMYFUNCTION("IFERROR(VALUE(REGEXEXTRACT(TO_TEXT($F1164), R$1 &amp; ""x(\d+)"")), """")"),"")</f>
        <v/>
      </c>
      <c r="S1164" s="9" t="str">
        <f ca="1">IFERROR(__xludf.DUMMYFUNCTION("IFERROR(VALUE(REGEXEXTRACT(TO_TEXT($F1164), S$1 &amp; ""x(\d+)"")), """")"),"")</f>
        <v/>
      </c>
      <c r="T1164" s="9" t="str">
        <f ca="1">IFERROR(__xludf.DUMMYFUNCTION("IFERROR(VALUE(REGEXEXTRACT(TO_TEXT($F1164), T$1 &amp; ""x(\d+)"")), """")"),"")</f>
        <v/>
      </c>
      <c r="U1164" s="9" t="str">
        <f ca="1">IFERROR(__xludf.DUMMYFUNCTION("IFERROR(VALUE(REGEXEXTRACT(TO_TEXT($F1164), U$1 &amp; ""x(\d+)"")), """")"),"")</f>
        <v/>
      </c>
      <c r="V1164" s="9" t="str">
        <f ca="1">IFERROR(__xludf.DUMMYFUNCTION("IFERROR(VALUE(REGEXEXTRACT(TO_TEXT($F1164), V$1 &amp; ""x(\d+)"")), """")"),"")</f>
        <v/>
      </c>
      <c r="W1164" s="9"/>
      <c r="X1164" s="9"/>
      <c r="Y1164" s="9"/>
      <c r="Z1164" s="9"/>
    </row>
    <row r="1165" spans="1:26" ht="15.75" customHeight="1">
      <c r="A1165" s="9" t="s">
        <v>2221</v>
      </c>
      <c r="B1165" s="9" t="s">
        <v>2222</v>
      </c>
      <c r="C1165" s="9" t="s">
        <v>2223</v>
      </c>
      <c r="D1165" s="9" t="s">
        <v>33</v>
      </c>
      <c r="E1165" s="9" t="s">
        <v>12</v>
      </c>
      <c r="F1165" s="9" t="s">
        <v>1498</v>
      </c>
      <c r="G1165" s="9">
        <v>60</v>
      </c>
      <c r="H1165" s="9">
        <v>2</v>
      </c>
      <c r="I1165" s="9">
        <v>1.0149999999999999</v>
      </c>
      <c r="J1165" s="9">
        <v>80</v>
      </c>
      <c r="K1165" s="9" t="s">
        <v>499</v>
      </c>
      <c r="L1165" s="9"/>
      <c r="M1165" s="9"/>
      <c r="N1165" s="9" t="str">
        <f ca="1">IFERROR(__xludf.DUMMYFUNCTION("IFERROR(VALUE(REGEXEXTRACT(TO_TEXT($F1165), N$1 &amp; ""x(\d+)"")), """")
"),"")</f>
        <v/>
      </c>
      <c r="O1165" s="9">
        <f ca="1">IFERROR(__xludf.DUMMYFUNCTION("IFERROR(VALUE(REGEXEXTRACT(TO_TEXT($F1165), O$1 &amp; ""x(\d+)"")), """")"),1)</f>
        <v>1</v>
      </c>
      <c r="P1165" s="9" t="str">
        <f ca="1">IFERROR(__xludf.DUMMYFUNCTION("IFERROR(VALUE(REGEXEXTRACT(TO_TEXT($F1165), P$1 &amp; ""x(\d+)"")), """")"),"")</f>
        <v/>
      </c>
      <c r="Q1165" s="9" t="str">
        <f ca="1">IFERROR(__xludf.DUMMYFUNCTION("IFERROR(VALUE(REGEXEXTRACT(TO_TEXT($F1165), Q$1 &amp; ""x(\d+)"")), """")"),"")</f>
        <v/>
      </c>
      <c r="R1165" s="9" t="str">
        <f ca="1">IFERROR(__xludf.DUMMYFUNCTION("IFERROR(VALUE(REGEXEXTRACT(TO_TEXT($F1165), R$1 &amp; ""x(\d+)"")), """")"),"")</f>
        <v/>
      </c>
      <c r="S1165" s="9" t="str">
        <f ca="1">IFERROR(__xludf.DUMMYFUNCTION("IFERROR(VALUE(REGEXEXTRACT(TO_TEXT($F1165), S$1 &amp; ""x(\d+)"")), """")"),"")</f>
        <v/>
      </c>
      <c r="T1165" s="9" t="str">
        <f ca="1">IFERROR(__xludf.DUMMYFUNCTION("IFERROR(VALUE(REGEXEXTRACT(TO_TEXT($F1165), T$1 &amp; ""x(\d+)"")), """")"),"")</f>
        <v/>
      </c>
      <c r="U1165" s="9" t="str">
        <f ca="1">IFERROR(__xludf.DUMMYFUNCTION("IFERROR(VALUE(REGEXEXTRACT(TO_TEXT($F1165), U$1 &amp; ""x(\d+)"")), """")"),"")</f>
        <v/>
      </c>
      <c r="V1165" s="9" t="str">
        <f ca="1">IFERROR(__xludf.DUMMYFUNCTION("IFERROR(VALUE(REGEXEXTRACT(TO_TEXT($F1165), V$1 &amp; ""x(\d+)"")), """")"),"")</f>
        <v/>
      </c>
      <c r="W1165" s="9"/>
      <c r="X1165" s="9"/>
      <c r="Y1165" s="9"/>
      <c r="Z1165" s="9"/>
    </row>
    <row r="1166" spans="1:26" ht="15.75" customHeight="1">
      <c r="A1166" s="9" t="s">
        <v>2221</v>
      </c>
      <c r="B1166" s="9" t="s">
        <v>2222</v>
      </c>
      <c r="C1166" s="9" t="s">
        <v>2223</v>
      </c>
      <c r="D1166" s="9" t="s">
        <v>33</v>
      </c>
      <c r="E1166" s="9" t="s">
        <v>13</v>
      </c>
      <c r="F1166" s="9" t="s">
        <v>1019</v>
      </c>
      <c r="G1166" s="9">
        <v>30</v>
      </c>
      <c r="H1166" s="9">
        <v>2</v>
      </c>
      <c r="I1166" s="9">
        <v>1.0149999999999999</v>
      </c>
      <c r="J1166" s="9">
        <v>80</v>
      </c>
      <c r="K1166" s="9" t="s">
        <v>499</v>
      </c>
      <c r="L1166" s="9"/>
      <c r="M1166" s="9"/>
      <c r="N1166" s="9" t="str">
        <f ca="1">IFERROR(__xludf.DUMMYFUNCTION("IFERROR(VALUE(REGEXEXTRACT(TO_TEXT($F1166), N$1 &amp; ""x(\d+)"")), """")
"),"")</f>
        <v/>
      </c>
      <c r="O1166" s="9">
        <f ca="1">IFERROR(__xludf.DUMMYFUNCTION("IFERROR(VALUE(REGEXEXTRACT(TO_TEXT($F1166), O$1 &amp; ""x(\d+)"")), """")"),1)</f>
        <v>1</v>
      </c>
      <c r="P1166" s="9" t="str">
        <f ca="1">IFERROR(__xludf.DUMMYFUNCTION("IFERROR(VALUE(REGEXEXTRACT(TO_TEXT($F1166), P$1 &amp; ""x(\d+)"")), """")"),"")</f>
        <v/>
      </c>
      <c r="Q1166" s="9" t="str">
        <f ca="1">IFERROR(__xludf.DUMMYFUNCTION("IFERROR(VALUE(REGEXEXTRACT(TO_TEXT($F1166), Q$1 &amp; ""x(\d+)"")), """")"),"")</f>
        <v/>
      </c>
      <c r="R1166" s="9" t="str">
        <f ca="1">IFERROR(__xludf.DUMMYFUNCTION("IFERROR(VALUE(REGEXEXTRACT(TO_TEXT($F1166), R$1 &amp; ""x(\d+)"")), """")"),"")</f>
        <v/>
      </c>
      <c r="S1166" s="9" t="str">
        <f ca="1">IFERROR(__xludf.DUMMYFUNCTION("IFERROR(VALUE(REGEXEXTRACT(TO_TEXT($F1166), S$1 &amp; ""x(\d+)"")), """")"),"")</f>
        <v/>
      </c>
      <c r="T1166" s="9" t="str">
        <f ca="1">IFERROR(__xludf.DUMMYFUNCTION("IFERROR(VALUE(REGEXEXTRACT(TO_TEXT($F1166), T$1 &amp; ""x(\d+)"")), """")"),"")</f>
        <v/>
      </c>
      <c r="U1166" s="9" t="str">
        <f ca="1">IFERROR(__xludf.DUMMYFUNCTION("IFERROR(VALUE(REGEXEXTRACT(TO_TEXT($F1166), U$1 &amp; ""x(\d+)"")), """")"),"")</f>
        <v/>
      </c>
      <c r="V1166" s="9" t="str">
        <f ca="1">IFERROR(__xludf.DUMMYFUNCTION("IFERROR(VALUE(REGEXEXTRACT(TO_TEXT($F1166), V$1 &amp; ""x(\d+)"")), """")"),"")</f>
        <v/>
      </c>
      <c r="W1166" s="9"/>
      <c r="X1166" s="9"/>
      <c r="Y1166" s="9"/>
      <c r="Z1166" s="9"/>
    </row>
    <row r="1167" spans="1:26" ht="15.75" customHeight="1">
      <c r="A1167" s="9" t="s">
        <v>2221</v>
      </c>
      <c r="B1167" s="9" t="s">
        <v>2222</v>
      </c>
      <c r="C1167" s="9" t="s">
        <v>2223</v>
      </c>
      <c r="D1167" s="9" t="s">
        <v>33</v>
      </c>
      <c r="E1167" s="9" t="s">
        <v>11</v>
      </c>
      <c r="F1167" s="9" t="s">
        <v>1260</v>
      </c>
      <c r="G1167" s="9">
        <v>20</v>
      </c>
      <c r="H1167" s="9">
        <v>2</v>
      </c>
      <c r="I1167" s="9">
        <v>1.0149999999999999</v>
      </c>
      <c r="J1167" s="9">
        <v>110</v>
      </c>
      <c r="K1167" s="9" t="s">
        <v>442</v>
      </c>
      <c r="L1167" s="9"/>
      <c r="M1167" s="9"/>
      <c r="N1167" s="9" t="str">
        <f ca="1">IFERROR(__xludf.DUMMYFUNCTION("IFERROR(VALUE(REGEXEXTRACT(TO_TEXT($F1167), N$1 &amp; ""x(\d+)"")), """")
"),"")</f>
        <v/>
      </c>
      <c r="O1167" s="9" t="str">
        <f ca="1">IFERROR(__xludf.DUMMYFUNCTION("IFERROR(VALUE(REGEXEXTRACT(TO_TEXT($F1167), O$1 &amp; ""x(\d+)"")), """")"),"")</f>
        <v/>
      </c>
      <c r="P1167" s="9" t="str">
        <f ca="1">IFERROR(__xludf.DUMMYFUNCTION("IFERROR(VALUE(REGEXEXTRACT(TO_TEXT($F1167), P$1 &amp; ""x(\d+)"")), """")"),"")</f>
        <v/>
      </c>
      <c r="Q1167" s="9" t="str">
        <f ca="1">IFERROR(__xludf.DUMMYFUNCTION("IFERROR(VALUE(REGEXEXTRACT(TO_TEXT($F1167), Q$1 &amp; ""x(\d+)"")), """")"),"")</f>
        <v/>
      </c>
      <c r="R1167" s="9" t="str">
        <f ca="1">IFERROR(__xludf.DUMMYFUNCTION("IFERROR(VALUE(REGEXEXTRACT(TO_TEXT($F1167), R$1 &amp; ""x(\d+)"")), """")"),"")</f>
        <v/>
      </c>
      <c r="S1167" s="9" t="str">
        <f ca="1">IFERROR(__xludf.DUMMYFUNCTION("IFERROR(VALUE(REGEXEXTRACT(TO_TEXT($F1167), S$1 &amp; ""x(\d+)"")), """")"),"")</f>
        <v/>
      </c>
      <c r="T1167" s="9" t="str">
        <f ca="1">IFERROR(__xludf.DUMMYFUNCTION("IFERROR(VALUE(REGEXEXTRACT(TO_TEXT($F1167), T$1 &amp; ""x(\d+)"")), """")"),"")</f>
        <v/>
      </c>
      <c r="U1167" s="9" t="str">
        <f ca="1">IFERROR(__xludf.DUMMYFUNCTION("IFERROR(VALUE(REGEXEXTRACT(TO_TEXT($F1167), U$1 &amp; ""x(\d+)"")), """")"),"")</f>
        <v/>
      </c>
      <c r="V1167" s="9" t="str">
        <f ca="1">IFERROR(__xludf.DUMMYFUNCTION("IFERROR(VALUE(REGEXEXTRACT(TO_TEXT($F1167), V$1 &amp; ""x(\d+)"")), """")"),"")</f>
        <v/>
      </c>
      <c r="W1167" s="9"/>
      <c r="X1167" s="9"/>
      <c r="Y1167" s="9"/>
      <c r="Z1167" s="9"/>
    </row>
    <row r="1168" spans="1:26" ht="15.75" customHeight="1">
      <c r="A1168" s="9" t="s">
        <v>2221</v>
      </c>
      <c r="B1168" s="9" t="s">
        <v>2222</v>
      </c>
      <c r="C1168" s="9" t="s">
        <v>2223</v>
      </c>
      <c r="D1168" s="9" t="s">
        <v>33</v>
      </c>
      <c r="E1168" s="9" t="s">
        <v>12</v>
      </c>
      <c r="F1168" s="9" t="s">
        <v>2224</v>
      </c>
      <c r="G1168" s="9">
        <v>80</v>
      </c>
      <c r="H1168" s="9">
        <v>2</v>
      </c>
      <c r="I1168" s="9">
        <v>1.0149999999999999</v>
      </c>
      <c r="J1168" s="9">
        <v>110</v>
      </c>
      <c r="K1168" s="9" t="s">
        <v>442</v>
      </c>
      <c r="L1168" s="9"/>
      <c r="M1168" s="9"/>
      <c r="N1168" s="9" t="str">
        <f ca="1">IFERROR(__xludf.DUMMYFUNCTION("IFERROR(VALUE(REGEXEXTRACT(TO_TEXT($F1168), N$1 &amp; ""x(\d+)"")), """")
"),"")</f>
        <v/>
      </c>
      <c r="O1168" s="9">
        <f ca="1">IFERROR(__xludf.DUMMYFUNCTION("IFERROR(VALUE(REGEXEXTRACT(TO_TEXT($F1168), O$1 &amp; ""x(\d+)"")), """")"),1)</f>
        <v>1</v>
      </c>
      <c r="P1168" s="9" t="str">
        <f ca="1">IFERROR(__xludf.DUMMYFUNCTION("IFERROR(VALUE(REGEXEXTRACT(TO_TEXT($F1168), P$1 &amp; ""x(\d+)"")), """")"),"")</f>
        <v/>
      </c>
      <c r="Q1168" s="9" t="str">
        <f ca="1">IFERROR(__xludf.DUMMYFUNCTION("IFERROR(VALUE(REGEXEXTRACT(TO_TEXT($F1168), Q$1 &amp; ""x(\d+)"")), """")"),"")</f>
        <v/>
      </c>
      <c r="R1168" s="9" t="str">
        <f ca="1">IFERROR(__xludf.DUMMYFUNCTION("IFERROR(VALUE(REGEXEXTRACT(TO_TEXT($F1168), R$1 &amp; ""x(\d+)"")), """")"),"")</f>
        <v/>
      </c>
      <c r="S1168" s="9" t="str">
        <f ca="1">IFERROR(__xludf.DUMMYFUNCTION("IFERROR(VALUE(REGEXEXTRACT(TO_TEXT($F1168), S$1 &amp; ""x(\d+)"")), """")"),"")</f>
        <v/>
      </c>
      <c r="T1168" s="9" t="str">
        <f ca="1">IFERROR(__xludf.DUMMYFUNCTION("IFERROR(VALUE(REGEXEXTRACT(TO_TEXT($F1168), T$1 &amp; ""x(\d+)"")), """")"),"")</f>
        <v/>
      </c>
      <c r="U1168" s="9" t="str">
        <f ca="1">IFERROR(__xludf.DUMMYFUNCTION("IFERROR(VALUE(REGEXEXTRACT(TO_TEXT($F1168), U$1 &amp; ""x(\d+)"")), """")"),"")</f>
        <v/>
      </c>
      <c r="V1168" s="9" t="str">
        <f ca="1">IFERROR(__xludf.DUMMYFUNCTION("IFERROR(VALUE(REGEXEXTRACT(TO_TEXT($F1168), V$1 &amp; ""x(\d+)"")), """")"),"")</f>
        <v/>
      </c>
      <c r="W1168" s="9"/>
      <c r="X1168" s="9"/>
      <c r="Y1168" s="9"/>
      <c r="Z1168" s="9"/>
    </row>
    <row r="1169" spans="1:26" ht="15.75" customHeight="1">
      <c r="A1169" s="9" t="s">
        <v>2221</v>
      </c>
      <c r="B1169" s="9" t="s">
        <v>2222</v>
      </c>
      <c r="C1169" s="9" t="s">
        <v>2223</v>
      </c>
      <c r="D1169" s="9" t="s">
        <v>33</v>
      </c>
      <c r="E1169" s="9" t="s">
        <v>13</v>
      </c>
      <c r="F1169" s="9" t="s">
        <v>1662</v>
      </c>
      <c r="G1169" s="9">
        <v>20</v>
      </c>
      <c r="H1169" s="9">
        <v>2</v>
      </c>
      <c r="I1169" s="9">
        <v>1.0149999999999999</v>
      </c>
      <c r="J1169" s="9">
        <v>110</v>
      </c>
      <c r="K1169" s="9" t="s">
        <v>442</v>
      </c>
      <c r="L1169" s="9"/>
      <c r="M1169" s="9"/>
      <c r="N1169" s="9" t="str">
        <f ca="1">IFERROR(__xludf.DUMMYFUNCTION("IFERROR(VALUE(REGEXEXTRACT(TO_TEXT($F1169), N$1 &amp; ""x(\d+)"")), """")
"),"")</f>
        <v/>
      </c>
      <c r="O1169" s="9">
        <f ca="1">IFERROR(__xludf.DUMMYFUNCTION("IFERROR(VALUE(REGEXEXTRACT(TO_TEXT($F1169), O$1 &amp; ""x(\d+)"")), """")"),1)</f>
        <v>1</v>
      </c>
      <c r="P1169" s="9" t="str">
        <f ca="1">IFERROR(__xludf.DUMMYFUNCTION("IFERROR(VALUE(REGEXEXTRACT(TO_TEXT($F1169), P$1 &amp; ""x(\d+)"")), """")"),"")</f>
        <v/>
      </c>
      <c r="Q1169" s="9" t="str">
        <f ca="1">IFERROR(__xludf.DUMMYFUNCTION("IFERROR(VALUE(REGEXEXTRACT(TO_TEXT($F1169), Q$1 &amp; ""x(\d+)"")), """")"),"")</f>
        <v/>
      </c>
      <c r="R1169" s="9" t="str">
        <f ca="1">IFERROR(__xludf.DUMMYFUNCTION("IFERROR(VALUE(REGEXEXTRACT(TO_TEXT($F1169), R$1 &amp; ""x(\d+)"")), """")"),"")</f>
        <v/>
      </c>
      <c r="S1169" s="9" t="str">
        <f ca="1">IFERROR(__xludf.DUMMYFUNCTION("IFERROR(VALUE(REGEXEXTRACT(TO_TEXT($F1169), S$1 &amp; ""x(\d+)"")), """")"),"")</f>
        <v/>
      </c>
      <c r="T1169" s="9" t="str">
        <f ca="1">IFERROR(__xludf.DUMMYFUNCTION("IFERROR(VALUE(REGEXEXTRACT(TO_TEXT($F1169), T$1 &amp; ""x(\d+)"")), """")"),"")</f>
        <v/>
      </c>
      <c r="U1169" s="9" t="str">
        <f ca="1">IFERROR(__xludf.DUMMYFUNCTION("IFERROR(VALUE(REGEXEXTRACT(TO_TEXT($F1169), U$1 &amp; ""x(\d+)"")), """")"),"")</f>
        <v/>
      </c>
      <c r="V1169" s="9" t="str">
        <f ca="1">IFERROR(__xludf.DUMMYFUNCTION("IFERROR(VALUE(REGEXEXTRACT(TO_TEXT($F1169), V$1 &amp; ""x(\d+)"")), """")"),"")</f>
        <v/>
      </c>
      <c r="W1169" s="9"/>
      <c r="X1169" s="9"/>
      <c r="Y1169" s="9"/>
      <c r="Z1169" s="9"/>
    </row>
    <row r="1170" spans="1:26" ht="15.75" customHeight="1">
      <c r="A1170" s="9" t="s">
        <v>2225</v>
      </c>
      <c r="B1170" s="9" t="s">
        <v>1986</v>
      </c>
      <c r="C1170" s="9" t="s">
        <v>2226</v>
      </c>
      <c r="D1170" s="9" t="s">
        <v>33</v>
      </c>
      <c r="E1170" s="9" t="s">
        <v>11</v>
      </c>
      <c r="F1170" s="9" t="s">
        <v>1152</v>
      </c>
      <c r="G1170" s="9">
        <v>30</v>
      </c>
      <c r="H1170" s="9">
        <v>3</v>
      </c>
      <c r="I1170" s="9">
        <v>1.0149999999999999</v>
      </c>
      <c r="J1170" s="9">
        <v>103</v>
      </c>
      <c r="K1170" s="9" t="s">
        <v>442</v>
      </c>
      <c r="L1170" s="9"/>
      <c r="M1170" s="9"/>
      <c r="N1170" s="9" t="str">
        <f ca="1">IFERROR(__xludf.DUMMYFUNCTION("IFERROR(VALUE(REGEXEXTRACT(TO_TEXT($F1170), N$1 &amp; ""x(\d+)"")), """")
"),"")</f>
        <v/>
      </c>
      <c r="O1170" s="9" t="str">
        <f ca="1">IFERROR(__xludf.DUMMYFUNCTION("IFERROR(VALUE(REGEXEXTRACT(TO_TEXT($F1170), O$1 &amp; ""x(\d+)"")), """")"),"")</f>
        <v/>
      </c>
      <c r="P1170" s="9" t="str">
        <f ca="1">IFERROR(__xludf.DUMMYFUNCTION("IFERROR(VALUE(REGEXEXTRACT(TO_TEXT($F1170), P$1 &amp; ""x(\d+)"")), """")"),"")</f>
        <v/>
      </c>
      <c r="Q1170" s="9" t="str">
        <f ca="1">IFERROR(__xludf.DUMMYFUNCTION("IFERROR(VALUE(REGEXEXTRACT(TO_TEXT($F1170), Q$1 &amp; ""x(\d+)"")), """")"),"")</f>
        <v/>
      </c>
      <c r="R1170" s="9" t="str">
        <f ca="1">IFERROR(__xludf.DUMMYFUNCTION("IFERROR(VALUE(REGEXEXTRACT(TO_TEXT($F1170), R$1 &amp; ""x(\d+)"")), """")"),"")</f>
        <v/>
      </c>
      <c r="S1170" s="9" t="str">
        <f ca="1">IFERROR(__xludf.DUMMYFUNCTION("IFERROR(VALUE(REGEXEXTRACT(TO_TEXT($F1170), S$1 &amp; ""x(\d+)"")), """")"),"")</f>
        <v/>
      </c>
      <c r="T1170" s="9" t="str">
        <f ca="1">IFERROR(__xludf.DUMMYFUNCTION("IFERROR(VALUE(REGEXEXTRACT(TO_TEXT($F1170), T$1 &amp; ""x(\d+)"")), """")"),"")</f>
        <v/>
      </c>
      <c r="U1170" s="9" t="str">
        <f ca="1">IFERROR(__xludf.DUMMYFUNCTION("IFERROR(VALUE(REGEXEXTRACT(TO_TEXT($F1170), U$1 &amp; ""x(\d+)"")), """")"),"")</f>
        <v/>
      </c>
      <c r="V1170" s="9" t="str">
        <f ca="1">IFERROR(__xludf.DUMMYFUNCTION("IFERROR(VALUE(REGEXEXTRACT(TO_TEXT($F1170), V$1 &amp; ""x(\d+)"")), """")"),"")</f>
        <v/>
      </c>
      <c r="W1170" s="9"/>
      <c r="X1170" s="9"/>
      <c r="Y1170" s="9"/>
      <c r="Z1170" s="9"/>
    </row>
    <row r="1171" spans="1:26" ht="15.75" customHeight="1">
      <c r="A1171" s="9" t="s">
        <v>2225</v>
      </c>
      <c r="B1171" s="9" t="s">
        <v>1986</v>
      </c>
      <c r="C1171" s="9" t="s">
        <v>2226</v>
      </c>
      <c r="D1171" s="9" t="s">
        <v>33</v>
      </c>
      <c r="E1171" s="9" t="s">
        <v>12</v>
      </c>
      <c r="F1171" s="9" t="s">
        <v>1988</v>
      </c>
      <c r="G1171" s="9">
        <v>135</v>
      </c>
      <c r="H1171" s="9">
        <v>3</v>
      </c>
      <c r="I1171" s="9">
        <v>1.0149999999999999</v>
      </c>
      <c r="J1171" s="9">
        <v>103</v>
      </c>
      <c r="K1171" s="9" t="s">
        <v>442</v>
      </c>
      <c r="L1171" s="9"/>
      <c r="M1171" s="9"/>
      <c r="N1171" s="9" t="str">
        <f ca="1">IFERROR(__xludf.DUMMYFUNCTION("IFERROR(VALUE(REGEXEXTRACT(TO_TEXT($F1171), N$1 &amp; ""x(\d+)"")), """")
"),"")</f>
        <v/>
      </c>
      <c r="O1171" s="9">
        <f ca="1">IFERROR(__xludf.DUMMYFUNCTION("IFERROR(VALUE(REGEXEXTRACT(TO_TEXT($F1171), O$1 &amp; ""x(\d+)"")), """")"),1)</f>
        <v>1</v>
      </c>
      <c r="P1171" s="9" t="str">
        <f ca="1">IFERROR(__xludf.DUMMYFUNCTION("IFERROR(VALUE(REGEXEXTRACT(TO_TEXT($F1171), P$1 &amp; ""x(\d+)"")), """")"),"")</f>
        <v/>
      </c>
      <c r="Q1171" s="9" t="str">
        <f ca="1">IFERROR(__xludf.DUMMYFUNCTION("IFERROR(VALUE(REGEXEXTRACT(TO_TEXT($F1171), Q$1 &amp; ""x(\d+)"")), """")"),"")</f>
        <v/>
      </c>
      <c r="R1171" s="9" t="str">
        <f ca="1">IFERROR(__xludf.DUMMYFUNCTION("IFERROR(VALUE(REGEXEXTRACT(TO_TEXT($F1171), R$1 &amp; ""x(\d+)"")), """")"),"")</f>
        <v/>
      </c>
      <c r="S1171" s="9" t="str">
        <f ca="1">IFERROR(__xludf.DUMMYFUNCTION("IFERROR(VALUE(REGEXEXTRACT(TO_TEXT($F1171), S$1 &amp; ""x(\d+)"")), """")"),"")</f>
        <v/>
      </c>
      <c r="T1171" s="9" t="str">
        <f ca="1">IFERROR(__xludf.DUMMYFUNCTION("IFERROR(VALUE(REGEXEXTRACT(TO_TEXT($F1171), T$1 &amp; ""x(\d+)"")), """")"),"")</f>
        <v/>
      </c>
      <c r="U1171" s="9" t="str">
        <f ca="1">IFERROR(__xludf.DUMMYFUNCTION("IFERROR(VALUE(REGEXEXTRACT(TO_TEXT($F1171), U$1 &amp; ""x(\d+)"")), """")"),"")</f>
        <v/>
      </c>
      <c r="V1171" s="9" t="str">
        <f ca="1">IFERROR(__xludf.DUMMYFUNCTION("IFERROR(VALUE(REGEXEXTRACT(TO_TEXT($F1171), V$1 &amp; ""x(\d+)"")), """")"),"")</f>
        <v/>
      </c>
      <c r="W1171" s="9"/>
      <c r="X1171" s="9"/>
      <c r="Y1171" s="9"/>
      <c r="Z1171" s="9"/>
    </row>
    <row r="1172" spans="1:26" ht="15.75" customHeight="1">
      <c r="A1172" s="9" t="s">
        <v>2225</v>
      </c>
      <c r="B1172" s="9" t="s">
        <v>1986</v>
      </c>
      <c r="C1172" s="9" t="s">
        <v>2226</v>
      </c>
      <c r="D1172" s="9" t="s">
        <v>33</v>
      </c>
      <c r="E1172" s="9" t="s">
        <v>13</v>
      </c>
      <c r="F1172" s="9" t="s">
        <v>1989</v>
      </c>
      <c r="G1172" s="9">
        <v>20</v>
      </c>
      <c r="H1172" s="9">
        <v>3</v>
      </c>
      <c r="I1172" s="9">
        <v>1.0149999999999999</v>
      </c>
      <c r="J1172" s="9">
        <v>103</v>
      </c>
      <c r="K1172" s="9" t="s">
        <v>442</v>
      </c>
      <c r="L1172" s="9"/>
      <c r="M1172" s="9"/>
      <c r="N1172" s="9" t="str">
        <f ca="1">IFERROR(__xludf.DUMMYFUNCTION("IFERROR(VALUE(REGEXEXTRACT(TO_TEXT($F1172), N$1 &amp; ""x(\d+)"")), """")
"),"")</f>
        <v/>
      </c>
      <c r="O1172" s="9">
        <f ca="1">IFERROR(__xludf.DUMMYFUNCTION("IFERROR(VALUE(REGEXEXTRACT(TO_TEXT($F1172), O$1 &amp; ""x(\d+)"")), """")"),1)</f>
        <v>1</v>
      </c>
      <c r="P1172" s="9" t="str">
        <f ca="1">IFERROR(__xludf.DUMMYFUNCTION("IFERROR(VALUE(REGEXEXTRACT(TO_TEXT($F1172), P$1 &amp; ""x(\d+)"")), """")"),"")</f>
        <v/>
      </c>
      <c r="Q1172" s="9" t="str">
        <f ca="1">IFERROR(__xludf.DUMMYFUNCTION("IFERROR(VALUE(REGEXEXTRACT(TO_TEXT($F1172), Q$1 &amp; ""x(\d+)"")), """")"),"")</f>
        <v/>
      </c>
      <c r="R1172" s="9" t="str">
        <f ca="1">IFERROR(__xludf.DUMMYFUNCTION("IFERROR(VALUE(REGEXEXTRACT(TO_TEXT($F1172), R$1 &amp; ""x(\d+)"")), """")"),"")</f>
        <v/>
      </c>
      <c r="S1172" s="9" t="str">
        <f ca="1">IFERROR(__xludf.DUMMYFUNCTION("IFERROR(VALUE(REGEXEXTRACT(TO_TEXT($F1172), S$1 &amp; ""x(\d+)"")), """")"),"")</f>
        <v/>
      </c>
      <c r="T1172" s="9" t="str">
        <f ca="1">IFERROR(__xludf.DUMMYFUNCTION("IFERROR(VALUE(REGEXEXTRACT(TO_TEXT($F1172), T$1 &amp; ""x(\d+)"")), """")"),"")</f>
        <v/>
      </c>
      <c r="U1172" s="9" t="str">
        <f ca="1">IFERROR(__xludf.DUMMYFUNCTION("IFERROR(VALUE(REGEXEXTRACT(TO_TEXT($F1172), U$1 &amp; ""x(\d+)"")), """")"),"")</f>
        <v/>
      </c>
      <c r="V1172" s="9" t="str">
        <f ca="1">IFERROR(__xludf.DUMMYFUNCTION("IFERROR(VALUE(REGEXEXTRACT(TO_TEXT($F1172), V$1 &amp; ""x(\d+)"")), """")"),"")</f>
        <v/>
      </c>
      <c r="W1172" s="9"/>
      <c r="X1172" s="9"/>
      <c r="Y1172" s="9"/>
      <c r="Z1172" s="9"/>
    </row>
    <row r="1173" spans="1:26" ht="15.75" customHeight="1">
      <c r="A1173" s="9" t="s">
        <v>2227</v>
      </c>
      <c r="B1173" s="9" t="s">
        <v>2228</v>
      </c>
      <c r="C1173" s="9" t="s">
        <v>927</v>
      </c>
      <c r="D1173" s="9" t="s">
        <v>48</v>
      </c>
      <c r="E1173" s="9" t="s">
        <v>11</v>
      </c>
      <c r="F1173" s="9" t="s">
        <v>2229</v>
      </c>
      <c r="G1173" s="9">
        <v>45</v>
      </c>
      <c r="H1173" s="9">
        <v>3</v>
      </c>
      <c r="I1173" s="9">
        <v>1.0149999999999999</v>
      </c>
      <c r="J1173" s="9">
        <v>52</v>
      </c>
      <c r="K1173" s="9" t="s">
        <v>424</v>
      </c>
      <c r="L1173" s="9"/>
      <c r="M1173" s="9"/>
      <c r="N1173" s="9">
        <f ca="1">IFERROR(__xludf.DUMMYFUNCTION("IFERROR(VALUE(REGEXEXTRACT(TO_TEXT($F1173), N$1 &amp; ""x(\d+)"")), """")
"),1)</f>
        <v>1</v>
      </c>
      <c r="O1173" s="9">
        <f ca="1">IFERROR(__xludf.DUMMYFUNCTION("IFERROR(VALUE(REGEXEXTRACT(TO_TEXT($F1173), O$1 &amp; ""x(\d+)"")), """")"),1)</f>
        <v>1</v>
      </c>
      <c r="P1173" s="9" t="str">
        <f ca="1">IFERROR(__xludf.DUMMYFUNCTION("IFERROR(VALUE(REGEXEXTRACT(TO_TEXT($F1173), P$1 &amp; ""x(\d+)"")), """")"),"")</f>
        <v/>
      </c>
      <c r="Q1173" s="9" t="str">
        <f ca="1">IFERROR(__xludf.DUMMYFUNCTION("IFERROR(VALUE(REGEXEXTRACT(TO_TEXT($F1173), Q$1 &amp; ""x(\d+)"")), """")"),"")</f>
        <v/>
      </c>
      <c r="R1173" s="9" t="str">
        <f ca="1">IFERROR(__xludf.DUMMYFUNCTION("IFERROR(VALUE(REGEXEXTRACT(TO_TEXT($F1173), R$1 &amp; ""x(\d+)"")), """")"),"")</f>
        <v/>
      </c>
      <c r="S1173" s="9" t="str">
        <f ca="1">IFERROR(__xludf.DUMMYFUNCTION("IFERROR(VALUE(REGEXEXTRACT(TO_TEXT($F1173), S$1 &amp; ""x(\d+)"")), """")"),"")</f>
        <v/>
      </c>
      <c r="T1173" s="9" t="str">
        <f ca="1">IFERROR(__xludf.DUMMYFUNCTION("IFERROR(VALUE(REGEXEXTRACT(TO_TEXT($F1173), T$1 &amp; ""x(\d+)"")), """")"),"")</f>
        <v/>
      </c>
      <c r="U1173" s="9" t="str">
        <f ca="1">IFERROR(__xludf.DUMMYFUNCTION("IFERROR(VALUE(REGEXEXTRACT(TO_TEXT($F1173), U$1 &amp; ""x(\d+)"")), """")"),"")</f>
        <v/>
      </c>
      <c r="V1173" s="9" t="str">
        <f ca="1">IFERROR(__xludf.DUMMYFUNCTION("IFERROR(VALUE(REGEXEXTRACT(TO_TEXT($F1173), V$1 &amp; ""x(\d+)"")), """")"),"")</f>
        <v/>
      </c>
      <c r="W1173" s="9"/>
      <c r="X1173" s="9"/>
      <c r="Y1173" s="9"/>
      <c r="Z1173" s="9"/>
    </row>
    <row r="1174" spans="1:26" ht="15.75" customHeight="1">
      <c r="A1174" s="9" t="s">
        <v>2227</v>
      </c>
      <c r="B1174" s="9" t="s">
        <v>2228</v>
      </c>
      <c r="C1174" s="9" t="s">
        <v>927</v>
      </c>
      <c r="D1174" s="9" t="s">
        <v>48</v>
      </c>
      <c r="E1174" s="9" t="s">
        <v>12</v>
      </c>
      <c r="F1174" s="9" t="s">
        <v>2230</v>
      </c>
      <c r="G1174" s="9">
        <v>185</v>
      </c>
      <c r="H1174" s="9">
        <v>3</v>
      </c>
      <c r="I1174" s="9">
        <v>1.0149999999999999</v>
      </c>
      <c r="J1174" s="9">
        <v>52</v>
      </c>
      <c r="K1174" s="9" t="s">
        <v>424</v>
      </c>
      <c r="L1174" s="9"/>
      <c r="M1174" s="9"/>
      <c r="N1174" s="9" t="str">
        <f ca="1">IFERROR(__xludf.DUMMYFUNCTION("IFERROR(VALUE(REGEXEXTRACT(TO_TEXT($F1174), N$1 &amp; ""x(\d+)"")), """")
"),"")</f>
        <v/>
      </c>
      <c r="O1174" s="9">
        <f ca="1">IFERROR(__xludf.DUMMYFUNCTION("IFERROR(VALUE(REGEXEXTRACT(TO_TEXT($F1174), O$1 &amp; ""x(\d+)"")), """")"),1)</f>
        <v>1</v>
      </c>
      <c r="P1174" s="9">
        <f ca="1">IFERROR(__xludf.DUMMYFUNCTION("IFERROR(VALUE(REGEXEXTRACT(TO_TEXT($F1174), P$1 &amp; ""x(\d+)"")), """")"),1)</f>
        <v>1</v>
      </c>
      <c r="Q1174" s="9" t="str">
        <f ca="1">IFERROR(__xludf.DUMMYFUNCTION("IFERROR(VALUE(REGEXEXTRACT(TO_TEXT($F1174), Q$1 &amp; ""x(\d+)"")), """")"),"")</f>
        <v/>
      </c>
      <c r="R1174" s="9" t="str">
        <f ca="1">IFERROR(__xludf.DUMMYFUNCTION("IFERROR(VALUE(REGEXEXTRACT(TO_TEXT($F1174), R$1 &amp; ""x(\d+)"")), """")"),"")</f>
        <v/>
      </c>
      <c r="S1174" s="9" t="str">
        <f ca="1">IFERROR(__xludf.DUMMYFUNCTION("IFERROR(VALUE(REGEXEXTRACT(TO_TEXT($F1174), S$1 &amp; ""x(\d+)"")), """")"),"")</f>
        <v/>
      </c>
      <c r="T1174" s="9" t="str">
        <f ca="1">IFERROR(__xludf.DUMMYFUNCTION("IFERROR(VALUE(REGEXEXTRACT(TO_TEXT($F1174), T$1 &amp; ""x(\d+)"")), """")"),"")</f>
        <v/>
      </c>
      <c r="U1174" s="9" t="str">
        <f ca="1">IFERROR(__xludf.DUMMYFUNCTION("IFERROR(VALUE(REGEXEXTRACT(TO_TEXT($F1174), U$1 &amp; ""x(\d+)"")), """")"),"")</f>
        <v/>
      </c>
      <c r="V1174" s="9" t="str">
        <f ca="1">IFERROR(__xludf.DUMMYFUNCTION("IFERROR(VALUE(REGEXEXTRACT(TO_TEXT($F1174), V$1 &amp; ""x(\d+)"")), """")"),"")</f>
        <v/>
      </c>
      <c r="W1174" s="9"/>
      <c r="X1174" s="9"/>
      <c r="Y1174" s="9"/>
      <c r="Z1174" s="9"/>
    </row>
    <row r="1175" spans="1:26" ht="15.75" customHeight="1">
      <c r="A1175" s="9" t="s">
        <v>2227</v>
      </c>
      <c r="B1175" s="9" t="s">
        <v>2228</v>
      </c>
      <c r="C1175" s="9" t="s">
        <v>927</v>
      </c>
      <c r="D1175" s="9" t="s">
        <v>48</v>
      </c>
      <c r="E1175" s="9" t="s">
        <v>13</v>
      </c>
      <c r="F1175" s="9" t="s">
        <v>1719</v>
      </c>
      <c r="G1175" s="9">
        <v>90</v>
      </c>
      <c r="H1175" s="9">
        <v>3</v>
      </c>
      <c r="I1175" s="9">
        <v>1.0149999999999999</v>
      </c>
      <c r="J1175" s="9">
        <v>52</v>
      </c>
      <c r="K1175" s="9" t="s">
        <v>424</v>
      </c>
      <c r="L1175" s="9"/>
      <c r="M1175" s="9"/>
      <c r="N1175" s="9" t="str">
        <f ca="1">IFERROR(__xludf.DUMMYFUNCTION("IFERROR(VALUE(REGEXEXTRACT(TO_TEXT($F1175), N$1 &amp; ""x(\d+)"")), """")
"),"")</f>
        <v/>
      </c>
      <c r="O1175" s="9">
        <f ca="1">IFERROR(__xludf.DUMMYFUNCTION("IFERROR(VALUE(REGEXEXTRACT(TO_TEXT($F1175), O$1 &amp; ""x(\d+)"")), """")"),1)</f>
        <v>1</v>
      </c>
      <c r="P1175" s="9">
        <f ca="1">IFERROR(__xludf.DUMMYFUNCTION("IFERROR(VALUE(REGEXEXTRACT(TO_TEXT($F1175), P$1 &amp; ""x(\d+)"")), """")"),1)</f>
        <v>1</v>
      </c>
      <c r="Q1175" s="9" t="str">
        <f ca="1">IFERROR(__xludf.DUMMYFUNCTION("IFERROR(VALUE(REGEXEXTRACT(TO_TEXT($F1175), Q$1 &amp; ""x(\d+)"")), """")"),"")</f>
        <v/>
      </c>
      <c r="R1175" s="9" t="str">
        <f ca="1">IFERROR(__xludf.DUMMYFUNCTION("IFERROR(VALUE(REGEXEXTRACT(TO_TEXT($F1175), R$1 &amp; ""x(\d+)"")), """")"),"")</f>
        <v/>
      </c>
      <c r="S1175" s="9" t="str">
        <f ca="1">IFERROR(__xludf.DUMMYFUNCTION("IFERROR(VALUE(REGEXEXTRACT(TO_TEXT($F1175), S$1 &amp; ""x(\d+)"")), """")"),"")</f>
        <v/>
      </c>
      <c r="T1175" s="9" t="str">
        <f ca="1">IFERROR(__xludf.DUMMYFUNCTION("IFERROR(VALUE(REGEXEXTRACT(TO_TEXT($F1175), T$1 &amp; ""x(\d+)"")), """")"),"")</f>
        <v/>
      </c>
      <c r="U1175" s="9" t="str">
        <f ca="1">IFERROR(__xludf.DUMMYFUNCTION("IFERROR(VALUE(REGEXEXTRACT(TO_TEXT($F1175), U$1 &amp; ""x(\d+)"")), """")"),"")</f>
        <v/>
      </c>
      <c r="V1175" s="9" t="str">
        <f ca="1">IFERROR(__xludf.DUMMYFUNCTION("IFERROR(VALUE(REGEXEXTRACT(TO_TEXT($F1175), V$1 &amp; ""x(\d+)"")), """")"),"")</f>
        <v/>
      </c>
      <c r="W1175" s="9"/>
      <c r="X1175" s="9"/>
      <c r="Y1175" s="9"/>
      <c r="Z1175" s="9"/>
    </row>
    <row r="1176" spans="1:26" ht="15.75" customHeight="1">
      <c r="A1176" s="9" t="s">
        <v>2231</v>
      </c>
      <c r="B1176" s="9" t="s">
        <v>2232</v>
      </c>
      <c r="C1176" s="9" t="s">
        <v>2233</v>
      </c>
      <c r="D1176" s="9" t="s">
        <v>33</v>
      </c>
      <c r="E1176" s="9" t="s">
        <v>11</v>
      </c>
      <c r="F1176" s="9" t="s">
        <v>1912</v>
      </c>
      <c r="G1176" s="9">
        <v>35</v>
      </c>
      <c r="H1176" s="9">
        <v>4</v>
      </c>
      <c r="I1176" s="9">
        <v>1.0149999999999999</v>
      </c>
      <c r="J1176" s="9">
        <v>70</v>
      </c>
      <c r="K1176" s="9" t="s">
        <v>424</v>
      </c>
      <c r="L1176" s="9"/>
      <c r="M1176" s="9"/>
      <c r="N1176" s="9" t="str">
        <f ca="1">IFERROR(__xludf.DUMMYFUNCTION("IFERROR(VALUE(REGEXEXTRACT(TO_TEXT($F1176), N$1 &amp; ""x(\d+)"")), """")
"),"")</f>
        <v/>
      </c>
      <c r="O1176" s="9" t="str">
        <f ca="1">IFERROR(__xludf.DUMMYFUNCTION("IFERROR(VALUE(REGEXEXTRACT(TO_TEXT($F1176), O$1 &amp; ""x(\d+)"")), """")"),"")</f>
        <v/>
      </c>
      <c r="P1176" s="9" t="str">
        <f ca="1">IFERROR(__xludf.DUMMYFUNCTION("IFERROR(VALUE(REGEXEXTRACT(TO_TEXT($F1176), P$1 &amp; ""x(\d+)"")), """")"),"")</f>
        <v/>
      </c>
      <c r="Q1176" s="9" t="str">
        <f ca="1">IFERROR(__xludf.DUMMYFUNCTION("IFERROR(VALUE(REGEXEXTRACT(TO_TEXT($F1176), Q$1 &amp; ""x(\d+)"")), """")"),"")</f>
        <v/>
      </c>
      <c r="R1176" s="9" t="str">
        <f ca="1">IFERROR(__xludf.DUMMYFUNCTION("IFERROR(VALUE(REGEXEXTRACT(TO_TEXT($F1176), R$1 &amp; ""x(\d+)"")), """")"),"")</f>
        <v/>
      </c>
      <c r="S1176" s="9" t="str">
        <f ca="1">IFERROR(__xludf.DUMMYFUNCTION("IFERROR(VALUE(REGEXEXTRACT(TO_TEXT($F1176), S$1 &amp; ""x(\d+)"")), """")"),"")</f>
        <v/>
      </c>
      <c r="T1176" s="9" t="str">
        <f ca="1">IFERROR(__xludf.DUMMYFUNCTION("IFERROR(VALUE(REGEXEXTRACT(TO_TEXT($F1176), T$1 &amp; ""x(\d+)"")), """")"),"")</f>
        <v/>
      </c>
      <c r="U1176" s="9" t="str">
        <f ca="1">IFERROR(__xludf.DUMMYFUNCTION("IFERROR(VALUE(REGEXEXTRACT(TO_TEXT($F1176), U$1 &amp; ""x(\d+)"")), """")"),"")</f>
        <v/>
      </c>
      <c r="V1176" s="9" t="str">
        <f ca="1">IFERROR(__xludf.DUMMYFUNCTION("IFERROR(VALUE(REGEXEXTRACT(TO_TEXT($F1176), V$1 &amp; ""x(\d+)"")), """")"),"")</f>
        <v/>
      </c>
      <c r="W1176" s="9"/>
      <c r="X1176" s="9"/>
      <c r="Y1176" s="9"/>
      <c r="Z1176" s="9"/>
    </row>
    <row r="1177" spans="1:26" ht="15.75" customHeight="1">
      <c r="A1177" s="9" t="s">
        <v>2231</v>
      </c>
      <c r="B1177" s="9" t="s">
        <v>2232</v>
      </c>
      <c r="C1177" s="9" t="s">
        <v>2233</v>
      </c>
      <c r="D1177" s="9" t="s">
        <v>33</v>
      </c>
      <c r="E1177" s="9" t="s">
        <v>12</v>
      </c>
      <c r="F1177" s="9" t="s">
        <v>1913</v>
      </c>
      <c r="G1177" s="9">
        <v>125</v>
      </c>
      <c r="H1177" s="9">
        <v>4</v>
      </c>
      <c r="I1177" s="9">
        <v>1.0149999999999999</v>
      </c>
      <c r="J1177" s="9">
        <v>70</v>
      </c>
      <c r="K1177" s="9" t="s">
        <v>424</v>
      </c>
      <c r="L1177" s="9"/>
      <c r="M1177" s="9"/>
      <c r="N1177" s="9" t="str">
        <f ca="1">IFERROR(__xludf.DUMMYFUNCTION("IFERROR(VALUE(REGEXEXTRACT(TO_TEXT($F1177), N$1 &amp; ""x(\d+)"")), """")
"),"")</f>
        <v/>
      </c>
      <c r="O1177" s="9">
        <f ca="1">IFERROR(__xludf.DUMMYFUNCTION("IFERROR(VALUE(REGEXEXTRACT(TO_TEXT($F1177), O$1 &amp; ""x(\d+)"")), """")"),1)</f>
        <v>1</v>
      </c>
      <c r="P1177" s="9" t="str">
        <f ca="1">IFERROR(__xludf.DUMMYFUNCTION("IFERROR(VALUE(REGEXEXTRACT(TO_TEXT($F1177), P$1 &amp; ""x(\d+)"")), """")"),"")</f>
        <v/>
      </c>
      <c r="Q1177" s="9" t="str">
        <f ca="1">IFERROR(__xludf.DUMMYFUNCTION("IFERROR(VALUE(REGEXEXTRACT(TO_TEXT($F1177), Q$1 &amp; ""x(\d+)"")), """")"),"")</f>
        <v/>
      </c>
      <c r="R1177" s="9" t="str">
        <f ca="1">IFERROR(__xludf.DUMMYFUNCTION("IFERROR(VALUE(REGEXEXTRACT(TO_TEXT($F1177), R$1 &amp; ""x(\d+)"")), """")"),"")</f>
        <v/>
      </c>
      <c r="S1177" s="9" t="str">
        <f ca="1">IFERROR(__xludf.DUMMYFUNCTION("IFERROR(VALUE(REGEXEXTRACT(TO_TEXT($F1177), S$1 &amp; ""x(\d+)"")), """")"),"")</f>
        <v/>
      </c>
      <c r="T1177" s="9" t="str">
        <f ca="1">IFERROR(__xludf.DUMMYFUNCTION("IFERROR(VALUE(REGEXEXTRACT(TO_TEXT($F1177), T$1 &amp; ""x(\d+)"")), """")"),"")</f>
        <v/>
      </c>
      <c r="U1177" s="9" t="str">
        <f ca="1">IFERROR(__xludf.DUMMYFUNCTION("IFERROR(VALUE(REGEXEXTRACT(TO_TEXT($F1177), U$1 &amp; ""x(\d+)"")), """")"),"")</f>
        <v/>
      </c>
      <c r="V1177" s="9" t="str">
        <f ca="1">IFERROR(__xludf.DUMMYFUNCTION("IFERROR(VALUE(REGEXEXTRACT(TO_TEXT($F1177), V$1 &amp; ""x(\d+)"")), """")"),"")</f>
        <v/>
      </c>
      <c r="W1177" s="9"/>
      <c r="X1177" s="9"/>
      <c r="Y1177" s="9"/>
      <c r="Z1177" s="9"/>
    </row>
    <row r="1178" spans="1:26" ht="15.75" customHeight="1">
      <c r="A1178" s="9" t="s">
        <v>2231</v>
      </c>
      <c r="B1178" s="9" t="s">
        <v>2232</v>
      </c>
      <c r="C1178" s="9" t="s">
        <v>2233</v>
      </c>
      <c r="D1178" s="9" t="s">
        <v>33</v>
      </c>
      <c r="E1178" s="9" t="s">
        <v>13</v>
      </c>
      <c r="F1178" s="9" t="s">
        <v>1914</v>
      </c>
      <c r="G1178" s="9">
        <v>15</v>
      </c>
      <c r="H1178" s="9">
        <v>4</v>
      </c>
      <c r="I1178" s="9">
        <v>1.0149999999999999</v>
      </c>
      <c r="J1178" s="9">
        <v>70</v>
      </c>
      <c r="K1178" s="9" t="s">
        <v>424</v>
      </c>
      <c r="L1178" s="9"/>
      <c r="M1178" s="9"/>
      <c r="N1178" s="9" t="str">
        <f ca="1">IFERROR(__xludf.DUMMYFUNCTION("IFERROR(VALUE(REGEXEXTRACT(TO_TEXT($F1178), N$1 &amp; ""x(\d+)"")), """")
"),"")</f>
        <v/>
      </c>
      <c r="O1178" s="9">
        <f ca="1">IFERROR(__xludf.DUMMYFUNCTION("IFERROR(VALUE(REGEXEXTRACT(TO_TEXT($F1178), O$1 &amp; ""x(\d+)"")), """")"),1)</f>
        <v>1</v>
      </c>
      <c r="P1178" s="9" t="str">
        <f ca="1">IFERROR(__xludf.DUMMYFUNCTION("IFERROR(VALUE(REGEXEXTRACT(TO_TEXT($F1178), P$1 &amp; ""x(\d+)"")), """")"),"")</f>
        <v/>
      </c>
      <c r="Q1178" s="9" t="str">
        <f ca="1">IFERROR(__xludf.DUMMYFUNCTION("IFERROR(VALUE(REGEXEXTRACT(TO_TEXT($F1178), Q$1 &amp; ""x(\d+)"")), """")"),"")</f>
        <v/>
      </c>
      <c r="R1178" s="9" t="str">
        <f ca="1">IFERROR(__xludf.DUMMYFUNCTION("IFERROR(VALUE(REGEXEXTRACT(TO_TEXT($F1178), R$1 &amp; ""x(\d+)"")), """")"),"")</f>
        <v/>
      </c>
      <c r="S1178" s="9" t="str">
        <f ca="1">IFERROR(__xludf.DUMMYFUNCTION("IFERROR(VALUE(REGEXEXTRACT(TO_TEXT($F1178), S$1 &amp; ""x(\d+)"")), """")"),"")</f>
        <v/>
      </c>
      <c r="T1178" s="9" t="str">
        <f ca="1">IFERROR(__xludf.DUMMYFUNCTION("IFERROR(VALUE(REGEXEXTRACT(TO_TEXT($F1178), T$1 &amp; ""x(\d+)"")), """")"),"")</f>
        <v/>
      </c>
      <c r="U1178" s="9" t="str">
        <f ca="1">IFERROR(__xludf.DUMMYFUNCTION("IFERROR(VALUE(REGEXEXTRACT(TO_TEXT($F1178), U$1 &amp; ""x(\d+)"")), """")"),"")</f>
        <v/>
      </c>
      <c r="V1178" s="9" t="str">
        <f ca="1">IFERROR(__xludf.DUMMYFUNCTION("IFERROR(VALUE(REGEXEXTRACT(TO_TEXT($F1178), V$1 &amp; ""x(\d+)"")), """")"),"")</f>
        <v/>
      </c>
      <c r="W1178" s="9"/>
      <c r="X1178" s="9"/>
      <c r="Y1178" s="9"/>
      <c r="Z1178" s="9"/>
    </row>
    <row r="1179" spans="1:26" ht="15.75" customHeight="1">
      <c r="A1179" s="9" t="s">
        <v>2234</v>
      </c>
      <c r="B1179" s="9" t="s">
        <v>2235</v>
      </c>
      <c r="C1179" s="9" t="s">
        <v>2236</v>
      </c>
      <c r="D1179" s="9" t="s">
        <v>33</v>
      </c>
      <c r="E1179" s="9" t="s">
        <v>12</v>
      </c>
      <c r="F1179" s="9" t="s">
        <v>1148</v>
      </c>
      <c r="G1179" s="9">
        <v>60</v>
      </c>
      <c r="H1179" s="9">
        <v>2</v>
      </c>
      <c r="I1179" s="9">
        <v>1.0149999999999999</v>
      </c>
      <c r="J1179" s="9">
        <v>110</v>
      </c>
      <c r="K1179" s="9" t="s">
        <v>442</v>
      </c>
      <c r="L1179" s="9"/>
      <c r="M1179" s="9"/>
      <c r="N1179" s="9" t="str">
        <f ca="1">IFERROR(__xludf.DUMMYFUNCTION("IFERROR(VALUE(REGEXEXTRACT(TO_TEXT($F1179), N$1 &amp; ""x(\d+)"")), """")
"),"")</f>
        <v/>
      </c>
      <c r="O1179" s="9">
        <f ca="1">IFERROR(__xludf.DUMMYFUNCTION("IFERROR(VALUE(REGEXEXTRACT(TO_TEXT($F1179), O$1 &amp; ""x(\d+)"")), """")"),1)</f>
        <v>1</v>
      </c>
      <c r="P1179" s="9" t="str">
        <f ca="1">IFERROR(__xludf.DUMMYFUNCTION("IFERROR(VALUE(REGEXEXTRACT(TO_TEXT($F1179), P$1 &amp; ""x(\d+)"")), """")"),"")</f>
        <v/>
      </c>
      <c r="Q1179" s="9" t="str">
        <f ca="1">IFERROR(__xludf.DUMMYFUNCTION("IFERROR(VALUE(REGEXEXTRACT(TO_TEXT($F1179), Q$1 &amp; ""x(\d+)"")), """")"),"")</f>
        <v/>
      </c>
      <c r="R1179" s="9" t="str">
        <f ca="1">IFERROR(__xludf.DUMMYFUNCTION("IFERROR(VALUE(REGEXEXTRACT(TO_TEXT($F1179), R$1 &amp; ""x(\d+)"")), """")"),"")</f>
        <v/>
      </c>
      <c r="S1179" s="9" t="str">
        <f ca="1">IFERROR(__xludf.DUMMYFUNCTION("IFERROR(VALUE(REGEXEXTRACT(TO_TEXT($F1179), S$1 &amp; ""x(\d+)"")), """")"),"")</f>
        <v/>
      </c>
      <c r="T1179" s="9" t="str">
        <f ca="1">IFERROR(__xludf.DUMMYFUNCTION("IFERROR(VALUE(REGEXEXTRACT(TO_TEXT($F1179), T$1 &amp; ""x(\d+)"")), """")"),"")</f>
        <v/>
      </c>
      <c r="U1179" s="9" t="str">
        <f ca="1">IFERROR(__xludf.DUMMYFUNCTION("IFERROR(VALUE(REGEXEXTRACT(TO_TEXT($F1179), U$1 &amp; ""x(\d+)"")), """")"),"")</f>
        <v/>
      </c>
      <c r="V1179" s="9" t="str">
        <f ca="1">IFERROR(__xludf.DUMMYFUNCTION("IFERROR(VALUE(REGEXEXTRACT(TO_TEXT($F1179), V$1 &amp; ""x(\d+)"")), """")"),"")</f>
        <v/>
      </c>
      <c r="W1179" s="9"/>
      <c r="X1179" s="9"/>
      <c r="Y1179" s="9"/>
      <c r="Z1179" s="9"/>
    </row>
    <row r="1180" spans="1:26" ht="15.75" customHeight="1">
      <c r="A1180" s="9" t="s">
        <v>2234</v>
      </c>
      <c r="B1180" s="9" t="s">
        <v>2235</v>
      </c>
      <c r="C1180" s="9" t="s">
        <v>2236</v>
      </c>
      <c r="D1180" s="9" t="s">
        <v>33</v>
      </c>
      <c r="E1180" s="9" t="s">
        <v>13</v>
      </c>
      <c r="F1180" s="9" t="s">
        <v>1149</v>
      </c>
      <c r="G1180" s="9">
        <v>15</v>
      </c>
      <c r="H1180" s="9">
        <v>2</v>
      </c>
      <c r="I1180" s="9">
        <v>1.0149999999999999</v>
      </c>
      <c r="J1180" s="9">
        <v>110</v>
      </c>
      <c r="K1180" s="9" t="s">
        <v>442</v>
      </c>
      <c r="L1180" s="9"/>
      <c r="M1180" s="9"/>
      <c r="N1180" s="9" t="str">
        <f ca="1">IFERROR(__xludf.DUMMYFUNCTION("IFERROR(VALUE(REGEXEXTRACT(TO_TEXT($F1180), N$1 &amp; ""x(\d+)"")), """")
"),"")</f>
        <v/>
      </c>
      <c r="O1180" s="9">
        <f ca="1">IFERROR(__xludf.DUMMYFUNCTION("IFERROR(VALUE(REGEXEXTRACT(TO_TEXT($F1180), O$1 &amp; ""x(\d+)"")), """")"),1)</f>
        <v>1</v>
      </c>
      <c r="P1180" s="9" t="str">
        <f ca="1">IFERROR(__xludf.DUMMYFUNCTION("IFERROR(VALUE(REGEXEXTRACT(TO_TEXT($F1180), P$1 &amp; ""x(\d+)"")), """")"),"")</f>
        <v/>
      </c>
      <c r="Q1180" s="9" t="str">
        <f ca="1">IFERROR(__xludf.DUMMYFUNCTION("IFERROR(VALUE(REGEXEXTRACT(TO_TEXT($F1180), Q$1 &amp; ""x(\d+)"")), """")"),"")</f>
        <v/>
      </c>
      <c r="R1180" s="9" t="str">
        <f ca="1">IFERROR(__xludf.DUMMYFUNCTION("IFERROR(VALUE(REGEXEXTRACT(TO_TEXT($F1180), R$1 &amp; ""x(\d+)"")), """")"),"")</f>
        <v/>
      </c>
      <c r="S1180" s="9" t="str">
        <f ca="1">IFERROR(__xludf.DUMMYFUNCTION("IFERROR(VALUE(REGEXEXTRACT(TO_TEXT($F1180), S$1 &amp; ""x(\d+)"")), """")"),"")</f>
        <v/>
      </c>
      <c r="T1180" s="9" t="str">
        <f ca="1">IFERROR(__xludf.DUMMYFUNCTION("IFERROR(VALUE(REGEXEXTRACT(TO_TEXT($F1180), T$1 &amp; ""x(\d+)"")), """")"),"")</f>
        <v/>
      </c>
      <c r="U1180" s="9" t="str">
        <f ca="1">IFERROR(__xludf.DUMMYFUNCTION("IFERROR(VALUE(REGEXEXTRACT(TO_TEXT($F1180), U$1 &amp; ""x(\d+)"")), """")"),"")</f>
        <v/>
      </c>
      <c r="V1180" s="9" t="str">
        <f ca="1">IFERROR(__xludf.DUMMYFUNCTION("IFERROR(VALUE(REGEXEXTRACT(TO_TEXT($F1180), V$1 &amp; ""x(\d+)"")), """")"),"")</f>
        <v/>
      </c>
      <c r="W1180" s="9"/>
      <c r="X1180" s="9"/>
      <c r="Y1180" s="9"/>
      <c r="Z1180" s="9"/>
    </row>
    <row r="1181" spans="1:26" ht="15.75" customHeight="1">
      <c r="A1181" s="9" t="s">
        <v>2237</v>
      </c>
      <c r="B1181" s="9" t="s">
        <v>2238</v>
      </c>
      <c r="C1181" s="9" t="s">
        <v>2239</v>
      </c>
      <c r="D1181" s="9" t="s">
        <v>33</v>
      </c>
      <c r="E1181" s="9" t="s">
        <v>11</v>
      </c>
      <c r="F1181" s="9" t="s">
        <v>2132</v>
      </c>
      <c r="G1181" s="9">
        <v>20</v>
      </c>
      <c r="H1181" s="9">
        <v>3</v>
      </c>
      <c r="I1181" s="9">
        <v>1.0149999999999999</v>
      </c>
      <c r="J1181" s="9">
        <v>110</v>
      </c>
      <c r="K1181" s="9" t="s">
        <v>442</v>
      </c>
      <c r="L1181" s="9"/>
      <c r="M1181" s="9"/>
      <c r="N1181" s="9" t="str">
        <f ca="1">IFERROR(__xludf.DUMMYFUNCTION("IFERROR(VALUE(REGEXEXTRACT(TO_TEXT($F1181), N$1 &amp; ""x(\d+)"")), """")
"),"")</f>
        <v/>
      </c>
      <c r="O1181" s="9" t="str">
        <f ca="1">IFERROR(__xludf.DUMMYFUNCTION("IFERROR(VALUE(REGEXEXTRACT(TO_TEXT($F1181), O$1 &amp; ""x(\d+)"")), """")"),"")</f>
        <v/>
      </c>
      <c r="P1181" s="9" t="str">
        <f ca="1">IFERROR(__xludf.DUMMYFUNCTION("IFERROR(VALUE(REGEXEXTRACT(TO_TEXT($F1181), P$1 &amp; ""x(\d+)"")), """")"),"")</f>
        <v/>
      </c>
      <c r="Q1181" s="9" t="str">
        <f ca="1">IFERROR(__xludf.DUMMYFUNCTION("IFERROR(VALUE(REGEXEXTRACT(TO_TEXT($F1181), Q$1 &amp; ""x(\d+)"")), """")"),"")</f>
        <v/>
      </c>
      <c r="R1181" s="9" t="str">
        <f ca="1">IFERROR(__xludf.DUMMYFUNCTION("IFERROR(VALUE(REGEXEXTRACT(TO_TEXT($F1181), R$1 &amp; ""x(\d+)"")), """")"),"")</f>
        <v/>
      </c>
      <c r="S1181" s="9" t="str">
        <f ca="1">IFERROR(__xludf.DUMMYFUNCTION("IFERROR(VALUE(REGEXEXTRACT(TO_TEXT($F1181), S$1 &amp; ""x(\d+)"")), """")"),"")</f>
        <v/>
      </c>
      <c r="T1181" s="9" t="str">
        <f ca="1">IFERROR(__xludf.DUMMYFUNCTION("IFERROR(VALUE(REGEXEXTRACT(TO_TEXT($F1181), T$1 &amp; ""x(\d+)"")), """")"),"")</f>
        <v/>
      </c>
      <c r="U1181" s="9" t="str">
        <f ca="1">IFERROR(__xludf.DUMMYFUNCTION("IFERROR(VALUE(REGEXEXTRACT(TO_TEXT($F1181), U$1 &amp; ""x(\d+)"")), """")"),"")</f>
        <v/>
      </c>
      <c r="V1181" s="9" t="str">
        <f ca="1">IFERROR(__xludf.DUMMYFUNCTION("IFERROR(VALUE(REGEXEXTRACT(TO_TEXT($F1181), V$1 &amp; ""x(\d+)"")), """")"),"")</f>
        <v/>
      </c>
      <c r="W1181" s="9"/>
      <c r="X1181" s="9"/>
      <c r="Y1181" s="9"/>
      <c r="Z1181" s="9"/>
    </row>
    <row r="1182" spans="1:26" ht="15.75" customHeight="1">
      <c r="A1182" s="9" t="s">
        <v>2237</v>
      </c>
      <c r="B1182" s="9" t="s">
        <v>2238</v>
      </c>
      <c r="C1182" s="9" t="s">
        <v>2239</v>
      </c>
      <c r="D1182" s="9" t="s">
        <v>33</v>
      </c>
      <c r="E1182" s="9" t="s">
        <v>12</v>
      </c>
      <c r="F1182" s="9" t="s">
        <v>2240</v>
      </c>
      <c r="G1182" s="9">
        <v>115</v>
      </c>
      <c r="H1182" s="9">
        <v>3</v>
      </c>
      <c r="I1182" s="9">
        <v>1.0149999999999999</v>
      </c>
      <c r="J1182" s="9">
        <v>110</v>
      </c>
      <c r="K1182" s="9" t="s">
        <v>442</v>
      </c>
      <c r="L1182" s="9"/>
      <c r="M1182" s="9"/>
      <c r="N1182" s="9" t="str">
        <f ca="1">IFERROR(__xludf.DUMMYFUNCTION("IFERROR(VALUE(REGEXEXTRACT(TO_TEXT($F1182), N$1 &amp; ""x(\d+)"")), """")
"),"")</f>
        <v/>
      </c>
      <c r="O1182" s="9">
        <f ca="1">IFERROR(__xludf.DUMMYFUNCTION("IFERROR(VALUE(REGEXEXTRACT(TO_TEXT($F1182), O$1 &amp; ""x(\d+)"")), """")"),1)</f>
        <v>1</v>
      </c>
      <c r="P1182" s="9" t="str">
        <f ca="1">IFERROR(__xludf.DUMMYFUNCTION("IFERROR(VALUE(REGEXEXTRACT(TO_TEXT($F1182), P$1 &amp; ""x(\d+)"")), """")"),"")</f>
        <v/>
      </c>
      <c r="Q1182" s="9" t="str">
        <f ca="1">IFERROR(__xludf.DUMMYFUNCTION("IFERROR(VALUE(REGEXEXTRACT(TO_TEXT($F1182), Q$1 &amp; ""x(\d+)"")), """")"),"")</f>
        <v/>
      </c>
      <c r="R1182" s="9" t="str">
        <f ca="1">IFERROR(__xludf.DUMMYFUNCTION("IFERROR(VALUE(REGEXEXTRACT(TO_TEXT($F1182), R$1 &amp; ""x(\d+)"")), """")"),"")</f>
        <v/>
      </c>
      <c r="S1182" s="9" t="str">
        <f ca="1">IFERROR(__xludf.DUMMYFUNCTION("IFERROR(VALUE(REGEXEXTRACT(TO_TEXT($F1182), S$1 &amp; ""x(\d+)"")), """")"),"")</f>
        <v/>
      </c>
      <c r="T1182" s="9" t="str">
        <f ca="1">IFERROR(__xludf.DUMMYFUNCTION("IFERROR(VALUE(REGEXEXTRACT(TO_TEXT($F1182), T$1 &amp; ""x(\d+)"")), """")"),"")</f>
        <v/>
      </c>
      <c r="U1182" s="9" t="str">
        <f ca="1">IFERROR(__xludf.DUMMYFUNCTION("IFERROR(VALUE(REGEXEXTRACT(TO_TEXT($F1182), U$1 &amp; ""x(\d+)"")), """")"),"")</f>
        <v/>
      </c>
      <c r="V1182" s="9" t="str">
        <f ca="1">IFERROR(__xludf.DUMMYFUNCTION("IFERROR(VALUE(REGEXEXTRACT(TO_TEXT($F1182), V$1 &amp; ""x(\d+)"")), """")"),"")</f>
        <v/>
      </c>
      <c r="W1182" s="9"/>
      <c r="X1182" s="9"/>
      <c r="Y1182" s="9"/>
      <c r="Z1182" s="9"/>
    </row>
    <row r="1183" spans="1:26" ht="15.75" customHeight="1">
      <c r="A1183" s="9" t="s">
        <v>2237</v>
      </c>
      <c r="B1183" s="9" t="s">
        <v>2238</v>
      </c>
      <c r="C1183" s="9" t="s">
        <v>2239</v>
      </c>
      <c r="D1183" s="9" t="s">
        <v>33</v>
      </c>
      <c r="E1183" s="9" t="s">
        <v>13</v>
      </c>
      <c r="F1183" s="9" t="s">
        <v>1050</v>
      </c>
      <c r="G1183" s="9">
        <v>20</v>
      </c>
      <c r="H1183" s="9">
        <v>3</v>
      </c>
      <c r="I1183" s="9">
        <v>1.0149999999999999</v>
      </c>
      <c r="J1183" s="9">
        <v>110</v>
      </c>
      <c r="K1183" s="9" t="s">
        <v>442</v>
      </c>
      <c r="L1183" s="9"/>
      <c r="M1183" s="9"/>
      <c r="N1183" s="9" t="str">
        <f ca="1">IFERROR(__xludf.DUMMYFUNCTION("IFERROR(VALUE(REGEXEXTRACT(TO_TEXT($F1183), N$1 &amp; ""x(\d+)"")), """")
"),"")</f>
        <v/>
      </c>
      <c r="O1183" s="9">
        <f ca="1">IFERROR(__xludf.DUMMYFUNCTION("IFERROR(VALUE(REGEXEXTRACT(TO_TEXT($F1183), O$1 &amp; ""x(\d+)"")), """")"),1)</f>
        <v>1</v>
      </c>
      <c r="P1183" s="9" t="str">
        <f ca="1">IFERROR(__xludf.DUMMYFUNCTION("IFERROR(VALUE(REGEXEXTRACT(TO_TEXT($F1183), P$1 &amp; ""x(\d+)"")), """")"),"")</f>
        <v/>
      </c>
      <c r="Q1183" s="9" t="str">
        <f ca="1">IFERROR(__xludf.DUMMYFUNCTION("IFERROR(VALUE(REGEXEXTRACT(TO_TEXT($F1183), Q$1 &amp; ""x(\d+)"")), """")"),"")</f>
        <v/>
      </c>
      <c r="R1183" s="9" t="str">
        <f ca="1">IFERROR(__xludf.DUMMYFUNCTION("IFERROR(VALUE(REGEXEXTRACT(TO_TEXT($F1183), R$1 &amp; ""x(\d+)"")), """")"),"")</f>
        <v/>
      </c>
      <c r="S1183" s="9" t="str">
        <f ca="1">IFERROR(__xludf.DUMMYFUNCTION("IFERROR(VALUE(REGEXEXTRACT(TO_TEXT($F1183), S$1 &amp; ""x(\d+)"")), """")"),"")</f>
        <v/>
      </c>
      <c r="T1183" s="9" t="str">
        <f ca="1">IFERROR(__xludf.DUMMYFUNCTION("IFERROR(VALUE(REGEXEXTRACT(TO_TEXT($F1183), T$1 &amp; ""x(\d+)"")), """")"),"")</f>
        <v/>
      </c>
      <c r="U1183" s="9" t="str">
        <f ca="1">IFERROR(__xludf.DUMMYFUNCTION("IFERROR(VALUE(REGEXEXTRACT(TO_TEXT($F1183), U$1 &amp; ""x(\d+)"")), """")"),"")</f>
        <v/>
      </c>
      <c r="V1183" s="9" t="str">
        <f ca="1">IFERROR(__xludf.DUMMYFUNCTION("IFERROR(VALUE(REGEXEXTRACT(TO_TEXT($F1183), V$1 &amp; ""x(\d+)"")), """")"),"")</f>
        <v/>
      </c>
      <c r="W1183" s="9"/>
      <c r="X1183" s="9"/>
      <c r="Y1183" s="9"/>
      <c r="Z1183" s="9"/>
    </row>
    <row r="1184" spans="1:26" ht="15.75" customHeight="1">
      <c r="A1184" s="9" t="s">
        <v>2237</v>
      </c>
      <c r="B1184" s="9" t="s">
        <v>2238</v>
      </c>
      <c r="C1184" s="9" t="s">
        <v>2239</v>
      </c>
      <c r="D1184" s="9" t="s">
        <v>40</v>
      </c>
      <c r="E1184" s="9" t="s">
        <v>11</v>
      </c>
      <c r="F1184" s="9" t="s">
        <v>2241</v>
      </c>
      <c r="G1184" s="9">
        <v>45</v>
      </c>
      <c r="H1184" s="9">
        <v>1</v>
      </c>
      <c r="I1184" s="9">
        <v>1.0149999999999999</v>
      </c>
      <c r="J1184" s="9">
        <v>410</v>
      </c>
      <c r="K1184" s="9" t="s">
        <v>442</v>
      </c>
      <c r="L1184" s="9"/>
      <c r="M1184" s="9"/>
      <c r="N1184" s="9" t="str">
        <f ca="1">IFERROR(__xludf.DUMMYFUNCTION("IFERROR(VALUE(REGEXEXTRACT(TO_TEXT($F1184), N$1 &amp; ""x(\d+)"")), """")
"),"")</f>
        <v/>
      </c>
      <c r="O1184" s="9">
        <f ca="1">IFERROR(__xludf.DUMMYFUNCTION("IFERROR(VALUE(REGEXEXTRACT(TO_TEXT($F1184), O$1 &amp; ""x(\d+)"")), """")"),1)</f>
        <v>1</v>
      </c>
      <c r="P1184" s="9" t="str">
        <f ca="1">IFERROR(__xludf.DUMMYFUNCTION("IFERROR(VALUE(REGEXEXTRACT(TO_TEXT($F1184), P$1 &amp; ""x(\d+)"")), """")"),"")</f>
        <v/>
      </c>
      <c r="Q1184" s="9" t="str">
        <f ca="1">IFERROR(__xludf.DUMMYFUNCTION("IFERROR(VALUE(REGEXEXTRACT(TO_TEXT($F1184), Q$1 &amp; ""x(\d+)"")), """")"),"")</f>
        <v/>
      </c>
      <c r="R1184" s="9" t="str">
        <f ca="1">IFERROR(__xludf.DUMMYFUNCTION("IFERROR(VALUE(REGEXEXTRACT(TO_TEXT($F1184), R$1 &amp; ""x(\d+)"")), """")"),"")</f>
        <v/>
      </c>
      <c r="S1184" s="9" t="str">
        <f ca="1">IFERROR(__xludf.DUMMYFUNCTION("IFERROR(VALUE(REGEXEXTRACT(TO_TEXT($F1184), S$1 &amp; ""x(\d+)"")), """")"),"")</f>
        <v/>
      </c>
      <c r="T1184" s="9" t="str">
        <f ca="1">IFERROR(__xludf.DUMMYFUNCTION("IFERROR(VALUE(REGEXEXTRACT(TO_TEXT($F1184), T$1 &amp; ""x(\d+)"")), """")"),"")</f>
        <v/>
      </c>
      <c r="U1184" s="9" t="str">
        <f ca="1">IFERROR(__xludf.DUMMYFUNCTION("IFERROR(VALUE(REGEXEXTRACT(TO_TEXT($F1184), U$1 &amp; ""x(\d+)"")), """")"),"")</f>
        <v/>
      </c>
      <c r="V1184" s="9" t="str">
        <f ca="1">IFERROR(__xludf.DUMMYFUNCTION("IFERROR(VALUE(REGEXEXTRACT(TO_TEXT($F1184), V$1 &amp; ""x(\d+)"")), """")"),"")</f>
        <v/>
      </c>
      <c r="W1184" s="9"/>
      <c r="X1184" s="9"/>
      <c r="Y1184" s="9"/>
      <c r="Z1184" s="9"/>
    </row>
    <row r="1185" spans="1:26" ht="15.75" customHeight="1">
      <c r="A1185" s="9" t="s">
        <v>2237</v>
      </c>
      <c r="B1185" s="9" t="s">
        <v>2238</v>
      </c>
      <c r="C1185" s="9" t="s">
        <v>2239</v>
      </c>
      <c r="D1185" s="9" t="s">
        <v>40</v>
      </c>
      <c r="E1185" s="9" t="s">
        <v>12</v>
      </c>
      <c r="F1185" s="9" t="s">
        <v>2242</v>
      </c>
      <c r="G1185" s="9">
        <v>130</v>
      </c>
      <c r="H1185" s="9">
        <v>1</v>
      </c>
      <c r="I1185" s="9">
        <v>1.0149999999999999</v>
      </c>
      <c r="J1185" s="9">
        <v>410</v>
      </c>
      <c r="K1185" s="9" t="s">
        <v>442</v>
      </c>
      <c r="L1185" s="9" t="s">
        <v>1035</v>
      </c>
      <c r="M1185" s="9"/>
      <c r="N1185" s="9">
        <f ca="1">IFERROR(__xludf.DUMMYFUNCTION("IFERROR(VALUE(REGEXEXTRACT(TO_TEXT($F1185), N$1 &amp; ""x(\d+)"")), """")
"),1)</f>
        <v>1</v>
      </c>
      <c r="O1185" s="9" t="str">
        <f ca="1">IFERROR(__xludf.DUMMYFUNCTION("IFERROR(VALUE(REGEXEXTRACT(TO_TEXT($F1185), O$1 &amp; ""x(\d+)"")), """")"),"")</f>
        <v/>
      </c>
      <c r="P1185" s="9" t="str">
        <f ca="1">IFERROR(__xludf.DUMMYFUNCTION("IFERROR(VALUE(REGEXEXTRACT(TO_TEXT($F1185), P$1 &amp; ""x(\d+)"")), """")"),"")</f>
        <v/>
      </c>
      <c r="Q1185" s="9" t="str">
        <f ca="1">IFERROR(__xludf.DUMMYFUNCTION("IFERROR(VALUE(REGEXEXTRACT(TO_TEXT($F1185), Q$1 &amp; ""x(\d+)"")), """")"),"")</f>
        <v/>
      </c>
      <c r="R1185" s="9" t="str">
        <f ca="1">IFERROR(__xludf.DUMMYFUNCTION("IFERROR(VALUE(REGEXEXTRACT(TO_TEXT($F1185), R$1 &amp; ""x(\d+)"")), """")"),"")</f>
        <v/>
      </c>
      <c r="S1185" s="9">
        <f ca="1">IFERROR(__xludf.DUMMYFUNCTION("IFERROR(VALUE(REGEXEXTRACT(TO_TEXT($F1185), S$1 &amp; ""x(\d+)"")), """")"),1)</f>
        <v>1</v>
      </c>
      <c r="T1185" s="9" t="str">
        <f ca="1">IFERROR(__xludf.DUMMYFUNCTION("IFERROR(VALUE(REGEXEXTRACT(TO_TEXT($F1185), T$1 &amp; ""x(\d+)"")), """")"),"")</f>
        <v/>
      </c>
      <c r="U1185" s="9" t="str">
        <f ca="1">IFERROR(__xludf.DUMMYFUNCTION("IFERROR(VALUE(REGEXEXTRACT(TO_TEXT($F1185), U$1 &amp; ""x(\d+)"")), """")"),"")</f>
        <v/>
      </c>
      <c r="V1185" s="9" t="str">
        <f ca="1">IFERROR(__xludf.DUMMYFUNCTION("IFERROR(VALUE(REGEXEXTRACT(TO_TEXT($F1185), V$1 &amp; ""x(\d+)"")), """")"),"")</f>
        <v/>
      </c>
      <c r="W1185" s="9"/>
      <c r="X1185" s="9"/>
      <c r="Y1185" s="9"/>
      <c r="Z1185" s="9"/>
    </row>
    <row r="1186" spans="1:26" ht="15.75" customHeight="1">
      <c r="A1186" s="9" t="s">
        <v>2237</v>
      </c>
      <c r="B1186" s="9" t="s">
        <v>2238</v>
      </c>
      <c r="C1186" s="9" t="s">
        <v>2239</v>
      </c>
      <c r="D1186" s="9" t="s">
        <v>40</v>
      </c>
      <c r="E1186" s="9" t="s">
        <v>13</v>
      </c>
      <c r="F1186" s="9" t="s">
        <v>2243</v>
      </c>
      <c r="G1186" s="9">
        <v>45</v>
      </c>
      <c r="H1186" s="9">
        <v>1</v>
      </c>
      <c r="I1186" s="9">
        <v>1.0149999999999999</v>
      </c>
      <c r="J1186" s="9">
        <v>410</v>
      </c>
      <c r="K1186" s="9" t="s">
        <v>442</v>
      </c>
      <c r="L1186" s="9"/>
      <c r="M1186" s="9"/>
      <c r="N1186" s="9">
        <f ca="1">IFERROR(__xludf.DUMMYFUNCTION("IFERROR(VALUE(REGEXEXTRACT(TO_TEXT($F1186), N$1 &amp; ""x(\d+)"")), """")
"),1)</f>
        <v>1</v>
      </c>
      <c r="O1186" s="9">
        <f ca="1">IFERROR(__xludf.DUMMYFUNCTION("IFERROR(VALUE(REGEXEXTRACT(TO_TEXT($F1186), O$1 &amp; ""x(\d+)"")), """")"),1)</f>
        <v>1</v>
      </c>
      <c r="P1186" s="9" t="str">
        <f ca="1">IFERROR(__xludf.DUMMYFUNCTION("IFERROR(VALUE(REGEXEXTRACT(TO_TEXT($F1186), P$1 &amp; ""x(\d+)"")), """")"),"")</f>
        <v/>
      </c>
      <c r="Q1186" s="9" t="str">
        <f ca="1">IFERROR(__xludf.DUMMYFUNCTION("IFERROR(VALUE(REGEXEXTRACT(TO_TEXT($F1186), Q$1 &amp; ""x(\d+)"")), """")"),"")</f>
        <v/>
      </c>
      <c r="R1186" s="9" t="str">
        <f ca="1">IFERROR(__xludf.DUMMYFUNCTION("IFERROR(VALUE(REGEXEXTRACT(TO_TEXT($F1186), R$1 &amp; ""x(\d+)"")), """")"),"")</f>
        <v/>
      </c>
      <c r="S1186" s="9">
        <f ca="1">IFERROR(__xludf.DUMMYFUNCTION("IFERROR(VALUE(REGEXEXTRACT(TO_TEXT($F1186), S$1 &amp; ""x(\d+)"")), """")"),1)</f>
        <v>1</v>
      </c>
      <c r="T1186" s="9" t="str">
        <f ca="1">IFERROR(__xludf.DUMMYFUNCTION("IFERROR(VALUE(REGEXEXTRACT(TO_TEXT($F1186), T$1 &amp; ""x(\d+)"")), """")"),"")</f>
        <v/>
      </c>
      <c r="U1186" s="9" t="str">
        <f ca="1">IFERROR(__xludf.DUMMYFUNCTION("IFERROR(VALUE(REGEXEXTRACT(TO_TEXT($F1186), U$1 &amp; ""x(\d+)"")), """")"),"")</f>
        <v/>
      </c>
      <c r="V1186" s="9" t="str">
        <f ca="1">IFERROR(__xludf.DUMMYFUNCTION("IFERROR(VALUE(REGEXEXTRACT(TO_TEXT($F1186), V$1 &amp; ""x(\d+)"")), """")"),"")</f>
        <v/>
      </c>
      <c r="W1186" s="9"/>
      <c r="X1186" s="9"/>
      <c r="Y1186" s="9"/>
      <c r="Z1186" s="9"/>
    </row>
    <row r="1187" spans="1:26" ht="15.75" customHeight="1">
      <c r="A1187" s="9" t="s">
        <v>2244</v>
      </c>
      <c r="B1187" s="9" t="s">
        <v>2245</v>
      </c>
      <c r="C1187" s="9" t="s">
        <v>2246</v>
      </c>
      <c r="D1187" s="9" t="s">
        <v>33</v>
      </c>
      <c r="E1187" s="9" t="s">
        <v>11</v>
      </c>
      <c r="F1187" s="9" t="s">
        <v>2178</v>
      </c>
      <c r="G1187" s="9">
        <v>30</v>
      </c>
      <c r="H1187" s="9">
        <v>1</v>
      </c>
      <c r="I1187" s="9">
        <v>1.0149999999999999</v>
      </c>
      <c r="J1187" s="9">
        <v>110</v>
      </c>
      <c r="K1187" s="9" t="s">
        <v>442</v>
      </c>
      <c r="L1187" s="9"/>
      <c r="M1187" s="9"/>
      <c r="N1187" s="9" t="str">
        <f ca="1">IFERROR(__xludf.DUMMYFUNCTION("IFERROR(VALUE(REGEXEXTRACT(TO_TEXT($F1187), N$1 &amp; ""x(\d+)"")), """")
"),"")</f>
        <v/>
      </c>
      <c r="O1187" s="9" t="str">
        <f ca="1">IFERROR(__xludf.DUMMYFUNCTION("IFERROR(VALUE(REGEXEXTRACT(TO_TEXT($F1187), O$1 &amp; ""x(\d+)"")), """")"),"")</f>
        <v/>
      </c>
      <c r="P1187" s="9" t="str">
        <f ca="1">IFERROR(__xludf.DUMMYFUNCTION("IFERROR(VALUE(REGEXEXTRACT(TO_TEXT($F1187), P$1 &amp; ""x(\d+)"")), """")"),"")</f>
        <v/>
      </c>
      <c r="Q1187" s="9" t="str">
        <f ca="1">IFERROR(__xludf.DUMMYFUNCTION("IFERROR(VALUE(REGEXEXTRACT(TO_TEXT($F1187), Q$1 &amp; ""x(\d+)"")), """")"),"")</f>
        <v/>
      </c>
      <c r="R1187" s="9" t="str">
        <f ca="1">IFERROR(__xludf.DUMMYFUNCTION("IFERROR(VALUE(REGEXEXTRACT(TO_TEXT($F1187), R$1 &amp; ""x(\d+)"")), """")"),"")</f>
        <v/>
      </c>
      <c r="S1187" s="9" t="str">
        <f ca="1">IFERROR(__xludf.DUMMYFUNCTION("IFERROR(VALUE(REGEXEXTRACT(TO_TEXT($F1187), S$1 &amp; ""x(\d+)"")), """")"),"")</f>
        <v/>
      </c>
      <c r="T1187" s="9" t="str">
        <f ca="1">IFERROR(__xludf.DUMMYFUNCTION("IFERROR(VALUE(REGEXEXTRACT(TO_TEXT($F1187), T$1 &amp; ""x(\d+)"")), """")"),"")</f>
        <v/>
      </c>
      <c r="U1187" s="9" t="str">
        <f ca="1">IFERROR(__xludf.DUMMYFUNCTION("IFERROR(VALUE(REGEXEXTRACT(TO_TEXT($F1187), U$1 &amp; ""x(\d+)"")), """")"),"")</f>
        <v/>
      </c>
      <c r="V1187" s="9" t="str">
        <f ca="1">IFERROR(__xludf.DUMMYFUNCTION("IFERROR(VALUE(REGEXEXTRACT(TO_TEXT($F1187), V$1 &amp; ""x(\d+)"")), """")"),"")</f>
        <v/>
      </c>
      <c r="W1187" s="9"/>
      <c r="X1187" s="9"/>
      <c r="Y1187" s="9"/>
      <c r="Z1187" s="9"/>
    </row>
    <row r="1188" spans="1:26" ht="15.75" customHeight="1">
      <c r="A1188" s="9" t="s">
        <v>2244</v>
      </c>
      <c r="B1188" s="9" t="s">
        <v>2245</v>
      </c>
      <c r="C1188" s="9" t="s">
        <v>2246</v>
      </c>
      <c r="D1188" s="9" t="s">
        <v>33</v>
      </c>
      <c r="E1188" s="9" t="s">
        <v>12</v>
      </c>
      <c r="F1188" s="9" t="s">
        <v>2247</v>
      </c>
      <c r="G1188" s="9">
        <v>265</v>
      </c>
      <c r="H1188" s="9">
        <v>1</v>
      </c>
      <c r="I1188" s="9">
        <v>1.0149999999999999</v>
      </c>
      <c r="J1188" s="9">
        <v>110</v>
      </c>
      <c r="K1188" s="9" t="s">
        <v>442</v>
      </c>
      <c r="L1188" s="9"/>
      <c r="M1188" s="9"/>
      <c r="N1188" s="9" t="str">
        <f ca="1">IFERROR(__xludf.DUMMYFUNCTION("IFERROR(VALUE(REGEXEXTRACT(TO_TEXT($F1188), N$1 &amp; ""x(\d+)"")), """")
"),"")</f>
        <v/>
      </c>
      <c r="O1188" s="9">
        <f ca="1">IFERROR(__xludf.DUMMYFUNCTION("IFERROR(VALUE(REGEXEXTRACT(TO_TEXT($F1188), O$1 &amp; ""x(\d+)"")), """")"),1)</f>
        <v>1</v>
      </c>
      <c r="P1188" s="9" t="str">
        <f ca="1">IFERROR(__xludf.DUMMYFUNCTION("IFERROR(VALUE(REGEXEXTRACT(TO_TEXT($F1188), P$1 &amp; ""x(\d+)"")), """")"),"")</f>
        <v/>
      </c>
      <c r="Q1188" s="9" t="str">
        <f ca="1">IFERROR(__xludf.DUMMYFUNCTION("IFERROR(VALUE(REGEXEXTRACT(TO_TEXT($F1188), Q$1 &amp; ""x(\d+)"")), """")"),"")</f>
        <v/>
      </c>
      <c r="R1188" s="9">
        <f ca="1">IFERROR(__xludf.DUMMYFUNCTION("IFERROR(VALUE(REGEXEXTRACT(TO_TEXT($F1188), R$1 &amp; ""x(\d+)"")), """")"),1)</f>
        <v>1</v>
      </c>
      <c r="S1188" s="9" t="str">
        <f ca="1">IFERROR(__xludf.DUMMYFUNCTION("IFERROR(VALUE(REGEXEXTRACT(TO_TEXT($F1188), S$1 &amp; ""x(\d+)"")), """")"),"")</f>
        <v/>
      </c>
      <c r="T1188" s="9" t="str">
        <f ca="1">IFERROR(__xludf.DUMMYFUNCTION("IFERROR(VALUE(REGEXEXTRACT(TO_TEXT($F1188), T$1 &amp; ""x(\d+)"")), """")"),"")</f>
        <v/>
      </c>
      <c r="U1188" s="9" t="str">
        <f ca="1">IFERROR(__xludf.DUMMYFUNCTION("IFERROR(VALUE(REGEXEXTRACT(TO_TEXT($F1188), U$1 &amp; ""x(\d+)"")), """")"),"")</f>
        <v/>
      </c>
      <c r="V1188" s="9" t="str">
        <f ca="1">IFERROR(__xludf.DUMMYFUNCTION("IFERROR(VALUE(REGEXEXTRACT(TO_TEXT($F1188), V$1 &amp; ""x(\d+)"")), """")"),"")</f>
        <v/>
      </c>
      <c r="W1188" s="9"/>
      <c r="X1188" s="9"/>
      <c r="Y1188" s="9"/>
      <c r="Z1188" s="9"/>
    </row>
    <row r="1189" spans="1:26" ht="15.75" customHeight="1">
      <c r="A1189" s="9" t="s">
        <v>2244</v>
      </c>
      <c r="B1189" s="9" t="s">
        <v>2245</v>
      </c>
      <c r="C1189" s="9" t="s">
        <v>2246</v>
      </c>
      <c r="D1189" s="9" t="s">
        <v>33</v>
      </c>
      <c r="E1189" s="9" t="s">
        <v>13</v>
      </c>
      <c r="F1189" s="9" t="s">
        <v>2248</v>
      </c>
      <c r="G1189" s="9">
        <v>60</v>
      </c>
      <c r="H1189" s="9">
        <v>1</v>
      </c>
      <c r="I1189" s="9">
        <v>1.0149999999999999</v>
      </c>
      <c r="J1189" s="9">
        <v>110</v>
      </c>
      <c r="K1189" s="9" t="s">
        <v>442</v>
      </c>
      <c r="L1189" s="9"/>
      <c r="M1189" s="9"/>
      <c r="N1189" s="9" t="str">
        <f ca="1">IFERROR(__xludf.DUMMYFUNCTION("IFERROR(VALUE(REGEXEXTRACT(TO_TEXT($F1189), N$1 &amp; ""x(\d+)"")), """")
"),"")</f>
        <v/>
      </c>
      <c r="O1189" s="9">
        <f ca="1">IFERROR(__xludf.DUMMYFUNCTION("IFERROR(VALUE(REGEXEXTRACT(TO_TEXT($F1189), O$1 &amp; ""x(\d+)"")), """")"),1)</f>
        <v>1</v>
      </c>
      <c r="P1189" s="9" t="str">
        <f ca="1">IFERROR(__xludf.DUMMYFUNCTION("IFERROR(VALUE(REGEXEXTRACT(TO_TEXT($F1189), P$1 &amp; ""x(\d+)"")), """")"),"")</f>
        <v/>
      </c>
      <c r="Q1189" s="9" t="str">
        <f ca="1">IFERROR(__xludf.DUMMYFUNCTION("IFERROR(VALUE(REGEXEXTRACT(TO_TEXT($F1189), Q$1 &amp; ""x(\d+)"")), """")"),"")</f>
        <v/>
      </c>
      <c r="R1189" s="9">
        <f ca="1">IFERROR(__xludf.DUMMYFUNCTION("IFERROR(VALUE(REGEXEXTRACT(TO_TEXT($F1189), R$1 &amp; ""x(\d+)"")), """")"),1)</f>
        <v>1</v>
      </c>
      <c r="S1189" s="9" t="str">
        <f ca="1">IFERROR(__xludf.DUMMYFUNCTION("IFERROR(VALUE(REGEXEXTRACT(TO_TEXT($F1189), S$1 &amp; ""x(\d+)"")), """")"),"")</f>
        <v/>
      </c>
      <c r="T1189" s="9" t="str">
        <f ca="1">IFERROR(__xludf.DUMMYFUNCTION("IFERROR(VALUE(REGEXEXTRACT(TO_TEXT($F1189), T$1 &amp; ""x(\d+)"")), """")"),"")</f>
        <v/>
      </c>
      <c r="U1189" s="9" t="str">
        <f ca="1">IFERROR(__xludf.DUMMYFUNCTION("IFERROR(VALUE(REGEXEXTRACT(TO_TEXT($F1189), U$1 &amp; ""x(\d+)"")), """")"),"")</f>
        <v/>
      </c>
      <c r="V1189" s="9" t="str">
        <f ca="1">IFERROR(__xludf.DUMMYFUNCTION("IFERROR(VALUE(REGEXEXTRACT(TO_TEXT($F1189), V$1 &amp; ""x(\d+)"")), """")"),"")</f>
        <v/>
      </c>
      <c r="W1189" s="9"/>
      <c r="X1189" s="9"/>
      <c r="Y1189" s="9"/>
      <c r="Z1189" s="9"/>
    </row>
    <row r="1190" spans="1:26" ht="15.75" customHeight="1">
      <c r="A1190" s="9" t="s">
        <v>2249</v>
      </c>
      <c r="B1190" s="9" t="s">
        <v>2250</v>
      </c>
      <c r="C1190" s="9" t="s">
        <v>2251</v>
      </c>
      <c r="D1190" s="9" t="s">
        <v>33</v>
      </c>
      <c r="E1190" s="9" t="s">
        <v>11</v>
      </c>
      <c r="F1190" s="9" t="s">
        <v>1204</v>
      </c>
      <c r="G1190" s="9">
        <v>30</v>
      </c>
      <c r="H1190" s="9">
        <v>3</v>
      </c>
      <c r="I1190" s="9">
        <v>1.0149999999999999</v>
      </c>
      <c r="J1190" s="9">
        <v>103</v>
      </c>
      <c r="K1190" s="9" t="s">
        <v>442</v>
      </c>
      <c r="L1190" s="9"/>
      <c r="M1190" s="9"/>
      <c r="N1190" s="9" t="str">
        <f ca="1">IFERROR(__xludf.DUMMYFUNCTION("IFERROR(VALUE(REGEXEXTRACT(TO_TEXT($F1190), N$1 &amp; ""x(\d+)"")), """")
"),"")</f>
        <v/>
      </c>
      <c r="O1190" s="9" t="str">
        <f ca="1">IFERROR(__xludf.DUMMYFUNCTION("IFERROR(VALUE(REGEXEXTRACT(TO_TEXT($F1190), O$1 &amp; ""x(\d+)"")), """")"),"")</f>
        <v/>
      </c>
      <c r="P1190" s="9" t="str">
        <f ca="1">IFERROR(__xludf.DUMMYFUNCTION("IFERROR(VALUE(REGEXEXTRACT(TO_TEXT($F1190), P$1 &amp; ""x(\d+)"")), """")"),"")</f>
        <v/>
      </c>
      <c r="Q1190" s="9" t="str">
        <f ca="1">IFERROR(__xludf.DUMMYFUNCTION("IFERROR(VALUE(REGEXEXTRACT(TO_TEXT($F1190), Q$1 &amp; ""x(\d+)"")), """")"),"")</f>
        <v/>
      </c>
      <c r="R1190" s="9" t="str">
        <f ca="1">IFERROR(__xludf.DUMMYFUNCTION("IFERROR(VALUE(REGEXEXTRACT(TO_TEXT($F1190), R$1 &amp; ""x(\d+)"")), """")"),"")</f>
        <v/>
      </c>
      <c r="S1190" s="9" t="str">
        <f ca="1">IFERROR(__xludf.DUMMYFUNCTION("IFERROR(VALUE(REGEXEXTRACT(TO_TEXT($F1190), S$1 &amp; ""x(\d+)"")), """")"),"")</f>
        <v/>
      </c>
      <c r="T1190" s="9" t="str">
        <f ca="1">IFERROR(__xludf.DUMMYFUNCTION("IFERROR(VALUE(REGEXEXTRACT(TO_TEXT($F1190), T$1 &amp; ""x(\d+)"")), """")"),"")</f>
        <v/>
      </c>
      <c r="U1190" s="9" t="str">
        <f ca="1">IFERROR(__xludf.DUMMYFUNCTION("IFERROR(VALUE(REGEXEXTRACT(TO_TEXT($F1190), U$1 &amp; ""x(\d+)"")), """")"),"")</f>
        <v/>
      </c>
      <c r="V1190" s="9" t="str">
        <f ca="1">IFERROR(__xludf.DUMMYFUNCTION("IFERROR(VALUE(REGEXEXTRACT(TO_TEXT($F1190), V$1 &amp; ""x(\d+)"")), """")"),"")</f>
        <v/>
      </c>
      <c r="W1190" s="9"/>
      <c r="X1190" s="9"/>
      <c r="Y1190" s="9"/>
      <c r="Z1190" s="9"/>
    </row>
    <row r="1191" spans="1:26" ht="15.75" customHeight="1">
      <c r="A1191" s="9" t="s">
        <v>2249</v>
      </c>
      <c r="B1191" s="9" t="s">
        <v>2250</v>
      </c>
      <c r="C1191" s="9" t="s">
        <v>2251</v>
      </c>
      <c r="D1191" s="9" t="s">
        <v>33</v>
      </c>
      <c r="E1191" s="9" t="s">
        <v>12</v>
      </c>
      <c r="F1191" s="9" t="s">
        <v>1725</v>
      </c>
      <c r="G1191" s="9">
        <v>100</v>
      </c>
      <c r="H1191" s="9">
        <v>3</v>
      </c>
      <c r="I1191" s="9">
        <v>1.0149999999999999</v>
      </c>
      <c r="J1191" s="9">
        <v>103</v>
      </c>
      <c r="K1191" s="9" t="s">
        <v>442</v>
      </c>
      <c r="L1191" s="9" t="s">
        <v>1015</v>
      </c>
      <c r="M1191" s="9"/>
      <c r="N1191" s="9" t="str">
        <f ca="1">IFERROR(__xludf.DUMMYFUNCTION("IFERROR(VALUE(REGEXEXTRACT(TO_TEXT($F1191), N$1 &amp; ""x(\d+)"")), """")
"),"")</f>
        <v/>
      </c>
      <c r="O1191" s="9">
        <f ca="1">IFERROR(__xludf.DUMMYFUNCTION("IFERROR(VALUE(REGEXEXTRACT(TO_TEXT($F1191), O$1 &amp; ""x(\d+)"")), """")"),1)</f>
        <v>1</v>
      </c>
      <c r="P1191" s="9" t="str">
        <f ca="1">IFERROR(__xludf.DUMMYFUNCTION("IFERROR(VALUE(REGEXEXTRACT(TO_TEXT($F1191), P$1 &amp; ""x(\d+)"")), """")"),"")</f>
        <v/>
      </c>
      <c r="Q1191" s="9" t="str">
        <f ca="1">IFERROR(__xludf.DUMMYFUNCTION("IFERROR(VALUE(REGEXEXTRACT(TO_TEXT($F1191), Q$1 &amp; ""x(\d+)"")), """")"),"")</f>
        <v/>
      </c>
      <c r="R1191" s="9" t="str">
        <f ca="1">IFERROR(__xludf.DUMMYFUNCTION("IFERROR(VALUE(REGEXEXTRACT(TO_TEXT($F1191), R$1 &amp; ""x(\d+)"")), """")"),"")</f>
        <v/>
      </c>
      <c r="S1191" s="9" t="str">
        <f ca="1">IFERROR(__xludf.DUMMYFUNCTION("IFERROR(VALUE(REGEXEXTRACT(TO_TEXT($F1191), S$1 &amp; ""x(\d+)"")), """")"),"")</f>
        <v/>
      </c>
      <c r="T1191" s="9" t="str">
        <f ca="1">IFERROR(__xludf.DUMMYFUNCTION("IFERROR(VALUE(REGEXEXTRACT(TO_TEXT($F1191), T$1 &amp; ""x(\d+)"")), """")"),"")</f>
        <v/>
      </c>
      <c r="U1191" s="9" t="str">
        <f ca="1">IFERROR(__xludf.DUMMYFUNCTION("IFERROR(VALUE(REGEXEXTRACT(TO_TEXT($F1191), U$1 &amp; ""x(\d+)"")), """")"),"")</f>
        <v/>
      </c>
      <c r="V1191" s="9" t="str">
        <f ca="1">IFERROR(__xludf.DUMMYFUNCTION("IFERROR(VALUE(REGEXEXTRACT(TO_TEXT($F1191), V$1 &amp; ""x(\d+)"")), """")"),"")</f>
        <v/>
      </c>
      <c r="W1191" s="9"/>
      <c r="X1191" s="9"/>
      <c r="Y1191" s="9"/>
      <c r="Z1191" s="9"/>
    </row>
    <row r="1192" spans="1:26" ht="15.75" customHeight="1">
      <c r="A1192" s="9" t="s">
        <v>2249</v>
      </c>
      <c r="B1192" s="9" t="s">
        <v>2250</v>
      </c>
      <c r="C1192" s="9" t="s">
        <v>2251</v>
      </c>
      <c r="D1192" s="9" t="s">
        <v>33</v>
      </c>
      <c r="E1192" s="9" t="s">
        <v>13</v>
      </c>
      <c r="F1192" s="9" t="s">
        <v>1651</v>
      </c>
      <c r="G1192" s="9">
        <v>20</v>
      </c>
      <c r="H1192" s="9">
        <v>3</v>
      </c>
      <c r="I1192" s="9">
        <v>1.0149999999999999</v>
      </c>
      <c r="J1192" s="9">
        <v>103</v>
      </c>
      <c r="K1192" s="9" t="s">
        <v>442</v>
      </c>
      <c r="L1192" s="9"/>
      <c r="M1192" s="9"/>
      <c r="N1192" s="9" t="str">
        <f ca="1">IFERROR(__xludf.DUMMYFUNCTION("IFERROR(VALUE(REGEXEXTRACT(TO_TEXT($F1192), N$1 &amp; ""x(\d+)"")), """")
"),"")</f>
        <v/>
      </c>
      <c r="O1192" s="9">
        <f ca="1">IFERROR(__xludf.DUMMYFUNCTION("IFERROR(VALUE(REGEXEXTRACT(TO_TEXT($F1192), O$1 &amp; ""x(\d+)"")), """")"),1)</f>
        <v>1</v>
      </c>
      <c r="P1192" s="9" t="str">
        <f ca="1">IFERROR(__xludf.DUMMYFUNCTION("IFERROR(VALUE(REGEXEXTRACT(TO_TEXT($F1192), P$1 &amp; ""x(\d+)"")), """")"),"")</f>
        <v/>
      </c>
      <c r="Q1192" s="9" t="str">
        <f ca="1">IFERROR(__xludf.DUMMYFUNCTION("IFERROR(VALUE(REGEXEXTRACT(TO_TEXT($F1192), Q$1 &amp; ""x(\d+)"")), """")"),"")</f>
        <v/>
      </c>
      <c r="R1192" s="9" t="str">
        <f ca="1">IFERROR(__xludf.DUMMYFUNCTION("IFERROR(VALUE(REGEXEXTRACT(TO_TEXT($F1192), R$1 &amp; ""x(\d+)"")), """")"),"")</f>
        <v/>
      </c>
      <c r="S1192" s="9" t="str">
        <f ca="1">IFERROR(__xludf.DUMMYFUNCTION("IFERROR(VALUE(REGEXEXTRACT(TO_TEXT($F1192), S$1 &amp; ""x(\d+)"")), """")"),"")</f>
        <v/>
      </c>
      <c r="T1192" s="9" t="str">
        <f ca="1">IFERROR(__xludf.DUMMYFUNCTION("IFERROR(VALUE(REGEXEXTRACT(TO_TEXT($F1192), T$1 &amp; ""x(\d+)"")), """")"),"")</f>
        <v/>
      </c>
      <c r="U1192" s="9" t="str">
        <f ca="1">IFERROR(__xludf.DUMMYFUNCTION("IFERROR(VALUE(REGEXEXTRACT(TO_TEXT($F1192), U$1 &amp; ""x(\d+)"")), """")"),"")</f>
        <v/>
      </c>
      <c r="V1192" s="9" t="str">
        <f ca="1">IFERROR(__xludf.DUMMYFUNCTION("IFERROR(VALUE(REGEXEXTRACT(TO_TEXT($F1192), V$1 &amp; ""x(\d+)"")), """")"),"")</f>
        <v/>
      </c>
      <c r="W1192" s="9"/>
      <c r="X1192" s="9"/>
      <c r="Y1192" s="9"/>
      <c r="Z1192" s="9"/>
    </row>
    <row r="1193" spans="1:26" ht="15.75" customHeight="1">
      <c r="A1193" s="9" t="s">
        <v>2252</v>
      </c>
      <c r="B1193" s="9" t="s">
        <v>2253</v>
      </c>
      <c r="C1193" s="9" t="s">
        <v>2254</v>
      </c>
      <c r="D1193" s="9" t="s">
        <v>33</v>
      </c>
      <c r="E1193" s="9" t="s">
        <v>11</v>
      </c>
      <c r="F1193" s="9" t="s">
        <v>1204</v>
      </c>
      <c r="G1193" s="9">
        <v>30</v>
      </c>
      <c r="H1193" s="9">
        <v>3</v>
      </c>
      <c r="I1193" s="9">
        <v>1.0149999999999999</v>
      </c>
      <c r="J1193" s="9">
        <v>103</v>
      </c>
      <c r="K1193" s="9" t="s">
        <v>442</v>
      </c>
      <c r="L1193" s="9"/>
      <c r="M1193" s="9"/>
      <c r="N1193" s="9" t="str">
        <f ca="1">IFERROR(__xludf.DUMMYFUNCTION("IFERROR(VALUE(REGEXEXTRACT(TO_TEXT($F1193), N$1 &amp; ""x(\d+)"")), """")
"),"")</f>
        <v/>
      </c>
      <c r="O1193" s="9" t="str">
        <f ca="1">IFERROR(__xludf.DUMMYFUNCTION("IFERROR(VALUE(REGEXEXTRACT(TO_TEXT($F1193), O$1 &amp; ""x(\d+)"")), """")"),"")</f>
        <v/>
      </c>
      <c r="P1193" s="9" t="str">
        <f ca="1">IFERROR(__xludf.DUMMYFUNCTION("IFERROR(VALUE(REGEXEXTRACT(TO_TEXT($F1193), P$1 &amp; ""x(\d+)"")), """")"),"")</f>
        <v/>
      </c>
      <c r="Q1193" s="9" t="str">
        <f ca="1">IFERROR(__xludf.DUMMYFUNCTION("IFERROR(VALUE(REGEXEXTRACT(TO_TEXT($F1193), Q$1 &amp; ""x(\d+)"")), """")"),"")</f>
        <v/>
      </c>
      <c r="R1193" s="9" t="str">
        <f ca="1">IFERROR(__xludf.DUMMYFUNCTION("IFERROR(VALUE(REGEXEXTRACT(TO_TEXT($F1193), R$1 &amp; ""x(\d+)"")), """")"),"")</f>
        <v/>
      </c>
      <c r="S1193" s="9" t="str">
        <f ca="1">IFERROR(__xludf.DUMMYFUNCTION("IFERROR(VALUE(REGEXEXTRACT(TO_TEXT($F1193), S$1 &amp; ""x(\d+)"")), """")"),"")</f>
        <v/>
      </c>
      <c r="T1193" s="9" t="str">
        <f ca="1">IFERROR(__xludf.DUMMYFUNCTION("IFERROR(VALUE(REGEXEXTRACT(TO_TEXT($F1193), T$1 &amp; ""x(\d+)"")), """")"),"")</f>
        <v/>
      </c>
      <c r="U1193" s="9" t="str">
        <f ca="1">IFERROR(__xludf.DUMMYFUNCTION("IFERROR(VALUE(REGEXEXTRACT(TO_TEXT($F1193), U$1 &amp; ""x(\d+)"")), """")"),"")</f>
        <v/>
      </c>
      <c r="V1193" s="9" t="str">
        <f ca="1">IFERROR(__xludf.DUMMYFUNCTION("IFERROR(VALUE(REGEXEXTRACT(TO_TEXT($F1193), V$1 &amp; ""x(\d+)"")), """")"),"")</f>
        <v/>
      </c>
      <c r="W1193" s="9"/>
      <c r="X1193" s="9"/>
      <c r="Y1193" s="9"/>
      <c r="Z1193" s="9"/>
    </row>
    <row r="1194" spans="1:26" ht="15.75" customHeight="1">
      <c r="A1194" s="9" t="s">
        <v>2252</v>
      </c>
      <c r="B1194" s="9" t="s">
        <v>2253</v>
      </c>
      <c r="C1194" s="9" t="s">
        <v>2254</v>
      </c>
      <c r="D1194" s="9" t="s">
        <v>33</v>
      </c>
      <c r="E1194" s="9" t="s">
        <v>12</v>
      </c>
      <c r="F1194" s="9" t="s">
        <v>1725</v>
      </c>
      <c r="G1194" s="9">
        <v>100</v>
      </c>
      <c r="H1194" s="9">
        <v>3</v>
      </c>
      <c r="I1194" s="9">
        <v>1.0149999999999999</v>
      </c>
      <c r="J1194" s="9">
        <v>103</v>
      </c>
      <c r="K1194" s="9" t="s">
        <v>442</v>
      </c>
      <c r="L1194" s="9" t="s">
        <v>1015</v>
      </c>
      <c r="M1194" s="9"/>
      <c r="N1194" s="9" t="str">
        <f ca="1">IFERROR(__xludf.DUMMYFUNCTION("IFERROR(VALUE(REGEXEXTRACT(TO_TEXT($F1194), N$1 &amp; ""x(\d+)"")), """")
"),"")</f>
        <v/>
      </c>
      <c r="O1194" s="9">
        <f ca="1">IFERROR(__xludf.DUMMYFUNCTION("IFERROR(VALUE(REGEXEXTRACT(TO_TEXT($F1194), O$1 &amp; ""x(\d+)"")), """")"),1)</f>
        <v>1</v>
      </c>
      <c r="P1194" s="9" t="str">
        <f ca="1">IFERROR(__xludf.DUMMYFUNCTION("IFERROR(VALUE(REGEXEXTRACT(TO_TEXT($F1194), P$1 &amp; ""x(\d+)"")), """")"),"")</f>
        <v/>
      </c>
      <c r="Q1194" s="9" t="str">
        <f ca="1">IFERROR(__xludf.DUMMYFUNCTION("IFERROR(VALUE(REGEXEXTRACT(TO_TEXT($F1194), Q$1 &amp; ""x(\d+)"")), """")"),"")</f>
        <v/>
      </c>
      <c r="R1194" s="9" t="str">
        <f ca="1">IFERROR(__xludf.DUMMYFUNCTION("IFERROR(VALUE(REGEXEXTRACT(TO_TEXT($F1194), R$1 &amp; ""x(\d+)"")), """")"),"")</f>
        <v/>
      </c>
      <c r="S1194" s="9" t="str">
        <f ca="1">IFERROR(__xludf.DUMMYFUNCTION("IFERROR(VALUE(REGEXEXTRACT(TO_TEXT($F1194), S$1 &amp; ""x(\d+)"")), """")"),"")</f>
        <v/>
      </c>
      <c r="T1194" s="9" t="str">
        <f ca="1">IFERROR(__xludf.DUMMYFUNCTION("IFERROR(VALUE(REGEXEXTRACT(TO_TEXT($F1194), T$1 &amp; ""x(\d+)"")), """")"),"")</f>
        <v/>
      </c>
      <c r="U1194" s="9" t="str">
        <f ca="1">IFERROR(__xludf.DUMMYFUNCTION("IFERROR(VALUE(REGEXEXTRACT(TO_TEXT($F1194), U$1 &amp; ""x(\d+)"")), """")"),"")</f>
        <v/>
      </c>
      <c r="V1194" s="9" t="str">
        <f ca="1">IFERROR(__xludf.DUMMYFUNCTION("IFERROR(VALUE(REGEXEXTRACT(TO_TEXT($F1194), V$1 &amp; ""x(\d+)"")), """")"),"")</f>
        <v/>
      </c>
      <c r="W1194" s="9"/>
      <c r="X1194" s="9"/>
      <c r="Y1194" s="9"/>
      <c r="Z1194" s="9"/>
    </row>
    <row r="1195" spans="1:26" ht="15.75" customHeight="1">
      <c r="A1195" s="9" t="s">
        <v>2252</v>
      </c>
      <c r="B1195" s="9" t="s">
        <v>2253</v>
      </c>
      <c r="C1195" s="9" t="s">
        <v>2254</v>
      </c>
      <c r="D1195" s="9" t="s">
        <v>33</v>
      </c>
      <c r="E1195" s="9" t="s">
        <v>13</v>
      </c>
      <c r="F1195" s="9" t="s">
        <v>1651</v>
      </c>
      <c r="G1195" s="9">
        <v>20</v>
      </c>
      <c r="H1195" s="9">
        <v>3</v>
      </c>
      <c r="I1195" s="9">
        <v>1.0149999999999999</v>
      </c>
      <c r="J1195" s="9">
        <v>103</v>
      </c>
      <c r="K1195" s="9" t="s">
        <v>442</v>
      </c>
      <c r="L1195" s="9"/>
      <c r="M1195" s="9"/>
      <c r="N1195" s="9" t="str">
        <f ca="1">IFERROR(__xludf.DUMMYFUNCTION("IFERROR(VALUE(REGEXEXTRACT(TO_TEXT($F1195), N$1 &amp; ""x(\d+)"")), """")
"),"")</f>
        <v/>
      </c>
      <c r="O1195" s="9">
        <f ca="1">IFERROR(__xludf.DUMMYFUNCTION("IFERROR(VALUE(REGEXEXTRACT(TO_TEXT($F1195), O$1 &amp; ""x(\d+)"")), """")"),1)</f>
        <v>1</v>
      </c>
      <c r="P1195" s="9" t="str">
        <f ca="1">IFERROR(__xludf.DUMMYFUNCTION("IFERROR(VALUE(REGEXEXTRACT(TO_TEXT($F1195), P$1 &amp; ""x(\d+)"")), """")"),"")</f>
        <v/>
      </c>
      <c r="Q1195" s="9" t="str">
        <f ca="1">IFERROR(__xludf.DUMMYFUNCTION("IFERROR(VALUE(REGEXEXTRACT(TO_TEXT($F1195), Q$1 &amp; ""x(\d+)"")), """")"),"")</f>
        <v/>
      </c>
      <c r="R1195" s="9" t="str">
        <f ca="1">IFERROR(__xludf.DUMMYFUNCTION("IFERROR(VALUE(REGEXEXTRACT(TO_TEXT($F1195), R$1 &amp; ""x(\d+)"")), """")"),"")</f>
        <v/>
      </c>
      <c r="S1195" s="9" t="str">
        <f ca="1">IFERROR(__xludf.DUMMYFUNCTION("IFERROR(VALUE(REGEXEXTRACT(TO_TEXT($F1195), S$1 &amp; ""x(\d+)"")), """")"),"")</f>
        <v/>
      </c>
      <c r="T1195" s="9" t="str">
        <f ca="1">IFERROR(__xludf.DUMMYFUNCTION("IFERROR(VALUE(REGEXEXTRACT(TO_TEXT($F1195), T$1 &amp; ""x(\d+)"")), """")"),"")</f>
        <v/>
      </c>
      <c r="U1195" s="9" t="str">
        <f ca="1">IFERROR(__xludf.DUMMYFUNCTION("IFERROR(VALUE(REGEXEXTRACT(TO_TEXT($F1195), U$1 &amp; ""x(\d+)"")), """")"),"")</f>
        <v/>
      </c>
      <c r="V1195" s="9" t="str">
        <f ca="1">IFERROR(__xludf.DUMMYFUNCTION("IFERROR(VALUE(REGEXEXTRACT(TO_TEXT($F1195), V$1 &amp; ""x(\d+)"")), """")"),"")</f>
        <v/>
      </c>
      <c r="W1195" s="9"/>
      <c r="X1195" s="9"/>
      <c r="Y1195" s="9"/>
      <c r="Z1195" s="9"/>
    </row>
    <row r="1196" spans="1:26" ht="15.75" customHeight="1">
      <c r="A1196" s="9" t="s">
        <v>2255</v>
      </c>
      <c r="B1196" s="9" t="s">
        <v>2256</v>
      </c>
      <c r="C1196" s="9" t="s">
        <v>2257</v>
      </c>
      <c r="D1196" s="9" t="s">
        <v>33</v>
      </c>
      <c r="E1196" s="9" t="s">
        <v>11</v>
      </c>
      <c r="F1196" s="9" t="s">
        <v>2028</v>
      </c>
      <c r="G1196" s="9">
        <v>20</v>
      </c>
      <c r="H1196" s="9">
        <v>1</v>
      </c>
      <c r="I1196" s="9">
        <v>1.0149999999999999</v>
      </c>
      <c r="J1196" s="9">
        <v>110</v>
      </c>
      <c r="K1196" s="9" t="s">
        <v>442</v>
      </c>
      <c r="L1196" s="9"/>
      <c r="M1196" s="9"/>
      <c r="N1196" s="9" t="str">
        <f ca="1">IFERROR(__xludf.DUMMYFUNCTION("IFERROR(VALUE(REGEXEXTRACT(TO_TEXT($F1196), N$1 &amp; ""x(\d+)"")), """")
"),"")</f>
        <v/>
      </c>
      <c r="O1196" s="9" t="str">
        <f ca="1">IFERROR(__xludf.DUMMYFUNCTION("IFERROR(VALUE(REGEXEXTRACT(TO_TEXT($F1196), O$1 &amp; ""x(\d+)"")), """")"),"")</f>
        <v/>
      </c>
      <c r="P1196" s="9" t="str">
        <f ca="1">IFERROR(__xludf.DUMMYFUNCTION("IFERROR(VALUE(REGEXEXTRACT(TO_TEXT($F1196), P$1 &amp; ""x(\d+)"")), """")"),"")</f>
        <v/>
      </c>
      <c r="Q1196" s="9" t="str">
        <f ca="1">IFERROR(__xludf.DUMMYFUNCTION("IFERROR(VALUE(REGEXEXTRACT(TO_TEXT($F1196), Q$1 &amp; ""x(\d+)"")), """")"),"")</f>
        <v/>
      </c>
      <c r="R1196" s="9" t="str">
        <f ca="1">IFERROR(__xludf.DUMMYFUNCTION("IFERROR(VALUE(REGEXEXTRACT(TO_TEXT($F1196), R$1 &amp; ""x(\d+)"")), """")"),"")</f>
        <v/>
      </c>
      <c r="S1196" s="9" t="str">
        <f ca="1">IFERROR(__xludf.DUMMYFUNCTION("IFERROR(VALUE(REGEXEXTRACT(TO_TEXT($F1196), S$1 &amp; ""x(\d+)"")), """")"),"")</f>
        <v/>
      </c>
      <c r="T1196" s="9" t="str">
        <f ca="1">IFERROR(__xludf.DUMMYFUNCTION("IFERROR(VALUE(REGEXEXTRACT(TO_TEXT($F1196), T$1 &amp; ""x(\d+)"")), """")"),"")</f>
        <v/>
      </c>
      <c r="U1196" s="9" t="str">
        <f ca="1">IFERROR(__xludf.DUMMYFUNCTION("IFERROR(VALUE(REGEXEXTRACT(TO_TEXT($F1196), U$1 &amp; ""x(\d+)"")), """")"),"")</f>
        <v/>
      </c>
      <c r="V1196" s="9" t="str">
        <f ca="1">IFERROR(__xludf.DUMMYFUNCTION("IFERROR(VALUE(REGEXEXTRACT(TO_TEXT($F1196), V$1 &amp; ""x(\d+)"")), """")"),"")</f>
        <v/>
      </c>
      <c r="W1196" s="9"/>
      <c r="X1196" s="9"/>
      <c r="Y1196" s="9"/>
      <c r="Z1196" s="9"/>
    </row>
    <row r="1197" spans="1:26" ht="15.75" customHeight="1">
      <c r="A1197" s="9" t="s">
        <v>2255</v>
      </c>
      <c r="B1197" s="9" t="s">
        <v>2256</v>
      </c>
      <c r="C1197" s="9" t="s">
        <v>2257</v>
      </c>
      <c r="D1197" s="9" t="s">
        <v>33</v>
      </c>
      <c r="E1197" s="9" t="s">
        <v>12</v>
      </c>
      <c r="F1197" s="9" t="s">
        <v>2029</v>
      </c>
      <c r="G1197" s="9">
        <v>130</v>
      </c>
      <c r="H1197" s="9">
        <v>1</v>
      </c>
      <c r="I1197" s="9">
        <v>1.0149999999999999</v>
      </c>
      <c r="J1197" s="9">
        <v>110</v>
      </c>
      <c r="K1197" s="9" t="s">
        <v>442</v>
      </c>
      <c r="L1197" s="9"/>
      <c r="M1197" s="9"/>
      <c r="N1197" s="9" t="str">
        <f ca="1">IFERROR(__xludf.DUMMYFUNCTION("IFERROR(VALUE(REGEXEXTRACT(TO_TEXT($F1197), N$1 &amp; ""x(\d+)"")), """")
"),"")</f>
        <v/>
      </c>
      <c r="O1197" s="9" t="str">
        <f ca="1">IFERROR(__xludf.DUMMYFUNCTION("IFERROR(VALUE(REGEXEXTRACT(TO_TEXT($F1197), O$1 &amp; ""x(\d+)"")), """")"),"")</f>
        <v/>
      </c>
      <c r="P1197" s="9" t="str">
        <f ca="1">IFERROR(__xludf.DUMMYFUNCTION("IFERROR(VALUE(REGEXEXTRACT(TO_TEXT($F1197), P$1 &amp; ""x(\d+)"")), """")"),"")</f>
        <v/>
      </c>
      <c r="Q1197" s="9" t="str">
        <f ca="1">IFERROR(__xludf.DUMMYFUNCTION("IFERROR(VALUE(REGEXEXTRACT(TO_TEXT($F1197), Q$1 &amp; ""x(\d+)"")), """")"),"")</f>
        <v/>
      </c>
      <c r="R1197" s="9">
        <f ca="1">IFERROR(__xludf.DUMMYFUNCTION("IFERROR(VALUE(REGEXEXTRACT(TO_TEXT($F1197), R$1 &amp; ""x(\d+)"")), """")"),1)</f>
        <v>1</v>
      </c>
      <c r="S1197" s="9" t="str">
        <f ca="1">IFERROR(__xludf.DUMMYFUNCTION("IFERROR(VALUE(REGEXEXTRACT(TO_TEXT($F1197), S$1 &amp; ""x(\d+)"")), """")"),"")</f>
        <v/>
      </c>
      <c r="T1197" s="9" t="str">
        <f ca="1">IFERROR(__xludf.DUMMYFUNCTION("IFERROR(VALUE(REGEXEXTRACT(TO_TEXT($F1197), T$1 &amp; ""x(\d+)"")), """")"),"")</f>
        <v/>
      </c>
      <c r="U1197" s="9" t="str">
        <f ca="1">IFERROR(__xludf.DUMMYFUNCTION("IFERROR(VALUE(REGEXEXTRACT(TO_TEXT($F1197), U$1 &amp; ""x(\d+)"")), """")"),"")</f>
        <v/>
      </c>
      <c r="V1197" s="9" t="str">
        <f ca="1">IFERROR(__xludf.DUMMYFUNCTION("IFERROR(VALUE(REGEXEXTRACT(TO_TEXT($F1197), V$1 &amp; ""x(\d+)"")), """")"),"")</f>
        <v/>
      </c>
      <c r="W1197" s="9"/>
      <c r="X1197" s="9"/>
      <c r="Y1197" s="9"/>
      <c r="Z1197" s="9"/>
    </row>
    <row r="1198" spans="1:26" ht="15.75" customHeight="1">
      <c r="A1198" s="9" t="s">
        <v>2255</v>
      </c>
      <c r="B1198" s="9" t="s">
        <v>2256</v>
      </c>
      <c r="C1198" s="9" t="s">
        <v>2257</v>
      </c>
      <c r="D1198" s="9" t="s">
        <v>33</v>
      </c>
      <c r="E1198" s="9" t="s">
        <v>13</v>
      </c>
      <c r="F1198" s="9" t="s">
        <v>1308</v>
      </c>
      <c r="G1198" s="9">
        <v>30</v>
      </c>
      <c r="H1198" s="9">
        <v>1</v>
      </c>
      <c r="I1198" s="9">
        <v>1.0149999999999999</v>
      </c>
      <c r="J1198" s="9">
        <v>110</v>
      </c>
      <c r="K1198" s="9" t="s">
        <v>442</v>
      </c>
      <c r="L1198" s="9"/>
      <c r="M1198" s="9"/>
      <c r="N1198" s="9" t="str">
        <f ca="1">IFERROR(__xludf.DUMMYFUNCTION("IFERROR(VALUE(REGEXEXTRACT(TO_TEXT($F1198), N$1 &amp; ""x(\d+)"")), """")
"),"")</f>
        <v/>
      </c>
      <c r="O1198" s="9" t="str">
        <f ca="1">IFERROR(__xludf.DUMMYFUNCTION("IFERROR(VALUE(REGEXEXTRACT(TO_TEXT($F1198), O$1 &amp; ""x(\d+)"")), """")"),"")</f>
        <v/>
      </c>
      <c r="P1198" s="9" t="str">
        <f ca="1">IFERROR(__xludf.DUMMYFUNCTION("IFERROR(VALUE(REGEXEXTRACT(TO_TEXT($F1198), P$1 &amp; ""x(\d+)"")), """")"),"")</f>
        <v/>
      </c>
      <c r="Q1198" s="9" t="str">
        <f ca="1">IFERROR(__xludf.DUMMYFUNCTION("IFERROR(VALUE(REGEXEXTRACT(TO_TEXT($F1198), Q$1 &amp; ""x(\d+)"")), """")"),"")</f>
        <v/>
      </c>
      <c r="R1198" s="9">
        <f ca="1">IFERROR(__xludf.DUMMYFUNCTION("IFERROR(VALUE(REGEXEXTRACT(TO_TEXT($F1198), R$1 &amp; ""x(\d+)"")), """")"),1)</f>
        <v>1</v>
      </c>
      <c r="S1198" s="9" t="str">
        <f ca="1">IFERROR(__xludf.DUMMYFUNCTION("IFERROR(VALUE(REGEXEXTRACT(TO_TEXT($F1198), S$1 &amp; ""x(\d+)"")), """")"),"")</f>
        <v/>
      </c>
      <c r="T1198" s="9" t="str">
        <f ca="1">IFERROR(__xludf.DUMMYFUNCTION("IFERROR(VALUE(REGEXEXTRACT(TO_TEXT($F1198), T$1 &amp; ""x(\d+)"")), """")"),"")</f>
        <v/>
      </c>
      <c r="U1198" s="9" t="str">
        <f ca="1">IFERROR(__xludf.DUMMYFUNCTION("IFERROR(VALUE(REGEXEXTRACT(TO_TEXT($F1198), U$1 &amp; ""x(\d+)"")), """")"),"")</f>
        <v/>
      </c>
      <c r="V1198" s="9" t="str">
        <f ca="1">IFERROR(__xludf.DUMMYFUNCTION("IFERROR(VALUE(REGEXEXTRACT(TO_TEXT($F1198), V$1 &amp; ""x(\d+)"")), """")"),"")</f>
        <v/>
      </c>
      <c r="W1198" s="9"/>
      <c r="X1198" s="9"/>
      <c r="Y1198" s="9"/>
      <c r="Z1198" s="9"/>
    </row>
    <row r="1199" spans="1:26" ht="15.75" customHeight="1">
      <c r="A1199" s="9" t="s">
        <v>2258</v>
      </c>
      <c r="B1199" s="9" t="s">
        <v>2259</v>
      </c>
      <c r="C1199" s="9" t="s">
        <v>2260</v>
      </c>
      <c r="D1199" s="9" t="s">
        <v>33</v>
      </c>
      <c r="E1199" s="9" t="s">
        <v>11</v>
      </c>
      <c r="F1199" s="9" t="s">
        <v>1477</v>
      </c>
      <c r="G1199" s="9">
        <v>20</v>
      </c>
      <c r="H1199" s="9">
        <v>3</v>
      </c>
      <c r="I1199" s="9">
        <v>1.0149999999999999</v>
      </c>
      <c r="J1199" s="9">
        <v>100</v>
      </c>
      <c r="K1199" s="9" t="s">
        <v>442</v>
      </c>
      <c r="L1199" s="9"/>
      <c r="M1199" s="9"/>
      <c r="N1199" s="9" t="str">
        <f ca="1">IFERROR(__xludf.DUMMYFUNCTION("IFERROR(VALUE(REGEXEXTRACT(TO_TEXT($F1199), N$1 &amp; ""x(\d+)"")), """")
"),"")</f>
        <v/>
      </c>
      <c r="O1199" s="9" t="str">
        <f ca="1">IFERROR(__xludf.DUMMYFUNCTION("IFERROR(VALUE(REGEXEXTRACT(TO_TEXT($F1199), O$1 &amp; ""x(\d+)"")), """")"),"")</f>
        <v/>
      </c>
      <c r="P1199" s="9" t="str">
        <f ca="1">IFERROR(__xludf.DUMMYFUNCTION("IFERROR(VALUE(REGEXEXTRACT(TO_TEXT($F1199), P$1 &amp; ""x(\d+)"")), """")"),"")</f>
        <v/>
      </c>
      <c r="Q1199" s="9" t="str">
        <f ca="1">IFERROR(__xludf.DUMMYFUNCTION("IFERROR(VALUE(REGEXEXTRACT(TO_TEXT($F1199), Q$1 &amp; ""x(\d+)"")), """")"),"")</f>
        <v/>
      </c>
      <c r="R1199" s="9" t="str">
        <f ca="1">IFERROR(__xludf.DUMMYFUNCTION("IFERROR(VALUE(REGEXEXTRACT(TO_TEXT($F1199), R$1 &amp; ""x(\d+)"")), """")"),"")</f>
        <v/>
      </c>
      <c r="S1199" s="9" t="str">
        <f ca="1">IFERROR(__xludf.DUMMYFUNCTION("IFERROR(VALUE(REGEXEXTRACT(TO_TEXT($F1199), S$1 &amp; ""x(\d+)"")), """")"),"")</f>
        <v/>
      </c>
      <c r="T1199" s="9" t="str">
        <f ca="1">IFERROR(__xludf.DUMMYFUNCTION("IFERROR(VALUE(REGEXEXTRACT(TO_TEXT($F1199), T$1 &amp; ""x(\d+)"")), """")"),"")</f>
        <v/>
      </c>
      <c r="U1199" s="9" t="str">
        <f ca="1">IFERROR(__xludf.DUMMYFUNCTION("IFERROR(VALUE(REGEXEXTRACT(TO_TEXT($F1199), U$1 &amp; ""x(\d+)"")), """")"),"")</f>
        <v/>
      </c>
      <c r="V1199" s="9" t="str">
        <f ca="1">IFERROR(__xludf.DUMMYFUNCTION("IFERROR(VALUE(REGEXEXTRACT(TO_TEXT($F1199), V$1 &amp; ""x(\d+)"")), """")"),"")</f>
        <v/>
      </c>
      <c r="W1199" s="9"/>
      <c r="X1199" s="9"/>
      <c r="Y1199" s="9"/>
      <c r="Z1199" s="9"/>
    </row>
    <row r="1200" spans="1:26" ht="15.75" customHeight="1">
      <c r="A1200" s="9" t="s">
        <v>2258</v>
      </c>
      <c r="B1200" s="9" t="s">
        <v>2259</v>
      </c>
      <c r="C1200" s="9" t="s">
        <v>2260</v>
      </c>
      <c r="D1200" s="9" t="s">
        <v>33</v>
      </c>
      <c r="E1200" s="9" t="s">
        <v>12</v>
      </c>
      <c r="F1200" s="9" t="s">
        <v>1103</v>
      </c>
      <c r="G1200" s="9">
        <v>110</v>
      </c>
      <c r="H1200" s="9">
        <v>3</v>
      </c>
      <c r="I1200" s="9">
        <v>1.0149999999999999</v>
      </c>
      <c r="J1200" s="9">
        <v>100</v>
      </c>
      <c r="K1200" s="9" t="s">
        <v>442</v>
      </c>
      <c r="L1200" s="9" t="s">
        <v>1015</v>
      </c>
      <c r="M1200" s="9"/>
      <c r="N1200" s="9" t="str">
        <f ca="1">IFERROR(__xludf.DUMMYFUNCTION("IFERROR(VALUE(REGEXEXTRACT(TO_TEXT($F1200), N$1 &amp; ""x(\d+)"")), """")
"),"")</f>
        <v/>
      </c>
      <c r="O1200" s="9">
        <f ca="1">IFERROR(__xludf.DUMMYFUNCTION("IFERROR(VALUE(REGEXEXTRACT(TO_TEXT($F1200), O$1 &amp; ""x(\d+)"")), """")"),1)</f>
        <v>1</v>
      </c>
      <c r="P1200" s="9" t="str">
        <f ca="1">IFERROR(__xludf.DUMMYFUNCTION("IFERROR(VALUE(REGEXEXTRACT(TO_TEXT($F1200), P$1 &amp; ""x(\d+)"")), """")"),"")</f>
        <v/>
      </c>
      <c r="Q1200" s="9" t="str">
        <f ca="1">IFERROR(__xludf.DUMMYFUNCTION("IFERROR(VALUE(REGEXEXTRACT(TO_TEXT($F1200), Q$1 &amp; ""x(\d+)"")), """")"),"")</f>
        <v/>
      </c>
      <c r="R1200" s="9" t="str">
        <f ca="1">IFERROR(__xludf.DUMMYFUNCTION("IFERROR(VALUE(REGEXEXTRACT(TO_TEXT($F1200), R$1 &amp; ""x(\d+)"")), """")"),"")</f>
        <v/>
      </c>
      <c r="S1200" s="9" t="str">
        <f ca="1">IFERROR(__xludf.DUMMYFUNCTION("IFERROR(VALUE(REGEXEXTRACT(TO_TEXT($F1200), S$1 &amp; ""x(\d+)"")), """")"),"")</f>
        <v/>
      </c>
      <c r="T1200" s="9" t="str">
        <f ca="1">IFERROR(__xludf.DUMMYFUNCTION("IFERROR(VALUE(REGEXEXTRACT(TO_TEXT($F1200), T$1 &amp; ""x(\d+)"")), """")"),"")</f>
        <v/>
      </c>
      <c r="U1200" s="9" t="str">
        <f ca="1">IFERROR(__xludf.DUMMYFUNCTION("IFERROR(VALUE(REGEXEXTRACT(TO_TEXT($F1200), U$1 &amp; ""x(\d+)"")), """")"),"")</f>
        <v/>
      </c>
      <c r="V1200" s="9" t="str">
        <f ca="1">IFERROR(__xludf.DUMMYFUNCTION("IFERROR(VALUE(REGEXEXTRACT(TO_TEXT($F1200), V$1 &amp; ""x(\d+)"")), """")"),"")</f>
        <v/>
      </c>
      <c r="W1200" s="9"/>
      <c r="X1200" s="9"/>
      <c r="Y1200" s="9"/>
      <c r="Z1200" s="9"/>
    </row>
    <row r="1201" spans="1:26" ht="15.75" customHeight="1">
      <c r="A1201" s="9" t="s">
        <v>2258</v>
      </c>
      <c r="B1201" s="9" t="s">
        <v>2259</v>
      </c>
      <c r="C1201" s="9" t="s">
        <v>2260</v>
      </c>
      <c r="D1201" s="9" t="s">
        <v>33</v>
      </c>
      <c r="E1201" s="9" t="s">
        <v>13</v>
      </c>
      <c r="F1201" s="9" t="s">
        <v>1071</v>
      </c>
      <c r="G1201" s="9">
        <v>15</v>
      </c>
      <c r="H1201" s="9">
        <v>3</v>
      </c>
      <c r="I1201" s="9">
        <v>1.0149999999999999</v>
      </c>
      <c r="J1201" s="9">
        <v>100</v>
      </c>
      <c r="K1201" s="9" t="s">
        <v>442</v>
      </c>
      <c r="L1201" s="9"/>
      <c r="M1201" s="9"/>
      <c r="N1201" s="9" t="str">
        <f ca="1">IFERROR(__xludf.DUMMYFUNCTION("IFERROR(VALUE(REGEXEXTRACT(TO_TEXT($F1201), N$1 &amp; ""x(\d+)"")), """")
"),"")</f>
        <v/>
      </c>
      <c r="O1201" s="9">
        <f ca="1">IFERROR(__xludf.DUMMYFUNCTION("IFERROR(VALUE(REGEXEXTRACT(TO_TEXT($F1201), O$1 &amp; ""x(\d+)"")), """")"),1)</f>
        <v>1</v>
      </c>
      <c r="P1201" s="9" t="str">
        <f ca="1">IFERROR(__xludf.DUMMYFUNCTION("IFERROR(VALUE(REGEXEXTRACT(TO_TEXT($F1201), P$1 &amp; ""x(\d+)"")), """")"),"")</f>
        <v/>
      </c>
      <c r="Q1201" s="9" t="str">
        <f ca="1">IFERROR(__xludf.DUMMYFUNCTION("IFERROR(VALUE(REGEXEXTRACT(TO_TEXT($F1201), Q$1 &amp; ""x(\d+)"")), """")"),"")</f>
        <v/>
      </c>
      <c r="R1201" s="9" t="str">
        <f ca="1">IFERROR(__xludf.DUMMYFUNCTION("IFERROR(VALUE(REGEXEXTRACT(TO_TEXT($F1201), R$1 &amp; ""x(\d+)"")), """")"),"")</f>
        <v/>
      </c>
      <c r="S1201" s="9" t="str">
        <f ca="1">IFERROR(__xludf.DUMMYFUNCTION("IFERROR(VALUE(REGEXEXTRACT(TO_TEXT($F1201), S$1 &amp; ""x(\d+)"")), """")"),"")</f>
        <v/>
      </c>
      <c r="T1201" s="9" t="str">
        <f ca="1">IFERROR(__xludf.DUMMYFUNCTION("IFERROR(VALUE(REGEXEXTRACT(TO_TEXT($F1201), T$1 &amp; ""x(\d+)"")), """")"),"")</f>
        <v/>
      </c>
      <c r="U1201" s="9" t="str">
        <f ca="1">IFERROR(__xludf.DUMMYFUNCTION("IFERROR(VALUE(REGEXEXTRACT(TO_TEXT($F1201), U$1 &amp; ""x(\d+)"")), """")"),"")</f>
        <v/>
      </c>
      <c r="V1201" s="9" t="str">
        <f ca="1">IFERROR(__xludf.DUMMYFUNCTION("IFERROR(VALUE(REGEXEXTRACT(TO_TEXT($F1201), V$1 &amp; ""x(\d+)"")), """")"),"")</f>
        <v/>
      </c>
      <c r="W1201" s="9"/>
      <c r="X1201" s="9"/>
      <c r="Y1201" s="9"/>
      <c r="Z1201" s="9"/>
    </row>
    <row r="1202" spans="1:26" ht="15.75" customHeight="1">
      <c r="A1202" s="9" t="s">
        <v>2261</v>
      </c>
      <c r="B1202" s="9" t="s">
        <v>2262</v>
      </c>
      <c r="C1202" s="9" t="s">
        <v>2263</v>
      </c>
      <c r="D1202" s="9" t="s">
        <v>48</v>
      </c>
      <c r="E1202" s="9" t="s">
        <v>11</v>
      </c>
      <c r="F1202" s="9" t="s">
        <v>1180</v>
      </c>
      <c r="G1202" s="9">
        <v>25</v>
      </c>
      <c r="H1202" s="9">
        <v>4</v>
      </c>
      <c r="I1202" s="9">
        <v>1.0149999999999999</v>
      </c>
      <c r="J1202" s="9">
        <v>52</v>
      </c>
      <c r="K1202" s="9" t="s">
        <v>424</v>
      </c>
      <c r="L1202" s="9"/>
      <c r="M1202" s="9"/>
      <c r="N1202" s="9" t="str">
        <f ca="1">IFERROR(__xludf.DUMMYFUNCTION("IFERROR(VALUE(REGEXEXTRACT(TO_TEXT($F1202), N$1 &amp; ""x(\d+)"")), """")
"),"")</f>
        <v/>
      </c>
      <c r="O1202" s="9" t="str">
        <f ca="1">IFERROR(__xludf.DUMMYFUNCTION("IFERROR(VALUE(REGEXEXTRACT(TO_TEXT($F1202), O$1 &amp; ""x(\d+)"")), """")"),"")</f>
        <v/>
      </c>
      <c r="P1202" s="9" t="str">
        <f ca="1">IFERROR(__xludf.DUMMYFUNCTION("IFERROR(VALUE(REGEXEXTRACT(TO_TEXT($F1202), P$1 &amp; ""x(\d+)"")), """")"),"")</f>
        <v/>
      </c>
      <c r="Q1202" s="9" t="str">
        <f ca="1">IFERROR(__xludf.DUMMYFUNCTION("IFERROR(VALUE(REGEXEXTRACT(TO_TEXT($F1202), Q$1 &amp; ""x(\d+)"")), """")"),"")</f>
        <v/>
      </c>
      <c r="R1202" s="9" t="str">
        <f ca="1">IFERROR(__xludf.DUMMYFUNCTION("IFERROR(VALUE(REGEXEXTRACT(TO_TEXT($F1202), R$1 &amp; ""x(\d+)"")), """")"),"")</f>
        <v/>
      </c>
      <c r="S1202" s="9" t="str">
        <f ca="1">IFERROR(__xludf.DUMMYFUNCTION("IFERROR(VALUE(REGEXEXTRACT(TO_TEXT($F1202), S$1 &amp; ""x(\d+)"")), """")"),"")</f>
        <v/>
      </c>
      <c r="T1202" s="9" t="str">
        <f ca="1">IFERROR(__xludf.DUMMYFUNCTION("IFERROR(VALUE(REGEXEXTRACT(TO_TEXT($F1202), T$1 &amp; ""x(\d+)"")), """")"),"")</f>
        <v/>
      </c>
      <c r="U1202" s="9" t="str">
        <f ca="1">IFERROR(__xludf.DUMMYFUNCTION("IFERROR(VALUE(REGEXEXTRACT(TO_TEXT($F1202), U$1 &amp; ""x(\d+)"")), """")"),"")</f>
        <v/>
      </c>
      <c r="V1202" s="9" t="str">
        <f ca="1">IFERROR(__xludf.DUMMYFUNCTION("IFERROR(VALUE(REGEXEXTRACT(TO_TEXT($F1202), V$1 &amp; ""x(\d+)"")), """")"),"")</f>
        <v/>
      </c>
      <c r="W1202" s="9"/>
      <c r="X1202" s="9"/>
      <c r="Y1202" s="9"/>
      <c r="Z1202" s="9"/>
    </row>
    <row r="1203" spans="1:26" ht="15.75" customHeight="1">
      <c r="A1203" s="9" t="s">
        <v>2261</v>
      </c>
      <c r="B1203" s="9" t="s">
        <v>2262</v>
      </c>
      <c r="C1203" s="9" t="s">
        <v>2263</v>
      </c>
      <c r="D1203" s="9" t="s">
        <v>48</v>
      </c>
      <c r="E1203" s="9" t="s">
        <v>12</v>
      </c>
      <c r="F1203" s="9" t="s">
        <v>1347</v>
      </c>
      <c r="G1203" s="9">
        <v>140</v>
      </c>
      <c r="H1203" s="9">
        <v>4</v>
      </c>
      <c r="I1203" s="9">
        <v>1.0149999999999999</v>
      </c>
      <c r="J1203" s="9">
        <v>52</v>
      </c>
      <c r="K1203" s="9" t="s">
        <v>424</v>
      </c>
      <c r="L1203" s="9" t="s">
        <v>1210</v>
      </c>
      <c r="M1203" s="9"/>
      <c r="N1203" s="9" t="str">
        <f ca="1">IFERROR(__xludf.DUMMYFUNCTION("IFERROR(VALUE(REGEXEXTRACT(TO_TEXT($F1203), N$1 &amp; ""x(\d+)"")), """")
"),"")</f>
        <v/>
      </c>
      <c r="O1203" s="9" t="str">
        <f ca="1">IFERROR(__xludf.DUMMYFUNCTION("IFERROR(VALUE(REGEXEXTRACT(TO_TEXT($F1203), O$1 &amp; ""x(\d+)"")), """")"),"")</f>
        <v/>
      </c>
      <c r="P1203" s="9">
        <f ca="1">IFERROR(__xludf.DUMMYFUNCTION("IFERROR(VALUE(REGEXEXTRACT(TO_TEXT($F1203), P$1 &amp; ""x(\d+)"")), """")"),1)</f>
        <v>1</v>
      </c>
      <c r="Q1203" s="9" t="str">
        <f ca="1">IFERROR(__xludf.DUMMYFUNCTION("IFERROR(VALUE(REGEXEXTRACT(TO_TEXT($F1203), Q$1 &amp; ""x(\d+)"")), """")"),"")</f>
        <v/>
      </c>
      <c r="R1203" s="9">
        <f ca="1">IFERROR(__xludf.DUMMYFUNCTION("IFERROR(VALUE(REGEXEXTRACT(TO_TEXT($F1203), R$1 &amp; ""x(\d+)"")), """")"),1)</f>
        <v>1</v>
      </c>
      <c r="S1203" s="9" t="str">
        <f ca="1">IFERROR(__xludf.DUMMYFUNCTION("IFERROR(VALUE(REGEXEXTRACT(TO_TEXT($F1203), S$1 &amp; ""x(\d+)"")), """")"),"")</f>
        <v/>
      </c>
      <c r="T1203" s="9" t="str">
        <f ca="1">IFERROR(__xludf.DUMMYFUNCTION("IFERROR(VALUE(REGEXEXTRACT(TO_TEXT($F1203), T$1 &amp; ""x(\d+)"")), """")"),"")</f>
        <v/>
      </c>
      <c r="U1203" s="9" t="str">
        <f ca="1">IFERROR(__xludf.DUMMYFUNCTION("IFERROR(VALUE(REGEXEXTRACT(TO_TEXT($F1203), U$1 &amp; ""x(\d+)"")), """")"),"")</f>
        <v/>
      </c>
      <c r="V1203" s="9" t="str">
        <f ca="1">IFERROR(__xludf.DUMMYFUNCTION("IFERROR(VALUE(REGEXEXTRACT(TO_TEXT($F1203), V$1 &amp; ""x(\d+)"")), """")"),"")</f>
        <v/>
      </c>
      <c r="W1203" s="9"/>
      <c r="X1203" s="9"/>
      <c r="Y1203" s="9"/>
      <c r="Z1203" s="9"/>
    </row>
    <row r="1204" spans="1:26" ht="15.75" customHeight="1">
      <c r="A1204" s="9" t="s">
        <v>2261</v>
      </c>
      <c r="B1204" s="9" t="s">
        <v>2262</v>
      </c>
      <c r="C1204" s="9" t="s">
        <v>2263</v>
      </c>
      <c r="D1204" s="9" t="s">
        <v>48</v>
      </c>
      <c r="E1204" s="9" t="s">
        <v>13</v>
      </c>
      <c r="F1204" s="9" t="s">
        <v>1348</v>
      </c>
      <c r="G1204" s="9">
        <v>90</v>
      </c>
      <c r="H1204" s="9">
        <v>4</v>
      </c>
      <c r="I1204" s="9">
        <v>1.0149999999999999</v>
      </c>
      <c r="J1204" s="9">
        <v>52</v>
      </c>
      <c r="K1204" s="9" t="s">
        <v>424</v>
      </c>
      <c r="L1204" s="9"/>
      <c r="M1204" s="9"/>
      <c r="N1204" s="9" t="str">
        <f ca="1">IFERROR(__xludf.DUMMYFUNCTION("IFERROR(VALUE(REGEXEXTRACT(TO_TEXT($F1204), N$1 &amp; ""x(\d+)"")), """")
"),"")</f>
        <v/>
      </c>
      <c r="O1204" s="9" t="str">
        <f ca="1">IFERROR(__xludf.DUMMYFUNCTION("IFERROR(VALUE(REGEXEXTRACT(TO_TEXT($F1204), O$1 &amp; ""x(\d+)"")), """")"),"")</f>
        <v/>
      </c>
      <c r="P1204" s="9">
        <f ca="1">IFERROR(__xludf.DUMMYFUNCTION("IFERROR(VALUE(REGEXEXTRACT(TO_TEXT($F1204), P$1 &amp; ""x(\d+)"")), """")"),1)</f>
        <v>1</v>
      </c>
      <c r="Q1204" s="9" t="str">
        <f ca="1">IFERROR(__xludf.DUMMYFUNCTION("IFERROR(VALUE(REGEXEXTRACT(TO_TEXT($F1204), Q$1 &amp; ""x(\d+)"")), """")"),"")</f>
        <v/>
      </c>
      <c r="R1204" s="9">
        <f ca="1">IFERROR(__xludf.DUMMYFUNCTION("IFERROR(VALUE(REGEXEXTRACT(TO_TEXT($F1204), R$1 &amp; ""x(\d+)"")), """")"),1)</f>
        <v>1</v>
      </c>
      <c r="S1204" s="9" t="str">
        <f ca="1">IFERROR(__xludf.DUMMYFUNCTION("IFERROR(VALUE(REGEXEXTRACT(TO_TEXT($F1204), S$1 &amp; ""x(\d+)"")), """")"),"")</f>
        <v/>
      </c>
      <c r="T1204" s="9" t="str">
        <f ca="1">IFERROR(__xludf.DUMMYFUNCTION("IFERROR(VALUE(REGEXEXTRACT(TO_TEXT($F1204), T$1 &amp; ""x(\d+)"")), """")"),"")</f>
        <v/>
      </c>
      <c r="U1204" s="9" t="str">
        <f ca="1">IFERROR(__xludf.DUMMYFUNCTION("IFERROR(VALUE(REGEXEXTRACT(TO_TEXT($F1204), U$1 &amp; ""x(\d+)"")), """")"),"")</f>
        <v/>
      </c>
      <c r="V1204" s="9" t="str">
        <f ca="1">IFERROR(__xludf.DUMMYFUNCTION("IFERROR(VALUE(REGEXEXTRACT(TO_TEXT($F1204), V$1 &amp; ""x(\d+)"")), """")"),"")</f>
        <v/>
      </c>
      <c r="W1204" s="9"/>
      <c r="X1204" s="9"/>
      <c r="Y1204" s="9"/>
      <c r="Z1204" s="9"/>
    </row>
    <row r="1205" spans="1:26" ht="15.75" customHeight="1">
      <c r="A1205" s="9" t="s">
        <v>2264</v>
      </c>
      <c r="B1205" s="9" t="s">
        <v>2265</v>
      </c>
      <c r="C1205" s="9" t="s">
        <v>2266</v>
      </c>
      <c r="D1205" s="9" t="s">
        <v>33</v>
      </c>
      <c r="E1205" s="9" t="s">
        <v>11</v>
      </c>
      <c r="F1205" s="9" t="s">
        <v>1260</v>
      </c>
      <c r="G1205" s="9">
        <v>20</v>
      </c>
      <c r="H1205" s="9">
        <v>2</v>
      </c>
      <c r="I1205" s="9">
        <v>1.0149999999999999</v>
      </c>
      <c r="J1205" s="9">
        <v>110</v>
      </c>
      <c r="K1205" s="9" t="s">
        <v>442</v>
      </c>
      <c r="L1205" s="9"/>
      <c r="M1205" s="9"/>
      <c r="N1205" s="9" t="str">
        <f ca="1">IFERROR(__xludf.DUMMYFUNCTION("IFERROR(VALUE(REGEXEXTRACT(TO_TEXT($F1205), N$1 &amp; ""x(\d+)"")), """")
"),"")</f>
        <v/>
      </c>
      <c r="O1205" s="9" t="str">
        <f ca="1">IFERROR(__xludf.DUMMYFUNCTION("IFERROR(VALUE(REGEXEXTRACT(TO_TEXT($F1205), O$1 &amp; ""x(\d+)"")), """")"),"")</f>
        <v/>
      </c>
      <c r="P1205" s="9" t="str">
        <f ca="1">IFERROR(__xludf.DUMMYFUNCTION("IFERROR(VALUE(REGEXEXTRACT(TO_TEXT($F1205), P$1 &amp; ""x(\d+)"")), """")"),"")</f>
        <v/>
      </c>
      <c r="Q1205" s="9" t="str">
        <f ca="1">IFERROR(__xludf.DUMMYFUNCTION("IFERROR(VALUE(REGEXEXTRACT(TO_TEXT($F1205), Q$1 &amp; ""x(\d+)"")), """")"),"")</f>
        <v/>
      </c>
      <c r="R1205" s="9" t="str">
        <f ca="1">IFERROR(__xludf.DUMMYFUNCTION("IFERROR(VALUE(REGEXEXTRACT(TO_TEXT($F1205), R$1 &amp; ""x(\d+)"")), """")"),"")</f>
        <v/>
      </c>
      <c r="S1205" s="9" t="str">
        <f ca="1">IFERROR(__xludf.DUMMYFUNCTION("IFERROR(VALUE(REGEXEXTRACT(TO_TEXT($F1205), S$1 &amp; ""x(\d+)"")), """")"),"")</f>
        <v/>
      </c>
      <c r="T1205" s="9" t="str">
        <f ca="1">IFERROR(__xludf.DUMMYFUNCTION("IFERROR(VALUE(REGEXEXTRACT(TO_TEXT($F1205), T$1 &amp; ""x(\d+)"")), """")"),"")</f>
        <v/>
      </c>
      <c r="U1205" s="9" t="str">
        <f ca="1">IFERROR(__xludf.DUMMYFUNCTION("IFERROR(VALUE(REGEXEXTRACT(TO_TEXT($F1205), U$1 &amp; ""x(\d+)"")), """")"),"")</f>
        <v/>
      </c>
      <c r="V1205" s="9" t="str">
        <f ca="1">IFERROR(__xludf.DUMMYFUNCTION("IFERROR(VALUE(REGEXEXTRACT(TO_TEXT($F1205), V$1 &amp; ""x(\d+)"")), """")"),"")</f>
        <v/>
      </c>
      <c r="W1205" s="9"/>
      <c r="X1205" s="9"/>
      <c r="Y1205" s="9"/>
      <c r="Z1205" s="9"/>
    </row>
    <row r="1206" spans="1:26" ht="15.75" customHeight="1">
      <c r="A1206" s="9" t="s">
        <v>2264</v>
      </c>
      <c r="B1206" s="9" t="s">
        <v>2265</v>
      </c>
      <c r="C1206" s="9" t="s">
        <v>2266</v>
      </c>
      <c r="D1206" s="9" t="s">
        <v>33</v>
      </c>
      <c r="E1206" s="9" t="s">
        <v>12</v>
      </c>
      <c r="F1206" s="9" t="s">
        <v>2267</v>
      </c>
      <c r="G1206" s="9">
        <v>100</v>
      </c>
      <c r="H1206" s="9">
        <v>2</v>
      </c>
      <c r="I1206" s="9">
        <v>1.0149999999999999</v>
      </c>
      <c r="J1206" s="9">
        <v>110</v>
      </c>
      <c r="K1206" s="9" t="s">
        <v>442</v>
      </c>
      <c r="L1206" s="9"/>
      <c r="M1206" s="9"/>
      <c r="N1206" s="9" t="str">
        <f ca="1">IFERROR(__xludf.DUMMYFUNCTION("IFERROR(VALUE(REGEXEXTRACT(TO_TEXT($F1206), N$1 &amp; ""x(\d+)"")), """")
"),"")</f>
        <v/>
      </c>
      <c r="O1206" s="9">
        <f ca="1">IFERROR(__xludf.DUMMYFUNCTION("IFERROR(VALUE(REGEXEXTRACT(TO_TEXT($F1206), O$1 &amp; ""x(\d+)"")), """")"),1)</f>
        <v>1</v>
      </c>
      <c r="P1206" s="9" t="str">
        <f ca="1">IFERROR(__xludf.DUMMYFUNCTION("IFERROR(VALUE(REGEXEXTRACT(TO_TEXT($F1206), P$1 &amp; ""x(\d+)"")), """")"),"")</f>
        <v/>
      </c>
      <c r="Q1206" s="9" t="str">
        <f ca="1">IFERROR(__xludf.DUMMYFUNCTION("IFERROR(VALUE(REGEXEXTRACT(TO_TEXT($F1206), Q$1 &amp; ""x(\d+)"")), """")"),"")</f>
        <v/>
      </c>
      <c r="R1206" s="9" t="str">
        <f ca="1">IFERROR(__xludf.DUMMYFUNCTION("IFERROR(VALUE(REGEXEXTRACT(TO_TEXT($F1206), R$1 &amp; ""x(\d+)"")), """")"),"")</f>
        <v/>
      </c>
      <c r="S1206" s="9" t="str">
        <f ca="1">IFERROR(__xludf.DUMMYFUNCTION("IFERROR(VALUE(REGEXEXTRACT(TO_TEXT($F1206), S$1 &amp; ""x(\d+)"")), """")"),"")</f>
        <v/>
      </c>
      <c r="T1206" s="9" t="str">
        <f ca="1">IFERROR(__xludf.DUMMYFUNCTION("IFERROR(VALUE(REGEXEXTRACT(TO_TEXT($F1206), T$1 &amp; ""x(\d+)"")), """")"),"")</f>
        <v/>
      </c>
      <c r="U1206" s="9" t="str">
        <f ca="1">IFERROR(__xludf.DUMMYFUNCTION("IFERROR(VALUE(REGEXEXTRACT(TO_TEXT($F1206), U$1 &amp; ""x(\d+)"")), """")"),"")</f>
        <v/>
      </c>
      <c r="V1206" s="9" t="str">
        <f ca="1">IFERROR(__xludf.DUMMYFUNCTION("IFERROR(VALUE(REGEXEXTRACT(TO_TEXT($F1206), V$1 &amp; ""x(\d+)"")), """")"),"")</f>
        <v/>
      </c>
      <c r="W1206" s="9"/>
      <c r="X1206" s="9"/>
      <c r="Y1206" s="9"/>
      <c r="Z1206" s="9"/>
    </row>
    <row r="1207" spans="1:26" ht="15.75" customHeight="1">
      <c r="A1207" s="9" t="s">
        <v>2264</v>
      </c>
      <c r="B1207" s="9" t="s">
        <v>2265</v>
      </c>
      <c r="C1207" s="9" t="s">
        <v>2266</v>
      </c>
      <c r="D1207" s="9" t="s">
        <v>33</v>
      </c>
      <c r="E1207" s="9" t="s">
        <v>13</v>
      </c>
      <c r="F1207" s="9" t="s">
        <v>1369</v>
      </c>
      <c r="G1207" s="9">
        <v>15</v>
      </c>
      <c r="H1207" s="9">
        <v>2</v>
      </c>
      <c r="I1207" s="9">
        <v>1.0149999999999999</v>
      </c>
      <c r="J1207" s="9">
        <v>110</v>
      </c>
      <c r="K1207" s="9" t="s">
        <v>442</v>
      </c>
      <c r="L1207" s="9"/>
      <c r="M1207" s="9"/>
      <c r="N1207" s="9" t="str">
        <f ca="1">IFERROR(__xludf.DUMMYFUNCTION("IFERROR(VALUE(REGEXEXTRACT(TO_TEXT($F1207), N$1 &amp; ""x(\d+)"")), """")
"),"")</f>
        <v/>
      </c>
      <c r="O1207" s="9">
        <f ca="1">IFERROR(__xludf.DUMMYFUNCTION("IFERROR(VALUE(REGEXEXTRACT(TO_TEXT($F1207), O$1 &amp; ""x(\d+)"")), """")"),1)</f>
        <v>1</v>
      </c>
      <c r="P1207" s="9" t="str">
        <f ca="1">IFERROR(__xludf.DUMMYFUNCTION("IFERROR(VALUE(REGEXEXTRACT(TO_TEXT($F1207), P$1 &amp; ""x(\d+)"")), """")"),"")</f>
        <v/>
      </c>
      <c r="Q1207" s="9" t="str">
        <f ca="1">IFERROR(__xludf.DUMMYFUNCTION("IFERROR(VALUE(REGEXEXTRACT(TO_TEXT($F1207), Q$1 &amp; ""x(\d+)"")), """")"),"")</f>
        <v/>
      </c>
      <c r="R1207" s="9" t="str">
        <f ca="1">IFERROR(__xludf.DUMMYFUNCTION("IFERROR(VALUE(REGEXEXTRACT(TO_TEXT($F1207), R$1 &amp; ""x(\d+)"")), """")"),"")</f>
        <v/>
      </c>
      <c r="S1207" s="9" t="str">
        <f ca="1">IFERROR(__xludf.DUMMYFUNCTION("IFERROR(VALUE(REGEXEXTRACT(TO_TEXT($F1207), S$1 &amp; ""x(\d+)"")), """")"),"")</f>
        <v/>
      </c>
      <c r="T1207" s="9" t="str">
        <f ca="1">IFERROR(__xludf.DUMMYFUNCTION("IFERROR(VALUE(REGEXEXTRACT(TO_TEXT($F1207), T$1 &amp; ""x(\d+)"")), """")"),"")</f>
        <v/>
      </c>
      <c r="U1207" s="9" t="str">
        <f ca="1">IFERROR(__xludf.DUMMYFUNCTION("IFERROR(VALUE(REGEXEXTRACT(TO_TEXT($F1207), U$1 &amp; ""x(\d+)"")), """")"),"")</f>
        <v/>
      </c>
      <c r="V1207" s="9" t="str">
        <f ca="1">IFERROR(__xludf.DUMMYFUNCTION("IFERROR(VALUE(REGEXEXTRACT(TO_TEXT($F1207), V$1 &amp; ""x(\d+)"")), """")"),"")</f>
        <v/>
      </c>
      <c r="W1207" s="9"/>
      <c r="X1207" s="9"/>
      <c r="Y1207" s="9"/>
      <c r="Z1207" s="9"/>
    </row>
    <row r="1208" spans="1:26" ht="15.75" customHeight="1">
      <c r="A1208" s="9" t="s">
        <v>2268</v>
      </c>
      <c r="B1208" s="9" t="s">
        <v>2269</v>
      </c>
      <c r="C1208" s="9" t="s">
        <v>2270</v>
      </c>
      <c r="D1208" s="9" t="s">
        <v>33</v>
      </c>
      <c r="E1208" s="9" t="s">
        <v>11</v>
      </c>
      <c r="F1208" s="9" t="s">
        <v>1260</v>
      </c>
      <c r="G1208" s="9">
        <v>20</v>
      </c>
      <c r="H1208" s="9">
        <v>2</v>
      </c>
      <c r="I1208" s="9">
        <v>1.0149999999999999</v>
      </c>
      <c r="J1208" s="9">
        <v>110</v>
      </c>
      <c r="K1208" s="9" t="s">
        <v>442</v>
      </c>
      <c r="L1208" s="9"/>
      <c r="M1208" s="9"/>
      <c r="N1208" s="9" t="str">
        <f ca="1">IFERROR(__xludf.DUMMYFUNCTION("IFERROR(VALUE(REGEXEXTRACT(TO_TEXT($F1208), N$1 &amp; ""x(\d+)"")), """")
"),"")</f>
        <v/>
      </c>
      <c r="O1208" s="9" t="str">
        <f ca="1">IFERROR(__xludf.DUMMYFUNCTION("IFERROR(VALUE(REGEXEXTRACT(TO_TEXT($F1208), O$1 &amp; ""x(\d+)"")), """")"),"")</f>
        <v/>
      </c>
      <c r="P1208" s="9" t="str">
        <f ca="1">IFERROR(__xludf.DUMMYFUNCTION("IFERROR(VALUE(REGEXEXTRACT(TO_TEXT($F1208), P$1 &amp; ""x(\d+)"")), """")"),"")</f>
        <v/>
      </c>
      <c r="Q1208" s="9" t="str">
        <f ca="1">IFERROR(__xludf.DUMMYFUNCTION("IFERROR(VALUE(REGEXEXTRACT(TO_TEXT($F1208), Q$1 &amp; ""x(\d+)"")), """")"),"")</f>
        <v/>
      </c>
      <c r="R1208" s="9" t="str">
        <f ca="1">IFERROR(__xludf.DUMMYFUNCTION("IFERROR(VALUE(REGEXEXTRACT(TO_TEXT($F1208), R$1 &amp; ""x(\d+)"")), """")"),"")</f>
        <v/>
      </c>
      <c r="S1208" s="9" t="str">
        <f ca="1">IFERROR(__xludf.DUMMYFUNCTION("IFERROR(VALUE(REGEXEXTRACT(TO_TEXT($F1208), S$1 &amp; ""x(\d+)"")), """")"),"")</f>
        <v/>
      </c>
      <c r="T1208" s="9" t="str">
        <f ca="1">IFERROR(__xludf.DUMMYFUNCTION("IFERROR(VALUE(REGEXEXTRACT(TO_TEXT($F1208), T$1 &amp; ""x(\d+)"")), """")"),"")</f>
        <v/>
      </c>
      <c r="U1208" s="9" t="str">
        <f ca="1">IFERROR(__xludf.DUMMYFUNCTION("IFERROR(VALUE(REGEXEXTRACT(TO_TEXT($F1208), U$1 &amp; ""x(\d+)"")), """")"),"")</f>
        <v/>
      </c>
      <c r="V1208" s="9" t="str">
        <f ca="1">IFERROR(__xludf.DUMMYFUNCTION("IFERROR(VALUE(REGEXEXTRACT(TO_TEXT($F1208), V$1 &amp; ""x(\d+)"")), """")"),"")</f>
        <v/>
      </c>
      <c r="W1208" s="9"/>
      <c r="X1208" s="9"/>
      <c r="Y1208" s="9"/>
      <c r="Z1208" s="9"/>
    </row>
    <row r="1209" spans="1:26" ht="15.75" customHeight="1">
      <c r="A1209" s="9" t="s">
        <v>2268</v>
      </c>
      <c r="B1209" s="9" t="s">
        <v>2269</v>
      </c>
      <c r="C1209" s="9" t="s">
        <v>2270</v>
      </c>
      <c r="D1209" s="9" t="s">
        <v>33</v>
      </c>
      <c r="E1209" s="9" t="s">
        <v>12</v>
      </c>
      <c r="F1209" s="9" t="s">
        <v>2267</v>
      </c>
      <c r="G1209" s="9">
        <v>100</v>
      </c>
      <c r="H1209" s="9">
        <v>2</v>
      </c>
      <c r="I1209" s="9">
        <v>1.0149999999999999</v>
      </c>
      <c r="J1209" s="9">
        <v>110</v>
      </c>
      <c r="K1209" s="9" t="s">
        <v>442</v>
      </c>
      <c r="L1209" s="9" t="s">
        <v>1210</v>
      </c>
      <c r="M1209" s="9"/>
      <c r="N1209" s="9" t="str">
        <f ca="1">IFERROR(__xludf.DUMMYFUNCTION("IFERROR(VALUE(REGEXEXTRACT(TO_TEXT($F1209), N$1 &amp; ""x(\d+)"")), """")
"),"")</f>
        <v/>
      </c>
      <c r="O1209" s="9">
        <f ca="1">IFERROR(__xludf.DUMMYFUNCTION("IFERROR(VALUE(REGEXEXTRACT(TO_TEXT($F1209), O$1 &amp; ""x(\d+)"")), """")"),1)</f>
        <v>1</v>
      </c>
      <c r="P1209" s="9" t="str">
        <f ca="1">IFERROR(__xludf.DUMMYFUNCTION("IFERROR(VALUE(REGEXEXTRACT(TO_TEXT($F1209), P$1 &amp; ""x(\d+)"")), """")"),"")</f>
        <v/>
      </c>
      <c r="Q1209" s="9" t="str">
        <f ca="1">IFERROR(__xludf.DUMMYFUNCTION("IFERROR(VALUE(REGEXEXTRACT(TO_TEXT($F1209), Q$1 &amp; ""x(\d+)"")), """")"),"")</f>
        <v/>
      </c>
      <c r="R1209" s="9" t="str">
        <f ca="1">IFERROR(__xludf.DUMMYFUNCTION("IFERROR(VALUE(REGEXEXTRACT(TO_TEXT($F1209), R$1 &amp; ""x(\d+)"")), """")"),"")</f>
        <v/>
      </c>
      <c r="S1209" s="9" t="str">
        <f ca="1">IFERROR(__xludf.DUMMYFUNCTION("IFERROR(VALUE(REGEXEXTRACT(TO_TEXT($F1209), S$1 &amp; ""x(\d+)"")), """")"),"")</f>
        <v/>
      </c>
      <c r="T1209" s="9" t="str">
        <f ca="1">IFERROR(__xludf.DUMMYFUNCTION("IFERROR(VALUE(REGEXEXTRACT(TO_TEXT($F1209), T$1 &amp; ""x(\d+)"")), """")"),"")</f>
        <v/>
      </c>
      <c r="U1209" s="9" t="str">
        <f ca="1">IFERROR(__xludf.DUMMYFUNCTION("IFERROR(VALUE(REGEXEXTRACT(TO_TEXT($F1209), U$1 &amp; ""x(\d+)"")), """")"),"")</f>
        <v/>
      </c>
      <c r="V1209" s="9" t="str">
        <f ca="1">IFERROR(__xludf.DUMMYFUNCTION("IFERROR(VALUE(REGEXEXTRACT(TO_TEXT($F1209), V$1 &amp; ""x(\d+)"")), """")"),"")</f>
        <v/>
      </c>
      <c r="W1209" s="9"/>
      <c r="X1209" s="9"/>
      <c r="Y1209" s="9"/>
      <c r="Z1209" s="9"/>
    </row>
    <row r="1210" spans="1:26" ht="15.75" customHeight="1">
      <c r="A1210" s="9" t="s">
        <v>2268</v>
      </c>
      <c r="B1210" s="9" t="s">
        <v>2269</v>
      </c>
      <c r="C1210" s="9" t="s">
        <v>2270</v>
      </c>
      <c r="D1210" s="9" t="s">
        <v>33</v>
      </c>
      <c r="E1210" s="9" t="s">
        <v>13</v>
      </c>
      <c r="F1210" s="9" t="s">
        <v>1369</v>
      </c>
      <c r="G1210" s="9">
        <v>15</v>
      </c>
      <c r="H1210" s="9">
        <v>2</v>
      </c>
      <c r="I1210" s="9">
        <v>1.0149999999999999</v>
      </c>
      <c r="J1210" s="9">
        <v>110</v>
      </c>
      <c r="K1210" s="9" t="s">
        <v>442</v>
      </c>
      <c r="L1210" s="9"/>
      <c r="M1210" s="9"/>
      <c r="N1210" s="9" t="str">
        <f ca="1">IFERROR(__xludf.DUMMYFUNCTION("IFERROR(VALUE(REGEXEXTRACT(TO_TEXT($F1210), N$1 &amp; ""x(\d+)"")), """")
"),"")</f>
        <v/>
      </c>
      <c r="O1210" s="9">
        <f ca="1">IFERROR(__xludf.DUMMYFUNCTION("IFERROR(VALUE(REGEXEXTRACT(TO_TEXT($F1210), O$1 &amp; ""x(\d+)"")), """")"),1)</f>
        <v>1</v>
      </c>
      <c r="P1210" s="9" t="str">
        <f ca="1">IFERROR(__xludf.DUMMYFUNCTION("IFERROR(VALUE(REGEXEXTRACT(TO_TEXT($F1210), P$1 &amp; ""x(\d+)"")), """")"),"")</f>
        <v/>
      </c>
      <c r="Q1210" s="9" t="str">
        <f ca="1">IFERROR(__xludf.DUMMYFUNCTION("IFERROR(VALUE(REGEXEXTRACT(TO_TEXT($F1210), Q$1 &amp; ""x(\d+)"")), """")"),"")</f>
        <v/>
      </c>
      <c r="R1210" s="9" t="str">
        <f ca="1">IFERROR(__xludf.DUMMYFUNCTION("IFERROR(VALUE(REGEXEXTRACT(TO_TEXT($F1210), R$1 &amp; ""x(\d+)"")), """")"),"")</f>
        <v/>
      </c>
      <c r="S1210" s="9" t="str">
        <f ca="1">IFERROR(__xludf.DUMMYFUNCTION("IFERROR(VALUE(REGEXEXTRACT(TO_TEXT($F1210), S$1 &amp; ""x(\d+)"")), """")"),"")</f>
        <v/>
      </c>
      <c r="T1210" s="9" t="str">
        <f ca="1">IFERROR(__xludf.DUMMYFUNCTION("IFERROR(VALUE(REGEXEXTRACT(TO_TEXT($F1210), T$1 &amp; ""x(\d+)"")), """")"),"")</f>
        <v/>
      </c>
      <c r="U1210" s="9" t="str">
        <f ca="1">IFERROR(__xludf.DUMMYFUNCTION("IFERROR(VALUE(REGEXEXTRACT(TO_TEXT($F1210), U$1 &amp; ""x(\d+)"")), """")"),"")</f>
        <v/>
      </c>
      <c r="V1210" s="9" t="str">
        <f ca="1">IFERROR(__xludf.DUMMYFUNCTION("IFERROR(VALUE(REGEXEXTRACT(TO_TEXT($F1210), V$1 &amp; ""x(\d+)"")), """")"),"")</f>
        <v/>
      </c>
      <c r="W1210" s="9"/>
      <c r="X1210" s="9"/>
      <c r="Y1210" s="9"/>
      <c r="Z1210" s="9"/>
    </row>
    <row r="1211" spans="1:26" ht="15.75" customHeight="1">
      <c r="A1211" s="9" t="s">
        <v>2271</v>
      </c>
      <c r="B1211" s="9" t="s">
        <v>2272</v>
      </c>
      <c r="C1211" s="9" t="s">
        <v>2273</v>
      </c>
      <c r="D1211" s="9" t="s">
        <v>33</v>
      </c>
      <c r="E1211" s="9" t="s">
        <v>11</v>
      </c>
      <c r="F1211" s="9" t="s">
        <v>1254</v>
      </c>
      <c r="G1211" s="9">
        <v>20</v>
      </c>
      <c r="H1211" s="9">
        <v>2</v>
      </c>
      <c r="I1211" s="9">
        <v>1.0149999999999999</v>
      </c>
      <c r="J1211" s="9">
        <v>110</v>
      </c>
      <c r="K1211" s="9" t="s">
        <v>442</v>
      </c>
      <c r="L1211" s="9"/>
      <c r="M1211" s="9"/>
      <c r="N1211" s="9" t="str">
        <f ca="1">IFERROR(__xludf.DUMMYFUNCTION("IFERROR(VALUE(REGEXEXTRACT(TO_TEXT($F1211), N$1 &amp; ""x(\d+)"")), """")
"),"")</f>
        <v/>
      </c>
      <c r="O1211" s="9" t="str">
        <f ca="1">IFERROR(__xludf.DUMMYFUNCTION("IFERROR(VALUE(REGEXEXTRACT(TO_TEXT($F1211), O$1 &amp; ""x(\d+)"")), """")"),"")</f>
        <v/>
      </c>
      <c r="P1211" s="9" t="str">
        <f ca="1">IFERROR(__xludf.DUMMYFUNCTION("IFERROR(VALUE(REGEXEXTRACT(TO_TEXT($F1211), P$1 &amp; ""x(\d+)"")), """")"),"")</f>
        <v/>
      </c>
      <c r="Q1211" s="9" t="str">
        <f ca="1">IFERROR(__xludf.DUMMYFUNCTION("IFERROR(VALUE(REGEXEXTRACT(TO_TEXT($F1211), Q$1 &amp; ""x(\d+)"")), """")"),"")</f>
        <v/>
      </c>
      <c r="R1211" s="9" t="str">
        <f ca="1">IFERROR(__xludf.DUMMYFUNCTION("IFERROR(VALUE(REGEXEXTRACT(TO_TEXT($F1211), R$1 &amp; ""x(\d+)"")), """")"),"")</f>
        <v/>
      </c>
      <c r="S1211" s="9" t="str">
        <f ca="1">IFERROR(__xludf.DUMMYFUNCTION("IFERROR(VALUE(REGEXEXTRACT(TO_TEXT($F1211), S$1 &amp; ""x(\d+)"")), """")"),"")</f>
        <v/>
      </c>
      <c r="T1211" s="9" t="str">
        <f ca="1">IFERROR(__xludf.DUMMYFUNCTION("IFERROR(VALUE(REGEXEXTRACT(TO_TEXT($F1211), T$1 &amp; ""x(\d+)"")), """")"),"")</f>
        <v/>
      </c>
      <c r="U1211" s="9" t="str">
        <f ca="1">IFERROR(__xludf.DUMMYFUNCTION("IFERROR(VALUE(REGEXEXTRACT(TO_TEXT($F1211), U$1 &amp; ""x(\d+)"")), """")"),"")</f>
        <v/>
      </c>
      <c r="V1211" s="9" t="str">
        <f ca="1">IFERROR(__xludf.DUMMYFUNCTION("IFERROR(VALUE(REGEXEXTRACT(TO_TEXT($F1211), V$1 &amp; ""x(\d+)"")), """")"),"")</f>
        <v/>
      </c>
      <c r="W1211" s="9"/>
      <c r="X1211" s="9"/>
      <c r="Y1211" s="9"/>
      <c r="Z1211" s="9"/>
    </row>
    <row r="1212" spans="1:26" ht="15.75" customHeight="1">
      <c r="A1212" s="9" t="s">
        <v>2271</v>
      </c>
      <c r="B1212" s="9" t="s">
        <v>2272</v>
      </c>
      <c r="C1212" s="9" t="s">
        <v>2273</v>
      </c>
      <c r="D1212" s="9" t="s">
        <v>33</v>
      </c>
      <c r="E1212" s="9" t="s">
        <v>12</v>
      </c>
      <c r="F1212" s="9" t="s">
        <v>2274</v>
      </c>
      <c r="G1212" s="9">
        <v>110</v>
      </c>
      <c r="H1212" s="9">
        <v>2</v>
      </c>
      <c r="I1212" s="9">
        <v>1.0149999999999999</v>
      </c>
      <c r="J1212" s="9">
        <v>110</v>
      </c>
      <c r="K1212" s="9" t="s">
        <v>442</v>
      </c>
      <c r="L1212" s="9" t="s">
        <v>1210</v>
      </c>
      <c r="M1212" s="9"/>
      <c r="N1212" s="9" t="str">
        <f ca="1">IFERROR(__xludf.DUMMYFUNCTION("IFERROR(VALUE(REGEXEXTRACT(TO_TEXT($F1212), N$1 &amp; ""x(\d+)"")), """")
"),"")</f>
        <v/>
      </c>
      <c r="O1212" s="9">
        <f ca="1">IFERROR(__xludf.DUMMYFUNCTION("IFERROR(VALUE(REGEXEXTRACT(TO_TEXT($F1212), O$1 &amp; ""x(\d+)"")), """")"),1)</f>
        <v>1</v>
      </c>
      <c r="P1212" s="9" t="str">
        <f ca="1">IFERROR(__xludf.DUMMYFUNCTION("IFERROR(VALUE(REGEXEXTRACT(TO_TEXT($F1212), P$1 &amp; ""x(\d+)"")), """")"),"")</f>
        <v/>
      </c>
      <c r="Q1212" s="9" t="str">
        <f ca="1">IFERROR(__xludf.DUMMYFUNCTION("IFERROR(VALUE(REGEXEXTRACT(TO_TEXT($F1212), Q$1 &amp; ""x(\d+)"")), """")"),"")</f>
        <v/>
      </c>
      <c r="R1212" s="9" t="str">
        <f ca="1">IFERROR(__xludf.DUMMYFUNCTION("IFERROR(VALUE(REGEXEXTRACT(TO_TEXT($F1212), R$1 &amp; ""x(\d+)"")), """")"),"")</f>
        <v/>
      </c>
      <c r="S1212" s="9" t="str">
        <f ca="1">IFERROR(__xludf.DUMMYFUNCTION("IFERROR(VALUE(REGEXEXTRACT(TO_TEXT($F1212), S$1 &amp; ""x(\d+)"")), """")"),"")</f>
        <v/>
      </c>
      <c r="T1212" s="9" t="str">
        <f ca="1">IFERROR(__xludf.DUMMYFUNCTION("IFERROR(VALUE(REGEXEXTRACT(TO_TEXT($F1212), T$1 &amp; ""x(\d+)"")), """")"),"")</f>
        <v/>
      </c>
      <c r="U1212" s="9" t="str">
        <f ca="1">IFERROR(__xludf.DUMMYFUNCTION("IFERROR(VALUE(REGEXEXTRACT(TO_TEXT($F1212), U$1 &amp; ""x(\d+)"")), """")"),"")</f>
        <v/>
      </c>
      <c r="V1212" s="9" t="str">
        <f ca="1">IFERROR(__xludf.DUMMYFUNCTION("IFERROR(VALUE(REGEXEXTRACT(TO_TEXT($F1212), V$1 &amp; ""x(\d+)"")), """")"),"")</f>
        <v/>
      </c>
      <c r="W1212" s="9"/>
      <c r="X1212" s="9"/>
      <c r="Y1212" s="9"/>
      <c r="Z1212" s="9"/>
    </row>
    <row r="1213" spans="1:26" ht="15.75" customHeight="1">
      <c r="A1213" s="9" t="s">
        <v>2271</v>
      </c>
      <c r="B1213" s="9" t="s">
        <v>2272</v>
      </c>
      <c r="C1213" s="9" t="s">
        <v>2273</v>
      </c>
      <c r="D1213" s="9" t="s">
        <v>33</v>
      </c>
      <c r="E1213" s="9" t="s">
        <v>13</v>
      </c>
      <c r="F1213" s="9" t="s">
        <v>1369</v>
      </c>
      <c r="G1213" s="9">
        <v>15</v>
      </c>
      <c r="H1213" s="9">
        <v>2</v>
      </c>
      <c r="I1213" s="9">
        <v>1.0149999999999999</v>
      </c>
      <c r="J1213" s="9">
        <v>110</v>
      </c>
      <c r="K1213" s="9" t="s">
        <v>442</v>
      </c>
      <c r="L1213" s="9"/>
      <c r="M1213" s="9"/>
      <c r="N1213" s="9" t="str">
        <f ca="1">IFERROR(__xludf.DUMMYFUNCTION("IFERROR(VALUE(REGEXEXTRACT(TO_TEXT($F1213), N$1 &amp; ""x(\d+)"")), """")
"),"")</f>
        <v/>
      </c>
      <c r="O1213" s="9">
        <f ca="1">IFERROR(__xludf.DUMMYFUNCTION("IFERROR(VALUE(REGEXEXTRACT(TO_TEXT($F1213), O$1 &amp; ""x(\d+)"")), """")"),1)</f>
        <v>1</v>
      </c>
      <c r="P1213" s="9" t="str">
        <f ca="1">IFERROR(__xludf.DUMMYFUNCTION("IFERROR(VALUE(REGEXEXTRACT(TO_TEXT($F1213), P$1 &amp; ""x(\d+)"")), """")"),"")</f>
        <v/>
      </c>
      <c r="Q1213" s="9" t="str">
        <f ca="1">IFERROR(__xludf.DUMMYFUNCTION("IFERROR(VALUE(REGEXEXTRACT(TO_TEXT($F1213), Q$1 &amp; ""x(\d+)"")), """")"),"")</f>
        <v/>
      </c>
      <c r="R1213" s="9" t="str">
        <f ca="1">IFERROR(__xludf.DUMMYFUNCTION("IFERROR(VALUE(REGEXEXTRACT(TO_TEXT($F1213), R$1 &amp; ""x(\d+)"")), """")"),"")</f>
        <v/>
      </c>
      <c r="S1213" s="9" t="str">
        <f ca="1">IFERROR(__xludf.DUMMYFUNCTION("IFERROR(VALUE(REGEXEXTRACT(TO_TEXT($F1213), S$1 &amp; ""x(\d+)"")), """")"),"")</f>
        <v/>
      </c>
      <c r="T1213" s="9" t="str">
        <f ca="1">IFERROR(__xludf.DUMMYFUNCTION("IFERROR(VALUE(REGEXEXTRACT(TO_TEXT($F1213), T$1 &amp; ""x(\d+)"")), """")"),"")</f>
        <v/>
      </c>
      <c r="U1213" s="9" t="str">
        <f ca="1">IFERROR(__xludf.DUMMYFUNCTION("IFERROR(VALUE(REGEXEXTRACT(TO_TEXT($F1213), U$1 &amp; ""x(\d+)"")), """")"),"")</f>
        <v/>
      </c>
      <c r="V1213" s="9" t="str">
        <f ca="1">IFERROR(__xludf.DUMMYFUNCTION("IFERROR(VALUE(REGEXEXTRACT(TO_TEXT($F1213), V$1 &amp; ""x(\d+)"")), """")"),"")</f>
        <v/>
      </c>
      <c r="W1213" s="9"/>
      <c r="X1213" s="9"/>
      <c r="Y1213" s="9"/>
      <c r="Z1213" s="9"/>
    </row>
    <row r="1214" spans="1:26" ht="15.75" customHeight="1">
      <c r="A1214" s="9" t="s">
        <v>2275</v>
      </c>
      <c r="B1214" s="9" t="s">
        <v>2276</v>
      </c>
      <c r="C1214" s="9" t="s">
        <v>2277</v>
      </c>
      <c r="D1214" s="9" t="s">
        <v>33</v>
      </c>
      <c r="E1214" s="9" t="s">
        <v>11</v>
      </c>
      <c r="F1214" s="9" t="s">
        <v>1260</v>
      </c>
      <c r="G1214" s="9">
        <v>20</v>
      </c>
      <c r="H1214" s="9">
        <v>2</v>
      </c>
      <c r="I1214" s="9">
        <v>1.0149999999999999</v>
      </c>
      <c r="J1214" s="9">
        <v>110</v>
      </c>
      <c r="K1214" s="9" t="s">
        <v>442</v>
      </c>
      <c r="L1214" s="9"/>
      <c r="M1214" s="9"/>
      <c r="N1214" s="9" t="str">
        <f ca="1">IFERROR(__xludf.DUMMYFUNCTION("IFERROR(VALUE(REGEXEXTRACT(TO_TEXT($F1214), N$1 &amp; ""x(\d+)"")), """")
"),"")</f>
        <v/>
      </c>
      <c r="O1214" s="9" t="str">
        <f ca="1">IFERROR(__xludf.DUMMYFUNCTION("IFERROR(VALUE(REGEXEXTRACT(TO_TEXT($F1214), O$1 &amp; ""x(\d+)"")), """")"),"")</f>
        <v/>
      </c>
      <c r="P1214" s="9" t="str">
        <f ca="1">IFERROR(__xludf.DUMMYFUNCTION("IFERROR(VALUE(REGEXEXTRACT(TO_TEXT($F1214), P$1 &amp; ""x(\d+)"")), """")"),"")</f>
        <v/>
      </c>
      <c r="Q1214" s="9" t="str">
        <f ca="1">IFERROR(__xludf.DUMMYFUNCTION("IFERROR(VALUE(REGEXEXTRACT(TO_TEXT($F1214), Q$1 &amp; ""x(\d+)"")), """")"),"")</f>
        <v/>
      </c>
      <c r="R1214" s="9" t="str">
        <f ca="1">IFERROR(__xludf.DUMMYFUNCTION("IFERROR(VALUE(REGEXEXTRACT(TO_TEXT($F1214), R$1 &amp; ""x(\d+)"")), """")"),"")</f>
        <v/>
      </c>
      <c r="S1214" s="9" t="str">
        <f ca="1">IFERROR(__xludf.DUMMYFUNCTION("IFERROR(VALUE(REGEXEXTRACT(TO_TEXT($F1214), S$1 &amp; ""x(\d+)"")), """")"),"")</f>
        <v/>
      </c>
      <c r="T1214" s="9" t="str">
        <f ca="1">IFERROR(__xludf.DUMMYFUNCTION("IFERROR(VALUE(REGEXEXTRACT(TO_TEXT($F1214), T$1 &amp; ""x(\d+)"")), """")"),"")</f>
        <v/>
      </c>
      <c r="U1214" s="9" t="str">
        <f ca="1">IFERROR(__xludf.DUMMYFUNCTION("IFERROR(VALUE(REGEXEXTRACT(TO_TEXT($F1214), U$1 &amp; ""x(\d+)"")), """")"),"")</f>
        <v/>
      </c>
      <c r="V1214" s="9" t="str">
        <f ca="1">IFERROR(__xludf.DUMMYFUNCTION("IFERROR(VALUE(REGEXEXTRACT(TO_TEXT($F1214), V$1 &amp; ""x(\d+)"")), """")"),"")</f>
        <v/>
      </c>
      <c r="W1214" s="9"/>
      <c r="X1214" s="9"/>
      <c r="Y1214" s="9"/>
      <c r="Z1214" s="9"/>
    </row>
    <row r="1215" spans="1:26" ht="15.75" customHeight="1">
      <c r="A1215" s="9" t="s">
        <v>2275</v>
      </c>
      <c r="B1215" s="9" t="s">
        <v>2276</v>
      </c>
      <c r="C1215" s="9" t="s">
        <v>2277</v>
      </c>
      <c r="D1215" s="9" t="s">
        <v>33</v>
      </c>
      <c r="E1215" s="9" t="s">
        <v>12</v>
      </c>
      <c r="F1215" s="9" t="s">
        <v>2267</v>
      </c>
      <c r="G1215" s="9">
        <v>100</v>
      </c>
      <c r="H1215" s="9">
        <v>2</v>
      </c>
      <c r="I1215" s="9">
        <v>1.0149999999999999</v>
      </c>
      <c r="J1215" s="9">
        <v>110</v>
      </c>
      <c r="K1215" s="9" t="s">
        <v>442</v>
      </c>
      <c r="L1215" s="9"/>
      <c r="M1215" s="9"/>
      <c r="N1215" s="9" t="str">
        <f ca="1">IFERROR(__xludf.DUMMYFUNCTION("IFERROR(VALUE(REGEXEXTRACT(TO_TEXT($F1215), N$1 &amp; ""x(\d+)"")), """")
"),"")</f>
        <v/>
      </c>
      <c r="O1215" s="9">
        <f ca="1">IFERROR(__xludf.DUMMYFUNCTION("IFERROR(VALUE(REGEXEXTRACT(TO_TEXT($F1215), O$1 &amp; ""x(\d+)"")), """")"),1)</f>
        <v>1</v>
      </c>
      <c r="P1215" s="9" t="str">
        <f ca="1">IFERROR(__xludf.DUMMYFUNCTION("IFERROR(VALUE(REGEXEXTRACT(TO_TEXT($F1215), P$1 &amp; ""x(\d+)"")), """")"),"")</f>
        <v/>
      </c>
      <c r="Q1215" s="9" t="str">
        <f ca="1">IFERROR(__xludf.DUMMYFUNCTION("IFERROR(VALUE(REGEXEXTRACT(TO_TEXT($F1215), Q$1 &amp; ""x(\d+)"")), """")"),"")</f>
        <v/>
      </c>
      <c r="R1215" s="9" t="str">
        <f ca="1">IFERROR(__xludf.DUMMYFUNCTION("IFERROR(VALUE(REGEXEXTRACT(TO_TEXT($F1215), R$1 &amp; ""x(\d+)"")), """")"),"")</f>
        <v/>
      </c>
      <c r="S1215" s="9" t="str">
        <f ca="1">IFERROR(__xludf.DUMMYFUNCTION("IFERROR(VALUE(REGEXEXTRACT(TO_TEXT($F1215), S$1 &amp; ""x(\d+)"")), """")"),"")</f>
        <v/>
      </c>
      <c r="T1215" s="9" t="str">
        <f ca="1">IFERROR(__xludf.DUMMYFUNCTION("IFERROR(VALUE(REGEXEXTRACT(TO_TEXT($F1215), T$1 &amp; ""x(\d+)"")), """")"),"")</f>
        <v/>
      </c>
      <c r="U1215" s="9" t="str">
        <f ca="1">IFERROR(__xludf.DUMMYFUNCTION("IFERROR(VALUE(REGEXEXTRACT(TO_TEXT($F1215), U$1 &amp; ""x(\d+)"")), """")"),"")</f>
        <v/>
      </c>
      <c r="V1215" s="9" t="str">
        <f ca="1">IFERROR(__xludf.DUMMYFUNCTION("IFERROR(VALUE(REGEXEXTRACT(TO_TEXT($F1215), V$1 &amp; ""x(\d+)"")), """")"),"")</f>
        <v/>
      </c>
      <c r="W1215" s="9"/>
      <c r="X1215" s="9"/>
      <c r="Y1215" s="9"/>
      <c r="Z1215" s="9"/>
    </row>
    <row r="1216" spans="1:26" ht="15.75" customHeight="1">
      <c r="A1216" s="9" t="s">
        <v>2275</v>
      </c>
      <c r="B1216" s="9" t="s">
        <v>2276</v>
      </c>
      <c r="C1216" s="9" t="s">
        <v>2277</v>
      </c>
      <c r="D1216" s="9" t="s">
        <v>33</v>
      </c>
      <c r="E1216" s="9" t="s">
        <v>13</v>
      </c>
      <c r="F1216" s="9" t="s">
        <v>1369</v>
      </c>
      <c r="G1216" s="9">
        <v>15</v>
      </c>
      <c r="H1216" s="9">
        <v>2</v>
      </c>
      <c r="I1216" s="9">
        <v>1.0149999999999999</v>
      </c>
      <c r="J1216" s="9">
        <v>110</v>
      </c>
      <c r="K1216" s="9" t="s">
        <v>442</v>
      </c>
      <c r="L1216" s="9"/>
      <c r="M1216" s="9"/>
      <c r="N1216" s="9" t="str">
        <f ca="1">IFERROR(__xludf.DUMMYFUNCTION("IFERROR(VALUE(REGEXEXTRACT(TO_TEXT($F1216), N$1 &amp; ""x(\d+)"")), """")
"),"")</f>
        <v/>
      </c>
      <c r="O1216" s="9">
        <f ca="1">IFERROR(__xludf.DUMMYFUNCTION("IFERROR(VALUE(REGEXEXTRACT(TO_TEXT($F1216), O$1 &amp; ""x(\d+)"")), """")"),1)</f>
        <v>1</v>
      </c>
      <c r="P1216" s="9" t="str">
        <f ca="1">IFERROR(__xludf.DUMMYFUNCTION("IFERROR(VALUE(REGEXEXTRACT(TO_TEXT($F1216), P$1 &amp; ""x(\d+)"")), """")"),"")</f>
        <v/>
      </c>
      <c r="Q1216" s="9" t="str">
        <f ca="1">IFERROR(__xludf.DUMMYFUNCTION("IFERROR(VALUE(REGEXEXTRACT(TO_TEXT($F1216), Q$1 &amp; ""x(\d+)"")), """")"),"")</f>
        <v/>
      </c>
      <c r="R1216" s="9" t="str">
        <f ca="1">IFERROR(__xludf.DUMMYFUNCTION("IFERROR(VALUE(REGEXEXTRACT(TO_TEXT($F1216), R$1 &amp; ""x(\d+)"")), """")"),"")</f>
        <v/>
      </c>
      <c r="S1216" s="9" t="str">
        <f ca="1">IFERROR(__xludf.DUMMYFUNCTION("IFERROR(VALUE(REGEXEXTRACT(TO_TEXT($F1216), S$1 &amp; ""x(\d+)"")), """")"),"")</f>
        <v/>
      </c>
      <c r="T1216" s="9" t="str">
        <f ca="1">IFERROR(__xludf.DUMMYFUNCTION("IFERROR(VALUE(REGEXEXTRACT(TO_TEXT($F1216), T$1 &amp; ""x(\d+)"")), """")"),"")</f>
        <v/>
      </c>
      <c r="U1216" s="9" t="str">
        <f ca="1">IFERROR(__xludf.DUMMYFUNCTION("IFERROR(VALUE(REGEXEXTRACT(TO_TEXT($F1216), U$1 &amp; ""x(\d+)"")), """")"),"")</f>
        <v/>
      </c>
      <c r="V1216" s="9" t="str">
        <f ca="1">IFERROR(__xludf.DUMMYFUNCTION("IFERROR(VALUE(REGEXEXTRACT(TO_TEXT($F1216), V$1 &amp; ""x(\d+)"")), """")"),"")</f>
        <v/>
      </c>
      <c r="W1216" s="9"/>
      <c r="X1216" s="9"/>
      <c r="Y1216" s="9"/>
      <c r="Z1216" s="9"/>
    </row>
    <row r="1217" spans="1:26" ht="15.75" customHeight="1">
      <c r="A1217" s="9" t="s">
        <v>2278</v>
      </c>
      <c r="B1217" s="9" t="s">
        <v>2279</v>
      </c>
      <c r="C1217" s="9" t="s">
        <v>2280</v>
      </c>
      <c r="D1217" s="9" t="s">
        <v>33</v>
      </c>
      <c r="E1217" s="9" t="s">
        <v>11</v>
      </c>
      <c r="F1217" s="9" t="s">
        <v>1260</v>
      </c>
      <c r="G1217" s="9">
        <v>20</v>
      </c>
      <c r="H1217" s="9">
        <v>2</v>
      </c>
      <c r="I1217" s="9">
        <v>1.0149999999999999</v>
      </c>
      <c r="J1217" s="9">
        <v>110</v>
      </c>
      <c r="K1217" s="9" t="s">
        <v>442</v>
      </c>
      <c r="L1217" s="9"/>
      <c r="M1217" s="9"/>
      <c r="N1217" s="9" t="str">
        <f ca="1">IFERROR(__xludf.DUMMYFUNCTION("IFERROR(VALUE(REGEXEXTRACT(TO_TEXT($F1217), N$1 &amp; ""x(\d+)"")), """")
"),"")</f>
        <v/>
      </c>
      <c r="O1217" s="9" t="str">
        <f ca="1">IFERROR(__xludf.DUMMYFUNCTION("IFERROR(VALUE(REGEXEXTRACT(TO_TEXT($F1217), O$1 &amp; ""x(\d+)"")), """")"),"")</f>
        <v/>
      </c>
      <c r="P1217" s="9" t="str">
        <f ca="1">IFERROR(__xludf.DUMMYFUNCTION("IFERROR(VALUE(REGEXEXTRACT(TO_TEXT($F1217), P$1 &amp; ""x(\d+)"")), """")"),"")</f>
        <v/>
      </c>
      <c r="Q1217" s="9" t="str">
        <f ca="1">IFERROR(__xludf.DUMMYFUNCTION("IFERROR(VALUE(REGEXEXTRACT(TO_TEXT($F1217), Q$1 &amp; ""x(\d+)"")), """")"),"")</f>
        <v/>
      </c>
      <c r="R1217" s="9" t="str">
        <f ca="1">IFERROR(__xludf.DUMMYFUNCTION("IFERROR(VALUE(REGEXEXTRACT(TO_TEXT($F1217), R$1 &amp; ""x(\d+)"")), """")"),"")</f>
        <v/>
      </c>
      <c r="S1217" s="9" t="str">
        <f ca="1">IFERROR(__xludf.DUMMYFUNCTION("IFERROR(VALUE(REGEXEXTRACT(TO_TEXT($F1217), S$1 &amp; ""x(\d+)"")), """")"),"")</f>
        <v/>
      </c>
      <c r="T1217" s="9" t="str">
        <f ca="1">IFERROR(__xludf.DUMMYFUNCTION("IFERROR(VALUE(REGEXEXTRACT(TO_TEXT($F1217), T$1 &amp; ""x(\d+)"")), """")"),"")</f>
        <v/>
      </c>
      <c r="U1217" s="9" t="str">
        <f ca="1">IFERROR(__xludf.DUMMYFUNCTION("IFERROR(VALUE(REGEXEXTRACT(TO_TEXT($F1217), U$1 &amp; ""x(\d+)"")), """")"),"")</f>
        <v/>
      </c>
      <c r="V1217" s="9" t="str">
        <f ca="1">IFERROR(__xludf.DUMMYFUNCTION("IFERROR(VALUE(REGEXEXTRACT(TO_TEXT($F1217), V$1 &amp; ""x(\d+)"")), """")"),"")</f>
        <v/>
      </c>
      <c r="W1217" s="9"/>
      <c r="X1217" s="9"/>
      <c r="Y1217" s="9"/>
      <c r="Z1217" s="9"/>
    </row>
    <row r="1218" spans="1:26" ht="15.75" customHeight="1">
      <c r="A1218" s="9" t="s">
        <v>2278</v>
      </c>
      <c r="B1218" s="9" t="s">
        <v>2279</v>
      </c>
      <c r="C1218" s="9" t="s">
        <v>2280</v>
      </c>
      <c r="D1218" s="9" t="s">
        <v>33</v>
      </c>
      <c r="E1218" s="9" t="s">
        <v>12</v>
      </c>
      <c r="F1218" s="9" t="s">
        <v>2267</v>
      </c>
      <c r="G1218" s="9">
        <v>100</v>
      </c>
      <c r="H1218" s="9">
        <v>2</v>
      </c>
      <c r="I1218" s="9">
        <v>1.0149999999999999</v>
      </c>
      <c r="J1218" s="9">
        <v>110</v>
      </c>
      <c r="K1218" s="9" t="s">
        <v>442</v>
      </c>
      <c r="L1218" s="9"/>
      <c r="M1218" s="9"/>
      <c r="N1218" s="9" t="str">
        <f ca="1">IFERROR(__xludf.DUMMYFUNCTION("IFERROR(VALUE(REGEXEXTRACT(TO_TEXT($F1218), N$1 &amp; ""x(\d+)"")), """")
"),"")</f>
        <v/>
      </c>
      <c r="O1218" s="9">
        <f ca="1">IFERROR(__xludf.DUMMYFUNCTION("IFERROR(VALUE(REGEXEXTRACT(TO_TEXT($F1218), O$1 &amp; ""x(\d+)"")), """")"),1)</f>
        <v>1</v>
      </c>
      <c r="P1218" s="9" t="str">
        <f ca="1">IFERROR(__xludf.DUMMYFUNCTION("IFERROR(VALUE(REGEXEXTRACT(TO_TEXT($F1218), P$1 &amp; ""x(\d+)"")), """")"),"")</f>
        <v/>
      </c>
      <c r="Q1218" s="9" t="str">
        <f ca="1">IFERROR(__xludf.DUMMYFUNCTION("IFERROR(VALUE(REGEXEXTRACT(TO_TEXT($F1218), Q$1 &amp; ""x(\d+)"")), """")"),"")</f>
        <v/>
      </c>
      <c r="R1218" s="9" t="str">
        <f ca="1">IFERROR(__xludf.DUMMYFUNCTION("IFERROR(VALUE(REGEXEXTRACT(TO_TEXT($F1218), R$1 &amp; ""x(\d+)"")), """")"),"")</f>
        <v/>
      </c>
      <c r="S1218" s="9" t="str">
        <f ca="1">IFERROR(__xludf.DUMMYFUNCTION("IFERROR(VALUE(REGEXEXTRACT(TO_TEXT($F1218), S$1 &amp; ""x(\d+)"")), """")"),"")</f>
        <v/>
      </c>
      <c r="T1218" s="9" t="str">
        <f ca="1">IFERROR(__xludf.DUMMYFUNCTION("IFERROR(VALUE(REGEXEXTRACT(TO_TEXT($F1218), T$1 &amp; ""x(\d+)"")), """")"),"")</f>
        <v/>
      </c>
      <c r="U1218" s="9" t="str">
        <f ca="1">IFERROR(__xludf.DUMMYFUNCTION("IFERROR(VALUE(REGEXEXTRACT(TO_TEXT($F1218), U$1 &amp; ""x(\d+)"")), """")"),"")</f>
        <v/>
      </c>
      <c r="V1218" s="9" t="str">
        <f ca="1">IFERROR(__xludf.DUMMYFUNCTION("IFERROR(VALUE(REGEXEXTRACT(TO_TEXT($F1218), V$1 &amp; ""x(\d+)"")), """")"),"")</f>
        <v/>
      </c>
      <c r="W1218" s="9"/>
      <c r="X1218" s="9"/>
      <c r="Y1218" s="9"/>
      <c r="Z1218" s="9"/>
    </row>
    <row r="1219" spans="1:26" ht="15.75" customHeight="1">
      <c r="A1219" s="9" t="s">
        <v>2278</v>
      </c>
      <c r="B1219" s="9" t="s">
        <v>2279</v>
      </c>
      <c r="C1219" s="9" t="s">
        <v>2280</v>
      </c>
      <c r="D1219" s="9" t="s">
        <v>33</v>
      </c>
      <c r="E1219" s="9" t="s">
        <v>13</v>
      </c>
      <c r="F1219" s="9" t="s">
        <v>1369</v>
      </c>
      <c r="G1219" s="9">
        <v>15</v>
      </c>
      <c r="H1219" s="9">
        <v>2</v>
      </c>
      <c r="I1219" s="9">
        <v>1.0149999999999999</v>
      </c>
      <c r="J1219" s="9">
        <v>110</v>
      </c>
      <c r="K1219" s="9" t="s">
        <v>442</v>
      </c>
      <c r="L1219" s="9"/>
      <c r="M1219" s="9"/>
      <c r="N1219" s="9" t="str">
        <f ca="1">IFERROR(__xludf.DUMMYFUNCTION("IFERROR(VALUE(REGEXEXTRACT(TO_TEXT($F1219), N$1 &amp; ""x(\d+)"")), """")
"),"")</f>
        <v/>
      </c>
      <c r="O1219" s="9">
        <f ca="1">IFERROR(__xludf.DUMMYFUNCTION("IFERROR(VALUE(REGEXEXTRACT(TO_TEXT($F1219), O$1 &amp; ""x(\d+)"")), """")"),1)</f>
        <v>1</v>
      </c>
      <c r="P1219" s="9" t="str">
        <f ca="1">IFERROR(__xludf.DUMMYFUNCTION("IFERROR(VALUE(REGEXEXTRACT(TO_TEXT($F1219), P$1 &amp; ""x(\d+)"")), """")"),"")</f>
        <v/>
      </c>
      <c r="Q1219" s="9" t="str">
        <f ca="1">IFERROR(__xludf.DUMMYFUNCTION("IFERROR(VALUE(REGEXEXTRACT(TO_TEXT($F1219), Q$1 &amp; ""x(\d+)"")), """")"),"")</f>
        <v/>
      </c>
      <c r="R1219" s="9" t="str">
        <f ca="1">IFERROR(__xludf.DUMMYFUNCTION("IFERROR(VALUE(REGEXEXTRACT(TO_TEXT($F1219), R$1 &amp; ""x(\d+)"")), """")"),"")</f>
        <v/>
      </c>
      <c r="S1219" s="9" t="str">
        <f ca="1">IFERROR(__xludf.DUMMYFUNCTION("IFERROR(VALUE(REGEXEXTRACT(TO_TEXT($F1219), S$1 &amp; ""x(\d+)"")), """")"),"")</f>
        <v/>
      </c>
      <c r="T1219" s="9" t="str">
        <f ca="1">IFERROR(__xludf.DUMMYFUNCTION("IFERROR(VALUE(REGEXEXTRACT(TO_TEXT($F1219), T$1 &amp; ""x(\d+)"")), """")"),"")</f>
        <v/>
      </c>
      <c r="U1219" s="9" t="str">
        <f ca="1">IFERROR(__xludf.DUMMYFUNCTION("IFERROR(VALUE(REGEXEXTRACT(TO_TEXT($F1219), U$1 &amp; ""x(\d+)"")), """")"),"")</f>
        <v/>
      </c>
      <c r="V1219" s="9" t="str">
        <f ca="1">IFERROR(__xludf.DUMMYFUNCTION("IFERROR(VALUE(REGEXEXTRACT(TO_TEXT($F1219), V$1 &amp; ""x(\d+)"")), """")"),"")</f>
        <v/>
      </c>
      <c r="W1219" s="9"/>
      <c r="X1219" s="9"/>
      <c r="Y1219" s="9"/>
      <c r="Z1219" s="9"/>
    </row>
    <row r="1220" spans="1:26" ht="15.75" customHeight="1">
      <c r="A1220" s="9" t="s">
        <v>2281</v>
      </c>
      <c r="B1220" s="9" t="s">
        <v>2282</v>
      </c>
      <c r="C1220" s="9" t="s">
        <v>501</v>
      </c>
      <c r="D1220" s="9" t="s">
        <v>33</v>
      </c>
      <c r="E1220" s="9" t="s">
        <v>11</v>
      </c>
      <c r="F1220" s="9" t="s">
        <v>1186</v>
      </c>
      <c r="G1220" s="9">
        <v>95</v>
      </c>
      <c r="H1220" s="9">
        <v>4</v>
      </c>
      <c r="I1220" s="9">
        <v>1.0149999999999999</v>
      </c>
      <c r="J1220" s="9">
        <v>62</v>
      </c>
      <c r="K1220" s="9" t="s">
        <v>442</v>
      </c>
      <c r="L1220" s="9"/>
      <c r="M1220" s="9"/>
      <c r="N1220" s="9">
        <f ca="1">IFERROR(__xludf.DUMMYFUNCTION("IFERROR(VALUE(REGEXEXTRACT(TO_TEXT($F1220), N$1 &amp; ""x(\d+)"")), """")
"),1)</f>
        <v>1</v>
      </c>
      <c r="O1220" s="9">
        <f ca="1">IFERROR(__xludf.DUMMYFUNCTION("IFERROR(VALUE(REGEXEXTRACT(TO_TEXT($F1220), O$1 &amp; ""x(\d+)"")), """")"),1)</f>
        <v>1</v>
      </c>
      <c r="P1220" s="9" t="str">
        <f ca="1">IFERROR(__xludf.DUMMYFUNCTION("IFERROR(VALUE(REGEXEXTRACT(TO_TEXT($F1220), P$1 &amp; ""x(\d+)"")), """")"),"")</f>
        <v/>
      </c>
      <c r="Q1220" s="9" t="str">
        <f ca="1">IFERROR(__xludf.DUMMYFUNCTION("IFERROR(VALUE(REGEXEXTRACT(TO_TEXT($F1220), Q$1 &amp; ""x(\d+)"")), """")"),"")</f>
        <v/>
      </c>
      <c r="R1220" s="9" t="str">
        <f ca="1">IFERROR(__xludf.DUMMYFUNCTION("IFERROR(VALUE(REGEXEXTRACT(TO_TEXT($F1220), R$1 &amp; ""x(\d+)"")), """")"),"")</f>
        <v/>
      </c>
      <c r="S1220" s="9" t="str">
        <f ca="1">IFERROR(__xludf.DUMMYFUNCTION("IFERROR(VALUE(REGEXEXTRACT(TO_TEXT($F1220), S$1 &amp; ""x(\d+)"")), """")"),"")</f>
        <v/>
      </c>
      <c r="T1220" s="9" t="str">
        <f ca="1">IFERROR(__xludf.DUMMYFUNCTION("IFERROR(VALUE(REGEXEXTRACT(TO_TEXT($F1220), T$1 &amp; ""x(\d+)"")), """")"),"")</f>
        <v/>
      </c>
      <c r="U1220" s="9" t="str">
        <f ca="1">IFERROR(__xludf.DUMMYFUNCTION("IFERROR(VALUE(REGEXEXTRACT(TO_TEXT($F1220), U$1 &amp; ""x(\d+)"")), """")"),"")</f>
        <v/>
      </c>
      <c r="V1220" s="9" t="str">
        <f ca="1">IFERROR(__xludf.DUMMYFUNCTION("IFERROR(VALUE(REGEXEXTRACT(TO_TEXT($F1220), V$1 &amp; ""x(\d+)"")), """")"),"")</f>
        <v/>
      </c>
      <c r="W1220" s="9"/>
      <c r="X1220" s="9"/>
      <c r="Y1220" s="9"/>
      <c r="Z1220" s="9"/>
    </row>
    <row r="1221" spans="1:26" ht="15.75" customHeight="1">
      <c r="A1221" s="9" t="s">
        <v>2281</v>
      </c>
      <c r="B1221" s="9" t="s">
        <v>2282</v>
      </c>
      <c r="C1221" s="9" t="s">
        <v>501</v>
      </c>
      <c r="D1221" s="9" t="s">
        <v>33</v>
      </c>
      <c r="E1221" s="9" t="s">
        <v>12</v>
      </c>
      <c r="F1221" s="9" t="s">
        <v>1187</v>
      </c>
      <c r="G1221" s="9">
        <v>80</v>
      </c>
      <c r="H1221" s="9">
        <v>4</v>
      </c>
      <c r="I1221" s="9">
        <v>1.0149999999999999</v>
      </c>
      <c r="J1221" s="9">
        <v>62</v>
      </c>
      <c r="K1221" s="9" t="s">
        <v>442</v>
      </c>
      <c r="L1221" s="9"/>
      <c r="M1221" s="9"/>
      <c r="N1221" s="9" t="str">
        <f ca="1">IFERROR(__xludf.DUMMYFUNCTION("IFERROR(VALUE(REGEXEXTRACT(TO_TEXT($F1221), N$1 &amp; ""x(\d+)"")), """")
"),"")</f>
        <v/>
      </c>
      <c r="O1221" s="9">
        <f ca="1">IFERROR(__xludf.DUMMYFUNCTION("IFERROR(VALUE(REGEXEXTRACT(TO_TEXT($F1221), O$1 &amp; ""x(\d+)"")), """")"),1)</f>
        <v>1</v>
      </c>
      <c r="P1221" s="9" t="str">
        <f ca="1">IFERROR(__xludf.DUMMYFUNCTION("IFERROR(VALUE(REGEXEXTRACT(TO_TEXT($F1221), P$1 &amp; ""x(\d+)"")), """")"),"")</f>
        <v/>
      </c>
      <c r="Q1221" s="9" t="str">
        <f ca="1">IFERROR(__xludf.DUMMYFUNCTION("IFERROR(VALUE(REGEXEXTRACT(TO_TEXT($F1221), Q$1 &amp; ""x(\d+)"")), """")"),"")</f>
        <v/>
      </c>
      <c r="R1221" s="9" t="str">
        <f ca="1">IFERROR(__xludf.DUMMYFUNCTION("IFERROR(VALUE(REGEXEXTRACT(TO_TEXT($F1221), R$1 &amp; ""x(\d+)"")), """")"),"")</f>
        <v/>
      </c>
      <c r="S1221" s="9" t="str">
        <f ca="1">IFERROR(__xludf.DUMMYFUNCTION("IFERROR(VALUE(REGEXEXTRACT(TO_TEXT($F1221), S$1 &amp; ""x(\d+)"")), """")"),"")</f>
        <v/>
      </c>
      <c r="T1221" s="9" t="str">
        <f ca="1">IFERROR(__xludf.DUMMYFUNCTION("IFERROR(VALUE(REGEXEXTRACT(TO_TEXT($F1221), T$1 &amp; ""x(\d+)"")), """")"),"")</f>
        <v/>
      </c>
      <c r="U1221" s="9" t="str">
        <f ca="1">IFERROR(__xludf.DUMMYFUNCTION("IFERROR(VALUE(REGEXEXTRACT(TO_TEXT($F1221), U$1 &amp; ""x(\d+)"")), """")"),"")</f>
        <v/>
      </c>
      <c r="V1221" s="9" t="str">
        <f ca="1">IFERROR(__xludf.DUMMYFUNCTION("IFERROR(VALUE(REGEXEXTRACT(TO_TEXT($F1221), V$1 &amp; ""x(\d+)"")), """")"),"")</f>
        <v/>
      </c>
      <c r="W1221" s="9"/>
      <c r="X1221" s="9"/>
      <c r="Y1221" s="9"/>
      <c r="Z1221" s="9"/>
    </row>
    <row r="1222" spans="1:26" ht="15.75" customHeight="1">
      <c r="A1222" s="9" t="s">
        <v>2281</v>
      </c>
      <c r="B1222" s="9" t="s">
        <v>2282</v>
      </c>
      <c r="C1222" s="9" t="s">
        <v>501</v>
      </c>
      <c r="D1222" s="9" t="s">
        <v>33</v>
      </c>
      <c r="E1222" s="9" t="s">
        <v>13</v>
      </c>
      <c r="F1222" s="9" t="s">
        <v>1188</v>
      </c>
      <c r="G1222" s="9">
        <v>30</v>
      </c>
      <c r="H1222" s="9">
        <v>4</v>
      </c>
      <c r="I1222" s="9">
        <v>1.0149999999999999</v>
      </c>
      <c r="J1222" s="9">
        <v>62</v>
      </c>
      <c r="K1222" s="9" t="s">
        <v>442</v>
      </c>
      <c r="L1222" s="9"/>
      <c r="M1222" s="9"/>
      <c r="N1222" s="9" t="str">
        <f ca="1">IFERROR(__xludf.DUMMYFUNCTION("IFERROR(VALUE(REGEXEXTRACT(TO_TEXT($F1222), N$1 &amp; ""x(\d+)"")), """")
"),"")</f>
        <v/>
      </c>
      <c r="O1222" s="9">
        <f ca="1">IFERROR(__xludf.DUMMYFUNCTION("IFERROR(VALUE(REGEXEXTRACT(TO_TEXT($F1222), O$1 &amp; ""x(\d+)"")), """")"),1)</f>
        <v>1</v>
      </c>
      <c r="P1222" s="9" t="str">
        <f ca="1">IFERROR(__xludf.DUMMYFUNCTION("IFERROR(VALUE(REGEXEXTRACT(TO_TEXT($F1222), P$1 &amp; ""x(\d+)"")), """")"),"")</f>
        <v/>
      </c>
      <c r="Q1222" s="9" t="str">
        <f ca="1">IFERROR(__xludf.DUMMYFUNCTION("IFERROR(VALUE(REGEXEXTRACT(TO_TEXT($F1222), Q$1 &amp; ""x(\d+)"")), """")"),"")</f>
        <v/>
      </c>
      <c r="R1222" s="9" t="str">
        <f ca="1">IFERROR(__xludf.DUMMYFUNCTION("IFERROR(VALUE(REGEXEXTRACT(TO_TEXT($F1222), R$1 &amp; ""x(\d+)"")), """")"),"")</f>
        <v/>
      </c>
      <c r="S1222" s="9" t="str">
        <f ca="1">IFERROR(__xludf.DUMMYFUNCTION("IFERROR(VALUE(REGEXEXTRACT(TO_TEXT($F1222), S$1 &amp; ""x(\d+)"")), """")"),"")</f>
        <v/>
      </c>
      <c r="T1222" s="9" t="str">
        <f ca="1">IFERROR(__xludf.DUMMYFUNCTION("IFERROR(VALUE(REGEXEXTRACT(TO_TEXT($F1222), T$1 &amp; ""x(\d+)"")), """")"),"")</f>
        <v/>
      </c>
      <c r="U1222" s="9" t="str">
        <f ca="1">IFERROR(__xludf.DUMMYFUNCTION("IFERROR(VALUE(REGEXEXTRACT(TO_TEXT($F1222), U$1 &amp; ""x(\d+)"")), """")"),"")</f>
        <v/>
      </c>
      <c r="V1222" s="9" t="str">
        <f ca="1">IFERROR(__xludf.DUMMYFUNCTION("IFERROR(VALUE(REGEXEXTRACT(TO_TEXT($F1222), V$1 &amp; ""x(\d+)"")), """")"),"")</f>
        <v/>
      </c>
      <c r="W1222" s="9"/>
      <c r="X1222" s="9"/>
      <c r="Y1222" s="9"/>
      <c r="Z1222" s="9"/>
    </row>
    <row r="1223" spans="1:26" ht="15.75" customHeight="1">
      <c r="A1223" s="9" t="s">
        <v>2283</v>
      </c>
      <c r="B1223" s="9" t="s">
        <v>2284</v>
      </c>
      <c r="C1223" s="9" t="s">
        <v>2285</v>
      </c>
      <c r="D1223" s="9" t="s">
        <v>33</v>
      </c>
      <c r="E1223" s="9" t="s">
        <v>12</v>
      </c>
      <c r="F1223" s="9" t="s">
        <v>1519</v>
      </c>
      <c r="G1223" s="9">
        <v>50</v>
      </c>
      <c r="H1223" s="9">
        <v>4</v>
      </c>
      <c r="I1223" s="9">
        <v>1.0149999999999999</v>
      </c>
      <c r="J1223" s="9">
        <v>80</v>
      </c>
      <c r="K1223" s="9" t="s">
        <v>499</v>
      </c>
      <c r="L1223" s="9"/>
      <c r="M1223" s="9"/>
      <c r="N1223" s="9" t="str">
        <f ca="1">IFERROR(__xludf.DUMMYFUNCTION("IFERROR(VALUE(REGEXEXTRACT(TO_TEXT($F1223), N$1 &amp; ""x(\d+)"")), """")
"),"")</f>
        <v/>
      </c>
      <c r="O1223" s="9">
        <f ca="1">IFERROR(__xludf.DUMMYFUNCTION("IFERROR(VALUE(REGEXEXTRACT(TO_TEXT($F1223), O$1 &amp; ""x(\d+)"")), """")"),1)</f>
        <v>1</v>
      </c>
      <c r="P1223" s="9" t="str">
        <f ca="1">IFERROR(__xludf.DUMMYFUNCTION("IFERROR(VALUE(REGEXEXTRACT(TO_TEXT($F1223), P$1 &amp; ""x(\d+)"")), """")"),"")</f>
        <v/>
      </c>
      <c r="Q1223" s="9" t="str">
        <f ca="1">IFERROR(__xludf.DUMMYFUNCTION("IFERROR(VALUE(REGEXEXTRACT(TO_TEXT($F1223), Q$1 &amp; ""x(\d+)"")), """")"),"")</f>
        <v/>
      </c>
      <c r="R1223" s="9" t="str">
        <f ca="1">IFERROR(__xludf.DUMMYFUNCTION("IFERROR(VALUE(REGEXEXTRACT(TO_TEXT($F1223), R$1 &amp; ""x(\d+)"")), """")"),"")</f>
        <v/>
      </c>
      <c r="S1223" s="9" t="str">
        <f ca="1">IFERROR(__xludf.DUMMYFUNCTION("IFERROR(VALUE(REGEXEXTRACT(TO_TEXT($F1223), S$1 &amp; ""x(\d+)"")), """")"),"")</f>
        <v/>
      </c>
      <c r="T1223" s="9" t="str">
        <f ca="1">IFERROR(__xludf.DUMMYFUNCTION("IFERROR(VALUE(REGEXEXTRACT(TO_TEXT($F1223), T$1 &amp; ""x(\d+)"")), """")"),"")</f>
        <v/>
      </c>
      <c r="U1223" s="9" t="str">
        <f ca="1">IFERROR(__xludf.DUMMYFUNCTION("IFERROR(VALUE(REGEXEXTRACT(TO_TEXT($F1223), U$1 &amp; ""x(\d+)"")), """")"),"")</f>
        <v/>
      </c>
      <c r="V1223" s="9" t="str">
        <f ca="1">IFERROR(__xludf.DUMMYFUNCTION("IFERROR(VALUE(REGEXEXTRACT(TO_TEXT($F1223), V$1 &amp; ""x(\d+)"")), """")"),"")</f>
        <v/>
      </c>
      <c r="W1223" s="9"/>
      <c r="X1223" s="9"/>
      <c r="Y1223" s="9"/>
      <c r="Z1223" s="9"/>
    </row>
    <row r="1224" spans="1:26" ht="15.75" customHeight="1">
      <c r="A1224" s="9" t="s">
        <v>2283</v>
      </c>
      <c r="B1224" s="9" t="s">
        <v>2284</v>
      </c>
      <c r="C1224" s="9" t="s">
        <v>2285</v>
      </c>
      <c r="D1224" s="9" t="s">
        <v>33</v>
      </c>
      <c r="E1224" s="9" t="s">
        <v>13</v>
      </c>
      <c r="F1224" s="9" t="s">
        <v>1108</v>
      </c>
      <c r="G1224" s="9">
        <v>20</v>
      </c>
      <c r="H1224" s="9">
        <v>4</v>
      </c>
      <c r="I1224" s="9">
        <v>1.0149999999999999</v>
      </c>
      <c r="J1224" s="9">
        <v>80</v>
      </c>
      <c r="K1224" s="9" t="s">
        <v>499</v>
      </c>
      <c r="L1224" s="9"/>
      <c r="M1224" s="9"/>
      <c r="N1224" s="9" t="str">
        <f ca="1">IFERROR(__xludf.DUMMYFUNCTION("IFERROR(VALUE(REGEXEXTRACT(TO_TEXT($F1224), N$1 &amp; ""x(\d+)"")), """")
"),"")</f>
        <v/>
      </c>
      <c r="O1224" s="9">
        <f ca="1">IFERROR(__xludf.DUMMYFUNCTION("IFERROR(VALUE(REGEXEXTRACT(TO_TEXT($F1224), O$1 &amp; ""x(\d+)"")), """")"),1)</f>
        <v>1</v>
      </c>
      <c r="P1224" s="9" t="str">
        <f ca="1">IFERROR(__xludf.DUMMYFUNCTION("IFERROR(VALUE(REGEXEXTRACT(TO_TEXT($F1224), P$1 &amp; ""x(\d+)"")), """")"),"")</f>
        <v/>
      </c>
      <c r="Q1224" s="9" t="str">
        <f ca="1">IFERROR(__xludf.DUMMYFUNCTION("IFERROR(VALUE(REGEXEXTRACT(TO_TEXT($F1224), Q$1 &amp; ""x(\d+)"")), """")"),"")</f>
        <v/>
      </c>
      <c r="R1224" s="9" t="str">
        <f ca="1">IFERROR(__xludf.DUMMYFUNCTION("IFERROR(VALUE(REGEXEXTRACT(TO_TEXT($F1224), R$1 &amp; ""x(\d+)"")), """")"),"")</f>
        <v/>
      </c>
      <c r="S1224" s="9" t="str">
        <f ca="1">IFERROR(__xludf.DUMMYFUNCTION("IFERROR(VALUE(REGEXEXTRACT(TO_TEXT($F1224), S$1 &amp; ""x(\d+)"")), """")"),"")</f>
        <v/>
      </c>
      <c r="T1224" s="9" t="str">
        <f ca="1">IFERROR(__xludf.DUMMYFUNCTION("IFERROR(VALUE(REGEXEXTRACT(TO_TEXT($F1224), T$1 &amp; ""x(\d+)"")), """")"),"")</f>
        <v/>
      </c>
      <c r="U1224" s="9" t="str">
        <f ca="1">IFERROR(__xludf.DUMMYFUNCTION("IFERROR(VALUE(REGEXEXTRACT(TO_TEXT($F1224), U$1 &amp; ""x(\d+)"")), """")"),"")</f>
        <v/>
      </c>
      <c r="V1224" s="9" t="str">
        <f ca="1">IFERROR(__xludf.DUMMYFUNCTION("IFERROR(VALUE(REGEXEXTRACT(TO_TEXT($F1224), V$1 &amp; ""x(\d+)"")), """")"),"")</f>
        <v/>
      </c>
      <c r="W1224" s="9"/>
      <c r="X1224" s="9"/>
      <c r="Y1224" s="9"/>
      <c r="Z1224" s="9"/>
    </row>
    <row r="1225" spans="1:26" ht="15.75" customHeight="1">
      <c r="A1225" s="9" t="s">
        <v>2286</v>
      </c>
      <c r="B1225" s="9" t="s">
        <v>2287</v>
      </c>
      <c r="C1225" s="9" t="s">
        <v>2288</v>
      </c>
      <c r="D1225" s="9" t="s">
        <v>33</v>
      </c>
      <c r="E1225" s="9" t="s">
        <v>11</v>
      </c>
      <c r="F1225" s="9" t="s">
        <v>1799</v>
      </c>
      <c r="G1225" s="9">
        <v>30</v>
      </c>
      <c r="H1225" s="9">
        <v>4</v>
      </c>
      <c r="I1225" s="9">
        <v>1.0149999999999999</v>
      </c>
      <c r="J1225" s="9">
        <v>110</v>
      </c>
      <c r="K1225" s="9" t="s">
        <v>442</v>
      </c>
      <c r="L1225" s="9"/>
      <c r="M1225" s="9"/>
      <c r="N1225" s="9" t="str">
        <f ca="1">IFERROR(__xludf.DUMMYFUNCTION("IFERROR(VALUE(REGEXEXTRACT(TO_TEXT($F1225), N$1 &amp; ""x(\d+)"")), """")
"),"")</f>
        <v/>
      </c>
      <c r="O1225" s="9" t="str">
        <f ca="1">IFERROR(__xludf.DUMMYFUNCTION("IFERROR(VALUE(REGEXEXTRACT(TO_TEXT($F1225), O$1 &amp; ""x(\d+)"")), """")"),"")</f>
        <v/>
      </c>
      <c r="P1225" s="9" t="str">
        <f ca="1">IFERROR(__xludf.DUMMYFUNCTION("IFERROR(VALUE(REGEXEXTRACT(TO_TEXT($F1225), P$1 &amp; ""x(\d+)"")), """")"),"")</f>
        <v/>
      </c>
      <c r="Q1225" s="9" t="str">
        <f ca="1">IFERROR(__xludf.DUMMYFUNCTION("IFERROR(VALUE(REGEXEXTRACT(TO_TEXT($F1225), Q$1 &amp; ""x(\d+)"")), """")"),"")</f>
        <v/>
      </c>
      <c r="R1225" s="9" t="str">
        <f ca="1">IFERROR(__xludf.DUMMYFUNCTION("IFERROR(VALUE(REGEXEXTRACT(TO_TEXT($F1225), R$1 &amp; ""x(\d+)"")), """")"),"")</f>
        <v/>
      </c>
      <c r="S1225" s="9" t="str">
        <f ca="1">IFERROR(__xludf.DUMMYFUNCTION("IFERROR(VALUE(REGEXEXTRACT(TO_TEXT($F1225), S$1 &amp; ""x(\d+)"")), """")"),"")</f>
        <v/>
      </c>
      <c r="T1225" s="9" t="str">
        <f ca="1">IFERROR(__xludf.DUMMYFUNCTION("IFERROR(VALUE(REGEXEXTRACT(TO_TEXT($F1225), T$1 &amp; ""x(\d+)"")), """")"),"")</f>
        <v/>
      </c>
      <c r="U1225" s="9" t="str">
        <f ca="1">IFERROR(__xludf.DUMMYFUNCTION("IFERROR(VALUE(REGEXEXTRACT(TO_TEXT($F1225), U$1 &amp; ""x(\d+)"")), """")"),"")</f>
        <v/>
      </c>
      <c r="V1225" s="9" t="str">
        <f ca="1">IFERROR(__xludf.DUMMYFUNCTION("IFERROR(VALUE(REGEXEXTRACT(TO_TEXT($F1225), V$1 &amp; ""x(\d+)"")), """")"),"")</f>
        <v/>
      </c>
      <c r="W1225" s="9"/>
      <c r="X1225" s="9"/>
      <c r="Y1225" s="9"/>
      <c r="Z1225" s="9"/>
    </row>
    <row r="1226" spans="1:26" ht="15.75" customHeight="1">
      <c r="A1226" s="9" t="s">
        <v>2286</v>
      </c>
      <c r="B1226" s="9" t="s">
        <v>2287</v>
      </c>
      <c r="C1226" s="9" t="s">
        <v>2288</v>
      </c>
      <c r="D1226" s="9" t="s">
        <v>33</v>
      </c>
      <c r="E1226" s="9" t="s">
        <v>12</v>
      </c>
      <c r="F1226" s="9" t="s">
        <v>1057</v>
      </c>
      <c r="G1226" s="9">
        <v>110</v>
      </c>
      <c r="H1226" s="9">
        <v>4</v>
      </c>
      <c r="I1226" s="9">
        <v>1.0149999999999999</v>
      </c>
      <c r="J1226" s="9">
        <v>110</v>
      </c>
      <c r="K1226" s="9" t="s">
        <v>442</v>
      </c>
      <c r="L1226" s="9"/>
      <c r="M1226" s="9"/>
      <c r="N1226" s="9" t="str">
        <f ca="1">IFERROR(__xludf.DUMMYFUNCTION("IFERROR(VALUE(REGEXEXTRACT(TO_TEXT($F1226), N$1 &amp; ""x(\d+)"")), """")
"),"")</f>
        <v/>
      </c>
      <c r="O1226" s="9">
        <f ca="1">IFERROR(__xludf.DUMMYFUNCTION("IFERROR(VALUE(REGEXEXTRACT(TO_TEXT($F1226), O$1 &amp; ""x(\d+)"")), """")"),1)</f>
        <v>1</v>
      </c>
      <c r="P1226" s="9" t="str">
        <f ca="1">IFERROR(__xludf.DUMMYFUNCTION("IFERROR(VALUE(REGEXEXTRACT(TO_TEXT($F1226), P$1 &amp; ""x(\d+)"")), """")"),"")</f>
        <v/>
      </c>
      <c r="Q1226" s="9" t="str">
        <f ca="1">IFERROR(__xludf.DUMMYFUNCTION("IFERROR(VALUE(REGEXEXTRACT(TO_TEXT($F1226), Q$1 &amp; ""x(\d+)"")), """")"),"")</f>
        <v/>
      </c>
      <c r="R1226" s="9" t="str">
        <f ca="1">IFERROR(__xludf.DUMMYFUNCTION("IFERROR(VALUE(REGEXEXTRACT(TO_TEXT($F1226), R$1 &amp; ""x(\d+)"")), """")"),"")</f>
        <v/>
      </c>
      <c r="S1226" s="9" t="str">
        <f ca="1">IFERROR(__xludf.DUMMYFUNCTION("IFERROR(VALUE(REGEXEXTRACT(TO_TEXT($F1226), S$1 &amp; ""x(\d+)"")), """")"),"")</f>
        <v/>
      </c>
      <c r="T1226" s="9" t="str">
        <f ca="1">IFERROR(__xludf.DUMMYFUNCTION("IFERROR(VALUE(REGEXEXTRACT(TO_TEXT($F1226), T$1 &amp; ""x(\d+)"")), """")"),"")</f>
        <v/>
      </c>
      <c r="U1226" s="9" t="str">
        <f ca="1">IFERROR(__xludf.DUMMYFUNCTION("IFERROR(VALUE(REGEXEXTRACT(TO_TEXT($F1226), U$1 &amp; ""x(\d+)"")), """")"),"")</f>
        <v/>
      </c>
      <c r="V1226" s="9" t="str">
        <f ca="1">IFERROR(__xludf.DUMMYFUNCTION("IFERROR(VALUE(REGEXEXTRACT(TO_TEXT($F1226), V$1 &amp; ""x(\d+)"")), """")"),"")</f>
        <v/>
      </c>
      <c r="W1226" s="9"/>
      <c r="X1226" s="9"/>
      <c r="Y1226" s="9"/>
      <c r="Z1226" s="9"/>
    </row>
    <row r="1227" spans="1:26" ht="15.75" customHeight="1">
      <c r="A1227" s="9" t="s">
        <v>2286</v>
      </c>
      <c r="B1227" s="9" t="s">
        <v>2287</v>
      </c>
      <c r="C1227" s="9" t="s">
        <v>2288</v>
      </c>
      <c r="D1227" s="9" t="s">
        <v>33</v>
      </c>
      <c r="E1227" s="9" t="s">
        <v>13</v>
      </c>
      <c r="F1227" s="9" t="s">
        <v>1108</v>
      </c>
      <c r="G1227" s="9">
        <v>20</v>
      </c>
      <c r="H1227" s="9">
        <v>4</v>
      </c>
      <c r="I1227" s="9">
        <v>1.0149999999999999</v>
      </c>
      <c r="J1227" s="9">
        <v>110</v>
      </c>
      <c r="K1227" s="9" t="s">
        <v>442</v>
      </c>
      <c r="L1227" s="9"/>
      <c r="M1227" s="9"/>
      <c r="N1227" s="9" t="str">
        <f ca="1">IFERROR(__xludf.DUMMYFUNCTION("IFERROR(VALUE(REGEXEXTRACT(TO_TEXT($F1227), N$1 &amp; ""x(\d+)"")), """")
"),"")</f>
        <v/>
      </c>
      <c r="O1227" s="9">
        <f ca="1">IFERROR(__xludf.DUMMYFUNCTION("IFERROR(VALUE(REGEXEXTRACT(TO_TEXT($F1227), O$1 &amp; ""x(\d+)"")), """")"),1)</f>
        <v>1</v>
      </c>
      <c r="P1227" s="9" t="str">
        <f ca="1">IFERROR(__xludf.DUMMYFUNCTION("IFERROR(VALUE(REGEXEXTRACT(TO_TEXT($F1227), P$1 &amp; ""x(\d+)"")), """")"),"")</f>
        <v/>
      </c>
      <c r="Q1227" s="9" t="str">
        <f ca="1">IFERROR(__xludf.DUMMYFUNCTION("IFERROR(VALUE(REGEXEXTRACT(TO_TEXT($F1227), Q$1 &amp; ""x(\d+)"")), """")"),"")</f>
        <v/>
      </c>
      <c r="R1227" s="9" t="str">
        <f ca="1">IFERROR(__xludf.DUMMYFUNCTION("IFERROR(VALUE(REGEXEXTRACT(TO_TEXT($F1227), R$1 &amp; ""x(\d+)"")), """")"),"")</f>
        <v/>
      </c>
      <c r="S1227" s="9" t="str">
        <f ca="1">IFERROR(__xludf.DUMMYFUNCTION("IFERROR(VALUE(REGEXEXTRACT(TO_TEXT($F1227), S$1 &amp; ""x(\d+)"")), """")"),"")</f>
        <v/>
      </c>
      <c r="T1227" s="9" t="str">
        <f ca="1">IFERROR(__xludf.DUMMYFUNCTION("IFERROR(VALUE(REGEXEXTRACT(TO_TEXT($F1227), T$1 &amp; ""x(\d+)"")), """")"),"")</f>
        <v/>
      </c>
      <c r="U1227" s="9" t="str">
        <f ca="1">IFERROR(__xludf.DUMMYFUNCTION("IFERROR(VALUE(REGEXEXTRACT(TO_TEXT($F1227), U$1 &amp; ""x(\d+)"")), """")"),"")</f>
        <v/>
      </c>
      <c r="V1227" s="9" t="str">
        <f ca="1">IFERROR(__xludf.DUMMYFUNCTION("IFERROR(VALUE(REGEXEXTRACT(TO_TEXT($F1227), V$1 &amp; ""x(\d+)"")), """")"),"")</f>
        <v/>
      </c>
      <c r="W1227" s="9"/>
      <c r="X1227" s="9"/>
      <c r="Y1227" s="9"/>
      <c r="Z1227" s="9"/>
    </row>
    <row r="1228" spans="1:26" ht="15.75" customHeight="1">
      <c r="A1228" s="9" t="s">
        <v>2289</v>
      </c>
      <c r="B1228" s="9" t="s">
        <v>2290</v>
      </c>
      <c r="C1228" s="9" t="s">
        <v>2291</v>
      </c>
      <c r="D1228" s="9" t="s">
        <v>48</v>
      </c>
      <c r="E1228" s="9" t="s">
        <v>11</v>
      </c>
      <c r="F1228" s="9" t="s">
        <v>1353</v>
      </c>
      <c r="G1228" s="9">
        <v>30</v>
      </c>
      <c r="H1228" s="9">
        <v>5</v>
      </c>
      <c r="I1228" s="9">
        <v>1.0149999999999999</v>
      </c>
      <c r="J1228" s="9">
        <v>52</v>
      </c>
      <c r="K1228" s="9" t="s">
        <v>424</v>
      </c>
      <c r="L1228" s="9"/>
      <c r="M1228" s="9"/>
      <c r="N1228" s="9" t="str">
        <f ca="1">IFERROR(__xludf.DUMMYFUNCTION("IFERROR(VALUE(REGEXEXTRACT(TO_TEXT($F1228), N$1 &amp; ""x(\d+)"")), """")
"),"")</f>
        <v/>
      </c>
      <c r="O1228" s="9" t="str">
        <f ca="1">IFERROR(__xludf.DUMMYFUNCTION("IFERROR(VALUE(REGEXEXTRACT(TO_TEXT($F1228), O$1 &amp; ""x(\d+)"")), """")"),"")</f>
        <v/>
      </c>
      <c r="P1228" s="9" t="str">
        <f ca="1">IFERROR(__xludf.DUMMYFUNCTION("IFERROR(VALUE(REGEXEXTRACT(TO_TEXT($F1228), P$1 &amp; ""x(\d+)"")), """")"),"")</f>
        <v/>
      </c>
      <c r="Q1228" s="9" t="str">
        <f ca="1">IFERROR(__xludf.DUMMYFUNCTION("IFERROR(VALUE(REGEXEXTRACT(TO_TEXT($F1228), Q$1 &amp; ""x(\d+)"")), """")"),"")</f>
        <v/>
      </c>
      <c r="R1228" s="9" t="str">
        <f ca="1">IFERROR(__xludf.DUMMYFUNCTION("IFERROR(VALUE(REGEXEXTRACT(TO_TEXT($F1228), R$1 &amp; ""x(\d+)"")), """")"),"")</f>
        <v/>
      </c>
      <c r="S1228" s="9" t="str">
        <f ca="1">IFERROR(__xludf.DUMMYFUNCTION("IFERROR(VALUE(REGEXEXTRACT(TO_TEXT($F1228), S$1 &amp; ""x(\d+)"")), """")"),"")</f>
        <v/>
      </c>
      <c r="T1228" s="9" t="str">
        <f ca="1">IFERROR(__xludf.DUMMYFUNCTION("IFERROR(VALUE(REGEXEXTRACT(TO_TEXT($F1228), T$1 &amp; ""x(\d+)"")), """")"),"")</f>
        <v/>
      </c>
      <c r="U1228" s="9" t="str">
        <f ca="1">IFERROR(__xludf.DUMMYFUNCTION("IFERROR(VALUE(REGEXEXTRACT(TO_TEXT($F1228), U$1 &amp; ""x(\d+)"")), """")"),"")</f>
        <v/>
      </c>
      <c r="V1228" s="9" t="str">
        <f ca="1">IFERROR(__xludf.DUMMYFUNCTION("IFERROR(VALUE(REGEXEXTRACT(TO_TEXT($F1228), V$1 &amp; ""x(\d+)"")), """")"),"")</f>
        <v/>
      </c>
      <c r="W1228" s="9"/>
      <c r="X1228" s="9"/>
      <c r="Y1228" s="9"/>
      <c r="Z1228" s="9"/>
    </row>
    <row r="1229" spans="1:26" ht="15.75" customHeight="1">
      <c r="A1229" s="9" t="s">
        <v>2289</v>
      </c>
      <c r="B1229" s="9" t="s">
        <v>2290</v>
      </c>
      <c r="C1229" s="9" t="s">
        <v>2291</v>
      </c>
      <c r="D1229" s="9" t="s">
        <v>48</v>
      </c>
      <c r="E1229" s="9" t="s">
        <v>12</v>
      </c>
      <c r="F1229" s="9" t="s">
        <v>2045</v>
      </c>
      <c r="G1229" s="9">
        <v>130</v>
      </c>
      <c r="H1229" s="9">
        <v>5</v>
      </c>
      <c r="I1229" s="9">
        <v>1.0149999999999999</v>
      </c>
      <c r="J1229" s="9">
        <v>52</v>
      </c>
      <c r="K1229" s="9" t="s">
        <v>424</v>
      </c>
      <c r="L1229" s="9"/>
      <c r="M1229" s="9"/>
      <c r="N1229" s="9" t="str">
        <f ca="1">IFERROR(__xludf.DUMMYFUNCTION("IFERROR(VALUE(REGEXEXTRACT(TO_TEXT($F1229), N$1 &amp; ""x(\d+)"")), """")
"),"")</f>
        <v/>
      </c>
      <c r="O1229" s="9" t="str">
        <f ca="1">IFERROR(__xludf.DUMMYFUNCTION("IFERROR(VALUE(REGEXEXTRACT(TO_TEXT($F1229), O$1 &amp; ""x(\d+)"")), """")"),"")</f>
        <v/>
      </c>
      <c r="P1229" s="9">
        <f ca="1">IFERROR(__xludf.DUMMYFUNCTION("IFERROR(VALUE(REGEXEXTRACT(TO_TEXT($F1229), P$1 &amp; ""x(\d+)"")), """")"),1)</f>
        <v>1</v>
      </c>
      <c r="Q1229" s="9" t="str">
        <f ca="1">IFERROR(__xludf.DUMMYFUNCTION("IFERROR(VALUE(REGEXEXTRACT(TO_TEXT($F1229), Q$1 &amp; ""x(\d+)"")), """")"),"")</f>
        <v/>
      </c>
      <c r="R1229" s="9" t="str">
        <f ca="1">IFERROR(__xludf.DUMMYFUNCTION("IFERROR(VALUE(REGEXEXTRACT(TO_TEXT($F1229), R$1 &amp; ""x(\d+)"")), """")"),"")</f>
        <v/>
      </c>
      <c r="S1229" s="9" t="str">
        <f ca="1">IFERROR(__xludf.DUMMYFUNCTION("IFERROR(VALUE(REGEXEXTRACT(TO_TEXT($F1229), S$1 &amp; ""x(\d+)"")), """")"),"")</f>
        <v/>
      </c>
      <c r="T1229" s="9">
        <f ca="1">IFERROR(__xludf.DUMMYFUNCTION("IFERROR(VALUE(REGEXEXTRACT(TO_TEXT($F1229), T$1 &amp; ""x(\d+)"")), """")"),1)</f>
        <v>1</v>
      </c>
      <c r="U1229" s="9" t="str">
        <f ca="1">IFERROR(__xludf.DUMMYFUNCTION("IFERROR(VALUE(REGEXEXTRACT(TO_TEXT($F1229), U$1 &amp; ""x(\d+)"")), """")"),"")</f>
        <v/>
      </c>
      <c r="V1229" s="9" t="str">
        <f ca="1">IFERROR(__xludf.DUMMYFUNCTION("IFERROR(VALUE(REGEXEXTRACT(TO_TEXT($F1229), V$1 &amp; ""x(\d+)"")), """")"),"")</f>
        <v/>
      </c>
      <c r="W1229" s="9"/>
      <c r="X1229" s="9"/>
      <c r="Y1229" s="9"/>
      <c r="Z1229" s="9"/>
    </row>
    <row r="1230" spans="1:26" ht="15.75" customHeight="1">
      <c r="A1230" s="9" t="s">
        <v>2289</v>
      </c>
      <c r="B1230" s="9" t="s">
        <v>2290</v>
      </c>
      <c r="C1230" s="9" t="s">
        <v>2291</v>
      </c>
      <c r="D1230" s="9" t="s">
        <v>48</v>
      </c>
      <c r="E1230" s="9" t="s">
        <v>13</v>
      </c>
      <c r="F1230" s="9" t="s">
        <v>1530</v>
      </c>
      <c r="G1230" s="9">
        <v>40</v>
      </c>
      <c r="H1230" s="9">
        <v>5</v>
      </c>
      <c r="I1230" s="9">
        <v>1.0149999999999999</v>
      </c>
      <c r="J1230" s="9">
        <v>52</v>
      </c>
      <c r="K1230" s="9" t="s">
        <v>424</v>
      </c>
      <c r="L1230" s="9"/>
      <c r="M1230" s="9"/>
      <c r="N1230" s="9" t="str">
        <f ca="1">IFERROR(__xludf.DUMMYFUNCTION("IFERROR(VALUE(REGEXEXTRACT(TO_TEXT($F1230), N$1 &amp; ""x(\d+)"")), """")
"),"")</f>
        <v/>
      </c>
      <c r="O1230" s="9" t="str">
        <f ca="1">IFERROR(__xludf.DUMMYFUNCTION("IFERROR(VALUE(REGEXEXTRACT(TO_TEXT($F1230), O$1 &amp; ""x(\d+)"")), """")"),"")</f>
        <v/>
      </c>
      <c r="P1230" s="9">
        <f ca="1">IFERROR(__xludf.DUMMYFUNCTION("IFERROR(VALUE(REGEXEXTRACT(TO_TEXT($F1230), P$1 &amp; ""x(\d+)"")), """")"),1)</f>
        <v>1</v>
      </c>
      <c r="Q1230" s="9" t="str">
        <f ca="1">IFERROR(__xludf.DUMMYFUNCTION("IFERROR(VALUE(REGEXEXTRACT(TO_TEXT($F1230), Q$1 &amp; ""x(\d+)"")), """")"),"")</f>
        <v/>
      </c>
      <c r="R1230" s="9" t="str">
        <f ca="1">IFERROR(__xludf.DUMMYFUNCTION("IFERROR(VALUE(REGEXEXTRACT(TO_TEXT($F1230), R$1 &amp; ""x(\d+)"")), """")"),"")</f>
        <v/>
      </c>
      <c r="S1230" s="9" t="str">
        <f ca="1">IFERROR(__xludf.DUMMYFUNCTION("IFERROR(VALUE(REGEXEXTRACT(TO_TEXT($F1230), S$1 &amp; ""x(\d+)"")), """")"),"")</f>
        <v/>
      </c>
      <c r="T1230" s="9">
        <f ca="1">IFERROR(__xludf.DUMMYFUNCTION("IFERROR(VALUE(REGEXEXTRACT(TO_TEXT($F1230), T$1 &amp; ""x(\d+)"")), """")"),1)</f>
        <v>1</v>
      </c>
      <c r="U1230" s="9" t="str">
        <f ca="1">IFERROR(__xludf.DUMMYFUNCTION("IFERROR(VALUE(REGEXEXTRACT(TO_TEXT($F1230), U$1 &amp; ""x(\d+)"")), """")"),"")</f>
        <v/>
      </c>
      <c r="V1230" s="9" t="str">
        <f ca="1">IFERROR(__xludf.DUMMYFUNCTION("IFERROR(VALUE(REGEXEXTRACT(TO_TEXT($F1230), V$1 &amp; ""x(\d+)"")), """")"),"")</f>
        <v/>
      </c>
      <c r="W1230" s="9"/>
      <c r="X1230" s="9"/>
      <c r="Y1230" s="9"/>
      <c r="Z1230" s="9"/>
    </row>
    <row r="1231" spans="1:26" ht="15.75" customHeight="1">
      <c r="A1231" s="9" t="s">
        <v>2289</v>
      </c>
      <c r="B1231" s="9" t="s">
        <v>2290</v>
      </c>
      <c r="C1231" s="9" t="s">
        <v>2291</v>
      </c>
      <c r="D1231" s="9" t="s">
        <v>74</v>
      </c>
      <c r="E1231" s="9" t="s">
        <v>11</v>
      </c>
      <c r="F1231" s="9" t="s">
        <v>1204</v>
      </c>
      <c r="G1231" s="9">
        <v>25</v>
      </c>
      <c r="H1231" s="9">
        <v>3</v>
      </c>
      <c r="I1231" s="9">
        <v>1.0149999999999999</v>
      </c>
      <c r="J1231" s="9">
        <v>103</v>
      </c>
      <c r="K1231" s="9" t="s">
        <v>424</v>
      </c>
      <c r="L1231" s="9"/>
      <c r="M1231" s="9"/>
      <c r="N1231" s="9" t="str">
        <f ca="1">IFERROR(__xludf.DUMMYFUNCTION("IFERROR(VALUE(REGEXEXTRACT(TO_TEXT($F1231), N$1 &amp; ""x(\d+)"")), """")
"),"")</f>
        <v/>
      </c>
      <c r="O1231" s="9" t="str">
        <f ca="1">IFERROR(__xludf.DUMMYFUNCTION("IFERROR(VALUE(REGEXEXTRACT(TO_TEXT($F1231), O$1 &amp; ""x(\d+)"")), """")"),"")</f>
        <v/>
      </c>
      <c r="P1231" s="9" t="str">
        <f ca="1">IFERROR(__xludf.DUMMYFUNCTION("IFERROR(VALUE(REGEXEXTRACT(TO_TEXT($F1231), P$1 &amp; ""x(\d+)"")), """")"),"")</f>
        <v/>
      </c>
      <c r="Q1231" s="9" t="str">
        <f ca="1">IFERROR(__xludf.DUMMYFUNCTION("IFERROR(VALUE(REGEXEXTRACT(TO_TEXT($F1231), Q$1 &amp; ""x(\d+)"")), """")"),"")</f>
        <v/>
      </c>
      <c r="R1231" s="9" t="str">
        <f ca="1">IFERROR(__xludf.DUMMYFUNCTION("IFERROR(VALUE(REGEXEXTRACT(TO_TEXT($F1231), R$1 &amp; ""x(\d+)"")), """")"),"")</f>
        <v/>
      </c>
      <c r="S1231" s="9" t="str">
        <f ca="1">IFERROR(__xludf.DUMMYFUNCTION("IFERROR(VALUE(REGEXEXTRACT(TO_TEXT($F1231), S$1 &amp; ""x(\d+)"")), """")"),"")</f>
        <v/>
      </c>
      <c r="T1231" s="9" t="str">
        <f ca="1">IFERROR(__xludf.DUMMYFUNCTION("IFERROR(VALUE(REGEXEXTRACT(TO_TEXT($F1231), T$1 &amp; ""x(\d+)"")), """")"),"")</f>
        <v/>
      </c>
      <c r="U1231" s="9" t="str">
        <f ca="1">IFERROR(__xludf.DUMMYFUNCTION("IFERROR(VALUE(REGEXEXTRACT(TO_TEXT($F1231), U$1 &amp; ""x(\d+)"")), """")"),"")</f>
        <v/>
      </c>
      <c r="V1231" s="9" t="str">
        <f ca="1">IFERROR(__xludf.DUMMYFUNCTION("IFERROR(VALUE(REGEXEXTRACT(TO_TEXT($F1231), V$1 &amp; ""x(\d+)"")), """")"),"")</f>
        <v/>
      </c>
      <c r="W1231" s="9"/>
      <c r="X1231" s="9"/>
      <c r="Y1231" s="9"/>
      <c r="Z1231" s="9"/>
    </row>
    <row r="1232" spans="1:26" ht="15.75" customHeight="1">
      <c r="A1232" s="9" t="s">
        <v>2289</v>
      </c>
      <c r="B1232" s="9" t="s">
        <v>2290</v>
      </c>
      <c r="C1232" s="9" t="s">
        <v>2291</v>
      </c>
      <c r="D1232" s="9" t="s">
        <v>74</v>
      </c>
      <c r="E1232" s="9" t="s">
        <v>12</v>
      </c>
      <c r="F1232" s="9" t="s">
        <v>2292</v>
      </c>
      <c r="G1232" s="9">
        <v>165</v>
      </c>
      <c r="H1232" s="9">
        <v>3</v>
      </c>
      <c r="I1232" s="9">
        <v>1.0149999999999999</v>
      </c>
      <c r="J1232" s="9">
        <v>103</v>
      </c>
      <c r="K1232" s="9" t="s">
        <v>424</v>
      </c>
      <c r="L1232" s="9" t="s">
        <v>1169</v>
      </c>
      <c r="M1232" s="9"/>
      <c r="N1232" s="9" t="str">
        <f ca="1">IFERROR(__xludf.DUMMYFUNCTION("IFERROR(VALUE(REGEXEXTRACT(TO_TEXT($F1232), N$1 &amp; ""x(\d+)"")), """")
"),"")</f>
        <v/>
      </c>
      <c r="O1232" s="9" t="str">
        <f ca="1">IFERROR(__xludf.DUMMYFUNCTION("IFERROR(VALUE(REGEXEXTRACT(TO_TEXT($F1232), O$1 &amp; ""x(\d+)"")), """")"),"")</f>
        <v/>
      </c>
      <c r="P1232" s="9" t="str">
        <f ca="1">IFERROR(__xludf.DUMMYFUNCTION("IFERROR(VALUE(REGEXEXTRACT(TO_TEXT($F1232), P$1 &amp; ""x(\d+)"")), """")"),"")</f>
        <v/>
      </c>
      <c r="Q1232" s="9">
        <f ca="1">IFERROR(__xludf.DUMMYFUNCTION("IFERROR(VALUE(REGEXEXTRACT(TO_TEXT($F1232), Q$1 &amp; ""x(\d+)"")), """")"),1)</f>
        <v>1</v>
      </c>
      <c r="R1232" s="9" t="str">
        <f ca="1">IFERROR(__xludf.DUMMYFUNCTION("IFERROR(VALUE(REGEXEXTRACT(TO_TEXT($F1232), R$1 &amp; ""x(\d+)"")), """")"),"")</f>
        <v/>
      </c>
      <c r="S1232" s="9" t="str">
        <f ca="1">IFERROR(__xludf.DUMMYFUNCTION("IFERROR(VALUE(REGEXEXTRACT(TO_TEXT($F1232), S$1 &amp; ""x(\d+)"")), """")"),"")</f>
        <v/>
      </c>
      <c r="T1232" s="9" t="str">
        <f ca="1">IFERROR(__xludf.DUMMYFUNCTION("IFERROR(VALUE(REGEXEXTRACT(TO_TEXT($F1232), T$1 &amp; ""x(\d+)"")), """")"),"")</f>
        <v/>
      </c>
      <c r="U1232" s="9" t="str">
        <f ca="1">IFERROR(__xludf.DUMMYFUNCTION("IFERROR(VALUE(REGEXEXTRACT(TO_TEXT($F1232), U$1 &amp; ""x(\d+)"")), """")"),"")</f>
        <v/>
      </c>
      <c r="V1232" s="9" t="str">
        <f ca="1">IFERROR(__xludf.DUMMYFUNCTION("IFERROR(VALUE(REGEXEXTRACT(TO_TEXT($F1232), V$1 &amp; ""x(\d+)"")), """")"),"")</f>
        <v/>
      </c>
      <c r="W1232" s="9"/>
      <c r="X1232" s="9"/>
      <c r="Y1232" s="9"/>
      <c r="Z1232" s="9"/>
    </row>
    <row r="1233" spans="1:26" ht="15.75" customHeight="1">
      <c r="A1233" s="9" t="s">
        <v>2289</v>
      </c>
      <c r="B1233" s="9" t="s">
        <v>2290</v>
      </c>
      <c r="C1233" s="9" t="s">
        <v>2291</v>
      </c>
      <c r="D1233" s="9" t="s">
        <v>74</v>
      </c>
      <c r="E1233" s="9" t="s">
        <v>13</v>
      </c>
      <c r="F1233" s="9" t="s">
        <v>1233</v>
      </c>
      <c r="G1233" s="9">
        <v>40</v>
      </c>
      <c r="H1233" s="9">
        <v>3</v>
      </c>
      <c r="I1233" s="9">
        <v>1.0149999999999999</v>
      </c>
      <c r="J1233" s="9">
        <v>103</v>
      </c>
      <c r="K1233" s="9" t="s">
        <v>424</v>
      </c>
      <c r="L1233" s="9"/>
      <c r="M1233" s="9"/>
      <c r="N1233" s="9" t="str">
        <f ca="1">IFERROR(__xludf.DUMMYFUNCTION("IFERROR(VALUE(REGEXEXTRACT(TO_TEXT($F1233), N$1 &amp; ""x(\d+)"")), """")
"),"")</f>
        <v/>
      </c>
      <c r="O1233" s="9" t="str">
        <f ca="1">IFERROR(__xludf.DUMMYFUNCTION("IFERROR(VALUE(REGEXEXTRACT(TO_TEXT($F1233), O$1 &amp; ""x(\d+)"")), """")"),"")</f>
        <v/>
      </c>
      <c r="P1233" s="9" t="str">
        <f ca="1">IFERROR(__xludf.DUMMYFUNCTION("IFERROR(VALUE(REGEXEXTRACT(TO_TEXT($F1233), P$1 &amp; ""x(\d+)"")), """")"),"")</f>
        <v/>
      </c>
      <c r="Q1233" s="9">
        <f ca="1">IFERROR(__xludf.DUMMYFUNCTION("IFERROR(VALUE(REGEXEXTRACT(TO_TEXT($F1233), Q$1 &amp; ""x(\d+)"")), """")"),1)</f>
        <v>1</v>
      </c>
      <c r="R1233" s="9" t="str">
        <f ca="1">IFERROR(__xludf.DUMMYFUNCTION("IFERROR(VALUE(REGEXEXTRACT(TO_TEXT($F1233), R$1 &amp; ""x(\d+)"")), """")"),"")</f>
        <v/>
      </c>
      <c r="S1233" s="9" t="str">
        <f ca="1">IFERROR(__xludf.DUMMYFUNCTION("IFERROR(VALUE(REGEXEXTRACT(TO_TEXT($F1233), S$1 &amp; ""x(\d+)"")), """")"),"")</f>
        <v/>
      </c>
      <c r="T1233" s="9" t="str">
        <f ca="1">IFERROR(__xludf.DUMMYFUNCTION("IFERROR(VALUE(REGEXEXTRACT(TO_TEXT($F1233), T$1 &amp; ""x(\d+)"")), """")"),"")</f>
        <v/>
      </c>
      <c r="U1233" s="9" t="str">
        <f ca="1">IFERROR(__xludf.DUMMYFUNCTION("IFERROR(VALUE(REGEXEXTRACT(TO_TEXT($F1233), U$1 &amp; ""x(\d+)"")), """")"),"")</f>
        <v/>
      </c>
      <c r="V1233" s="9" t="str">
        <f ca="1">IFERROR(__xludf.DUMMYFUNCTION("IFERROR(VALUE(REGEXEXTRACT(TO_TEXT($F1233), V$1 &amp; ""x(\d+)"")), """")"),"")</f>
        <v/>
      </c>
      <c r="W1233" s="9"/>
      <c r="X1233" s="9"/>
      <c r="Y1233" s="9"/>
      <c r="Z1233" s="9"/>
    </row>
    <row r="1234" spans="1:26" ht="15.75" customHeight="1">
      <c r="A1234" s="9" t="s">
        <v>2293</v>
      </c>
      <c r="B1234" s="9" t="s">
        <v>2294</v>
      </c>
      <c r="C1234" s="9" t="s">
        <v>2295</v>
      </c>
      <c r="D1234" s="9" t="s">
        <v>48</v>
      </c>
      <c r="E1234" s="9" t="s">
        <v>11</v>
      </c>
      <c r="F1234" s="9" t="s">
        <v>2057</v>
      </c>
      <c r="G1234" s="9">
        <v>30</v>
      </c>
      <c r="H1234" s="9">
        <v>5</v>
      </c>
      <c r="I1234" s="9">
        <v>1.0149999999999999</v>
      </c>
      <c r="J1234" s="9">
        <v>52</v>
      </c>
      <c r="K1234" s="9" t="s">
        <v>424</v>
      </c>
      <c r="L1234" s="9"/>
      <c r="M1234" s="9"/>
      <c r="N1234" s="9">
        <f ca="1">IFERROR(__xludf.DUMMYFUNCTION("IFERROR(VALUE(REGEXEXTRACT(TO_TEXT($F1234), N$1 &amp; ""x(\d+)"")), """")
"),1)</f>
        <v>1</v>
      </c>
      <c r="O1234" s="9" t="str">
        <f ca="1">IFERROR(__xludf.DUMMYFUNCTION("IFERROR(VALUE(REGEXEXTRACT(TO_TEXT($F1234), O$1 &amp; ""x(\d+)"")), """")"),"")</f>
        <v/>
      </c>
      <c r="P1234" s="9" t="str">
        <f ca="1">IFERROR(__xludf.DUMMYFUNCTION("IFERROR(VALUE(REGEXEXTRACT(TO_TEXT($F1234), P$1 &amp; ""x(\d+)"")), """")"),"")</f>
        <v/>
      </c>
      <c r="Q1234" s="9" t="str">
        <f ca="1">IFERROR(__xludf.DUMMYFUNCTION("IFERROR(VALUE(REGEXEXTRACT(TO_TEXT($F1234), Q$1 &amp; ""x(\d+)"")), """")"),"")</f>
        <v/>
      </c>
      <c r="R1234" s="9" t="str">
        <f ca="1">IFERROR(__xludf.DUMMYFUNCTION("IFERROR(VALUE(REGEXEXTRACT(TO_TEXT($F1234), R$1 &amp; ""x(\d+)"")), """")"),"")</f>
        <v/>
      </c>
      <c r="S1234" s="9" t="str">
        <f ca="1">IFERROR(__xludf.DUMMYFUNCTION("IFERROR(VALUE(REGEXEXTRACT(TO_TEXT($F1234), S$1 &amp; ""x(\d+)"")), """")"),"")</f>
        <v/>
      </c>
      <c r="T1234" s="9" t="str">
        <f ca="1">IFERROR(__xludf.DUMMYFUNCTION("IFERROR(VALUE(REGEXEXTRACT(TO_TEXT($F1234), T$1 &amp; ""x(\d+)"")), """")"),"")</f>
        <v/>
      </c>
      <c r="U1234" s="9" t="str">
        <f ca="1">IFERROR(__xludf.DUMMYFUNCTION("IFERROR(VALUE(REGEXEXTRACT(TO_TEXT($F1234), U$1 &amp; ""x(\d+)"")), """")"),"")</f>
        <v/>
      </c>
      <c r="V1234" s="9" t="str">
        <f ca="1">IFERROR(__xludf.DUMMYFUNCTION("IFERROR(VALUE(REGEXEXTRACT(TO_TEXT($F1234), V$1 &amp; ""x(\d+)"")), """")"),"")</f>
        <v/>
      </c>
      <c r="W1234" s="9"/>
      <c r="X1234" s="9"/>
      <c r="Y1234" s="9"/>
      <c r="Z1234" s="9"/>
    </row>
    <row r="1235" spans="1:26" ht="15.75" customHeight="1">
      <c r="A1235" s="9" t="s">
        <v>2293</v>
      </c>
      <c r="B1235" s="9" t="s">
        <v>2294</v>
      </c>
      <c r="C1235" s="9" t="s">
        <v>2295</v>
      </c>
      <c r="D1235" s="9" t="s">
        <v>48</v>
      </c>
      <c r="E1235" s="9" t="s">
        <v>12</v>
      </c>
      <c r="F1235" s="9" t="s">
        <v>2058</v>
      </c>
      <c r="G1235" s="9">
        <v>125</v>
      </c>
      <c r="H1235" s="9">
        <v>5</v>
      </c>
      <c r="I1235" s="9">
        <v>1.0149999999999999</v>
      </c>
      <c r="J1235" s="9">
        <v>52</v>
      </c>
      <c r="K1235" s="9" t="s">
        <v>424</v>
      </c>
      <c r="L1235" s="9" t="s">
        <v>2059</v>
      </c>
      <c r="M1235" s="9"/>
      <c r="N1235" s="9" t="str">
        <f ca="1">IFERROR(__xludf.DUMMYFUNCTION("IFERROR(VALUE(REGEXEXTRACT(TO_TEXT($F1235), N$1 &amp; ""x(\d+)"")), """")
"),"")</f>
        <v/>
      </c>
      <c r="O1235" s="9" t="str">
        <f ca="1">IFERROR(__xludf.DUMMYFUNCTION("IFERROR(VALUE(REGEXEXTRACT(TO_TEXT($F1235), O$1 &amp; ""x(\d+)"")), """")"),"")</f>
        <v/>
      </c>
      <c r="P1235" s="9">
        <f ca="1">IFERROR(__xludf.DUMMYFUNCTION("IFERROR(VALUE(REGEXEXTRACT(TO_TEXT($F1235), P$1 &amp; ""x(\d+)"")), """")"),1)</f>
        <v>1</v>
      </c>
      <c r="Q1235" s="9" t="str">
        <f ca="1">IFERROR(__xludf.DUMMYFUNCTION("IFERROR(VALUE(REGEXEXTRACT(TO_TEXT($F1235), Q$1 &amp; ""x(\d+)"")), """")"),"")</f>
        <v/>
      </c>
      <c r="R1235" s="9">
        <f ca="1">IFERROR(__xludf.DUMMYFUNCTION("IFERROR(VALUE(REGEXEXTRACT(TO_TEXT($F1235), R$1 &amp; ""x(\d+)"")), """")"),1)</f>
        <v>1</v>
      </c>
      <c r="S1235" s="9" t="str">
        <f ca="1">IFERROR(__xludf.DUMMYFUNCTION("IFERROR(VALUE(REGEXEXTRACT(TO_TEXT($F1235), S$1 &amp; ""x(\d+)"")), """")"),"")</f>
        <v/>
      </c>
      <c r="T1235" s="9">
        <f ca="1">IFERROR(__xludf.DUMMYFUNCTION("IFERROR(VALUE(REGEXEXTRACT(TO_TEXT($F1235), T$1 &amp; ""x(\d+)"")), """")"),1)</f>
        <v>1</v>
      </c>
      <c r="U1235" s="9" t="str">
        <f ca="1">IFERROR(__xludf.DUMMYFUNCTION("IFERROR(VALUE(REGEXEXTRACT(TO_TEXT($F1235), U$1 &amp; ""x(\d+)"")), """")"),"")</f>
        <v/>
      </c>
      <c r="V1235" s="9" t="str">
        <f ca="1">IFERROR(__xludf.DUMMYFUNCTION("IFERROR(VALUE(REGEXEXTRACT(TO_TEXT($F1235), V$1 &amp; ""x(\d+)"")), """")"),"")</f>
        <v/>
      </c>
      <c r="W1235" s="9"/>
      <c r="X1235" s="9"/>
      <c r="Y1235" s="9"/>
      <c r="Z1235" s="9"/>
    </row>
    <row r="1236" spans="1:26" ht="15.75" customHeight="1">
      <c r="A1236" s="9" t="s">
        <v>2293</v>
      </c>
      <c r="B1236" s="9" t="s">
        <v>2294</v>
      </c>
      <c r="C1236" s="9" t="s">
        <v>2295</v>
      </c>
      <c r="D1236" s="9" t="s">
        <v>48</v>
      </c>
      <c r="E1236" s="9" t="s">
        <v>13</v>
      </c>
      <c r="F1236" s="9" t="s">
        <v>1201</v>
      </c>
      <c r="G1236" s="9">
        <v>30</v>
      </c>
      <c r="H1236" s="9">
        <v>5</v>
      </c>
      <c r="I1236" s="9">
        <v>1.0149999999999999</v>
      </c>
      <c r="J1236" s="9">
        <v>52</v>
      </c>
      <c r="K1236" s="9" t="s">
        <v>424</v>
      </c>
      <c r="L1236" s="9"/>
      <c r="M1236" s="9"/>
      <c r="N1236" s="9" t="str">
        <f ca="1">IFERROR(__xludf.DUMMYFUNCTION("IFERROR(VALUE(REGEXEXTRACT(TO_TEXT($F1236), N$1 &amp; ""x(\d+)"")), """")
"),"")</f>
        <v/>
      </c>
      <c r="O1236" s="9" t="str">
        <f ca="1">IFERROR(__xludf.DUMMYFUNCTION("IFERROR(VALUE(REGEXEXTRACT(TO_TEXT($F1236), O$1 &amp; ""x(\d+)"")), """")"),"")</f>
        <v/>
      </c>
      <c r="P1236" s="9">
        <f ca="1">IFERROR(__xludf.DUMMYFUNCTION("IFERROR(VALUE(REGEXEXTRACT(TO_TEXT($F1236), P$1 &amp; ""x(\d+)"")), """")"),1)</f>
        <v>1</v>
      </c>
      <c r="Q1236" s="9" t="str">
        <f ca="1">IFERROR(__xludf.DUMMYFUNCTION("IFERROR(VALUE(REGEXEXTRACT(TO_TEXT($F1236), Q$1 &amp; ""x(\d+)"")), """")"),"")</f>
        <v/>
      </c>
      <c r="R1236" s="9" t="str">
        <f ca="1">IFERROR(__xludf.DUMMYFUNCTION("IFERROR(VALUE(REGEXEXTRACT(TO_TEXT($F1236), R$1 &amp; ""x(\d+)"")), """")"),"")</f>
        <v/>
      </c>
      <c r="S1236" s="9" t="str">
        <f ca="1">IFERROR(__xludf.DUMMYFUNCTION("IFERROR(VALUE(REGEXEXTRACT(TO_TEXT($F1236), S$1 &amp; ""x(\d+)"")), """")"),"")</f>
        <v/>
      </c>
      <c r="T1236" s="9" t="str">
        <f ca="1">IFERROR(__xludf.DUMMYFUNCTION("IFERROR(VALUE(REGEXEXTRACT(TO_TEXT($F1236), T$1 &amp; ""x(\d+)"")), """")"),"")</f>
        <v/>
      </c>
      <c r="U1236" s="9" t="str">
        <f ca="1">IFERROR(__xludf.DUMMYFUNCTION("IFERROR(VALUE(REGEXEXTRACT(TO_TEXT($F1236), U$1 &amp; ""x(\d+)"")), """")"),"")</f>
        <v/>
      </c>
      <c r="V1236" s="9" t="str">
        <f ca="1">IFERROR(__xludf.DUMMYFUNCTION("IFERROR(VALUE(REGEXEXTRACT(TO_TEXT($F1236), V$1 &amp; ""x(\d+)"")), """")"),"")</f>
        <v/>
      </c>
      <c r="W1236" s="9"/>
      <c r="X1236" s="9"/>
      <c r="Y1236" s="9"/>
      <c r="Z1236" s="9"/>
    </row>
    <row r="1237" spans="1:26" ht="15.75" customHeight="1">
      <c r="A1237" s="9" t="s">
        <v>2293</v>
      </c>
      <c r="B1237" s="9" t="s">
        <v>2294</v>
      </c>
      <c r="C1237" s="9" t="s">
        <v>2295</v>
      </c>
      <c r="D1237" s="9" t="s">
        <v>74</v>
      </c>
      <c r="E1237" s="9" t="s">
        <v>11</v>
      </c>
      <c r="F1237" s="9" t="s">
        <v>2296</v>
      </c>
      <c r="G1237" s="9">
        <v>30</v>
      </c>
      <c r="H1237" s="9">
        <v>3</v>
      </c>
      <c r="I1237" s="9">
        <v>1.0149999999999999</v>
      </c>
      <c r="J1237" s="9">
        <v>103</v>
      </c>
      <c r="K1237" s="9" t="s">
        <v>424</v>
      </c>
      <c r="L1237" s="9"/>
      <c r="M1237" s="9"/>
      <c r="N1237" s="9">
        <f ca="1">IFERROR(__xludf.DUMMYFUNCTION("IFERROR(VALUE(REGEXEXTRACT(TO_TEXT($F1237), N$1 &amp; ""x(\d+)"")), """")
"),1)</f>
        <v>1</v>
      </c>
      <c r="O1237" s="9" t="str">
        <f ca="1">IFERROR(__xludf.DUMMYFUNCTION("IFERROR(VALUE(REGEXEXTRACT(TO_TEXT($F1237), O$1 &amp; ""x(\d+)"")), """")"),"")</f>
        <v/>
      </c>
      <c r="P1237" s="9" t="str">
        <f ca="1">IFERROR(__xludf.DUMMYFUNCTION("IFERROR(VALUE(REGEXEXTRACT(TO_TEXT($F1237), P$1 &amp; ""x(\d+)"")), """")"),"")</f>
        <v/>
      </c>
      <c r="Q1237" s="9" t="str">
        <f ca="1">IFERROR(__xludf.DUMMYFUNCTION("IFERROR(VALUE(REGEXEXTRACT(TO_TEXT($F1237), Q$1 &amp; ""x(\d+)"")), """")"),"")</f>
        <v/>
      </c>
      <c r="R1237" s="9" t="str">
        <f ca="1">IFERROR(__xludf.DUMMYFUNCTION("IFERROR(VALUE(REGEXEXTRACT(TO_TEXT($F1237), R$1 &amp; ""x(\d+)"")), """")"),"")</f>
        <v/>
      </c>
      <c r="S1237" s="9" t="str">
        <f ca="1">IFERROR(__xludf.DUMMYFUNCTION("IFERROR(VALUE(REGEXEXTRACT(TO_TEXT($F1237), S$1 &amp; ""x(\d+)"")), """")"),"")</f>
        <v/>
      </c>
      <c r="T1237" s="9" t="str">
        <f ca="1">IFERROR(__xludf.DUMMYFUNCTION("IFERROR(VALUE(REGEXEXTRACT(TO_TEXT($F1237), T$1 &amp; ""x(\d+)"")), """")"),"")</f>
        <v/>
      </c>
      <c r="U1237" s="9" t="str">
        <f ca="1">IFERROR(__xludf.DUMMYFUNCTION("IFERROR(VALUE(REGEXEXTRACT(TO_TEXT($F1237), U$1 &amp; ""x(\d+)"")), """")"),"")</f>
        <v/>
      </c>
      <c r="V1237" s="9" t="str">
        <f ca="1">IFERROR(__xludf.DUMMYFUNCTION("IFERROR(VALUE(REGEXEXTRACT(TO_TEXT($F1237), V$1 &amp; ""x(\d+)"")), """")"),"")</f>
        <v/>
      </c>
      <c r="W1237" s="9"/>
      <c r="X1237" s="9"/>
      <c r="Y1237" s="9"/>
      <c r="Z1237" s="9"/>
    </row>
    <row r="1238" spans="1:26" ht="15.75" customHeight="1">
      <c r="A1238" s="9" t="s">
        <v>2293</v>
      </c>
      <c r="B1238" s="9" t="s">
        <v>2294</v>
      </c>
      <c r="C1238" s="9" t="s">
        <v>2295</v>
      </c>
      <c r="D1238" s="9" t="s">
        <v>74</v>
      </c>
      <c r="E1238" s="9" t="s">
        <v>12</v>
      </c>
      <c r="F1238" s="9" t="s">
        <v>2297</v>
      </c>
      <c r="G1238" s="9">
        <v>170</v>
      </c>
      <c r="H1238" s="9">
        <v>3</v>
      </c>
      <c r="I1238" s="9">
        <v>1.0149999999999999</v>
      </c>
      <c r="J1238" s="9">
        <v>103</v>
      </c>
      <c r="K1238" s="9" t="s">
        <v>424</v>
      </c>
      <c r="L1238" s="9" t="s">
        <v>2059</v>
      </c>
      <c r="M1238" s="9"/>
      <c r="N1238" s="9" t="str">
        <f ca="1">IFERROR(__xludf.DUMMYFUNCTION("IFERROR(VALUE(REGEXEXTRACT(TO_TEXT($F1238), N$1 &amp; ""x(\d+)"")), """")
"),"")</f>
        <v/>
      </c>
      <c r="O1238" s="9" t="str">
        <f ca="1">IFERROR(__xludf.DUMMYFUNCTION("IFERROR(VALUE(REGEXEXTRACT(TO_TEXT($F1238), O$1 &amp; ""x(\d+)"")), """")"),"")</f>
        <v/>
      </c>
      <c r="P1238" s="9" t="str">
        <f ca="1">IFERROR(__xludf.DUMMYFUNCTION("IFERROR(VALUE(REGEXEXTRACT(TO_TEXT($F1238), P$1 &amp; ""x(\d+)"")), """")"),"")</f>
        <v/>
      </c>
      <c r="Q1238" s="9">
        <f ca="1">IFERROR(__xludf.DUMMYFUNCTION("IFERROR(VALUE(REGEXEXTRACT(TO_TEXT($F1238), Q$1 &amp; ""x(\d+)"")), """")"),1)</f>
        <v>1</v>
      </c>
      <c r="R1238" s="9">
        <f ca="1">IFERROR(__xludf.DUMMYFUNCTION("IFERROR(VALUE(REGEXEXTRACT(TO_TEXT($F1238), R$1 &amp; ""x(\d+)"")), """")"),1)</f>
        <v>1</v>
      </c>
      <c r="S1238" s="9" t="str">
        <f ca="1">IFERROR(__xludf.DUMMYFUNCTION("IFERROR(VALUE(REGEXEXTRACT(TO_TEXT($F1238), S$1 &amp; ""x(\d+)"")), """")"),"")</f>
        <v/>
      </c>
      <c r="T1238" s="9" t="str">
        <f ca="1">IFERROR(__xludf.DUMMYFUNCTION("IFERROR(VALUE(REGEXEXTRACT(TO_TEXT($F1238), T$1 &amp; ""x(\d+)"")), """")"),"")</f>
        <v/>
      </c>
      <c r="U1238" s="9" t="str">
        <f ca="1">IFERROR(__xludf.DUMMYFUNCTION("IFERROR(VALUE(REGEXEXTRACT(TO_TEXT($F1238), U$1 &amp; ""x(\d+)"")), """")"),"")</f>
        <v/>
      </c>
      <c r="V1238" s="9" t="str">
        <f ca="1">IFERROR(__xludf.DUMMYFUNCTION("IFERROR(VALUE(REGEXEXTRACT(TO_TEXT($F1238), V$1 &amp; ""x(\d+)"")), """")"),"")</f>
        <v/>
      </c>
      <c r="W1238" s="9"/>
      <c r="X1238" s="9"/>
      <c r="Y1238" s="9"/>
      <c r="Z1238" s="9"/>
    </row>
    <row r="1239" spans="1:26" ht="15.75" customHeight="1">
      <c r="A1239" s="9" t="s">
        <v>2293</v>
      </c>
      <c r="B1239" s="9" t="s">
        <v>2294</v>
      </c>
      <c r="C1239" s="9" t="s">
        <v>2295</v>
      </c>
      <c r="D1239" s="9" t="s">
        <v>74</v>
      </c>
      <c r="E1239" s="9" t="s">
        <v>13</v>
      </c>
      <c r="F1239" s="9" t="s">
        <v>1233</v>
      </c>
      <c r="G1239" s="9">
        <v>40</v>
      </c>
      <c r="H1239" s="9">
        <v>3</v>
      </c>
      <c r="I1239" s="9">
        <v>1.0149999999999999</v>
      </c>
      <c r="J1239" s="9">
        <v>103</v>
      </c>
      <c r="K1239" s="9" t="s">
        <v>424</v>
      </c>
      <c r="L1239" s="9"/>
      <c r="M1239" s="9"/>
      <c r="N1239" s="9" t="str">
        <f ca="1">IFERROR(__xludf.DUMMYFUNCTION("IFERROR(VALUE(REGEXEXTRACT(TO_TEXT($F1239), N$1 &amp; ""x(\d+)"")), """")
"),"")</f>
        <v/>
      </c>
      <c r="O1239" s="9" t="str">
        <f ca="1">IFERROR(__xludf.DUMMYFUNCTION("IFERROR(VALUE(REGEXEXTRACT(TO_TEXT($F1239), O$1 &amp; ""x(\d+)"")), """")"),"")</f>
        <v/>
      </c>
      <c r="P1239" s="9" t="str">
        <f ca="1">IFERROR(__xludf.DUMMYFUNCTION("IFERROR(VALUE(REGEXEXTRACT(TO_TEXT($F1239), P$1 &amp; ""x(\d+)"")), """")"),"")</f>
        <v/>
      </c>
      <c r="Q1239" s="9">
        <f ca="1">IFERROR(__xludf.DUMMYFUNCTION("IFERROR(VALUE(REGEXEXTRACT(TO_TEXT($F1239), Q$1 &amp; ""x(\d+)"")), """")"),1)</f>
        <v>1</v>
      </c>
      <c r="R1239" s="9" t="str">
        <f ca="1">IFERROR(__xludf.DUMMYFUNCTION("IFERROR(VALUE(REGEXEXTRACT(TO_TEXT($F1239), R$1 &amp; ""x(\d+)"")), """")"),"")</f>
        <v/>
      </c>
      <c r="S1239" s="9" t="str">
        <f ca="1">IFERROR(__xludf.DUMMYFUNCTION("IFERROR(VALUE(REGEXEXTRACT(TO_TEXT($F1239), S$1 &amp; ""x(\d+)"")), """")"),"")</f>
        <v/>
      </c>
      <c r="T1239" s="9" t="str">
        <f ca="1">IFERROR(__xludf.DUMMYFUNCTION("IFERROR(VALUE(REGEXEXTRACT(TO_TEXT($F1239), T$1 &amp; ""x(\d+)"")), """")"),"")</f>
        <v/>
      </c>
      <c r="U1239" s="9" t="str">
        <f ca="1">IFERROR(__xludf.DUMMYFUNCTION("IFERROR(VALUE(REGEXEXTRACT(TO_TEXT($F1239), U$1 &amp; ""x(\d+)"")), """")"),"")</f>
        <v/>
      </c>
      <c r="V1239" s="9" t="str">
        <f ca="1">IFERROR(__xludf.DUMMYFUNCTION("IFERROR(VALUE(REGEXEXTRACT(TO_TEXT($F1239), V$1 &amp; ""x(\d+)"")), """")"),"")</f>
        <v/>
      </c>
      <c r="W1239" s="9"/>
      <c r="X1239" s="9"/>
      <c r="Y1239" s="9"/>
      <c r="Z1239" s="9"/>
    </row>
    <row r="1240" spans="1:26" ht="15.75" customHeight="1">
      <c r="A1240" s="9" t="s">
        <v>2298</v>
      </c>
      <c r="B1240" s="9" t="s">
        <v>2299</v>
      </c>
      <c r="C1240" s="9" t="s">
        <v>2300</v>
      </c>
      <c r="D1240" s="9" t="s">
        <v>33</v>
      </c>
      <c r="E1240" s="9" t="s">
        <v>11</v>
      </c>
      <c r="F1240" s="9" t="s">
        <v>1380</v>
      </c>
      <c r="G1240" s="9">
        <v>40</v>
      </c>
      <c r="H1240" s="9">
        <v>2</v>
      </c>
      <c r="I1240" s="9">
        <v>1.0149999999999999</v>
      </c>
      <c r="J1240" s="9">
        <v>110</v>
      </c>
      <c r="K1240" s="9" t="s">
        <v>442</v>
      </c>
      <c r="L1240" s="9"/>
      <c r="M1240" s="9"/>
      <c r="N1240" s="9" t="str">
        <f ca="1">IFERROR(__xludf.DUMMYFUNCTION("IFERROR(VALUE(REGEXEXTRACT(TO_TEXT($F1240), N$1 &amp; ""x(\d+)"")), """")
"),"")</f>
        <v/>
      </c>
      <c r="O1240" s="9" t="str">
        <f ca="1">IFERROR(__xludf.DUMMYFUNCTION("IFERROR(VALUE(REGEXEXTRACT(TO_TEXT($F1240), O$1 &amp; ""x(\d+)"")), """")"),"")</f>
        <v/>
      </c>
      <c r="P1240" s="9" t="str">
        <f ca="1">IFERROR(__xludf.DUMMYFUNCTION("IFERROR(VALUE(REGEXEXTRACT(TO_TEXT($F1240), P$1 &amp; ""x(\d+)"")), """")"),"")</f>
        <v/>
      </c>
      <c r="Q1240" s="9" t="str">
        <f ca="1">IFERROR(__xludf.DUMMYFUNCTION("IFERROR(VALUE(REGEXEXTRACT(TO_TEXT($F1240), Q$1 &amp; ""x(\d+)"")), """")"),"")</f>
        <v/>
      </c>
      <c r="R1240" s="9" t="str">
        <f ca="1">IFERROR(__xludf.DUMMYFUNCTION("IFERROR(VALUE(REGEXEXTRACT(TO_TEXT($F1240), R$1 &amp; ""x(\d+)"")), """")"),"")</f>
        <v/>
      </c>
      <c r="S1240" s="9" t="str">
        <f ca="1">IFERROR(__xludf.DUMMYFUNCTION("IFERROR(VALUE(REGEXEXTRACT(TO_TEXT($F1240), S$1 &amp; ""x(\d+)"")), """")"),"")</f>
        <v/>
      </c>
      <c r="T1240" s="9" t="str">
        <f ca="1">IFERROR(__xludf.DUMMYFUNCTION("IFERROR(VALUE(REGEXEXTRACT(TO_TEXT($F1240), T$1 &amp; ""x(\d+)"")), """")"),"")</f>
        <v/>
      </c>
      <c r="U1240" s="9" t="str">
        <f ca="1">IFERROR(__xludf.DUMMYFUNCTION("IFERROR(VALUE(REGEXEXTRACT(TO_TEXT($F1240), U$1 &amp; ""x(\d+)"")), """")"),"")</f>
        <v/>
      </c>
      <c r="V1240" s="9" t="str">
        <f ca="1">IFERROR(__xludf.DUMMYFUNCTION("IFERROR(VALUE(REGEXEXTRACT(TO_TEXT($F1240), V$1 &amp; ""x(\d+)"")), """")"),"")</f>
        <v/>
      </c>
      <c r="W1240" s="9"/>
      <c r="X1240" s="9"/>
      <c r="Y1240" s="9"/>
      <c r="Z1240" s="9"/>
    </row>
    <row r="1241" spans="1:26" ht="15.75" customHeight="1">
      <c r="A1241" s="9" t="s">
        <v>2298</v>
      </c>
      <c r="B1241" s="9" t="s">
        <v>2299</v>
      </c>
      <c r="C1241" s="9" t="s">
        <v>2300</v>
      </c>
      <c r="D1241" s="9" t="s">
        <v>33</v>
      </c>
      <c r="E1241" s="9" t="s">
        <v>12</v>
      </c>
      <c r="F1241" s="9" t="s">
        <v>2274</v>
      </c>
      <c r="G1241" s="9">
        <v>110</v>
      </c>
      <c r="H1241" s="9">
        <v>2</v>
      </c>
      <c r="I1241" s="9">
        <v>1.0149999999999999</v>
      </c>
      <c r="J1241" s="9">
        <v>110</v>
      </c>
      <c r="K1241" s="9" t="s">
        <v>442</v>
      </c>
      <c r="L1241" s="9"/>
      <c r="M1241" s="9"/>
      <c r="N1241" s="9" t="str">
        <f ca="1">IFERROR(__xludf.DUMMYFUNCTION("IFERROR(VALUE(REGEXEXTRACT(TO_TEXT($F1241), N$1 &amp; ""x(\d+)"")), """")
"),"")</f>
        <v/>
      </c>
      <c r="O1241" s="9">
        <f ca="1">IFERROR(__xludf.DUMMYFUNCTION("IFERROR(VALUE(REGEXEXTRACT(TO_TEXT($F1241), O$1 &amp; ""x(\d+)"")), """")"),1)</f>
        <v>1</v>
      </c>
      <c r="P1241" s="9" t="str">
        <f ca="1">IFERROR(__xludf.DUMMYFUNCTION("IFERROR(VALUE(REGEXEXTRACT(TO_TEXT($F1241), P$1 &amp; ""x(\d+)"")), """")"),"")</f>
        <v/>
      </c>
      <c r="Q1241" s="9" t="str">
        <f ca="1">IFERROR(__xludf.DUMMYFUNCTION("IFERROR(VALUE(REGEXEXTRACT(TO_TEXT($F1241), Q$1 &amp; ""x(\d+)"")), """")"),"")</f>
        <v/>
      </c>
      <c r="R1241" s="9" t="str">
        <f ca="1">IFERROR(__xludf.DUMMYFUNCTION("IFERROR(VALUE(REGEXEXTRACT(TO_TEXT($F1241), R$1 &amp; ""x(\d+)"")), """")"),"")</f>
        <v/>
      </c>
      <c r="S1241" s="9" t="str">
        <f ca="1">IFERROR(__xludf.DUMMYFUNCTION("IFERROR(VALUE(REGEXEXTRACT(TO_TEXT($F1241), S$1 &amp; ""x(\d+)"")), """")"),"")</f>
        <v/>
      </c>
      <c r="T1241" s="9" t="str">
        <f ca="1">IFERROR(__xludf.DUMMYFUNCTION("IFERROR(VALUE(REGEXEXTRACT(TO_TEXT($F1241), T$1 &amp; ""x(\d+)"")), """")"),"")</f>
        <v/>
      </c>
      <c r="U1241" s="9" t="str">
        <f ca="1">IFERROR(__xludf.DUMMYFUNCTION("IFERROR(VALUE(REGEXEXTRACT(TO_TEXT($F1241), U$1 &amp; ""x(\d+)"")), """")"),"")</f>
        <v/>
      </c>
      <c r="V1241" s="9" t="str">
        <f ca="1">IFERROR(__xludf.DUMMYFUNCTION("IFERROR(VALUE(REGEXEXTRACT(TO_TEXT($F1241), V$1 &amp; ""x(\d+)"")), """")"),"")</f>
        <v/>
      </c>
      <c r="W1241" s="9"/>
      <c r="X1241" s="9"/>
      <c r="Y1241" s="9"/>
      <c r="Z1241" s="9"/>
    </row>
    <row r="1242" spans="1:26" ht="15.75" customHeight="1">
      <c r="A1242" s="9" t="s">
        <v>2298</v>
      </c>
      <c r="B1242" s="9" t="s">
        <v>2299</v>
      </c>
      <c r="C1242" s="9" t="s">
        <v>2300</v>
      </c>
      <c r="D1242" s="9" t="s">
        <v>33</v>
      </c>
      <c r="E1242" s="9" t="s">
        <v>13</v>
      </c>
      <c r="F1242" s="9" t="s">
        <v>1369</v>
      </c>
      <c r="G1242" s="9">
        <v>15</v>
      </c>
      <c r="H1242" s="9">
        <v>2</v>
      </c>
      <c r="I1242" s="9">
        <v>1.0149999999999999</v>
      </c>
      <c r="J1242" s="9">
        <v>110</v>
      </c>
      <c r="K1242" s="9" t="s">
        <v>442</v>
      </c>
      <c r="L1242" s="9"/>
      <c r="M1242" s="9"/>
      <c r="N1242" s="9" t="str">
        <f ca="1">IFERROR(__xludf.DUMMYFUNCTION("IFERROR(VALUE(REGEXEXTRACT(TO_TEXT($F1242), N$1 &amp; ""x(\d+)"")), """")
"),"")</f>
        <v/>
      </c>
      <c r="O1242" s="9">
        <f ca="1">IFERROR(__xludf.DUMMYFUNCTION("IFERROR(VALUE(REGEXEXTRACT(TO_TEXT($F1242), O$1 &amp; ""x(\d+)"")), """")"),1)</f>
        <v>1</v>
      </c>
      <c r="P1242" s="9" t="str">
        <f ca="1">IFERROR(__xludf.DUMMYFUNCTION("IFERROR(VALUE(REGEXEXTRACT(TO_TEXT($F1242), P$1 &amp; ""x(\d+)"")), """")"),"")</f>
        <v/>
      </c>
      <c r="Q1242" s="9" t="str">
        <f ca="1">IFERROR(__xludf.DUMMYFUNCTION("IFERROR(VALUE(REGEXEXTRACT(TO_TEXT($F1242), Q$1 &amp; ""x(\d+)"")), """")"),"")</f>
        <v/>
      </c>
      <c r="R1242" s="9" t="str">
        <f ca="1">IFERROR(__xludf.DUMMYFUNCTION("IFERROR(VALUE(REGEXEXTRACT(TO_TEXT($F1242), R$1 &amp; ""x(\d+)"")), """")"),"")</f>
        <v/>
      </c>
      <c r="S1242" s="9" t="str">
        <f ca="1">IFERROR(__xludf.DUMMYFUNCTION("IFERROR(VALUE(REGEXEXTRACT(TO_TEXT($F1242), S$1 &amp; ""x(\d+)"")), """")"),"")</f>
        <v/>
      </c>
      <c r="T1242" s="9" t="str">
        <f ca="1">IFERROR(__xludf.DUMMYFUNCTION("IFERROR(VALUE(REGEXEXTRACT(TO_TEXT($F1242), T$1 &amp; ""x(\d+)"")), """")"),"")</f>
        <v/>
      </c>
      <c r="U1242" s="9" t="str">
        <f ca="1">IFERROR(__xludf.DUMMYFUNCTION("IFERROR(VALUE(REGEXEXTRACT(TO_TEXT($F1242), U$1 &amp; ""x(\d+)"")), """")"),"")</f>
        <v/>
      </c>
      <c r="V1242" s="9" t="str">
        <f ca="1">IFERROR(__xludf.DUMMYFUNCTION("IFERROR(VALUE(REGEXEXTRACT(TO_TEXT($F1242), V$1 &amp; ""x(\d+)"")), """")"),"")</f>
        <v/>
      </c>
      <c r="W1242" s="9"/>
      <c r="X1242" s="9"/>
      <c r="Y1242" s="9"/>
      <c r="Z1242" s="9"/>
    </row>
    <row r="1243" spans="1:26" ht="15.75" customHeight="1">
      <c r="A1243" s="9" t="s">
        <v>2301</v>
      </c>
      <c r="B1243" s="9" t="s">
        <v>2302</v>
      </c>
      <c r="C1243" s="9" t="s">
        <v>2303</v>
      </c>
      <c r="D1243" s="9" t="s">
        <v>33</v>
      </c>
      <c r="E1243" s="9" t="s">
        <v>11</v>
      </c>
      <c r="F1243" s="9" t="s">
        <v>2304</v>
      </c>
      <c r="G1243" s="9">
        <v>40</v>
      </c>
      <c r="H1243" s="9">
        <v>2</v>
      </c>
      <c r="I1243" s="9">
        <v>1.0149999999999999</v>
      </c>
      <c r="J1243" s="9">
        <v>110</v>
      </c>
      <c r="K1243" s="9" t="s">
        <v>442</v>
      </c>
      <c r="L1243" s="9"/>
      <c r="M1243" s="9"/>
      <c r="N1243" s="9" t="str">
        <f ca="1">IFERROR(__xludf.DUMMYFUNCTION("IFERROR(VALUE(REGEXEXTRACT(TO_TEXT($F1243), N$1 &amp; ""x(\d+)"")), """")
"),"")</f>
        <v/>
      </c>
      <c r="O1243" s="9" t="str">
        <f ca="1">IFERROR(__xludf.DUMMYFUNCTION("IFERROR(VALUE(REGEXEXTRACT(TO_TEXT($F1243), O$1 &amp; ""x(\d+)"")), """")"),"")</f>
        <v/>
      </c>
      <c r="P1243" s="9" t="str">
        <f ca="1">IFERROR(__xludf.DUMMYFUNCTION("IFERROR(VALUE(REGEXEXTRACT(TO_TEXT($F1243), P$1 &amp; ""x(\d+)"")), """")"),"")</f>
        <v/>
      </c>
      <c r="Q1243" s="9" t="str">
        <f ca="1">IFERROR(__xludf.DUMMYFUNCTION("IFERROR(VALUE(REGEXEXTRACT(TO_TEXT($F1243), Q$1 &amp; ""x(\d+)"")), """")"),"")</f>
        <v/>
      </c>
      <c r="R1243" s="9" t="str">
        <f ca="1">IFERROR(__xludf.DUMMYFUNCTION("IFERROR(VALUE(REGEXEXTRACT(TO_TEXT($F1243), R$1 &amp; ""x(\d+)"")), """")"),"")</f>
        <v/>
      </c>
      <c r="S1243" s="9" t="str">
        <f ca="1">IFERROR(__xludf.DUMMYFUNCTION("IFERROR(VALUE(REGEXEXTRACT(TO_TEXT($F1243), S$1 &amp; ""x(\d+)"")), """")"),"")</f>
        <v/>
      </c>
      <c r="T1243" s="9" t="str">
        <f ca="1">IFERROR(__xludf.DUMMYFUNCTION("IFERROR(VALUE(REGEXEXTRACT(TO_TEXT($F1243), T$1 &amp; ""x(\d+)"")), """")"),"")</f>
        <v/>
      </c>
      <c r="U1243" s="9" t="str">
        <f ca="1">IFERROR(__xludf.DUMMYFUNCTION("IFERROR(VALUE(REGEXEXTRACT(TO_TEXT($F1243), U$1 &amp; ""x(\d+)"")), """")"),"")</f>
        <v/>
      </c>
      <c r="V1243" s="9" t="str">
        <f ca="1">IFERROR(__xludf.DUMMYFUNCTION("IFERROR(VALUE(REGEXEXTRACT(TO_TEXT($F1243), V$1 &amp; ""x(\d+)"")), """")"),"")</f>
        <v/>
      </c>
      <c r="W1243" s="9"/>
      <c r="X1243" s="9"/>
      <c r="Y1243" s="9"/>
      <c r="Z1243" s="9"/>
    </row>
    <row r="1244" spans="1:26" ht="15.75" customHeight="1">
      <c r="A1244" s="9" t="s">
        <v>2301</v>
      </c>
      <c r="B1244" s="9" t="s">
        <v>2302</v>
      </c>
      <c r="C1244" s="9" t="s">
        <v>2303</v>
      </c>
      <c r="D1244" s="9" t="s">
        <v>33</v>
      </c>
      <c r="E1244" s="9" t="s">
        <v>12</v>
      </c>
      <c r="F1244" s="9" t="s">
        <v>2214</v>
      </c>
      <c r="G1244" s="9">
        <v>90</v>
      </c>
      <c r="H1244" s="9">
        <v>2</v>
      </c>
      <c r="I1244" s="9">
        <v>1.0149999999999999</v>
      </c>
      <c r="J1244" s="9">
        <v>110</v>
      </c>
      <c r="K1244" s="9" t="s">
        <v>442</v>
      </c>
      <c r="L1244" s="9"/>
      <c r="M1244" s="9"/>
      <c r="N1244" s="9" t="str">
        <f ca="1">IFERROR(__xludf.DUMMYFUNCTION("IFERROR(VALUE(REGEXEXTRACT(TO_TEXT($F1244), N$1 &amp; ""x(\d+)"")), """")
"),"")</f>
        <v/>
      </c>
      <c r="O1244" s="9">
        <f ca="1">IFERROR(__xludf.DUMMYFUNCTION("IFERROR(VALUE(REGEXEXTRACT(TO_TEXT($F1244), O$1 &amp; ""x(\d+)"")), """")"),1)</f>
        <v>1</v>
      </c>
      <c r="P1244" s="9" t="str">
        <f ca="1">IFERROR(__xludf.DUMMYFUNCTION("IFERROR(VALUE(REGEXEXTRACT(TO_TEXT($F1244), P$1 &amp; ""x(\d+)"")), """")"),"")</f>
        <v/>
      </c>
      <c r="Q1244" s="9" t="str">
        <f ca="1">IFERROR(__xludf.DUMMYFUNCTION("IFERROR(VALUE(REGEXEXTRACT(TO_TEXT($F1244), Q$1 &amp; ""x(\d+)"")), """")"),"")</f>
        <v/>
      </c>
      <c r="R1244" s="9" t="str">
        <f ca="1">IFERROR(__xludf.DUMMYFUNCTION("IFERROR(VALUE(REGEXEXTRACT(TO_TEXT($F1244), R$1 &amp; ""x(\d+)"")), """")"),"")</f>
        <v/>
      </c>
      <c r="S1244" s="9" t="str">
        <f ca="1">IFERROR(__xludf.DUMMYFUNCTION("IFERROR(VALUE(REGEXEXTRACT(TO_TEXT($F1244), S$1 &amp; ""x(\d+)"")), """")"),"")</f>
        <v/>
      </c>
      <c r="T1244" s="9" t="str">
        <f ca="1">IFERROR(__xludf.DUMMYFUNCTION("IFERROR(VALUE(REGEXEXTRACT(TO_TEXT($F1244), T$1 &amp; ""x(\d+)"")), """")"),"")</f>
        <v/>
      </c>
      <c r="U1244" s="9" t="str">
        <f ca="1">IFERROR(__xludf.DUMMYFUNCTION("IFERROR(VALUE(REGEXEXTRACT(TO_TEXT($F1244), U$1 &amp; ""x(\d+)"")), """")"),"")</f>
        <v/>
      </c>
      <c r="V1244" s="9" t="str">
        <f ca="1">IFERROR(__xludf.DUMMYFUNCTION("IFERROR(VALUE(REGEXEXTRACT(TO_TEXT($F1244), V$1 &amp; ""x(\d+)"")), """")"),"")</f>
        <v/>
      </c>
      <c r="W1244" s="9"/>
      <c r="X1244" s="9"/>
      <c r="Y1244" s="9"/>
      <c r="Z1244" s="9"/>
    </row>
    <row r="1245" spans="1:26" ht="15.75" customHeight="1">
      <c r="A1245" s="9" t="s">
        <v>2301</v>
      </c>
      <c r="B1245" s="9" t="s">
        <v>2302</v>
      </c>
      <c r="C1245" s="9" t="s">
        <v>2303</v>
      </c>
      <c r="D1245" s="9" t="s">
        <v>33</v>
      </c>
      <c r="E1245" s="9" t="s">
        <v>13</v>
      </c>
      <c r="F1245" s="9" t="s">
        <v>1369</v>
      </c>
      <c r="G1245" s="9">
        <v>15</v>
      </c>
      <c r="H1245" s="9">
        <v>2</v>
      </c>
      <c r="I1245" s="9">
        <v>1.0149999999999999</v>
      </c>
      <c r="J1245" s="9">
        <v>110</v>
      </c>
      <c r="K1245" s="9" t="s">
        <v>442</v>
      </c>
      <c r="L1245" s="9"/>
      <c r="M1245" s="9"/>
      <c r="N1245" s="9" t="str">
        <f ca="1">IFERROR(__xludf.DUMMYFUNCTION("IFERROR(VALUE(REGEXEXTRACT(TO_TEXT($F1245), N$1 &amp; ""x(\d+)"")), """")
"),"")</f>
        <v/>
      </c>
      <c r="O1245" s="9">
        <f ca="1">IFERROR(__xludf.DUMMYFUNCTION("IFERROR(VALUE(REGEXEXTRACT(TO_TEXT($F1245), O$1 &amp; ""x(\d+)"")), """")"),1)</f>
        <v>1</v>
      </c>
      <c r="P1245" s="9" t="str">
        <f ca="1">IFERROR(__xludf.DUMMYFUNCTION("IFERROR(VALUE(REGEXEXTRACT(TO_TEXT($F1245), P$1 &amp; ""x(\d+)"")), """")"),"")</f>
        <v/>
      </c>
      <c r="Q1245" s="9" t="str">
        <f ca="1">IFERROR(__xludf.DUMMYFUNCTION("IFERROR(VALUE(REGEXEXTRACT(TO_TEXT($F1245), Q$1 &amp; ""x(\d+)"")), """")"),"")</f>
        <v/>
      </c>
      <c r="R1245" s="9" t="str">
        <f ca="1">IFERROR(__xludf.DUMMYFUNCTION("IFERROR(VALUE(REGEXEXTRACT(TO_TEXT($F1245), R$1 &amp; ""x(\d+)"")), """")"),"")</f>
        <v/>
      </c>
      <c r="S1245" s="9" t="str">
        <f ca="1">IFERROR(__xludf.DUMMYFUNCTION("IFERROR(VALUE(REGEXEXTRACT(TO_TEXT($F1245), S$1 &amp; ""x(\d+)"")), """")"),"")</f>
        <v/>
      </c>
      <c r="T1245" s="9" t="str">
        <f ca="1">IFERROR(__xludf.DUMMYFUNCTION("IFERROR(VALUE(REGEXEXTRACT(TO_TEXT($F1245), T$1 &amp; ""x(\d+)"")), """")"),"")</f>
        <v/>
      </c>
      <c r="U1245" s="9" t="str">
        <f ca="1">IFERROR(__xludf.DUMMYFUNCTION("IFERROR(VALUE(REGEXEXTRACT(TO_TEXT($F1245), U$1 &amp; ""x(\d+)"")), """")"),"")</f>
        <v/>
      </c>
      <c r="V1245" s="9" t="str">
        <f ca="1">IFERROR(__xludf.DUMMYFUNCTION("IFERROR(VALUE(REGEXEXTRACT(TO_TEXT($F1245), V$1 &amp; ""x(\d+)"")), """")"),"")</f>
        <v/>
      </c>
      <c r="W1245" s="9"/>
      <c r="X1245" s="9"/>
      <c r="Y1245" s="9"/>
      <c r="Z1245" s="9"/>
    </row>
    <row r="1246" spans="1:26" ht="15.75" customHeight="1">
      <c r="A1246" s="9" t="s">
        <v>2305</v>
      </c>
      <c r="B1246" s="9" t="s">
        <v>2306</v>
      </c>
      <c r="C1246" s="9" t="s">
        <v>2307</v>
      </c>
      <c r="D1246" s="9" t="s">
        <v>40</v>
      </c>
      <c r="E1246" s="9" t="s">
        <v>12</v>
      </c>
      <c r="F1246" s="9" t="s">
        <v>1386</v>
      </c>
      <c r="G1246" s="9">
        <v>315</v>
      </c>
      <c r="H1246" s="9">
        <v>1</v>
      </c>
      <c r="I1246" s="9">
        <v>1.0149999999999999</v>
      </c>
      <c r="J1246" s="9">
        <v>412</v>
      </c>
      <c r="K1246" s="9" t="s">
        <v>442</v>
      </c>
      <c r="L1246" s="9" t="s">
        <v>1030</v>
      </c>
      <c r="M1246" s="9"/>
      <c r="N1246" s="9" t="str">
        <f ca="1">IFERROR(__xludf.DUMMYFUNCTION("IFERROR(VALUE(REGEXEXTRACT(TO_TEXT($F1246), N$1 &amp; ""x(\d+)"")), """")
"),"")</f>
        <v/>
      </c>
      <c r="O1246" s="9">
        <f ca="1">IFERROR(__xludf.DUMMYFUNCTION("IFERROR(VALUE(REGEXEXTRACT(TO_TEXT($F1246), O$1 &amp; ""x(\d+)"")), """")"),1)</f>
        <v>1</v>
      </c>
      <c r="P1246" s="9" t="str">
        <f ca="1">IFERROR(__xludf.DUMMYFUNCTION("IFERROR(VALUE(REGEXEXTRACT(TO_TEXT($F1246), P$1 &amp; ""x(\d+)"")), """")"),"")</f>
        <v/>
      </c>
      <c r="Q1246" s="9" t="str">
        <f ca="1">IFERROR(__xludf.DUMMYFUNCTION("IFERROR(VALUE(REGEXEXTRACT(TO_TEXT($F1246), Q$1 &amp; ""x(\d+)"")), """")"),"")</f>
        <v/>
      </c>
      <c r="R1246" s="9" t="str">
        <f ca="1">IFERROR(__xludf.DUMMYFUNCTION("IFERROR(VALUE(REGEXEXTRACT(TO_TEXT($F1246), R$1 &amp; ""x(\d+)"")), """")"),"")</f>
        <v/>
      </c>
      <c r="S1246" s="9" t="str">
        <f ca="1">IFERROR(__xludf.DUMMYFUNCTION("IFERROR(VALUE(REGEXEXTRACT(TO_TEXT($F1246), S$1 &amp; ""x(\d+)"")), """")"),"")</f>
        <v/>
      </c>
      <c r="T1246" s="9">
        <f ca="1">IFERROR(__xludf.DUMMYFUNCTION("IFERROR(VALUE(REGEXEXTRACT(TO_TEXT($F1246), T$1 &amp; ""x(\d+)"")), """")"),1)</f>
        <v>1</v>
      </c>
      <c r="U1246" s="9" t="str">
        <f ca="1">IFERROR(__xludf.DUMMYFUNCTION("IFERROR(VALUE(REGEXEXTRACT(TO_TEXT($F1246), U$1 &amp; ""x(\d+)"")), """")"),"")</f>
        <v/>
      </c>
      <c r="V1246" s="9" t="str">
        <f ca="1">IFERROR(__xludf.DUMMYFUNCTION("IFERROR(VALUE(REGEXEXTRACT(TO_TEXT($F1246), V$1 &amp; ""x(\d+)"")), """")"),"")</f>
        <v/>
      </c>
      <c r="W1246" s="9"/>
      <c r="X1246" s="9"/>
      <c r="Y1246" s="9"/>
      <c r="Z1246" s="9"/>
    </row>
    <row r="1247" spans="1:26" ht="15.75" customHeight="1">
      <c r="A1247" s="9" t="s">
        <v>2305</v>
      </c>
      <c r="B1247" s="9" t="s">
        <v>2306</v>
      </c>
      <c r="C1247" s="9" t="s">
        <v>2307</v>
      </c>
      <c r="D1247" s="9" t="s">
        <v>40</v>
      </c>
      <c r="E1247" s="9" t="s">
        <v>13</v>
      </c>
      <c r="F1247" s="9" t="s">
        <v>1387</v>
      </c>
      <c r="G1247" s="9">
        <v>30</v>
      </c>
      <c r="H1247" s="9">
        <v>1</v>
      </c>
      <c r="I1247" s="9">
        <v>1.0149999999999999</v>
      </c>
      <c r="J1247" s="9">
        <v>412</v>
      </c>
      <c r="K1247" s="9" t="s">
        <v>442</v>
      </c>
      <c r="L1247" s="9"/>
      <c r="M1247" s="9"/>
      <c r="N1247" s="9" t="str">
        <f ca="1">IFERROR(__xludf.DUMMYFUNCTION("IFERROR(VALUE(REGEXEXTRACT(TO_TEXT($F1247), N$1 &amp; ""x(\d+)"")), """")
"),"")</f>
        <v/>
      </c>
      <c r="O1247" s="9">
        <f ca="1">IFERROR(__xludf.DUMMYFUNCTION("IFERROR(VALUE(REGEXEXTRACT(TO_TEXT($F1247), O$1 &amp; ""x(\d+)"")), """")"),1)</f>
        <v>1</v>
      </c>
      <c r="P1247" s="9" t="str">
        <f ca="1">IFERROR(__xludf.DUMMYFUNCTION("IFERROR(VALUE(REGEXEXTRACT(TO_TEXT($F1247), P$1 &amp; ""x(\d+)"")), """")"),"")</f>
        <v/>
      </c>
      <c r="Q1247" s="9" t="str">
        <f ca="1">IFERROR(__xludf.DUMMYFUNCTION("IFERROR(VALUE(REGEXEXTRACT(TO_TEXT($F1247), Q$1 &amp; ""x(\d+)"")), """")"),"")</f>
        <v/>
      </c>
      <c r="R1247" s="9" t="str">
        <f ca="1">IFERROR(__xludf.DUMMYFUNCTION("IFERROR(VALUE(REGEXEXTRACT(TO_TEXT($F1247), R$1 &amp; ""x(\d+)"")), """")"),"")</f>
        <v/>
      </c>
      <c r="S1247" s="9" t="str">
        <f ca="1">IFERROR(__xludf.DUMMYFUNCTION("IFERROR(VALUE(REGEXEXTRACT(TO_TEXT($F1247), S$1 &amp; ""x(\d+)"")), """")"),"")</f>
        <v/>
      </c>
      <c r="T1247" s="9">
        <f ca="1">IFERROR(__xludf.DUMMYFUNCTION("IFERROR(VALUE(REGEXEXTRACT(TO_TEXT($F1247), T$1 &amp; ""x(\d+)"")), """")"),1)</f>
        <v>1</v>
      </c>
      <c r="U1247" s="9" t="str">
        <f ca="1">IFERROR(__xludf.DUMMYFUNCTION("IFERROR(VALUE(REGEXEXTRACT(TO_TEXT($F1247), U$1 &amp; ""x(\d+)"")), """")"),"")</f>
        <v/>
      </c>
      <c r="V1247" s="9" t="str">
        <f ca="1">IFERROR(__xludf.DUMMYFUNCTION("IFERROR(VALUE(REGEXEXTRACT(TO_TEXT($F1247), V$1 &amp; ""x(\d+)"")), """")"),"")</f>
        <v/>
      </c>
      <c r="W1247" s="9"/>
      <c r="X1247" s="9"/>
      <c r="Y1247" s="9"/>
      <c r="Z1247" s="9"/>
    </row>
    <row r="1248" spans="1:26" ht="15.75" customHeight="1">
      <c r="A1248" s="9" t="s">
        <v>2308</v>
      </c>
      <c r="B1248" s="9" t="s">
        <v>2309</v>
      </c>
      <c r="C1248" s="9" t="s">
        <v>2310</v>
      </c>
      <c r="D1248" s="9" t="s">
        <v>33</v>
      </c>
      <c r="E1248" s="9" t="s">
        <v>11</v>
      </c>
      <c r="F1248" s="9" t="s">
        <v>1799</v>
      </c>
      <c r="G1248" s="9">
        <v>30</v>
      </c>
      <c r="H1248" s="9">
        <v>4</v>
      </c>
      <c r="I1248" s="9">
        <v>1.0149999999999999</v>
      </c>
      <c r="J1248" s="9">
        <v>100</v>
      </c>
      <c r="K1248" s="9" t="s">
        <v>442</v>
      </c>
      <c r="L1248" s="9"/>
      <c r="M1248" s="9"/>
      <c r="N1248" s="9" t="str">
        <f ca="1">IFERROR(__xludf.DUMMYFUNCTION("IFERROR(VALUE(REGEXEXTRACT(TO_TEXT($F1248), N$1 &amp; ""x(\d+)"")), """")
"),"")</f>
        <v/>
      </c>
      <c r="O1248" s="9" t="str">
        <f ca="1">IFERROR(__xludf.DUMMYFUNCTION("IFERROR(VALUE(REGEXEXTRACT(TO_TEXT($F1248), O$1 &amp; ""x(\d+)"")), """")"),"")</f>
        <v/>
      </c>
      <c r="P1248" s="9" t="str">
        <f ca="1">IFERROR(__xludf.DUMMYFUNCTION("IFERROR(VALUE(REGEXEXTRACT(TO_TEXT($F1248), P$1 &amp; ""x(\d+)"")), """")"),"")</f>
        <v/>
      </c>
      <c r="Q1248" s="9" t="str">
        <f ca="1">IFERROR(__xludf.DUMMYFUNCTION("IFERROR(VALUE(REGEXEXTRACT(TO_TEXT($F1248), Q$1 &amp; ""x(\d+)"")), """")"),"")</f>
        <v/>
      </c>
      <c r="R1248" s="9" t="str">
        <f ca="1">IFERROR(__xludf.DUMMYFUNCTION("IFERROR(VALUE(REGEXEXTRACT(TO_TEXT($F1248), R$1 &amp; ""x(\d+)"")), """")"),"")</f>
        <v/>
      </c>
      <c r="S1248" s="9" t="str">
        <f ca="1">IFERROR(__xludf.DUMMYFUNCTION("IFERROR(VALUE(REGEXEXTRACT(TO_TEXT($F1248), S$1 &amp; ""x(\d+)"")), """")"),"")</f>
        <v/>
      </c>
      <c r="T1248" s="9" t="str">
        <f ca="1">IFERROR(__xludf.DUMMYFUNCTION("IFERROR(VALUE(REGEXEXTRACT(TO_TEXT($F1248), T$1 &amp; ""x(\d+)"")), """")"),"")</f>
        <v/>
      </c>
      <c r="U1248" s="9" t="str">
        <f ca="1">IFERROR(__xludf.DUMMYFUNCTION("IFERROR(VALUE(REGEXEXTRACT(TO_TEXT($F1248), U$1 &amp; ""x(\d+)"")), """")"),"")</f>
        <v/>
      </c>
      <c r="V1248" s="9" t="str">
        <f ca="1">IFERROR(__xludf.DUMMYFUNCTION("IFERROR(VALUE(REGEXEXTRACT(TO_TEXT($F1248), V$1 &amp; ""x(\d+)"")), """")"),"")</f>
        <v/>
      </c>
      <c r="W1248" s="9"/>
      <c r="X1248" s="9"/>
      <c r="Y1248" s="9"/>
      <c r="Z1248" s="9"/>
    </row>
    <row r="1249" spans="1:26" ht="15.75" customHeight="1">
      <c r="A1249" s="9" t="s">
        <v>2308</v>
      </c>
      <c r="B1249" s="9" t="s">
        <v>2309</v>
      </c>
      <c r="C1249" s="9" t="s">
        <v>2310</v>
      </c>
      <c r="D1249" s="9" t="s">
        <v>33</v>
      </c>
      <c r="E1249" s="9" t="s">
        <v>12</v>
      </c>
      <c r="F1249" s="9" t="s">
        <v>2311</v>
      </c>
      <c r="G1249" s="9">
        <v>120</v>
      </c>
      <c r="H1249" s="9">
        <v>4</v>
      </c>
      <c r="I1249" s="9">
        <v>1.0149999999999999</v>
      </c>
      <c r="J1249" s="9">
        <v>100</v>
      </c>
      <c r="K1249" s="9" t="s">
        <v>442</v>
      </c>
      <c r="L1249" s="9" t="s">
        <v>1243</v>
      </c>
      <c r="M1249" s="9"/>
      <c r="N1249" s="9" t="str">
        <f ca="1">IFERROR(__xludf.DUMMYFUNCTION("IFERROR(VALUE(REGEXEXTRACT(TO_TEXT($F1249), N$1 &amp; ""x(\d+)"")), """")
"),"")</f>
        <v/>
      </c>
      <c r="O1249" s="9">
        <f ca="1">IFERROR(__xludf.DUMMYFUNCTION("IFERROR(VALUE(REGEXEXTRACT(TO_TEXT($F1249), O$1 &amp; ""x(\d+)"")), """")"),1)</f>
        <v>1</v>
      </c>
      <c r="P1249" s="9" t="str">
        <f ca="1">IFERROR(__xludf.DUMMYFUNCTION("IFERROR(VALUE(REGEXEXTRACT(TO_TEXT($F1249), P$1 &amp; ""x(\d+)"")), """")"),"")</f>
        <v/>
      </c>
      <c r="Q1249" s="9" t="str">
        <f ca="1">IFERROR(__xludf.DUMMYFUNCTION("IFERROR(VALUE(REGEXEXTRACT(TO_TEXT($F1249), Q$1 &amp; ""x(\d+)"")), """")"),"")</f>
        <v/>
      </c>
      <c r="R1249" s="9" t="str">
        <f ca="1">IFERROR(__xludf.DUMMYFUNCTION("IFERROR(VALUE(REGEXEXTRACT(TO_TEXT($F1249), R$1 &amp; ""x(\d+)"")), """")"),"")</f>
        <v/>
      </c>
      <c r="S1249" s="9" t="str">
        <f ca="1">IFERROR(__xludf.DUMMYFUNCTION("IFERROR(VALUE(REGEXEXTRACT(TO_TEXT($F1249), S$1 &amp; ""x(\d+)"")), """")"),"")</f>
        <v/>
      </c>
      <c r="T1249" s="9" t="str">
        <f ca="1">IFERROR(__xludf.DUMMYFUNCTION("IFERROR(VALUE(REGEXEXTRACT(TO_TEXT($F1249), T$1 &amp; ""x(\d+)"")), """")"),"")</f>
        <v/>
      </c>
      <c r="U1249" s="9" t="str">
        <f ca="1">IFERROR(__xludf.DUMMYFUNCTION("IFERROR(VALUE(REGEXEXTRACT(TO_TEXT($F1249), U$1 &amp; ""x(\d+)"")), """")"),"")</f>
        <v/>
      </c>
      <c r="V1249" s="9" t="str">
        <f ca="1">IFERROR(__xludf.DUMMYFUNCTION("IFERROR(VALUE(REGEXEXTRACT(TO_TEXT($F1249), V$1 &amp; ""x(\d+)"")), """")"),"")</f>
        <v/>
      </c>
      <c r="W1249" s="9"/>
      <c r="X1249" s="9"/>
      <c r="Y1249" s="9"/>
      <c r="Z1249" s="9"/>
    </row>
    <row r="1250" spans="1:26" ht="15.75" customHeight="1">
      <c r="A1250" s="9" t="s">
        <v>2308</v>
      </c>
      <c r="B1250" s="9" t="s">
        <v>2309</v>
      </c>
      <c r="C1250" s="9" t="s">
        <v>2310</v>
      </c>
      <c r="D1250" s="9" t="s">
        <v>33</v>
      </c>
      <c r="E1250" s="9" t="s">
        <v>13</v>
      </c>
      <c r="F1250" s="9" t="s">
        <v>1058</v>
      </c>
      <c r="G1250" s="9">
        <v>15</v>
      </c>
      <c r="H1250" s="9">
        <v>4</v>
      </c>
      <c r="I1250" s="9">
        <v>1.0149999999999999</v>
      </c>
      <c r="J1250" s="9">
        <v>100</v>
      </c>
      <c r="K1250" s="9" t="s">
        <v>442</v>
      </c>
      <c r="L1250" s="9"/>
      <c r="M1250" s="9"/>
      <c r="N1250" s="9" t="str">
        <f ca="1">IFERROR(__xludf.DUMMYFUNCTION("IFERROR(VALUE(REGEXEXTRACT(TO_TEXT($F1250), N$1 &amp; ""x(\d+)"")), """")
"),"")</f>
        <v/>
      </c>
      <c r="O1250" s="9">
        <f ca="1">IFERROR(__xludf.DUMMYFUNCTION("IFERROR(VALUE(REGEXEXTRACT(TO_TEXT($F1250), O$1 &amp; ""x(\d+)"")), """")"),1)</f>
        <v>1</v>
      </c>
      <c r="P1250" s="9" t="str">
        <f ca="1">IFERROR(__xludf.DUMMYFUNCTION("IFERROR(VALUE(REGEXEXTRACT(TO_TEXT($F1250), P$1 &amp; ""x(\d+)"")), """")"),"")</f>
        <v/>
      </c>
      <c r="Q1250" s="9" t="str">
        <f ca="1">IFERROR(__xludf.DUMMYFUNCTION("IFERROR(VALUE(REGEXEXTRACT(TO_TEXT($F1250), Q$1 &amp; ""x(\d+)"")), """")"),"")</f>
        <v/>
      </c>
      <c r="R1250" s="9" t="str">
        <f ca="1">IFERROR(__xludf.DUMMYFUNCTION("IFERROR(VALUE(REGEXEXTRACT(TO_TEXT($F1250), R$1 &amp; ""x(\d+)"")), """")"),"")</f>
        <v/>
      </c>
      <c r="S1250" s="9" t="str">
        <f ca="1">IFERROR(__xludf.DUMMYFUNCTION("IFERROR(VALUE(REGEXEXTRACT(TO_TEXT($F1250), S$1 &amp; ""x(\d+)"")), """")"),"")</f>
        <v/>
      </c>
      <c r="T1250" s="9" t="str">
        <f ca="1">IFERROR(__xludf.DUMMYFUNCTION("IFERROR(VALUE(REGEXEXTRACT(TO_TEXT($F1250), T$1 &amp; ""x(\d+)"")), """")"),"")</f>
        <v/>
      </c>
      <c r="U1250" s="9" t="str">
        <f ca="1">IFERROR(__xludf.DUMMYFUNCTION("IFERROR(VALUE(REGEXEXTRACT(TO_TEXT($F1250), U$1 &amp; ""x(\d+)"")), """")"),"")</f>
        <v/>
      </c>
      <c r="V1250" s="9" t="str">
        <f ca="1">IFERROR(__xludf.DUMMYFUNCTION("IFERROR(VALUE(REGEXEXTRACT(TO_TEXT($F1250), V$1 &amp; ""x(\d+)"")), """")"),"")</f>
        <v/>
      </c>
      <c r="W1250" s="9"/>
      <c r="X1250" s="9"/>
      <c r="Y1250" s="9"/>
      <c r="Z1250" s="9"/>
    </row>
    <row r="1251" spans="1:26" ht="15.75" customHeight="1">
      <c r="A1251" s="9" t="s">
        <v>2312</v>
      </c>
      <c r="B1251" s="9" t="s">
        <v>2313</v>
      </c>
      <c r="C1251" s="9" t="s">
        <v>2314</v>
      </c>
      <c r="D1251" s="9" t="s">
        <v>48</v>
      </c>
      <c r="E1251" s="9" t="s">
        <v>11</v>
      </c>
      <c r="F1251" s="9" t="s">
        <v>2315</v>
      </c>
      <c r="G1251" s="9">
        <v>70</v>
      </c>
      <c r="H1251" s="9">
        <v>1</v>
      </c>
      <c r="I1251" s="9">
        <v>1.0149999999999999</v>
      </c>
      <c r="J1251" s="9">
        <v>52</v>
      </c>
      <c r="K1251" s="9" t="s">
        <v>424</v>
      </c>
      <c r="L1251" s="9"/>
      <c r="M1251" s="9"/>
      <c r="N1251" s="9">
        <f ca="1">IFERROR(__xludf.DUMMYFUNCTION("IFERROR(VALUE(REGEXEXTRACT(TO_TEXT($F1251), N$1 &amp; ""x(\d+)"")), """")
"),1)</f>
        <v>1</v>
      </c>
      <c r="O1251" s="9" t="str">
        <f ca="1">IFERROR(__xludf.DUMMYFUNCTION("IFERROR(VALUE(REGEXEXTRACT(TO_TEXT($F1251), O$1 &amp; ""x(\d+)"")), """")"),"")</f>
        <v/>
      </c>
      <c r="P1251" s="9" t="str">
        <f ca="1">IFERROR(__xludf.DUMMYFUNCTION("IFERROR(VALUE(REGEXEXTRACT(TO_TEXT($F1251), P$1 &amp; ""x(\d+)"")), """")"),"")</f>
        <v/>
      </c>
      <c r="Q1251" s="9" t="str">
        <f ca="1">IFERROR(__xludf.DUMMYFUNCTION("IFERROR(VALUE(REGEXEXTRACT(TO_TEXT($F1251), Q$1 &amp; ""x(\d+)"")), """")"),"")</f>
        <v/>
      </c>
      <c r="R1251" s="9" t="str">
        <f ca="1">IFERROR(__xludf.DUMMYFUNCTION("IFERROR(VALUE(REGEXEXTRACT(TO_TEXT($F1251), R$1 &amp; ""x(\d+)"")), """")"),"")</f>
        <v/>
      </c>
      <c r="S1251" s="9" t="str">
        <f ca="1">IFERROR(__xludf.DUMMYFUNCTION("IFERROR(VALUE(REGEXEXTRACT(TO_TEXT($F1251), S$1 &amp; ""x(\d+)"")), """")"),"")</f>
        <v/>
      </c>
      <c r="T1251" s="9" t="str">
        <f ca="1">IFERROR(__xludf.DUMMYFUNCTION("IFERROR(VALUE(REGEXEXTRACT(TO_TEXT($F1251), T$1 &amp; ""x(\d+)"")), """")"),"")</f>
        <v/>
      </c>
      <c r="U1251" s="9" t="str">
        <f ca="1">IFERROR(__xludf.DUMMYFUNCTION("IFERROR(VALUE(REGEXEXTRACT(TO_TEXT($F1251), U$1 &amp; ""x(\d+)"")), """")"),"")</f>
        <v/>
      </c>
      <c r="V1251" s="9">
        <f ca="1">IFERROR(__xludf.DUMMYFUNCTION("IFERROR(VALUE(REGEXEXTRACT(TO_TEXT($F1251), V$1 &amp; ""x(\d+)"")), """")"),1)</f>
        <v>1</v>
      </c>
      <c r="W1251" s="9"/>
      <c r="X1251" s="9"/>
      <c r="Y1251" s="9"/>
      <c r="Z1251" s="9"/>
    </row>
    <row r="1252" spans="1:26" ht="15.75" customHeight="1">
      <c r="A1252" s="9" t="s">
        <v>2312</v>
      </c>
      <c r="B1252" s="9" t="s">
        <v>2313</v>
      </c>
      <c r="C1252" s="9" t="s">
        <v>2314</v>
      </c>
      <c r="D1252" s="9" t="s">
        <v>48</v>
      </c>
      <c r="E1252" s="9" t="s">
        <v>12</v>
      </c>
      <c r="F1252" s="9" t="s">
        <v>2316</v>
      </c>
      <c r="G1252" s="9">
        <v>125</v>
      </c>
      <c r="H1252" s="9">
        <v>1</v>
      </c>
      <c r="I1252" s="9">
        <v>1.0149999999999999</v>
      </c>
      <c r="J1252" s="9">
        <v>52</v>
      </c>
      <c r="K1252" s="9" t="s">
        <v>424</v>
      </c>
      <c r="L1252" s="9"/>
      <c r="M1252" s="9"/>
      <c r="N1252" s="9" t="str">
        <f ca="1">IFERROR(__xludf.DUMMYFUNCTION("IFERROR(VALUE(REGEXEXTRACT(TO_TEXT($F1252), N$1 &amp; ""x(\d+)"")), """")
"),"")</f>
        <v/>
      </c>
      <c r="O1252" s="9">
        <f ca="1">IFERROR(__xludf.DUMMYFUNCTION("IFERROR(VALUE(REGEXEXTRACT(TO_TEXT($F1252), O$1 &amp; ""x(\d+)"")), """")"),1)</f>
        <v>1</v>
      </c>
      <c r="P1252" s="9">
        <f ca="1">IFERROR(__xludf.DUMMYFUNCTION("IFERROR(VALUE(REGEXEXTRACT(TO_TEXT($F1252), P$1 &amp; ""x(\d+)"")), """")"),1)</f>
        <v>1</v>
      </c>
      <c r="Q1252" s="9" t="str">
        <f ca="1">IFERROR(__xludf.DUMMYFUNCTION("IFERROR(VALUE(REGEXEXTRACT(TO_TEXT($F1252), Q$1 &amp; ""x(\d+)"")), """")"),"")</f>
        <v/>
      </c>
      <c r="R1252" s="9" t="str">
        <f ca="1">IFERROR(__xludf.DUMMYFUNCTION("IFERROR(VALUE(REGEXEXTRACT(TO_TEXT($F1252), R$1 &amp; ""x(\d+)"")), """")"),"")</f>
        <v/>
      </c>
      <c r="S1252" s="9" t="str">
        <f ca="1">IFERROR(__xludf.DUMMYFUNCTION("IFERROR(VALUE(REGEXEXTRACT(TO_TEXT($F1252), S$1 &amp; ""x(\d+)"")), """")"),"")</f>
        <v/>
      </c>
      <c r="T1252" s="9" t="str">
        <f ca="1">IFERROR(__xludf.DUMMYFUNCTION("IFERROR(VALUE(REGEXEXTRACT(TO_TEXT($F1252), T$1 &amp; ""x(\d+)"")), """")"),"")</f>
        <v/>
      </c>
      <c r="U1252" s="9" t="str">
        <f ca="1">IFERROR(__xludf.DUMMYFUNCTION("IFERROR(VALUE(REGEXEXTRACT(TO_TEXT($F1252), U$1 &amp; ""x(\d+)"")), """")"),"")</f>
        <v/>
      </c>
      <c r="V1252" s="9" t="str">
        <f ca="1">IFERROR(__xludf.DUMMYFUNCTION("IFERROR(VALUE(REGEXEXTRACT(TO_TEXT($F1252), V$1 &amp; ""x(\d+)"")), """")"),"")</f>
        <v/>
      </c>
      <c r="W1252" s="9"/>
      <c r="X1252" s="9"/>
      <c r="Y1252" s="9"/>
      <c r="Z1252" s="9"/>
    </row>
    <row r="1253" spans="1:26" ht="15.75" customHeight="1">
      <c r="A1253" s="9" t="s">
        <v>2312</v>
      </c>
      <c r="B1253" s="9" t="s">
        <v>2313</v>
      </c>
      <c r="C1253" s="9" t="s">
        <v>2314</v>
      </c>
      <c r="D1253" s="9" t="s">
        <v>48</v>
      </c>
      <c r="E1253" s="9" t="s">
        <v>13</v>
      </c>
      <c r="F1253" s="9" t="s">
        <v>2317</v>
      </c>
      <c r="G1253" s="9">
        <v>90</v>
      </c>
      <c r="H1253" s="9">
        <v>1</v>
      </c>
      <c r="I1253" s="9">
        <v>1.0149999999999999</v>
      </c>
      <c r="J1253" s="9">
        <v>52</v>
      </c>
      <c r="K1253" s="9" t="s">
        <v>424</v>
      </c>
      <c r="L1253" s="9"/>
      <c r="M1253" s="9"/>
      <c r="N1253" s="9">
        <f ca="1">IFERROR(__xludf.DUMMYFUNCTION("IFERROR(VALUE(REGEXEXTRACT(TO_TEXT($F1253), N$1 &amp; ""x(\d+)"")), """")
"),1)</f>
        <v>1</v>
      </c>
      <c r="O1253" s="9">
        <f ca="1">IFERROR(__xludf.DUMMYFUNCTION("IFERROR(VALUE(REGEXEXTRACT(TO_TEXT($F1253), O$1 &amp; ""x(\d+)"")), """")"),1)</f>
        <v>1</v>
      </c>
      <c r="P1253" s="9">
        <f ca="1">IFERROR(__xludf.DUMMYFUNCTION("IFERROR(VALUE(REGEXEXTRACT(TO_TEXT($F1253), P$1 &amp; ""x(\d+)"")), """")"),1)</f>
        <v>1</v>
      </c>
      <c r="Q1253" s="9" t="str">
        <f ca="1">IFERROR(__xludf.DUMMYFUNCTION("IFERROR(VALUE(REGEXEXTRACT(TO_TEXT($F1253), Q$1 &amp; ""x(\d+)"")), """")"),"")</f>
        <v/>
      </c>
      <c r="R1253" s="9" t="str">
        <f ca="1">IFERROR(__xludf.DUMMYFUNCTION("IFERROR(VALUE(REGEXEXTRACT(TO_TEXT($F1253), R$1 &amp; ""x(\d+)"")), """")"),"")</f>
        <v/>
      </c>
      <c r="S1253" s="9" t="str">
        <f ca="1">IFERROR(__xludf.DUMMYFUNCTION("IFERROR(VALUE(REGEXEXTRACT(TO_TEXT($F1253), S$1 &amp; ""x(\d+)"")), """")"),"")</f>
        <v/>
      </c>
      <c r="T1253" s="9" t="str">
        <f ca="1">IFERROR(__xludf.DUMMYFUNCTION("IFERROR(VALUE(REGEXEXTRACT(TO_TEXT($F1253), T$1 &amp; ""x(\d+)"")), """")"),"")</f>
        <v/>
      </c>
      <c r="U1253" s="9" t="str">
        <f ca="1">IFERROR(__xludf.DUMMYFUNCTION("IFERROR(VALUE(REGEXEXTRACT(TO_TEXT($F1253), U$1 &amp; ""x(\d+)"")), """")"),"")</f>
        <v/>
      </c>
      <c r="V1253" s="9" t="str">
        <f ca="1">IFERROR(__xludf.DUMMYFUNCTION("IFERROR(VALUE(REGEXEXTRACT(TO_TEXT($F1253), V$1 &amp; ""x(\d+)"")), """")"),"")</f>
        <v/>
      </c>
      <c r="W1253" s="9"/>
      <c r="X1253" s="9"/>
      <c r="Y1253" s="9"/>
      <c r="Z1253" s="9"/>
    </row>
    <row r="1254" spans="1:26" ht="15.75" customHeight="1">
      <c r="A1254" s="9" t="s">
        <v>2318</v>
      </c>
      <c r="B1254" s="9" t="s">
        <v>2319</v>
      </c>
      <c r="C1254" s="9" t="s">
        <v>2320</v>
      </c>
      <c r="D1254" s="9" t="s">
        <v>33</v>
      </c>
      <c r="E1254" s="9" t="s">
        <v>11</v>
      </c>
      <c r="F1254" s="9" t="s">
        <v>1260</v>
      </c>
      <c r="G1254" s="9">
        <v>20</v>
      </c>
      <c r="H1254" s="9">
        <v>2</v>
      </c>
      <c r="I1254" s="9">
        <v>1.0149999999999999</v>
      </c>
      <c r="J1254" s="9">
        <v>110</v>
      </c>
      <c r="K1254" s="9" t="s">
        <v>442</v>
      </c>
      <c r="L1254" s="9"/>
      <c r="M1254" s="9"/>
      <c r="N1254" s="9" t="str">
        <f ca="1">IFERROR(__xludf.DUMMYFUNCTION("IFERROR(VALUE(REGEXEXTRACT(TO_TEXT($F1254), N$1 &amp; ""x(\d+)"")), """")
"),"")</f>
        <v/>
      </c>
      <c r="O1254" s="9" t="str">
        <f ca="1">IFERROR(__xludf.DUMMYFUNCTION("IFERROR(VALUE(REGEXEXTRACT(TO_TEXT($F1254), O$1 &amp; ""x(\d+)"")), """")"),"")</f>
        <v/>
      </c>
      <c r="P1254" s="9" t="str">
        <f ca="1">IFERROR(__xludf.DUMMYFUNCTION("IFERROR(VALUE(REGEXEXTRACT(TO_TEXT($F1254), P$1 &amp; ""x(\d+)"")), """")"),"")</f>
        <v/>
      </c>
      <c r="Q1254" s="9" t="str">
        <f ca="1">IFERROR(__xludf.DUMMYFUNCTION("IFERROR(VALUE(REGEXEXTRACT(TO_TEXT($F1254), Q$1 &amp; ""x(\d+)"")), """")"),"")</f>
        <v/>
      </c>
      <c r="R1254" s="9" t="str">
        <f ca="1">IFERROR(__xludf.DUMMYFUNCTION("IFERROR(VALUE(REGEXEXTRACT(TO_TEXT($F1254), R$1 &amp; ""x(\d+)"")), """")"),"")</f>
        <v/>
      </c>
      <c r="S1254" s="9" t="str">
        <f ca="1">IFERROR(__xludf.DUMMYFUNCTION("IFERROR(VALUE(REGEXEXTRACT(TO_TEXT($F1254), S$1 &amp; ""x(\d+)"")), """")"),"")</f>
        <v/>
      </c>
      <c r="T1254" s="9" t="str">
        <f ca="1">IFERROR(__xludf.DUMMYFUNCTION("IFERROR(VALUE(REGEXEXTRACT(TO_TEXT($F1254), T$1 &amp; ""x(\d+)"")), """")"),"")</f>
        <v/>
      </c>
      <c r="U1254" s="9" t="str">
        <f ca="1">IFERROR(__xludf.DUMMYFUNCTION("IFERROR(VALUE(REGEXEXTRACT(TO_TEXT($F1254), U$1 &amp; ""x(\d+)"")), """")"),"")</f>
        <v/>
      </c>
      <c r="V1254" s="9" t="str">
        <f ca="1">IFERROR(__xludf.DUMMYFUNCTION("IFERROR(VALUE(REGEXEXTRACT(TO_TEXT($F1254), V$1 &amp; ""x(\d+)"")), """")"),"")</f>
        <v/>
      </c>
      <c r="W1254" s="9"/>
      <c r="X1254" s="9"/>
      <c r="Y1254" s="9"/>
      <c r="Z1254" s="9"/>
    </row>
    <row r="1255" spans="1:26" ht="15.75" customHeight="1">
      <c r="A1255" s="9" t="s">
        <v>2318</v>
      </c>
      <c r="B1255" s="9" t="s">
        <v>2319</v>
      </c>
      <c r="C1255" s="9" t="s">
        <v>2320</v>
      </c>
      <c r="D1255" s="9" t="s">
        <v>33</v>
      </c>
      <c r="E1255" s="9" t="s">
        <v>12</v>
      </c>
      <c r="F1255" s="9" t="s">
        <v>2321</v>
      </c>
      <c r="G1255" s="9">
        <v>50</v>
      </c>
      <c r="H1255" s="9">
        <v>2</v>
      </c>
      <c r="I1255" s="9">
        <v>1.0149999999999999</v>
      </c>
      <c r="J1255" s="9">
        <v>110</v>
      </c>
      <c r="K1255" s="9" t="s">
        <v>442</v>
      </c>
      <c r="L1255" s="9"/>
      <c r="M1255" s="9"/>
      <c r="N1255" s="9" t="str">
        <f ca="1">IFERROR(__xludf.DUMMYFUNCTION("IFERROR(VALUE(REGEXEXTRACT(TO_TEXT($F1255), N$1 &amp; ""x(\d+)"")), """")
"),"")</f>
        <v/>
      </c>
      <c r="O1255" s="9">
        <f ca="1">IFERROR(__xludf.DUMMYFUNCTION("IFERROR(VALUE(REGEXEXTRACT(TO_TEXT($F1255), O$1 &amp; ""x(\d+)"")), """")"),1)</f>
        <v>1</v>
      </c>
      <c r="P1255" s="9" t="str">
        <f ca="1">IFERROR(__xludf.DUMMYFUNCTION("IFERROR(VALUE(REGEXEXTRACT(TO_TEXT($F1255), P$1 &amp; ""x(\d+)"")), """")"),"")</f>
        <v/>
      </c>
      <c r="Q1255" s="9" t="str">
        <f ca="1">IFERROR(__xludf.DUMMYFUNCTION("IFERROR(VALUE(REGEXEXTRACT(TO_TEXT($F1255), Q$1 &amp; ""x(\d+)"")), """")"),"")</f>
        <v/>
      </c>
      <c r="R1255" s="9" t="str">
        <f ca="1">IFERROR(__xludf.DUMMYFUNCTION("IFERROR(VALUE(REGEXEXTRACT(TO_TEXT($F1255), R$1 &amp; ""x(\d+)"")), """")"),"")</f>
        <v/>
      </c>
      <c r="S1255" s="9" t="str">
        <f ca="1">IFERROR(__xludf.DUMMYFUNCTION("IFERROR(VALUE(REGEXEXTRACT(TO_TEXT($F1255), S$1 &amp; ""x(\d+)"")), """")"),"")</f>
        <v/>
      </c>
      <c r="T1255" s="9" t="str">
        <f ca="1">IFERROR(__xludf.DUMMYFUNCTION("IFERROR(VALUE(REGEXEXTRACT(TO_TEXT($F1255), T$1 &amp; ""x(\d+)"")), """")"),"")</f>
        <v/>
      </c>
      <c r="U1255" s="9" t="str">
        <f ca="1">IFERROR(__xludf.DUMMYFUNCTION("IFERROR(VALUE(REGEXEXTRACT(TO_TEXT($F1255), U$1 &amp; ""x(\d+)"")), """")"),"")</f>
        <v/>
      </c>
      <c r="V1255" s="9" t="str">
        <f ca="1">IFERROR(__xludf.DUMMYFUNCTION("IFERROR(VALUE(REGEXEXTRACT(TO_TEXT($F1255), V$1 &amp; ""x(\d+)"")), """")"),"")</f>
        <v/>
      </c>
      <c r="W1255" s="9"/>
      <c r="X1255" s="9"/>
      <c r="Y1255" s="9"/>
      <c r="Z1255" s="9"/>
    </row>
    <row r="1256" spans="1:26" ht="15.75" customHeight="1">
      <c r="A1256" s="9" t="s">
        <v>2318</v>
      </c>
      <c r="B1256" s="9" t="s">
        <v>2319</v>
      </c>
      <c r="C1256" s="9" t="s">
        <v>2320</v>
      </c>
      <c r="D1256" s="9" t="s">
        <v>33</v>
      </c>
      <c r="E1256" s="9" t="s">
        <v>13</v>
      </c>
      <c r="F1256" s="9" t="s">
        <v>1369</v>
      </c>
      <c r="G1256" s="9">
        <v>15</v>
      </c>
      <c r="H1256" s="9">
        <v>2</v>
      </c>
      <c r="I1256" s="9">
        <v>1.0149999999999999</v>
      </c>
      <c r="J1256" s="9">
        <v>110</v>
      </c>
      <c r="K1256" s="9" t="s">
        <v>442</v>
      </c>
      <c r="L1256" s="9"/>
      <c r="M1256" s="9"/>
      <c r="N1256" s="9" t="str">
        <f ca="1">IFERROR(__xludf.DUMMYFUNCTION("IFERROR(VALUE(REGEXEXTRACT(TO_TEXT($F1256), N$1 &amp; ""x(\d+)"")), """")
"),"")</f>
        <v/>
      </c>
      <c r="O1256" s="9">
        <f ca="1">IFERROR(__xludf.DUMMYFUNCTION("IFERROR(VALUE(REGEXEXTRACT(TO_TEXT($F1256), O$1 &amp; ""x(\d+)"")), """")"),1)</f>
        <v>1</v>
      </c>
      <c r="P1256" s="9" t="str">
        <f ca="1">IFERROR(__xludf.DUMMYFUNCTION("IFERROR(VALUE(REGEXEXTRACT(TO_TEXT($F1256), P$1 &amp; ""x(\d+)"")), """")"),"")</f>
        <v/>
      </c>
      <c r="Q1256" s="9" t="str">
        <f ca="1">IFERROR(__xludf.DUMMYFUNCTION("IFERROR(VALUE(REGEXEXTRACT(TO_TEXT($F1256), Q$1 &amp; ""x(\d+)"")), """")"),"")</f>
        <v/>
      </c>
      <c r="R1256" s="9" t="str">
        <f ca="1">IFERROR(__xludf.DUMMYFUNCTION("IFERROR(VALUE(REGEXEXTRACT(TO_TEXT($F1256), R$1 &amp; ""x(\d+)"")), """")"),"")</f>
        <v/>
      </c>
      <c r="S1256" s="9" t="str">
        <f ca="1">IFERROR(__xludf.DUMMYFUNCTION("IFERROR(VALUE(REGEXEXTRACT(TO_TEXT($F1256), S$1 &amp; ""x(\d+)"")), """")"),"")</f>
        <v/>
      </c>
      <c r="T1256" s="9" t="str">
        <f ca="1">IFERROR(__xludf.DUMMYFUNCTION("IFERROR(VALUE(REGEXEXTRACT(TO_TEXT($F1256), T$1 &amp; ""x(\d+)"")), """")"),"")</f>
        <v/>
      </c>
      <c r="U1256" s="9" t="str">
        <f ca="1">IFERROR(__xludf.DUMMYFUNCTION("IFERROR(VALUE(REGEXEXTRACT(TO_TEXT($F1256), U$1 &amp; ""x(\d+)"")), """")"),"")</f>
        <v/>
      </c>
      <c r="V1256" s="9" t="str">
        <f ca="1">IFERROR(__xludf.DUMMYFUNCTION("IFERROR(VALUE(REGEXEXTRACT(TO_TEXT($F1256), V$1 &amp; ""x(\d+)"")), """")"),"")</f>
        <v/>
      </c>
      <c r="W1256" s="9"/>
      <c r="X1256" s="9"/>
      <c r="Y1256" s="9"/>
      <c r="Z1256" s="9"/>
    </row>
    <row r="1257" spans="1:26" ht="15.75" customHeight="1">
      <c r="A1257" s="9" t="s">
        <v>2322</v>
      </c>
      <c r="B1257" s="9" t="s">
        <v>2323</v>
      </c>
      <c r="C1257" s="9" t="s">
        <v>546</v>
      </c>
      <c r="D1257" s="9" t="s">
        <v>48</v>
      </c>
      <c r="E1257" s="9" t="s">
        <v>11</v>
      </c>
      <c r="F1257" s="9" t="s">
        <v>1688</v>
      </c>
      <c r="G1257" s="9">
        <v>30</v>
      </c>
      <c r="H1257" s="9">
        <v>3</v>
      </c>
      <c r="I1257" s="9">
        <v>1.0149999999999999</v>
      </c>
      <c r="J1257" s="9">
        <v>52</v>
      </c>
      <c r="K1257" s="9" t="s">
        <v>424</v>
      </c>
      <c r="L1257" s="9"/>
      <c r="M1257" s="9"/>
      <c r="N1257" s="9" t="str">
        <f ca="1">IFERROR(__xludf.DUMMYFUNCTION("IFERROR(VALUE(REGEXEXTRACT(TO_TEXT($F1257), N$1 &amp; ""x(\d+)"")), """")
"),"")</f>
        <v/>
      </c>
      <c r="O1257" s="9">
        <f ca="1">IFERROR(__xludf.DUMMYFUNCTION("IFERROR(VALUE(REGEXEXTRACT(TO_TEXT($F1257), O$1 &amp; ""x(\d+)"")), """")"),1)</f>
        <v>1</v>
      </c>
      <c r="P1257" s="9" t="str">
        <f ca="1">IFERROR(__xludf.DUMMYFUNCTION("IFERROR(VALUE(REGEXEXTRACT(TO_TEXT($F1257), P$1 &amp; ""x(\d+)"")), """")"),"")</f>
        <v/>
      </c>
      <c r="Q1257" s="9" t="str">
        <f ca="1">IFERROR(__xludf.DUMMYFUNCTION("IFERROR(VALUE(REGEXEXTRACT(TO_TEXT($F1257), Q$1 &amp; ""x(\d+)"")), """")"),"")</f>
        <v/>
      </c>
      <c r="R1257" s="9" t="str">
        <f ca="1">IFERROR(__xludf.DUMMYFUNCTION("IFERROR(VALUE(REGEXEXTRACT(TO_TEXT($F1257), R$1 &amp; ""x(\d+)"")), """")"),"")</f>
        <v/>
      </c>
      <c r="S1257" s="9" t="str">
        <f ca="1">IFERROR(__xludf.DUMMYFUNCTION("IFERROR(VALUE(REGEXEXTRACT(TO_TEXT($F1257), S$1 &amp; ""x(\d+)"")), """")"),"")</f>
        <v/>
      </c>
      <c r="T1257" s="9" t="str">
        <f ca="1">IFERROR(__xludf.DUMMYFUNCTION("IFERROR(VALUE(REGEXEXTRACT(TO_TEXT($F1257), T$1 &amp; ""x(\d+)"")), """")"),"")</f>
        <v/>
      </c>
      <c r="U1257" s="9" t="str">
        <f ca="1">IFERROR(__xludf.DUMMYFUNCTION("IFERROR(VALUE(REGEXEXTRACT(TO_TEXT($F1257), U$1 &amp; ""x(\d+)"")), """")"),"")</f>
        <v/>
      </c>
      <c r="V1257" s="9" t="str">
        <f ca="1">IFERROR(__xludf.DUMMYFUNCTION("IFERROR(VALUE(REGEXEXTRACT(TO_TEXT($F1257), V$1 &amp; ""x(\d+)"")), """")"),"")</f>
        <v/>
      </c>
      <c r="W1257" s="9"/>
      <c r="X1257" s="9"/>
      <c r="Y1257" s="9"/>
      <c r="Z1257" s="9"/>
    </row>
    <row r="1258" spans="1:26" ht="15.75" customHeight="1">
      <c r="A1258" s="9" t="s">
        <v>2322</v>
      </c>
      <c r="B1258" s="9" t="s">
        <v>2323</v>
      </c>
      <c r="C1258" s="9" t="s">
        <v>546</v>
      </c>
      <c r="D1258" s="9" t="s">
        <v>48</v>
      </c>
      <c r="E1258" s="9" t="s">
        <v>12</v>
      </c>
      <c r="F1258" s="9" t="s">
        <v>1689</v>
      </c>
      <c r="G1258" s="9">
        <v>120</v>
      </c>
      <c r="H1258" s="9">
        <v>3</v>
      </c>
      <c r="I1258" s="9">
        <v>1.0149999999999999</v>
      </c>
      <c r="J1258" s="9">
        <v>52</v>
      </c>
      <c r="K1258" s="9" t="s">
        <v>424</v>
      </c>
      <c r="L1258" s="9" t="s">
        <v>1035</v>
      </c>
      <c r="M1258" s="9"/>
      <c r="N1258" s="9" t="str">
        <f ca="1">IFERROR(__xludf.DUMMYFUNCTION("IFERROR(VALUE(REGEXEXTRACT(TO_TEXT($F1258), N$1 &amp; ""x(\d+)"")), """")
"),"")</f>
        <v/>
      </c>
      <c r="O1258" s="9">
        <f ca="1">IFERROR(__xludf.DUMMYFUNCTION("IFERROR(VALUE(REGEXEXTRACT(TO_TEXT($F1258), O$1 &amp; ""x(\d+)"")), """")"),1)</f>
        <v>1</v>
      </c>
      <c r="P1258" s="9">
        <f ca="1">IFERROR(__xludf.DUMMYFUNCTION("IFERROR(VALUE(REGEXEXTRACT(TO_TEXT($F1258), P$1 &amp; ""x(\d+)"")), """")"),1)</f>
        <v>1</v>
      </c>
      <c r="Q1258" s="9" t="str">
        <f ca="1">IFERROR(__xludf.DUMMYFUNCTION("IFERROR(VALUE(REGEXEXTRACT(TO_TEXT($F1258), Q$1 &amp; ""x(\d+)"")), """")"),"")</f>
        <v/>
      </c>
      <c r="R1258" s="9" t="str">
        <f ca="1">IFERROR(__xludf.DUMMYFUNCTION("IFERROR(VALUE(REGEXEXTRACT(TO_TEXT($F1258), R$1 &amp; ""x(\d+)"")), """")"),"")</f>
        <v/>
      </c>
      <c r="S1258" s="9" t="str">
        <f ca="1">IFERROR(__xludf.DUMMYFUNCTION("IFERROR(VALUE(REGEXEXTRACT(TO_TEXT($F1258), S$1 &amp; ""x(\d+)"")), """")"),"")</f>
        <v/>
      </c>
      <c r="T1258" s="9" t="str">
        <f ca="1">IFERROR(__xludf.DUMMYFUNCTION("IFERROR(VALUE(REGEXEXTRACT(TO_TEXT($F1258), T$1 &amp; ""x(\d+)"")), """")"),"")</f>
        <v/>
      </c>
      <c r="U1258" s="9" t="str">
        <f ca="1">IFERROR(__xludf.DUMMYFUNCTION("IFERROR(VALUE(REGEXEXTRACT(TO_TEXT($F1258), U$1 &amp; ""x(\d+)"")), """")"),"")</f>
        <v/>
      </c>
      <c r="V1258" s="9" t="str">
        <f ca="1">IFERROR(__xludf.DUMMYFUNCTION("IFERROR(VALUE(REGEXEXTRACT(TO_TEXT($F1258), V$1 &amp; ""x(\d+)"")), """")"),"")</f>
        <v/>
      </c>
      <c r="W1258" s="9"/>
      <c r="X1258" s="9"/>
      <c r="Y1258" s="9"/>
      <c r="Z1258" s="9"/>
    </row>
    <row r="1259" spans="1:26" ht="15.75" customHeight="1">
      <c r="A1259" s="9" t="s">
        <v>2322</v>
      </c>
      <c r="B1259" s="9" t="s">
        <v>2323</v>
      </c>
      <c r="C1259" s="9" t="s">
        <v>546</v>
      </c>
      <c r="D1259" s="9" t="s">
        <v>48</v>
      </c>
      <c r="E1259" s="9" t="s">
        <v>13</v>
      </c>
      <c r="F1259" s="9" t="s">
        <v>1690</v>
      </c>
      <c r="G1259" s="9">
        <v>60</v>
      </c>
      <c r="H1259" s="9">
        <v>3</v>
      </c>
      <c r="I1259" s="9">
        <v>1.0149999999999999</v>
      </c>
      <c r="J1259" s="9">
        <v>52</v>
      </c>
      <c r="K1259" s="9" t="s">
        <v>424</v>
      </c>
      <c r="L1259" s="9"/>
      <c r="M1259" s="9"/>
      <c r="N1259" s="9" t="str">
        <f ca="1">IFERROR(__xludf.DUMMYFUNCTION("IFERROR(VALUE(REGEXEXTRACT(TO_TEXT($F1259), N$1 &amp; ""x(\d+)"")), """")
"),"")</f>
        <v/>
      </c>
      <c r="O1259" s="9">
        <f ca="1">IFERROR(__xludf.DUMMYFUNCTION("IFERROR(VALUE(REGEXEXTRACT(TO_TEXT($F1259), O$1 &amp; ""x(\d+)"")), """")"),1)</f>
        <v>1</v>
      </c>
      <c r="P1259" s="9">
        <f ca="1">IFERROR(__xludf.DUMMYFUNCTION("IFERROR(VALUE(REGEXEXTRACT(TO_TEXT($F1259), P$1 &amp; ""x(\d+)"")), """")"),1)</f>
        <v>1</v>
      </c>
      <c r="Q1259" s="9" t="str">
        <f ca="1">IFERROR(__xludf.DUMMYFUNCTION("IFERROR(VALUE(REGEXEXTRACT(TO_TEXT($F1259), Q$1 &amp; ""x(\d+)"")), """")"),"")</f>
        <v/>
      </c>
      <c r="R1259" s="9" t="str">
        <f ca="1">IFERROR(__xludf.DUMMYFUNCTION("IFERROR(VALUE(REGEXEXTRACT(TO_TEXT($F1259), R$1 &amp; ""x(\d+)"")), """")"),"")</f>
        <v/>
      </c>
      <c r="S1259" s="9" t="str">
        <f ca="1">IFERROR(__xludf.DUMMYFUNCTION("IFERROR(VALUE(REGEXEXTRACT(TO_TEXT($F1259), S$1 &amp; ""x(\d+)"")), """")"),"")</f>
        <v/>
      </c>
      <c r="T1259" s="9" t="str">
        <f ca="1">IFERROR(__xludf.DUMMYFUNCTION("IFERROR(VALUE(REGEXEXTRACT(TO_TEXT($F1259), T$1 &amp; ""x(\d+)"")), """")"),"")</f>
        <v/>
      </c>
      <c r="U1259" s="9" t="str">
        <f ca="1">IFERROR(__xludf.DUMMYFUNCTION("IFERROR(VALUE(REGEXEXTRACT(TO_TEXT($F1259), U$1 &amp; ""x(\d+)"")), """")"),"")</f>
        <v/>
      </c>
      <c r="V1259" s="9" t="str">
        <f ca="1">IFERROR(__xludf.DUMMYFUNCTION("IFERROR(VALUE(REGEXEXTRACT(TO_TEXT($F1259), V$1 &amp; ""x(\d+)"")), """")"),"")</f>
        <v/>
      </c>
      <c r="W1259" s="9"/>
      <c r="X1259" s="9"/>
      <c r="Y1259" s="9"/>
      <c r="Z1259" s="9"/>
    </row>
    <row r="1260" spans="1:26" ht="15.75" customHeight="1">
      <c r="A1260" s="9" t="s">
        <v>2324</v>
      </c>
      <c r="B1260" s="9" t="s">
        <v>2325</v>
      </c>
      <c r="C1260" s="9" t="s">
        <v>2326</v>
      </c>
      <c r="D1260" s="9" t="s">
        <v>33</v>
      </c>
      <c r="E1260" s="9" t="s">
        <v>11</v>
      </c>
      <c r="F1260" s="9" t="s">
        <v>1477</v>
      </c>
      <c r="G1260" s="9">
        <v>20</v>
      </c>
      <c r="H1260" s="9">
        <v>3</v>
      </c>
      <c r="I1260" s="9">
        <v>1.0149999999999999</v>
      </c>
      <c r="J1260" s="9">
        <v>110</v>
      </c>
      <c r="K1260" s="9" t="s">
        <v>442</v>
      </c>
      <c r="L1260" s="9"/>
      <c r="M1260" s="9"/>
      <c r="N1260" s="9" t="str">
        <f ca="1">IFERROR(__xludf.DUMMYFUNCTION("IFERROR(VALUE(REGEXEXTRACT(TO_TEXT($F1260), N$1 &amp; ""x(\d+)"")), """")
"),"")</f>
        <v/>
      </c>
      <c r="O1260" s="9" t="str">
        <f ca="1">IFERROR(__xludf.DUMMYFUNCTION("IFERROR(VALUE(REGEXEXTRACT(TO_TEXT($F1260), O$1 &amp; ""x(\d+)"")), """")"),"")</f>
        <v/>
      </c>
      <c r="P1260" s="9" t="str">
        <f ca="1">IFERROR(__xludf.DUMMYFUNCTION("IFERROR(VALUE(REGEXEXTRACT(TO_TEXT($F1260), P$1 &amp; ""x(\d+)"")), """")"),"")</f>
        <v/>
      </c>
      <c r="Q1260" s="9" t="str">
        <f ca="1">IFERROR(__xludf.DUMMYFUNCTION("IFERROR(VALUE(REGEXEXTRACT(TO_TEXT($F1260), Q$1 &amp; ""x(\d+)"")), """")"),"")</f>
        <v/>
      </c>
      <c r="R1260" s="9" t="str">
        <f ca="1">IFERROR(__xludf.DUMMYFUNCTION("IFERROR(VALUE(REGEXEXTRACT(TO_TEXT($F1260), R$1 &amp; ""x(\d+)"")), """")"),"")</f>
        <v/>
      </c>
      <c r="S1260" s="9" t="str">
        <f ca="1">IFERROR(__xludf.DUMMYFUNCTION("IFERROR(VALUE(REGEXEXTRACT(TO_TEXT($F1260), S$1 &amp; ""x(\d+)"")), """")"),"")</f>
        <v/>
      </c>
      <c r="T1260" s="9" t="str">
        <f ca="1">IFERROR(__xludf.DUMMYFUNCTION("IFERROR(VALUE(REGEXEXTRACT(TO_TEXT($F1260), T$1 &amp; ""x(\d+)"")), """")"),"")</f>
        <v/>
      </c>
      <c r="U1260" s="9" t="str">
        <f ca="1">IFERROR(__xludf.DUMMYFUNCTION("IFERROR(VALUE(REGEXEXTRACT(TO_TEXT($F1260), U$1 &amp; ""x(\d+)"")), """")"),"")</f>
        <v/>
      </c>
      <c r="V1260" s="9" t="str">
        <f ca="1">IFERROR(__xludf.DUMMYFUNCTION("IFERROR(VALUE(REGEXEXTRACT(TO_TEXT($F1260), V$1 &amp; ""x(\d+)"")), """")"),"")</f>
        <v/>
      </c>
      <c r="W1260" s="9"/>
      <c r="X1260" s="9"/>
      <c r="Y1260" s="9"/>
      <c r="Z1260" s="9"/>
    </row>
    <row r="1261" spans="1:26" ht="15.75" customHeight="1">
      <c r="A1261" s="9" t="s">
        <v>2324</v>
      </c>
      <c r="B1261" s="9" t="s">
        <v>2325</v>
      </c>
      <c r="C1261" s="9" t="s">
        <v>2326</v>
      </c>
      <c r="D1261" s="9" t="s">
        <v>33</v>
      </c>
      <c r="E1261" s="9" t="s">
        <v>12</v>
      </c>
      <c r="F1261" s="9" t="s">
        <v>2327</v>
      </c>
      <c r="G1261" s="9">
        <v>85</v>
      </c>
      <c r="H1261" s="9">
        <v>3</v>
      </c>
      <c r="I1261" s="9">
        <v>1.0149999999999999</v>
      </c>
      <c r="J1261" s="9">
        <v>110</v>
      </c>
      <c r="K1261" s="9" t="s">
        <v>442</v>
      </c>
      <c r="L1261" s="9"/>
      <c r="M1261" s="9"/>
      <c r="N1261" s="9" t="str">
        <f ca="1">IFERROR(__xludf.DUMMYFUNCTION("IFERROR(VALUE(REGEXEXTRACT(TO_TEXT($F1261), N$1 &amp; ""x(\d+)"")), """")
"),"")</f>
        <v/>
      </c>
      <c r="O1261" s="9">
        <f ca="1">IFERROR(__xludf.DUMMYFUNCTION("IFERROR(VALUE(REGEXEXTRACT(TO_TEXT($F1261), O$1 &amp; ""x(\d+)"")), """")"),1)</f>
        <v>1</v>
      </c>
      <c r="P1261" s="9" t="str">
        <f ca="1">IFERROR(__xludf.DUMMYFUNCTION("IFERROR(VALUE(REGEXEXTRACT(TO_TEXT($F1261), P$1 &amp; ""x(\d+)"")), """")"),"")</f>
        <v/>
      </c>
      <c r="Q1261" s="9" t="str">
        <f ca="1">IFERROR(__xludf.DUMMYFUNCTION("IFERROR(VALUE(REGEXEXTRACT(TO_TEXT($F1261), Q$1 &amp; ""x(\d+)"")), """")"),"")</f>
        <v/>
      </c>
      <c r="R1261" s="9" t="str">
        <f ca="1">IFERROR(__xludf.DUMMYFUNCTION("IFERROR(VALUE(REGEXEXTRACT(TO_TEXT($F1261), R$1 &amp; ""x(\d+)"")), """")"),"")</f>
        <v/>
      </c>
      <c r="S1261" s="9" t="str">
        <f ca="1">IFERROR(__xludf.DUMMYFUNCTION("IFERROR(VALUE(REGEXEXTRACT(TO_TEXT($F1261), S$1 &amp; ""x(\d+)"")), """")"),"")</f>
        <v/>
      </c>
      <c r="T1261" s="9" t="str">
        <f ca="1">IFERROR(__xludf.DUMMYFUNCTION("IFERROR(VALUE(REGEXEXTRACT(TO_TEXT($F1261), T$1 &amp; ""x(\d+)"")), """")"),"")</f>
        <v/>
      </c>
      <c r="U1261" s="9" t="str">
        <f ca="1">IFERROR(__xludf.DUMMYFUNCTION("IFERROR(VALUE(REGEXEXTRACT(TO_TEXT($F1261), U$1 &amp; ""x(\d+)"")), """")"),"")</f>
        <v/>
      </c>
      <c r="V1261" s="9" t="str">
        <f ca="1">IFERROR(__xludf.DUMMYFUNCTION("IFERROR(VALUE(REGEXEXTRACT(TO_TEXT($F1261), V$1 &amp; ""x(\d+)"")), """")"),"")</f>
        <v/>
      </c>
      <c r="W1261" s="9"/>
      <c r="X1261" s="9"/>
      <c r="Y1261" s="9"/>
      <c r="Z1261" s="9"/>
    </row>
    <row r="1262" spans="1:26" ht="15.75" customHeight="1">
      <c r="A1262" s="9" t="s">
        <v>2324</v>
      </c>
      <c r="B1262" s="9" t="s">
        <v>2325</v>
      </c>
      <c r="C1262" s="9" t="s">
        <v>2326</v>
      </c>
      <c r="D1262" s="9" t="s">
        <v>33</v>
      </c>
      <c r="E1262" s="9" t="s">
        <v>13</v>
      </c>
      <c r="F1262" s="9" t="s">
        <v>1071</v>
      </c>
      <c r="G1262" s="9">
        <v>15</v>
      </c>
      <c r="H1262" s="9">
        <v>3</v>
      </c>
      <c r="I1262" s="9">
        <v>1.0149999999999999</v>
      </c>
      <c r="J1262" s="9">
        <v>110</v>
      </c>
      <c r="K1262" s="9" t="s">
        <v>442</v>
      </c>
      <c r="L1262" s="9"/>
      <c r="M1262" s="9"/>
      <c r="N1262" s="9" t="str">
        <f ca="1">IFERROR(__xludf.DUMMYFUNCTION("IFERROR(VALUE(REGEXEXTRACT(TO_TEXT($F1262), N$1 &amp; ""x(\d+)"")), """")
"),"")</f>
        <v/>
      </c>
      <c r="O1262" s="9">
        <f ca="1">IFERROR(__xludf.DUMMYFUNCTION("IFERROR(VALUE(REGEXEXTRACT(TO_TEXT($F1262), O$1 &amp; ""x(\d+)"")), """")"),1)</f>
        <v>1</v>
      </c>
      <c r="P1262" s="9" t="str">
        <f ca="1">IFERROR(__xludf.DUMMYFUNCTION("IFERROR(VALUE(REGEXEXTRACT(TO_TEXT($F1262), P$1 &amp; ""x(\d+)"")), """")"),"")</f>
        <v/>
      </c>
      <c r="Q1262" s="9" t="str">
        <f ca="1">IFERROR(__xludf.DUMMYFUNCTION("IFERROR(VALUE(REGEXEXTRACT(TO_TEXT($F1262), Q$1 &amp; ""x(\d+)"")), """")"),"")</f>
        <v/>
      </c>
      <c r="R1262" s="9" t="str">
        <f ca="1">IFERROR(__xludf.DUMMYFUNCTION("IFERROR(VALUE(REGEXEXTRACT(TO_TEXT($F1262), R$1 &amp; ""x(\d+)"")), """")"),"")</f>
        <v/>
      </c>
      <c r="S1262" s="9" t="str">
        <f ca="1">IFERROR(__xludf.DUMMYFUNCTION("IFERROR(VALUE(REGEXEXTRACT(TO_TEXT($F1262), S$1 &amp; ""x(\d+)"")), """")"),"")</f>
        <v/>
      </c>
      <c r="T1262" s="9" t="str">
        <f ca="1">IFERROR(__xludf.DUMMYFUNCTION("IFERROR(VALUE(REGEXEXTRACT(TO_TEXT($F1262), T$1 &amp; ""x(\d+)"")), """")"),"")</f>
        <v/>
      </c>
      <c r="U1262" s="9" t="str">
        <f ca="1">IFERROR(__xludf.DUMMYFUNCTION("IFERROR(VALUE(REGEXEXTRACT(TO_TEXT($F1262), U$1 &amp; ""x(\d+)"")), """")"),"")</f>
        <v/>
      </c>
      <c r="V1262" s="9" t="str">
        <f ca="1">IFERROR(__xludf.DUMMYFUNCTION("IFERROR(VALUE(REGEXEXTRACT(TO_TEXT($F1262), V$1 &amp; ""x(\d+)"")), """")"),"")</f>
        <v/>
      </c>
      <c r="W1262" s="9"/>
      <c r="X1262" s="9"/>
      <c r="Y1262" s="9"/>
      <c r="Z1262" s="9"/>
    </row>
    <row r="1263" spans="1:26" ht="15.75" customHeight="1">
      <c r="A1263" s="9" t="s">
        <v>2328</v>
      </c>
      <c r="B1263" s="9" t="s">
        <v>2329</v>
      </c>
      <c r="C1263" s="9" t="s">
        <v>2330</v>
      </c>
      <c r="D1263" s="9" t="s">
        <v>33</v>
      </c>
      <c r="E1263" s="9" t="s">
        <v>11</v>
      </c>
      <c r="F1263" s="9" t="s">
        <v>1204</v>
      </c>
      <c r="G1263" s="9">
        <v>30</v>
      </c>
      <c r="H1263" s="9">
        <v>3</v>
      </c>
      <c r="I1263" s="9">
        <v>1.0149999999999999</v>
      </c>
      <c r="J1263" s="9">
        <v>110</v>
      </c>
      <c r="K1263" s="9" t="s">
        <v>442</v>
      </c>
      <c r="L1263" s="9"/>
      <c r="M1263" s="9"/>
      <c r="N1263" s="9" t="str">
        <f ca="1">IFERROR(__xludf.DUMMYFUNCTION("IFERROR(VALUE(REGEXEXTRACT(TO_TEXT($F1263), N$1 &amp; ""x(\d+)"")), """")
"),"")</f>
        <v/>
      </c>
      <c r="O1263" s="9" t="str">
        <f ca="1">IFERROR(__xludf.DUMMYFUNCTION("IFERROR(VALUE(REGEXEXTRACT(TO_TEXT($F1263), O$1 &amp; ""x(\d+)"")), """")"),"")</f>
        <v/>
      </c>
      <c r="P1263" s="9" t="str">
        <f ca="1">IFERROR(__xludf.DUMMYFUNCTION("IFERROR(VALUE(REGEXEXTRACT(TO_TEXT($F1263), P$1 &amp; ""x(\d+)"")), """")"),"")</f>
        <v/>
      </c>
      <c r="Q1263" s="9" t="str">
        <f ca="1">IFERROR(__xludf.DUMMYFUNCTION("IFERROR(VALUE(REGEXEXTRACT(TO_TEXT($F1263), Q$1 &amp; ""x(\d+)"")), """")"),"")</f>
        <v/>
      </c>
      <c r="R1263" s="9" t="str">
        <f ca="1">IFERROR(__xludf.DUMMYFUNCTION("IFERROR(VALUE(REGEXEXTRACT(TO_TEXT($F1263), R$1 &amp; ""x(\d+)"")), """")"),"")</f>
        <v/>
      </c>
      <c r="S1263" s="9" t="str">
        <f ca="1">IFERROR(__xludf.DUMMYFUNCTION("IFERROR(VALUE(REGEXEXTRACT(TO_TEXT($F1263), S$1 &amp; ""x(\d+)"")), """")"),"")</f>
        <v/>
      </c>
      <c r="T1263" s="9" t="str">
        <f ca="1">IFERROR(__xludf.DUMMYFUNCTION("IFERROR(VALUE(REGEXEXTRACT(TO_TEXT($F1263), T$1 &amp; ""x(\d+)"")), """")"),"")</f>
        <v/>
      </c>
      <c r="U1263" s="9" t="str">
        <f ca="1">IFERROR(__xludf.DUMMYFUNCTION("IFERROR(VALUE(REGEXEXTRACT(TO_TEXT($F1263), U$1 &amp; ""x(\d+)"")), """")"),"")</f>
        <v/>
      </c>
      <c r="V1263" s="9" t="str">
        <f ca="1">IFERROR(__xludf.DUMMYFUNCTION("IFERROR(VALUE(REGEXEXTRACT(TO_TEXT($F1263), V$1 &amp; ""x(\d+)"")), """")"),"")</f>
        <v/>
      </c>
      <c r="W1263" s="9"/>
      <c r="X1263" s="9"/>
      <c r="Y1263" s="9"/>
      <c r="Z1263" s="9"/>
    </row>
    <row r="1264" spans="1:26" ht="15.75" customHeight="1">
      <c r="A1264" s="9" t="s">
        <v>2328</v>
      </c>
      <c r="B1264" s="9" t="s">
        <v>2329</v>
      </c>
      <c r="C1264" s="9" t="s">
        <v>2330</v>
      </c>
      <c r="D1264" s="9" t="s">
        <v>33</v>
      </c>
      <c r="E1264" s="9" t="s">
        <v>12</v>
      </c>
      <c r="F1264" s="9" t="s">
        <v>1700</v>
      </c>
      <c r="G1264" s="9">
        <v>70</v>
      </c>
      <c r="H1264" s="9">
        <v>3</v>
      </c>
      <c r="I1264" s="9">
        <v>1.0149999999999999</v>
      </c>
      <c r="J1264" s="9">
        <v>110</v>
      </c>
      <c r="K1264" s="9" t="s">
        <v>442</v>
      </c>
      <c r="L1264" s="9"/>
      <c r="M1264" s="9"/>
      <c r="N1264" s="9" t="str">
        <f ca="1">IFERROR(__xludf.DUMMYFUNCTION("IFERROR(VALUE(REGEXEXTRACT(TO_TEXT($F1264), N$1 &amp; ""x(\d+)"")), """")
"),"")</f>
        <v/>
      </c>
      <c r="O1264" s="9">
        <f ca="1">IFERROR(__xludf.DUMMYFUNCTION("IFERROR(VALUE(REGEXEXTRACT(TO_TEXT($F1264), O$1 &amp; ""x(\d+)"")), """")"),1)</f>
        <v>1</v>
      </c>
      <c r="P1264" s="9" t="str">
        <f ca="1">IFERROR(__xludf.DUMMYFUNCTION("IFERROR(VALUE(REGEXEXTRACT(TO_TEXT($F1264), P$1 &amp; ""x(\d+)"")), """")"),"")</f>
        <v/>
      </c>
      <c r="Q1264" s="9" t="str">
        <f ca="1">IFERROR(__xludf.DUMMYFUNCTION("IFERROR(VALUE(REGEXEXTRACT(TO_TEXT($F1264), Q$1 &amp; ""x(\d+)"")), """")"),"")</f>
        <v/>
      </c>
      <c r="R1264" s="9" t="str">
        <f ca="1">IFERROR(__xludf.DUMMYFUNCTION("IFERROR(VALUE(REGEXEXTRACT(TO_TEXT($F1264), R$1 &amp; ""x(\d+)"")), """")"),"")</f>
        <v/>
      </c>
      <c r="S1264" s="9" t="str">
        <f ca="1">IFERROR(__xludf.DUMMYFUNCTION("IFERROR(VALUE(REGEXEXTRACT(TO_TEXT($F1264), S$1 &amp; ""x(\d+)"")), """")"),"")</f>
        <v/>
      </c>
      <c r="T1264" s="9" t="str">
        <f ca="1">IFERROR(__xludf.DUMMYFUNCTION("IFERROR(VALUE(REGEXEXTRACT(TO_TEXT($F1264), T$1 &amp; ""x(\d+)"")), """")"),"")</f>
        <v/>
      </c>
      <c r="U1264" s="9" t="str">
        <f ca="1">IFERROR(__xludf.DUMMYFUNCTION("IFERROR(VALUE(REGEXEXTRACT(TO_TEXT($F1264), U$1 &amp; ""x(\d+)"")), """")"),"")</f>
        <v/>
      </c>
      <c r="V1264" s="9" t="str">
        <f ca="1">IFERROR(__xludf.DUMMYFUNCTION("IFERROR(VALUE(REGEXEXTRACT(TO_TEXT($F1264), V$1 &amp; ""x(\d+)"")), """")"),"")</f>
        <v/>
      </c>
      <c r="W1264" s="9"/>
      <c r="X1264" s="9"/>
      <c r="Y1264" s="9"/>
      <c r="Z1264" s="9"/>
    </row>
    <row r="1265" spans="1:26" ht="15.75" customHeight="1">
      <c r="A1265" s="9" t="s">
        <v>2328</v>
      </c>
      <c r="B1265" s="9" t="s">
        <v>2329</v>
      </c>
      <c r="C1265" s="9" t="s">
        <v>2330</v>
      </c>
      <c r="D1265" s="9" t="s">
        <v>33</v>
      </c>
      <c r="E1265" s="9" t="s">
        <v>13</v>
      </c>
      <c r="F1265" s="9" t="s">
        <v>1071</v>
      </c>
      <c r="G1265" s="9">
        <v>15</v>
      </c>
      <c r="H1265" s="9">
        <v>3</v>
      </c>
      <c r="I1265" s="9">
        <v>1.0149999999999999</v>
      </c>
      <c r="J1265" s="9">
        <v>110</v>
      </c>
      <c r="K1265" s="9" t="s">
        <v>442</v>
      </c>
      <c r="L1265" s="9"/>
      <c r="M1265" s="9"/>
      <c r="N1265" s="9" t="str">
        <f ca="1">IFERROR(__xludf.DUMMYFUNCTION("IFERROR(VALUE(REGEXEXTRACT(TO_TEXT($F1265), N$1 &amp; ""x(\d+)"")), """")
"),"")</f>
        <v/>
      </c>
      <c r="O1265" s="9">
        <f ca="1">IFERROR(__xludf.DUMMYFUNCTION("IFERROR(VALUE(REGEXEXTRACT(TO_TEXT($F1265), O$1 &amp; ""x(\d+)"")), """")"),1)</f>
        <v>1</v>
      </c>
      <c r="P1265" s="9" t="str">
        <f ca="1">IFERROR(__xludf.DUMMYFUNCTION("IFERROR(VALUE(REGEXEXTRACT(TO_TEXT($F1265), P$1 &amp; ""x(\d+)"")), """")"),"")</f>
        <v/>
      </c>
      <c r="Q1265" s="9" t="str">
        <f ca="1">IFERROR(__xludf.DUMMYFUNCTION("IFERROR(VALUE(REGEXEXTRACT(TO_TEXT($F1265), Q$1 &amp; ""x(\d+)"")), """")"),"")</f>
        <v/>
      </c>
      <c r="R1265" s="9" t="str">
        <f ca="1">IFERROR(__xludf.DUMMYFUNCTION("IFERROR(VALUE(REGEXEXTRACT(TO_TEXT($F1265), R$1 &amp; ""x(\d+)"")), """")"),"")</f>
        <v/>
      </c>
      <c r="S1265" s="9" t="str">
        <f ca="1">IFERROR(__xludf.DUMMYFUNCTION("IFERROR(VALUE(REGEXEXTRACT(TO_TEXT($F1265), S$1 &amp; ""x(\d+)"")), """")"),"")</f>
        <v/>
      </c>
      <c r="T1265" s="9" t="str">
        <f ca="1">IFERROR(__xludf.DUMMYFUNCTION("IFERROR(VALUE(REGEXEXTRACT(TO_TEXT($F1265), T$1 &amp; ""x(\d+)"")), """")"),"")</f>
        <v/>
      </c>
      <c r="U1265" s="9" t="str">
        <f ca="1">IFERROR(__xludf.DUMMYFUNCTION("IFERROR(VALUE(REGEXEXTRACT(TO_TEXT($F1265), U$1 &amp; ""x(\d+)"")), """")"),"")</f>
        <v/>
      </c>
      <c r="V1265" s="9" t="str">
        <f ca="1">IFERROR(__xludf.DUMMYFUNCTION("IFERROR(VALUE(REGEXEXTRACT(TO_TEXT($F1265), V$1 &amp; ""x(\d+)"")), """")"),"")</f>
        <v/>
      </c>
      <c r="W1265" s="9"/>
      <c r="X1265" s="9"/>
      <c r="Y1265" s="9"/>
      <c r="Z1265" s="9"/>
    </row>
    <row r="1266" spans="1:26" ht="15.75" customHeight="1">
      <c r="A1266" s="9" t="s">
        <v>2328</v>
      </c>
      <c r="B1266" s="9" t="s">
        <v>2329</v>
      </c>
      <c r="C1266" s="9" t="s">
        <v>2330</v>
      </c>
      <c r="D1266" s="9" t="s">
        <v>40</v>
      </c>
      <c r="E1266" s="9" t="s">
        <v>11</v>
      </c>
      <c r="F1266" s="9" t="s">
        <v>1204</v>
      </c>
      <c r="G1266" s="9">
        <v>30</v>
      </c>
      <c r="H1266" s="9">
        <v>3</v>
      </c>
      <c r="I1266" s="9">
        <v>1.0149999999999999</v>
      </c>
      <c r="J1266" s="9">
        <v>412</v>
      </c>
      <c r="K1266" s="9" t="s">
        <v>442</v>
      </c>
      <c r="L1266" s="9"/>
      <c r="M1266" s="9"/>
      <c r="N1266" s="9" t="str">
        <f ca="1">IFERROR(__xludf.DUMMYFUNCTION("IFERROR(VALUE(REGEXEXTRACT(TO_TEXT($F1266), N$1 &amp; ""x(\d+)"")), """")
"),"")</f>
        <v/>
      </c>
      <c r="O1266" s="9" t="str">
        <f ca="1">IFERROR(__xludf.DUMMYFUNCTION("IFERROR(VALUE(REGEXEXTRACT(TO_TEXT($F1266), O$1 &amp; ""x(\d+)"")), """")"),"")</f>
        <v/>
      </c>
      <c r="P1266" s="9" t="str">
        <f ca="1">IFERROR(__xludf.DUMMYFUNCTION("IFERROR(VALUE(REGEXEXTRACT(TO_TEXT($F1266), P$1 &amp; ""x(\d+)"")), """")"),"")</f>
        <v/>
      </c>
      <c r="Q1266" s="9" t="str">
        <f ca="1">IFERROR(__xludf.DUMMYFUNCTION("IFERROR(VALUE(REGEXEXTRACT(TO_TEXT($F1266), Q$1 &amp; ""x(\d+)"")), """")"),"")</f>
        <v/>
      </c>
      <c r="R1266" s="9" t="str">
        <f ca="1">IFERROR(__xludf.DUMMYFUNCTION("IFERROR(VALUE(REGEXEXTRACT(TO_TEXT($F1266), R$1 &amp; ""x(\d+)"")), """")"),"")</f>
        <v/>
      </c>
      <c r="S1266" s="9" t="str">
        <f ca="1">IFERROR(__xludf.DUMMYFUNCTION("IFERROR(VALUE(REGEXEXTRACT(TO_TEXT($F1266), S$1 &amp; ""x(\d+)"")), """")"),"")</f>
        <v/>
      </c>
      <c r="T1266" s="9" t="str">
        <f ca="1">IFERROR(__xludf.DUMMYFUNCTION("IFERROR(VALUE(REGEXEXTRACT(TO_TEXT($F1266), T$1 &amp; ""x(\d+)"")), """")"),"")</f>
        <v/>
      </c>
      <c r="U1266" s="9" t="str">
        <f ca="1">IFERROR(__xludf.DUMMYFUNCTION("IFERROR(VALUE(REGEXEXTRACT(TO_TEXT($F1266), U$1 &amp; ""x(\d+)"")), """")"),"")</f>
        <v/>
      </c>
      <c r="V1266" s="9" t="str">
        <f ca="1">IFERROR(__xludf.DUMMYFUNCTION("IFERROR(VALUE(REGEXEXTRACT(TO_TEXT($F1266), V$1 &amp; ""x(\d+)"")), """")"),"")</f>
        <v/>
      </c>
      <c r="W1266" s="9"/>
      <c r="X1266" s="9"/>
      <c r="Y1266" s="9"/>
      <c r="Z1266" s="9"/>
    </row>
    <row r="1267" spans="1:26" ht="15.75" customHeight="1">
      <c r="A1267" s="9" t="s">
        <v>2328</v>
      </c>
      <c r="B1267" s="9" t="s">
        <v>2329</v>
      </c>
      <c r="C1267" s="9" t="s">
        <v>2330</v>
      </c>
      <c r="D1267" s="9" t="s">
        <v>40</v>
      </c>
      <c r="E1267" s="9" t="s">
        <v>12</v>
      </c>
      <c r="F1267" s="9" t="s">
        <v>2331</v>
      </c>
      <c r="G1267" s="9">
        <v>90</v>
      </c>
      <c r="H1267" s="9">
        <v>3</v>
      </c>
      <c r="I1267" s="9">
        <v>1.0149999999999999</v>
      </c>
      <c r="J1267" s="9">
        <v>412</v>
      </c>
      <c r="K1267" s="9" t="s">
        <v>442</v>
      </c>
      <c r="L1267" s="9"/>
      <c r="M1267" s="9"/>
      <c r="N1267" s="9" t="str">
        <f ca="1">IFERROR(__xludf.DUMMYFUNCTION("IFERROR(VALUE(REGEXEXTRACT(TO_TEXT($F1267), N$1 &amp; ""x(\d+)"")), """")
"),"")</f>
        <v/>
      </c>
      <c r="O1267" s="9" t="str">
        <f ca="1">IFERROR(__xludf.DUMMYFUNCTION("IFERROR(VALUE(REGEXEXTRACT(TO_TEXT($F1267), O$1 &amp; ""x(\d+)"")), """")"),"")</f>
        <v/>
      </c>
      <c r="P1267" s="9" t="str">
        <f ca="1">IFERROR(__xludf.DUMMYFUNCTION("IFERROR(VALUE(REGEXEXTRACT(TO_TEXT($F1267), P$1 &amp; ""x(\d+)"")), """")"),"")</f>
        <v/>
      </c>
      <c r="Q1267" s="9" t="str">
        <f ca="1">IFERROR(__xludf.DUMMYFUNCTION("IFERROR(VALUE(REGEXEXTRACT(TO_TEXT($F1267), Q$1 &amp; ""x(\d+)"")), """")"),"")</f>
        <v/>
      </c>
      <c r="R1267" s="9" t="str">
        <f ca="1">IFERROR(__xludf.DUMMYFUNCTION("IFERROR(VALUE(REGEXEXTRACT(TO_TEXT($F1267), R$1 &amp; ""x(\d+)"")), """")"),"")</f>
        <v/>
      </c>
      <c r="S1267" s="9">
        <f ca="1">IFERROR(__xludf.DUMMYFUNCTION("IFERROR(VALUE(REGEXEXTRACT(TO_TEXT($F1267), S$1 &amp; ""x(\d+)"")), """")"),1)</f>
        <v>1</v>
      </c>
      <c r="T1267" s="9" t="str">
        <f ca="1">IFERROR(__xludf.DUMMYFUNCTION("IFERROR(VALUE(REGEXEXTRACT(TO_TEXT($F1267), T$1 &amp; ""x(\d+)"")), """")"),"")</f>
        <v/>
      </c>
      <c r="U1267" s="9" t="str">
        <f ca="1">IFERROR(__xludf.DUMMYFUNCTION("IFERROR(VALUE(REGEXEXTRACT(TO_TEXT($F1267), U$1 &amp; ""x(\d+)"")), """")"),"")</f>
        <v/>
      </c>
      <c r="V1267" s="9" t="str">
        <f ca="1">IFERROR(__xludf.DUMMYFUNCTION("IFERROR(VALUE(REGEXEXTRACT(TO_TEXT($F1267), V$1 &amp; ""x(\d+)"")), """")"),"")</f>
        <v/>
      </c>
      <c r="W1267" s="9"/>
      <c r="X1267" s="9"/>
      <c r="Y1267" s="9"/>
      <c r="Z1267" s="9"/>
    </row>
    <row r="1268" spans="1:26" ht="15.75" customHeight="1">
      <c r="A1268" s="9" t="s">
        <v>2328</v>
      </c>
      <c r="B1268" s="9" t="s">
        <v>2329</v>
      </c>
      <c r="C1268" s="9" t="s">
        <v>2330</v>
      </c>
      <c r="D1268" s="9" t="s">
        <v>40</v>
      </c>
      <c r="E1268" s="9" t="s">
        <v>13</v>
      </c>
      <c r="F1268" s="9" t="s">
        <v>1111</v>
      </c>
      <c r="G1268" s="9">
        <v>30</v>
      </c>
      <c r="H1268" s="9">
        <v>3</v>
      </c>
      <c r="I1268" s="9">
        <v>1.0149999999999999</v>
      </c>
      <c r="J1268" s="9">
        <v>412</v>
      </c>
      <c r="K1268" s="9" t="s">
        <v>442</v>
      </c>
      <c r="L1268" s="9"/>
      <c r="M1268" s="9"/>
      <c r="N1268" s="9" t="str">
        <f ca="1">IFERROR(__xludf.DUMMYFUNCTION("IFERROR(VALUE(REGEXEXTRACT(TO_TEXT($F1268), N$1 &amp; ""x(\d+)"")), """")
"),"")</f>
        <v/>
      </c>
      <c r="O1268" s="9" t="str">
        <f ca="1">IFERROR(__xludf.DUMMYFUNCTION("IFERROR(VALUE(REGEXEXTRACT(TO_TEXT($F1268), O$1 &amp; ""x(\d+)"")), """")"),"")</f>
        <v/>
      </c>
      <c r="P1268" s="9" t="str">
        <f ca="1">IFERROR(__xludf.DUMMYFUNCTION("IFERROR(VALUE(REGEXEXTRACT(TO_TEXT($F1268), P$1 &amp; ""x(\d+)"")), """")"),"")</f>
        <v/>
      </c>
      <c r="Q1268" s="9" t="str">
        <f ca="1">IFERROR(__xludf.DUMMYFUNCTION("IFERROR(VALUE(REGEXEXTRACT(TO_TEXT($F1268), Q$1 &amp; ""x(\d+)"")), """")"),"")</f>
        <v/>
      </c>
      <c r="R1268" s="9" t="str">
        <f ca="1">IFERROR(__xludf.DUMMYFUNCTION("IFERROR(VALUE(REGEXEXTRACT(TO_TEXT($F1268), R$1 &amp; ""x(\d+)"")), """")"),"")</f>
        <v/>
      </c>
      <c r="S1268" s="9">
        <f ca="1">IFERROR(__xludf.DUMMYFUNCTION("IFERROR(VALUE(REGEXEXTRACT(TO_TEXT($F1268), S$1 &amp; ""x(\d+)"")), """")"),1)</f>
        <v>1</v>
      </c>
      <c r="T1268" s="9" t="str">
        <f ca="1">IFERROR(__xludf.DUMMYFUNCTION("IFERROR(VALUE(REGEXEXTRACT(TO_TEXT($F1268), T$1 &amp; ""x(\d+)"")), """")"),"")</f>
        <v/>
      </c>
      <c r="U1268" s="9" t="str">
        <f ca="1">IFERROR(__xludf.DUMMYFUNCTION("IFERROR(VALUE(REGEXEXTRACT(TO_TEXT($F1268), U$1 &amp; ""x(\d+)"")), """")"),"")</f>
        <v/>
      </c>
      <c r="V1268" s="9" t="str">
        <f ca="1">IFERROR(__xludf.DUMMYFUNCTION("IFERROR(VALUE(REGEXEXTRACT(TO_TEXT($F1268), V$1 &amp; ""x(\d+)"")), """")"),"")</f>
        <v/>
      </c>
      <c r="W1268" s="9"/>
      <c r="X1268" s="9"/>
      <c r="Y1268" s="9"/>
      <c r="Z1268" s="9"/>
    </row>
    <row r="1269" spans="1:26" ht="15.75" customHeight="1">
      <c r="A1269" s="9" t="s">
        <v>2332</v>
      </c>
      <c r="B1269" s="9" t="s">
        <v>2329</v>
      </c>
      <c r="C1269" s="9" t="s">
        <v>2333</v>
      </c>
      <c r="D1269" s="9" t="s">
        <v>33</v>
      </c>
      <c r="E1269" s="9" t="s">
        <v>11</v>
      </c>
      <c r="F1269" s="9" t="s">
        <v>1477</v>
      </c>
      <c r="G1269" s="9">
        <v>20</v>
      </c>
      <c r="H1269" s="9">
        <v>3</v>
      </c>
      <c r="I1269" s="9">
        <v>1.0149999999999999</v>
      </c>
      <c r="J1269" s="9">
        <v>110</v>
      </c>
      <c r="K1269" s="9" t="s">
        <v>442</v>
      </c>
      <c r="L1269" s="9"/>
      <c r="M1269" s="9"/>
      <c r="N1269" s="9" t="str">
        <f ca="1">IFERROR(__xludf.DUMMYFUNCTION("IFERROR(VALUE(REGEXEXTRACT(TO_TEXT($F1269), N$1 &amp; ""x(\d+)"")), """")
"),"")</f>
        <v/>
      </c>
      <c r="O1269" s="9" t="str">
        <f ca="1">IFERROR(__xludf.DUMMYFUNCTION("IFERROR(VALUE(REGEXEXTRACT(TO_TEXT($F1269), O$1 &amp; ""x(\d+)"")), """")"),"")</f>
        <v/>
      </c>
      <c r="P1269" s="9" t="str">
        <f ca="1">IFERROR(__xludf.DUMMYFUNCTION("IFERROR(VALUE(REGEXEXTRACT(TO_TEXT($F1269), P$1 &amp; ""x(\d+)"")), """")"),"")</f>
        <v/>
      </c>
      <c r="Q1269" s="9" t="str">
        <f ca="1">IFERROR(__xludf.DUMMYFUNCTION("IFERROR(VALUE(REGEXEXTRACT(TO_TEXT($F1269), Q$1 &amp; ""x(\d+)"")), """")"),"")</f>
        <v/>
      </c>
      <c r="R1269" s="9" t="str">
        <f ca="1">IFERROR(__xludf.DUMMYFUNCTION("IFERROR(VALUE(REGEXEXTRACT(TO_TEXT($F1269), R$1 &amp; ""x(\d+)"")), """")"),"")</f>
        <v/>
      </c>
      <c r="S1269" s="9" t="str">
        <f ca="1">IFERROR(__xludf.DUMMYFUNCTION("IFERROR(VALUE(REGEXEXTRACT(TO_TEXT($F1269), S$1 &amp; ""x(\d+)"")), """")"),"")</f>
        <v/>
      </c>
      <c r="T1269" s="9" t="str">
        <f ca="1">IFERROR(__xludf.DUMMYFUNCTION("IFERROR(VALUE(REGEXEXTRACT(TO_TEXT($F1269), T$1 &amp; ""x(\d+)"")), """")"),"")</f>
        <v/>
      </c>
      <c r="U1269" s="9" t="str">
        <f ca="1">IFERROR(__xludf.DUMMYFUNCTION("IFERROR(VALUE(REGEXEXTRACT(TO_TEXT($F1269), U$1 &amp; ""x(\d+)"")), """")"),"")</f>
        <v/>
      </c>
      <c r="V1269" s="9" t="str">
        <f ca="1">IFERROR(__xludf.DUMMYFUNCTION("IFERROR(VALUE(REGEXEXTRACT(TO_TEXT($F1269), V$1 &amp; ""x(\d+)"")), """")"),"")</f>
        <v/>
      </c>
      <c r="W1269" s="9"/>
      <c r="X1269" s="9"/>
      <c r="Y1269" s="9"/>
      <c r="Z1269" s="9"/>
    </row>
    <row r="1270" spans="1:26" ht="15.75" customHeight="1">
      <c r="A1270" s="9" t="s">
        <v>2332</v>
      </c>
      <c r="B1270" s="9" t="s">
        <v>2329</v>
      </c>
      <c r="C1270" s="9" t="s">
        <v>2333</v>
      </c>
      <c r="D1270" s="9" t="s">
        <v>33</v>
      </c>
      <c r="E1270" s="9" t="s">
        <v>12</v>
      </c>
      <c r="F1270" s="9" t="s">
        <v>1700</v>
      </c>
      <c r="G1270" s="9">
        <v>70</v>
      </c>
      <c r="H1270" s="9">
        <v>3</v>
      </c>
      <c r="I1270" s="9">
        <v>1.0149999999999999</v>
      </c>
      <c r="J1270" s="9">
        <v>110</v>
      </c>
      <c r="K1270" s="9" t="s">
        <v>442</v>
      </c>
      <c r="L1270" s="9"/>
      <c r="M1270" s="9"/>
      <c r="N1270" s="9" t="str">
        <f ca="1">IFERROR(__xludf.DUMMYFUNCTION("IFERROR(VALUE(REGEXEXTRACT(TO_TEXT($F1270), N$1 &amp; ""x(\d+)"")), """")
"),"")</f>
        <v/>
      </c>
      <c r="O1270" s="9">
        <f ca="1">IFERROR(__xludf.DUMMYFUNCTION("IFERROR(VALUE(REGEXEXTRACT(TO_TEXT($F1270), O$1 &amp; ""x(\d+)"")), """")"),1)</f>
        <v>1</v>
      </c>
      <c r="P1270" s="9" t="str">
        <f ca="1">IFERROR(__xludf.DUMMYFUNCTION("IFERROR(VALUE(REGEXEXTRACT(TO_TEXT($F1270), P$1 &amp; ""x(\d+)"")), """")"),"")</f>
        <v/>
      </c>
      <c r="Q1270" s="9" t="str">
        <f ca="1">IFERROR(__xludf.DUMMYFUNCTION("IFERROR(VALUE(REGEXEXTRACT(TO_TEXT($F1270), Q$1 &amp; ""x(\d+)"")), """")"),"")</f>
        <v/>
      </c>
      <c r="R1270" s="9" t="str">
        <f ca="1">IFERROR(__xludf.DUMMYFUNCTION("IFERROR(VALUE(REGEXEXTRACT(TO_TEXT($F1270), R$1 &amp; ""x(\d+)"")), """")"),"")</f>
        <v/>
      </c>
      <c r="S1270" s="9" t="str">
        <f ca="1">IFERROR(__xludf.DUMMYFUNCTION("IFERROR(VALUE(REGEXEXTRACT(TO_TEXT($F1270), S$1 &amp; ""x(\d+)"")), """")"),"")</f>
        <v/>
      </c>
      <c r="T1270" s="9" t="str">
        <f ca="1">IFERROR(__xludf.DUMMYFUNCTION("IFERROR(VALUE(REGEXEXTRACT(TO_TEXT($F1270), T$1 &amp; ""x(\d+)"")), """")"),"")</f>
        <v/>
      </c>
      <c r="U1270" s="9" t="str">
        <f ca="1">IFERROR(__xludf.DUMMYFUNCTION("IFERROR(VALUE(REGEXEXTRACT(TO_TEXT($F1270), U$1 &amp; ""x(\d+)"")), """")"),"")</f>
        <v/>
      </c>
      <c r="V1270" s="9" t="str">
        <f ca="1">IFERROR(__xludf.DUMMYFUNCTION("IFERROR(VALUE(REGEXEXTRACT(TO_TEXT($F1270), V$1 &amp; ""x(\d+)"")), """")"),"")</f>
        <v/>
      </c>
      <c r="W1270" s="9"/>
      <c r="X1270" s="9"/>
      <c r="Y1270" s="9"/>
      <c r="Z1270" s="9"/>
    </row>
    <row r="1271" spans="1:26" ht="15.75" customHeight="1">
      <c r="A1271" s="9" t="s">
        <v>2332</v>
      </c>
      <c r="B1271" s="9" t="s">
        <v>2329</v>
      </c>
      <c r="C1271" s="9" t="s">
        <v>2333</v>
      </c>
      <c r="D1271" s="9" t="s">
        <v>33</v>
      </c>
      <c r="E1271" s="9" t="s">
        <v>13</v>
      </c>
      <c r="F1271" s="9" t="s">
        <v>1071</v>
      </c>
      <c r="G1271" s="9">
        <v>15</v>
      </c>
      <c r="H1271" s="9">
        <v>3</v>
      </c>
      <c r="I1271" s="9">
        <v>1.0149999999999999</v>
      </c>
      <c r="J1271" s="9">
        <v>110</v>
      </c>
      <c r="K1271" s="9" t="s">
        <v>442</v>
      </c>
      <c r="L1271" s="9"/>
      <c r="M1271" s="9"/>
      <c r="N1271" s="9" t="str">
        <f ca="1">IFERROR(__xludf.DUMMYFUNCTION("IFERROR(VALUE(REGEXEXTRACT(TO_TEXT($F1271), N$1 &amp; ""x(\d+)"")), """")
"),"")</f>
        <v/>
      </c>
      <c r="O1271" s="9">
        <f ca="1">IFERROR(__xludf.DUMMYFUNCTION("IFERROR(VALUE(REGEXEXTRACT(TO_TEXT($F1271), O$1 &amp; ""x(\d+)"")), """")"),1)</f>
        <v>1</v>
      </c>
      <c r="P1271" s="9" t="str">
        <f ca="1">IFERROR(__xludf.DUMMYFUNCTION("IFERROR(VALUE(REGEXEXTRACT(TO_TEXT($F1271), P$1 &amp; ""x(\d+)"")), """")"),"")</f>
        <v/>
      </c>
      <c r="Q1271" s="9" t="str">
        <f ca="1">IFERROR(__xludf.DUMMYFUNCTION("IFERROR(VALUE(REGEXEXTRACT(TO_TEXT($F1271), Q$1 &amp; ""x(\d+)"")), """")"),"")</f>
        <v/>
      </c>
      <c r="R1271" s="9" t="str">
        <f ca="1">IFERROR(__xludf.DUMMYFUNCTION("IFERROR(VALUE(REGEXEXTRACT(TO_TEXT($F1271), R$1 &amp; ""x(\d+)"")), """")"),"")</f>
        <v/>
      </c>
      <c r="S1271" s="9" t="str">
        <f ca="1">IFERROR(__xludf.DUMMYFUNCTION("IFERROR(VALUE(REGEXEXTRACT(TO_TEXT($F1271), S$1 &amp; ""x(\d+)"")), """")"),"")</f>
        <v/>
      </c>
      <c r="T1271" s="9" t="str">
        <f ca="1">IFERROR(__xludf.DUMMYFUNCTION("IFERROR(VALUE(REGEXEXTRACT(TO_TEXT($F1271), T$1 &amp; ""x(\d+)"")), """")"),"")</f>
        <v/>
      </c>
      <c r="U1271" s="9" t="str">
        <f ca="1">IFERROR(__xludf.DUMMYFUNCTION("IFERROR(VALUE(REGEXEXTRACT(TO_TEXT($F1271), U$1 &amp; ""x(\d+)"")), """")"),"")</f>
        <v/>
      </c>
      <c r="V1271" s="9" t="str">
        <f ca="1">IFERROR(__xludf.DUMMYFUNCTION("IFERROR(VALUE(REGEXEXTRACT(TO_TEXT($F1271), V$1 &amp; ""x(\d+)"")), """")"),"")</f>
        <v/>
      </c>
      <c r="W1271" s="9"/>
      <c r="X1271" s="9"/>
      <c r="Y1271" s="9"/>
      <c r="Z1271" s="9"/>
    </row>
    <row r="1272" spans="1:26" ht="15.75" customHeight="1">
      <c r="A1272" s="9" t="s">
        <v>2334</v>
      </c>
      <c r="B1272" s="9" t="s">
        <v>2335</v>
      </c>
      <c r="C1272" s="9" t="s">
        <v>2336</v>
      </c>
      <c r="D1272" s="9" t="s">
        <v>33</v>
      </c>
      <c r="E1272" s="9" t="s">
        <v>11</v>
      </c>
      <c r="F1272" s="9" t="s">
        <v>1477</v>
      </c>
      <c r="G1272" s="9">
        <v>20</v>
      </c>
      <c r="H1272" s="9">
        <v>3</v>
      </c>
      <c r="I1272" s="9">
        <v>1.0149999999999999</v>
      </c>
      <c r="J1272" s="9">
        <v>110</v>
      </c>
      <c r="K1272" s="9" t="s">
        <v>442</v>
      </c>
      <c r="L1272" s="9"/>
      <c r="M1272" s="9"/>
      <c r="N1272" s="9" t="str">
        <f ca="1">IFERROR(__xludf.DUMMYFUNCTION("IFERROR(VALUE(REGEXEXTRACT(TO_TEXT($F1272), N$1 &amp; ""x(\d+)"")), """")
"),"")</f>
        <v/>
      </c>
      <c r="O1272" s="9" t="str">
        <f ca="1">IFERROR(__xludf.DUMMYFUNCTION("IFERROR(VALUE(REGEXEXTRACT(TO_TEXT($F1272), O$1 &amp; ""x(\d+)"")), """")"),"")</f>
        <v/>
      </c>
      <c r="P1272" s="9" t="str">
        <f ca="1">IFERROR(__xludf.DUMMYFUNCTION("IFERROR(VALUE(REGEXEXTRACT(TO_TEXT($F1272), P$1 &amp; ""x(\d+)"")), """")"),"")</f>
        <v/>
      </c>
      <c r="Q1272" s="9" t="str">
        <f ca="1">IFERROR(__xludf.DUMMYFUNCTION("IFERROR(VALUE(REGEXEXTRACT(TO_TEXT($F1272), Q$1 &amp; ""x(\d+)"")), """")"),"")</f>
        <v/>
      </c>
      <c r="R1272" s="9" t="str">
        <f ca="1">IFERROR(__xludf.DUMMYFUNCTION("IFERROR(VALUE(REGEXEXTRACT(TO_TEXT($F1272), R$1 &amp; ""x(\d+)"")), """")"),"")</f>
        <v/>
      </c>
      <c r="S1272" s="9" t="str">
        <f ca="1">IFERROR(__xludf.DUMMYFUNCTION("IFERROR(VALUE(REGEXEXTRACT(TO_TEXT($F1272), S$1 &amp; ""x(\d+)"")), """")"),"")</f>
        <v/>
      </c>
      <c r="T1272" s="9" t="str">
        <f ca="1">IFERROR(__xludf.DUMMYFUNCTION("IFERROR(VALUE(REGEXEXTRACT(TO_TEXT($F1272), T$1 &amp; ""x(\d+)"")), """")"),"")</f>
        <v/>
      </c>
      <c r="U1272" s="9" t="str">
        <f ca="1">IFERROR(__xludf.DUMMYFUNCTION("IFERROR(VALUE(REGEXEXTRACT(TO_TEXT($F1272), U$1 &amp; ""x(\d+)"")), """")"),"")</f>
        <v/>
      </c>
      <c r="V1272" s="9" t="str">
        <f ca="1">IFERROR(__xludf.DUMMYFUNCTION("IFERROR(VALUE(REGEXEXTRACT(TO_TEXT($F1272), V$1 &amp; ""x(\d+)"")), """")"),"")</f>
        <v/>
      </c>
      <c r="W1272" s="9"/>
      <c r="X1272" s="9"/>
      <c r="Y1272" s="9"/>
      <c r="Z1272" s="9"/>
    </row>
    <row r="1273" spans="1:26" ht="15.75" customHeight="1">
      <c r="A1273" s="9" t="s">
        <v>2334</v>
      </c>
      <c r="B1273" s="9" t="s">
        <v>2335</v>
      </c>
      <c r="C1273" s="9" t="s">
        <v>2336</v>
      </c>
      <c r="D1273" s="9" t="s">
        <v>33</v>
      </c>
      <c r="E1273" s="9" t="s">
        <v>12</v>
      </c>
      <c r="F1273" s="9" t="s">
        <v>1109</v>
      </c>
      <c r="G1273" s="9">
        <v>65</v>
      </c>
      <c r="H1273" s="9">
        <v>3</v>
      </c>
      <c r="I1273" s="9">
        <v>1.0149999999999999</v>
      </c>
      <c r="J1273" s="9">
        <v>110</v>
      </c>
      <c r="K1273" s="9" t="s">
        <v>442</v>
      </c>
      <c r="L1273" s="9"/>
      <c r="M1273" s="9"/>
      <c r="N1273" s="9" t="str">
        <f ca="1">IFERROR(__xludf.DUMMYFUNCTION("IFERROR(VALUE(REGEXEXTRACT(TO_TEXT($F1273), N$1 &amp; ""x(\d+)"")), """")
"),"")</f>
        <v/>
      </c>
      <c r="O1273" s="9">
        <f ca="1">IFERROR(__xludf.DUMMYFUNCTION("IFERROR(VALUE(REGEXEXTRACT(TO_TEXT($F1273), O$1 &amp; ""x(\d+)"")), """")"),1)</f>
        <v>1</v>
      </c>
      <c r="P1273" s="9" t="str">
        <f ca="1">IFERROR(__xludf.DUMMYFUNCTION("IFERROR(VALUE(REGEXEXTRACT(TO_TEXT($F1273), P$1 &amp; ""x(\d+)"")), """")"),"")</f>
        <v/>
      </c>
      <c r="Q1273" s="9" t="str">
        <f ca="1">IFERROR(__xludf.DUMMYFUNCTION("IFERROR(VALUE(REGEXEXTRACT(TO_TEXT($F1273), Q$1 &amp; ""x(\d+)"")), """")"),"")</f>
        <v/>
      </c>
      <c r="R1273" s="9" t="str">
        <f ca="1">IFERROR(__xludf.DUMMYFUNCTION("IFERROR(VALUE(REGEXEXTRACT(TO_TEXT($F1273), R$1 &amp; ""x(\d+)"")), """")"),"")</f>
        <v/>
      </c>
      <c r="S1273" s="9" t="str">
        <f ca="1">IFERROR(__xludf.DUMMYFUNCTION("IFERROR(VALUE(REGEXEXTRACT(TO_TEXT($F1273), S$1 &amp; ""x(\d+)"")), """")"),"")</f>
        <v/>
      </c>
      <c r="T1273" s="9" t="str">
        <f ca="1">IFERROR(__xludf.DUMMYFUNCTION("IFERROR(VALUE(REGEXEXTRACT(TO_TEXT($F1273), T$1 &amp; ""x(\d+)"")), """")"),"")</f>
        <v/>
      </c>
      <c r="U1273" s="9" t="str">
        <f ca="1">IFERROR(__xludf.DUMMYFUNCTION("IFERROR(VALUE(REGEXEXTRACT(TO_TEXT($F1273), U$1 &amp; ""x(\d+)"")), """")"),"")</f>
        <v/>
      </c>
      <c r="V1273" s="9" t="str">
        <f ca="1">IFERROR(__xludf.DUMMYFUNCTION("IFERROR(VALUE(REGEXEXTRACT(TO_TEXT($F1273), V$1 &amp; ""x(\d+)"")), """")"),"")</f>
        <v/>
      </c>
      <c r="W1273" s="9"/>
      <c r="X1273" s="9"/>
      <c r="Y1273" s="9"/>
      <c r="Z1273" s="9"/>
    </row>
    <row r="1274" spans="1:26" ht="15.75" customHeight="1">
      <c r="A1274" s="9" t="s">
        <v>2334</v>
      </c>
      <c r="B1274" s="9" t="s">
        <v>2335</v>
      </c>
      <c r="C1274" s="9" t="s">
        <v>2336</v>
      </c>
      <c r="D1274" s="9" t="s">
        <v>33</v>
      </c>
      <c r="E1274" s="9" t="s">
        <v>13</v>
      </c>
      <c r="F1274" s="9" t="s">
        <v>1071</v>
      </c>
      <c r="G1274" s="9">
        <v>15</v>
      </c>
      <c r="H1274" s="9">
        <v>3</v>
      </c>
      <c r="I1274" s="9">
        <v>1.0149999999999999</v>
      </c>
      <c r="J1274" s="9">
        <v>110</v>
      </c>
      <c r="K1274" s="9" t="s">
        <v>442</v>
      </c>
      <c r="L1274" s="9"/>
      <c r="M1274" s="9"/>
      <c r="N1274" s="9" t="str">
        <f ca="1">IFERROR(__xludf.DUMMYFUNCTION("IFERROR(VALUE(REGEXEXTRACT(TO_TEXT($F1274), N$1 &amp; ""x(\d+)"")), """")
"),"")</f>
        <v/>
      </c>
      <c r="O1274" s="9">
        <f ca="1">IFERROR(__xludf.DUMMYFUNCTION("IFERROR(VALUE(REGEXEXTRACT(TO_TEXT($F1274), O$1 &amp; ""x(\d+)"")), """")"),1)</f>
        <v>1</v>
      </c>
      <c r="P1274" s="9" t="str">
        <f ca="1">IFERROR(__xludf.DUMMYFUNCTION("IFERROR(VALUE(REGEXEXTRACT(TO_TEXT($F1274), P$1 &amp; ""x(\d+)"")), """")"),"")</f>
        <v/>
      </c>
      <c r="Q1274" s="9" t="str">
        <f ca="1">IFERROR(__xludf.DUMMYFUNCTION("IFERROR(VALUE(REGEXEXTRACT(TO_TEXT($F1274), Q$1 &amp; ""x(\d+)"")), """")"),"")</f>
        <v/>
      </c>
      <c r="R1274" s="9" t="str">
        <f ca="1">IFERROR(__xludf.DUMMYFUNCTION("IFERROR(VALUE(REGEXEXTRACT(TO_TEXT($F1274), R$1 &amp; ""x(\d+)"")), """")"),"")</f>
        <v/>
      </c>
      <c r="S1274" s="9" t="str">
        <f ca="1">IFERROR(__xludf.DUMMYFUNCTION("IFERROR(VALUE(REGEXEXTRACT(TO_TEXT($F1274), S$1 &amp; ""x(\d+)"")), """")"),"")</f>
        <v/>
      </c>
      <c r="T1274" s="9" t="str">
        <f ca="1">IFERROR(__xludf.DUMMYFUNCTION("IFERROR(VALUE(REGEXEXTRACT(TO_TEXT($F1274), T$1 &amp; ""x(\d+)"")), """")"),"")</f>
        <v/>
      </c>
      <c r="U1274" s="9" t="str">
        <f ca="1">IFERROR(__xludf.DUMMYFUNCTION("IFERROR(VALUE(REGEXEXTRACT(TO_TEXT($F1274), U$1 &amp; ""x(\d+)"")), """")"),"")</f>
        <v/>
      </c>
      <c r="V1274" s="9" t="str">
        <f ca="1">IFERROR(__xludf.DUMMYFUNCTION("IFERROR(VALUE(REGEXEXTRACT(TO_TEXT($F1274), V$1 &amp; ""x(\d+)"")), """")"),"")</f>
        <v/>
      </c>
      <c r="W1274" s="9"/>
      <c r="X1274" s="9"/>
      <c r="Y1274" s="9"/>
      <c r="Z1274" s="9"/>
    </row>
    <row r="1275" spans="1:26" ht="15.75" customHeight="1">
      <c r="A1275" s="9" t="s">
        <v>2337</v>
      </c>
      <c r="B1275" s="9" t="s">
        <v>2335</v>
      </c>
      <c r="C1275" s="9" t="s">
        <v>2338</v>
      </c>
      <c r="D1275" s="9" t="s">
        <v>33</v>
      </c>
      <c r="E1275" s="9" t="s">
        <v>11</v>
      </c>
      <c r="F1275" s="9" t="s">
        <v>1477</v>
      </c>
      <c r="G1275" s="9">
        <v>20</v>
      </c>
      <c r="H1275" s="9">
        <v>3</v>
      </c>
      <c r="I1275" s="9">
        <v>1.0149999999999999</v>
      </c>
      <c r="J1275" s="9">
        <v>110</v>
      </c>
      <c r="K1275" s="9" t="s">
        <v>442</v>
      </c>
      <c r="L1275" s="9"/>
      <c r="M1275" s="9"/>
      <c r="N1275" s="9" t="str">
        <f ca="1">IFERROR(__xludf.DUMMYFUNCTION("IFERROR(VALUE(REGEXEXTRACT(TO_TEXT($F1275), N$1 &amp; ""x(\d+)"")), """")
"),"")</f>
        <v/>
      </c>
      <c r="O1275" s="9" t="str">
        <f ca="1">IFERROR(__xludf.DUMMYFUNCTION("IFERROR(VALUE(REGEXEXTRACT(TO_TEXT($F1275), O$1 &amp; ""x(\d+)"")), """")"),"")</f>
        <v/>
      </c>
      <c r="P1275" s="9" t="str">
        <f ca="1">IFERROR(__xludf.DUMMYFUNCTION("IFERROR(VALUE(REGEXEXTRACT(TO_TEXT($F1275), P$1 &amp; ""x(\d+)"")), """")"),"")</f>
        <v/>
      </c>
      <c r="Q1275" s="9" t="str">
        <f ca="1">IFERROR(__xludf.DUMMYFUNCTION("IFERROR(VALUE(REGEXEXTRACT(TO_TEXT($F1275), Q$1 &amp; ""x(\d+)"")), """")"),"")</f>
        <v/>
      </c>
      <c r="R1275" s="9" t="str">
        <f ca="1">IFERROR(__xludf.DUMMYFUNCTION("IFERROR(VALUE(REGEXEXTRACT(TO_TEXT($F1275), R$1 &amp; ""x(\d+)"")), """")"),"")</f>
        <v/>
      </c>
      <c r="S1275" s="9" t="str">
        <f ca="1">IFERROR(__xludf.DUMMYFUNCTION("IFERROR(VALUE(REGEXEXTRACT(TO_TEXT($F1275), S$1 &amp; ""x(\d+)"")), """")"),"")</f>
        <v/>
      </c>
      <c r="T1275" s="9" t="str">
        <f ca="1">IFERROR(__xludf.DUMMYFUNCTION("IFERROR(VALUE(REGEXEXTRACT(TO_TEXT($F1275), T$1 &amp; ""x(\d+)"")), """")"),"")</f>
        <v/>
      </c>
      <c r="U1275" s="9" t="str">
        <f ca="1">IFERROR(__xludf.DUMMYFUNCTION("IFERROR(VALUE(REGEXEXTRACT(TO_TEXT($F1275), U$1 &amp; ""x(\d+)"")), """")"),"")</f>
        <v/>
      </c>
      <c r="V1275" s="9" t="str">
        <f ca="1">IFERROR(__xludf.DUMMYFUNCTION("IFERROR(VALUE(REGEXEXTRACT(TO_TEXT($F1275), V$1 &amp; ""x(\d+)"")), """")"),"")</f>
        <v/>
      </c>
      <c r="W1275" s="9"/>
      <c r="X1275" s="9"/>
      <c r="Y1275" s="9"/>
      <c r="Z1275" s="9"/>
    </row>
    <row r="1276" spans="1:26" ht="15.75" customHeight="1">
      <c r="A1276" s="9" t="s">
        <v>2337</v>
      </c>
      <c r="B1276" s="9" t="s">
        <v>2335</v>
      </c>
      <c r="C1276" s="9" t="s">
        <v>2338</v>
      </c>
      <c r="D1276" s="9" t="s">
        <v>33</v>
      </c>
      <c r="E1276" s="9" t="s">
        <v>12</v>
      </c>
      <c r="F1276" s="9" t="s">
        <v>1109</v>
      </c>
      <c r="G1276" s="9">
        <v>65</v>
      </c>
      <c r="H1276" s="9">
        <v>3</v>
      </c>
      <c r="I1276" s="9">
        <v>1.0149999999999999</v>
      </c>
      <c r="J1276" s="9">
        <v>110</v>
      </c>
      <c r="K1276" s="9" t="s">
        <v>442</v>
      </c>
      <c r="L1276" s="9"/>
      <c r="M1276" s="9"/>
      <c r="N1276" s="9" t="str">
        <f ca="1">IFERROR(__xludf.DUMMYFUNCTION("IFERROR(VALUE(REGEXEXTRACT(TO_TEXT($F1276), N$1 &amp; ""x(\d+)"")), """")
"),"")</f>
        <v/>
      </c>
      <c r="O1276" s="9">
        <f ca="1">IFERROR(__xludf.DUMMYFUNCTION("IFERROR(VALUE(REGEXEXTRACT(TO_TEXT($F1276), O$1 &amp; ""x(\d+)"")), """")"),1)</f>
        <v>1</v>
      </c>
      <c r="P1276" s="9" t="str">
        <f ca="1">IFERROR(__xludf.DUMMYFUNCTION("IFERROR(VALUE(REGEXEXTRACT(TO_TEXT($F1276), P$1 &amp; ""x(\d+)"")), """")"),"")</f>
        <v/>
      </c>
      <c r="Q1276" s="9" t="str">
        <f ca="1">IFERROR(__xludf.DUMMYFUNCTION("IFERROR(VALUE(REGEXEXTRACT(TO_TEXT($F1276), Q$1 &amp; ""x(\d+)"")), """")"),"")</f>
        <v/>
      </c>
      <c r="R1276" s="9" t="str">
        <f ca="1">IFERROR(__xludf.DUMMYFUNCTION("IFERROR(VALUE(REGEXEXTRACT(TO_TEXT($F1276), R$1 &amp; ""x(\d+)"")), """")"),"")</f>
        <v/>
      </c>
      <c r="S1276" s="9" t="str">
        <f ca="1">IFERROR(__xludf.DUMMYFUNCTION("IFERROR(VALUE(REGEXEXTRACT(TO_TEXT($F1276), S$1 &amp; ""x(\d+)"")), """")"),"")</f>
        <v/>
      </c>
      <c r="T1276" s="9" t="str">
        <f ca="1">IFERROR(__xludf.DUMMYFUNCTION("IFERROR(VALUE(REGEXEXTRACT(TO_TEXT($F1276), T$1 &amp; ""x(\d+)"")), """")"),"")</f>
        <v/>
      </c>
      <c r="U1276" s="9" t="str">
        <f ca="1">IFERROR(__xludf.DUMMYFUNCTION("IFERROR(VALUE(REGEXEXTRACT(TO_TEXT($F1276), U$1 &amp; ""x(\d+)"")), """")"),"")</f>
        <v/>
      </c>
      <c r="V1276" s="9" t="str">
        <f ca="1">IFERROR(__xludf.DUMMYFUNCTION("IFERROR(VALUE(REGEXEXTRACT(TO_TEXT($F1276), V$1 &amp; ""x(\d+)"")), """")"),"")</f>
        <v/>
      </c>
      <c r="W1276" s="9"/>
      <c r="X1276" s="9"/>
      <c r="Y1276" s="9"/>
      <c r="Z1276" s="9"/>
    </row>
    <row r="1277" spans="1:26" ht="15.75" customHeight="1">
      <c r="A1277" s="9" t="s">
        <v>2337</v>
      </c>
      <c r="B1277" s="9" t="s">
        <v>2335</v>
      </c>
      <c r="C1277" s="9" t="s">
        <v>2338</v>
      </c>
      <c r="D1277" s="9" t="s">
        <v>33</v>
      </c>
      <c r="E1277" s="9" t="s">
        <v>13</v>
      </c>
      <c r="F1277" s="9" t="s">
        <v>1071</v>
      </c>
      <c r="G1277" s="9">
        <v>15</v>
      </c>
      <c r="H1277" s="9">
        <v>3</v>
      </c>
      <c r="I1277" s="9">
        <v>1.0149999999999999</v>
      </c>
      <c r="J1277" s="9">
        <v>110</v>
      </c>
      <c r="K1277" s="9" t="s">
        <v>442</v>
      </c>
      <c r="L1277" s="9"/>
      <c r="M1277" s="9"/>
      <c r="N1277" s="9" t="str">
        <f ca="1">IFERROR(__xludf.DUMMYFUNCTION("IFERROR(VALUE(REGEXEXTRACT(TO_TEXT($F1277), N$1 &amp; ""x(\d+)"")), """")
"),"")</f>
        <v/>
      </c>
      <c r="O1277" s="9">
        <f ca="1">IFERROR(__xludf.DUMMYFUNCTION("IFERROR(VALUE(REGEXEXTRACT(TO_TEXT($F1277), O$1 &amp; ""x(\d+)"")), """")"),1)</f>
        <v>1</v>
      </c>
      <c r="P1277" s="9" t="str">
        <f ca="1">IFERROR(__xludf.DUMMYFUNCTION("IFERROR(VALUE(REGEXEXTRACT(TO_TEXT($F1277), P$1 &amp; ""x(\d+)"")), """")"),"")</f>
        <v/>
      </c>
      <c r="Q1277" s="9" t="str">
        <f ca="1">IFERROR(__xludf.DUMMYFUNCTION("IFERROR(VALUE(REGEXEXTRACT(TO_TEXT($F1277), Q$1 &amp; ""x(\d+)"")), """")"),"")</f>
        <v/>
      </c>
      <c r="R1277" s="9" t="str">
        <f ca="1">IFERROR(__xludf.DUMMYFUNCTION("IFERROR(VALUE(REGEXEXTRACT(TO_TEXT($F1277), R$1 &amp; ""x(\d+)"")), """")"),"")</f>
        <v/>
      </c>
      <c r="S1277" s="9" t="str">
        <f ca="1">IFERROR(__xludf.DUMMYFUNCTION("IFERROR(VALUE(REGEXEXTRACT(TO_TEXT($F1277), S$1 &amp; ""x(\d+)"")), """")"),"")</f>
        <v/>
      </c>
      <c r="T1277" s="9" t="str">
        <f ca="1">IFERROR(__xludf.DUMMYFUNCTION("IFERROR(VALUE(REGEXEXTRACT(TO_TEXT($F1277), T$1 &amp; ""x(\d+)"")), """")"),"")</f>
        <v/>
      </c>
      <c r="U1277" s="9" t="str">
        <f ca="1">IFERROR(__xludf.DUMMYFUNCTION("IFERROR(VALUE(REGEXEXTRACT(TO_TEXT($F1277), U$1 &amp; ""x(\d+)"")), """")"),"")</f>
        <v/>
      </c>
      <c r="V1277" s="9" t="str">
        <f ca="1">IFERROR(__xludf.DUMMYFUNCTION("IFERROR(VALUE(REGEXEXTRACT(TO_TEXT($F1277), V$1 &amp; ""x(\d+)"")), """")"),"")</f>
        <v/>
      </c>
      <c r="W1277" s="9"/>
      <c r="X1277" s="9"/>
      <c r="Y1277" s="9"/>
      <c r="Z1277" s="9"/>
    </row>
    <row r="1278" spans="1:26" ht="15.75" customHeight="1">
      <c r="A1278" s="9" t="s">
        <v>2339</v>
      </c>
      <c r="B1278" s="9" t="s">
        <v>2340</v>
      </c>
      <c r="C1278" s="9" t="s">
        <v>2341</v>
      </c>
      <c r="D1278" s="9" t="s">
        <v>33</v>
      </c>
      <c r="E1278" s="9" t="s">
        <v>11</v>
      </c>
      <c r="F1278" s="9" t="s">
        <v>2342</v>
      </c>
      <c r="G1278" s="9">
        <v>90</v>
      </c>
      <c r="H1278" s="9">
        <v>2</v>
      </c>
      <c r="I1278" s="9">
        <v>1.0149999999999999</v>
      </c>
      <c r="J1278" s="9">
        <v>70</v>
      </c>
      <c r="K1278" s="9" t="s">
        <v>442</v>
      </c>
      <c r="L1278" s="9"/>
      <c r="M1278" s="9"/>
      <c r="N1278" s="9" t="str">
        <f ca="1">IFERROR(__xludf.DUMMYFUNCTION("IFERROR(VALUE(REGEXEXTRACT(TO_TEXT($F1278), N$1 &amp; ""x(\d+)"")), """")
"),"")</f>
        <v/>
      </c>
      <c r="O1278" s="9" t="str">
        <f ca="1">IFERROR(__xludf.DUMMYFUNCTION("IFERROR(VALUE(REGEXEXTRACT(TO_TEXT($F1278), O$1 &amp; ""x(\d+)"")), """")"),"")</f>
        <v/>
      </c>
      <c r="P1278" s="9" t="str">
        <f ca="1">IFERROR(__xludf.DUMMYFUNCTION("IFERROR(VALUE(REGEXEXTRACT(TO_TEXT($F1278), P$1 &amp; ""x(\d+)"")), """")"),"")</f>
        <v/>
      </c>
      <c r="Q1278" s="9" t="str">
        <f ca="1">IFERROR(__xludf.DUMMYFUNCTION("IFERROR(VALUE(REGEXEXTRACT(TO_TEXT($F1278), Q$1 &amp; ""x(\d+)"")), """")"),"")</f>
        <v/>
      </c>
      <c r="R1278" s="9" t="str">
        <f ca="1">IFERROR(__xludf.DUMMYFUNCTION("IFERROR(VALUE(REGEXEXTRACT(TO_TEXT($F1278), R$1 &amp; ""x(\d+)"")), """")"),"")</f>
        <v/>
      </c>
      <c r="S1278" s="9" t="str">
        <f ca="1">IFERROR(__xludf.DUMMYFUNCTION("IFERROR(VALUE(REGEXEXTRACT(TO_TEXT($F1278), S$1 &amp; ""x(\d+)"")), """")"),"")</f>
        <v/>
      </c>
      <c r="T1278" s="9" t="str">
        <f ca="1">IFERROR(__xludf.DUMMYFUNCTION("IFERROR(VALUE(REGEXEXTRACT(TO_TEXT($F1278), T$1 &amp; ""x(\d+)"")), """")"),"")</f>
        <v/>
      </c>
      <c r="U1278" s="9" t="str">
        <f ca="1">IFERROR(__xludf.DUMMYFUNCTION("IFERROR(VALUE(REGEXEXTRACT(TO_TEXT($F1278), U$1 &amp; ""x(\d+)"")), """")"),"")</f>
        <v/>
      </c>
      <c r="V1278" s="9" t="str">
        <f ca="1">IFERROR(__xludf.DUMMYFUNCTION("IFERROR(VALUE(REGEXEXTRACT(TO_TEXT($F1278), V$1 &amp; ""x(\d+)"")), """")"),"")</f>
        <v/>
      </c>
      <c r="W1278" s="9"/>
      <c r="X1278" s="9"/>
      <c r="Y1278" s="9"/>
      <c r="Z1278" s="9"/>
    </row>
    <row r="1279" spans="1:26" ht="15.75" customHeight="1">
      <c r="A1279" s="9" t="s">
        <v>2339</v>
      </c>
      <c r="B1279" s="9" t="s">
        <v>2340</v>
      </c>
      <c r="C1279" s="9" t="s">
        <v>2341</v>
      </c>
      <c r="D1279" s="9" t="s">
        <v>33</v>
      </c>
      <c r="E1279" s="9" t="s">
        <v>12</v>
      </c>
      <c r="F1279" s="9" t="s">
        <v>2343</v>
      </c>
      <c r="G1279" s="9">
        <v>110</v>
      </c>
      <c r="H1279" s="9">
        <v>2</v>
      </c>
      <c r="I1279" s="9">
        <v>1.0149999999999999</v>
      </c>
      <c r="J1279" s="9">
        <v>70</v>
      </c>
      <c r="K1279" s="9" t="s">
        <v>442</v>
      </c>
      <c r="L1279" s="9"/>
      <c r="M1279" s="9"/>
      <c r="N1279" s="9" t="str">
        <f ca="1">IFERROR(__xludf.DUMMYFUNCTION("IFERROR(VALUE(REGEXEXTRACT(TO_TEXT($F1279), N$1 &amp; ""x(\d+)"")), """")
"),"")</f>
        <v/>
      </c>
      <c r="O1279" s="9">
        <f ca="1">IFERROR(__xludf.DUMMYFUNCTION("IFERROR(VALUE(REGEXEXTRACT(TO_TEXT($F1279), O$1 &amp; ""x(\d+)"")), """")"),1)</f>
        <v>1</v>
      </c>
      <c r="P1279" s="9" t="str">
        <f ca="1">IFERROR(__xludf.DUMMYFUNCTION("IFERROR(VALUE(REGEXEXTRACT(TO_TEXT($F1279), P$1 &amp; ""x(\d+)"")), """")"),"")</f>
        <v/>
      </c>
      <c r="Q1279" s="9" t="str">
        <f ca="1">IFERROR(__xludf.DUMMYFUNCTION("IFERROR(VALUE(REGEXEXTRACT(TO_TEXT($F1279), Q$1 &amp; ""x(\d+)"")), """")"),"")</f>
        <v/>
      </c>
      <c r="R1279" s="9" t="str">
        <f ca="1">IFERROR(__xludf.DUMMYFUNCTION("IFERROR(VALUE(REGEXEXTRACT(TO_TEXT($F1279), R$1 &amp; ""x(\d+)"")), """")"),"")</f>
        <v/>
      </c>
      <c r="S1279" s="9" t="str">
        <f ca="1">IFERROR(__xludf.DUMMYFUNCTION("IFERROR(VALUE(REGEXEXTRACT(TO_TEXT($F1279), S$1 &amp; ""x(\d+)"")), """")"),"")</f>
        <v/>
      </c>
      <c r="T1279" s="9" t="str">
        <f ca="1">IFERROR(__xludf.DUMMYFUNCTION("IFERROR(VALUE(REGEXEXTRACT(TO_TEXT($F1279), T$1 &amp; ""x(\d+)"")), """")"),"")</f>
        <v/>
      </c>
      <c r="U1279" s="9" t="str">
        <f ca="1">IFERROR(__xludf.DUMMYFUNCTION("IFERROR(VALUE(REGEXEXTRACT(TO_TEXT($F1279), U$1 &amp; ""x(\d+)"")), """")"),"")</f>
        <v/>
      </c>
      <c r="V1279" s="9" t="str">
        <f ca="1">IFERROR(__xludf.DUMMYFUNCTION("IFERROR(VALUE(REGEXEXTRACT(TO_TEXT($F1279), V$1 &amp; ""x(\d+)"")), """")"),"")</f>
        <v/>
      </c>
      <c r="W1279" s="9"/>
      <c r="X1279" s="9"/>
      <c r="Y1279" s="9"/>
      <c r="Z1279" s="9"/>
    </row>
    <row r="1280" spans="1:26" ht="15.75" customHeight="1">
      <c r="A1280" s="9" t="s">
        <v>2339</v>
      </c>
      <c r="B1280" s="9" t="s">
        <v>2340</v>
      </c>
      <c r="C1280" s="9" t="s">
        <v>2341</v>
      </c>
      <c r="D1280" s="9" t="s">
        <v>33</v>
      </c>
      <c r="E1280" s="9" t="s">
        <v>13</v>
      </c>
      <c r="F1280" s="9" t="s">
        <v>2344</v>
      </c>
      <c r="G1280" s="9">
        <v>20</v>
      </c>
      <c r="H1280" s="9">
        <v>2</v>
      </c>
      <c r="I1280" s="9">
        <v>1.0149999999999999</v>
      </c>
      <c r="J1280" s="9">
        <v>70</v>
      </c>
      <c r="K1280" s="9" t="s">
        <v>442</v>
      </c>
      <c r="L1280" s="9"/>
      <c r="M1280" s="9"/>
      <c r="N1280" s="9" t="str">
        <f ca="1">IFERROR(__xludf.DUMMYFUNCTION("IFERROR(VALUE(REGEXEXTRACT(TO_TEXT($F1280), N$1 &amp; ""x(\d+)"")), """")
"),"")</f>
        <v/>
      </c>
      <c r="O1280" s="9">
        <f ca="1">IFERROR(__xludf.DUMMYFUNCTION("IFERROR(VALUE(REGEXEXTRACT(TO_TEXT($F1280), O$1 &amp; ""x(\d+)"")), """")"),1)</f>
        <v>1</v>
      </c>
      <c r="P1280" s="9" t="str">
        <f ca="1">IFERROR(__xludf.DUMMYFUNCTION("IFERROR(VALUE(REGEXEXTRACT(TO_TEXT($F1280), P$1 &amp; ""x(\d+)"")), """")"),"")</f>
        <v/>
      </c>
      <c r="Q1280" s="9" t="str">
        <f ca="1">IFERROR(__xludf.DUMMYFUNCTION("IFERROR(VALUE(REGEXEXTRACT(TO_TEXT($F1280), Q$1 &amp; ""x(\d+)"")), """")"),"")</f>
        <v/>
      </c>
      <c r="R1280" s="9" t="str">
        <f ca="1">IFERROR(__xludf.DUMMYFUNCTION("IFERROR(VALUE(REGEXEXTRACT(TO_TEXT($F1280), R$1 &amp; ""x(\d+)"")), """")"),"")</f>
        <v/>
      </c>
      <c r="S1280" s="9" t="str">
        <f ca="1">IFERROR(__xludf.DUMMYFUNCTION("IFERROR(VALUE(REGEXEXTRACT(TO_TEXT($F1280), S$1 &amp; ""x(\d+)"")), """")"),"")</f>
        <v/>
      </c>
      <c r="T1280" s="9" t="str">
        <f ca="1">IFERROR(__xludf.DUMMYFUNCTION("IFERROR(VALUE(REGEXEXTRACT(TO_TEXT($F1280), T$1 &amp; ""x(\d+)"")), """")"),"")</f>
        <v/>
      </c>
      <c r="U1280" s="9" t="str">
        <f ca="1">IFERROR(__xludf.DUMMYFUNCTION("IFERROR(VALUE(REGEXEXTRACT(TO_TEXT($F1280), U$1 &amp; ""x(\d+)"")), """")"),"")</f>
        <v/>
      </c>
      <c r="V1280" s="9" t="str">
        <f ca="1">IFERROR(__xludf.DUMMYFUNCTION("IFERROR(VALUE(REGEXEXTRACT(TO_TEXT($F1280), V$1 &amp; ""x(\d+)"")), """")"),"")</f>
        <v/>
      </c>
      <c r="W1280" s="9"/>
      <c r="X1280" s="9"/>
      <c r="Y1280" s="9"/>
      <c r="Z1280" s="9"/>
    </row>
    <row r="1281" spans="1:26" ht="15.75" customHeight="1">
      <c r="A1281" s="9" t="s">
        <v>2345</v>
      </c>
      <c r="B1281" s="9" t="s">
        <v>2340</v>
      </c>
      <c r="C1281" s="9" t="s">
        <v>2346</v>
      </c>
      <c r="D1281" s="9" t="s">
        <v>33</v>
      </c>
      <c r="E1281" s="9" t="s">
        <v>11</v>
      </c>
      <c r="F1281" s="9" t="s">
        <v>2342</v>
      </c>
      <c r="G1281" s="9">
        <v>90</v>
      </c>
      <c r="H1281" s="9">
        <v>2</v>
      </c>
      <c r="I1281" s="9">
        <v>1.0149999999999999</v>
      </c>
      <c r="J1281" s="9">
        <v>70</v>
      </c>
      <c r="K1281" s="9" t="s">
        <v>442</v>
      </c>
      <c r="L1281" s="9"/>
      <c r="M1281" s="9"/>
      <c r="N1281" s="9" t="str">
        <f ca="1">IFERROR(__xludf.DUMMYFUNCTION("IFERROR(VALUE(REGEXEXTRACT(TO_TEXT($F1281), N$1 &amp; ""x(\d+)"")), """")
"),"")</f>
        <v/>
      </c>
      <c r="O1281" s="9" t="str">
        <f ca="1">IFERROR(__xludf.DUMMYFUNCTION("IFERROR(VALUE(REGEXEXTRACT(TO_TEXT($F1281), O$1 &amp; ""x(\d+)"")), """")"),"")</f>
        <v/>
      </c>
      <c r="P1281" s="9" t="str">
        <f ca="1">IFERROR(__xludf.DUMMYFUNCTION("IFERROR(VALUE(REGEXEXTRACT(TO_TEXT($F1281), P$1 &amp; ""x(\d+)"")), """")"),"")</f>
        <v/>
      </c>
      <c r="Q1281" s="9" t="str">
        <f ca="1">IFERROR(__xludf.DUMMYFUNCTION("IFERROR(VALUE(REGEXEXTRACT(TO_TEXT($F1281), Q$1 &amp; ""x(\d+)"")), """")"),"")</f>
        <v/>
      </c>
      <c r="R1281" s="9" t="str">
        <f ca="1">IFERROR(__xludf.DUMMYFUNCTION("IFERROR(VALUE(REGEXEXTRACT(TO_TEXT($F1281), R$1 &amp; ""x(\d+)"")), """")"),"")</f>
        <v/>
      </c>
      <c r="S1281" s="9" t="str">
        <f ca="1">IFERROR(__xludf.DUMMYFUNCTION("IFERROR(VALUE(REGEXEXTRACT(TO_TEXT($F1281), S$1 &amp; ""x(\d+)"")), """")"),"")</f>
        <v/>
      </c>
      <c r="T1281" s="9" t="str">
        <f ca="1">IFERROR(__xludf.DUMMYFUNCTION("IFERROR(VALUE(REGEXEXTRACT(TO_TEXT($F1281), T$1 &amp; ""x(\d+)"")), """")"),"")</f>
        <v/>
      </c>
      <c r="U1281" s="9" t="str">
        <f ca="1">IFERROR(__xludf.DUMMYFUNCTION("IFERROR(VALUE(REGEXEXTRACT(TO_TEXT($F1281), U$1 &amp; ""x(\d+)"")), """")"),"")</f>
        <v/>
      </c>
      <c r="V1281" s="9" t="str">
        <f ca="1">IFERROR(__xludf.DUMMYFUNCTION("IFERROR(VALUE(REGEXEXTRACT(TO_TEXT($F1281), V$1 &amp; ""x(\d+)"")), """")"),"")</f>
        <v/>
      </c>
      <c r="W1281" s="9"/>
      <c r="X1281" s="9"/>
      <c r="Y1281" s="9"/>
      <c r="Z1281" s="9"/>
    </row>
    <row r="1282" spans="1:26" ht="15.75" customHeight="1">
      <c r="A1282" s="9" t="s">
        <v>2345</v>
      </c>
      <c r="B1282" s="9" t="s">
        <v>2340</v>
      </c>
      <c r="C1282" s="9" t="s">
        <v>2346</v>
      </c>
      <c r="D1282" s="9" t="s">
        <v>33</v>
      </c>
      <c r="E1282" s="9" t="s">
        <v>12</v>
      </c>
      <c r="F1282" s="9" t="s">
        <v>2343</v>
      </c>
      <c r="G1282" s="9">
        <v>110</v>
      </c>
      <c r="H1282" s="9">
        <v>2</v>
      </c>
      <c r="I1282" s="9">
        <v>1.0149999999999999</v>
      </c>
      <c r="J1282" s="9">
        <v>70</v>
      </c>
      <c r="K1282" s="9" t="s">
        <v>442</v>
      </c>
      <c r="L1282" s="9"/>
      <c r="M1282" s="9"/>
      <c r="N1282" s="9" t="str">
        <f ca="1">IFERROR(__xludf.DUMMYFUNCTION("IFERROR(VALUE(REGEXEXTRACT(TO_TEXT($F1282), N$1 &amp; ""x(\d+)"")), """")
"),"")</f>
        <v/>
      </c>
      <c r="O1282" s="9">
        <f ca="1">IFERROR(__xludf.DUMMYFUNCTION("IFERROR(VALUE(REGEXEXTRACT(TO_TEXT($F1282), O$1 &amp; ""x(\d+)"")), """")"),1)</f>
        <v>1</v>
      </c>
      <c r="P1282" s="9" t="str">
        <f ca="1">IFERROR(__xludf.DUMMYFUNCTION("IFERROR(VALUE(REGEXEXTRACT(TO_TEXT($F1282), P$1 &amp; ""x(\d+)"")), """")"),"")</f>
        <v/>
      </c>
      <c r="Q1282" s="9" t="str">
        <f ca="1">IFERROR(__xludf.DUMMYFUNCTION("IFERROR(VALUE(REGEXEXTRACT(TO_TEXT($F1282), Q$1 &amp; ""x(\d+)"")), """")"),"")</f>
        <v/>
      </c>
      <c r="R1282" s="9" t="str">
        <f ca="1">IFERROR(__xludf.DUMMYFUNCTION("IFERROR(VALUE(REGEXEXTRACT(TO_TEXT($F1282), R$1 &amp; ""x(\d+)"")), """")"),"")</f>
        <v/>
      </c>
      <c r="S1282" s="9" t="str">
        <f ca="1">IFERROR(__xludf.DUMMYFUNCTION("IFERROR(VALUE(REGEXEXTRACT(TO_TEXT($F1282), S$1 &amp; ""x(\d+)"")), """")"),"")</f>
        <v/>
      </c>
      <c r="T1282" s="9" t="str">
        <f ca="1">IFERROR(__xludf.DUMMYFUNCTION("IFERROR(VALUE(REGEXEXTRACT(TO_TEXT($F1282), T$1 &amp; ""x(\d+)"")), """")"),"")</f>
        <v/>
      </c>
      <c r="U1282" s="9" t="str">
        <f ca="1">IFERROR(__xludf.DUMMYFUNCTION("IFERROR(VALUE(REGEXEXTRACT(TO_TEXT($F1282), U$1 &amp; ""x(\d+)"")), """")"),"")</f>
        <v/>
      </c>
      <c r="V1282" s="9" t="str">
        <f ca="1">IFERROR(__xludf.DUMMYFUNCTION("IFERROR(VALUE(REGEXEXTRACT(TO_TEXT($F1282), V$1 &amp; ""x(\d+)"")), """")"),"")</f>
        <v/>
      </c>
      <c r="W1282" s="9"/>
      <c r="X1282" s="9"/>
      <c r="Y1282" s="9"/>
      <c r="Z1282" s="9"/>
    </row>
    <row r="1283" spans="1:26" ht="15.75" customHeight="1">
      <c r="A1283" s="9" t="s">
        <v>2345</v>
      </c>
      <c r="B1283" s="9" t="s">
        <v>2340</v>
      </c>
      <c r="C1283" s="9" t="s">
        <v>2346</v>
      </c>
      <c r="D1283" s="9" t="s">
        <v>33</v>
      </c>
      <c r="E1283" s="9" t="s">
        <v>13</v>
      </c>
      <c r="F1283" s="9" t="s">
        <v>2344</v>
      </c>
      <c r="G1283" s="9">
        <v>20</v>
      </c>
      <c r="H1283" s="9">
        <v>2</v>
      </c>
      <c r="I1283" s="9">
        <v>1.0149999999999999</v>
      </c>
      <c r="J1283" s="9">
        <v>70</v>
      </c>
      <c r="K1283" s="9" t="s">
        <v>442</v>
      </c>
      <c r="L1283" s="9"/>
      <c r="M1283" s="9"/>
      <c r="N1283" s="9" t="str">
        <f ca="1">IFERROR(__xludf.DUMMYFUNCTION("IFERROR(VALUE(REGEXEXTRACT(TO_TEXT($F1283), N$1 &amp; ""x(\d+)"")), """")
"),"")</f>
        <v/>
      </c>
      <c r="O1283" s="9">
        <f ca="1">IFERROR(__xludf.DUMMYFUNCTION("IFERROR(VALUE(REGEXEXTRACT(TO_TEXT($F1283), O$1 &amp; ""x(\d+)"")), """")"),1)</f>
        <v>1</v>
      </c>
      <c r="P1283" s="9" t="str">
        <f ca="1">IFERROR(__xludf.DUMMYFUNCTION("IFERROR(VALUE(REGEXEXTRACT(TO_TEXT($F1283), P$1 &amp; ""x(\d+)"")), """")"),"")</f>
        <v/>
      </c>
      <c r="Q1283" s="9" t="str">
        <f ca="1">IFERROR(__xludf.DUMMYFUNCTION("IFERROR(VALUE(REGEXEXTRACT(TO_TEXT($F1283), Q$1 &amp; ""x(\d+)"")), """")"),"")</f>
        <v/>
      </c>
      <c r="R1283" s="9" t="str">
        <f ca="1">IFERROR(__xludf.DUMMYFUNCTION("IFERROR(VALUE(REGEXEXTRACT(TO_TEXT($F1283), R$1 &amp; ""x(\d+)"")), """")"),"")</f>
        <v/>
      </c>
      <c r="S1283" s="9" t="str">
        <f ca="1">IFERROR(__xludf.DUMMYFUNCTION("IFERROR(VALUE(REGEXEXTRACT(TO_TEXT($F1283), S$1 &amp; ""x(\d+)"")), """")"),"")</f>
        <v/>
      </c>
      <c r="T1283" s="9" t="str">
        <f ca="1">IFERROR(__xludf.DUMMYFUNCTION("IFERROR(VALUE(REGEXEXTRACT(TO_TEXT($F1283), T$1 &amp; ""x(\d+)"")), """")"),"")</f>
        <v/>
      </c>
      <c r="U1283" s="9" t="str">
        <f ca="1">IFERROR(__xludf.DUMMYFUNCTION("IFERROR(VALUE(REGEXEXTRACT(TO_TEXT($F1283), U$1 &amp; ""x(\d+)"")), """")"),"")</f>
        <v/>
      </c>
      <c r="V1283" s="9" t="str">
        <f ca="1">IFERROR(__xludf.DUMMYFUNCTION("IFERROR(VALUE(REGEXEXTRACT(TO_TEXT($F1283), V$1 &amp; ""x(\d+)"")), """")"),"")</f>
        <v/>
      </c>
      <c r="W1283" s="9"/>
      <c r="X1283" s="9"/>
      <c r="Y1283" s="9"/>
      <c r="Z1283" s="9"/>
    </row>
    <row r="1284" spans="1:26" ht="15.75" customHeight="1">
      <c r="A1284" s="9" t="s">
        <v>2347</v>
      </c>
      <c r="B1284" s="9" t="s">
        <v>2348</v>
      </c>
      <c r="C1284" s="9" t="s">
        <v>2349</v>
      </c>
      <c r="D1284" s="9" t="s">
        <v>33</v>
      </c>
      <c r="E1284" s="9" t="s">
        <v>11</v>
      </c>
      <c r="F1284" s="9" t="s">
        <v>2350</v>
      </c>
      <c r="G1284" s="9">
        <v>30</v>
      </c>
      <c r="H1284" s="9">
        <v>5</v>
      </c>
      <c r="I1284" s="9">
        <v>1.0149999999999999</v>
      </c>
      <c r="J1284" s="9">
        <v>110</v>
      </c>
      <c r="K1284" s="9" t="s">
        <v>442</v>
      </c>
      <c r="L1284" s="9"/>
      <c r="M1284" s="9"/>
      <c r="N1284" s="9" t="str">
        <f ca="1">IFERROR(__xludf.DUMMYFUNCTION("IFERROR(VALUE(REGEXEXTRACT(TO_TEXT($F1284), N$1 &amp; ""x(\d+)"")), """")
"),"")</f>
        <v/>
      </c>
      <c r="O1284" s="9" t="str">
        <f ca="1">IFERROR(__xludf.DUMMYFUNCTION("IFERROR(VALUE(REGEXEXTRACT(TO_TEXT($F1284), O$1 &amp; ""x(\d+)"")), """")"),"")</f>
        <v/>
      </c>
      <c r="P1284" s="9" t="str">
        <f ca="1">IFERROR(__xludf.DUMMYFUNCTION("IFERROR(VALUE(REGEXEXTRACT(TO_TEXT($F1284), P$1 &amp; ""x(\d+)"")), """")"),"")</f>
        <v/>
      </c>
      <c r="Q1284" s="9" t="str">
        <f ca="1">IFERROR(__xludf.DUMMYFUNCTION("IFERROR(VALUE(REGEXEXTRACT(TO_TEXT($F1284), Q$1 &amp; ""x(\d+)"")), """")"),"")</f>
        <v/>
      </c>
      <c r="R1284" s="9" t="str">
        <f ca="1">IFERROR(__xludf.DUMMYFUNCTION("IFERROR(VALUE(REGEXEXTRACT(TO_TEXT($F1284), R$1 &amp; ""x(\d+)"")), """")"),"")</f>
        <v/>
      </c>
      <c r="S1284" s="9" t="str">
        <f ca="1">IFERROR(__xludf.DUMMYFUNCTION("IFERROR(VALUE(REGEXEXTRACT(TO_TEXT($F1284), S$1 &amp; ""x(\d+)"")), """")"),"")</f>
        <v/>
      </c>
      <c r="T1284" s="9" t="str">
        <f ca="1">IFERROR(__xludf.DUMMYFUNCTION("IFERROR(VALUE(REGEXEXTRACT(TO_TEXT($F1284), T$1 &amp; ""x(\d+)"")), """")"),"")</f>
        <v/>
      </c>
      <c r="U1284" s="9" t="str">
        <f ca="1">IFERROR(__xludf.DUMMYFUNCTION("IFERROR(VALUE(REGEXEXTRACT(TO_TEXT($F1284), U$1 &amp; ""x(\d+)"")), """")"),"")</f>
        <v/>
      </c>
      <c r="V1284" s="9" t="str">
        <f ca="1">IFERROR(__xludf.DUMMYFUNCTION("IFERROR(VALUE(REGEXEXTRACT(TO_TEXT($F1284), V$1 &amp; ""x(\d+)"")), """")"),"")</f>
        <v/>
      </c>
      <c r="W1284" s="9"/>
      <c r="X1284" s="9"/>
      <c r="Y1284" s="9"/>
      <c r="Z1284" s="9"/>
    </row>
    <row r="1285" spans="1:26" ht="15.75" customHeight="1">
      <c r="A1285" s="9" t="s">
        <v>2347</v>
      </c>
      <c r="B1285" s="9" t="s">
        <v>2348</v>
      </c>
      <c r="C1285" s="9" t="s">
        <v>2349</v>
      </c>
      <c r="D1285" s="9" t="s">
        <v>33</v>
      </c>
      <c r="E1285" s="9" t="s">
        <v>12</v>
      </c>
      <c r="F1285" s="9" t="s">
        <v>2351</v>
      </c>
      <c r="G1285" s="9">
        <v>95</v>
      </c>
      <c r="H1285" s="9">
        <v>5</v>
      </c>
      <c r="I1285" s="9">
        <v>1.0149999999999999</v>
      </c>
      <c r="J1285" s="9">
        <v>110</v>
      </c>
      <c r="K1285" s="9" t="s">
        <v>442</v>
      </c>
      <c r="L1285" s="9"/>
      <c r="M1285" s="9"/>
      <c r="N1285" s="9" t="str">
        <f ca="1">IFERROR(__xludf.DUMMYFUNCTION("IFERROR(VALUE(REGEXEXTRACT(TO_TEXT($F1285), N$1 &amp; ""x(\d+)"")), """")
"),"")</f>
        <v/>
      </c>
      <c r="O1285" s="9">
        <f ca="1">IFERROR(__xludf.DUMMYFUNCTION("IFERROR(VALUE(REGEXEXTRACT(TO_TEXT($F1285), O$1 &amp; ""x(\d+)"")), """")"),1)</f>
        <v>1</v>
      </c>
      <c r="P1285" s="9" t="str">
        <f ca="1">IFERROR(__xludf.DUMMYFUNCTION("IFERROR(VALUE(REGEXEXTRACT(TO_TEXT($F1285), P$1 &amp; ""x(\d+)"")), """")"),"")</f>
        <v/>
      </c>
      <c r="Q1285" s="9" t="str">
        <f ca="1">IFERROR(__xludf.DUMMYFUNCTION("IFERROR(VALUE(REGEXEXTRACT(TO_TEXT($F1285), Q$1 &amp; ""x(\d+)"")), """")"),"")</f>
        <v/>
      </c>
      <c r="R1285" s="9" t="str">
        <f ca="1">IFERROR(__xludf.DUMMYFUNCTION("IFERROR(VALUE(REGEXEXTRACT(TO_TEXT($F1285), R$1 &amp; ""x(\d+)"")), """")"),"")</f>
        <v/>
      </c>
      <c r="S1285" s="9" t="str">
        <f ca="1">IFERROR(__xludf.DUMMYFUNCTION("IFERROR(VALUE(REGEXEXTRACT(TO_TEXT($F1285), S$1 &amp; ""x(\d+)"")), """")"),"")</f>
        <v/>
      </c>
      <c r="T1285" s="9" t="str">
        <f ca="1">IFERROR(__xludf.DUMMYFUNCTION("IFERROR(VALUE(REGEXEXTRACT(TO_TEXT($F1285), T$1 &amp; ""x(\d+)"")), """")"),"")</f>
        <v/>
      </c>
      <c r="U1285" s="9" t="str">
        <f ca="1">IFERROR(__xludf.DUMMYFUNCTION("IFERROR(VALUE(REGEXEXTRACT(TO_TEXT($F1285), U$1 &amp; ""x(\d+)"")), """")"),"")</f>
        <v/>
      </c>
      <c r="V1285" s="9" t="str">
        <f ca="1">IFERROR(__xludf.DUMMYFUNCTION("IFERROR(VALUE(REGEXEXTRACT(TO_TEXT($F1285), V$1 &amp; ""x(\d+)"")), """")"),"")</f>
        <v/>
      </c>
      <c r="W1285" s="9"/>
      <c r="X1285" s="9"/>
      <c r="Y1285" s="9"/>
      <c r="Z1285" s="9"/>
    </row>
    <row r="1286" spans="1:26" ht="15.75" customHeight="1">
      <c r="A1286" s="9" t="s">
        <v>2347</v>
      </c>
      <c r="B1286" s="9" t="s">
        <v>2348</v>
      </c>
      <c r="C1286" s="9" t="s">
        <v>2349</v>
      </c>
      <c r="D1286" s="9" t="s">
        <v>33</v>
      </c>
      <c r="E1286" s="9" t="s">
        <v>13</v>
      </c>
      <c r="F1286" s="9" t="s">
        <v>2352</v>
      </c>
      <c r="G1286" s="9">
        <v>30</v>
      </c>
      <c r="H1286" s="9">
        <v>5</v>
      </c>
      <c r="I1286" s="9">
        <v>1.0149999999999999</v>
      </c>
      <c r="J1286" s="9">
        <v>110</v>
      </c>
      <c r="K1286" s="9" t="s">
        <v>442</v>
      </c>
      <c r="L1286" s="9"/>
      <c r="M1286" s="9"/>
      <c r="N1286" s="9" t="str">
        <f ca="1">IFERROR(__xludf.DUMMYFUNCTION("IFERROR(VALUE(REGEXEXTRACT(TO_TEXT($F1286), N$1 &amp; ""x(\d+)"")), """")
"),"")</f>
        <v/>
      </c>
      <c r="O1286" s="9">
        <f ca="1">IFERROR(__xludf.DUMMYFUNCTION("IFERROR(VALUE(REGEXEXTRACT(TO_TEXT($F1286), O$1 &amp; ""x(\d+)"")), """")"),1)</f>
        <v>1</v>
      </c>
      <c r="P1286" s="9" t="str">
        <f ca="1">IFERROR(__xludf.DUMMYFUNCTION("IFERROR(VALUE(REGEXEXTRACT(TO_TEXT($F1286), P$1 &amp; ""x(\d+)"")), """")"),"")</f>
        <v/>
      </c>
      <c r="Q1286" s="9" t="str">
        <f ca="1">IFERROR(__xludf.DUMMYFUNCTION("IFERROR(VALUE(REGEXEXTRACT(TO_TEXT($F1286), Q$1 &amp; ""x(\d+)"")), """")"),"")</f>
        <v/>
      </c>
      <c r="R1286" s="9" t="str">
        <f ca="1">IFERROR(__xludf.DUMMYFUNCTION("IFERROR(VALUE(REGEXEXTRACT(TO_TEXT($F1286), R$1 &amp; ""x(\d+)"")), """")"),"")</f>
        <v/>
      </c>
      <c r="S1286" s="9" t="str">
        <f ca="1">IFERROR(__xludf.DUMMYFUNCTION("IFERROR(VALUE(REGEXEXTRACT(TO_TEXT($F1286), S$1 &amp; ""x(\d+)"")), """")"),"")</f>
        <v/>
      </c>
      <c r="T1286" s="9" t="str">
        <f ca="1">IFERROR(__xludf.DUMMYFUNCTION("IFERROR(VALUE(REGEXEXTRACT(TO_TEXT($F1286), T$1 &amp; ""x(\d+)"")), """")"),"")</f>
        <v/>
      </c>
      <c r="U1286" s="9" t="str">
        <f ca="1">IFERROR(__xludf.DUMMYFUNCTION("IFERROR(VALUE(REGEXEXTRACT(TO_TEXT($F1286), U$1 &amp; ""x(\d+)"")), """")"),"")</f>
        <v/>
      </c>
      <c r="V1286" s="9" t="str">
        <f ca="1">IFERROR(__xludf.DUMMYFUNCTION("IFERROR(VALUE(REGEXEXTRACT(TO_TEXT($F1286), V$1 &amp; ""x(\d+)"")), """")"),"")</f>
        <v/>
      </c>
      <c r="W1286" s="9"/>
      <c r="X1286" s="9"/>
      <c r="Y1286" s="9"/>
      <c r="Z1286" s="9"/>
    </row>
    <row r="1287" spans="1:26" ht="15.75" customHeight="1">
      <c r="A1287" s="9" t="s">
        <v>2353</v>
      </c>
      <c r="B1287" s="9" t="s">
        <v>2348</v>
      </c>
      <c r="C1287" s="9" t="s">
        <v>2354</v>
      </c>
      <c r="D1287" s="9" t="s">
        <v>33</v>
      </c>
      <c r="E1287" s="9" t="s">
        <v>11</v>
      </c>
      <c r="F1287" s="9" t="s">
        <v>1260</v>
      </c>
      <c r="G1287" s="9">
        <v>25</v>
      </c>
      <c r="H1287" s="9">
        <v>2</v>
      </c>
      <c r="I1287" s="9">
        <v>1.0149999999999999</v>
      </c>
      <c r="J1287" s="9">
        <v>110</v>
      </c>
      <c r="K1287" s="9" t="s">
        <v>442</v>
      </c>
      <c r="L1287" s="9"/>
      <c r="M1287" s="9"/>
      <c r="N1287" s="9" t="str">
        <f ca="1">IFERROR(__xludf.DUMMYFUNCTION("IFERROR(VALUE(REGEXEXTRACT(TO_TEXT($F1287), N$1 &amp; ""x(\d+)"")), """")
"),"")</f>
        <v/>
      </c>
      <c r="O1287" s="9" t="str">
        <f ca="1">IFERROR(__xludf.DUMMYFUNCTION("IFERROR(VALUE(REGEXEXTRACT(TO_TEXT($F1287), O$1 &amp; ""x(\d+)"")), """")"),"")</f>
        <v/>
      </c>
      <c r="P1287" s="9" t="str">
        <f ca="1">IFERROR(__xludf.DUMMYFUNCTION("IFERROR(VALUE(REGEXEXTRACT(TO_TEXT($F1287), P$1 &amp; ""x(\d+)"")), """")"),"")</f>
        <v/>
      </c>
      <c r="Q1287" s="9" t="str">
        <f ca="1">IFERROR(__xludf.DUMMYFUNCTION("IFERROR(VALUE(REGEXEXTRACT(TO_TEXT($F1287), Q$1 &amp; ""x(\d+)"")), """")"),"")</f>
        <v/>
      </c>
      <c r="R1287" s="9" t="str">
        <f ca="1">IFERROR(__xludf.DUMMYFUNCTION("IFERROR(VALUE(REGEXEXTRACT(TO_TEXT($F1287), R$1 &amp; ""x(\d+)"")), """")"),"")</f>
        <v/>
      </c>
      <c r="S1287" s="9" t="str">
        <f ca="1">IFERROR(__xludf.DUMMYFUNCTION("IFERROR(VALUE(REGEXEXTRACT(TO_TEXT($F1287), S$1 &amp; ""x(\d+)"")), """")"),"")</f>
        <v/>
      </c>
      <c r="T1287" s="9" t="str">
        <f ca="1">IFERROR(__xludf.DUMMYFUNCTION("IFERROR(VALUE(REGEXEXTRACT(TO_TEXT($F1287), T$1 &amp; ""x(\d+)"")), """")"),"")</f>
        <v/>
      </c>
      <c r="U1287" s="9" t="str">
        <f ca="1">IFERROR(__xludf.DUMMYFUNCTION("IFERROR(VALUE(REGEXEXTRACT(TO_TEXT($F1287), U$1 &amp; ""x(\d+)"")), """")"),"")</f>
        <v/>
      </c>
      <c r="V1287" s="9" t="str">
        <f ca="1">IFERROR(__xludf.DUMMYFUNCTION("IFERROR(VALUE(REGEXEXTRACT(TO_TEXT($F1287), V$1 &amp; ""x(\d+)"")), """")"),"")</f>
        <v/>
      </c>
      <c r="W1287" s="9"/>
      <c r="X1287" s="9"/>
      <c r="Y1287" s="9"/>
      <c r="Z1287" s="9"/>
    </row>
    <row r="1288" spans="1:26" ht="15.75" customHeight="1">
      <c r="A1288" s="9" t="s">
        <v>2353</v>
      </c>
      <c r="B1288" s="9" t="s">
        <v>2348</v>
      </c>
      <c r="C1288" s="9" t="s">
        <v>2354</v>
      </c>
      <c r="D1288" s="9" t="s">
        <v>33</v>
      </c>
      <c r="E1288" s="9" t="s">
        <v>12</v>
      </c>
      <c r="F1288" s="9" t="s">
        <v>2355</v>
      </c>
      <c r="G1288" s="9">
        <v>95</v>
      </c>
      <c r="H1288" s="9">
        <v>2</v>
      </c>
      <c r="I1288" s="9">
        <v>1.0149999999999999</v>
      </c>
      <c r="J1288" s="9">
        <v>110</v>
      </c>
      <c r="K1288" s="9" t="s">
        <v>442</v>
      </c>
      <c r="L1288" s="9"/>
      <c r="M1288" s="9"/>
      <c r="N1288" s="9" t="str">
        <f ca="1">IFERROR(__xludf.DUMMYFUNCTION("IFERROR(VALUE(REGEXEXTRACT(TO_TEXT($F1288), N$1 &amp; ""x(\d+)"")), """")
"),"")</f>
        <v/>
      </c>
      <c r="O1288" s="9">
        <f ca="1">IFERROR(__xludf.DUMMYFUNCTION("IFERROR(VALUE(REGEXEXTRACT(TO_TEXT($F1288), O$1 &amp; ""x(\d+)"")), """")"),1)</f>
        <v>1</v>
      </c>
      <c r="P1288" s="9" t="str">
        <f ca="1">IFERROR(__xludf.DUMMYFUNCTION("IFERROR(VALUE(REGEXEXTRACT(TO_TEXT($F1288), P$1 &amp; ""x(\d+)"")), """")"),"")</f>
        <v/>
      </c>
      <c r="Q1288" s="9" t="str">
        <f ca="1">IFERROR(__xludf.DUMMYFUNCTION("IFERROR(VALUE(REGEXEXTRACT(TO_TEXT($F1288), Q$1 &amp; ""x(\d+)"")), """")"),"")</f>
        <v/>
      </c>
      <c r="R1288" s="9" t="str">
        <f ca="1">IFERROR(__xludf.DUMMYFUNCTION("IFERROR(VALUE(REGEXEXTRACT(TO_TEXT($F1288), R$1 &amp; ""x(\d+)"")), """")"),"")</f>
        <v/>
      </c>
      <c r="S1288" s="9" t="str">
        <f ca="1">IFERROR(__xludf.DUMMYFUNCTION("IFERROR(VALUE(REGEXEXTRACT(TO_TEXT($F1288), S$1 &amp; ""x(\d+)"")), """")"),"")</f>
        <v/>
      </c>
      <c r="T1288" s="9" t="str">
        <f ca="1">IFERROR(__xludf.DUMMYFUNCTION("IFERROR(VALUE(REGEXEXTRACT(TO_TEXT($F1288), T$1 &amp; ""x(\d+)"")), """")"),"")</f>
        <v/>
      </c>
      <c r="U1288" s="9" t="str">
        <f ca="1">IFERROR(__xludf.DUMMYFUNCTION("IFERROR(VALUE(REGEXEXTRACT(TO_TEXT($F1288), U$1 &amp; ""x(\d+)"")), """")"),"")</f>
        <v/>
      </c>
      <c r="V1288" s="9" t="str">
        <f ca="1">IFERROR(__xludf.DUMMYFUNCTION("IFERROR(VALUE(REGEXEXTRACT(TO_TEXT($F1288), V$1 &amp; ""x(\d+)"")), """")"),"")</f>
        <v/>
      </c>
      <c r="W1288" s="9"/>
      <c r="X1288" s="9"/>
      <c r="Y1288" s="9"/>
      <c r="Z1288" s="9"/>
    </row>
    <row r="1289" spans="1:26" ht="15.75" customHeight="1">
      <c r="A1289" s="9" t="s">
        <v>2353</v>
      </c>
      <c r="B1289" s="9" t="s">
        <v>2348</v>
      </c>
      <c r="C1289" s="9" t="s">
        <v>2354</v>
      </c>
      <c r="D1289" s="9" t="s">
        <v>33</v>
      </c>
      <c r="E1289" s="9" t="s">
        <v>13</v>
      </c>
      <c r="F1289" s="9" t="s">
        <v>2344</v>
      </c>
      <c r="G1289" s="9">
        <v>20</v>
      </c>
      <c r="H1289" s="9">
        <v>2</v>
      </c>
      <c r="I1289" s="9">
        <v>1.0149999999999999</v>
      </c>
      <c r="J1289" s="9">
        <v>110</v>
      </c>
      <c r="K1289" s="9" t="s">
        <v>442</v>
      </c>
      <c r="L1289" s="9"/>
      <c r="M1289" s="9"/>
      <c r="N1289" s="9" t="str">
        <f ca="1">IFERROR(__xludf.DUMMYFUNCTION("IFERROR(VALUE(REGEXEXTRACT(TO_TEXT($F1289), N$1 &amp; ""x(\d+)"")), """")
"),"")</f>
        <v/>
      </c>
      <c r="O1289" s="9">
        <f ca="1">IFERROR(__xludf.DUMMYFUNCTION("IFERROR(VALUE(REGEXEXTRACT(TO_TEXT($F1289), O$1 &amp; ""x(\d+)"")), """")"),1)</f>
        <v>1</v>
      </c>
      <c r="P1289" s="9" t="str">
        <f ca="1">IFERROR(__xludf.DUMMYFUNCTION("IFERROR(VALUE(REGEXEXTRACT(TO_TEXT($F1289), P$1 &amp; ""x(\d+)"")), """")"),"")</f>
        <v/>
      </c>
      <c r="Q1289" s="9" t="str">
        <f ca="1">IFERROR(__xludf.DUMMYFUNCTION("IFERROR(VALUE(REGEXEXTRACT(TO_TEXT($F1289), Q$1 &amp; ""x(\d+)"")), """")"),"")</f>
        <v/>
      </c>
      <c r="R1289" s="9" t="str">
        <f ca="1">IFERROR(__xludf.DUMMYFUNCTION("IFERROR(VALUE(REGEXEXTRACT(TO_TEXT($F1289), R$1 &amp; ""x(\d+)"")), """")"),"")</f>
        <v/>
      </c>
      <c r="S1289" s="9" t="str">
        <f ca="1">IFERROR(__xludf.DUMMYFUNCTION("IFERROR(VALUE(REGEXEXTRACT(TO_TEXT($F1289), S$1 &amp; ""x(\d+)"")), """")"),"")</f>
        <v/>
      </c>
      <c r="T1289" s="9" t="str">
        <f ca="1">IFERROR(__xludf.DUMMYFUNCTION("IFERROR(VALUE(REGEXEXTRACT(TO_TEXT($F1289), T$1 &amp; ""x(\d+)"")), """")"),"")</f>
        <v/>
      </c>
      <c r="U1289" s="9" t="str">
        <f ca="1">IFERROR(__xludf.DUMMYFUNCTION("IFERROR(VALUE(REGEXEXTRACT(TO_TEXT($F1289), U$1 &amp; ""x(\d+)"")), """")"),"")</f>
        <v/>
      </c>
      <c r="V1289" s="9" t="str">
        <f ca="1">IFERROR(__xludf.DUMMYFUNCTION("IFERROR(VALUE(REGEXEXTRACT(TO_TEXT($F1289), V$1 &amp; ""x(\d+)"")), """")"),"")</f>
        <v/>
      </c>
      <c r="W1289" s="9"/>
      <c r="X1289" s="9"/>
      <c r="Y1289" s="9"/>
      <c r="Z1289" s="9"/>
    </row>
    <row r="1290" spans="1:26" ht="15.75" customHeight="1">
      <c r="A1290" s="9" t="s">
        <v>2356</v>
      </c>
      <c r="B1290" s="9" t="s">
        <v>2357</v>
      </c>
      <c r="C1290" s="9" t="s">
        <v>2358</v>
      </c>
      <c r="D1290" s="9" t="s">
        <v>48</v>
      </c>
      <c r="E1290" s="9" t="s">
        <v>11</v>
      </c>
      <c r="F1290" s="9" t="s">
        <v>1224</v>
      </c>
      <c r="G1290" s="9">
        <v>25</v>
      </c>
      <c r="H1290" s="9">
        <v>3</v>
      </c>
      <c r="I1290" s="9">
        <v>1.0149999999999999</v>
      </c>
      <c r="J1290" s="9">
        <v>52</v>
      </c>
      <c r="K1290" s="9" t="s">
        <v>424</v>
      </c>
      <c r="L1290" s="9"/>
      <c r="M1290" s="9"/>
      <c r="N1290" s="9" t="str">
        <f ca="1">IFERROR(__xludf.DUMMYFUNCTION("IFERROR(VALUE(REGEXEXTRACT(TO_TEXT($F1290), N$1 &amp; ""x(\d+)"")), """")
"),"")</f>
        <v/>
      </c>
      <c r="O1290" s="9" t="str">
        <f ca="1">IFERROR(__xludf.DUMMYFUNCTION("IFERROR(VALUE(REGEXEXTRACT(TO_TEXT($F1290), O$1 &amp; ""x(\d+)"")), """")"),"")</f>
        <v/>
      </c>
      <c r="P1290" s="9" t="str">
        <f ca="1">IFERROR(__xludf.DUMMYFUNCTION("IFERROR(VALUE(REGEXEXTRACT(TO_TEXT($F1290), P$1 &amp; ""x(\d+)"")), """")"),"")</f>
        <v/>
      </c>
      <c r="Q1290" s="9" t="str">
        <f ca="1">IFERROR(__xludf.DUMMYFUNCTION("IFERROR(VALUE(REGEXEXTRACT(TO_TEXT($F1290), Q$1 &amp; ""x(\d+)"")), """")"),"")</f>
        <v/>
      </c>
      <c r="R1290" s="9" t="str">
        <f ca="1">IFERROR(__xludf.DUMMYFUNCTION("IFERROR(VALUE(REGEXEXTRACT(TO_TEXT($F1290), R$1 &amp; ""x(\d+)"")), """")"),"")</f>
        <v/>
      </c>
      <c r="S1290" s="9" t="str">
        <f ca="1">IFERROR(__xludf.DUMMYFUNCTION("IFERROR(VALUE(REGEXEXTRACT(TO_TEXT($F1290), S$1 &amp; ""x(\d+)"")), """")"),"")</f>
        <v/>
      </c>
      <c r="T1290" s="9" t="str">
        <f ca="1">IFERROR(__xludf.DUMMYFUNCTION("IFERROR(VALUE(REGEXEXTRACT(TO_TEXT($F1290), T$1 &amp; ""x(\d+)"")), """")"),"")</f>
        <v/>
      </c>
      <c r="U1290" s="9" t="str">
        <f ca="1">IFERROR(__xludf.DUMMYFUNCTION("IFERROR(VALUE(REGEXEXTRACT(TO_TEXT($F1290), U$1 &amp; ""x(\d+)"")), """")"),"")</f>
        <v/>
      </c>
      <c r="V1290" s="9" t="str">
        <f ca="1">IFERROR(__xludf.DUMMYFUNCTION("IFERROR(VALUE(REGEXEXTRACT(TO_TEXT($F1290), V$1 &amp; ""x(\d+)"")), """")"),"")</f>
        <v/>
      </c>
      <c r="W1290" s="9"/>
      <c r="X1290" s="9"/>
      <c r="Y1290" s="9"/>
      <c r="Z1290" s="9"/>
    </row>
    <row r="1291" spans="1:26" ht="15.75" customHeight="1">
      <c r="A1291" s="9" t="s">
        <v>2356</v>
      </c>
      <c r="B1291" s="9" t="s">
        <v>2357</v>
      </c>
      <c r="C1291" s="9" t="s">
        <v>2358</v>
      </c>
      <c r="D1291" s="9" t="s">
        <v>48</v>
      </c>
      <c r="E1291" s="9" t="s">
        <v>12</v>
      </c>
      <c r="F1291" s="9" t="s">
        <v>2359</v>
      </c>
      <c r="G1291" s="9">
        <v>125</v>
      </c>
      <c r="H1291" s="9">
        <v>3</v>
      </c>
      <c r="I1291" s="9">
        <v>1.0149999999999999</v>
      </c>
      <c r="J1291" s="9">
        <v>52</v>
      </c>
      <c r="K1291" s="9" t="s">
        <v>424</v>
      </c>
      <c r="L1291" s="9"/>
      <c r="M1291" s="9"/>
      <c r="N1291" s="9" t="str">
        <f ca="1">IFERROR(__xludf.DUMMYFUNCTION("IFERROR(VALUE(REGEXEXTRACT(TO_TEXT($F1291), N$1 &amp; ""x(\d+)"")), """")
"),"")</f>
        <v/>
      </c>
      <c r="O1291" s="9" t="str">
        <f ca="1">IFERROR(__xludf.DUMMYFUNCTION("IFERROR(VALUE(REGEXEXTRACT(TO_TEXT($F1291), O$1 &amp; ""x(\d+)"")), """")"),"")</f>
        <v/>
      </c>
      <c r="P1291" s="9">
        <f ca="1">IFERROR(__xludf.DUMMYFUNCTION("IFERROR(VALUE(REGEXEXTRACT(TO_TEXT($F1291), P$1 &amp; ""x(\d+)"")), """")"),1)</f>
        <v>1</v>
      </c>
      <c r="Q1291" s="9" t="str">
        <f ca="1">IFERROR(__xludf.DUMMYFUNCTION("IFERROR(VALUE(REGEXEXTRACT(TO_TEXT($F1291), Q$1 &amp; ""x(\d+)"")), """")"),"")</f>
        <v/>
      </c>
      <c r="R1291" s="9">
        <f ca="1">IFERROR(__xludf.DUMMYFUNCTION("IFERROR(VALUE(REGEXEXTRACT(TO_TEXT($F1291), R$1 &amp; ""x(\d+)"")), """")"),1)</f>
        <v>1</v>
      </c>
      <c r="S1291" s="9" t="str">
        <f ca="1">IFERROR(__xludf.DUMMYFUNCTION("IFERROR(VALUE(REGEXEXTRACT(TO_TEXT($F1291), S$1 &amp; ""x(\d+)"")), """")"),"")</f>
        <v/>
      </c>
      <c r="T1291" s="9">
        <f ca="1">IFERROR(__xludf.DUMMYFUNCTION("IFERROR(VALUE(REGEXEXTRACT(TO_TEXT($F1291), T$1 &amp; ""x(\d+)"")), """")"),1)</f>
        <v>1</v>
      </c>
      <c r="U1291" s="9" t="str">
        <f ca="1">IFERROR(__xludf.DUMMYFUNCTION("IFERROR(VALUE(REGEXEXTRACT(TO_TEXT($F1291), U$1 &amp; ""x(\d+)"")), """")"),"")</f>
        <v/>
      </c>
      <c r="V1291" s="9" t="str">
        <f ca="1">IFERROR(__xludf.DUMMYFUNCTION("IFERROR(VALUE(REGEXEXTRACT(TO_TEXT($F1291), V$1 &amp; ""x(\d+)"")), """")"),"")</f>
        <v/>
      </c>
      <c r="W1291" s="9"/>
      <c r="X1291" s="9"/>
      <c r="Y1291" s="9"/>
      <c r="Z1291" s="9"/>
    </row>
    <row r="1292" spans="1:26" ht="15.75" customHeight="1">
      <c r="A1292" s="9" t="s">
        <v>2356</v>
      </c>
      <c r="B1292" s="9" t="s">
        <v>2357</v>
      </c>
      <c r="C1292" s="9" t="s">
        <v>2358</v>
      </c>
      <c r="D1292" s="9" t="s">
        <v>48</v>
      </c>
      <c r="E1292" s="9" t="s">
        <v>13</v>
      </c>
      <c r="F1292" s="9" t="s">
        <v>2360</v>
      </c>
      <c r="G1292" s="9">
        <v>40</v>
      </c>
      <c r="H1292" s="9">
        <v>3</v>
      </c>
      <c r="I1292" s="9">
        <v>1.0149999999999999</v>
      </c>
      <c r="J1292" s="9">
        <v>52</v>
      </c>
      <c r="K1292" s="9" t="s">
        <v>424</v>
      </c>
      <c r="L1292" s="9"/>
      <c r="M1292" s="9"/>
      <c r="N1292" s="9" t="str">
        <f ca="1">IFERROR(__xludf.DUMMYFUNCTION("IFERROR(VALUE(REGEXEXTRACT(TO_TEXT($F1292), N$1 &amp; ""x(\d+)"")), """")
"),"")</f>
        <v/>
      </c>
      <c r="O1292" s="9" t="str">
        <f ca="1">IFERROR(__xludf.DUMMYFUNCTION("IFERROR(VALUE(REGEXEXTRACT(TO_TEXT($F1292), O$1 &amp; ""x(\d+)"")), """")"),"")</f>
        <v/>
      </c>
      <c r="P1292" s="9">
        <f ca="1">IFERROR(__xludf.DUMMYFUNCTION("IFERROR(VALUE(REGEXEXTRACT(TO_TEXT($F1292), P$1 &amp; ""x(\d+)"")), """")"),1)</f>
        <v>1</v>
      </c>
      <c r="Q1292" s="9" t="str">
        <f ca="1">IFERROR(__xludf.DUMMYFUNCTION("IFERROR(VALUE(REGEXEXTRACT(TO_TEXT($F1292), Q$1 &amp; ""x(\d+)"")), """")"),"")</f>
        <v/>
      </c>
      <c r="R1292" s="9" t="str">
        <f ca="1">IFERROR(__xludf.DUMMYFUNCTION("IFERROR(VALUE(REGEXEXTRACT(TO_TEXT($F1292), R$1 &amp; ""x(\d+)"")), """")"),"")</f>
        <v/>
      </c>
      <c r="S1292" s="9" t="str">
        <f ca="1">IFERROR(__xludf.DUMMYFUNCTION("IFERROR(VALUE(REGEXEXTRACT(TO_TEXT($F1292), S$1 &amp; ""x(\d+)"")), """")"),"")</f>
        <v/>
      </c>
      <c r="T1292" s="9" t="str">
        <f ca="1">IFERROR(__xludf.DUMMYFUNCTION("IFERROR(VALUE(REGEXEXTRACT(TO_TEXT($F1292), T$1 &amp; ""x(\d+)"")), """")"),"")</f>
        <v/>
      </c>
      <c r="U1292" s="9" t="str">
        <f ca="1">IFERROR(__xludf.DUMMYFUNCTION("IFERROR(VALUE(REGEXEXTRACT(TO_TEXT($F1292), U$1 &amp; ""x(\d+)"")), """")"),"")</f>
        <v/>
      </c>
      <c r="V1292" s="9" t="str">
        <f ca="1">IFERROR(__xludf.DUMMYFUNCTION("IFERROR(VALUE(REGEXEXTRACT(TO_TEXT($F1292), V$1 &amp; ""x(\d+)"")), """")"),"")</f>
        <v/>
      </c>
      <c r="W1292" s="9"/>
      <c r="X1292" s="9"/>
      <c r="Y1292" s="9"/>
      <c r="Z1292" s="9"/>
    </row>
    <row r="1293" spans="1:26" ht="15.75" customHeight="1">
      <c r="A1293" s="9" t="s">
        <v>2361</v>
      </c>
      <c r="B1293" s="9" t="s">
        <v>2362</v>
      </c>
      <c r="C1293" s="9" t="s">
        <v>2363</v>
      </c>
      <c r="D1293" s="9" t="s">
        <v>33</v>
      </c>
      <c r="E1293" s="9" t="s">
        <v>11</v>
      </c>
      <c r="F1293" s="9" t="s">
        <v>2364</v>
      </c>
      <c r="G1293" s="9">
        <v>80</v>
      </c>
      <c r="H1293" s="9">
        <v>2</v>
      </c>
      <c r="I1293" s="9">
        <v>1.0149999999999999</v>
      </c>
      <c r="J1293" s="9">
        <v>110</v>
      </c>
      <c r="K1293" s="9" t="s">
        <v>442</v>
      </c>
      <c r="L1293" s="9"/>
      <c r="M1293" s="9"/>
      <c r="N1293" s="9" t="str">
        <f ca="1">IFERROR(__xludf.DUMMYFUNCTION("IFERROR(VALUE(REGEXEXTRACT(TO_TEXT($F1293), N$1 &amp; ""x(\d+)"")), """")
"),"")</f>
        <v/>
      </c>
      <c r="O1293" s="9">
        <f ca="1">IFERROR(__xludf.DUMMYFUNCTION("IFERROR(VALUE(REGEXEXTRACT(TO_TEXT($F1293), O$1 &amp; ""x(\d+)"")), """")"),1)</f>
        <v>1</v>
      </c>
      <c r="P1293" s="9" t="str">
        <f ca="1">IFERROR(__xludf.DUMMYFUNCTION("IFERROR(VALUE(REGEXEXTRACT(TO_TEXT($F1293), P$1 &amp; ""x(\d+)"")), """")"),"")</f>
        <v/>
      </c>
      <c r="Q1293" s="9" t="str">
        <f ca="1">IFERROR(__xludf.DUMMYFUNCTION("IFERROR(VALUE(REGEXEXTRACT(TO_TEXT($F1293), Q$1 &amp; ""x(\d+)"")), """")"),"")</f>
        <v/>
      </c>
      <c r="R1293" s="9" t="str">
        <f ca="1">IFERROR(__xludf.DUMMYFUNCTION("IFERROR(VALUE(REGEXEXTRACT(TO_TEXT($F1293), R$1 &amp; ""x(\d+)"")), """")"),"")</f>
        <v/>
      </c>
      <c r="S1293" s="9" t="str">
        <f ca="1">IFERROR(__xludf.DUMMYFUNCTION("IFERROR(VALUE(REGEXEXTRACT(TO_TEXT($F1293), S$1 &amp; ""x(\d+)"")), """")"),"")</f>
        <v/>
      </c>
      <c r="T1293" s="9" t="str">
        <f ca="1">IFERROR(__xludf.DUMMYFUNCTION("IFERROR(VALUE(REGEXEXTRACT(TO_TEXT($F1293), T$1 &amp; ""x(\d+)"")), """")"),"")</f>
        <v/>
      </c>
      <c r="U1293" s="9" t="str">
        <f ca="1">IFERROR(__xludf.DUMMYFUNCTION("IFERROR(VALUE(REGEXEXTRACT(TO_TEXT($F1293), U$1 &amp; ""x(\d+)"")), """")"),"")</f>
        <v/>
      </c>
      <c r="V1293" s="9" t="str">
        <f ca="1">IFERROR(__xludf.DUMMYFUNCTION("IFERROR(VALUE(REGEXEXTRACT(TO_TEXT($F1293), V$1 &amp; ""x(\d+)"")), """")"),"")</f>
        <v/>
      </c>
      <c r="W1293" s="9"/>
      <c r="X1293" s="9"/>
      <c r="Y1293" s="9"/>
      <c r="Z1293" s="9"/>
    </row>
    <row r="1294" spans="1:26" ht="15.75" customHeight="1">
      <c r="A1294" s="9" t="s">
        <v>2361</v>
      </c>
      <c r="B1294" s="9" t="s">
        <v>2362</v>
      </c>
      <c r="C1294" s="9" t="s">
        <v>2363</v>
      </c>
      <c r="D1294" s="9" t="s">
        <v>33</v>
      </c>
      <c r="E1294" s="9" t="s">
        <v>12</v>
      </c>
      <c r="F1294" s="9" t="s">
        <v>2365</v>
      </c>
      <c r="G1294" s="9">
        <v>90</v>
      </c>
      <c r="H1294" s="9">
        <v>2</v>
      </c>
      <c r="I1294" s="9">
        <v>1.0149999999999999</v>
      </c>
      <c r="J1294" s="9">
        <v>110</v>
      </c>
      <c r="K1294" s="9" t="s">
        <v>442</v>
      </c>
      <c r="L1294" s="9"/>
      <c r="M1294" s="9"/>
      <c r="N1294" s="9">
        <f ca="1">IFERROR(__xludf.DUMMYFUNCTION("IFERROR(VALUE(REGEXEXTRACT(TO_TEXT($F1294), N$1 &amp; ""x(\d+)"")), """")
"),1)</f>
        <v>1</v>
      </c>
      <c r="O1294" s="9">
        <f ca="1">IFERROR(__xludf.DUMMYFUNCTION("IFERROR(VALUE(REGEXEXTRACT(TO_TEXT($F1294), O$1 &amp; ""x(\d+)"")), """")"),1)</f>
        <v>1</v>
      </c>
      <c r="P1294" s="9" t="str">
        <f ca="1">IFERROR(__xludf.DUMMYFUNCTION("IFERROR(VALUE(REGEXEXTRACT(TO_TEXT($F1294), P$1 &amp; ""x(\d+)"")), """")"),"")</f>
        <v/>
      </c>
      <c r="Q1294" s="9" t="str">
        <f ca="1">IFERROR(__xludf.DUMMYFUNCTION("IFERROR(VALUE(REGEXEXTRACT(TO_TEXT($F1294), Q$1 &amp; ""x(\d+)"")), """")"),"")</f>
        <v/>
      </c>
      <c r="R1294" s="9" t="str">
        <f ca="1">IFERROR(__xludf.DUMMYFUNCTION("IFERROR(VALUE(REGEXEXTRACT(TO_TEXT($F1294), R$1 &amp; ""x(\d+)"")), """")"),"")</f>
        <v/>
      </c>
      <c r="S1294" s="9" t="str">
        <f ca="1">IFERROR(__xludf.DUMMYFUNCTION("IFERROR(VALUE(REGEXEXTRACT(TO_TEXT($F1294), S$1 &amp; ""x(\d+)"")), """")"),"")</f>
        <v/>
      </c>
      <c r="T1294" s="9" t="str">
        <f ca="1">IFERROR(__xludf.DUMMYFUNCTION("IFERROR(VALUE(REGEXEXTRACT(TO_TEXT($F1294), T$1 &amp; ""x(\d+)"")), """")"),"")</f>
        <v/>
      </c>
      <c r="U1294" s="9" t="str">
        <f ca="1">IFERROR(__xludf.DUMMYFUNCTION("IFERROR(VALUE(REGEXEXTRACT(TO_TEXT($F1294), U$1 &amp; ""x(\d+)"")), """")"),"")</f>
        <v/>
      </c>
      <c r="V1294" s="9">
        <f ca="1">IFERROR(__xludf.DUMMYFUNCTION("IFERROR(VALUE(REGEXEXTRACT(TO_TEXT($F1294), V$1 &amp; ""x(\d+)"")), """")"),1)</f>
        <v>1</v>
      </c>
      <c r="W1294" s="9"/>
      <c r="X1294" s="9"/>
      <c r="Y1294" s="9"/>
      <c r="Z1294" s="9"/>
    </row>
    <row r="1295" spans="1:26" ht="15.75" customHeight="1">
      <c r="A1295" s="9" t="s">
        <v>2361</v>
      </c>
      <c r="B1295" s="9" t="s">
        <v>2362</v>
      </c>
      <c r="C1295" s="9" t="s">
        <v>2363</v>
      </c>
      <c r="D1295" s="9" t="s">
        <v>33</v>
      </c>
      <c r="E1295" s="9" t="s">
        <v>13</v>
      </c>
      <c r="F1295" s="9" t="s">
        <v>2366</v>
      </c>
      <c r="G1295" s="9">
        <v>20</v>
      </c>
      <c r="H1295" s="9">
        <v>2</v>
      </c>
      <c r="I1295" s="9">
        <v>1.0149999999999999</v>
      </c>
      <c r="J1295" s="9">
        <v>110</v>
      </c>
      <c r="K1295" s="9" t="s">
        <v>442</v>
      </c>
      <c r="L1295" s="9"/>
      <c r="M1295" s="9"/>
      <c r="N1295" s="9" t="str">
        <f ca="1">IFERROR(__xludf.DUMMYFUNCTION("IFERROR(VALUE(REGEXEXTRACT(TO_TEXT($F1295), N$1 &amp; ""x(\d+)"")), """")
"),"")</f>
        <v/>
      </c>
      <c r="O1295" s="9">
        <f ca="1">IFERROR(__xludf.DUMMYFUNCTION("IFERROR(VALUE(REGEXEXTRACT(TO_TEXT($F1295), O$1 &amp; ""x(\d+)"")), """")"),1)</f>
        <v>1</v>
      </c>
      <c r="P1295" s="9" t="str">
        <f ca="1">IFERROR(__xludf.DUMMYFUNCTION("IFERROR(VALUE(REGEXEXTRACT(TO_TEXT($F1295), P$1 &amp; ""x(\d+)"")), """")"),"")</f>
        <v/>
      </c>
      <c r="Q1295" s="9" t="str">
        <f ca="1">IFERROR(__xludf.DUMMYFUNCTION("IFERROR(VALUE(REGEXEXTRACT(TO_TEXT($F1295), Q$1 &amp; ""x(\d+)"")), """")"),"")</f>
        <v/>
      </c>
      <c r="R1295" s="9" t="str">
        <f ca="1">IFERROR(__xludf.DUMMYFUNCTION("IFERROR(VALUE(REGEXEXTRACT(TO_TEXT($F1295), R$1 &amp; ""x(\d+)"")), """")"),"")</f>
        <v/>
      </c>
      <c r="S1295" s="9" t="str">
        <f ca="1">IFERROR(__xludf.DUMMYFUNCTION("IFERROR(VALUE(REGEXEXTRACT(TO_TEXT($F1295), S$1 &amp; ""x(\d+)"")), """")"),"")</f>
        <v/>
      </c>
      <c r="T1295" s="9" t="str">
        <f ca="1">IFERROR(__xludf.DUMMYFUNCTION("IFERROR(VALUE(REGEXEXTRACT(TO_TEXT($F1295), T$1 &amp; ""x(\d+)"")), """")"),"")</f>
        <v/>
      </c>
      <c r="U1295" s="9" t="str">
        <f ca="1">IFERROR(__xludf.DUMMYFUNCTION("IFERROR(VALUE(REGEXEXTRACT(TO_TEXT($F1295), U$1 &amp; ""x(\d+)"")), """")"),"")</f>
        <v/>
      </c>
      <c r="V1295" s="9" t="str">
        <f ca="1">IFERROR(__xludf.DUMMYFUNCTION("IFERROR(VALUE(REGEXEXTRACT(TO_TEXT($F1295), V$1 &amp; ""x(\d+)"")), """")"),"")</f>
        <v/>
      </c>
      <c r="W1295" s="9"/>
      <c r="X1295" s="9"/>
      <c r="Y1295" s="9"/>
      <c r="Z1295" s="9"/>
    </row>
    <row r="1296" spans="1:26" ht="15.75" customHeight="1">
      <c r="A1296" s="9" t="s">
        <v>2367</v>
      </c>
      <c r="B1296" s="9" t="s">
        <v>2368</v>
      </c>
      <c r="C1296" s="9" t="s">
        <v>2369</v>
      </c>
      <c r="D1296" s="9" t="s">
        <v>33</v>
      </c>
      <c r="E1296" s="9" t="s">
        <v>11</v>
      </c>
      <c r="F1296" s="9" t="s">
        <v>2370</v>
      </c>
      <c r="G1296" s="9">
        <v>80</v>
      </c>
      <c r="H1296" s="9">
        <v>3</v>
      </c>
      <c r="I1296" s="9">
        <v>1.0149999999999999</v>
      </c>
      <c r="J1296" s="9">
        <v>110</v>
      </c>
      <c r="K1296" s="9" t="s">
        <v>442</v>
      </c>
      <c r="L1296" s="9"/>
      <c r="M1296" s="9"/>
      <c r="N1296" s="9" t="str">
        <f ca="1">IFERROR(__xludf.DUMMYFUNCTION("IFERROR(VALUE(REGEXEXTRACT(TO_TEXT($F1296), N$1 &amp; ""x(\d+)"")), """")
"),"")</f>
        <v/>
      </c>
      <c r="O1296" s="9">
        <f ca="1">IFERROR(__xludf.DUMMYFUNCTION("IFERROR(VALUE(REGEXEXTRACT(TO_TEXT($F1296), O$1 &amp; ""x(\d+)"")), """")"),1)</f>
        <v>1</v>
      </c>
      <c r="P1296" s="9" t="str">
        <f ca="1">IFERROR(__xludf.DUMMYFUNCTION("IFERROR(VALUE(REGEXEXTRACT(TO_TEXT($F1296), P$1 &amp; ""x(\d+)"")), """")"),"")</f>
        <v/>
      </c>
      <c r="Q1296" s="9" t="str">
        <f ca="1">IFERROR(__xludf.DUMMYFUNCTION("IFERROR(VALUE(REGEXEXTRACT(TO_TEXT($F1296), Q$1 &amp; ""x(\d+)"")), """")"),"")</f>
        <v/>
      </c>
      <c r="R1296" s="9" t="str">
        <f ca="1">IFERROR(__xludf.DUMMYFUNCTION("IFERROR(VALUE(REGEXEXTRACT(TO_TEXT($F1296), R$1 &amp; ""x(\d+)"")), """")"),"")</f>
        <v/>
      </c>
      <c r="S1296" s="9" t="str">
        <f ca="1">IFERROR(__xludf.DUMMYFUNCTION("IFERROR(VALUE(REGEXEXTRACT(TO_TEXT($F1296), S$1 &amp; ""x(\d+)"")), """")"),"")</f>
        <v/>
      </c>
      <c r="T1296" s="9" t="str">
        <f ca="1">IFERROR(__xludf.DUMMYFUNCTION("IFERROR(VALUE(REGEXEXTRACT(TO_TEXT($F1296), T$1 &amp; ""x(\d+)"")), """")"),"")</f>
        <v/>
      </c>
      <c r="U1296" s="9" t="str">
        <f ca="1">IFERROR(__xludf.DUMMYFUNCTION("IFERROR(VALUE(REGEXEXTRACT(TO_TEXT($F1296), U$1 &amp; ""x(\d+)"")), """")"),"")</f>
        <v/>
      </c>
      <c r="V1296" s="9" t="str">
        <f ca="1">IFERROR(__xludf.DUMMYFUNCTION("IFERROR(VALUE(REGEXEXTRACT(TO_TEXT($F1296), V$1 &amp; ""x(\d+)"")), """")"),"")</f>
        <v/>
      </c>
      <c r="W1296" s="9"/>
      <c r="X1296" s="9"/>
      <c r="Y1296" s="9"/>
      <c r="Z1296" s="9"/>
    </row>
    <row r="1297" spans="1:26" ht="15.75" customHeight="1">
      <c r="A1297" s="9" t="s">
        <v>2367</v>
      </c>
      <c r="B1297" s="9" t="s">
        <v>2368</v>
      </c>
      <c r="C1297" s="9" t="s">
        <v>2369</v>
      </c>
      <c r="D1297" s="9" t="s">
        <v>33</v>
      </c>
      <c r="E1297" s="9" t="s">
        <v>12</v>
      </c>
      <c r="F1297" s="9" t="s">
        <v>2371</v>
      </c>
      <c r="G1297" s="9">
        <v>90</v>
      </c>
      <c r="H1297" s="9">
        <v>3</v>
      </c>
      <c r="I1297" s="9">
        <v>1.0149999999999999</v>
      </c>
      <c r="J1297" s="9">
        <v>110</v>
      </c>
      <c r="K1297" s="9" t="s">
        <v>442</v>
      </c>
      <c r="L1297" s="9"/>
      <c r="M1297" s="9"/>
      <c r="N1297" s="9">
        <f ca="1">IFERROR(__xludf.DUMMYFUNCTION("IFERROR(VALUE(REGEXEXTRACT(TO_TEXT($F1297), N$1 &amp; ""x(\d+)"")), """")
"),1)</f>
        <v>1</v>
      </c>
      <c r="O1297" s="9">
        <f ca="1">IFERROR(__xludf.DUMMYFUNCTION("IFERROR(VALUE(REGEXEXTRACT(TO_TEXT($F1297), O$1 &amp; ""x(\d+)"")), """")"),1)</f>
        <v>1</v>
      </c>
      <c r="P1297" s="9" t="str">
        <f ca="1">IFERROR(__xludf.DUMMYFUNCTION("IFERROR(VALUE(REGEXEXTRACT(TO_TEXT($F1297), P$1 &amp; ""x(\d+)"")), """")"),"")</f>
        <v/>
      </c>
      <c r="Q1297" s="9" t="str">
        <f ca="1">IFERROR(__xludf.DUMMYFUNCTION("IFERROR(VALUE(REGEXEXTRACT(TO_TEXT($F1297), Q$1 &amp; ""x(\d+)"")), """")"),"")</f>
        <v/>
      </c>
      <c r="R1297" s="9" t="str">
        <f ca="1">IFERROR(__xludf.DUMMYFUNCTION("IFERROR(VALUE(REGEXEXTRACT(TO_TEXT($F1297), R$1 &amp; ""x(\d+)"")), """")"),"")</f>
        <v/>
      </c>
      <c r="S1297" s="9" t="str">
        <f ca="1">IFERROR(__xludf.DUMMYFUNCTION("IFERROR(VALUE(REGEXEXTRACT(TO_TEXT($F1297), S$1 &amp; ""x(\d+)"")), """")"),"")</f>
        <v/>
      </c>
      <c r="T1297" s="9" t="str">
        <f ca="1">IFERROR(__xludf.DUMMYFUNCTION("IFERROR(VALUE(REGEXEXTRACT(TO_TEXT($F1297), T$1 &amp; ""x(\d+)"")), """")"),"")</f>
        <v/>
      </c>
      <c r="U1297" s="9" t="str">
        <f ca="1">IFERROR(__xludf.DUMMYFUNCTION("IFERROR(VALUE(REGEXEXTRACT(TO_TEXT($F1297), U$1 &amp; ""x(\d+)"")), """")"),"")</f>
        <v/>
      </c>
      <c r="V1297" s="9">
        <f ca="1">IFERROR(__xludf.DUMMYFUNCTION("IFERROR(VALUE(REGEXEXTRACT(TO_TEXT($F1297), V$1 &amp; ""x(\d+)"")), """")"),1)</f>
        <v>1</v>
      </c>
      <c r="W1297" s="9"/>
      <c r="X1297" s="9"/>
      <c r="Y1297" s="9"/>
      <c r="Z1297" s="9"/>
    </row>
    <row r="1298" spans="1:26" ht="15.75" customHeight="1">
      <c r="A1298" s="9" t="s">
        <v>2367</v>
      </c>
      <c r="B1298" s="9" t="s">
        <v>2368</v>
      </c>
      <c r="C1298" s="9" t="s">
        <v>2369</v>
      </c>
      <c r="D1298" s="9" t="s">
        <v>33</v>
      </c>
      <c r="E1298" s="9" t="s">
        <v>13</v>
      </c>
      <c r="F1298" s="9" t="s">
        <v>2372</v>
      </c>
      <c r="G1298" s="9">
        <v>20</v>
      </c>
      <c r="H1298" s="9">
        <v>3</v>
      </c>
      <c r="I1298" s="9">
        <v>1.0149999999999999</v>
      </c>
      <c r="J1298" s="9">
        <v>110</v>
      </c>
      <c r="K1298" s="9" t="s">
        <v>442</v>
      </c>
      <c r="L1298" s="9"/>
      <c r="M1298" s="9"/>
      <c r="N1298" s="9" t="str">
        <f ca="1">IFERROR(__xludf.DUMMYFUNCTION("IFERROR(VALUE(REGEXEXTRACT(TO_TEXT($F1298), N$1 &amp; ""x(\d+)"")), """")
"),"")</f>
        <v/>
      </c>
      <c r="O1298" s="9">
        <f ca="1">IFERROR(__xludf.DUMMYFUNCTION("IFERROR(VALUE(REGEXEXTRACT(TO_TEXT($F1298), O$1 &amp; ""x(\d+)"")), """")"),1)</f>
        <v>1</v>
      </c>
      <c r="P1298" s="9" t="str">
        <f ca="1">IFERROR(__xludf.DUMMYFUNCTION("IFERROR(VALUE(REGEXEXTRACT(TO_TEXT($F1298), P$1 &amp; ""x(\d+)"")), """")"),"")</f>
        <v/>
      </c>
      <c r="Q1298" s="9" t="str">
        <f ca="1">IFERROR(__xludf.DUMMYFUNCTION("IFERROR(VALUE(REGEXEXTRACT(TO_TEXT($F1298), Q$1 &amp; ""x(\d+)"")), """")"),"")</f>
        <v/>
      </c>
      <c r="R1298" s="9" t="str">
        <f ca="1">IFERROR(__xludf.DUMMYFUNCTION("IFERROR(VALUE(REGEXEXTRACT(TO_TEXT($F1298), R$1 &amp; ""x(\d+)"")), """")"),"")</f>
        <v/>
      </c>
      <c r="S1298" s="9" t="str">
        <f ca="1">IFERROR(__xludf.DUMMYFUNCTION("IFERROR(VALUE(REGEXEXTRACT(TO_TEXT($F1298), S$1 &amp; ""x(\d+)"")), """")"),"")</f>
        <v/>
      </c>
      <c r="T1298" s="9" t="str">
        <f ca="1">IFERROR(__xludf.DUMMYFUNCTION("IFERROR(VALUE(REGEXEXTRACT(TO_TEXT($F1298), T$1 &amp; ""x(\d+)"")), """")"),"")</f>
        <v/>
      </c>
      <c r="U1298" s="9" t="str">
        <f ca="1">IFERROR(__xludf.DUMMYFUNCTION("IFERROR(VALUE(REGEXEXTRACT(TO_TEXT($F1298), U$1 &amp; ""x(\d+)"")), """")"),"")</f>
        <v/>
      </c>
      <c r="V1298" s="9" t="str">
        <f ca="1">IFERROR(__xludf.DUMMYFUNCTION("IFERROR(VALUE(REGEXEXTRACT(TO_TEXT($F1298), V$1 &amp; ""x(\d+)"")), """")"),"")</f>
        <v/>
      </c>
      <c r="W1298" s="9"/>
      <c r="X1298" s="9"/>
      <c r="Y1298" s="9"/>
      <c r="Z1298" s="9"/>
    </row>
    <row r="1299" spans="1:26" ht="15.75" customHeight="1">
      <c r="A1299" s="9" t="s">
        <v>2373</v>
      </c>
      <c r="B1299" s="9" t="s">
        <v>2374</v>
      </c>
      <c r="C1299" s="9" t="s">
        <v>2375</v>
      </c>
      <c r="D1299" s="9" t="s">
        <v>33</v>
      </c>
      <c r="E1299" s="9" t="s">
        <v>12</v>
      </c>
      <c r="F1299" s="9" t="s">
        <v>2376</v>
      </c>
      <c r="G1299" s="9">
        <v>45</v>
      </c>
      <c r="H1299" s="9">
        <v>2</v>
      </c>
      <c r="I1299" s="9">
        <v>1.0149999999999999</v>
      </c>
      <c r="J1299" s="9">
        <v>80</v>
      </c>
      <c r="K1299" s="9" t="s">
        <v>2377</v>
      </c>
      <c r="L1299" s="9"/>
      <c r="M1299" s="9"/>
      <c r="N1299" s="9" t="str">
        <f ca="1">IFERROR(__xludf.DUMMYFUNCTION("IFERROR(VALUE(REGEXEXTRACT(TO_TEXT($F1299), N$1 &amp; ""x(\d+)"")), """")
"),"")</f>
        <v/>
      </c>
      <c r="O1299" s="9">
        <f ca="1">IFERROR(__xludf.DUMMYFUNCTION("IFERROR(VALUE(REGEXEXTRACT(TO_TEXT($F1299), O$1 &amp; ""x(\d+)"")), """")"),1)</f>
        <v>1</v>
      </c>
      <c r="P1299" s="9" t="str">
        <f ca="1">IFERROR(__xludf.DUMMYFUNCTION("IFERROR(VALUE(REGEXEXTRACT(TO_TEXT($F1299), P$1 &amp; ""x(\d+)"")), """")"),"")</f>
        <v/>
      </c>
      <c r="Q1299" s="9" t="str">
        <f ca="1">IFERROR(__xludf.DUMMYFUNCTION("IFERROR(VALUE(REGEXEXTRACT(TO_TEXT($F1299), Q$1 &amp; ""x(\d+)"")), """")"),"")</f>
        <v/>
      </c>
      <c r="R1299" s="9" t="str">
        <f ca="1">IFERROR(__xludf.DUMMYFUNCTION("IFERROR(VALUE(REGEXEXTRACT(TO_TEXT($F1299), R$1 &amp; ""x(\d+)"")), """")"),"")</f>
        <v/>
      </c>
      <c r="S1299" s="9" t="str">
        <f ca="1">IFERROR(__xludf.DUMMYFUNCTION("IFERROR(VALUE(REGEXEXTRACT(TO_TEXT($F1299), S$1 &amp; ""x(\d+)"")), """")"),"")</f>
        <v/>
      </c>
      <c r="T1299" s="9" t="str">
        <f ca="1">IFERROR(__xludf.DUMMYFUNCTION("IFERROR(VALUE(REGEXEXTRACT(TO_TEXT($F1299), T$1 &amp; ""x(\d+)"")), """")"),"")</f>
        <v/>
      </c>
      <c r="U1299" s="9" t="str">
        <f ca="1">IFERROR(__xludf.DUMMYFUNCTION("IFERROR(VALUE(REGEXEXTRACT(TO_TEXT($F1299), U$1 &amp; ""x(\d+)"")), """")"),"")</f>
        <v/>
      </c>
      <c r="V1299" s="9" t="str">
        <f ca="1">IFERROR(__xludf.DUMMYFUNCTION("IFERROR(VALUE(REGEXEXTRACT(TO_TEXT($F1299), V$1 &amp; ""x(\d+)"")), """")"),"")</f>
        <v/>
      </c>
      <c r="W1299" s="9"/>
      <c r="X1299" s="9"/>
      <c r="Y1299" s="9"/>
      <c r="Z1299" s="9"/>
    </row>
    <row r="1300" spans="1:26" ht="15.75" customHeight="1">
      <c r="A1300" s="9" t="s">
        <v>2373</v>
      </c>
      <c r="B1300" s="9" t="s">
        <v>2374</v>
      </c>
      <c r="C1300" s="9" t="s">
        <v>2375</v>
      </c>
      <c r="D1300" s="9" t="s">
        <v>33</v>
      </c>
      <c r="E1300" s="9" t="s">
        <v>13</v>
      </c>
      <c r="F1300" s="9" t="s">
        <v>2378</v>
      </c>
      <c r="G1300" s="9">
        <v>10</v>
      </c>
      <c r="H1300" s="9">
        <v>2</v>
      </c>
      <c r="I1300" s="9">
        <v>1.0149999999999999</v>
      </c>
      <c r="J1300" s="9">
        <v>80</v>
      </c>
      <c r="K1300" s="9" t="s">
        <v>2377</v>
      </c>
      <c r="L1300" s="9"/>
      <c r="M1300" s="9"/>
      <c r="N1300" s="9" t="str">
        <f ca="1">IFERROR(__xludf.DUMMYFUNCTION("IFERROR(VALUE(REGEXEXTRACT(TO_TEXT($F1300), N$1 &amp; ""x(\d+)"")), """")
"),"")</f>
        <v/>
      </c>
      <c r="O1300" s="9">
        <f ca="1">IFERROR(__xludf.DUMMYFUNCTION("IFERROR(VALUE(REGEXEXTRACT(TO_TEXT($F1300), O$1 &amp; ""x(\d+)"")), """")"),1)</f>
        <v>1</v>
      </c>
      <c r="P1300" s="9" t="str">
        <f ca="1">IFERROR(__xludf.DUMMYFUNCTION("IFERROR(VALUE(REGEXEXTRACT(TO_TEXT($F1300), P$1 &amp; ""x(\d+)"")), """")"),"")</f>
        <v/>
      </c>
      <c r="Q1300" s="9" t="str">
        <f ca="1">IFERROR(__xludf.DUMMYFUNCTION("IFERROR(VALUE(REGEXEXTRACT(TO_TEXT($F1300), Q$1 &amp; ""x(\d+)"")), """")"),"")</f>
        <v/>
      </c>
      <c r="R1300" s="9" t="str">
        <f ca="1">IFERROR(__xludf.DUMMYFUNCTION("IFERROR(VALUE(REGEXEXTRACT(TO_TEXT($F1300), R$1 &amp; ""x(\d+)"")), """")"),"")</f>
        <v/>
      </c>
      <c r="S1300" s="9" t="str">
        <f ca="1">IFERROR(__xludf.DUMMYFUNCTION("IFERROR(VALUE(REGEXEXTRACT(TO_TEXT($F1300), S$1 &amp; ""x(\d+)"")), """")"),"")</f>
        <v/>
      </c>
      <c r="T1300" s="9" t="str">
        <f ca="1">IFERROR(__xludf.DUMMYFUNCTION("IFERROR(VALUE(REGEXEXTRACT(TO_TEXT($F1300), T$1 &amp; ""x(\d+)"")), """")"),"")</f>
        <v/>
      </c>
      <c r="U1300" s="9" t="str">
        <f ca="1">IFERROR(__xludf.DUMMYFUNCTION("IFERROR(VALUE(REGEXEXTRACT(TO_TEXT($F1300), U$1 &amp; ""x(\d+)"")), """")"),"")</f>
        <v/>
      </c>
      <c r="V1300" s="9" t="str">
        <f ca="1">IFERROR(__xludf.DUMMYFUNCTION("IFERROR(VALUE(REGEXEXTRACT(TO_TEXT($F1300), V$1 &amp; ""x(\d+)"")), """")"),"")</f>
        <v/>
      </c>
      <c r="W1300" s="9"/>
      <c r="X1300" s="9"/>
      <c r="Y1300" s="9"/>
      <c r="Z1300" s="9"/>
    </row>
    <row r="1301" spans="1:26" ht="15.75" customHeight="1">
      <c r="A1301" s="9" t="s">
        <v>2373</v>
      </c>
      <c r="B1301" s="9" t="s">
        <v>2374</v>
      </c>
      <c r="C1301" s="9" t="s">
        <v>2375</v>
      </c>
      <c r="D1301" s="9" t="s">
        <v>33</v>
      </c>
      <c r="E1301" s="9" t="s">
        <v>12</v>
      </c>
      <c r="F1301" s="9" t="s">
        <v>2379</v>
      </c>
      <c r="G1301" s="9">
        <v>30</v>
      </c>
      <c r="H1301" s="9">
        <v>2</v>
      </c>
      <c r="I1301" s="9">
        <v>1.0149999999999999</v>
      </c>
      <c r="J1301" s="9">
        <v>110</v>
      </c>
      <c r="K1301" s="9" t="s">
        <v>2380</v>
      </c>
      <c r="L1301" s="9"/>
      <c r="M1301" s="9"/>
      <c r="N1301" s="9" t="str">
        <f ca="1">IFERROR(__xludf.DUMMYFUNCTION("IFERROR(VALUE(REGEXEXTRACT(TO_TEXT($F1301), N$1 &amp; ""x(\d+)"")), """")
"),"")</f>
        <v/>
      </c>
      <c r="O1301" s="9">
        <f ca="1">IFERROR(__xludf.DUMMYFUNCTION("IFERROR(VALUE(REGEXEXTRACT(TO_TEXT($F1301), O$1 &amp; ""x(\d+)"")), """")"),1)</f>
        <v>1</v>
      </c>
      <c r="P1301" s="9" t="str">
        <f ca="1">IFERROR(__xludf.DUMMYFUNCTION("IFERROR(VALUE(REGEXEXTRACT(TO_TEXT($F1301), P$1 &amp; ""x(\d+)"")), """")"),"")</f>
        <v/>
      </c>
      <c r="Q1301" s="9" t="str">
        <f ca="1">IFERROR(__xludf.DUMMYFUNCTION("IFERROR(VALUE(REGEXEXTRACT(TO_TEXT($F1301), Q$1 &amp; ""x(\d+)"")), """")"),"")</f>
        <v/>
      </c>
      <c r="R1301" s="9" t="str">
        <f ca="1">IFERROR(__xludf.DUMMYFUNCTION("IFERROR(VALUE(REGEXEXTRACT(TO_TEXT($F1301), R$1 &amp; ""x(\d+)"")), """")"),"")</f>
        <v/>
      </c>
      <c r="S1301" s="9" t="str">
        <f ca="1">IFERROR(__xludf.DUMMYFUNCTION("IFERROR(VALUE(REGEXEXTRACT(TO_TEXT($F1301), S$1 &amp; ""x(\d+)"")), """")"),"")</f>
        <v/>
      </c>
      <c r="T1301" s="9" t="str">
        <f ca="1">IFERROR(__xludf.DUMMYFUNCTION("IFERROR(VALUE(REGEXEXTRACT(TO_TEXT($F1301), T$1 &amp; ""x(\d+)"")), """")"),"")</f>
        <v/>
      </c>
      <c r="U1301" s="9" t="str">
        <f ca="1">IFERROR(__xludf.DUMMYFUNCTION("IFERROR(VALUE(REGEXEXTRACT(TO_TEXT($F1301), U$1 &amp; ""x(\d+)"")), """")"),"")</f>
        <v/>
      </c>
      <c r="V1301" s="9" t="str">
        <f ca="1">IFERROR(__xludf.DUMMYFUNCTION("IFERROR(VALUE(REGEXEXTRACT(TO_TEXT($F1301), V$1 &amp; ""x(\d+)"")), """")"),"")</f>
        <v/>
      </c>
      <c r="W1301" s="9"/>
      <c r="X1301" s="9"/>
      <c r="Y1301" s="9"/>
      <c r="Z1301" s="9"/>
    </row>
    <row r="1302" spans="1:26" ht="15.75" customHeight="1">
      <c r="A1302" s="9" t="s">
        <v>2373</v>
      </c>
      <c r="B1302" s="9" t="s">
        <v>2374</v>
      </c>
      <c r="C1302" s="9" t="s">
        <v>2375</v>
      </c>
      <c r="D1302" s="9" t="s">
        <v>33</v>
      </c>
      <c r="E1302" s="9" t="s">
        <v>13</v>
      </c>
      <c r="F1302" s="9" t="s">
        <v>2378</v>
      </c>
      <c r="G1302" s="9">
        <v>10</v>
      </c>
      <c r="H1302" s="9">
        <v>2</v>
      </c>
      <c r="I1302" s="9">
        <v>1.0149999999999999</v>
      </c>
      <c r="J1302" s="9">
        <v>110</v>
      </c>
      <c r="K1302" s="9" t="s">
        <v>2380</v>
      </c>
      <c r="L1302" s="9"/>
      <c r="M1302" s="9"/>
      <c r="N1302" s="9" t="str">
        <f ca="1">IFERROR(__xludf.DUMMYFUNCTION("IFERROR(VALUE(REGEXEXTRACT(TO_TEXT($F1302), N$1 &amp; ""x(\d+)"")), """")
"),"")</f>
        <v/>
      </c>
      <c r="O1302" s="9">
        <f ca="1">IFERROR(__xludf.DUMMYFUNCTION("IFERROR(VALUE(REGEXEXTRACT(TO_TEXT($F1302), O$1 &amp; ""x(\d+)"")), """")"),1)</f>
        <v>1</v>
      </c>
      <c r="P1302" s="9" t="str">
        <f ca="1">IFERROR(__xludf.DUMMYFUNCTION("IFERROR(VALUE(REGEXEXTRACT(TO_TEXT($F1302), P$1 &amp; ""x(\d+)"")), """")"),"")</f>
        <v/>
      </c>
      <c r="Q1302" s="9" t="str">
        <f ca="1">IFERROR(__xludf.DUMMYFUNCTION("IFERROR(VALUE(REGEXEXTRACT(TO_TEXT($F1302), Q$1 &amp; ""x(\d+)"")), """")"),"")</f>
        <v/>
      </c>
      <c r="R1302" s="9" t="str">
        <f ca="1">IFERROR(__xludf.DUMMYFUNCTION("IFERROR(VALUE(REGEXEXTRACT(TO_TEXT($F1302), R$1 &amp; ""x(\d+)"")), """")"),"")</f>
        <v/>
      </c>
      <c r="S1302" s="9" t="str">
        <f ca="1">IFERROR(__xludf.DUMMYFUNCTION("IFERROR(VALUE(REGEXEXTRACT(TO_TEXT($F1302), S$1 &amp; ""x(\d+)"")), """")"),"")</f>
        <v/>
      </c>
      <c r="T1302" s="9" t="str">
        <f ca="1">IFERROR(__xludf.DUMMYFUNCTION("IFERROR(VALUE(REGEXEXTRACT(TO_TEXT($F1302), T$1 &amp; ""x(\d+)"")), """")"),"")</f>
        <v/>
      </c>
      <c r="U1302" s="9" t="str">
        <f ca="1">IFERROR(__xludf.DUMMYFUNCTION("IFERROR(VALUE(REGEXEXTRACT(TO_TEXT($F1302), U$1 &amp; ""x(\d+)"")), """")"),"")</f>
        <v/>
      </c>
      <c r="V1302" s="9" t="str">
        <f ca="1">IFERROR(__xludf.DUMMYFUNCTION("IFERROR(VALUE(REGEXEXTRACT(TO_TEXT($F1302), V$1 &amp; ""x(\d+)"")), """")"),"")</f>
        <v/>
      </c>
      <c r="W1302" s="9"/>
      <c r="X1302" s="9"/>
      <c r="Y1302" s="9"/>
      <c r="Z1302" s="9"/>
    </row>
    <row r="1303" spans="1:26" ht="15.75" customHeight="1">
      <c r="A1303" s="9" t="s">
        <v>2381</v>
      </c>
      <c r="B1303" s="9" t="s">
        <v>2382</v>
      </c>
      <c r="C1303" s="9" t="s">
        <v>2383</v>
      </c>
      <c r="D1303" s="9" t="s">
        <v>48</v>
      </c>
      <c r="E1303" s="9" t="s">
        <v>11</v>
      </c>
      <c r="F1303" s="9" t="s">
        <v>2062</v>
      </c>
      <c r="G1303" s="9">
        <v>30</v>
      </c>
      <c r="H1303" s="9">
        <v>5</v>
      </c>
      <c r="I1303" s="9">
        <v>1.0149999999999999</v>
      </c>
      <c r="J1303" s="9">
        <v>52</v>
      </c>
      <c r="K1303" s="9" t="s">
        <v>424</v>
      </c>
      <c r="L1303" s="9"/>
      <c r="M1303" s="9"/>
      <c r="N1303" s="9">
        <f ca="1">IFERROR(__xludf.DUMMYFUNCTION("IFERROR(VALUE(REGEXEXTRACT(TO_TEXT($F1303), N$1 &amp; ""x(\d+)"")), """")
"),1)</f>
        <v>1</v>
      </c>
      <c r="O1303" s="9" t="str">
        <f ca="1">IFERROR(__xludf.DUMMYFUNCTION("IFERROR(VALUE(REGEXEXTRACT(TO_TEXT($F1303), O$1 &amp; ""x(\d+)"")), """")"),"")</f>
        <v/>
      </c>
      <c r="P1303" s="9" t="str">
        <f ca="1">IFERROR(__xludf.DUMMYFUNCTION("IFERROR(VALUE(REGEXEXTRACT(TO_TEXT($F1303), P$1 &amp; ""x(\d+)"")), """")"),"")</f>
        <v/>
      </c>
      <c r="Q1303" s="9" t="str">
        <f ca="1">IFERROR(__xludf.DUMMYFUNCTION("IFERROR(VALUE(REGEXEXTRACT(TO_TEXT($F1303), Q$1 &amp; ""x(\d+)"")), """")"),"")</f>
        <v/>
      </c>
      <c r="R1303" s="9" t="str">
        <f ca="1">IFERROR(__xludf.DUMMYFUNCTION("IFERROR(VALUE(REGEXEXTRACT(TO_TEXT($F1303), R$1 &amp; ""x(\d+)"")), """")"),"")</f>
        <v/>
      </c>
      <c r="S1303" s="9" t="str">
        <f ca="1">IFERROR(__xludf.DUMMYFUNCTION("IFERROR(VALUE(REGEXEXTRACT(TO_TEXT($F1303), S$1 &amp; ""x(\d+)"")), """")"),"")</f>
        <v/>
      </c>
      <c r="T1303" s="9" t="str">
        <f ca="1">IFERROR(__xludf.DUMMYFUNCTION("IFERROR(VALUE(REGEXEXTRACT(TO_TEXT($F1303), T$1 &amp; ""x(\d+)"")), """")"),"")</f>
        <v/>
      </c>
      <c r="U1303" s="9" t="str">
        <f ca="1">IFERROR(__xludf.DUMMYFUNCTION("IFERROR(VALUE(REGEXEXTRACT(TO_TEXT($F1303), U$1 &amp; ""x(\d+)"")), """")"),"")</f>
        <v/>
      </c>
      <c r="V1303" s="9" t="str">
        <f ca="1">IFERROR(__xludf.DUMMYFUNCTION("IFERROR(VALUE(REGEXEXTRACT(TO_TEXT($F1303), V$1 &amp; ""x(\d+)"")), """")"),"")</f>
        <v/>
      </c>
      <c r="W1303" s="9"/>
      <c r="X1303" s="9"/>
      <c r="Y1303" s="9"/>
      <c r="Z1303" s="9"/>
    </row>
    <row r="1304" spans="1:26" ht="15.75" customHeight="1">
      <c r="A1304" s="9" t="s">
        <v>2381</v>
      </c>
      <c r="B1304" s="9" t="s">
        <v>2382</v>
      </c>
      <c r="C1304" s="9" t="s">
        <v>2383</v>
      </c>
      <c r="D1304" s="9" t="s">
        <v>48</v>
      </c>
      <c r="E1304" s="9" t="s">
        <v>12</v>
      </c>
      <c r="F1304" s="9" t="s">
        <v>2384</v>
      </c>
      <c r="G1304" s="9">
        <v>125</v>
      </c>
      <c r="H1304" s="9">
        <v>5</v>
      </c>
      <c r="I1304" s="9">
        <v>1.0149999999999999</v>
      </c>
      <c r="J1304" s="9">
        <v>52</v>
      </c>
      <c r="K1304" s="9" t="s">
        <v>424</v>
      </c>
      <c r="L1304" s="9" t="s">
        <v>2059</v>
      </c>
      <c r="M1304" s="9"/>
      <c r="N1304" s="9" t="str">
        <f ca="1">IFERROR(__xludf.DUMMYFUNCTION("IFERROR(VALUE(REGEXEXTRACT(TO_TEXT($F1304), N$1 &amp; ""x(\d+)"")), """")
"),"")</f>
        <v/>
      </c>
      <c r="O1304" s="9" t="str">
        <f ca="1">IFERROR(__xludf.DUMMYFUNCTION("IFERROR(VALUE(REGEXEXTRACT(TO_TEXT($F1304), O$1 &amp; ""x(\d+)"")), """")"),"")</f>
        <v/>
      </c>
      <c r="P1304" s="9">
        <f ca="1">IFERROR(__xludf.DUMMYFUNCTION("IFERROR(VALUE(REGEXEXTRACT(TO_TEXT($F1304), P$1 &amp; ""x(\d+)"")), """")"),1)</f>
        <v>1</v>
      </c>
      <c r="Q1304" s="9" t="str">
        <f ca="1">IFERROR(__xludf.DUMMYFUNCTION("IFERROR(VALUE(REGEXEXTRACT(TO_TEXT($F1304), Q$1 &amp; ""x(\d+)"")), """")"),"")</f>
        <v/>
      </c>
      <c r="R1304" s="9">
        <f ca="1">IFERROR(__xludf.DUMMYFUNCTION("IFERROR(VALUE(REGEXEXTRACT(TO_TEXT($F1304), R$1 &amp; ""x(\d+)"")), """")"),1)</f>
        <v>1</v>
      </c>
      <c r="S1304" s="9" t="str">
        <f ca="1">IFERROR(__xludf.DUMMYFUNCTION("IFERROR(VALUE(REGEXEXTRACT(TO_TEXT($F1304), S$1 &amp; ""x(\d+)"")), """")"),"")</f>
        <v/>
      </c>
      <c r="T1304" s="9">
        <f ca="1">IFERROR(__xludf.DUMMYFUNCTION("IFERROR(VALUE(REGEXEXTRACT(TO_TEXT($F1304), T$1 &amp; ""x(\d+)"")), """")"),1)</f>
        <v>1</v>
      </c>
      <c r="U1304" s="9" t="str">
        <f ca="1">IFERROR(__xludf.DUMMYFUNCTION("IFERROR(VALUE(REGEXEXTRACT(TO_TEXT($F1304), U$1 &amp; ""x(\d+)"")), """")"),"")</f>
        <v/>
      </c>
      <c r="V1304" s="9" t="str">
        <f ca="1">IFERROR(__xludf.DUMMYFUNCTION("IFERROR(VALUE(REGEXEXTRACT(TO_TEXT($F1304), V$1 &amp; ""x(\d+)"")), """")"),"")</f>
        <v/>
      </c>
      <c r="W1304" s="9"/>
      <c r="X1304" s="9"/>
      <c r="Y1304" s="9"/>
      <c r="Z1304" s="9"/>
    </row>
    <row r="1305" spans="1:26" ht="15.75" customHeight="1">
      <c r="A1305" s="9" t="s">
        <v>2381</v>
      </c>
      <c r="B1305" s="9" t="s">
        <v>2382</v>
      </c>
      <c r="C1305" s="9" t="s">
        <v>2383</v>
      </c>
      <c r="D1305" s="9" t="s">
        <v>48</v>
      </c>
      <c r="E1305" s="9" t="s">
        <v>13</v>
      </c>
      <c r="F1305" s="9" t="s">
        <v>1201</v>
      </c>
      <c r="G1305" s="9">
        <v>30</v>
      </c>
      <c r="H1305" s="9">
        <v>5</v>
      </c>
      <c r="I1305" s="9">
        <v>1.0149999999999999</v>
      </c>
      <c r="J1305" s="9">
        <v>52</v>
      </c>
      <c r="K1305" s="9" t="s">
        <v>424</v>
      </c>
      <c r="L1305" s="9"/>
      <c r="M1305" s="9"/>
      <c r="N1305" s="9" t="str">
        <f ca="1">IFERROR(__xludf.DUMMYFUNCTION("IFERROR(VALUE(REGEXEXTRACT(TO_TEXT($F1305), N$1 &amp; ""x(\d+)"")), """")
"),"")</f>
        <v/>
      </c>
      <c r="O1305" s="9" t="str">
        <f ca="1">IFERROR(__xludf.DUMMYFUNCTION("IFERROR(VALUE(REGEXEXTRACT(TO_TEXT($F1305), O$1 &amp; ""x(\d+)"")), """")"),"")</f>
        <v/>
      </c>
      <c r="P1305" s="9">
        <f ca="1">IFERROR(__xludf.DUMMYFUNCTION("IFERROR(VALUE(REGEXEXTRACT(TO_TEXT($F1305), P$1 &amp; ""x(\d+)"")), """")"),1)</f>
        <v>1</v>
      </c>
      <c r="Q1305" s="9" t="str">
        <f ca="1">IFERROR(__xludf.DUMMYFUNCTION("IFERROR(VALUE(REGEXEXTRACT(TO_TEXT($F1305), Q$1 &amp; ""x(\d+)"")), """")"),"")</f>
        <v/>
      </c>
      <c r="R1305" s="9" t="str">
        <f ca="1">IFERROR(__xludf.DUMMYFUNCTION("IFERROR(VALUE(REGEXEXTRACT(TO_TEXT($F1305), R$1 &amp; ""x(\d+)"")), """")"),"")</f>
        <v/>
      </c>
      <c r="S1305" s="9" t="str">
        <f ca="1">IFERROR(__xludf.DUMMYFUNCTION("IFERROR(VALUE(REGEXEXTRACT(TO_TEXT($F1305), S$1 &amp; ""x(\d+)"")), """")"),"")</f>
        <v/>
      </c>
      <c r="T1305" s="9" t="str">
        <f ca="1">IFERROR(__xludf.DUMMYFUNCTION("IFERROR(VALUE(REGEXEXTRACT(TO_TEXT($F1305), T$1 &amp; ""x(\d+)"")), """")"),"")</f>
        <v/>
      </c>
      <c r="U1305" s="9" t="str">
        <f ca="1">IFERROR(__xludf.DUMMYFUNCTION("IFERROR(VALUE(REGEXEXTRACT(TO_TEXT($F1305), U$1 &amp; ""x(\d+)"")), """")"),"")</f>
        <v/>
      </c>
      <c r="V1305" s="9" t="str">
        <f ca="1">IFERROR(__xludf.DUMMYFUNCTION("IFERROR(VALUE(REGEXEXTRACT(TO_TEXT($F1305), V$1 &amp; ""x(\d+)"")), """")"),"")</f>
        <v/>
      </c>
      <c r="W1305" s="9"/>
      <c r="X1305" s="9"/>
      <c r="Y1305" s="9"/>
      <c r="Z1305" s="9"/>
    </row>
    <row r="1306" spans="1:26" ht="15.75" customHeight="1">
      <c r="A1306" s="9" t="s">
        <v>2385</v>
      </c>
      <c r="B1306" s="9" t="s">
        <v>2386</v>
      </c>
      <c r="C1306" s="9" t="s">
        <v>2387</v>
      </c>
      <c r="D1306" s="9" t="s">
        <v>33</v>
      </c>
      <c r="E1306" s="9" t="s">
        <v>11</v>
      </c>
      <c r="F1306" s="9" t="s">
        <v>1204</v>
      </c>
      <c r="G1306" s="9">
        <v>30</v>
      </c>
      <c r="H1306" s="9">
        <v>3</v>
      </c>
      <c r="I1306" s="9">
        <v>1.0149999999999999</v>
      </c>
      <c r="J1306" s="9">
        <v>103</v>
      </c>
      <c r="K1306" s="9" t="s">
        <v>442</v>
      </c>
      <c r="L1306" s="9"/>
      <c r="M1306" s="9"/>
      <c r="N1306" s="9" t="str">
        <f ca="1">IFERROR(__xludf.DUMMYFUNCTION("IFERROR(VALUE(REGEXEXTRACT(TO_TEXT($F1306), N$1 &amp; ""x(\d+)"")), """")
"),"")</f>
        <v/>
      </c>
      <c r="O1306" s="9" t="str">
        <f ca="1">IFERROR(__xludf.DUMMYFUNCTION("IFERROR(VALUE(REGEXEXTRACT(TO_TEXT($F1306), O$1 &amp; ""x(\d+)"")), """")"),"")</f>
        <v/>
      </c>
      <c r="P1306" s="9" t="str">
        <f ca="1">IFERROR(__xludf.DUMMYFUNCTION("IFERROR(VALUE(REGEXEXTRACT(TO_TEXT($F1306), P$1 &amp; ""x(\d+)"")), """")"),"")</f>
        <v/>
      </c>
      <c r="Q1306" s="9" t="str">
        <f ca="1">IFERROR(__xludf.DUMMYFUNCTION("IFERROR(VALUE(REGEXEXTRACT(TO_TEXT($F1306), Q$1 &amp; ""x(\d+)"")), """")"),"")</f>
        <v/>
      </c>
      <c r="R1306" s="9" t="str">
        <f ca="1">IFERROR(__xludf.DUMMYFUNCTION("IFERROR(VALUE(REGEXEXTRACT(TO_TEXT($F1306), R$1 &amp; ""x(\d+)"")), """")"),"")</f>
        <v/>
      </c>
      <c r="S1306" s="9" t="str">
        <f ca="1">IFERROR(__xludf.DUMMYFUNCTION("IFERROR(VALUE(REGEXEXTRACT(TO_TEXT($F1306), S$1 &amp; ""x(\d+)"")), """")"),"")</f>
        <v/>
      </c>
      <c r="T1306" s="9" t="str">
        <f ca="1">IFERROR(__xludf.DUMMYFUNCTION("IFERROR(VALUE(REGEXEXTRACT(TO_TEXT($F1306), T$1 &amp; ""x(\d+)"")), """")"),"")</f>
        <v/>
      </c>
      <c r="U1306" s="9" t="str">
        <f ca="1">IFERROR(__xludf.DUMMYFUNCTION("IFERROR(VALUE(REGEXEXTRACT(TO_TEXT($F1306), U$1 &amp; ""x(\d+)"")), """")"),"")</f>
        <v/>
      </c>
      <c r="V1306" s="9" t="str">
        <f ca="1">IFERROR(__xludf.DUMMYFUNCTION("IFERROR(VALUE(REGEXEXTRACT(TO_TEXT($F1306), V$1 &amp; ""x(\d+)"")), """")"),"")</f>
        <v/>
      </c>
      <c r="W1306" s="9"/>
      <c r="X1306" s="9"/>
      <c r="Y1306" s="9"/>
      <c r="Z1306" s="9"/>
    </row>
    <row r="1307" spans="1:26" ht="15.75" customHeight="1">
      <c r="A1307" s="9" t="s">
        <v>2385</v>
      </c>
      <c r="B1307" s="9" t="s">
        <v>2386</v>
      </c>
      <c r="C1307" s="9" t="s">
        <v>2387</v>
      </c>
      <c r="D1307" s="9" t="s">
        <v>33</v>
      </c>
      <c r="E1307" s="9" t="s">
        <v>12</v>
      </c>
      <c r="F1307" s="9" t="s">
        <v>1907</v>
      </c>
      <c r="G1307" s="9">
        <v>95</v>
      </c>
      <c r="H1307" s="9">
        <v>3</v>
      </c>
      <c r="I1307" s="9">
        <v>1.0149999999999999</v>
      </c>
      <c r="J1307" s="9">
        <v>103</v>
      </c>
      <c r="K1307" s="9" t="s">
        <v>442</v>
      </c>
      <c r="L1307" s="9" t="s">
        <v>1015</v>
      </c>
      <c r="M1307" s="9"/>
      <c r="N1307" s="9" t="str">
        <f ca="1">IFERROR(__xludf.DUMMYFUNCTION("IFERROR(VALUE(REGEXEXTRACT(TO_TEXT($F1307), N$1 &amp; ""x(\d+)"")), """")
"),"")</f>
        <v/>
      </c>
      <c r="O1307" s="9">
        <f ca="1">IFERROR(__xludf.DUMMYFUNCTION("IFERROR(VALUE(REGEXEXTRACT(TO_TEXT($F1307), O$1 &amp; ""x(\d+)"")), """")"),1)</f>
        <v>1</v>
      </c>
      <c r="P1307" s="9" t="str">
        <f ca="1">IFERROR(__xludf.DUMMYFUNCTION("IFERROR(VALUE(REGEXEXTRACT(TO_TEXT($F1307), P$1 &amp; ""x(\d+)"")), """")"),"")</f>
        <v/>
      </c>
      <c r="Q1307" s="9" t="str">
        <f ca="1">IFERROR(__xludf.DUMMYFUNCTION("IFERROR(VALUE(REGEXEXTRACT(TO_TEXT($F1307), Q$1 &amp; ""x(\d+)"")), """")"),"")</f>
        <v/>
      </c>
      <c r="R1307" s="9" t="str">
        <f ca="1">IFERROR(__xludf.DUMMYFUNCTION("IFERROR(VALUE(REGEXEXTRACT(TO_TEXT($F1307), R$1 &amp; ""x(\d+)"")), """")"),"")</f>
        <v/>
      </c>
      <c r="S1307" s="9" t="str">
        <f ca="1">IFERROR(__xludf.DUMMYFUNCTION("IFERROR(VALUE(REGEXEXTRACT(TO_TEXT($F1307), S$1 &amp; ""x(\d+)"")), """")"),"")</f>
        <v/>
      </c>
      <c r="T1307" s="9" t="str">
        <f ca="1">IFERROR(__xludf.DUMMYFUNCTION("IFERROR(VALUE(REGEXEXTRACT(TO_TEXT($F1307), T$1 &amp; ""x(\d+)"")), """")"),"")</f>
        <v/>
      </c>
      <c r="U1307" s="9" t="str">
        <f ca="1">IFERROR(__xludf.DUMMYFUNCTION("IFERROR(VALUE(REGEXEXTRACT(TO_TEXT($F1307), U$1 &amp; ""x(\d+)"")), """")"),"")</f>
        <v/>
      </c>
      <c r="V1307" s="9" t="str">
        <f ca="1">IFERROR(__xludf.DUMMYFUNCTION("IFERROR(VALUE(REGEXEXTRACT(TO_TEXT($F1307), V$1 &amp; ""x(\d+)"")), """")"),"")</f>
        <v/>
      </c>
      <c r="W1307" s="9"/>
      <c r="X1307" s="9"/>
      <c r="Y1307" s="9"/>
      <c r="Z1307" s="9"/>
    </row>
    <row r="1308" spans="1:26" ht="15.75" customHeight="1">
      <c r="A1308" s="9" t="s">
        <v>2385</v>
      </c>
      <c r="B1308" s="9" t="s">
        <v>2386</v>
      </c>
      <c r="C1308" s="9" t="s">
        <v>2387</v>
      </c>
      <c r="D1308" s="9" t="s">
        <v>33</v>
      </c>
      <c r="E1308" s="9" t="s">
        <v>13</v>
      </c>
      <c r="F1308" s="9" t="s">
        <v>1651</v>
      </c>
      <c r="G1308" s="9">
        <v>20</v>
      </c>
      <c r="H1308" s="9">
        <v>3</v>
      </c>
      <c r="I1308" s="9">
        <v>1.0149999999999999</v>
      </c>
      <c r="J1308" s="9">
        <v>103</v>
      </c>
      <c r="K1308" s="9" t="s">
        <v>442</v>
      </c>
      <c r="L1308" s="9"/>
      <c r="M1308" s="9"/>
      <c r="N1308" s="9" t="str">
        <f ca="1">IFERROR(__xludf.DUMMYFUNCTION("IFERROR(VALUE(REGEXEXTRACT(TO_TEXT($F1308), N$1 &amp; ""x(\d+)"")), """")
"),"")</f>
        <v/>
      </c>
      <c r="O1308" s="9">
        <f ca="1">IFERROR(__xludf.DUMMYFUNCTION("IFERROR(VALUE(REGEXEXTRACT(TO_TEXT($F1308), O$1 &amp; ""x(\d+)"")), """")"),1)</f>
        <v>1</v>
      </c>
      <c r="P1308" s="9" t="str">
        <f ca="1">IFERROR(__xludf.DUMMYFUNCTION("IFERROR(VALUE(REGEXEXTRACT(TO_TEXT($F1308), P$1 &amp; ""x(\d+)"")), """")"),"")</f>
        <v/>
      </c>
      <c r="Q1308" s="9" t="str">
        <f ca="1">IFERROR(__xludf.DUMMYFUNCTION("IFERROR(VALUE(REGEXEXTRACT(TO_TEXT($F1308), Q$1 &amp; ""x(\d+)"")), """")"),"")</f>
        <v/>
      </c>
      <c r="R1308" s="9" t="str">
        <f ca="1">IFERROR(__xludf.DUMMYFUNCTION("IFERROR(VALUE(REGEXEXTRACT(TO_TEXT($F1308), R$1 &amp; ""x(\d+)"")), """")"),"")</f>
        <v/>
      </c>
      <c r="S1308" s="9" t="str">
        <f ca="1">IFERROR(__xludf.DUMMYFUNCTION("IFERROR(VALUE(REGEXEXTRACT(TO_TEXT($F1308), S$1 &amp; ""x(\d+)"")), """")"),"")</f>
        <v/>
      </c>
      <c r="T1308" s="9" t="str">
        <f ca="1">IFERROR(__xludf.DUMMYFUNCTION("IFERROR(VALUE(REGEXEXTRACT(TO_TEXT($F1308), T$1 &amp; ""x(\d+)"")), """")"),"")</f>
        <v/>
      </c>
      <c r="U1308" s="9" t="str">
        <f ca="1">IFERROR(__xludf.DUMMYFUNCTION("IFERROR(VALUE(REGEXEXTRACT(TO_TEXT($F1308), U$1 &amp; ""x(\d+)"")), """")"),"")</f>
        <v/>
      </c>
      <c r="V1308" s="9" t="str">
        <f ca="1">IFERROR(__xludf.DUMMYFUNCTION("IFERROR(VALUE(REGEXEXTRACT(TO_TEXT($F1308), V$1 &amp; ""x(\d+)"")), """")"),"")</f>
        <v/>
      </c>
      <c r="W1308" s="9"/>
      <c r="X1308" s="9"/>
      <c r="Y1308" s="9"/>
      <c r="Z1308" s="9"/>
    </row>
    <row r="1309" spans="1:26" ht="15.75" customHeight="1">
      <c r="A1309" s="9" t="s">
        <v>2388</v>
      </c>
      <c r="B1309" s="9" t="s">
        <v>2389</v>
      </c>
      <c r="C1309" s="9" t="s">
        <v>2390</v>
      </c>
      <c r="D1309" s="9" t="s">
        <v>33</v>
      </c>
      <c r="E1309" s="9" t="s">
        <v>12</v>
      </c>
      <c r="F1309" s="9" t="s">
        <v>2391</v>
      </c>
      <c r="G1309" s="9">
        <v>55</v>
      </c>
      <c r="H1309" s="9">
        <v>2</v>
      </c>
      <c r="I1309" s="9">
        <v>1.0149999999999999</v>
      </c>
      <c r="J1309" s="9">
        <v>110</v>
      </c>
      <c r="K1309" s="9" t="s">
        <v>442</v>
      </c>
      <c r="L1309" s="9"/>
      <c r="M1309" s="9"/>
      <c r="N1309" s="9" t="str">
        <f ca="1">IFERROR(__xludf.DUMMYFUNCTION("IFERROR(VALUE(REGEXEXTRACT(TO_TEXT($F1309), N$1 &amp; ""x(\d+)"")), """")
"),"")</f>
        <v/>
      </c>
      <c r="O1309" s="9">
        <f ca="1">IFERROR(__xludf.DUMMYFUNCTION("IFERROR(VALUE(REGEXEXTRACT(TO_TEXT($F1309), O$1 &amp; ""x(\d+)"")), """")"),1)</f>
        <v>1</v>
      </c>
      <c r="P1309" s="9" t="str">
        <f ca="1">IFERROR(__xludf.DUMMYFUNCTION("IFERROR(VALUE(REGEXEXTRACT(TO_TEXT($F1309), P$1 &amp; ""x(\d+)"")), """")"),"")</f>
        <v/>
      </c>
      <c r="Q1309" s="9" t="str">
        <f ca="1">IFERROR(__xludf.DUMMYFUNCTION("IFERROR(VALUE(REGEXEXTRACT(TO_TEXT($F1309), Q$1 &amp; ""x(\d+)"")), """")"),"")</f>
        <v/>
      </c>
      <c r="R1309" s="9" t="str">
        <f ca="1">IFERROR(__xludf.DUMMYFUNCTION("IFERROR(VALUE(REGEXEXTRACT(TO_TEXT($F1309), R$1 &amp; ""x(\d+)"")), """")"),"")</f>
        <v/>
      </c>
      <c r="S1309" s="9" t="str">
        <f ca="1">IFERROR(__xludf.DUMMYFUNCTION("IFERROR(VALUE(REGEXEXTRACT(TO_TEXT($F1309), S$1 &amp; ""x(\d+)"")), """")"),"")</f>
        <v/>
      </c>
      <c r="T1309" s="9" t="str">
        <f ca="1">IFERROR(__xludf.DUMMYFUNCTION("IFERROR(VALUE(REGEXEXTRACT(TO_TEXT($F1309), T$1 &amp; ""x(\d+)"")), """")"),"")</f>
        <v/>
      </c>
      <c r="U1309" s="9" t="str">
        <f ca="1">IFERROR(__xludf.DUMMYFUNCTION("IFERROR(VALUE(REGEXEXTRACT(TO_TEXT($F1309), U$1 &amp; ""x(\d+)"")), """")"),"")</f>
        <v/>
      </c>
      <c r="V1309" s="9" t="str">
        <f ca="1">IFERROR(__xludf.DUMMYFUNCTION("IFERROR(VALUE(REGEXEXTRACT(TO_TEXT($F1309), V$1 &amp; ""x(\d+)"")), """")"),"")</f>
        <v/>
      </c>
      <c r="W1309" s="9"/>
      <c r="X1309" s="9"/>
      <c r="Y1309" s="9"/>
      <c r="Z1309" s="9"/>
    </row>
    <row r="1310" spans="1:26" ht="15.75" customHeight="1">
      <c r="A1310" s="9" t="s">
        <v>2388</v>
      </c>
      <c r="B1310" s="9" t="s">
        <v>2389</v>
      </c>
      <c r="C1310" s="9" t="s">
        <v>2390</v>
      </c>
      <c r="D1310" s="9" t="s">
        <v>33</v>
      </c>
      <c r="E1310" s="9" t="s">
        <v>13</v>
      </c>
      <c r="F1310" s="9" t="s">
        <v>1369</v>
      </c>
      <c r="G1310" s="9">
        <v>15</v>
      </c>
      <c r="H1310" s="9">
        <v>2</v>
      </c>
      <c r="I1310" s="9">
        <v>1.0149999999999999</v>
      </c>
      <c r="J1310" s="9">
        <v>110</v>
      </c>
      <c r="K1310" s="9" t="s">
        <v>442</v>
      </c>
      <c r="L1310" s="9"/>
      <c r="M1310" s="9"/>
      <c r="N1310" s="9" t="str">
        <f ca="1">IFERROR(__xludf.DUMMYFUNCTION("IFERROR(VALUE(REGEXEXTRACT(TO_TEXT($F1310), N$1 &amp; ""x(\d+)"")), """")
"),"")</f>
        <v/>
      </c>
      <c r="O1310" s="9">
        <f ca="1">IFERROR(__xludf.DUMMYFUNCTION("IFERROR(VALUE(REGEXEXTRACT(TO_TEXT($F1310), O$1 &amp; ""x(\d+)"")), """")"),1)</f>
        <v>1</v>
      </c>
      <c r="P1310" s="9" t="str">
        <f ca="1">IFERROR(__xludf.DUMMYFUNCTION("IFERROR(VALUE(REGEXEXTRACT(TO_TEXT($F1310), P$1 &amp; ""x(\d+)"")), """")"),"")</f>
        <v/>
      </c>
      <c r="Q1310" s="9" t="str">
        <f ca="1">IFERROR(__xludf.DUMMYFUNCTION("IFERROR(VALUE(REGEXEXTRACT(TO_TEXT($F1310), Q$1 &amp; ""x(\d+)"")), """")"),"")</f>
        <v/>
      </c>
      <c r="R1310" s="9" t="str">
        <f ca="1">IFERROR(__xludf.DUMMYFUNCTION("IFERROR(VALUE(REGEXEXTRACT(TO_TEXT($F1310), R$1 &amp; ""x(\d+)"")), """")"),"")</f>
        <v/>
      </c>
      <c r="S1310" s="9" t="str">
        <f ca="1">IFERROR(__xludf.DUMMYFUNCTION("IFERROR(VALUE(REGEXEXTRACT(TO_TEXT($F1310), S$1 &amp; ""x(\d+)"")), """")"),"")</f>
        <v/>
      </c>
      <c r="T1310" s="9" t="str">
        <f ca="1">IFERROR(__xludf.DUMMYFUNCTION("IFERROR(VALUE(REGEXEXTRACT(TO_TEXT($F1310), T$1 &amp; ""x(\d+)"")), """")"),"")</f>
        <v/>
      </c>
      <c r="U1310" s="9" t="str">
        <f ca="1">IFERROR(__xludf.DUMMYFUNCTION("IFERROR(VALUE(REGEXEXTRACT(TO_TEXT($F1310), U$1 &amp; ""x(\d+)"")), """")"),"")</f>
        <v/>
      </c>
      <c r="V1310" s="9" t="str">
        <f ca="1">IFERROR(__xludf.DUMMYFUNCTION("IFERROR(VALUE(REGEXEXTRACT(TO_TEXT($F1310), V$1 &amp; ""x(\d+)"")), """")"),"")</f>
        <v/>
      </c>
      <c r="W1310" s="9"/>
      <c r="X1310" s="9"/>
      <c r="Y1310" s="9"/>
      <c r="Z1310" s="9"/>
    </row>
    <row r="1311" spans="1:26" ht="15.75" customHeight="1">
      <c r="A1311" s="9" t="s">
        <v>2388</v>
      </c>
      <c r="B1311" s="9" t="s">
        <v>2389</v>
      </c>
      <c r="C1311" s="9" t="s">
        <v>2390</v>
      </c>
      <c r="D1311" s="9" t="s">
        <v>33</v>
      </c>
      <c r="E1311" s="9" t="s">
        <v>11</v>
      </c>
      <c r="F1311" s="9" t="s">
        <v>2392</v>
      </c>
      <c r="G1311" s="9"/>
      <c r="H1311" s="9">
        <v>2</v>
      </c>
      <c r="I1311" s="9">
        <v>1.0149999999999999</v>
      </c>
      <c r="J1311" s="9">
        <v>80</v>
      </c>
      <c r="K1311" s="9" t="s">
        <v>499</v>
      </c>
      <c r="L1311" s="9"/>
      <c r="M1311" s="9"/>
      <c r="N1311" s="9" t="str">
        <f ca="1">IFERROR(__xludf.DUMMYFUNCTION("IFERROR(VALUE(REGEXEXTRACT(TO_TEXT($F1311), N$1 &amp; ""x(\d+)"")), """")
"),"")</f>
        <v/>
      </c>
      <c r="O1311" s="9" t="str">
        <f ca="1">IFERROR(__xludf.DUMMYFUNCTION("IFERROR(VALUE(REGEXEXTRACT(TO_TEXT($F1311), O$1 &amp; ""x(\d+)"")), """")"),"")</f>
        <v/>
      </c>
      <c r="P1311" s="9" t="str">
        <f ca="1">IFERROR(__xludf.DUMMYFUNCTION("IFERROR(VALUE(REGEXEXTRACT(TO_TEXT($F1311), P$1 &amp; ""x(\d+)"")), """")"),"")</f>
        <v/>
      </c>
      <c r="Q1311" s="9" t="str">
        <f ca="1">IFERROR(__xludf.DUMMYFUNCTION("IFERROR(VALUE(REGEXEXTRACT(TO_TEXT($F1311), Q$1 &amp; ""x(\d+)"")), """")"),"")</f>
        <v/>
      </c>
      <c r="R1311" s="9" t="str">
        <f ca="1">IFERROR(__xludf.DUMMYFUNCTION("IFERROR(VALUE(REGEXEXTRACT(TO_TEXT($F1311), R$1 &amp; ""x(\d+)"")), """")"),"")</f>
        <v/>
      </c>
      <c r="S1311" s="9" t="str">
        <f ca="1">IFERROR(__xludf.DUMMYFUNCTION("IFERROR(VALUE(REGEXEXTRACT(TO_TEXT($F1311), S$1 &amp; ""x(\d+)"")), """")"),"")</f>
        <v/>
      </c>
      <c r="T1311" s="9" t="str">
        <f ca="1">IFERROR(__xludf.DUMMYFUNCTION("IFERROR(VALUE(REGEXEXTRACT(TO_TEXT($F1311), T$1 &amp; ""x(\d+)"")), """")"),"")</f>
        <v/>
      </c>
      <c r="U1311" s="9" t="str">
        <f ca="1">IFERROR(__xludf.DUMMYFUNCTION("IFERROR(VALUE(REGEXEXTRACT(TO_TEXT($F1311), U$1 &amp; ""x(\d+)"")), """")"),"")</f>
        <v/>
      </c>
      <c r="V1311" s="9" t="str">
        <f ca="1">IFERROR(__xludf.DUMMYFUNCTION("IFERROR(VALUE(REGEXEXTRACT(TO_TEXT($F1311), V$1 &amp; ""x(\d+)"")), """")"),"")</f>
        <v/>
      </c>
      <c r="W1311" s="9"/>
      <c r="X1311" s="9"/>
      <c r="Y1311" s="9"/>
      <c r="Z1311" s="9"/>
    </row>
    <row r="1312" spans="1:26" ht="15.75" customHeight="1">
      <c r="A1312" s="9" t="s">
        <v>2388</v>
      </c>
      <c r="B1312" s="9" t="s">
        <v>2389</v>
      </c>
      <c r="C1312" s="9" t="s">
        <v>2390</v>
      </c>
      <c r="D1312" s="9" t="s">
        <v>33</v>
      </c>
      <c r="E1312" s="9" t="s">
        <v>12</v>
      </c>
      <c r="F1312" s="9" t="s">
        <v>2393</v>
      </c>
      <c r="G1312" s="9">
        <v>40</v>
      </c>
      <c r="H1312" s="9">
        <v>2</v>
      </c>
      <c r="I1312" s="9">
        <v>1.0149999999999999</v>
      </c>
      <c r="J1312" s="9">
        <v>80</v>
      </c>
      <c r="K1312" s="9" t="s">
        <v>499</v>
      </c>
      <c r="L1312" s="9"/>
      <c r="M1312" s="9"/>
      <c r="N1312" s="9" t="str">
        <f ca="1">IFERROR(__xludf.DUMMYFUNCTION("IFERROR(VALUE(REGEXEXTRACT(TO_TEXT($F1312), N$1 &amp; ""x(\d+)"")), """")
"),"")</f>
        <v/>
      </c>
      <c r="O1312" s="9">
        <f ca="1">IFERROR(__xludf.DUMMYFUNCTION("IFERROR(VALUE(REGEXEXTRACT(TO_TEXT($F1312), O$1 &amp; ""x(\d+)"")), """")"),1)</f>
        <v>1</v>
      </c>
      <c r="P1312" s="9" t="str">
        <f ca="1">IFERROR(__xludf.DUMMYFUNCTION("IFERROR(VALUE(REGEXEXTRACT(TO_TEXT($F1312), P$1 &amp; ""x(\d+)"")), """")"),"")</f>
        <v/>
      </c>
      <c r="Q1312" s="9" t="str">
        <f ca="1">IFERROR(__xludf.DUMMYFUNCTION("IFERROR(VALUE(REGEXEXTRACT(TO_TEXT($F1312), Q$1 &amp; ""x(\d+)"")), """")"),"")</f>
        <v/>
      </c>
      <c r="R1312" s="9" t="str">
        <f ca="1">IFERROR(__xludf.DUMMYFUNCTION("IFERROR(VALUE(REGEXEXTRACT(TO_TEXT($F1312), R$1 &amp; ""x(\d+)"")), """")"),"")</f>
        <v/>
      </c>
      <c r="S1312" s="9" t="str">
        <f ca="1">IFERROR(__xludf.DUMMYFUNCTION("IFERROR(VALUE(REGEXEXTRACT(TO_TEXT($F1312), S$1 &amp; ""x(\d+)"")), """")"),"")</f>
        <v/>
      </c>
      <c r="T1312" s="9" t="str">
        <f ca="1">IFERROR(__xludf.DUMMYFUNCTION("IFERROR(VALUE(REGEXEXTRACT(TO_TEXT($F1312), T$1 &amp; ""x(\d+)"")), """")"),"")</f>
        <v/>
      </c>
      <c r="U1312" s="9" t="str">
        <f ca="1">IFERROR(__xludf.DUMMYFUNCTION("IFERROR(VALUE(REGEXEXTRACT(TO_TEXT($F1312), U$1 &amp; ""x(\d+)"")), """")"),"")</f>
        <v/>
      </c>
      <c r="V1312" s="9" t="str">
        <f ca="1">IFERROR(__xludf.DUMMYFUNCTION("IFERROR(VALUE(REGEXEXTRACT(TO_TEXT($F1312), V$1 &amp; ""x(\d+)"")), """")"),"")</f>
        <v/>
      </c>
      <c r="W1312" s="9"/>
      <c r="X1312" s="9"/>
      <c r="Y1312" s="9"/>
      <c r="Z1312" s="9"/>
    </row>
    <row r="1313" spans="1:26" ht="15.75" customHeight="1">
      <c r="A1313" s="9" t="s">
        <v>2388</v>
      </c>
      <c r="B1313" s="9" t="s">
        <v>2389</v>
      </c>
      <c r="C1313" s="9" t="s">
        <v>2390</v>
      </c>
      <c r="D1313" s="9" t="s">
        <v>33</v>
      </c>
      <c r="E1313" s="9" t="s">
        <v>13</v>
      </c>
      <c r="F1313" s="9" t="s">
        <v>1369</v>
      </c>
      <c r="G1313" s="9">
        <v>15</v>
      </c>
      <c r="H1313" s="9">
        <v>2</v>
      </c>
      <c r="I1313" s="9">
        <v>1.0149999999999999</v>
      </c>
      <c r="J1313" s="9">
        <v>80</v>
      </c>
      <c r="K1313" s="9" t="s">
        <v>499</v>
      </c>
      <c r="L1313" s="9"/>
      <c r="M1313" s="9"/>
      <c r="N1313" s="9" t="str">
        <f ca="1">IFERROR(__xludf.DUMMYFUNCTION("IFERROR(VALUE(REGEXEXTRACT(TO_TEXT($F1313), N$1 &amp; ""x(\d+)"")), """")
"),"")</f>
        <v/>
      </c>
      <c r="O1313" s="9">
        <f ca="1">IFERROR(__xludf.DUMMYFUNCTION("IFERROR(VALUE(REGEXEXTRACT(TO_TEXT($F1313), O$1 &amp; ""x(\d+)"")), """")"),1)</f>
        <v>1</v>
      </c>
      <c r="P1313" s="9" t="str">
        <f ca="1">IFERROR(__xludf.DUMMYFUNCTION("IFERROR(VALUE(REGEXEXTRACT(TO_TEXT($F1313), P$1 &amp; ""x(\d+)"")), """")"),"")</f>
        <v/>
      </c>
      <c r="Q1313" s="9" t="str">
        <f ca="1">IFERROR(__xludf.DUMMYFUNCTION("IFERROR(VALUE(REGEXEXTRACT(TO_TEXT($F1313), Q$1 &amp; ""x(\d+)"")), """")"),"")</f>
        <v/>
      </c>
      <c r="R1313" s="9" t="str">
        <f ca="1">IFERROR(__xludf.DUMMYFUNCTION("IFERROR(VALUE(REGEXEXTRACT(TO_TEXT($F1313), R$1 &amp; ""x(\d+)"")), """")"),"")</f>
        <v/>
      </c>
      <c r="S1313" s="9" t="str">
        <f ca="1">IFERROR(__xludf.DUMMYFUNCTION("IFERROR(VALUE(REGEXEXTRACT(TO_TEXT($F1313), S$1 &amp; ""x(\d+)"")), """")"),"")</f>
        <v/>
      </c>
      <c r="T1313" s="9" t="str">
        <f ca="1">IFERROR(__xludf.DUMMYFUNCTION("IFERROR(VALUE(REGEXEXTRACT(TO_TEXT($F1313), T$1 &amp; ""x(\d+)"")), """")"),"")</f>
        <v/>
      </c>
      <c r="U1313" s="9" t="str">
        <f ca="1">IFERROR(__xludf.DUMMYFUNCTION("IFERROR(VALUE(REGEXEXTRACT(TO_TEXT($F1313), U$1 &amp; ""x(\d+)"")), """")"),"")</f>
        <v/>
      </c>
      <c r="V1313" s="9" t="str">
        <f ca="1">IFERROR(__xludf.DUMMYFUNCTION("IFERROR(VALUE(REGEXEXTRACT(TO_TEXT($F1313), V$1 &amp; ""x(\d+)"")), """")"),"")</f>
        <v/>
      </c>
      <c r="W1313" s="9"/>
      <c r="X1313" s="9"/>
      <c r="Y1313" s="9"/>
      <c r="Z1313" s="9"/>
    </row>
    <row r="1314" spans="1:26" ht="15.75" customHeight="1">
      <c r="A1314" s="9" t="s">
        <v>2394</v>
      </c>
      <c r="B1314" s="9" t="s">
        <v>2395</v>
      </c>
      <c r="C1314" s="9" t="s">
        <v>2396</v>
      </c>
      <c r="D1314" s="9" t="s">
        <v>48</v>
      </c>
      <c r="E1314" s="9" t="s">
        <v>11</v>
      </c>
      <c r="F1314" s="9" t="s">
        <v>1301</v>
      </c>
      <c r="G1314" s="9">
        <v>30</v>
      </c>
      <c r="H1314" s="9">
        <v>5</v>
      </c>
      <c r="I1314" s="9">
        <v>1.0149999999999999</v>
      </c>
      <c r="J1314" s="9">
        <v>52</v>
      </c>
      <c r="K1314" s="9" t="s">
        <v>424</v>
      </c>
      <c r="L1314" s="9"/>
      <c r="M1314" s="9"/>
      <c r="N1314" s="9" t="str">
        <f ca="1">IFERROR(__xludf.DUMMYFUNCTION("IFERROR(VALUE(REGEXEXTRACT(TO_TEXT($F1314), N$1 &amp; ""x(\d+)"")), """")
"),"")</f>
        <v/>
      </c>
      <c r="O1314" s="9" t="str">
        <f ca="1">IFERROR(__xludf.DUMMYFUNCTION("IFERROR(VALUE(REGEXEXTRACT(TO_TEXT($F1314), O$1 &amp; ""x(\d+)"")), """")"),"")</f>
        <v/>
      </c>
      <c r="P1314" s="9" t="str">
        <f ca="1">IFERROR(__xludf.DUMMYFUNCTION("IFERROR(VALUE(REGEXEXTRACT(TO_TEXT($F1314), P$1 &amp; ""x(\d+)"")), """")"),"")</f>
        <v/>
      </c>
      <c r="Q1314" s="9" t="str">
        <f ca="1">IFERROR(__xludf.DUMMYFUNCTION("IFERROR(VALUE(REGEXEXTRACT(TO_TEXT($F1314), Q$1 &amp; ""x(\d+)"")), """")"),"")</f>
        <v/>
      </c>
      <c r="R1314" s="9" t="str">
        <f ca="1">IFERROR(__xludf.DUMMYFUNCTION("IFERROR(VALUE(REGEXEXTRACT(TO_TEXT($F1314), R$1 &amp; ""x(\d+)"")), """")"),"")</f>
        <v/>
      </c>
      <c r="S1314" s="9" t="str">
        <f ca="1">IFERROR(__xludf.DUMMYFUNCTION("IFERROR(VALUE(REGEXEXTRACT(TO_TEXT($F1314), S$1 &amp; ""x(\d+)"")), """")"),"")</f>
        <v/>
      </c>
      <c r="T1314" s="9" t="str">
        <f ca="1">IFERROR(__xludf.DUMMYFUNCTION("IFERROR(VALUE(REGEXEXTRACT(TO_TEXT($F1314), T$1 &amp; ""x(\d+)"")), """")"),"")</f>
        <v/>
      </c>
      <c r="U1314" s="9" t="str">
        <f ca="1">IFERROR(__xludf.DUMMYFUNCTION("IFERROR(VALUE(REGEXEXTRACT(TO_TEXT($F1314), U$1 &amp; ""x(\d+)"")), """")"),"")</f>
        <v/>
      </c>
      <c r="V1314" s="9" t="str">
        <f ca="1">IFERROR(__xludf.DUMMYFUNCTION("IFERROR(VALUE(REGEXEXTRACT(TO_TEXT($F1314), V$1 &amp; ""x(\d+)"")), """")"),"")</f>
        <v/>
      </c>
      <c r="W1314" s="9"/>
      <c r="X1314" s="9"/>
      <c r="Y1314" s="9"/>
      <c r="Z1314" s="9"/>
    </row>
    <row r="1315" spans="1:26" ht="15.75" customHeight="1">
      <c r="A1315" s="9" t="s">
        <v>2394</v>
      </c>
      <c r="B1315" s="9" t="s">
        <v>2395</v>
      </c>
      <c r="C1315" s="9" t="s">
        <v>2396</v>
      </c>
      <c r="D1315" s="9" t="s">
        <v>48</v>
      </c>
      <c r="E1315" s="9" t="s">
        <v>12</v>
      </c>
      <c r="F1315" s="9" t="s">
        <v>1302</v>
      </c>
      <c r="G1315" s="9">
        <v>140</v>
      </c>
      <c r="H1315" s="9">
        <v>5</v>
      </c>
      <c r="I1315" s="9">
        <v>1.0149999999999999</v>
      </c>
      <c r="J1315" s="9">
        <v>52</v>
      </c>
      <c r="K1315" s="9" t="s">
        <v>424</v>
      </c>
      <c r="L1315" s="9"/>
      <c r="M1315" s="9"/>
      <c r="N1315" s="9" t="str">
        <f ca="1">IFERROR(__xludf.DUMMYFUNCTION("IFERROR(VALUE(REGEXEXTRACT(TO_TEXT($F1315), N$1 &amp; ""x(\d+)"")), """")
"),"")</f>
        <v/>
      </c>
      <c r="O1315" s="9" t="str">
        <f ca="1">IFERROR(__xludf.DUMMYFUNCTION("IFERROR(VALUE(REGEXEXTRACT(TO_TEXT($F1315), O$1 &amp; ""x(\d+)"")), """")"),"")</f>
        <v/>
      </c>
      <c r="P1315" s="9">
        <f ca="1">IFERROR(__xludf.DUMMYFUNCTION("IFERROR(VALUE(REGEXEXTRACT(TO_TEXT($F1315), P$1 &amp; ""x(\d+)"")), """")"),1)</f>
        <v>1</v>
      </c>
      <c r="Q1315" s="9" t="str">
        <f ca="1">IFERROR(__xludf.DUMMYFUNCTION("IFERROR(VALUE(REGEXEXTRACT(TO_TEXT($F1315), Q$1 &amp; ""x(\d+)"")), """")"),"")</f>
        <v/>
      </c>
      <c r="R1315" s="9" t="str">
        <f ca="1">IFERROR(__xludf.DUMMYFUNCTION("IFERROR(VALUE(REGEXEXTRACT(TO_TEXT($F1315), R$1 &amp; ""x(\d+)"")), """")"),"")</f>
        <v/>
      </c>
      <c r="S1315" s="9" t="str">
        <f ca="1">IFERROR(__xludf.DUMMYFUNCTION("IFERROR(VALUE(REGEXEXTRACT(TO_TEXT($F1315), S$1 &amp; ""x(\d+)"")), """")"),"")</f>
        <v/>
      </c>
      <c r="T1315" s="9" t="str">
        <f ca="1">IFERROR(__xludf.DUMMYFUNCTION("IFERROR(VALUE(REGEXEXTRACT(TO_TEXT($F1315), T$1 &amp; ""x(\d+)"")), """")"),"")</f>
        <v/>
      </c>
      <c r="U1315" s="9" t="str">
        <f ca="1">IFERROR(__xludf.DUMMYFUNCTION("IFERROR(VALUE(REGEXEXTRACT(TO_TEXT($F1315), U$1 &amp; ""x(\d+)"")), """")"),"")</f>
        <v/>
      </c>
      <c r="V1315" s="9" t="str">
        <f ca="1">IFERROR(__xludf.DUMMYFUNCTION("IFERROR(VALUE(REGEXEXTRACT(TO_TEXT($F1315), V$1 &amp; ""x(\d+)"")), """")"),"")</f>
        <v/>
      </c>
      <c r="W1315" s="9"/>
      <c r="X1315" s="9"/>
      <c r="Y1315" s="9"/>
      <c r="Z1315" s="9"/>
    </row>
    <row r="1316" spans="1:26" ht="15.75" customHeight="1">
      <c r="A1316" s="9" t="s">
        <v>2394</v>
      </c>
      <c r="B1316" s="9" t="s">
        <v>2395</v>
      </c>
      <c r="C1316" s="9" t="s">
        <v>2396</v>
      </c>
      <c r="D1316" s="9" t="s">
        <v>48</v>
      </c>
      <c r="E1316" s="9" t="s">
        <v>13</v>
      </c>
      <c r="F1316" s="9" t="s">
        <v>1201</v>
      </c>
      <c r="G1316" s="9">
        <v>30</v>
      </c>
      <c r="H1316" s="9">
        <v>5</v>
      </c>
      <c r="I1316" s="9">
        <v>1.0149999999999999</v>
      </c>
      <c r="J1316" s="9">
        <v>52</v>
      </c>
      <c r="K1316" s="9" t="s">
        <v>424</v>
      </c>
      <c r="L1316" s="9"/>
      <c r="M1316" s="9"/>
      <c r="N1316" s="9" t="str">
        <f ca="1">IFERROR(__xludf.DUMMYFUNCTION("IFERROR(VALUE(REGEXEXTRACT(TO_TEXT($F1316), N$1 &amp; ""x(\d+)"")), """")
"),"")</f>
        <v/>
      </c>
      <c r="O1316" s="9" t="str">
        <f ca="1">IFERROR(__xludf.DUMMYFUNCTION("IFERROR(VALUE(REGEXEXTRACT(TO_TEXT($F1316), O$1 &amp; ""x(\d+)"")), """")"),"")</f>
        <v/>
      </c>
      <c r="P1316" s="9">
        <f ca="1">IFERROR(__xludf.DUMMYFUNCTION("IFERROR(VALUE(REGEXEXTRACT(TO_TEXT($F1316), P$1 &amp; ""x(\d+)"")), """")"),1)</f>
        <v>1</v>
      </c>
      <c r="Q1316" s="9" t="str">
        <f ca="1">IFERROR(__xludf.DUMMYFUNCTION("IFERROR(VALUE(REGEXEXTRACT(TO_TEXT($F1316), Q$1 &amp; ""x(\d+)"")), """")"),"")</f>
        <v/>
      </c>
      <c r="R1316" s="9" t="str">
        <f ca="1">IFERROR(__xludf.DUMMYFUNCTION("IFERROR(VALUE(REGEXEXTRACT(TO_TEXT($F1316), R$1 &amp; ""x(\d+)"")), """")"),"")</f>
        <v/>
      </c>
      <c r="S1316" s="9" t="str">
        <f ca="1">IFERROR(__xludf.DUMMYFUNCTION("IFERROR(VALUE(REGEXEXTRACT(TO_TEXT($F1316), S$1 &amp; ""x(\d+)"")), """")"),"")</f>
        <v/>
      </c>
      <c r="T1316" s="9" t="str">
        <f ca="1">IFERROR(__xludf.DUMMYFUNCTION("IFERROR(VALUE(REGEXEXTRACT(TO_TEXT($F1316), T$1 &amp; ""x(\d+)"")), """")"),"")</f>
        <v/>
      </c>
      <c r="U1316" s="9" t="str">
        <f ca="1">IFERROR(__xludf.DUMMYFUNCTION("IFERROR(VALUE(REGEXEXTRACT(TO_TEXT($F1316), U$1 &amp; ""x(\d+)"")), """")"),"")</f>
        <v/>
      </c>
      <c r="V1316" s="9" t="str">
        <f ca="1">IFERROR(__xludf.DUMMYFUNCTION("IFERROR(VALUE(REGEXEXTRACT(TO_TEXT($F1316), V$1 &amp; ""x(\d+)"")), """")"),"")</f>
        <v/>
      </c>
      <c r="W1316" s="9"/>
      <c r="X1316" s="9"/>
      <c r="Y1316" s="9"/>
      <c r="Z1316" s="9"/>
    </row>
    <row r="1317" spans="1:26" ht="15.75" customHeight="1">
      <c r="A1317" s="9" t="s">
        <v>2397</v>
      </c>
      <c r="B1317" s="9" t="s">
        <v>2398</v>
      </c>
      <c r="C1317" s="9" t="s">
        <v>2399</v>
      </c>
      <c r="D1317" s="9" t="s">
        <v>33</v>
      </c>
      <c r="E1317" s="9" t="s">
        <v>11</v>
      </c>
      <c r="F1317" s="9" t="s">
        <v>2090</v>
      </c>
      <c r="G1317" s="9">
        <v>100</v>
      </c>
      <c r="H1317" s="9">
        <v>3</v>
      </c>
      <c r="I1317" s="9">
        <v>1.0149999999999999</v>
      </c>
      <c r="J1317" s="9">
        <v>101.7</v>
      </c>
      <c r="K1317" s="9" t="s">
        <v>442</v>
      </c>
      <c r="L1317" s="9"/>
      <c r="M1317" s="9"/>
      <c r="N1317" s="9">
        <f ca="1">IFERROR(__xludf.DUMMYFUNCTION("IFERROR(VALUE(REGEXEXTRACT(TO_TEXT($F1317), N$1 &amp; ""x(\d+)"")), """")
"),1)</f>
        <v>1</v>
      </c>
      <c r="O1317" s="9">
        <f ca="1">IFERROR(__xludf.DUMMYFUNCTION("IFERROR(VALUE(REGEXEXTRACT(TO_TEXT($F1317), O$1 &amp; ""x(\d+)"")), """")"),1)</f>
        <v>1</v>
      </c>
      <c r="P1317" s="9" t="str">
        <f ca="1">IFERROR(__xludf.DUMMYFUNCTION("IFERROR(VALUE(REGEXEXTRACT(TO_TEXT($F1317), P$1 &amp; ""x(\d+)"")), """")"),"")</f>
        <v/>
      </c>
      <c r="Q1317" s="9" t="str">
        <f ca="1">IFERROR(__xludf.DUMMYFUNCTION("IFERROR(VALUE(REGEXEXTRACT(TO_TEXT($F1317), Q$1 &amp; ""x(\d+)"")), """")"),"")</f>
        <v/>
      </c>
      <c r="R1317" s="9" t="str">
        <f ca="1">IFERROR(__xludf.DUMMYFUNCTION("IFERROR(VALUE(REGEXEXTRACT(TO_TEXT($F1317), R$1 &amp; ""x(\d+)"")), """")"),"")</f>
        <v/>
      </c>
      <c r="S1317" s="9" t="str">
        <f ca="1">IFERROR(__xludf.DUMMYFUNCTION("IFERROR(VALUE(REGEXEXTRACT(TO_TEXT($F1317), S$1 &amp; ""x(\d+)"")), """")"),"")</f>
        <v/>
      </c>
      <c r="T1317" s="9" t="str">
        <f ca="1">IFERROR(__xludf.DUMMYFUNCTION("IFERROR(VALUE(REGEXEXTRACT(TO_TEXT($F1317), T$1 &amp; ""x(\d+)"")), """")"),"")</f>
        <v/>
      </c>
      <c r="U1317" s="9" t="str">
        <f ca="1">IFERROR(__xludf.DUMMYFUNCTION("IFERROR(VALUE(REGEXEXTRACT(TO_TEXT($F1317), U$1 &amp; ""x(\d+)"")), """")"),"")</f>
        <v/>
      </c>
      <c r="V1317" s="9" t="str">
        <f ca="1">IFERROR(__xludf.DUMMYFUNCTION("IFERROR(VALUE(REGEXEXTRACT(TO_TEXT($F1317), V$1 &amp; ""x(\d+)"")), """")"),"")</f>
        <v/>
      </c>
      <c r="W1317" s="9"/>
      <c r="X1317" s="9"/>
      <c r="Y1317" s="9"/>
      <c r="Z1317" s="9"/>
    </row>
    <row r="1318" spans="1:26" ht="15.75" customHeight="1">
      <c r="A1318" s="9" t="s">
        <v>2397</v>
      </c>
      <c r="B1318" s="9" t="s">
        <v>2398</v>
      </c>
      <c r="C1318" s="9" t="s">
        <v>2399</v>
      </c>
      <c r="D1318" s="9" t="s">
        <v>33</v>
      </c>
      <c r="E1318" s="9" t="s">
        <v>12</v>
      </c>
      <c r="F1318" s="9" t="s">
        <v>2091</v>
      </c>
      <c r="G1318" s="9">
        <v>115</v>
      </c>
      <c r="H1318" s="9">
        <v>3</v>
      </c>
      <c r="I1318" s="9">
        <v>1.0149999999999999</v>
      </c>
      <c r="J1318" s="9">
        <v>101.7</v>
      </c>
      <c r="K1318" s="9" t="s">
        <v>442</v>
      </c>
      <c r="L1318" s="9"/>
      <c r="M1318" s="9"/>
      <c r="N1318" s="9">
        <f ca="1">IFERROR(__xludf.DUMMYFUNCTION("IFERROR(VALUE(REGEXEXTRACT(TO_TEXT($F1318), N$1 &amp; ""x(\d+)"")), """")
"),1)</f>
        <v>1</v>
      </c>
      <c r="O1318" s="9">
        <f ca="1">IFERROR(__xludf.DUMMYFUNCTION("IFERROR(VALUE(REGEXEXTRACT(TO_TEXT($F1318), O$1 &amp; ""x(\d+)"")), """")"),2)</f>
        <v>2</v>
      </c>
      <c r="P1318" s="9" t="str">
        <f ca="1">IFERROR(__xludf.DUMMYFUNCTION("IFERROR(VALUE(REGEXEXTRACT(TO_TEXT($F1318), P$1 &amp; ""x(\d+)"")), """")"),"")</f>
        <v/>
      </c>
      <c r="Q1318" s="9" t="str">
        <f ca="1">IFERROR(__xludf.DUMMYFUNCTION("IFERROR(VALUE(REGEXEXTRACT(TO_TEXT($F1318), Q$1 &amp; ""x(\d+)"")), """")"),"")</f>
        <v/>
      </c>
      <c r="R1318" s="9" t="str">
        <f ca="1">IFERROR(__xludf.DUMMYFUNCTION("IFERROR(VALUE(REGEXEXTRACT(TO_TEXT($F1318), R$1 &amp; ""x(\d+)"")), """")"),"")</f>
        <v/>
      </c>
      <c r="S1318" s="9" t="str">
        <f ca="1">IFERROR(__xludf.DUMMYFUNCTION("IFERROR(VALUE(REGEXEXTRACT(TO_TEXT($F1318), S$1 &amp; ""x(\d+)"")), """")"),"")</f>
        <v/>
      </c>
      <c r="T1318" s="9" t="str">
        <f ca="1">IFERROR(__xludf.DUMMYFUNCTION("IFERROR(VALUE(REGEXEXTRACT(TO_TEXT($F1318), T$1 &amp; ""x(\d+)"")), """")"),"")</f>
        <v/>
      </c>
      <c r="U1318" s="9" t="str">
        <f ca="1">IFERROR(__xludf.DUMMYFUNCTION("IFERROR(VALUE(REGEXEXTRACT(TO_TEXT($F1318), U$1 &amp; ""x(\d+)"")), """")"),"")</f>
        <v/>
      </c>
      <c r="V1318" s="9" t="str">
        <f ca="1">IFERROR(__xludf.DUMMYFUNCTION("IFERROR(VALUE(REGEXEXTRACT(TO_TEXT($F1318), V$1 &amp; ""x(\d+)"")), """")"),"")</f>
        <v/>
      </c>
      <c r="W1318" s="9"/>
      <c r="X1318" s="9"/>
      <c r="Y1318" s="9"/>
      <c r="Z1318" s="9"/>
    </row>
    <row r="1319" spans="1:26" ht="15.75" customHeight="1">
      <c r="A1319" s="9" t="s">
        <v>2397</v>
      </c>
      <c r="B1319" s="9" t="s">
        <v>2398</v>
      </c>
      <c r="C1319" s="9" t="s">
        <v>2399</v>
      </c>
      <c r="D1319" s="9" t="s">
        <v>33</v>
      </c>
      <c r="E1319" s="9" t="s">
        <v>13</v>
      </c>
      <c r="F1319" s="9" t="s">
        <v>2092</v>
      </c>
      <c r="G1319" s="9">
        <v>50</v>
      </c>
      <c r="H1319" s="9">
        <v>3</v>
      </c>
      <c r="I1319" s="9">
        <v>1.0149999999999999</v>
      </c>
      <c r="J1319" s="9">
        <v>101.7</v>
      </c>
      <c r="K1319" s="9" t="s">
        <v>442</v>
      </c>
      <c r="L1319" s="9"/>
      <c r="M1319" s="9"/>
      <c r="N1319" s="9">
        <f ca="1">IFERROR(__xludf.DUMMYFUNCTION("IFERROR(VALUE(REGEXEXTRACT(TO_TEXT($F1319), N$1 &amp; ""x(\d+)"")), """")
"),1)</f>
        <v>1</v>
      </c>
      <c r="O1319" s="9">
        <f ca="1">IFERROR(__xludf.DUMMYFUNCTION("IFERROR(VALUE(REGEXEXTRACT(TO_TEXT($F1319), O$1 &amp; ""x(\d+)"")), """")"),2)</f>
        <v>2</v>
      </c>
      <c r="P1319" s="9" t="str">
        <f ca="1">IFERROR(__xludf.DUMMYFUNCTION("IFERROR(VALUE(REGEXEXTRACT(TO_TEXT($F1319), P$1 &amp; ""x(\d+)"")), """")"),"")</f>
        <v/>
      </c>
      <c r="Q1319" s="9" t="str">
        <f ca="1">IFERROR(__xludf.DUMMYFUNCTION("IFERROR(VALUE(REGEXEXTRACT(TO_TEXT($F1319), Q$1 &amp; ""x(\d+)"")), """")"),"")</f>
        <v/>
      </c>
      <c r="R1319" s="9" t="str">
        <f ca="1">IFERROR(__xludf.DUMMYFUNCTION("IFERROR(VALUE(REGEXEXTRACT(TO_TEXT($F1319), R$1 &amp; ""x(\d+)"")), """")"),"")</f>
        <v/>
      </c>
      <c r="S1319" s="9" t="str">
        <f ca="1">IFERROR(__xludf.DUMMYFUNCTION("IFERROR(VALUE(REGEXEXTRACT(TO_TEXT($F1319), S$1 &amp; ""x(\d+)"")), """")"),"")</f>
        <v/>
      </c>
      <c r="T1319" s="9" t="str">
        <f ca="1">IFERROR(__xludf.DUMMYFUNCTION("IFERROR(VALUE(REGEXEXTRACT(TO_TEXT($F1319), T$1 &amp; ""x(\d+)"")), """")"),"")</f>
        <v/>
      </c>
      <c r="U1319" s="9" t="str">
        <f ca="1">IFERROR(__xludf.DUMMYFUNCTION("IFERROR(VALUE(REGEXEXTRACT(TO_TEXT($F1319), U$1 &amp; ""x(\d+)"")), """")"),"")</f>
        <v/>
      </c>
      <c r="V1319" s="9" t="str">
        <f ca="1">IFERROR(__xludf.DUMMYFUNCTION("IFERROR(VALUE(REGEXEXTRACT(TO_TEXT($F1319), V$1 &amp; ""x(\d+)"")), """")"),"")</f>
        <v/>
      </c>
      <c r="W1319" s="9"/>
      <c r="X1319" s="9"/>
      <c r="Y1319" s="9"/>
      <c r="Z1319" s="9"/>
    </row>
    <row r="1320" spans="1:26" ht="15.75" customHeight="1">
      <c r="A1320" s="9" t="s">
        <v>2400</v>
      </c>
      <c r="B1320" s="9" t="s">
        <v>2401</v>
      </c>
      <c r="C1320" s="9" t="s">
        <v>2402</v>
      </c>
      <c r="D1320" s="9" t="s">
        <v>48</v>
      </c>
      <c r="E1320" s="9" t="s">
        <v>11</v>
      </c>
      <c r="F1320" s="9" t="s">
        <v>2117</v>
      </c>
      <c r="G1320" s="9">
        <v>30</v>
      </c>
      <c r="H1320" s="9">
        <v>5</v>
      </c>
      <c r="I1320" s="9">
        <v>1.0149999999999999</v>
      </c>
      <c r="J1320" s="9">
        <v>52</v>
      </c>
      <c r="K1320" s="9" t="s">
        <v>424</v>
      </c>
      <c r="L1320" s="9"/>
      <c r="M1320" s="9"/>
      <c r="N1320" s="9" t="str">
        <f ca="1">IFERROR(__xludf.DUMMYFUNCTION("IFERROR(VALUE(REGEXEXTRACT(TO_TEXT($F1320), N$1 &amp; ""x(\d+)"")), """")
"),"")</f>
        <v/>
      </c>
      <c r="O1320" s="9" t="str">
        <f ca="1">IFERROR(__xludf.DUMMYFUNCTION("IFERROR(VALUE(REGEXEXTRACT(TO_TEXT($F1320), O$1 &amp; ""x(\d+)"")), """")"),"")</f>
        <v/>
      </c>
      <c r="P1320" s="9" t="str">
        <f ca="1">IFERROR(__xludf.DUMMYFUNCTION("IFERROR(VALUE(REGEXEXTRACT(TO_TEXT($F1320), P$1 &amp; ""x(\d+)"")), """")"),"")</f>
        <v/>
      </c>
      <c r="Q1320" s="9" t="str">
        <f ca="1">IFERROR(__xludf.DUMMYFUNCTION("IFERROR(VALUE(REGEXEXTRACT(TO_TEXT($F1320), Q$1 &amp; ""x(\d+)"")), """")"),"")</f>
        <v/>
      </c>
      <c r="R1320" s="9" t="str">
        <f ca="1">IFERROR(__xludf.DUMMYFUNCTION("IFERROR(VALUE(REGEXEXTRACT(TO_TEXT($F1320), R$1 &amp; ""x(\d+)"")), """")"),"")</f>
        <v/>
      </c>
      <c r="S1320" s="9" t="str">
        <f ca="1">IFERROR(__xludf.DUMMYFUNCTION("IFERROR(VALUE(REGEXEXTRACT(TO_TEXT($F1320), S$1 &amp; ""x(\d+)"")), """")"),"")</f>
        <v/>
      </c>
      <c r="T1320" s="9" t="str">
        <f ca="1">IFERROR(__xludf.DUMMYFUNCTION("IFERROR(VALUE(REGEXEXTRACT(TO_TEXT($F1320), T$1 &amp; ""x(\d+)"")), """")"),"")</f>
        <v/>
      </c>
      <c r="U1320" s="9" t="str">
        <f ca="1">IFERROR(__xludf.DUMMYFUNCTION("IFERROR(VALUE(REGEXEXTRACT(TO_TEXT($F1320), U$1 &amp; ""x(\d+)"")), """")"),"")</f>
        <v/>
      </c>
      <c r="V1320" s="9" t="str">
        <f ca="1">IFERROR(__xludf.DUMMYFUNCTION("IFERROR(VALUE(REGEXEXTRACT(TO_TEXT($F1320), V$1 &amp; ""x(\d+)"")), """")"),"")</f>
        <v/>
      </c>
      <c r="W1320" s="9"/>
      <c r="X1320" s="9"/>
      <c r="Y1320" s="9"/>
      <c r="Z1320" s="9"/>
    </row>
    <row r="1321" spans="1:26" ht="15.75" customHeight="1">
      <c r="A1321" s="9" t="s">
        <v>2400</v>
      </c>
      <c r="B1321" s="9" t="s">
        <v>2401</v>
      </c>
      <c r="C1321" s="9" t="s">
        <v>2402</v>
      </c>
      <c r="D1321" s="9" t="s">
        <v>48</v>
      </c>
      <c r="E1321" s="9" t="s">
        <v>12</v>
      </c>
      <c r="F1321" s="9" t="s">
        <v>2403</v>
      </c>
      <c r="G1321" s="9">
        <v>125</v>
      </c>
      <c r="H1321" s="9">
        <v>5</v>
      </c>
      <c r="I1321" s="9">
        <v>1.0149999999999999</v>
      </c>
      <c r="J1321" s="9">
        <v>52</v>
      </c>
      <c r="K1321" s="9" t="s">
        <v>424</v>
      </c>
      <c r="L1321" s="9" t="s">
        <v>1210</v>
      </c>
      <c r="M1321" s="9"/>
      <c r="N1321" s="9" t="str">
        <f ca="1">IFERROR(__xludf.DUMMYFUNCTION("IFERROR(VALUE(REGEXEXTRACT(TO_TEXT($F1321), N$1 &amp; ""x(\d+)"")), """")
"),"")</f>
        <v/>
      </c>
      <c r="O1321" s="9" t="str">
        <f ca="1">IFERROR(__xludf.DUMMYFUNCTION("IFERROR(VALUE(REGEXEXTRACT(TO_TEXT($F1321), O$1 &amp; ""x(\d+)"")), """")"),"")</f>
        <v/>
      </c>
      <c r="P1321" s="9">
        <f ca="1">IFERROR(__xludf.DUMMYFUNCTION("IFERROR(VALUE(REGEXEXTRACT(TO_TEXT($F1321), P$1 &amp; ""x(\d+)"")), """")"),1)</f>
        <v>1</v>
      </c>
      <c r="Q1321" s="9" t="str">
        <f ca="1">IFERROR(__xludf.DUMMYFUNCTION("IFERROR(VALUE(REGEXEXTRACT(TO_TEXT($F1321), Q$1 &amp; ""x(\d+)"")), """")"),"")</f>
        <v/>
      </c>
      <c r="R1321" s="9" t="str">
        <f ca="1">IFERROR(__xludf.DUMMYFUNCTION("IFERROR(VALUE(REGEXEXTRACT(TO_TEXT($F1321), R$1 &amp; ""x(\d+)"")), """")"),"")</f>
        <v/>
      </c>
      <c r="S1321" s="9" t="str">
        <f ca="1">IFERROR(__xludf.DUMMYFUNCTION("IFERROR(VALUE(REGEXEXTRACT(TO_TEXT($F1321), S$1 &amp; ""x(\d+)"")), """")"),"")</f>
        <v/>
      </c>
      <c r="T1321" s="9" t="str">
        <f ca="1">IFERROR(__xludf.DUMMYFUNCTION("IFERROR(VALUE(REGEXEXTRACT(TO_TEXT($F1321), T$1 &amp; ""x(\d+)"")), """")"),"")</f>
        <v/>
      </c>
      <c r="U1321" s="9" t="str">
        <f ca="1">IFERROR(__xludf.DUMMYFUNCTION("IFERROR(VALUE(REGEXEXTRACT(TO_TEXT($F1321), U$1 &amp; ""x(\d+)"")), """")"),"")</f>
        <v/>
      </c>
      <c r="V1321" s="9" t="str">
        <f ca="1">IFERROR(__xludf.DUMMYFUNCTION("IFERROR(VALUE(REGEXEXTRACT(TO_TEXT($F1321), V$1 &amp; ""x(\d+)"")), """")"),"")</f>
        <v/>
      </c>
      <c r="W1321" s="9"/>
      <c r="X1321" s="9"/>
      <c r="Y1321" s="9"/>
      <c r="Z1321" s="9"/>
    </row>
    <row r="1322" spans="1:26" ht="15.75" customHeight="1">
      <c r="A1322" s="9" t="s">
        <v>2400</v>
      </c>
      <c r="B1322" s="9" t="s">
        <v>2401</v>
      </c>
      <c r="C1322" s="9" t="s">
        <v>2402</v>
      </c>
      <c r="D1322" s="9" t="s">
        <v>48</v>
      </c>
      <c r="E1322" s="9" t="s">
        <v>13</v>
      </c>
      <c r="F1322" s="9" t="s">
        <v>2404</v>
      </c>
      <c r="G1322" s="9">
        <v>40</v>
      </c>
      <c r="H1322" s="9">
        <v>5</v>
      </c>
      <c r="I1322" s="9">
        <v>1.0149999999999999</v>
      </c>
      <c r="J1322" s="9">
        <v>52</v>
      </c>
      <c r="K1322" s="9" t="s">
        <v>424</v>
      </c>
      <c r="L1322" s="9"/>
      <c r="M1322" s="9"/>
      <c r="N1322" s="9" t="str">
        <f ca="1">IFERROR(__xludf.DUMMYFUNCTION("IFERROR(VALUE(REGEXEXTRACT(TO_TEXT($F1322), N$1 &amp; ""x(\d+)"")), """")
"),"")</f>
        <v/>
      </c>
      <c r="O1322" s="9" t="str">
        <f ca="1">IFERROR(__xludf.DUMMYFUNCTION("IFERROR(VALUE(REGEXEXTRACT(TO_TEXT($F1322), O$1 &amp; ""x(\d+)"")), """")"),"")</f>
        <v/>
      </c>
      <c r="P1322" s="9">
        <f ca="1">IFERROR(__xludf.DUMMYFUNCTION("IFERROR(VALUE(REGEXEXTRACT(TO_TEXT($F1322), P$1 &amp; ""x(\d+)"")), """")"),1)</f>
        <v>1</v>
      </c>
      <c r="Q1322" s="9" t="str">
        <f ca="1">IFERROR(__xludf.DUMMYFUNCTION("IFERROR(VALUE(REGEXEXTRACT(TO_TEXT($F1322), Q$1 &amp; ""x(\d+)"")), """")"),"")</f>
        <v/>
      </c>
      <c r="R1322" s="9" t="str">
        <f ca="1">IFERROR(__xludf.DUMMYFUNCTION("IFERROR(VALUE(REGEXEXTRACT(TO_TEXT($F1322), R$1 &amp; ""x(\d+)"")), """")"),"")</f>
        <v/>
      </c>
      <c r="S1322" s="9" t="str">
        <f ca="1">IFERROR(__xludf.DUMMYFUNCTION("IFERROR(VALUE(REGEXEXTRACT(TO_TEXT($F1322), S$1 &amp; ""x(\d+)"")), """")"),"")</f>
        <v/>
      </c>
      <c r="T1322" s="9" t="str">
        <f ca="1">IFERROR(__xludf.DUMMYFUNCTION("IFERROR(VALUE(REGEXEXTRACT(TO_TEXT($F1322), T$1 &amp; ""x(\d+)"")), """")"),"")</f>
        <v/>
      </c>
      <c r="U1322" s="9" t="str">
        <f ca="1">IFERROR(__xludf.DUMMYFUNCTION("IFERROR(VALUE(REGEXEXTRACT(TO_TEXT($F1322), U$1 &amp; ""x(\d+)"")), """")"),"")</f>
        <v/>
      </c>
      <c r="V1322" s="9" t="str">
        <f ca="1">IFERROR(__xludf.DUMMYFUNCTION("IFERROR(VALUE(REGEXEXTRACT(TO_TEXT($F1322), V$1 &amp; ""x(\d+)"")), """")"),"")</f>
        <v/>
      </c>
      <c r="W1322" s="9"/>
      <c r="X1322" s="9"/>
      <c r="Y1322" s="9"/>
      <c r="Z1322" s="9"/>
    </row>
    <row r="1323" spans="1:26" ht="15.75" customHeight="1">
      <c r="A1323" s="9" t="s">
        <v>2405</v>
      </c>
      <c r="B1323" s="9" t="s">
        <v>2406</v>
      </c>
      <c r="C1323" s="9" t="s">
        <v>2407</v>
      </c>
      <c r="D1323" s="9" t="s">
        <v>40</v>
      </c>
      <c r="E1323" s="9" t="s">
        <v>11</v>
      </c>
      <c r="F1323" s="9" t="s">
        <v>1772</v>
      </c>
      <c r="G1323" s="9">
        <v>40</v>
      </c>
      <c r="H1323" s="9">
        <v>3</v>
      </c>
      <c r="I1323" s="9">
        <v>1.0149999999999999</v>
      </c>
      <c r="J1323" s="9">
        <v>412</v>
      </c>
      <c r="K1323" s="9" t="s">
        <v>442</v>
      </c>
      <c r="L1323" s="9"/>
      <c r="M1323" s="9"/>
      <c r="N1323" s="9" t="str">
        <f ca="1">IFERROR(__xludf.DUMMYFUNCTION("IFERROR(VALUE(REGEXEXTRACT(TO_TEXT($F1323), N$1 &amp; ""x(\d+)"")), """")
"),"")</f>
        <v/>
      </c>
      <c r="O1323" s="9" t="str">
        <f ca="1">IFERROR(__xludf.DUMMYFUNCTION("IFERROR(VALUE(REGEXEXTRACT(TO_TEXT($F1323), O$1 &amp; ""x(\d+)"")), """")"),"")</f>
        <v/>
      </c>
      <c r="P1323" s="9" t="str">
        <f ca="1">IFERROR(__xludf.DUMMYFUNCTION("IFERROR(VALUE(REGEXEXTRACT(TO_TEXT($F1323), P$1 &amp; ""x(\d+)"")), """")"),"")</f>
        <v/>
      </c>
      <c r="Q1323" s="9" t="str">
        <f ca="1">IFERROR(__xludf.DUMMYFUNCTION("IFERROR(VALUE(REGEXEXTRACT(TO_TEXT($F1323), Q$1 &amp; ""x(\d+)"")), """")"),"")</f>
        <v/>
      </c>
      <c r="R1323" s="9" t="str">
        <f ca="1">IFERROR(__xludf.DUMMYFUNCTION("IFERROR(VALUE(REGEXEXTRACT(TO_TEXT($F1323), R$1 &amp; ""x(\d+)"")), """")"),"")</f>
        <v/>
      </c>
      <c r="S1323" s="9" t="str">
        <f ca="1">IFERROR(__xludf.DUMMYFUNCTION("IFERROR(VALUE(REGEXEXTRACT(TO_TEXT($F1323), S$1 &amp; ""x(\d+)"")), """")"),"")</f>
        <v/>
      </c>
      <c r="T1323" s="9" t="str">
        <f ca="1">IFERROR(__xludf.DUMMYFUNCTION("IFERROR(VALUE(REGEXEXTRACT(TO_TEXT($F1323), T$1 &amp; ""x(\d+)"")), """")"),"")</f>
        <v/>
      </c>
      <c r="U1323" s="9" t="str">
        <f ca="1">IFERROR(__xludf.DUMMYFUNCTION("IFERROR(VALUE(REGEXEXTRACT(TO_TEXT($F1323), U$1 &amp; ""x(\d+)"")), """")"),"")</f>
        <v/>
      </c>
      <c r="V1323" s="9" t="str">
        <f ca="1">IFERROR(__xludf.DUMMYFUNCTION("IFERROR(VALUE(REGEXEXTRACT(TO_TEXT($F1323), V$1 &amp; ""x(\d+)"")), """")"),"")</f>
        <v/>
      </c>
      <c r="W1323" s="9"/>
      <c r="X1323" s="9"/>
      <c r="Y1323" s="9"/>
      <c r="Z1323" s="9"/>
    </row>
    <row r="1324" spans="1:26" ht="15.75" customHeight="1">
      <c r="A1324" s="9" t="s">
        <v>2405</v>
      </c>
      <c r="B1324" s="9" t="s">
        <v>2406</v>
      </c>
      <c r="C1324" s="9" t="s">
        <v>2407</v>
      </c>
      <c r="D1324" s="9" t="s">
        <v>40</v>
      </c>
      <c r="E1324" s="9" t="s">
        <v>12</v>
      </c>
      <c r="F1324" s="9" t="s">
        <v>1510</v>
      </c>
      <c r="G1324" s="9">
        <v>130</v>
      </c>
      <c r="H1324" s="9">
        <v>3</v>
      </c>
      <c r="I1324" s="9">
        <v>1.0149999999999999</v>
      </c>
      <c r="J1324" s="9">
        <v>412</v>
      </c>
      <c r="K1324" s="9" t="s">
        <v>442</v>
      </c>
      <c r="L1324" s="9" t="s">
        <v>1210</v>
      </c>
      <c r="M1324" s="9"/>
      <c r="N1324" s="9" t="str">
        <f ca="1">IFERROR(__xludf.DUMMYFUNCTION("IFERROR(VALUE(REGEXEXTRACT(TO_TEXT($F1324), N$1 &amp; ""x(\d+)"")), """")
"),"")</f>
        <v/>
      </c>
      <c r="O1324" s="9">
        <f ca="1">IFERROR(__xludf.DUMMYFUNCTION("IFERROR(VALUE(REGEXEXTRACT(TO_TEXT($F1324), O$1 &amp; ""x(\d+)"")), """")"),1)</f>
        <v>1</v>
      </c>
      <c r="P1324" s="9" t="str">
        <f ca="1">IFERROR(__xludf.DUMMYFUNCTION("IFERROR(VALUE(REGEXEXTRACT(TO_TEXT($F1324), P$1 &amp; ""x(\d+)"")), """")"),"")</f>
        <v/>
      </c>
      <c r="Q1324" s="9" t="str">
        <f ca="1">IFERROR(__xludf.DUMMYFUNCTION("IFERROR(VALUE(REGEXEXTRACT(TO_TEXT($F1324), Q$1 &amp; ""x(\d+)"")), """")"),"")</f>
        <v/>
      </c>
      <c r="R1324" s="9" t="str">
        <f ca="1">IFERROR(__xludf.DUMMYFUNCTION("IFERROR(VALUE(REGEXEXTRACT(TO_TEXT($F1324), R$1 &amp; ""x(\d+)"")), """")"),"")</f>
        <v/>
      </c>
      <c r="S1324" s="9">
        <f ca="1">IFERROR(__xludf.DUMMYFUNCTION("IFERROR(VALUE(REGEXEXTRACT(TO_TEXT($F1324), S$1 &amp; ""x(\d+)"")), """")"),1)</f>
        <v>1</v>
      </c>
      <c r="T1324" s="9" t="str">
        <f ca="1">IFERROR(__xludf.DUMMYFUNCTION("IFERROR(VALUE(REGEXEXTRACT(TO_TEXT($F1324), T$1 &amp; ""x(\d+)"")), """")"),"")</f>
        <v/>
      </c>
      <c r="U1324" s="9" t="str">
        <f ca="1">IFERROR(__xludf.DUMMYFUNCTION("IFERROR(VALUE(REGEXEXTRACT(TO_TEXT($F1324), U$1 &amp; ""x(\d+)"")), """")"),"")</f>
        <v/>
      </c>
      <c r="V1324" s="9" t="str">
        <f ca="1">IFERROR(__xludf.DUMMYFUNCTION("IFERROR(VALUE(REGEXEXTRACT(TO_TEXT($F1324), V$1 &amp; ""x(\d+)"")), """")"),"")</f>
        <v/>
      </c>
      <c r="W1324" s="9"/>
      <c r="X1324" s="9"/>
      <c r="Y1324" s="9"/>
      <c r="Z1324" s="9"/>
    </row>
    <row r="1325" spans="1:26" ht="15.75" customHeight="1">
      <c r="A1325" s="9" t="s">
        <v>2405</v>
      </c>
      <c r="B1325" s="9" t="s">
        <v>2406</v>
      </c>
      <c r="C1325" s="9" t="s">
        <v>2407</v>
      </c>
      <c r="D1325" s="9" t="s">
        <v>40</v>
      </c>
      <c r="E1325" s="9" t="s">
        <v>13</v>
      </c>
      <c r="F1325" s="9" t="s">
        <v>1511</v>
      </c>
      <c r="G1325" s="9">
        <v>30</v>
      </c>
      <c r="H1325" s="9">
        <v>3</v>
      </c>
      <c r="I1325" s="9">
        <v>1.0149999999999999</v>
      </c>
      <c r="J1325" s="9">
        <v>412</v>
      </c>
      <c r="K1325" s="9" t="s">
        <v>442</v>
      </c>
      <c r="L1325" s="9"/>
      <c r="M1325" s="9"/>
      <c r="N1325" s="9" t="str">
        <f ca="1">IFERROR(__xludf.DUMMYFUNCTION("IFERROR(VALUE(REGEXEXTRACT(TO_TEXT($F1325), N$1 &amp; ""x(\d+)"")), """")
"),"")</f>
        <v/>
      </c>
      <c r="O1325" s="9">
        <f ca="1">IFERROR(__xludf.DUMMYFUNCTION("IFERROR(VALUE(REGEXEXTRACT(TO_TEXT($F1325), O$1 &amp; ""x(\d+)"")), """")"),1)</f>
        <v>1</v>
      </c>
      <c r="P1325" s="9" t="str">
        <f ca="1">IFERROR(__xludf.DUMMYFUNCTION("IFERROR(VALUE(REGEXEXTRACT(TO_TEXT($F1325), P$1 &amp; ""x(\d+)"")), """")"),"")</f>
        <v/>
      </c>
      <c r="Q1325" s="9" t="str">
        <f ca="1">IFERROR(__xludf.DUMMYFUNCTION("IFERROR(VALUE(REGEXEXTRACT(TO_TEXT($F1325), Q$1 &amp; ""x(\d+)"")), """")"),"")</f>
        <v/>
      </c>
      <c r="R1325" s="9" t="str">
        <f ca="1">IFERROR(__xludf.DUMMYFUNCTION("IFERROR(VALUE(REGEXEXTRACT(TO_TEXT($F1325), R$1 &amp; ""x(\d+)"")), """")"),"")</f>
        <v/>
      </c>
      <c r="S1325" s="9">
        <f ca="1">IFERROR(__xludf.DUMMYFUNCTION("IFERROR(VALUE(REGEXEXTRACT(TO_TEXT($F1325), S$1 &amp; ""x(\d+)"")), """")"),1)</f>
        <v>1</v>
      </c>
      <c r="T1325" s="9" t="str">
        <f ca="1">IFERROR(__xludf.DUMMYFUNCTION("IFERROR(VALUE(REGEXEXTRACT(TO_TEXT($F1325), T$1 &amp; ""x(\d+)"")), """")"),"")</f>
        <v/>
      </c>
      <c r="U1325" s="9" t="str">
        <f ca="1">IFERROR(__xludf.DUMMYFUNCTION("IFERROR(VALUE(REGEXEXTRACT(TO_TEXT($F1325), U$1 &amp; ""x(\d+)"")), """")"),"")</f>
        <v/>
      </c>
      <c r="V1325" s="9" t="str">
        <f ca="1">IFERROR(__xludf.DUMMYFUNCTION("IFERROR(VALUE(REGEXEXTRACT(TO_TEXT($F1325), V$1 &amp; ""x(\d+)"")), """")"),"")</f>
        <v/>
      </c>
      <c r="W1325" s="9"/>
      <c r="X1325" s="9"/>
      <c r="Y1325" s="9"/>
      <c r="Z1325" s="9"/>
    </row>
    <row r="1326" spans="1:26" ht="15.75" customHeight="1">
      <c r="A1326" s="9" t="s">
        <v>2388</v>
      </c>
      <c r="B1326" s="9" t="s">
        <v>2389</v>
      </c>
      <c r="C1326" s="9" t="s">
        <v>2390</v>
      </c>
      <c r="D1326" s="9" t="s">
        <v>33</v>
      </c>
      <c r="E1326" s="9" t="s">
        <v>12</v>
      </c>
      <c r="F1326" s="9" t="s">
        <v>2408</v>
      </c>
      <c r="G1326" s="9">
        <v>40</v>
      </c>
      <c r="H1326" s="9">
        <v>2</v>
      </c>
      <c r="I1326" s="9">
        <v>1.0149999999999999</v>
      </c>
      <c r="J1326" s="9">
        <v>110</v>
      </c>
      <c r="K1326" s="9" t="s">
        <v>442</v>
      </c>
      <c r="L1326" s="9"/>
      <c r="M1326" s="9"/>
      <c r="N1326" s="9" t="str">
        <f ca="1">IFERROR(__xludf.DUMMYFUNCTION("IFERROR(VALUE(REGEXEXTRACT(TO_TEXT($F1326), N$1 &amp; ""x(\d+)"")), """")
"),"")</f>
        <v/>
      </c>
      <c r="O1326" s="9" t="str">
        <f ca="1">IFERROR(__xludf.DUMMYFUNCTION("IFERROR(VALUE(REGEXEXTRACT(TO_TEXT($F1326), O$1 &amp; ""x(\d+)"")), """")"),"")</f>
        <v/>
      </c>
      <c r="P1326" s="9" t="str">
        <f ca="1">IFERROR(__xludf.DUMMYFUNCTION("IFERROR(VALUE(REGEXEXTRACT(TO_TEXT($F1326), P$1 &amp; ""x(\d+)"")), """")"),"")</f>
        <v/>
      </c>
      <c r="Q1326" s="9" t="str">
        <f ca="1">IFERROR(__xludf.DUMMYFUNCTION("IFERROR(VALUE(REGEXEXTRACT(TO_TEXT($F1326), Q$1 &amp; ""x(\d+)"")), """")"),"")</f>
        <v/>
      </c>
      <c r="R1326" s="9" t="str">
        <f ca="1">IFERROR(__xludf.DUMMYFUNCTION("IFERROR(VALUE(REGEXEXTRACT(TO_TEXT($F1326), R$1 &amp; ""x(\d+)"")), """")"),"")</f>
        <v/>
      </c>
      <c r="S1326" s="9" t="str">
        <f ca="1">IFERROR(__xludf.DUMMYFUNCTION("IFERROR(VALUE(REGEXEXTRACT(TO_TEXT($F1326), S$1 &amp; ""x(\d+)"")), """")"),"")</f>
        <v/>
      </c>
      <c r="T1326" s="9" t="str">
        <f ca="1">IFERROR(__xludf.DUMMYFUNCTION("IFERROR(VALUE(REGEXEXTRACT(TO_TEXT($F1326), T$1 &amp; ""x(\d+)"")), """")"),"")</f>
        <v/>
      </c>
      <c r="U1326" s="9" t="str">
        <f ca="1">IFERROR(__xludf.DUMMYFUNCTION("IFERROR(VALUE(REGEXEXTRACT(TO_TEXT($F1326), U$1 &amp; ""x(\d+)"")), """")"),"")</f>
        <v/>
      </c>
      <c r="V1326" s="9" t="str">
        <f ca="1">IFERROR(__xludf.DUMMYFUNCTION("IFERROR(VALUE(REGEXEXTRACT(TO_TEXT($F1326), V$1 &amp; ""x(\d+)"")), """")"),"")</f>
        <v/>
      </c>
      <c r="W1326" s="9"/>
      <c r="X1326" s="9"/>
      <c r="Y1326" s="9"/>
      <c r="Z1326" s="9"/>
    </row>
    <row r="1327" spans="1:26" ht="15.75" customHeight="1">
      <c r="A1327" s="9" t="s">
        <v>2388</v>
      </c>
      <c r="B1327" s="9" t="s">
        <v>2389</v>
      </c>
      <c r="C1327" s="9" t="s">
        <v>2390</v>
      </c>
      <c r="D1327" s="9" t="s">
        <v>33</v>
      </c>
      <c r="E1327" s="9" t="s">
        <v>13</v>
      </c>
      <c r="F1327" s="9" t="s">
        <v>1254</v>
      </c>
      <c r="G1327" s="9">
        <v>30</v>
      </c>
      <c r="H1327" s="9">
        <v>2</v>
      </c>
      <c r="I1327" s="9">
        <v>1.0149999999999999</v>
      </c>
      <c r="J1327" s="9">
        <v>110</v>
      </c>
      <c r="K1327" s="9" t="s">
        <v>442</v>
      </c>
      <c r="L1327" s="9"/>
      <c r="M1327" s="9"/>
      <c r="N1327" s="9" t="str">
        <f ca="1">IFERROR(__xludf.DUMMYFUNCTION("IFERROR(VALUE(REGEXEXTRACT(TO_TEXT($F1327), N$1 &amp; ""x(\d+)"")), """")
"),"")</f>
        <v/>
      </c>
      <c r="O1327" s="9" t="str">
        <f ca="1">IFERROR(__xludf.DUMMYFUNCTION("IFERROR(VALUE(REGEXEXTRACT(TO_TEXT($F1327), O$1 &amp; ""x(\d+)"")), """")"),"")</f>
        <v/>
      </c>
      <c r="P1327" s="9" t="str">
        <f ca="1">IFERROR(__xludf.DUMMYFUNCTION("IFERROR(VALUE(REGEXEXTRACT(TO_TEXT($F1327), P$1 &amp; ""x(\d+)"")), """")"),"")</f>
        <v/>
      </c>
      <c r="Q1327" s="9" t="str">
        <f ca="1">IFERROR(__xludf.DUMMYFUNCTION("IFERROR(VALUE(REGEXEXTRACT(TO_TEXT($F1327), Q$1 &amp; ""x(\d+)"")), """")"),"")</f>
        <v/>
      </c>
      <c r="R1327" s="9" t="str">
        <f ca="1">IFERROR(__xludf.DUMMYFUNCTION("IFERROR(VALUE(REGEXEXTRACT(TO_TEXT($F1327), R$1 &amp; ""x(\d+)"")), """")"),"")</f>
        <v/>
      </c>
      <c r="S1327" s="9" t="str">
        <f ca="1">IFERROR(__xludf.DUMMYFUNCTION("IFERROR(VALUE(REGEXEXTRACT(TO_TEXT($F1327), S$1 &amp; ""x(\d+)"")), """")"),"")</f>
        <v/>
      </c>
      <c r="T1327" s="9" t="str">
        <f ca="1">IFERROR(__xludf.DUMMYFUNCTION("IFERROR(VALUE(REGEXEXTRACT(TO_TEXT($F1327), T$1 &amp; ""x(\d+)"")), """")"),"")</f>
        <v/>
      </c>
      <c r="U1327" s="9" t="str">
        <f ca="1">IFERROR(__xludf.DUMMYFUNCTION("IFERROR(VALUE(REGEXEXTRACT(TO_TEXT($F1327), U$1 &amp; ""x(\d+)"")), """")"),"")</f>
        <v/>
      </c>
      <c r="V1327" s="9" t="str">
        <f ca="1">IFERROR(__xludf.DUMMYFUNCTION("IFERROR(VALUE(REGEXEXTRACT(TO_TEXT($F1327), V$1 &amp; ""x(\d+)"")), """")"),"")</f>
        <v/>
      </c>
      <c r="W1327" s="9"/>
      <c r="X1327" s="9"/>
      <c r="Y1327" s="9"/>
      <c r="Z1327" s="9"/>
    </row>
    <row r="1328" spans="1:26" ht="15.75" customHeight="1">
      <c r="A1328" s="9" t="s">
        <v>2388</v>
      </c>
      <c r="B1328" s="9" t="s">
        <v>2389</v>
      </c>
      <c r="C1328" s="9" t="s">
        <v>2390</v>
      </c>
      <c r="D1328" s="9" t="s">
        <v>33</v>
      </c>
      <c r="E1328" s="9" t="s">
        <v>11</v>
      </c>
      <c r="F1328" s="9" t="s">
        <v>1367</v>
      </c>
      <c r="G1328" s="9">
        <v>70</v>
      </c>
      <c r="H1328" s="9">
        <v>2</v>
      </c>
      <c r="I1328" s="9">
        <v>1.0149999999999999</v>
      </c>
      <c r="J1328" s="9">
        <v>80</v>
      </c>
      <c r="K1328" s="9" t="s">
        <v>499</v>
      </c>
      <c r="L1328" s="9"/>
      <c r="M1328" s="9"/>
      <c r="N1328" s="9" t="str">
        <f ca="1">IFERROR(__xludf.DUMMYFUNCTION("IFERROR(VALUE(REGEXEXTRACT(TO_TEXT($F1328), N$1 &amp; ""x(\d+)"")), """")
"),"")</f>
        <v/>
      </c>
      <c r="O1328" s="9" t="str">
        <f ca="1">IFERROR(__xludf.DUMMYFUNCTION("IFERROR(VALUE(REGEXEXTRACT(TO_TEXT($F1328), O$1 &amp; ""x(\d+)"")), """")"),"")</f>
        <v/>
      </c>
      <c r="P1328" s="9" t="str">
        <f ca="1">IFERROR(__xludf.DUMMYFUNCTION("IFERROR(VALUE(REGEXEXTRACT(TO_TEXT($F1328), P$1 &amp; ""x(\d+)"")), """")"),"")</f>
        <v/>
      </c>
      <c r="Q1328" s="9" t="str">
        <f ca="1">IFERROR(__xludf.DUMMYFUNCTION("IFERROR(VALUE(REGEXEXTRACT(TO_TEXT($F1328), Q$1 &amp; ""x(\d+)"")), """")"),"")</f>
        <v/>
      </c>
      <c r="R1328" s="9" t="str">
        <f ca="1">IFERROR(__xludf.DUMMYFUNCTION("IFERROR(VALUE(REGEXEXTRACT(TO_TEXT($F1328), R$1 &amp; ""x(\d+)"")), """")"),"")</f>
        <v/>
      </c>
      <c r="S1328" s="9" t="str">
        <f ca="1">IFERROR(__xludf.DUMMYFUNCTION("IFERROR(VALUE(REGEXEXTRACT(TO_TEXT($F1328), S$1 &amp; ""x(\d+)"")), """")"),"")</f>
        <v/>
      </c>
      <c r="T1328" s="9" t="str">
        <f ca="1">IFERROR(__xludf.DUMMYFUNCTION("IFERROR(VALUE(REGEXEXTRACT(TO_TEXT($F1328), T$1 &amp; ""x(\d+)"")), """")"),"")</f>
        <v/>
      </c>
      <c r="U1328" s="9" t="str">
        <f ca="1">IFERROR(__xludf.DUMMYFUNCTION("IFERROR(VALUE(REGEXEXTRACT(TO_TEXT($F1328), U$1 &amp; ""x(\d+)"")), """")"),"")</f>
        <v/>
      </c>
      <c r="V1328" s="9" t="str">
        <f ca="1">IFERROR(__xludf.DUMMYFUNCTION("IFERROR(VALUE(REGEXEXTRACT(TO_TEXT($F1328), V$1 &amp; ""x(\d+)"")), """")"),"")</f>
        <v/>
      </c>
      <c r="W1328" s="9"/>
      <c r="X1328" s="9"/>
      <c r="Y1328" s="9"/>
      <c r="Z1328" s="9"/>
    </row>
    <row r="1329" spans="1:26" ht="15.75" customHeight="1">
      <c r="A1329" s="9" t="s">
        <v>2388</v>
      </c>
      <c r="B1329" s="9" t="s">
        <v>2389</v>
      </c>
      <c r="C1329" s="9" t="s">
        <v>2390</v>
      </c>
      <c r="D1329" s="9" t="s">
        <v>33</v>
      </c>
      <c r="E1329" s="9" t="s">
        <v>12</v>
      </c>
      <c r="F1329" s="9" t="s">
        <v>1363</v>
      </c>
      <c r="G1329" s="9">
        <v>45</v>
      </c>
      <c r="H1329" s="9">
        <v>3</v>
      </c>
      <c r="I1329" s="9">
        <v>1.0149999999999999</v>
      </c>
      <c r="J1329" s="9">
        <v>80</v>
      </c>
      <c r="K1329" s="9" t="s">
        <v>499</v>
      </c>
      <c r="L1329" s="9"/>
      <c r="M1329" s="9"/>
      <c r="N1329" s="9" t="str">
        <f ca="1">IFERROR(__xludf.DUMMYFUNCTION("IFERROR(VALUE(REGEXEXTRACT(TO_TEXT($F1329), N$1 &amp; ""x(\d+)"")), """")
"),"")</f>
        <v/>
      </c>
      <c r="O1329" s="9">
        <f ca="1">IFERROR(__xludf.DUMMYFUNCTION("IFERROR(VALUE(REGEXEXTRACT(TO_TEXT($F1329), O$1 &amp; ""x(\d+)"")), """")"),1)</f>
        <v>1</v>
      </c>
      <c r="P1329" s="9" t="str">
        <f ca="1">IFERROR(__xludf.DUMMYFUNCTION("IFERROR(VALUE(REGEXEXTRACT(TO_TEXT($F1329), P$1 &amp; ""x(\d+)"")), """")"),"")</f>
        <v/>
      </c>
      <c r="Q1329" s="9" t="str">
        <f ca="1">IFERROR(__xludf.DUMMYFUNCTION("IFERROR(VALUE(REGEXEXTRACT(TO_TEXT($F1329), Q$1 &amp; ""x(\d+)"")), """")"),"")</f>
        <v/>
      </c>
      <c r="R1329" s="9" t="str">
        <f ca="1">IFERROR(__xludf.DUMMYFUNCTION("IFERROR(VALUE(REGEXEXTRACT(TO_TEXT($F1329), R$1 &amp; ""x(\d+)"")), """")"),"")</f>
        <v/>
      </c>
      <c r="S1329" s="9" t="str">
        <f ca="1">IFERROR(__xludf.DUMMYFUNCTION("IFERROR(VALUE(REGEXEXTRACT(TO_TEXT($F1329), S$1 &amp; ""x(\d+)"")), """")"),"")</f>
        <v/>
      </c>
      <c r="T1329" s="9" t="str">
        <f ca="1">IFERROR(__xludf.DUMMYFUNCTION("IFERROR(VALUE(REGEXEXTRACT(TO_TEXT($F1329), T$1 &amp; ""x(\d+)"")), """")"),"")</f>
        <v/>
      </c>
      <c r="U1329" s="9" t="str">
        <f ca="1">IFERROR(__xludf.DUMMYFUNCTION("IFERROR(VALUE(REGEXEXTRACT(TO_TEXT($F1329), U$1 &amp; ""x(\d+)"")), """")"),"")</f>
        <v/>
      </c>
      <c r="V1329" s="9" t="str">
        <f ca="1">IFERROR(__xludf.DUMMYFUNCTION("IFERROR(VALUE(REGEXEXTRACT(TO_TEXT($F1329), V$1 &amp; ""x(\d+)"")), """")"),"")</f>
        <v/>
      </c>
      <c r="W1329" s="9"/>
      <c r="X1329" s="9"/>
      <c r="Y1329" s="9"/>
      <c r="Z1329" s="9"/>
    </row>
    <row r="1330" spans="1:26" ht="15.75" customHeight="1">
      <c r="A1330" s="9" t="s">
        <v>2388</v>
      </c>
      <c r="B1330" s="9" t="s">
        <v>2389</v>
      </c>
      <c r="C1330" s="9" t="s">
        <v>2390</v>
      </c>
      <c r="D1330" s="9" t="s">
        <v>33</v>
      </c>
      <c r="E1330" s="9" t="s">
        <v>13</v>
      </c>
      <c r="F1330" s="9" t="s">
        <v>1019</v>
      </c>
      <c r="G1330" s="9">
        <v>30</v>
      </c>
      <c r="H1330" s="9">
        <v>3</v>
      </c>
      <c r="I1330" s="9">
        <v>1.0149999999999999</v>
      </c>
      <c r="J1330" s="9">
        <v>80</v>
      </c>
      <c r="K1330" s="9" t="s">
        <v>499</v>
      </c>
      <c r="L1330" s="9"/>
      <c r="M1330" s="9"/>
      <c r="N1330" s="9" t="str">
        <f ca="1">IFERROR(__xludf.DUMMYFUNCTION("IFERROR(VALUE(REGEXEXTRACT(TO_TEXT($F1330), N$1 &amp; ""x(\d+)"")), """")
"),"")</f>
        <v/>
      </c>
      <c r="O1330" s="9">
        <f ca="1">IFERROR(__xludf.DUMMYFUNCTION("IFERROR(VALUE(REGEXEXTRACT(TO_TEXT($F1330), O$1 &amp; ""x(\d+)"")), """")"),1)</f>
        <v>1</v>
      </c>
      <c r="P1330" s="9" t="str">
        <f ca="1">IFERROR(__xludf.DUMMYFUNCTION("IFERROR(VALUE(REGEXEXTRACT(TO_TEXT($F1330), P$1 &amp; ""x(\d+)"")), """")"),"")</f>
        <v/>
      </c>
      <c r="Q1330" s="9" t="str">
        <f ca="1">IFERROR(__xludf.DUMMYFUNCTION("IFERROR(VALUE(REGEXEXTRACT(TO_TEXT($F1330), Q$1 &amp; ""x(\d+)"")), """")"),"")</f>
        <v/>
      </c>
      <c r="R1330" s="9" t="str">
        <f ca="1">IFERROR(__xludf.DUMMYFUNCTION("IFERROR(VALUE(REGEXEXTRACT(TO_TEXT($F1330), R$1 &amp; ""x(\d+)"")), """")"),"")</f>
        <v/>
      </c>
      <c r="S1330" s="9" t="str">
        <f ca="1">IFERROR(__xludf.DUMMYFUNCTION("IFERROR(VALUE(REGEXEXTRACT(TO_TEXT($F1330), S$1 &amp; ""x(\d+)"")), """")"),"")</f>
        <v/>
      </c>
      <c r="T1330" s="9" t="str">
        <f ca="1">IFERROR(__xludf.DUMMYFUNCTION("IFERROR(VALUE(REGEXEXTRACT(TO_TEXT($F1330), T$1 &amp; ""x(\d+)"")), """")"),"")</f>
        <v/>
      </c>
      <c r="U1330" s="9" t="str">
        <f ca="1">IFERROR(__xludf.DUMMYFUNCTION("IFERROR(VALUE(REGEXEXTRACT(TO_TEXT($F1330), U$1 &amp; ""x(\d+)"")), """")"),"")</f>
        <v/>
      </c>
      <c r="V1330" s="9" t="str">
        <f ca="1">IFERROR(__xludf.DUMMYFUNCTION("IFERROR(VALUE(REGEXEXTRACT(TO_TEXT($F1330), V$1 &amp; ""x(\d+)"")), """")"),"")</f>
        <v/>
      </c>
      <c r="W1330" s="9"/>
      <c r="X1330" s="9"/>
      <c r="Y1330" s="9"/>
      <c r="Z1330" s="9"/>
    </row>
    <row r="1331" spans="1:26" ht="15.75" customHeight="1">
      <c r="A1331" s="9" t="s">
        <v>2409</v>
      </c>
      <c r="B1331" s="9" t="s">
        <v>2410</v>
      </c>
      <c r="C1331" s="9" t="s">
        <v>2411</v>
      </c>
      <c r="D1331" s="9" t="s">
        <v>33</v>
      </c>
      <c r="E1331" s="9" t="s">
        <v>11</v>
      </c>
      <c r="F1331" s="9" t="s">
        <v>1477</v>
      </c>
      <c r="G1331" s="9">
        <v>20</v>
      </c>
      <c r="H1331" s="9">
        <v>3</v>
      </c>
      <c r="I1331" s="9">
        <v>1.0149999999999999</v>
      </c>
      <c r="J1331" s="9">
        <v>110</v>
      </c>
      <c r="K1331" s="9" t="s">
        <v>442</v>
      </c>
      <c r="L1331" s="9"/>
      <c r="M1331" s="9"/>
      <c r="N1331" s="9" t="str">
        <f ca="1">IFERROR(__xludf.DUMMYFUNCTION("IFERROR(VALUE(REGEXEXTRACT(TO_TEXT($F1331), N$1 &amp; ""x(\d+)"")), """")
"),"")</f>
        <v/>
      </c>
      <c r="O1331" s="9" t="str">
        <f ca="1">IFERROR(__xludf.DUMMYFUNCTION("IFERROR(VALUE(REGEXEXTRACT(TO_TEXT($F1331), O$1 &amp; ""x(\d+)"")), """")"),"")</f>
        <v/>
      </c>
      <c r="P1331" s="9" t="str">
        <f ca="1">IFERROR(__xludf.DUMMYFUNCTION("IFERROR(VALUE(REGEXEXTRACT(TO_TEXT($F1331), P$1 &amp; ""x(\d+)"")), """")"),"")</f>
        <v/>
      </c>
      <c r="Q1331" s="9" t="str">
        <f ca="1">IFERROR(__xludf.DUMMYFUNCTION("IFERROR(VALUE(REGEXEXTRACT(TO_TEXT($F1331), Q$1 &amp; ""x(\d+)"")), """")"),"")</f>
        <v/>
      </c>
      <c r="R1331" s="9" t="str">
        <f ca="1">IFERROR(__xludf.DUMMYFUNCTION("IFERROR(VALUE(REGEXEXTRACT(TO_TEXT($F1331), R$1 &amp; ""x(\d+)"")), """")"),"")</f>
        <v/>
      </c>
      <c r="S1331" s="9" t="str">
        <f ca="1">IFERROR(__xludf.DUMMYFUNCTION("IFERROR(VALUE(REGEXEXTRACT(TO_TEXT($F1331), S$1 &amp; ""x(\d+)"")), """")"),"")</f>
        <v/>
      </c>
      <c r="T1331" s="9" t="str">
        <f ca="1">IFERROR(__xludf.DUMMYFUNCTION("IFERROR(VALUE(REGEXEXTRACT(TO_TEXT($F1331), T$1 &amp; ""x(\d+)"")), """")"),"")</f>
        <v/>
      </c>
      <c r="U1331" s="9" t="str">
        <f ca="1">IFERROR(__xludf.DUMMYFUNCTION("IFERROR(VALUE(REGEXEXTRACT(TO_TEXT($F1331), U$1 &amp; ""x(\d+)"")), """")"),"")</f>
        <v/>
      </c>
      <c r="V1331" s="9" t="str">
        <f ca="1">IFERROR(__xludf.DUMMYFUNCTION("IFERROR(VALUE(REGEXEXTRACT(TO_TEXT($F1331), V$1 &amp; ""x(\d+)"")), """")"),"")</f>
        <v/>
      </c>
      <c r="W1331" s="9"/>
      <c r="X1331" s="9"/>
      <c r="Y1331" s="9"/>
      <c r="Z1331" s="9"/>
    </row>
    <row r="1332" spans="1:26" ht="15.75" customHeight="1">
      <c r="A1332" s="9" t="s">
        <v>2409</v>
      </c>
      <c r="B1332" s="9" t="s">
        <v>2410</v>
      </c>
      <c r="C1332" s="9" t="s">
        <v>2411</v>
      </c>
      <c r="D1332" s="9" t="s">
        <v>33</v>
      </c>
      <c r="E1332" s="9" t="s">
        <v>12</v>
      </c>
      <c r="F1332" s="9" t="s">
        <v>2412</v>
      </c>
      <c r="G1332" s="9">
        <v>130</v>
      </c>
      <c r="H1332" s="9">
        <v>3</v>
      </c>
      <c r="I1332" s="9">
        <v>1.0149999999999999</v>
      </c>
      <c r="J1332" s="9">
        <v>110</v>
      </c>
      <c r="K1332" s="9" t="s">
        <v>442</v>
      </c>
      <c r="L1332" s="9"/>
      <c r="M1332" s="9"/>
      <c r="N1332" s="9" t="str">
        <f ca="1">IFERROR(__xludf.DUMMYFUNCTION("IFERROR(VALUE(REGEXEXTRACT(TO_TEXT($F1332), N$1 &amp; ""x(\d+)"")), """")
"),"")</f>
        <v/>
      </c>
      <c r="O1332" s="9" t="str">
        <f ca="1">IFERROR(__xludf.DUMMYFUNCTION("IFERROR(VALUE(REGEXEXTRACT(TO_TEXT($F1332), O$1 &amp; ""x(\d+)"")), """")"),"")</f>
        <v/>
      </c>
      <c r="P1332" s="9" t="str">
        <f ca="1">IFERROR(__xludf.DUMMYFUNCTION("IFERROR(VALUE(REGEXEXTRACT(TO_TEXT($F1332), P$1 &amp; ""x(\d+)"")), """")"),"")</f>
        <v/>
      </c>
      <c r="Q1332" s="9" t="str">
        <f ca="1">IFERROR(__xludf.DUMMYFUNCTION("IFERROR(VALUE(REGEXEXTRACT(TO_TEXT($F1332), Q$1 &amp; ""x(\d+)"")), """")"),"")</f>
        <v/>
      </c>
      <c r="R1332" s="9">
        <f ca="1">IFERROR(__xludf.DUMMYFUNCTION("IFERROR(VALUE(REGEXEXTRACT(TO_TEXT($F1332), R$1 &amp; ""x(\d+)"")), """")"),1)</f>
        <v>1</v>
      </c>
      <c r="S1332" s="9" t="str">
        <f ca="1">IFERROR(__xludf.DUMMYFUNCTION("IFERROR(VALUE(REGEXEXTRACT(TO_TEXT($F1332), S$1 &amp; ""x(\d+)"")), """")"),"")</f>
        <v/>
      </c>
      <c r="T1332" s="9" t="str">
        <f ca="1">IFERROR(__xludf.DUMMYFUNCTION("IFERROR(VALUE(REGEXEXTRACT(TO_TEXT($F1332), T$1 &amp; ""x(\d+)"")), """")"),"")</f>
        <v/>
      </c>
      <c r="U1332" s="9" t="str">
        <f ca="1">IFERROR(__xludf.DUMMYFUNCTION("IFERROR(VALUE(REGEXEXTRACT(TO_TEXT($F1332), U$1 &amp; ""x(\d+)"")), """")"),"")</f>
        <v/>
      </c>
      <c r="V1332" s="9" t="str">
        <f ca="1">IFERROR(__xludf.DUMMYFUNCTION("IFERROR(VALUE(REGEXEXTRACT(TO_TEXT($F1332), V$1 &amp; ""x(\d+)"")), """")"),"")</f>
        <v/>
      </c>
      <c r="W1332" s="9"/>
      <c r="X1332" s="9"/>
      <c r="Y1332" s="9"/>
      <c r="Z1332" s="9"/>
    </row>
    <row r="1333" spans="1:26" ht="15.75" customHeight="1">
      <c r="A1333" s="9" t="s">
        <v>2409</v>
      </c>
      <c r="B1333" s="9" t="s">
        <v>2410</v>
      </c>
      <c r="C1333" s="9" t="s">
        <v>2411</v>
      </c>
      <c r="D1333" s="9" t="s">
        <v>33</v>
      </c>
      <c r="E1333" s="9" t="s">
        <v>13</v>
      </c>
      <c r="F1333" s="9" t="s">
        <v>2413</v>
      </c>
      <c r="G1333" s="9">
        <v>15</v>
      </c>
      <c r="H1333" s="9">
        <v>3</v>
      </c>
      <c r="I1333" s="9">
        <v>1.0149999999999999</v>
      </c>
      <c r="J1333" s="9">
        <v>110</v>
      </c>
      <c r="K1333" s="9" t="s">
        <v>442</v>
      </c>
      <c r="L1333" s="9"/>
      <c r="M1333" s="9"/>
      <c r="N1333" s="9" t="str">
        <f ca="1">IFERROR(__xludf.DUMMYFUNCTION("IFERROR(VALUE(REGEXEXTRACT(TO_TEXT($F1333), N$1 &amp; ""x(\d+)"")), """")
"),"")</f>
        <v/>
      </c>
      <c r="O1333" s="9" t="str">
        <f ca="1">IFERROR(__xludf.DUMMYFUNCTION("IFERROR(VALUE(REGEXEXTRACT(TO_TEXT($F1333), O$1 &amp; ""x(\d+)"")), """")"),"")</f>
        <v/>
      </c>
      <c r="P1333" s="9" t="str">
        <f ca="1">IFERROR(__xludf.DUMMYFUNCTION("IFERROR(VALUE(REGEXEXTRACT(TO_TEXT($F1333), P$1 &amp; ""x(\d+)"")), """")"),"")</f>
        <v/>
      </c>
      <c r="Q1333" s="9" t="str">
        <f ca="1">IFERROR(__xludf.DUMMYFUNCTION("IFERROR(VALUE(REGEXEXTRACT(TO_TEXT($F1333), Q$1 &amp; ""x(\d+)"")), """")"),"")</f>
        <v/>
      </c>
      <c r="R1333" s="9">
        <f ca="1">IFERROR(__xludf.DUMMYFUNCTION("IFERROR(VALUE(REGEXEXTRACT(TO_TEXT($F1333), R$1 &amp; ""x(\d+)"")), """")"),1)</f>
        <v>1</v>
      </c>
      <c r="S1333" s="9" t="str">
        <f ca="1">IFERROR(__xludf.DUMMYFUNCTION("IFERROR(VALUE(REGEXEXTRACT(TO_TEXT($F1333), S$1 &amp; ""x(\d+)"")), """")"),"")</f>
        <v/>
      </c>
      <c r="T1333" s="9" t="str">
        <f ca="1">IFERROR(__xludf.DUMMYFUNCTION("IFERROR(VALUE(REGEXEXTRACT(TO_TEXT($F1333), T$1 &amp; ""x(\d+)"")), """")"),"")</f>
        <v/>
      </c>
      <c r="U1333" s="9" t="str">
        <f ca="1">IFERROR(__xludf.DUMMYFUNCTION("IFERROR(VALUE(REGEXEXTRACT(TO_TEXT($F1333), U$1 &amp; ""x(\d+)"")), """")"),"")</f>
        <v/>
      </c>
      <c r="V1333" s="9" t="str">
        <f ca="1">IFERROR(__xludf.DUMMYFUNCTION("IFERROR(VALUE(REGEXEXTRACT(TO_TEXT($F1333), V$1 &amp; ""x(\d+)"")), """")"),"")</f>
        <v/>
      </c>
      <c r="W1333" s="9"/>
      <c r="X1333" s="9"/>
      <c r="Y1333" s="9"/>
      <c r="Z1333" s="9"/>
    </row>
    <row r="1334" spans="1:26" ht="15.75" customHeight="1">
      <c r="A1334" s="9" t="s">
        <v>2414</v>
      </c>
      <c r="B1334" s="9" t="s">
        <v>2415</v>
      </c>
      <c r="C1334" s="9" t="s">
        <v>2416</v>
      </c>
      <c r="D1334" s="9" t="s">
        <v>33</v>
      </c>
      <c r="E1334" s="9" t="s">
        <v>11</v>
      </c>
      <c r="F1334" s="9" t="s">
        <v>2028</v>
      </c>
      <c r="G1334" s="9">
        <v>20</v>
      </c>
      <c r="H1334" s="9">
        <v>1</v>
      </c>
      <c r="I1334" s="9">
        <v>1.0149999999999999</v>
      </c>
      <c r="J1334" s="9">
        <v>82.5</v>
      </c>
      <c r="K1334" s="9" t="s">
        <v>442</v>
      </c>
      <c r="L1334" s="9"/>
      <c r="M1334" s="9"/>
      <c r="N1334" s="9" t="str">
        <f ca="1">IFERROR(__xludf.DUMMYFUNCTION("IFERROR(VALUE(REGEXEXTRACT(TO_TEXT($F1334), N$1 &amp; ""x(\d+)"")), """")
"),"")</f>
        <v/>
      </c>
      <c r="O1334" s="9" t="str">
        <f ca="1">IFERROR(__xludf.DUMMYFUNCTION("IFERROR(VALUE(REGEXEXTRACT(TO_TEXT($F1334), O$1 &amp; ""x(\d+)"")), """")"),"")</f>
        <v/>
      </c>
      <c r="P1334" s="9" t="str">
        <f ca="1">IFERROR(__xludf.DUMMYFUNCTION("IFERROR(VALUE(REGEXEXTRACT(TO_TEXT($F1334), P$1 &amp; ""x(\d+)"")), """")"),"")</f>
        <v/>
      </c>
      <c r="Q1334" s="9" t="str">
        <f ca="1">IFERROR(__xludf.DUMMYFUNCTION("IFERROR(VALUE(REGEXEXTRACT(TO_TEXT($F1334), Q$1 &amp; ""x(\d+)"")), """")"),"")</f>
        <v/>
      </c>
      <c r="R1334" s="9" t="str">
        <f ca="1">IFERROR(__xludf.DUMMYFUNCTION("IFERROR(VALUE(REGEXEXTRACT(TO_TEXT($F1334), R$1 &amp; ""x(\d+)"")), """")"),"")</f>
        <v/>
      </c>
      <c r="S1334" s="9" t="str">
        <f ca="1">IFERROR(__xludf.DUMMYFUNCTION("IFERROR(VALUE(REGEXEXTRACT(TO_TEXT($F1334), S$1 &amp; ""x(\d+)"")), """")"),"")</f>
        <v/>
      </c>
      <c r="T1334" s="9" t="str">
        <f ca="1">IFERROR(__xludf.DUMMYFUNCTION("IFERROR(VALUE(REGEXEXTRACT(TO_TEXT($F1334), T$1 &amp; ""x(\d+)"")), """")"),"")</f>
        <v/>
      </c>
      <c r="U1334" s="9" t="str">
        <f ca="1">IFERROR(__xludf.DUMMYFUNCTION("IFERROR(VALUE(REGEXEXTRACT(TO_TEXT($F1334), U$1 &amp; ""x(\d+)"")), """")"),"")</f>
        <v/>
      </c>
      <c r="V1334" s="9" t="str">
        <f ca="1">IFERROR(__xludf.DUMMYFUNCTION("IFERROR(VALUE(REGEXEXTRACT(TO_TEXT($F1334), V$1 &amp; ""x(\d+)"")), """")"),"")</f>
        <v/>
      </c>
      <c r="W1334" s="9"/>
      <c r="X1334" s="9"/>
      <c r="Y1334" s="9"/>
      <c r="Z1334" s="9"/>
    </row>
    <row r="1335" spans="1:26" ht="15.75" customHeight="1">
      <c r="A1335" s="9" t="s">
        <v>2414</v>
      </c>
      <c r="B1335" s="9" t="s">
        <v>2415</v>
      </c>
      <c r="C1335" s="9" t="s">
        <v>2416</v>
      </c>
      <c r="D1335" s="9" t="s">
        <v>33</v>
      </c>
      <c r="E1335" s="9" t="s">
        <v>12</v>
      </c>
      <c r="F1335" s="9" t="s">
        <v>2417</v>
      </c>
      <c r="G1335" s="9">
        <v>85</v>
      </c>
      <c r="H1335" s="9">
        <v>1</v>
      </c>
      <c r="I1335" s="9">
        <v>1.0149999999999999</v>
      </c>
      <c r="J1335" s="9">
        <v>82.5</v>
      </c>
      <c r="K1335" s="9" t="s">
        <v>442</v>
      </c>
      <c r="L1335" s="9"/>
      <c r="M1335" s="9"/>
      <c r="N1335" s="9" t="str">
        <f ca="1">IFERROR(__xludf.DUMMYFUNCTION("IFERROR(VALUE(REGEXEXTRACT(TO_TEXT($F1335), N$1 &amp; ""x(\d+)"")), """")
"),"")</f>
        <v/>
      </c>
      <c r="O1335" s="9">
        <f ca="1">IFERROR(__xludf.DUMMYFUNCTION("IFERROR(VALUE(REGEXEXTRACT(TO_TEXT($F1335), O$1 &amp; ""x(\d+)"")), """")"),1)</f>
        <v>1</v>
      </c>
      <c r="P1335" s="9" t="str">
        <f ca="1">IFERROR(__xludf.DUMMYFUNCTION("IFERROR(VALUE(REGEXEXTRACT(TO_TEXT($F1335), P$1 &amp; ""x(\d+)"")), """")"),"")</f>
        <v/>
      </c>
      <c r="Q1335" s="9" t="str">
        <f ca="1">IFERROR(__xludf.DUMMYFUNCTION("IFERROR(VALUE(REGEXEXTRACT(TO_TEXT($F1335), Q$1 &amp; ""x(\d+)"")), """")"),"")</f>
        <v/>
      </c>
      <c r="R1335" s="9" t="str">
        <f ca="1">IFERROR(__xludf.DUMMYFUNCTION("IFERROR(VALUE(REGEXEXTRACT(TO_TEXT($F1335), R$1 &amp; ""x(\d+)"")), """")"),"")</f>
        <v/>
      </c>
      <c r="S1335" s="9" t="str">
        <f ca="1">IFERROR(__xludf.DUMMYFUNCTION("IFERROR(VALUE(REGEXEXTRACT(TO_TEXT($F1335), S$1 &amp; ""x(\d+)"")), """")"),"")</f>
        <v/>
      </c>
      <c r="T1335" s="9" t="str">
        <f ca="1">IFERROR(__xludf.DUMMYFUNCTION("IFERROR(VALUE(REGEXEXTRACT(TO_TEXT($F1335), T$1 &amp; ""x(\d+)"")), """")"),"")</f>
        <v/>
      </c>
      <c r="U1335" s="9" t="str">
        <f ca="1">IFERROR(__xludf.DUMMYFUNCTION("IFERROR(VALUE(REGEXEXTRACT(TO_TEXT($F1335), U$1 &amp; ""x(\d+)"")), """")"),"")</f>
        <v/>
      </c>
      <c r="V1335" s="9" t="str">
        <f ca="1">IFERROR(__xludf.DUMMYFUNCTION("IFERROR(VALUE(REGEXEXTRACT(TO_TEXT($F1335), V$1 &amp; ""x(\d+)"")), """")"),"")</f>
        <v/>
      </c>
      <c r="W1335" s="9"/>
      <c r="X1335" s="9"/>
      <c r="Y1335" s="9"/>
      <c r="Z1335" s="9"/>
    </row>
    <row r="1336" spans="1:26" ht="15.75" customHeight="1">
      <c r="A1336" s="9" t="s">
        <v>2414</v>
      </c>
      <c r="B1336" s="9" t="s">
        <v>2415</v>
      </c>
      <c r="C1336" s="9" t="s">
        <v>2416</v>
      </c>
      <c r="D1336" s="9" t="s">
        <v>33</v>
      </c>
      <c r="E1336" s="9" t="s">
        <v>13</v>
      </c>
      <c r="F1336" s="9" t="s">
        <v>2418</v>
      </c>
      <c r="G1336" s="9">
        <v>15</v>
      </c>
      <c r="H1336" s="9">
        <v>1</v>
      </c>
      <c r="I1336" s="9">
        <v>1.0149999999999999</v>
      </c>
      <c r="J1336" s="9">
        <v>82.5</v>
      </c>
      <c r="K1336" s="9" t="s">
        <v>442</v>
      </c>
      <c r="L1336" s="9"/>
      <c r="M1336" s="9"/>
      <c r="N1336" s="9" t="str">
        <f ca="1">IFERROR(__xludf.DUMMYFUNCTION("IFERROR(VALUE(REGEXEXTRACT(TO_TEXT($F1336), N$1 &amp; ""x(\d+)"")), """")
"),"")</f>
        <v/>
      </c>
      <c r="O1336" s="9">
        <f ca="1">IFERROR(__xludf.DUMMYFUNCTION("IFERROR(VALUE(REGEXEXTRACT(TO_TEXT($F1336), O$1 &amp; ""x(\d+)"")), """")"),1)</f>
        <v>1</v>
      </c>
      <c r="P1336" s="9" t="str">
        <f ca="1">IFERROR(__xludf.DUMMYFUNCTION("IFERROR(VALUE(REGEXEXTRACT(TO_TEXT($F1336), P$1 &amp; ""x(\d+)"")), """")"),"")</f>
        <v/>
      </c>
      <c r="Q1336" s="9" t="str">
        <f ca="1">IFERROR(__xludf.DUMMYFUNCTION("IFERROR(VALUE(REGEXEXTRACT(TO_TEXT($F1336), Q$1 &amp; ""x(\d+)"")), """")"),"")</f>
        <v/>
      </c>
      <c r="R1336" s="9" t="str">
        <f ca="1">IFERROR(__xludf.DUMMYFUNCTION("IFERROR(VALUE(REGEXEXTRACT(TO_TEXT($F1336), R$1 &amp; ""x(\d+)"")), """")"),"")</f>
        <v/>
      </c>
      <c r="S1336" s="9" t="str">
        <f ca="1">IFERROR(__xludf.DUMMYFUNCTION("IFERROR(VALUE(REGEXEXTRACT(TO_TEXT($F1336), S$1 &amp; ""x(\d+)"")), """")"),"")</f>
        <v/>
      </c>
      <c r="T1336" s="9" t="str">
        <f ca="1">IFERROR(__xludf.DUMMYFUNCTION("IFERROR(VALUE(REGEXEXTRACT(TO_TEXT($F1336), T$1 &amp; ""x(\d+)"")), """")"),"")</f>
        <v/>
      </c>
      <c r="U1336" s="9" t="str">
        <f ca="1">IFERROR(__xludf.DUMMYFUNCTION("IFERROR(VALUE(REGEXEXTRACT(TO_TEXT($F1336), U$1 &amp; ""x(\d+)"")), """")"),"")</f>
        <v/>
      </c>
      <c r="V1336" s="9" t="str">
        <f ca="1">IFERROR(__xludf.DUMMYFUNCTION("IFERROR(VALUE(REGEXEXTRACT(TO_TEXT($F1336), V$1 &amp; ""x(\d+)"")), """")"),"")</f>
        <v/>
      </c>
      <c r="W1336" s="9"/>
      <c r="X1336" s="9"/>
      <c r="Y1336" s="9"/>
      <c r="Z1336" s="9"/>
    </row>
    <row r="1337" spans="1:26" ht="15.75" customHeight="1">
      <c r="A1337" s="9" t="s">
        <v>2419</v>
      </c>
      <c r="B1337" s="9" t="s">
        <v>2420</v>
      </c>
      <c r="C1337" s="9" t="s">
        <v>2421</v>
      </c>
      <c r="D1337" s="9" t="s">
        <v>33</v>
      </c>
      <c r="E1337" s="9" t="s">
        <v>11</v>
      </c>
      <c r="F1337" s="9" t="s">
        <v>1473</v>
      </c>
      <c r="G1337" s="9">
        <v>20</v>
      </c>
      <c r="H1337" s="9">
        <v>4</v>
      </c>
      <c r="I1337" s="9">
        <v>1.0149999999999999</v>
      </c>
      <c r="J1337" s="9">
        <v>100</v>
      </c>
      <c r="K1337" s="9" t="s">
        <v>442</v>
      </c>
      <c r="L1337" s="9"/>
      <c r="M1337" s="9"/>
      <c r="N1337" s="9" t="str">
        <f ca="1">IFERROR(__xludf.DUMMYFUNCTION("IFERROR(VALUE(REGEXEXTRACT(TO_TEXT($F1337), N$1 &amp; ""x(\d+)"")), """")
"),"")</f>
        <v/>
      </c>
      <c r="O1337" s="9" t="str">
        <f ca="1">IFERROR(__xludf.DUMMYFUNCTION("IFERROR(VALUE(REGEXEXTRACT(TO_TEXT($F1337), O$1 &amp; ""x(\d+)"")), """")"),"")</f>
        <v/>
      </c>
      <c r="P1337" s="9" t="str">
        <f ca="1">IFERROR(__xludf.DUMMYFUNCTION("IFERROR(VALUE(REGEXEXTRACT(TO_TEXT($F1337), P$1 &amp; ""x(\d+)"")), """")"),"")</f>
        <v/>
      </c>
      <c r="Q1337" s="9" t="str">
        <f ca="1">IFERROR(__xludf.DUMMYFUNCTION("IFERROR(VALUE(REGEXEXTRACT(TO_TEXT($F1337), Q$1 &amp; ""x(\d+)"")), """")"),"")</f>
        <v/>
      </c>
      <c r="R1337" s="9" t="str">
        <f ca="1">IFERROR(__xludf.DUMMYFUNCTION("IFERROR(VALUE(REGEXEXTRACT(TO_TEXT($F1337), R$1 &amp; ""x(\d+)"")), """")"),"")</f>
        <v/>
      </c>
      <c r="S1337" s="9" t="str">
        <f ca="1">IFERROR(__xludf.DUMMYFUNCTION("IFERROR(VALUE(REGEXEXTRACT(TO_TEXT($F1337), S$1 &amp; ""x(\d+)"")), """")"),"")</f>
        <v/>
      </c>
      <c r="T1337" s="9" t="str">
        <f ca="1">IFERROR(__xludf.DUMMYFUNCTION("IFERROR(VALUE(REGEXEXTRACT(TO_TEXT($F1337), T$1 &amp; ""x(\d+)"")), """")"),"")</f>
        <v/>
      </c>
      <c r="U1337" s="9" t="str">
        <f ca="1">IFERROR(__xludf.DUMMYFUNCTION("IFERROR(VALUE(REGEXEXTRACT(TO_TEXT($F1337), U$1 &amp; ""x(\d+)"")), """")"),"")</f>
        <v/>
      </c>
      <c r="V1337" s="9" t="str">
        <f ca="1">IFERROR(__xludf.DUMMYFUNCTION("IFERROR(VALUE(REGEXEXTRACT(TO_TEXT($F1337), V$1 &amp; ""x(\d+)"")), """")"),"")</f>
        <v/>
      </c>
      <c r="W1337" s="9"/>
      <c r="X1337" s="9"/>
      <c r="Y1337" s="9"/>
      <c r="Z1337" s="9"/>
    </row>
    <row r="1338" spans="1:26" ht="15.75" customHeight="1">
      <c r="A1338" s="9" t="s">
        <v>2419</v>
      </c>
      <c r="B1338" s="9" t="s">
        <v>2420</v>
      </c>
      <c r="C1338" s="9" t="s">
        <v>2421</v>
      </c>
      <c r="D1338" s="9" t="s">
        <v>33</v>
      </c>
      <c r="E1338" s="9" t="s">
        <v>12</v>
      </c>
      <c r="F1338" s="9" t="s">
        <v>1057</v>
      </c>
      <c r="G1338" s="9">
        <v>110</v>
      </c>
      <c r="H1338" s="9">
        <v>4</v>
      </c>
      <c r="I1338" s="9">
        <v>1.0149999999999999</v>
      </c>
      <c r="J1338" s="9">
        <v>100</v>
      </c>
      <c r="K1338" s="9" t="s">
        <v>442</v>
      </c>
      <c r="L1338" s="9" t="s">
        <v>1015</v>
      </c>
      <c r="M1338" s="9"/>
      <c r="N1338" s="9" t="str">
        <f ca="1">IFERROR(__xludf.DUMMYFUNCTION("IFERROR(VALUE(REGEXEXTRACT(TO_TEXT($F1338), N$1 &amp; ""x(\d+)"")), """")
"),"")</f>
        <v/>
      </c>
      <c r="O1338" s="9">
        <f ca="1">IFERROR(__xludf.DUMMYFUNCTION("IFERROR(VALUE(REGEXEXTRACT(TO_TEXT($F1338), O$1 &amp; ""x(\d+)"")), """")"),1)</f>
        <v>1</v>
      </c>
      <c r="P1338" s="9" t="str">
        <f ca="1">IFERROR(__xludf.DUMMYFUNCTION("IFERROR(VALUE(REGEXEXTRACT(TO_TEXT($F1338), P$1 &amp; ""x(\d+)"")), """")"),"")</f>
        <v/>
      </c>
      <c r="Q1338" s="9" t="str">
        <f ca="1">IFERROR(__xludf.DUMMYFUNCTION("IFERROR(VALUE(REGEXEXTRACT(TO_TEXT($F1338), Q$1 &amp; ""x(\d+)"")), """")"),"")</f>
        <v/>
      </c>
      <c r="R1338" s="9" t="str">
        <f ca="1">IFERROR(__xludf.DUMMYFUNCTION("IFERROR(VALUE(REGEXEXTRACT(TO_TEXT($F1338), R$1 &amp; ""x(\d+)"")), """")"),"")</f>
        <v/>
      </c>
      <c r="S1338" s="9" t="str">
        <f ca="1">IFERROR(__xludf.DUMMYFUNCTION("IFERROR(VALUE(REGEXEXTRACT(TO_TEXT($F1338), S$1 &amp; ""x(\d+)"")), """")"),"")</f>
        <v/>
      </c>
      <c r="T1338" s="9" t="str">
        <f ca="1">IFERROR(__xludf.DUMMYFUNCTION("IFERROR(VALUE(REGEXEXTRACT(TO_TEXT($F1338), T$1 &amp; ""x(\d+)"")), """")"),"")</f>
        <v/>
      </c>
      <c r="U1338" s="9" t="str">
        <f ca="1">IFERROR(__xludf.DUMMYFUNCTION("IFERROR(VALUE(REGEXEXTRACT(TO_TEXT($F1338), U$1 &amp; ""x(\d+)"")), """")"),"")</f>
        <v/>
      </c>
      <c r="V1338" s="9" t="str">
        <f ca="1">IFERROR(__xludf.DUMMYFUNCTION("IFERROR(VALUE(REGEXEXTRACT(TO_TEXT($F1338), V$1 &amp; ""x(\d+)"")), """")"),"")</f>
        <v/>
      </c>
      <c r="W1338" s="9"/>
      <c r="X1338" s="9"/>
      <c r="Y1338" s="9"/>
      <c r="Z1338" s="9"/>
    </row>
    <row r="1339" spans="1:26" ht="15.75" customHeight="1">
      <c r="A1339" s="9" t="s">
        <v>2419</v>
      </c>
      <c r="B1339" s="9" t="s">
        <v>2420</v>
      </c>
      <c r="C1339" s="9" t="s">
        <v>2421</v>
      </c>
      <c r="D1339" s="9" t="s">
        <v>33</v>
      </c>
      <c r="E1339" s="9" t="s">
        <v>13</v>
      </c>
      <c r="F1339" s="9" t="s">
        <v>1058</v>
      </c>
      <c r="G1339" s="9">
        <v>15</v>
      </c>
      <c r="H1339" s="9">
        <v>4</v>
      </c>
      <c r="I1339" s="9">
        <v>1.0149999999999999</v>
      </c>
      <c r="J1339" s="9">
        <v>100</v>
      </c>
      <c r="K1339" s="9" t="s">
        <v>442</v>
      </c>
      <c r="L1339" s="9"/>
      <c r="M1339" s="9"/>
      <c r="N1339" s="9" t="str">
        <f ca="1">IFERROR(__xludf.DUMMYFUNCTION("IFERROR(VALUE(REGEXEXTRACT(TO_TEXT($F1339), N$1 &amp; ""x(\d+)"")), """")
"),"")</f>
        <v/>
      </c>
      <c r="O1339" s="9">
        <f ca="1">IFERROR(__xludf.DUMMYFUNCTION("IFERROR(VALUE(REGEXEXTRACT(TO_TEXT($F1339), O$1 &amp; ""x(\d+)"")), """")"),1)</f>
        <v>1</v>
      </c>
      <c r="P1339" s="9" t="str">
        <f ca="1">IFERROR(__xludf.DUMMYFUNCTION("IFERROR(VALUE(REGEXEXTRACT(TO_TEXT($F1339), P$1 &amp; ""x(\d+)"")), """")"),"")</f>
        <v/>
      </c>
      <c r="Q1339" s="9" t="str">
        <f ca="1">IFERROR(__xludf.DUMMYFUNCTION("IFERROR(VALUE(REGEXEXTRACT(TO_TEXT($F1339), Q$1 &amp; ""x(\d+)"")), """")"),"")</f>
        <v/>
      </c>
      <c r="R1339" s="9" t="str">
        <f ca="1">IFERROR(__xludf.DUMMYFUNCTION("IFERROR(VALUE(REGEXEXTRACT(TO_TEXT($F1339), R$1 &amp; ""x(\d+)"")), """")"),"")</f>
        <v/>
      </c>
      <c r="S1339" s="9" t="str">
        <f ca="1">IFERROR(__xludf.DUMMYFUNCTION("IFERROR(VALUE(REGEXEXTRACT(TO_TEXT($F1339), S$1 &amp; ""x(\d+)"")), """")"),"")</f>
        <v/>
      </c>
      <c r="T1339" s="9" t="str">
        <f ca="1">IFERROR(__xludf.DUMMYFUNCTION("IFERROR(VALUE(REGEXEXTRACT(TO_TEXT($F1339), T$1 &amp; ""x(\d+)"")), """")"),"")</f>
        <v/>
      </c>
      <c r="U1339" s="9" t="str">
        <f ca="1">IFERROR(__xludf.DUMMYFUNCTION("IFERROR(VALUE(REGEXEXTRACT(TO_TEXT($F1339), U$1 &amp; ""x(\d+)"")), """")"),"")</f>
        <v/>
      </c>
      <c r="V1339" s="9" t="str">
        <f ca="1">IFERROR(__xludf.DUMMYFUNCTION("IFERROR(VALUE(REGEXEXTRACT(TO_TEXT($F1339), V$1 &amp; ""x(\d+)"")), """")"),"")</f>
        <v/>
      </c>
      <c r="W1339" s="9"/>
      <c r="X1339" s="9"/>
      <c r="Y1339" s="9"/>
      <c r="Z1339" s="9"/>
    </row>
    <row r="1340" spans="1:26" ht="15.75" customHeight="1">
      <c r="A1340" s="9" t="s">
        <v>2422</v>
      </c>
      <c r="B1340" s="9" t="s">
        <v>2423</v>
      </c>
      <c r="C1340" s="9" t="s">
        <v>2424</v>
      </c>
      <c r="D1340" s="9" t="s">
        <v>33</v>
      </c>
      <c r="E1340" s="9" t="s">
        <v>11</v>
      </c>
      <c r="F1340" s="9" t="s">
        <v>1477</v>
      </c>
      <c r="G1340" s="9">
        <v>20</v>
      </c>
      <c r="H1340" s="9">
        <v>3</v>
      </c>
      <c r="I1340" s="9">
        <v>1.0149999999999999</v>
      </c>
      <c r="J1340" s="9">
        <v>110</v>
      </c>
      <c r="K1340" s="9" t="s">
        <v>442</v>
      </c>
      <c r="L1340" s="9"/>
      <c r="M1340" s="9"/>
      <c r="N1340" s="9" t="str">
        <f ca="1">IFERROR(__xludf.DUMMYFUNCTION("IFERROR(VALUE(REGEXEXTRACT(TO_TEXT($F1340), N$1 &amp; ""x(\d+)"")), """")
"),"")</f>
        <v/>
      </c>
      <c r="O1340" s="9" t="str">
        <f ca="1">IFERROR(__xludf.DUMMYFUNCTION("IFERROR(VALUE(REGEXEXTRACT(TO_TEXT($F1340), O$1 &amp; ""x(\d+)"")), """")"),"")</f>
        <v/>
      </c>
      <c r="P1340" s="9" t="str">
        <f ca="1">IFERROR(__xludf.DUMMYFUNCTION("IFERROR(VALUE(REGEXEXTRACT(TO_TEXT($F1340), P$1 &amp; ""x(\d+)"")), """")"),"")</f>
        <v/>
      </c>
      <c r="Q1340" s="9" t="str">
        <f ca="1">IFERROR(__xludf.DUMMYFUNCTION("IFERROR(VALUE(REGEXEXTRACT(TO_TEXT($F1340), Q$1 &amp; ""x(\d+)"")), """")"),"")</f>
        <v/>
      </c>
      <c r="R1340" s="9" t="str">
        <f ca="1">IFERROR(__xludf.DUMMYFUNCTION("IFERROR(VALUE(REGEXEXTRACT(TO_TEXT($F1340), R$1 &amp; ""x(\d+)"")), """")"),"")</f>
        <v/>
      </c>
      <c r="S1340" s="9" t="str">
        <f ca="1">IFERROR(__xludf.DUMMYFUNCTION("IFERROR(VALUE(REGEXEXTRACT(TO_TEXT($F1340), S$1 &amp; ""x(\d+)"")), """")"),"")</f>
        <v/>
      </c>
      <c r="T1340" s="9" t="str">
        <f ca="1">IFERROR(__xludf.DUMMYFUNCTION("IFERROR(VALUE(REGEXEXTRACT(TO_TEXT($F1340), T$1 &amp; ""x(\d+)"")), """")"),"")</f>
        <v/>
      </c>
      <c r="U1340" s="9" t="str">
        <f ca="1">IFERROR(__xludf.DUMMYFUNCTION("IFERROR(VALUE(REGEXEXTRACT(TO_TEXT($F1340), U$1 &amp; ""x(\d+)"")), """")"),"")</f>
        <v/>
      </c>
      <c r="V1340" s="9" t="str">
        <f ca="1">IFERROR(__xludf.DUMMYFUNCTION("IFERROR(VALUE(REGEXEXTRACT(TO_TEXT($F1340), V$1 &amp; ""x(\d+)"")), """")"),"")</f>
        <v/>
      </c>
      <c r="W1340" s="9"/>
      <c r="X1340" s="9"/>
      <c r="Y1340" s="9"/>
      <c r="Z1340" s="9"/>
    </row>
    <row r="1341" spans="1:26" ht="15.75" customHeight="1">
      <c r="A1341" s="9" t="s">
        <v>2422</v>
      </c>
      <c r="B1341" s="9" t="s">
        <v>2423</v>
      </c>
      <c r="C1341" s="9" t="s">
        <v>2424</v>
      </c>
      <c r="D1341" s="9" t="s">
        <v>33</v>
      </c>
      <c r="E1341" s="9" t="s">
        <v>12</v>
      </c>
      <c r="F1341" s="9" t="s">
        <v>2412</v>
      </c>
      <c r="G1341" s="9">
        <v>130</v>
      </c>
      <c r="H1341" s="9">
        <v>3</v>
      </c>
      <c r="I1341" s="9">
        <v>1.0149999999999999</v>
      </c>
      <c r="J1341" s="9">
        <v>110</v>
      </c>
      <c r="K1341" s="9" t="s">
        <v>442</v>
      </c>
      <c r="L1341" s="9"/>
      <c r="M1341" s="9"/>
      <c r="N1341" s="9" t="str">
        <f ca="1">IFERROR(__xludf.DUMMYFUNCTION("IFERROR(VALUE(REGEXEXTRACT(TO_TEXT($F1341), N$1 &amp; ""x(\d+)"")), """")
"),"")</f>
        <v/>
      </c>
      <c r="O1341" s="9" t="str">
        <f ca="1">IFERROR(__xludf.DUMMYFUNCTION("IFERROR(VALUE(REGEXEXTRACT(TO_TEXT($F1341), O$1 &amp; ""x(\d+)"")), """")"),"")</f>
        <v/>
      </c>
      <c r="P1341" s="9" t="str">
        <f ca="1">IFERROR(__xludf.DUMMYFUNCTION("IFERROR(VALUE(REGEXEXTRACT(TO_TEXT($F1341), P$1 &amp; ""x(\d+)"")), """")"),"")</f>
        <v/>
      </c>
      <c r="Q1341" s="9" t="str">
        <f ca="1">IFERROR(__xludf.DUMMYFUNCTION("IFERROR(VALUE(REGEXEXTRACT(TO_TEXT($F1341), Q$1 &amp; ""x(\d+)"")), """")"),"")</f>
        <v/>
      </c>
      <c r="R1341" s="9">
        <f ca="1">IFERROR(__xludf.DUMMYFUNCTION("IFERROR(VALUE(REGEXEXTRACT(TO_TEXT($F1341), R$1 &amp; ""x(\d+)"")), """")"),1)</f>
        <v>1</v>
      </c>
      <c r="S1341" s="9" t="str">
        <f ca="1">IFERROR(__xludf.DUMMYFUNCTION("IFERROR(VALUE(REGEXEXTRACT(TO_TEXT($F1341), S$1 &amp; ""x(\d+)"")), """")"),"")</f>
        <v/>
      </c>
      <c r="T1341" s="9" t="str">
        <f ca="1">IFERROR(__xludf.DUMMYFUNCTION("IFERROR(VALUE(REGEXEXTRACT(TO_TEXT($F1341), T$1 &amp; ""x(\d+)"")), """")"),"")</f>
        <v/>
      </c>
      <c r="U1341" s="9" t="str">
        <f ca="1">IFERROR(__xludf.DUMMYFUNCTION("IFERROR(VALUE(REGEXEXTRACT(TO_TEXT($F1341), U$1 &amp; ""x(\d+)"")), """")"),"")</f>
        <v/>
      </c>
      <c r="V1341" s="9" t="str">
        <f ca="1">IFERROR(__xludf.DUMMYFUNCTION("IFERROR(VALUE(REGEXEXTRACT(TO_TEXT($F1341), V$1 &amp; ""x(\d+)"")), """")"),"")</f>
        <v/>
      </c>
      <c r="W1341" s="9"/>
      <c r="X1341" s="9"/>
      <c r="Y1341" s="9"/>
      <c r="Z1341" s="9"/>
    </row>
    <row r="1342" spans="1:26" ht="15.75" customHeight="1">
      <c r="A1342" s="9" t="s">
        <v>2422</v>
      </c>
      <c r="B1342" s="9" t="s">
        <v>2423</v>
      </c>
      <c r="C1342" s="9" t="s">
        <v>2424</v>
      </c>
      <c r="D1342" s="9" t="s">
        <v>33</v>
      </c>
      <c r="E1342" s="9" t="s">
        <v>13</v>
      </c>
      <c r="F1342" s="9" t="s">
        <v>2413</v>
      </c>
      <c r="G1342" s="9">
        <v>15</v>
      </c>
      <c r="H1342" s="9">
        <v>3</v>
      </c>
      <c r="I1342" s="9">
        <v>1.0149999999999999</v>
      </c>
      <c r="J1342" s="9">
        <v>110</v>
      </c>
      <c r="K1342" s="9" t="s">
        <v>442</v>
      </c>
      <c r="L1342" s="9"/>
      <c r="M1342" s="9"/>
      <c r="N1342" s="9" t="str">
        <f ca="1">IFERROR(__xludf.DUMMYFUNCTION("IFERROR(VALUE(REGEXEXTRACT(TO_TEXT($F1342), N$1 &amp; ""x(\d+)"")), """")
"),"")</f>
        <v/>
      </c>
      <c r="O1342" s="9" t="str">
        <f ca="1">IFERROR(__xludf.DUMMYFUNCTION("IFERROR(VALUE(REGEXEXTRACT(TO_TEXT($F1342), O$1 &amp; ""x(\d+)"")), """")"),"")</f>
        <v/>
      </c>
      <c r="P1342" s="9" t="str">
        <f ca="1">IFERROR(__xludf.DUMMYFUNCTION("IFERROR(VALUE(REGEXEXTRACT(TO_TEXT($F1342), P$1 &amp; ""x(\d+)"")), """")"),"")</f>
        <v/>
      </c>
      <c r="Q1342" s="9" t="str">
        <f ca="1">IFERROR(__xludf.DUMMYFUNCTION("IFERROR(VALUE(REGEXEXTRACT(TO_TEXT($F1342), Q$1 &amp; ""x(\d+)"")), """")"),"")</f>
        <v/>
      </c>
      <c r="R1342" s="9">
        <f ca="1">IFERROR(__xludf.DUMMYFUNCTION("IFERROR(VALUE(REGEXEXTRACT(TO_TEXT($F1342), R$1 &amp; ""x(\d+)"")), """")"),1)</f>
        <v>1</v>
      </c>
      <c r="S1342" s="9" t="str">
        <f ca="1">IFERROR(__xludf.DUMMYFUNCTION("IFERROR(VALUE(REGEXEXTRACT(TO_TEXT($F1342), S$1 &amp; ""x(\d+)"")), """")"),"")</f>
        <v/>
      </c>
      <c r="T1342" s="9" t="str">
        <f ca="1">IFERROR(__xludf.DUMMYFUNCTION("IFERROR(VALUE(REGEXEXTRACT(TO_TEXT($F1342), T$1 &amp; ""x(\d+)"")), """")"),"")</f>
        <v/>
      </c>
      <c r="U1342" s="9" t="str">
        <f ca="1">IFERROR(__xludf.DUMMYFUNCTION("IFERROR(VALUE(REGEXEXTRACT(TO_TEXT($F1342), U$1 &amp; ""x(\d+)"")), """")"),"")</f>
        <v/>
      </c>
      <c r="V1342" s="9" t="str">
        <f ca="1">IFERROR(__xludf.DUMMYFUNCTION("IFERROR(VALUE(REGEXEXTRACT(TO_TEXT($F1342), V$1 &amp; ""x(\d+)"")), """")"),"")</f>
        <v/>
      </c>
      <c r="W1342" s="9"/>
      <c r="X1342" s="9"/>
      <c r="Y1342" s="9"/>
      <c r="Z1342" s="9"/>
    </row>
    <row r="1343" spans="1:26" ht="15.75" customHeight="1">
      <c r="A1343" s="9" t="s">
        <v>2422</v>
      </c>
      <c r="B1343" s="9" t="s">
        <v>2423</v>
      </c>
      <c r="C1343" s="9" t="s">
        <v>2424</v>
      </c>
      <c r="D1343" s="9" t="s">
        <v>40</v>
      </c>
      <c r="E1343" s="9" t="s">
        <v>11</v>
      </c>
      <c r="F1343" s="9" t="s">
        <v>1533</v>
      </c>
      <c r="G1343" s="9">
        <v>20</v>
      </c>
      <c r="H1343" s="9">
        <v>2</v>
      </c>
      <c r="I1343" s="9">
        <v>1.0149999999999999</v>
      </c>
      <c r="J1343" s="9">
        <v>412</v>
      </c>
      <c r="K1343" s="9" t="s">
        <v>442</v>
      </c>
      <c r="L1343" s="9"/>
      <c r="M1343" s="9"/>
      <c r="N1343" s="9" t="str">
        <f ca="1">IFERROR(__xludf.DUMMYFUNCTION("IFERROR(VALUE(REGEXEXTRACT(TO_TEXT($F1343), N$1 &amp; ""x(\d+)"")), """")
"),"")</f>
        <v/>
      </c>
      <c r="O1343" s="9" t="str">
        <f ca="1">IFERROR(__xludf.DUMMYFUNCTION("IFERROR(VALUE(REGEXEXTRACT(TO_TEXT($F1343), O$1 &amp; ""x(\d+)"")), """")"),"")</f>
        <v/>
      </c>
      <c r="P1343" s="9" t="str">
        <f ca="1">IFERROR(__xludf.DUMMYFUNCTION("IFERROR(VALUE(REGEXEXTRACT(TO_TEXT($F1343), P$1 &amp; ""x(\d+)"")), """")"),"")</f>
        <v/>
      </c>
      <c r="Q1343" s="9" t="str">
        <f ca="1">IFERROR(__xludf.DUMMYFUNCTION("IFERROR(VALUE(REGEXEXTRACT(TO_TEXT($F1343), Q$1 &amp; ""x(\d+)"")), """")"),"")</f>
        <v/>
      </c>
      <c r="R1343" s="9" t="str">
        <f ca="1">IFERROR(__xludf.DUMMYFUNCTION("IFERROR(VALUE(REGEXEXTRACT(TO_TEXT($F1343), R$1 &amp; ""x(\d+)"")), """")"),"")</f>
        <v/>
      </c>
      <c r="S1343" s="9" t="str">
        <f ca="1">IFERROR(__xludf.DUMMYFUNCTION("IFERROR(VALUE(REGEXEXTRACT(TO_TEXT($F1343), S$1 &amp; ""x(\d+)"")), """")"),"")</f>
        <v/>
      </c>
      <c r="T1343" s="9" t="str">
        <f ca="1">IFERROR(__xludf.DUMMYFUNCTION("IFERROR(VALUE(REGEXEXTRACT(TO_TEXT($F1343), T$1 &amp; ""x(\d+)"")), """")"),"")</f>
        <v/>
      </c>
      <c r="U1343" s="9" t="str">
        <f ca="1">IFERROR(__xludf.DUMMYFUNCTION("IFERROR(VALUE(REGEXEXTRACT(TO_TEXT($F1343), U$1 &amp; ""x(\d+)"")), """")"),"")</f>
        <v/>
      </c>
      <c r="V1343" s="9" t="str">
        <f ca="1">IFERROR(__xludf.DUMMYFUNCTION("IFERROR(VALUE(REGEXEXTRACT(TO_TEXT($F1343), V$1 &amp; ""x(\d+)"")), """")"),"")</f>
        <v/>
      </c>
      <c r="W1343" s="9"/>
      <c r="X1343" s="9"/>
      <c r="Y1343" s="9"/>
      <c r="Z1343" s="9"/>
    </row>
    <row r="1344" spans="1:26" ht="15.75" customHeight="1">
      <c r="A1344" s="9" t="s">
        <v>2422</v>
      </c>
      <c r="B1344" s="9" t="s">
        <v>2423</v>
      </c>
      <c r="C1344" s="9" t="s">
        <v>2424</v>
      </c>
      <c r="D1344" s="9" t="s">
        <v>40</v>
      </c>
      <c r="E1344" s="9" t="s">
        <v>12</v>
      </c>
      <c r="F1344" s="9" t="s">
        <v>2031</v>
      </c>
      <c r="G1344" s="9">
        <v>160</v>
      </c>
      <c r="H1344" s="9">
        <v>2</v>
      </c>
      <c r="I1344" s="9">
        <v>1.0149999999999999</v>
      </c>
      <c r="J1344" s="9">
        <v>412</v>
      </c>
      <c r="K1344" s="9" t="s">
        <v>442</v>
      </c>
      <c r="L1344" s="9"/>
      <c r="M1344" s="9"/>
      <c r="N1344" s="9" t="str">
        <f ca="1">IFERROR(__xludf.DUMMYFUNCTION("IFERROR(VALUE(REGEXEXTRACT(TO_TEXT($F1344), N$1 &amp; ""x(\d+)"")), """")
"),"")</f>
        <v/>
      </c>
      <c r="O1344" s="9" t="str">
        <f ca="1">IFERROR(__xludf.DUMMYFUNCTION("IFERROR(VALUE(REGEXEXTRACT(TO_TEXT($F1344), O$1 &amp; ""x(\d+)"")), """")"),"")</f>
        <v/>
      </c>
      <c r="P1344" s="9" t="str">
        <f ca="1">IFERROR(__xludf.DUMMYFUNCTION("IFERROR(VALUE(REGEXEXTRACT(TO_TEXT($F1344), P$1 &amp; ""x(\d+)"")), """")"),"")</f>
        <v/>
      </c>
      <c r="Q1344" s="9" t="str">
        <f ca="1">IFERROR(__xludf.DUMMYFUNCTION("IFERROR(VALUE(REGEXEXTRACT(TO_TEXT($F1344), Q$1 &amp; ""x(\d+)"")), """")"),"")</f>
        <v/>
      </c>
      <c r="R1344" s="9" t="str">
        <f ca="1">IFERROR(__xludf.DUMMYFUNCTION("IFERROR(VALUE(REGEXEXTRACT(TO_TEXT($F1344), R$1 &amp; ""x(\d+)"")), """")"),"")</f>
        <v/>
      </c>
      <c r="S1344" s="9" t="str">
        <f ca="1">IFERROR(__xludf.DUMMYFUNCTION("IFERROR(VALUE(REGEXEXTRACT(TO_TEXT($F1344), S$1 &amp; ""x(\d+)"")), """")"),"")</f>
        <v/>
      </c>
      <c r="T1344" s="9">
        <f ca="1">IFERROR(__xludf.DUMMYFUNCTION("IFERROR(VALUE(REGEXEXTRACT(TO_TEXT($F1344), T$1 &amp; ""x(\d+)"")), """")"),1)</f>
        <v>1</v>
      </c>
      <c r="U1344" s="9" t="str">
        <f ca="1">IFERROR(__xludf.DUMMYFUNCTION("IFERROR(VALUE(REGEXEXTRACT(TO_TEXT($F1344), U$1 &amp; ""x(\d+)"")), """")"),"")</f>
        <v/>
      </c>
      <c r="V1344" s="9" t="str">
        <f ca="1">IFERROR(__xludf.DUMMYFUNCTION("IFERROR(VALUE(REGEXEXTRACT(TO_TEXT($F1344), V$1 &amp; ""x(\d+)"")), """")"),"")</f>
        <v/>
      </c>
      <c r="W1344" s="9"/>
      <c r="X1344" s="9"/>
      <c r="Y1344" s="9"/>
      <c r="Z1344" s="9"/>
    </row>
    <row r="1345" spans="1:26" ht="15.75" customHeight="1">
      <c r="A1345" s="9" t="s">
        <v>2422</v>
      </c>
      <c r="B1345" s="9" t="s">
        <v>2423</v>
      </c>
      <c r="C1345" s="9" t="s">
        <v>2424</v>
      </c>
      <c r="D1345" s="9" t="s">
        <v>40</v>
      </c>
      <c r="E1345" s="9" t="s">
        <v>13</v>
      </c>
      <c r="F1345" s="9" t="s">
        <v>1031</v>
      </c>
      <c r="G1345" s="9">
        <v>30</v>
      </c>
      <c r="H1345" s="9">
        <v>2</v>
      </c>
      <c r="I1345" s="9">
        <v>1.0149999999999999</v>
      </c>
      <c r="J1345" s="9">
        <v>412</v>
      </c>
      <c r="K1345" s="9" t="s">
        <v>442</v>
      </c>
      <c r="L1345" s="9"/>
      <c r="M1345" s="9"/>
      <c r="N1345" s="9" t="str">
        <f ca="1">IFERROR(__xludf.DUMMYFUNCTION("IFERROR(VALUE(REGEXEXTRACT(TO_TEXT($F1345), N$1 &amp; ""x(\d+)"")), """")
"),"")</f>
        <v/>
      </c>
      <c r="O1345" s="9" t="str">
        <f ca="1">IFERROR(__xludf.DUMMYFUNCTION("IFERROR(VALUE(REGEXEXTRACT(TO_TEXT($F1345), O$1 &amp; ""x(\d+)"")), """")"),"")</f>
        <v/>
      </c>
      <c r="P1345" s="9" t="str">
        <f ca="1">IFERROR(__xludf.DUMMYFUNCTION("IFERROR(VALUE(REGEXEXTRACT(TO_TEXT($F1345), P$1 &amp; ""x(\d+)"")), """")"),"")</f>
        <v/>
      </c>
      <c r="Q1345" s="9" t="str">
        <f ca="1">IFERROR(__xludf.DUMMYFUNCTION("IFERROR(VALUE(REGEXEXTRACT(TO_TEXT($F1345), Q$1 &amp; ""x(\d+)"")), """")"),"")</f>
        <v/>
      </c>
      <c r="R1345" s="9" t="str">
        <f ca="1">IFERROR(__xludf.DUMMYFUNCTION("IFERROR(VALUE(REGEXEXTRACT(TO_TEXT($F1345), R$1 &amp; ""x(\d+)"")), """")"),"")</f>
        <v/>
      </c>
      <c r="S1345" s="9" t="str">
        <f ca="1">IFERROR(__xludf.DUMMYFUNCTION("IFERROR(VALUE(REGEXEXTRACT(TO_TEXT($F1345), S$1 &amp; ""x(\d+)"")), """")"),"")</f>
        <v/>
      </c>
      <c r="T1345" s="9">
        <f ca="1">IFERROR(__xludf.DUMMYFUNCTION("IFERROR(VALUE(REGEXEXTRACT(TO_TEXT($F1345), T$1 &amp; ""x(\d+)"")), """")"),1)</f>
        <v>1</v>
      </c>
      <c r="U1345" s="9" t="str">
        <f ca="1">IFERROR(__xludf.DUMMYFUNCTION("IFERROR(VALUE(REGEXEXTRACT(TO_TEXT($F1345), U$1 &amp; ""x(\d+)"")), """")"),"")</f>
        <v/>
      </c>
      <c r="V1345" s="9" t="str">
        <f ca="1">IFERROR(__xludf.DUMMYFUNCTION("IFERROR(VALUE(REGEXEXTRACT(TO_TEXT($F1345), V$1 &amp; ""x(\d+)"")), """")"),"")</f>
        <v/>
      </c>
      <c r="W1345" s="9"/>
      <c r="X1345" s="9"/>
      <c r="Y1345" s="9"/>
      <c r="Z1345" s="9"/>
    </row>
    <row r="1346" spans="1:26" ht="15.75" customHeight="1">
      <c r="A1346" s="9" t="s">
        <v>2425</v>
      </c>
      <c r="B1346" s="9" t="s">
        <v>2426</v>
      </c>
      <c r="C1346" s="9" t="s">
        <v>2427</v>
      </c>
      <c r="D1346" s="9" t="s">
        <v>40</v>
      </c>
      <c r="E1346" s="9" t="s">
        <v>11</v>
      </c>
      <c r="F1346" s="9" t="s">
        <v>2428</v>
      </c>
      <c r="G1346" s="9">
        <v>25</v>
      </c>
      <c r="H1346" s="9">
        <v>3</v>
      </c>
      <c r="I1346" s="9">
        <v>1.0149999999999999</v>
      </c>
      <c r="J1346" s="9">
        <v>410</v>
      </c>
      <c r="K1346" s="9" t="s">
        <v>442</v>
      </c>
      <c r="L1346" s="9"/>
      <c r="M1346" s="9"/>
      <c r="N1346" s="9" t="str">
        <f ca="1">IFERROR(__xludf.DUMMYFUNCTION("IFERROR(VALUE(REGEXEXTRACT(TO_TEXT($F1346), N$1 &amp; ""x(\d+)"")), """")
"),"")</f>
        <v/>
      </c>
      <c r="O1346" s="9" t="str">
        <f ca="1">IFERROR(__xludf.DUMMYFUNCTION("IFERROR(VALUE(REGEXEXTRACT(TO_TEXT($F1346), O$1 &amp; ""x(\d+)"")), """")"),"")</f>
        <v/>
      </c>
      <c r="P1346" s="9" t="str">
        <f ca="1">IFERROR(__xludf.DUMMYFUNCTION("IFERROR(VALUE(REGEXEXTRACT(TO_TEXT($F1346), P$1 &amp; ""x(\d+)"")), """")"),"")</f>
        <v/>
      </c>
      <c r="Q1346" s="9" t="str">
        <f ca="1">IFERROR(__xludf.DUMMYFUNCTION("IFERROR(VALUE(REGEXEXTRACT(TO_TEXT($F1346), Q$1 &amp; ""x(\d+)"")), """")"),"")</f>
        <v/>
      </c>
      <c r="R1346" s="9" t="str">
        <f ca="1">IFERROR(__xludf.DUMMYFUNCTION("IFERROR(VALUE(REGEXEXTRACT(TO_TEXT($F1346), R$1 &amp; ""x(\d+)"")), """")"),"")</f>
        <v/>
      </c>
      <c r="S1346" s="9" t="str">
        <f ca="1">IFERROR(__xludf.DUMMYFUNCTION("IFERROR(VALUE(REGEXEXTRACT(TO_TEXT($F1346), S$1 &amp; ""x(\d+)"")), """")"),"")</f>
        <v/>
      </c>
      <c r="T1346" s="9" t="str">
        <f ca="1">IFERROR(__xludf.DUMMYFUNCTION("IFERROR(VALUE(REGEXEXTRACT(TO_TEXT($F1346), T$1 &amp; ""x(\d+)"")), """")"),"")</f>
        <v/>
      </c>
      <c r="U1346" s="9" t="str">
        <f ca="1">IFERROR(__xludf.DUMMYFUNCTION("IFERROR(VALUE(REGEXEXTRACT(TO_TEXT($F1346), U$1 &amp; ""x(\d+)"")), """")"),"")</f>
        <v/>
      </c>
      <c r="V1346" s="9" t="str">
        <f ca="1">IFERROR(__xludf.DUMMYFUNCTION("IFERROR(VALUE(REGEXEXTRACT(TO_TEXT($F1346), V$1 &amp; ""x(\d+)"")), """")"),"")</f>
        <v/>
      </c>
      <c r="W1346" s="9"/>
      <c r="X1346" s="9"/>
      <c r="Y1346" s="9"/>
      <c r="Z1346" s="9"/>
    </row>
    <row r="1347" spans="1:26" ht="15.75" customHeight="1">
      <c r="A1347" s="9" t="s">
        <v>2425</v>
      </c>
      <c r="B1347" s="9" t="s">
        <v>2426</v>
      </c>
      <c r="C1347" s="9" t="s">
        <v>2427</v>
      </c>
      <c r="D1347" s="9" t="s">
        <v>40</v>
      </c>
      <c r="E1347" s="9" t="s">
        <v>12</v>
      </c>
      <c r="F1347" s="9" t="s">
        <v>1110</v>
      </c>
      <c r="G1347" s="9">
        <v>130</v>
      </c>
      <c r="H1347" s="9">
        <v>3</v>
      </c>
      <c r="I1347" s="9">
        <v>1.0149999999999999</v>
      </c>
      <c r="J1347" s="9">
        <v>410</v>
      </c>
      <c r="K1347" s="9" t="s">
        <v>442</v>
      </c>
      <c r="L1347" s="9" t="s">
        <v>1035</v>
      </c>
      <c r="M1347" s="9"/>
      <c r="N1347" s="9" t="str">
        <f ca="1">IFERROR(__xludf.DUMMYFUNCTION("IFERROR(VALUE(REGEXEXTRACT(TO_TEXT($F1347), N$1 &amp; ""x(\d+)"")), """")
"),"")</f>
        <v/>
      </c>
      <c r="O1347" s="9" t="str">
        <f ca="1">IFERROR(__xludf.DUMMYFUNCTION("IFERROR(VALUE(REGEXEXTRACT(TO_TEXT($F1347), O$1 &amp; ""x(\d+)"")), """")"),"")</f>
        <v/>
      </c>
      <c r="P1347" s="9" t="str">
        <f ca="1">IFERROR(__xludf.DUMMYFUNCTION("IFERROR(VALUE(REGEXEXTRACT(TO_TEXT($F1347), P$1 &amp; ""x(\d+)"")), """")"),"")</f>
        <v/>
      </c>
      <c r="Q1347" s="9" t="str">
        <f ca="1">IFERROR(__xludf.DUMMYFUNCTION("IFERROR(VALUE(REGEXEXTRACT(TO_TEXT($F1347), Q$1 &amp; ""x(\d+)"")), """")"),"")</f>
        <v/>
      </c>
      <c r="R1347" s="9" t="str">
        <f ca="1">IFERROR(__xludf.DUMMYFUNCTION("IFERROR(VALUE(REGEXEXTRACT(TO_TEXT($F1347), R$1 &amp; ""x(\d+)"")), """")"),"")</f>
        <v/>
      </c>
      <c r="S1347" s="9">
        <f ca="1">IFERROR(__xludf.DUMMYFUNCTION("IFERROR(VALUE(REGEXEXTRACT(TO_TEXT($F1347), S$1 &amp; ""x(\d+)"")), """")"),1)</f>
        <v>1</v>
      </c>
      <c r="T1347" s="9" t="str">
        <f ca="1">IFERROR(__xludf.DUMMYFUNCTION("IFERROR(VALUE(REGEXEXTRACT(TO_TEXT($F1347), T$1 &amp; ""x(\d+)"")), """")"),"")</f>
        <v/>
      </c>
      <c r="U1347" s="9" t="str">
        <f ca="1">IFERROR(__xludf.DUMMYFUNCTION("IFERROR(VALUE(REGEXEXTRACT(TO_TEXT($F1347), U$1 &amp; ""x(\d+)"")), """")"),"")</f>
        <v/>
      </c>
      <c r="V1347" s="9" t="str">
        <f ca="1">IFERROR(__xludf.DUMMYFUNCTION("IFERROR(VALUE(REGEXEXTRACT(TO_TEXT($F1347), V$1 &amp; ""x(\d+)"")), """")"),"")</f>
        <v/>
      </c>
      <c r="W1347" s="9"/>
      <c r="X1347" s="9"/>
      <c r="Y1347" s="9"/>
      <c r="Z1347" s="9"/>
    </row>
    <row r="1348" spans="1:26" ht="15.75" customHeight="1">
      <c r="A1348" s="9" t="s">
        <v>2425</v>
      </c>
      <c r="B1348" s="9" t="s">
        <v>2426</v>
      </c>
      <c r="C1348" s="9" t="s">
        <v>2427</v>
      </c>
      <c r="D1348" s="9" t="s">
        <v>40</v>
      </c>
      <c r="E1348" s="9" t="s">
        <v>13</v>
      </c>
      <c r="F1348" s="9" t="s">
        <v>1111</v>
      </c>
      <c r="G1348" s="9">
        <v>30</v>
      </c>
      <c r="H1348" s="9">
        <v>3</v>
      </c>
      <c r="I1348" s="9">
        <v>1.0149999999999999</v>
      </c>
      <c r="J1348" s="9">
        <v>410</v>
      </c>
      <c r="K1348" s="9" t="s">
        <v>442</v>
      </c>
      <c r="L1348" s="9"/>
      <c r="M1348" s="9"/>
      <c r="N1348" s="9" t="str">
        <f ca="1">IFERROR(__xludf.DUMMYFUNCTION("IFERROR(VALUE(REGEXEXTRACT(TO_TEXT($F1348), N$1 &amp; ""x(\d+)"")), """")
"),"")</f>
        <v/>
      </c>
      <c r="O1348" s="9" t="str">
        <f ca="1">IFERROR(__xludf.DUMMYFUNCTION("IFERROR(VALUE(REGEXEXTRACT(TO_TEXT($F1348), O$1 &amp; ""x(\d+)"")), """")"),"")</f>
        <v/>
      </c>
      <c r="P1348" s="9" t="str">
        <f ca="1">IFERROR(__xludf.DUMMYFUNCTION("IFERROR(VALUE(REGEXEXTRACT(TO_TEXT($F1348), P$1 &amp; ""x(\d+)"")), """")"),"")</f>
        <v/>
      </c>
      <c r="Q1348" s="9" t="str">
        <f ca="1">IFERROR(__xludf.DUMMYFUNCTION("IFERROR(VALUE(REGEXEXTRACT(TO_TEXT($F1348), Q$1 &amp; ""x(\d+)"")), """")"),"")</f>
        <v/>
      </c>
      <c r="R1348" s="9" t="str">
        <f ca="1">IFERROR(__xludf.DUMMYFUNCTION("IFERROR(VALUE(REGEXEXTRACT(TO_TEXT($F1348), R$1 &amp; ""x(\d+)"")), """")"),"")</f>
        <v/>
      </c>
      <c r="S1348" s="9">
        <f ca="1">IFERROR(__xludf.DUMMYFUNCTION("IFERROR(VALUE(REGEXEXTRACT(TO_TEXT($F1348), S$1 &amp; ""x(\d+)"")), """")"),1)</f>
        <v>1</v>
      </c>
      <c r="T1348" s="9" t="str">
        <f ca="1">IFERROR(__xludf.DUMMYFUNCTION("IFERROR(VALUE(REGEXEXTRACT(TO_TEXT($F1348), T$1 &amp; ""x(\d+)"")), """")"),"")</f>
        <v/>
      </c>
      <c r="U1348" s="9" t="str">
        <f ca="1">IFERROR(__xludf.DUMMYFUNCTION("IFERROR(VALUE(REGEXEXTRACT(TO_TEXT($F1348), U$1 &amp; ""x(\d+)"")), """")"),"")</f>
        <v/>
      </c>
      <c r="V1348" s="9" t="str">
        <f ca="1">IFERROR(__xludf.DUMMYFUNCTION("IFERROR(VALUE(REGEXEXTRACT(TO_TEXT($F1348), V$1 &amp; ""x(\d+)"")), """")"),"")</f>
        <v/>
      </c>
      <c r="W1348" s="9"/>
      <c r="X1348" s="9"/>
      <c r="Y1348" s="9"/>
      <c r="Z1348" s="9"/>
    </row>
    <row r="1349" spans="1:26" ht="15.75" customHeight="1">
      <c r="A1349" s="9" t="s">
        <v>2429</v>
      </c>
      <c r="B1349" s="9" t="s">
        <v>2430</v>
      </c>
      <c r="C1349" s="9" t="s">
        <v>2431</v>
      </c>
      <c r="D1349" s="9" t="s">
        <v>33</v>
      </c>
      <c r="E1349" s="9" t="s">
        <v>11</v>
      </c>
      <c r="F1349" s="9" t="s">
        <v>2090</v>
      </c>
      <c r="G1349" s="9">
        <v>100</v>
      </c>
      <c r="H1349" s="9">
        <v>3</v>
      </c>
      <c r="I1349" s="9">
        <v>1.0149999999999999</v>
      </c>
      <c r="J1349" s="9">
        <v>101.7</v>
      </c>
      <c r="K1349" s="9" t="s">
        <v>442</v>
      </c>
      <c r="L1349" s="9"/>
      <c r="M1349" s="9"/>
      <c r="N1349" s="9">
        <f ca="1">IFERROR(__xludf.DUMMYFUNCTION("IFERROR(VALUE(REGEXEXTRACT(TO_TEXT($F1349), N$1 &amp; ""x(\d+)"")), """")
"),1)</f>
        <v>1</v>
      </c>
      <c r="O1349" s="9">
        <f ca="1">IFERROR(__xludf.DUMMYFUNCTION("IFERROR(VALUE(REGEXEXTRACT(TO_TEXT($F1349), O$1 &amp; ""x(\d+)"")), """")"),1)</f>
        <v>1</v>
      </c>
      <c r="P1349" s="9" t="str">
        <f ca="1">IFERROR(__xludf.DUMMYFUNCTION("IFERROR(VALUE(REGEXEXTRACT(TO_TEXT($F1349), P$1 &amp; ""x(\d+)"")), """")"),"")</f>
        <v/>
      </c>
      <c r="Q1349" s="9" t="str">
        <f ca="1">IFERROR(__xludf.DUMMYFUNCTION("IFERROR(VALUE(REGEXEXTRACT(TO_TEXT($F1349), Q$1 &amp; ""x(\d+)"")), """")"),"")</f>
        <v/>
      </c>
      <c r="R1349" s="9" t="str">
        <f ca="1">IFERROR(__xludf.DUMMYFUNCTION("IFERROR(VALUE(REGEXEXTRACT(TO_TEXT($F1349), R$1 &amp; ""x(\d+)"")), """")"),"")</f>
        <v/>
      </c>
      <c r="S1349" s="9" t="str">
        <f ca="1">IFERROR(__xludf.DUMMYFUNCTION("IFERROR(VALUE(REGEXEXTRACT(TO_TEXT($F1349), S$1 &amp; ""x(\d+)"")), """")"),"")</f>
        <v/>
      </c>
      <c r="T1349" s="9" t="str">
        <f ca="1">IFERROR(__xludf.DUMMYFUNCTION("IFERROR(VALUE(REGEXEXTRACT(TO_TEXT($F1349), T$1 &amp; ""x(\d+)"")), """")"),"")</f>
        <v/>
      </c>
      <c r="U1349" s="9" t="str">
        <f ca="1">IFERROR(__xludf.DUMMYFUNCTION("IFERROR(VALUE(REGEXEXTRACT(TO_TEXT($F1349), U$1 &amp; ""x(\d+)"")), """")"),"")</f>
        <v/>
      </c>
      <c r="V1349" s="9" t="str">
        <f ca="1">IFERROR(__xludf.DUMMYFUNCTION("IFERROR(VALUE(REGEXEXTRACT(TO_TEXT($F1349), V$1 &amp; ""x(\d+)"")), """")"),"")</f>
        <v/>
      </c>
      <c r="W1349" s="9"/>
      <c r="X1349" s="9"/>
      <c r="Y1349" s="9"/>
      <c r="Z1349" s="9"/>
    </row>
    <row r="1350" spans="1:26" ht="15.75" customHeight="1">
      <c r="A1350" s="9" t="s">
        <v>2429</v>
      </c>
      <c r="B1350" s="9" t="s">
        <v>2430</v>
      </c>
      <c r="C1350" s="9" t="s">
        <v>2431</v>
      </c>
      <c r="D1350" s="9" t="s">
        <v>33</v>
      </c>
      <c r="E1350" s="9" t="s">
        <v>12</v>
      </c>
      <c r="F1350" s="9" t="s">
        <v>2091</v>
      </c>
      <c r="G1350" s="9">
        <v>115</v>
      </c>
      <c r="H1350" s="9">
        <v>3</v>
      </c>
      <c r="I1350" s="9">
        <v>1.0149999999999999</v>
      </c>
      <c r="J1350" s="9">
        <v>101.7</v>
      </c>
      <c r="K1350" s="9" t="s">
        <v>442</v>
      </c>
      <c r="L1350" s="9"/>
      <c r="M1350" s="9"/>
      <c r="N1350" s="9">
        <f ca="1">IFERROR(__xludf.DUMMYFUNCTION("IFERROR(VALUE(REGEXEXTRACT(TO_TEXT($F1350), N$1 &amp; ""x(\d+)"")), """")
"),1)</f>
        <v>1</v>
      </c>
      <c r="O1350" s="9">
        <f ca="1">IFERROR(__xludf.DUMMYFUNCTION("IFERROR(VALUE(REGEXEXTRACT(TO_TEXT($F1350), O$1 &amp; ""x(\d+)"")), """")"),2)</f>
        <v>2</v>
      </c>
      <c r="P1350" s="9" t="str">
        <f ca="1">IFERROR(__xludf.DUMMYFUNCTION("IFERROR(VALUE(REGEXEXTRACT(TO_TEXT($F1350), P$1 &amp; ""x(\d+)"")), """")"),"")</f>
        <v/>
      </c>
      <c r="Q1350" s="9" t="str">
        <f ca="1">IFERROR(__xludf.DUMMYFUNCTION("IFERROR(VALUE(REGEXEXTRACT(TO_TEXT($F1350), Q$1 &amp; ""x(\d+)"")), """")"),"")</f>
        <v/>
      </c>
      <c r="R1350" s="9" t="str">
        <f ca="1">IFERROR(__xludf.DUMMYFUNCTION("IFERROR(VALUE(REGEXEXTRACT(TO_TEXT($F1350), R$1 &amp; ""x(\d+)"")), """")"),"")</f>
        <v/>
      </c>
      <c r="S1350" s="9" t="str">
        <f ca="1">IFERROR(__xludf.DUMMYFUNCTION("IFERROR(VALUE(REGEXEXTRACT(TO_TEXT($F1350), S$1 &amp; ""x(\d+)"")), """")"),"")</f>
        <v/>
      </c>
      <c r="T1350" s="9" t="str">
        <f ca="1">IFERROR(__xludf.DUMMYFUNCTION("IFERROR(VALUE(REGEXEXTRACT(TO_TEXT($F1350), T$1 &amp; ""x(\d+)"")), """")"),"")</f>
        <v/>
      </c>
      <c r="U1350" s="9" t="str">
        <f ca="1">IFERROR(__xludf.DUMMYFUNCTION("IFERROR(VALUE(REGEXEXTRACT(TO_TEXT($F1350), U$1 &amp; ""x(\d+)"")), """")"),"")</f>
        <v/>
      </c>
      <c r="V1350" s="9" t="str">
        <f ca="1">IFERROR(__xludf.DUMMYFUNCTION("IFERROR(VALUE(REGEXEXTRACT(TO_TEXT($F1350), V$1 &amp; ""x(\d+)"")), """")"),"")</f>
        <v/>
      </c>
      <c r="W1350" s="9"/>
      <c r="X1350" s="9"/>
      <c r="Y1350" s="9"/>
      <c r="Z1350" s="9"/>
    </row>
    <row r="1351" spans="1:26" ht="15.75" customHeight="1">
      <c r="A1351" s="9" t="s">
        <v>2429</v>
      </c>
      <c r="B1351" s="9" t="s">
        <v>2430</v>
      </c>
      <c r="C1351" s="9" t="s">
        <v>2431</v>
      </c>
      <c r="D1351" s="9" t="s">
        <v>33</v>
      </c>
      <c r="E1351" s="9" t="s">
        <v>13</v>
      </c>
      <c r="F1351" s="9" t="s">
        <v>2092</v>
      </c>
      <c r="G1351" s="9">
        <v>50</v>
      </c>
      <c r="H1351" s="9">
        <v>3</v>
      </c>
      <c r="I1351" s="9">
        <v>1.0149999999999999</v>
      </c>
      <c r="J1351" s="9">
        <v>101.7</v>
      </c>
      <c r="K1351" s="9" t="s">
        <v>442</v>
      </c>
      <c r="L1351" s="9"/>
      <c r="M1351" s="9"/>
      <c r="N1351" s="9">
        <f ca="1">IFERROR(__xludf.DUMMYFUNCTION("IFERROR(VALUE(REGEXEXTRACT(TO_TEXT($F1351), N$1 &amp; ""x(\d+)"")), """")
"),1)</f>
        <v>1</v>
      </c>
      <c r="O1351" s="9">
        <f ca="1">IFERROR(__xludf.DUMMYFUNCTION("IFERROR(VALUE(REGEXEXTRACT(TO_TEXT($F1351), O$1 &amp; ""x(\d+)"")), """")"),2)</f>
        <v>2</v>
      </c>
      <c r="P1351" s="9" t="str">
        <f ca="1">IFERROR(__xludf.DUMMYFUNCTION("IFERROR(VALUE(REGEXEXTRACT(TO_TEXT($F1351), P$1 &amp; ""x(\d+)"")), """")"),"")</f>
        <v/>
      </c>
      <c r="Q1351" s="9" t="str">
        <f ca="1">IFERROR(__xludf.DUMMYFUNCTION("IFERROR(VALUE(REGEXEXTRACT(TO_TEXT($F1351), Q$1 &amp; ""x(\d+)"")), """")"),"")</f>
        <v/>
      </c>
      <c r="R1351" s="9" t="str">
        <f ca="1">IFERROR(__xludf.DUMMYFUNCTION("IFERROR(VALUE(REGEXEXTRACT(TO_TEXT($F1351), R$1 &amp; ""x(\d+)"")), """")"),"")</f>
        <v/>
      </c>
      <c r="S1351" s="9" t="str">
        <f ca="1">IFERROR(__xludf.DUMMYFUNCTION("IFERROR(VALUE(REGEXEXTRACT(TO_TEXT($F1351), S$1 &amp; ""x(\d+)"")), """")"),"")</f>
        <v/>
      </c>
      <c r="T1351" s="9" t="str">
        <f ca="1">IFERROR(__xludf.DUMMYFUNCTION("IFERROR(VALUE(REGEXEXTRACT(TO_TEXT($F1351), T$1 &amp; ""x(\d+)"")), """")"),"")</f>
        <v/>
      </c>
      <c r="U1351" s="9" t="str">
        <f ca="1">IFERROR(__xludf.DUMMYFUNCTION("IFERROR(VALUE(REGEXEXTRACT(TO_TEXT($F1351), U$1 &amp; ""x(\d+)"")), """")"),"")</f>
        <v/>
      </c>
      <c r="V1351" s="9" t="str">
        <f ca="1">IFERROR(__xludf.DUMMYFUNCTION("IFERROR(VALUE(REGEXEXTRACT(TO_TEXT($F1351), V$1 &amp; ""x(\d+)"")), """")"),"")</f>
        <v/>
      </c>
      <c r="W1351" s="9"/>
      <c r="X1351" s="9"/>
      <c r="Y1351" s="9"/>
      <c r="Z1351" s="9"/>
    </row>
    <row r="1352" spans="1:26" ht="15.75" customHeight="1">
      <c r="A1352" s="9" t="s">
        <v>2432</v>
      </c>
      <c r="B1352" s="9" t="s">
        <v>2433</v>
      </c>
      <c r="C1352" s="9" t="s">
        <v>554</v>
      </c>
      <c r="D1352" s="9" t="s">
        <v>74</v>
      </c>
      <c r="E1352" s="9" t="s">
        <v>11</v>
      </c>
      <c r="F1352" s="9" t="s">
        <v>2434</v>
      </c>
      <c r="G1352" s="9">
        <v>25</v>
      </c>
      <c r="H1352" s="9">
        <v>5</v>
      </c>
      <c r="I1352" s="9">
        <v>1.0149999999999999</v>
      </c>
      <c r="J1352" s="9">
        <v>52</v>
      </c>
      <c r="K1352" s="9" t="s">
        <v>424</v>
      </c>
      <c r="L1352" s="9"/>
      <c r="M1352" s="9"/>
      <c r="N1352" s="9" t="str">
        <f ca="1">IFERROR(__xludf.DUMMYFUNCTION("IFERROR(VALUE(REGEXEXTRACT(TO_TEXT($F1352), N$1 &amp; ""x(\d+)"")), """")
"),"")</f>
        <v/>
      </c>
      <c r="O1352" s="9" t="str">
        <f ca="1">IFERROR(__xludf.DUMMYFUNCTION("IFERROR(VALUE(REGEXEXTRACT(TO_TEXT($F1352), O$1 &amp; ""x(\d+)"")), """")"),"")</f>
        <v/>
      </c>
      <c r="P1352" s="9" t="str">
        <f ca="1">IFERROR(__xludf.DUMMYFUNCTION("IFERROR(VALUE(REGEXEXTRACT(TO_TEXT($F1352), P$1 &amp; ""x(\d+)"")), """")"),"")</f>
        <v/>
      </c>
      <c r="Q1352" s="9" t="str">
        <f ca="1">IFERROR(__xludf.DUMMYFUNCTION("IFERROR(VALUE(REGEXEXTRACT(TO_TEXT($F1352), Q$1 &amp; ""x(\d+)"")), """")"),"")</f>
        <v/>
      </c>
      <c r="R1352" s="9" t="str">
        <f ca="1">IFERROR(__xludf.DUMMYFUNCTION("IFERROR(VALUE(REGEXEXTRACT(TO_TEXT($F1352), R$1 &amp; ""x(\d+)"")), """")"),"")</f>
        <v/>
      </c>
      <c r="S1352" s="9" t="str">
        <f ca="1">IFERROR(__xludf.DUMMYFUNCTION("IFERROR(VALUE(REGEXEXTRACT(TO_TEXT($F1352), S$1 &amp; ""x(\d+)"")), """")"),"")</f>
        <v/>
      </c>
      <c r="T1352" s="9" t="str">
        <f ca="1">IFERROR(__xludf.DUMMYFUNCTION("IFERROR(VALUE(REGEXEXTRACT(TO_TEXT($F1352), T$1 &amp; ""x(\d+)"")), """")"),"")</f>
        <v/>
      </c>
      <c r="U1352" s="9" t="str">
        <f ca="1">IFERROR(__xludf.DUMMYFUNCTION("IFERROR(VALUE(REGEXEXTRACT(TO_TEXT($F1352), U$1 &amp; ""x(\d+)"")), """")"),"")</f>
        <v/>
      </c>
      <c r="V1352" s="9" t="str">
        <f ca="1">IFERROR(__xludf.DUMMYFUNCTION("IFERROR(VALUE(REGEXEXTRACT(TO_TEXT($F1352), V$1 &amp; ""x(\d+)"")), """")"),"")</f>
        <v/>
      </c>
      <c r="W1352" s="9"/>
      <c r="X1352" s="9"/>
      <c r="Y1352" s="9"/>
      <c r="Z1352" s="9"/>
    </row>
    <row r="1353" spans="1:26" ht="15.75" customHeight="1">
      <c r="A1353" s="9" t="s">
        <v>2432</v>
      </c>
      <c r="B1353" s="9" t="s">
        <v>2433</v>
      </c>
      <c r="C1353" s="9" t="s">
        <v>554</v>
      </c>
      <c r="D1353" s="9" t="s">
        <v>74</v>
      </c>
      <c r="E1353" s="9" t="s">
        <v>12</v>
      </c>
      <c r="F1353" s="9" t="s">
        <v>1991</v>
      </c>
      <c r="G1353" s="9">
        <v>180</v>
      </c>
      <c r="H1353" s="9">
        <v>3</v>
      </c>
      <c r="I1353" s="9">
        <v>1.0149999999999999</v>
      </c>
      <c r="J1353" s="9">
        <v>103</v>
      </c>
      <c r="K1353" s="9" t="s">
        <v>424</v>
      </c>
      <c r="L1353" s="9" t="s">
        <v>1169</v>
      </c>
      <c r="M1353" s="9"/>
      <c r="N1353" s="9" t="str">
        <f ca="1">IFERROR(__xludf.DUMMYFUNCTION("IFERROR(VALUE(REGEXEXTRACT(TO_TEXT($F1353), N$1 &amp; ""x(\d+)"")), """")
"),"")</f>
        <v/>
      </c>
      <c r="O1353" s="9" t="str">
        <f ca="1">IFERROR(__xludf.DUMMYFUNCTION("IFERROR(VALUE(REGEXEXTRACT(TO_TEXT($F1353), O$1 &amp; ""x(\d+)"")), """")"),"")</f>
        <v/>
      </c>
      <c r="P1353" s="9" t="str">
        <f ca="1">IFERROR(__xludf.DUMMYFUNCTION("IFERROR(VALUE(REGEXEXTRACT(TO_TEXT($F1353), P$1 &amp; ""x(\d+)"")), """")"),"")</f>
        <v/>
      </c>
      <c r="Q1353" s="9">
        <f ca="1">IFERROR(__xludf.DUMMYFUNCTION("IFERROR(VALUE(REGEXEXTRACT(TO_TEXT($F1353), Q$1 &amp; ""x(\d+)"")), """")"),1)</f>
        <v>1</v>
      </c>
      <c r="R1353" s="9" t="str">
        <f ca="1">IFERROR(__xludf.DUMMYFUNCTION("IFERROR(VALUE(REGEXEXTRACT(TO_TEXT($F1353), R$1 &amp; ""x(\d+)"")), """")"),"")</f>
        <v/>
      </c>
      <c r="S1353" s="9" t="str">
        <f ca="1">IFERROR(__xludf.DUMMYFUNCTION("IFERROR(VALUE(REGEXEXTRACT(TO_TEXT($F1353), S$1 &amp; ""x(\d+)"")), """")"),"")</f>
        <v/>
      </c>
      <c r="T1353" s="9" t="str">
        <f ca="1">IFERROR(__xludf.DUMMYFUNCTION("IFERROR(VALUE(REGEXEXTRACT(TO_TEXT($F1353), T$1 &amp; ""x(\d+)"")), """")"),"")</f>
        <v/>
      </c>
      <c r="U1353" s="9" t="str">
        <f ca="1">IFERROR(__xludf.DUMMYFUNCTION("IFERROR(VALUE(REGEXEXTRACT(TO_TEXT($F1353), U$1 &amp; ""x(\d+)"")), """")"),"")</f>
        <v/>
      </c>
      <c r="V1353" s="9" t="str">
        <f ca="1">IFERROR(__xludf.DUMMYFUNCTION("IFERROR(VALUE(REGEXEXTRACT(TO_TEXT($F1353), V$1 &amp; ""x(\d+)"")), """")"),"")</f>
        <v/>
      </c>
      <c r="W1353" s="9"/>
      <c r="X1353" s="9"/>
      <c r="Y1353" s="9"/>
      <c r="Z1353" s="9"/>
    </row>
    <row r="1354" spans="1:26" ht="15.75" customHeight="1">
      <c r="A1354" s="9" t="s">
        <v>2432</v>
      </c>
      <c r="B1354" s="9" t="s">
        <v>2433</v>
      </c>
      <c r="C1354" s="9" t="s">
        <v>554</v>
      </c>
      <c r="D1354" s="9" t="s">
        <v>74</v>
      </c>
      <c r="E1354" s="9" t="s">
        <v>13</v>
      </c>
      <c r="F1354" s="9" t="s">
        <v>1233</v>
      </c>
      <c r="G1354" s="9">
        <v>40</v>
      </c>
      <c r="H1354" s="9">
        <v>3</v>
      </c>
      <c r="I1354" s="9">
        <v>1.0149999999999999</v>
      </c>
      <c r="J1354" s="9">
        <v>103</v>
      </c>
      <c r="K1354" s="9" t="s">
        <v>424</v>
      </c>
      <c r="L1354" s="9"/>
      <c r="M1354" s="9"/>
      <c r="N1354" s="9" t="str">
        <f ca="1">IFERROR(__xludf.DUMMYFUNCTION("IFERROR(VALUE(REGEXEXTRACT(TO_TEXT($F1354), N$1 &amp; ""x(\d+)"")), """")
"),"")</f>
        <v/>
      </c>
      <c r="O1354" s="9" t="str">
        <f ca="1">IFERROR(__xludf.DUMMYFUNCTION("IFERROR(VALUE(REGEXEXTRACT(TO_TEXT($F1354), O$1 &amp; ""x(\d+)"")), """")"),"")</f>
        <v/>
      </c>
      <c r="P1354" s="9" t="str">
        <f ca="1">IFERROR(__xludf.DUMMYFUNCTION("IFERROR(VALUE(REGEXEXTRACT(TO_TEXT($F1354), P$1 &amp; ""x(\d+)"")), """")"),"")</f>
        <v/>
      </c>
      <c r="Q1354" s="9">
        <f ca="1">IFERROR(__xludf.DUMMYFUNCTION("IFERROR(VALUE(REGEXEXTRACT(TO_TEXT($F1354), Q$1 &amp; ""x(\d+)"")), """")"),1)</f>
        <v>1</v>
      </c>
      <c r="R1354" s="9" t="str">
        <f ca="1">IFERROR(__xludf.DUMMYFUNCTION("IFERROR(VALUE(REGEXEXTRACT(TO_TEXT($F1354), R$1 &amp; ""x(\d+)"")), """")"),"")</f>
        <v/>
      </c>
      <c r="S1354" s="9" t="str">
        <f ca="1">IFERROR(__xludf.DUMMYFUNCTION("IFERROR(VALUE(REGEXEXTRACT(TO_TEXT($F1354), S$1 &amp; ""x(\d+)"")), """")"),"")</f>
        <v/>
      </c>
      <c r="T1354" s="9" t="str">
        <f ca="1">IFERROR(__xludf.DUMMYFUNCTION("IFERROR(VALUE(REGEXEXTRACT(TO_TEXT($F1354), T$1 &amp; ""x(\d+)"")), """")"),"")</f>
        <v/>
      </c>
      <c r="U1354" s="9" t="str">
        <f ca="1">IFERROR(__xludf.DUMMYFUNCTION("IFERROR(VALUE(REGEXEXTRACT(TO_TEXT($F1354), U$1 &amp; ""x(\d+)"")), """")"),"")</f>
        <v/>
      </c>
      <c r="V1354" s="9" t="str">
        <f ca="1">IFERROR(__xludf.DUMMYFUNCTION("IFERROR(VALUE(REGEXEXTRACT(TO_TEXT($F1354), V$1 &amp; ""x(\d+)"")), """")"),"")</f>
        <v/>
      </c>
      <c r="W1354" s="9"/>
      <c r="X1354" s="9"/>
      <c r="Y1354" s="9"/>
      <c r="Z1354" s="9"/>
    </row>
    <row r="1355" spans="1:26" ht="15.75" customHeight="1">
      <c r="A1355" s="9" t="s">
        <v>2435</v>
      </c>
      <c r="B1355" s="9" t="s">
        <v>2436</v>
      </c>
      <c r="C1355" s="9" t="s">
        <v>550</v>
      </c>
      <c r="D1355" s="9" t="s">
        <v>74</v>
      </c>
      <c r="E1355" s="9" t="s">
        <v>11</v>
      </c>
      <c r="F1355" s="9" t="s">
        <v>2437</v>
      </c>
      <c r="G1355" s="9">
        <v>25</v>
      </c>
      <c r="H1355" s="9">
        <v>3</v>
      </c>
      <c r="I1355" s="9">
        <v>1.0149999999999999</v>
      </c>
      <c r="J1355" s="9">
        <v>52</v>
      </c>
      <c r="K1355" s="9" t="s">
        <v>424</v>
      </c>
      <c r="L1355" s="9"/>
      <c r="M1355" s="9"/>
      <c r="N1355" s="9" t="str">
        <f ca="1">IFERROR(__xludf.DUMMYFUNCTION("IFERROR(VALUE(REGEXEXTRACT(TO_TEXT($F1355), N$1 &amp; ""x(\d+)"")), """")
"),"")</f>
        <v/>
      </c>
      <c r="O1355" s="9" t="str">
        <f ca="1">IFERROR(__xludf.DUMMYFUNCTION("IFERROR(VALUE(REGEXEXTRACT(TO_TEXT($F1355), O$1 &amp; ""x(\d+)"")), """")"),"")</f>
        <v/>
      </c>
      <c r="P1355" s="9" t="str">
        <f ca="1">IFERROR(__xludf.DUMMYFUNCTION("IFERROR(VALUE(REGEXEXTRACT(TO_TEXT($F1355), P$1 &amp; ""x(\d+)"")), """")"),"")</f>
        <v/>
      </c>
      <c r="Q1355" s="9" t="str">
        <f ca="1">IFERROR(__xludf.DUMMYFUNCTION("IFERROR(VALUE(REGEXEXTRACT(TO_TEXT($F1355), Q$1 &amp; ""x(\d+)"")), """")"),"")</f>
        <v/>
      </c>
      <c r="R1355" s="9" t="str">
        <f ca="1">IFERROR(__xludf.DUMMYFUNCTION("IFERROR(VALUE(REGEXEXTRACT(TO_TEXT($F1355), R$1 &amp; ""x(\d+)"")), """")"),"")</f>
        <v/>
      </c>
      <c r="S1355" s="9" t="str">
        <f ca="1">IFERROR(__xludf.DUMMYFUNCTION("IFERROR(VALUE(REGEXEXTRACT(TO_TEXT($F1355), S$1 &amp; ""x(\d+)"")), """")"),"")</f>
        <v/>
      </c>
      <c r="T1355" s="9" t="str">
        <f ca="1">IFERROR(__xludf.DUMMYFUNCTION("IFERROR(VALUE(REGEXEXTRACT(TO_TEXT($F1355), T$1 &amp; ""x(\d+)"")), """")"),"")</f>
        <v/>
      </c>
      <c r="U1355" s="9" t="str">
        <f ca="1">IFERROR(__xludf.DUMMYFUNCTION("IFERROR(VALUE(REGEXEXTRACT(TO_TEXT($F1355), U$1 &amp; ""x(\d+)"")), """")"),"")</f>
        <v/>
      </c>
      <c r="V1355" s="9" t="str">
        <f ca="1">IFERROR(__xludf.DUMMYFUNCTION("IFERROR(VALUE(REGEXEXTRACT(TO_TEXT($F1355), V$1 &amp; ""x(\d+)"")), """")"),"")</f>
        <v/>
      </c>
      <c r="W1355" s="9"/>
      <c r="X1355" s="9"/>
      <c r="Y1355" s="9"/>
      <c r="Z1355" s="9"/>
    </row>
    <row r="1356" spans="1:26" ht="15.75" customHeight="1">
      <c r="A1356" s="9" t="s">
        <v>2435</v>
      </c>
      <c r="B1356" s="9" t="s">
        <v>2436</v>
      </c>
      <c r="C1356" s="9" t="s">
        <v>550</v>
      </c>
      <c r="D1356" s="9" t="s">
        <v>74</v>
      </c>
      <c r="E1356" s="9" t="s">
        <v>12</v>
      </c>
      <c r="F1356" s="9" t="s">
        <v>1991</v>
      </c>
      <c r="G1356" s="9">
        <v>180</v>
      </c>
      <c r="H1356" s="9">
        <v>3</v>
      </c>
      <c r="I1356" s="9">
        <v>1.0149999999999999</v>
      </c>
      <c r="J1356" s="9">
        <v>103</v>
      </c>
      <c r="K1356" s="9" t="s">
        <v>424</v>
      </c>
      <c r="L1356" s="9" t="s">
        <v>1169</v>
      </c>
      <c r="M1356" s="9"/>
      <c r="N1356" s="9" t="str">
        <f ca="1">IFERROR(__xludf.DUMMYFUNCTION("IFERROR(VALUE(REGEXEXTRACT(TO_TEXT($F1356), N$1 &amp; ""x(\d+)"")), """")
"),"")</f>
        <v/>
      </c>
      <c r="O1356" s="9" t="str">
        <f ca="1">IFERROR(__xludf.DUMMYFUNCTION("IFERROR(VALUE(REGEXEXTRACT(TO_TEXT($F1356), O$1 &amp; ""x(\d+)"")), """")"),"")</f>
        <v/>
      </c>
      <c r="P1356" s="9" t="str">
        <f ca="1">IFERROR(__xludf.DUMMYFUNCTION("IFERROR(VALUE(REGEXEXTRACT(TO_TEXT($F1356), P$1 &amp; ""x(\d+)"")), """")"),"")</f>
        <v/>
      </c>
      <c r="Q1356" s="9">
        <f ca="1">IFERROR(__xludf.DUMMYFUNCTION("IFERROR(VALUE(REGEXEXTRACT(TO_TEXT($F1356), Q$1 &amp; ""x(\d+)"")), """")"),1)</f>
        <v>1</v>
      </c>
      <c r="R1356" s="9" t="str">
        <f ca="1">IFERROR(__xludf.DUMMYFUNCTION("IFERROR(VALUE(REGEXEXTRACT(TO_TEXT($F1356), R$1 &amp; ""x(\d+)"")), """")"),"")</f>
        <v/>
      </c>
      <c r="S1356" s="9" t="str">
        <f ca="1">IFERROR(__xludf.DUMMYFUNCTION("IFERROR(VALUE(REGEXEXTRACT(TO_TEXT($F1356), S$1 &amp; ""x(\d+)"")), """")"),"")</f>
        <v/>
      </c>
      <c r="T1356" s="9" t="str">
        <f ca="1">IFERROR(__xludf.DUMMYFUNCTION("IFERROR(VALUE(REGEXEXTRACT(TO_TEXT($F1356), T$1 &amp; ""x(\d+)"")), """")"),"")</f>
        <v/>
      </c>
      <c r="U1356" s="9" t="str">
        <f ca="1">IFERROR(__xludf.DUMMYFUNCTION("IFERROR(VALUE(REGEXEXTRACT(TO_TEXT($F1356), U$1 &amp; ""x(\d+)"")), """")"),"")</f>
        <v/>
      </c>
      <c r="V1356" s="9" t="str">
        <f ca="1">IFERROR(__xludf.DUMMYFUNCTION("IFERROR(VALUE(REGEXEXTRACT(TO_TEXT($F1356), V$1 &amp; ""x(\d+)"")), """")"),"")</f>
        <v/>
      </c>
      <c r="W1356" s="9"/>
      <c r="X1356" s="9"/>
      <c r="Y1356" s="9"/>
      <c r="Z1356" s="9"/>
    </row>
    <row r="1357" spans="1:26" ht="15.75" customHeight="1">
      <c r="A1357" s="9" t="s">
        <v>2435</v>
      </c>
      <c r="B1357" s="9" t="s">
        <v>2436</v>
      </c>
      <c r="C1357" s="9" t="s">
        <v>550</v>
      </c>
      <c r="D1357" s="9" t="s">
        <v>74</v>
      </c>
      <c r="E1357" s="9" t="s">
        <v>13</v>
      </c>
      <c r="F1357" s="9" t="s">
        <v>1233</v>
      </c>
      <c r="G1357" s="9">
        <v>40</v>
      </c>
      <c r="H1357" s="9">
        <v>3</v>
      </c>
      <c r="I1357" s="9">
        <v>1.0149999999999999</v>
      </c>
      <c r="J1357" s="9">
        <v>103</v>
      </c>
      <c r="K1357" s="9" t="s">
        <v>424</v>
      </c>
      <c r="L1357" s="9"/>
      <c r="M1357" s="9"/>
      <c r="N1357" s="9" t="str">
        <f ca="1">IFERROR(__xludf.DUMMYFUNCTION("IFERROR(VALUE(REGEXEXTRACT(TO_TEXT($F1357), N$1 &amp; ""x(\d+)"")), """")
"),"")</f>
        <v/>
      </c>
      <c r="O1357" s="9" t="str">
        <f ca="1">IFERROR(__xludf.DUMMYFUNCTION("IFERROR(VALUE(REGEXEXTRACT(TO_TEXT($F1357), O$1 &amp; ""x(\d+)"")), """")"),"")</f>
        <v/>
      </c>
      <c r="P1357" s="9" t="str">
        <f ca="1">IFERROR(__xludf.DUMMYFUNCTION("IFERROR(VALUE(REGEXEXTRACT(TO_TEXT($F1357), P$1 &amp; ""x(\d+)"")), """")"),"")</f>
        <v/>
      </c>
      <c r="Q1357" s="9">
        <f ca="1">IFERROR(__xludf.DUMMYFUNCTION("IFERROR(VALUE(REGEXEXTRACT(TO_TEXT($F1357), Q$1 &amp; ""x(\d+)"")), """")"),1)</f>
        <v>1</v>
      </c>
      <c r="R1357" s="9" t="str">
        <f ca="1">IFERROR(__xludf.DUMMYFUNCTION("IFERROR(VALUE(REGEXEXTRACT(TO_TEXT($F1357), R$1 &amp; ""x(\d+)"")), """")"),"")</f>
        <v/>
      </c>
      <c r="S1357" s="9" t="str">
        <f ca="1">IFERROR(__xludf.DUMMYFUNCTION("IFERROR(VALUE(REGEXEXTRACT(TO_TEXT($F1357), S$1 &amp; ""x(\d+)"")), """")"),"")</f>
        <v/>
      </c>
      <c r="T1357" s="9" t="str">
        <f ca="1">IFERROR(__xludf.DUMMYFUNCTION("IFERROR(VALUE(REGEXEXTRACT(TO_TEXT($F1357), T$1 &amp; ""x(\d+)"")), """")"),"")</f>
        <v/>
      </c>
      <c r="U1357" s="9" t="str">
        <f ca="1">IFERROR(__xludf.DUMMYFUNCTION("IFERROR(VALUE(REGEXEXTRACT(TO_TEXT($F1357), U$1 &amp; ""x(\d+)"")), """")"),"")</f>
        <v/>
      </c>
      <c r="V1357" s="9" t="str">
        <f ca="1">IFERROR(__xludf.DUMMYFUNCTION("IFERROR(VALUE(REGEXEXTRACT(TO_TEXT($F1357), V$1 &amp; ""x(\d+)"")), """")"),"")</f>
        <v/>
      </c>
      <c r="W1357" s="9"/>
      <c r="X1357" s="9"/>
      <c r="Y1357" s="9"/>
      <c r="Z1357" s="9"/>
    </row>
    <row r="1358" spans="1:26" ht="15.75" customHeight="1">
      <c r="A1358" s="9" t="s">
        <v>2438</v>
      </c>
      <c r="B1358" s="9" t="s">
        <v>2439</v>
      </c>
      <c r="C1358" s="9" t="s">
        <v>2440</v>
      </c>
      <c r="D1358" s="9" t="s">
        <v>33</v>
      </c>
      <c r="E1358" s="9" t="s">
        <v>12</v>
      </c>
      <c r="F1358" s="9" t="s">
        <v>2376</v>
      </c>
      <c r="G1358" s="9">
        <v>45</v>
      </c>
      <c r="H1358" s="9">
        <v>2</v>
      </c>
      <c r="I1358" s="9">
        <v>1.0149999999999999</v>
      </c>
      <c r="J1358" s="9">
        <v>80</v>
      </c>
      <c r="K1358" s="9" t="s">
        <v>2377</v>
      </c>
      <c r="L1358" s="9"/>
      <c r="M1358" s="9"/>
      <c r="N1358" s="9" t="str">
        <f ca="1">IFERROR(__xludf.DUMMYFUNCTION("IFERROR(VALUE(REGEXEXTRACT(TO_TEXT($F1358), N$1 &amp; ""x(\d+)"")), """")
"),"")</f>
        <v/>
      </c>
      <c r="O1358" s="9">
        <f ca="1">IFERROR(__xludf.DUMMYFUNCTION("IFERROR(VALUE(REGEXEXTRACT(TO_TEXT($F1358), O$1 &amp; ""x(\d+)"")), """")"),1)</f>
        <v>1</v>
      </c>
      <c r="P1358" s="9" t="str">
        <f ca="1">IFERROR(__xludf.DUMMYFUNCTION("IFERROR(VALUE(REGEXEXTRACT(TO_TEXT($F1358), P$1 &amp; ""x(\d+)"")), """")"),"")</f>
        <v/>
      </c>
      <c r="Q1358" s="9" t="str">
        <f ca="1">IFERROR(__xludf.DUMMYFUNCTION("IFERROR(VALUE(REGEXEXTRACT(TO_TEXT($F1358), Q$1 &amp; ""x(\d+)"")), """")"),"")</f>
        <v/>
      </c>
      <c r="R1358" s="9" t="str">
        <f ca="1">IFERROR(__xludf.DUMMYFUNCTION("IFERROR(VALUE(REGEXEXTRACT(TO_TEXT($F1358), R$1 &amp; ""x(\d+)"")), """")"),"")</f>
        <v/>
      </c>
      <c r="S1358" s="9" t="str">
        <f ca="1">IFERROR(__xludf.DUMMYFUNCTION("IFERROR(VALUE(REGEXEXTRACT(TO_TEXT($F1358), S$1 &amp; ""x(\d+)"")), """")"),"")</f>
        <v/>
      </c>
      <c r="T1358" s="9" t="str">
        <f ca="1">IFERROR(__xludf.DUMMYFUNCTION("IFERROR(VALUE(REGEXEXTRACT(TO_TEXT($F1358), T$1 &amp; ""x(\d+)"")), """")"),"")</f>
        <v/>
      </c>
      <c r="U1358" s="9" t="str">
        <f ca="1">IFERROR(__xludf.DUMMYFUNCTION("IFERROR(VALUE(REGEXEXTRACT(TO_TEXT($F1358), U$1 &amp; ""x(\d+)"")), """")"),"")</f>
        <v/>
      </c>
      <c r="V1358" s="9" t="str">
        <f ca="1">IFERROR(__xludf.DUMMYFUNCTION("IFERROR(VALUE(REGEXEXTRACT(TO_TEXT($F1358), V$1 &amp; ""x(\d+)"")), """")"),"")</f>
        <v/>
      </c>
      <c r="W1358" s="9"/>
      <c r="X1358" s="9"/>
      <c r="Y1358" s="9"/>
      <c r="Z1358" s="9"/>
    </row>
    <row r="1359" spans="1:26" ht="15.75" customHeight="1">
      <c r="A1359" s="9" t="s">
        <v>2438</v>
      </c>
      <c r="B1359" s="9" t="s">
        <v>2439</v>
      </c>
      <c r="C1359" s="9" t="s">
        <v>2440</v>
      </c>
      <c r="D1359" s="9" t="s">
        <v>33</v>
      </c>
      <c r="E1359" s="9" t="s">
        <v>13</v>
      </c>
      <c r="F1359" s="9" t="s">
        <v>2378</v>
      </c>
      <c r="G1359" s="9">
        <v>10</v>
      </c>
      <c r="H1359" s="9">
        <v>2</v>
      </c>
      <c r="I1359" s="9">
        <v>1.0149999999999999</v>
      </c>
      <c r="J1359" s="9">
        <v>80</v>
      </c>
      <c r="K1359" s="9" t="s">
        <v>2377</v>
      </c>
      <c r="L1359" s="9"/>
      <c r="M1359" s="9"/>
      <c r="N1359" s="9" t="str">
        <f ca="1">IFERROR(__xludf.DUMMYFUNCTION("IFERROR(VALUE(REGEXEXTRACT(TO_TEXT($F1359), N$1 &amp; ""x(\d+)"")), """")
"),"")</f>
        <v/>
      </c>
      <c r="O1359" s="9">
        <f ca="1">IFERROR(__xludf.DUMMYFUNCTION("IFERROR(VALUE(REGEXEXTRACT(TO_TEXT($F1359), O$1 &amp; ""x(\d+)"")), """")"),1)</f>
        <v>1</v>
      </c>
      <c r="P1359" s="9" t="str">
        <f ca="1">IFERROR(__xludf.DUMMYFUNCTION("IFERROR(VALUE(REGEXEXTRACT(TO_TEXT($F1359), P$1 &amp; ""x(\d+)"")), """")"),"")</f>
        <v/>
      </c>
      <c r="Q1359" s="9" t="str">
        <f ca="1">IFERROR(__xludf.DUMMYFUNCTION("IFERROR(VALUE(REGEXEXTRACT(TO_TEXT($F1359), Q$1 &amp; ""x(\d+)"")), """")"),"")</f>
        <v/>
      </c>
      <c r="R1359" s="9" t="str">
        <f ca="1">IFERROR(__xludf.DUMMYFUNCTION("IFERROR(VALUE(REGEXEXTRACT(TO_TEXT($F1359), R$1 &amp; ""x(\d+)"")), """")"),"")</f>
        <v/>
      </c>
      <c r="S1359" s="9" t="str">
        <f ca="1">IFERROR(__xludf.DUMMYFUNCTION("IFERROR(VALUE(REGEXEXTRACT(TO_TEXT($F1359), S$1 &amp; ""x(\d+)"")), """")"),"")</f>
        <v/>
      </c>
      <c r="T1359" s="9" t="str">
        <f ca="1">IFERROR(__xludf.DUMMYFUNCTION("IFERROR(VALUE(REGEXEXTRACT(TO_TEXT($F1359), T$1 &amp; ""x(\d+)"")), """")"),"")</f>
        <v/>
      </c>
      <c r="U1359" s="9" t="str">
        <f ca="1">IFERROR(__xludf.DUMMYFUNCTION("IFERROR(VALUE(REGEXEXTRACT(TO_TEXT($F1359), U$1 &amp; ""x(\d+)"")), """")"),"")</f>
        <v/>
      </c>
      <c r="V1359" s="9" t="str">
        <f ca="1">IFERROR(__xludf.DUMMYFUNCTION("IFERROR(VALUE(REGEXEXTRACT(TO_TEXT($F1359), V$1 &amp; ""x(\d+)"")), """")"),"")</f>
        <v/>
      </c>
      <c r="W1359" s="9"/>
      <c r="X1359" s="9"/>
      <c r="Y1359" s="9"/>
      <c r="Z1359" s="9"/>
    </row>
    <row r="1360" spans="1:26" ht="15.75" customHeight="1">
      <c r="A1360" s="9" t="s">
        <v>2438</v>
      </c>
      <c r="B1360" s="9" t="s">
        <v>2439</v>
      </c>
      <c r="C1360" s="9" t="s">
        <v>2440</v>
      </c>
      <c r="D1360" s="9" t="s">
        <v>33</v>
      </c>
      <c r="E1360" s="9" t="s">
        <v>11</v>
      </c>
      <c r="F1360" s="9" t="s">
        <v>2441</v>
      </c>
      <c r="G1360" s="9">
        <v>60</v>
      </c>
      <c r="H1360" s="9">
        <v>2</v>
      </c>
      <c r="I1360" s="9">
        <v>1.0149999999999999</v>
      </c>
      <c r="J1360" s="9">
        <v>110</v>
      </c>
      <c r="K1360" s="9" t="s">
        <v>2380</v>
      </c>
      <c r="L1360" s="9"/>
      <c r="M1360" s="9"/>
      <c r="N1360" s="9" t="str">
        <f ca="1">IFERROR(__xludf.DUMMYFUNCTION("IFERROR(VALUE(REGEXEXTRACT(TO_TEXT($F1360), N$1 &amp; ""x(\d+)"")), """")
"),"")</f>
        <v/>
      </c>
      <c r="O1360" s="9" t="str">
        <f ca="1">IFERROR(__xludf.DUMMYFUNCTION("IFERROR(VALUE(REGEXEXTRACT(TO_TEXT($F1360), O$1 &amp; ""x(\d+)"")), """")"),"")</f>
        <v/>
      </c>
      <c r="P1360" s="9" t="str">
        <f ca="1">IFERROR(__xludf.DUMMYFUNCTION("IFERROR(VALUE(REGEXEXTRACT(TO_TEXT($F1360), P$1 &amp; ""x(\d+)"")), """")"),"")</f>
        <v/>
      </c>
      <c r="Q1360" s="9" t="str">
        <f ca="1">IFERROR(__xludf.DUMMYFUNCTION("IFERROR(VALUE(REGEXEXTRACT(TO_TEXT($F1360), Q$1 &amp; ""x(\d+)"")), """")"),"")</f>
        <v/>
      </c>
      <c r="R1360" s="9" t="str">
        <f ca="1">IFERROR(__xludf.DUMMYFUNCTION("IFERROR(VALUE(REGEXEXTRACT(TO_TEXT($F1360), R$1 &amp; ""x(\d+)"")), """")"),"")</f>
        <v/>
      </c>
      <c r="S1360" s="9" t="str">
        <f ca="1">IFERROR(__xludf.DUMMYFUNCTION("IFERROR(VALUE(REGEXEXTRACT(TO_TEXT($F1360), S$1 &amp; ""x(\d+)"")), """")"),"")</f>
        <v/>
      </c>
      <c r="T1360" s="9" t="str">
        <f ca="1">IFERROR(__xludf.DUMMYFUNCTION("IFERROR(VALUE(REGEXEXTRACT(TO_TEXT($F1360), T$1 &amp; ""x(\d+)"")), """")"),"")</f>
        <v/>
      </c>
      <c r="U1360" s="9" t="str">
        <f ca="1">IFERROR(__xludf.DUMMYFUNCTION("IFERROR(VALUE(REGEXEXTRACT(TO_TEXT($F1360), U$1 &amp; ""x(\d+)"")), """")"),"")</f>
        <v/>
      </c>
      <c r="V1360" s="9" t="str">
        <f ca="1">IFERROR(__xludf.DUMMYFUNCTION("IFERROR(VALUE(REGEXEXTRACT(TO_TEXT($F1360), V$1 &amp; ""x(\d+)"")), """")"),"")</f>
        <v/>
      </c>
      <c r="W1360" s="9"/>
      <c r="X1360" s="9"/>
      <c r="Y1360" s="9"/>
      <c r="Z1360" s="9"/>
    </row>
    <row r="1361" spans="1:26" ht="15.75" customHeight="1">
      <c r="A1361" s="9" t="s">
        <v>2438</v>
      </c>
      <c r="B1361" s="9" t="s">
        <v>2439</v>
      </c>
      <c r="C1361" s="9" t="s">
        <v>2440</v>
      </c>
      <c r="D1361" s="9" t="s">
        <v>33</v>
      </c>
      <c r="E1361" s="9" t="s">
        <v>12</v>
      </c>
      <c r="F1361" s="9" t="s">
        <v>2379</v>
      </c>
      <c r="G1361" s="9">
        <v>30</v>
      </c>
      <c r="H1361" s="9">
        <v>2</v>
      </c>
      <c r="I1361" s="9">
        <v>1.0149999999999999</v>
      </c>
      <c r="J1361" s="9">
        <v>110</v>
      </c>
      <c r="K1361" s="9" t="s">
        <v>2380</v>
      </c>
      <c r="L1361" s="9"/>
      <c r="M1361" s="9"/>
      <c r="N1361" s="9" t="str">
        <f ca="1">IFERROR(__xludf.DUMMYFUNCTION("IFERROR(VALUE(REGEXEXTRACT(TO_TEXT($F1361), N$1 &amp; ""x(\d+)"")), """")
"),"")</f>
        <v/>
      </c>
      <c r="O1361" s="9">
        <f ca="1">IFERROR(__xludf.DUMMYFUNCTION("IFERROR(VALUE(REGEXEXTRACT(TO_TEXT($F1361), O$1 &amp; ""x(\d+)"")), """")"),1)</f>
        <v>1</v>
      </c>
      <c r="P1361" s="9" t="str">
        <f ca="1">IFERROR(__xludf.DUMMYFUNCTION("IFERROR(VALUE(REGEXEXTRACT(TO_TEXT($F1361), P$1 &amp; ""x(\d+)"")), """")"),"")</f>
        <v/>
      </c>
      <c r="Q1361" s="9" t="str">
        <f ca="1">IFERROR(__xludf.DUMMYFUNCTION("IFERROR(VALUE(REGEXEXTRACT(TO_TEXT($F1361), Q$1 &amp; ""x(\d+)"")), """")"),"")</f>
        <v/>
      </c>
      <c r="R1361" s="9" t="str">
        <f ca="1">IFERROR(__xludf.DUMMYFUNCTION("IFERROR(VALUE(REGEXEXTRACT(TO_TEXT($F1361), R$1 &amp; ""x(\d+)"")), """")"),"")</f>
        <v/>
      </c>
      <c r="S1361" s="9" t="str">
        <f ca="1">IFERROR(__xludf.DUMMYFUNCTION("IFERROR(VALUE(REGEXEXTRACT(TO_TEXT($F1361), S$1 &amp; ""x(\d+)"")), """")"),"")</f>
        <v/>
      </c>
      <c r="T1361" s="9" t="str">
        <f ca="1">IFERROR(__xludf.DUMMYFUNCTION("IFERROR(VALUE(REGEXEXTRACT(TO_TEXT($F1361), T$1 &amp; ""x(\d+)"")), """")"),"")</f>
        <v/>
      </c>
      <c r="U1361" s="9" t="str">
        <f ca="1">IFERROR(__xludf.DUMMYFUNCTION("IFERROR(VALUE(REGEXEXTRACT(TO_TEXT($F1361), U$1 &amp; ""x(\d+)"")), """")"),"")</f>
        <v/>
      </c>
      <c r="V1361" s="9" t="str">
        <f ca="1">IFERROR(__xludf.DUMMYFUNCTION("IFERROR(VALUE(REGEXEXTRACT(TO_TEXT($F1361), V$1 &amp; ""x(\d+)"")), """")"),"")</f>
        <v/>
      </c>
      <c r="W1361" s="9"/>
      <c r="X1361" s="9"/>
      <c r="Y1361" s="9"/>
      <c r="Z1361" s="9"/>
    </row>
    <row r="1362" spans="1:26" ht="15.75" customHeight="1">
      <c r="A1362" s="9" t="s">
        <v>2438</v>
      </c>
      <c r="B1362" s="9" t="s">
        <v>2439</v>
      </c>
      <c r="C1362" s="9" t="s">
        <v>2440</v>
      </c>
      <c r="D1362" s="9" t="s">
        <v>33</v>
      </c>
      <c r="E1362" s="9" t="s">
        <v>13</v>
      </c>
      <c r="F1362" s="9" t="s">
        <v>2378</v>
      </c>
      <c r="G1362" s="9">
        <v>10</v>
      </c>
      <c r="H1362" s="9">
        <v>2</v>
      </c>
      <c r="I1362" s="9">
        <v>1.0149999999999999</v>
      </c>
      <c r="J1362" s="9">
        <v>110</v>
      </c>
      <c r="K1362" s="9" t="s">
        <v>2380</v>
      </c>
      <c r="L1362" s="9"/>
      <c r="M1362" s="9"/>
      <c r="N1362" s="9" t="str">
        <f ca="1">IFERROR(__xludf.DUMMYFUNCTION("IFERROR(VALUE(REGEXEXTRACT(TO_TEXT($F1362), N$1 &amp; ""x(\d+)"")), """")
"),"")</f>
        <v/>
      </c>
      <c r="O1362" s="9">
        <f ca="1">IFERROR(__xludf.DUMMYFUNCTION("IFERROR(VALUE(REGEXEXTRACT(TO_TEXT($F1362), O$1 &amp; ""x(\d+)"")), """")"),1)</f>
        <v>1</v>
      </c>
      <c r="P1362" s="9" t="str">
        <f ca="1">IFERROR(__xludf.DUMMYFUNCTION("IFERROR(VALUE(REGEXEXTRACT(TO_TEXT($F1362), P$1 &amp; ""x(\d+)"")), """")"),"")</f>
        <v/>
      </c>
      <c r="Q1362" s="9" t="str">
        <f ca="1">IFERROR(__xludf.DUMMYFUNCTION("IFERROR(VALUE(REGEXEXTRACT(TO_TEXT($F1362), Q$1 &amp; ""x(\d+)"")), """")"),"")</f>
        <v/>
      </c>
      <c r="R1362" s="9" t="str">
        <f ca="1">IFERROR(__xludf.DUMMYFUNCTION("IFERROR(VALUE(REGEXEXTRACT(TO_TEXT($F1362), R$1 &amp; ""x(\d+)"")), """")"),"")</f>
        <v/>
      </c>
      <c r="S1362" s="9" t="str">
        <f ca="1">IFERROR(__xludf.DUMMYFUNCTION("IFERROR(VALUE(REGEXEXTRACT(TO_TEXT($F1362), S$1 &amp; ""x(\d+)"")), """")"),"")</f>
        <v/>
      </c>
      <c r="T1362" s="9" t="str">
        <f ca="1">IFERROR(__xludf.DUMMYFUNCTION("IFERROR(VALUE(REGEXEXTRACT(TO_TEXT($F1362), T$1 &amp; ""x(\d+)"")), """")"),"")</f>
        <v/>
      </c>
      <c r="U1362" s="9" t="str">
        <f ca="1">IFERROR(__xludf.DUMMYFUNCTION("IFERROR(VALUE(REGEXEXTRACT(TO_TEXT($F1362), U$1 &amp; ""x(\d+)"")), """")"),"")</f>
        <v/>
      </c>
      <c r="V1362" s="9" t="str">
        <f ca="1">IFERROR(__xludf.DUMMYFUNCTION("IFERROR(VALUE(REGEXEXTRACT(TO_TEXT($F1362), V$1 &amp; ""x(\d+)"")), """")"),"")</f>
        <v/>
      </c>
      <c r="W1362" s="9"/>
      <c r="X1362" s="9"/>
      <c r="Y1362" s="9"/>
      <c r="Z1362" s="9"/>
    </row>
    <row r="1363" spans="1:26" ht="15.75" customHeight="1">
      <c r="A1363" s="9" t="s">
        <v>2438</v>
      </c>
      <c r="B1363" s="9" t="s">
        <v>2439</v>
      </c>
      <c r="C1363" s="9" t="s">
        <v>2440</v>
      </c>
      <c r="D1363" s="9" t="s">
        <v>40</v>
      </c>
      <c r="E1363" s="9" t="s">
        <v>11</v>
      </c>
      <c r="F1363" s="9" t="s">
        <v>2442</v>
      </c>
      <c r="G1363" s="9">
        <v>60</v>
      </c>
      <c r="H1363" s="9">
        <v>2</v>
      </c>
      <c r="I1363" s="9">
        <v>1.0149999999999999</v>
      </c>
      <c r="J1363" s="9">
        <v>410</v>
      </c>
      <c r="K1363" s="9" t="s">
        <v>2380</v>
      </c>
      <c r="L1363" s="9"/>
      <c r="M1363" s="9"/>
      <c r="N1363" s="9" t="str">
        <f ca="1">IFERROR(__xludf.DUMMYFUNCTION("IFERROR(VALUE(REGEXEXTRACT(TO_TEXT($F1363), N$1 &amp; ""x(\d+)"")), """")
"),"")</f>
        <v/>
      </c>
      <c r="O1363" s="9" t="str">
        <f ca="1">IFERROR(__xludf.DUMMYFUNCTION("IFERROR(VALUE(REGEXEXTRACT(TO_TEXT($F1363), O$1 &amp; ""x(\d+)"")), """")"),"")</f>
        <v/>
      </c>
      <c r="P1363" s="9" t="str">
        <f ca="1">IFERROR(__xludf.DUMMYFUNCTION("IFERROR(VALUE(REGEXEXTRACT(TO_TEXT($F1363), P$1 &amp; ""x(\d+)"")), """")"),"")</f>
        <v/>
      </c>
      <c r="Q1363" s="9" t="str">
        <f ca="1">IFERROR(__xludf.DUMMYFUNCTION("IFERROR(VALUE(REGEXEXTRACT(TO_TEXT($F1363), Q$1 &amp; ""x(\d+)"")), """")"),"")</f>
        <v/>
      </c>
      <c r="R1363" s="9" t="str">
        <f ca="1">IFERROR(__xludf.DUMMYFUNCTION("IFERROR(VALUE(REGEXEXTRACT(TO_TEXT($F1363), R$1 &amp; ""x(\d+)"")), """")"),"")</f>
        <v/>
      </c>
      <c r="S1363" s="9" t="str">
        <f ca="1">IFERROR(__xludf.DUMMYFUNCTION("IFERROR(VALUE(REGEXEXTRACT(TO_TEXT($F1363), S$1 &amp; ""x(\d+)"")), """")"),"")</f>
        <v/>
      </c>
      <c r="T1363" s="9" t="str">
        <f ca="1">IFERROR(__xludf.DUMMYFUNCTION("IFERROR(VALUE(REGEXEXTRACT(TO_TEXT($F1363), T$1 &amp; ""x(\d+)"")), """")"),"")</f>
        <v/>
      </c>
      <c r="U1363" s="9" t="str">
        <f ca="1">IFERROR(__xludf.DUMMYFUNCTION("IFERROR(VALUE(REGEXEXTRACT(TO_TEXT($F1363), U$1 &amp; ""x(\d+)"")), """")"),"")</f>
        <v/>
      </c>
      <c r="V1363" s="9" t="str">
        <f ca="1">IFERROR(__xludf.DUMMYFUNCTION("IFERROR(VALUE(REGEXEXTRACT(TO_TEXT($F1363), V$1 &amp; ""x(\d+)"")), """")"),"")</f>
        <v/>
      </c>
      <c r="W1363" s="9"/>
      <c r="X1363" s="9"/>
      <c r="Y1363" s="9"/>
      <c r="Z1363" s="9"/>
    </row>
    <row r="1364" spans="1:26" ht="15.75" customHeight="1">
      <c r="A1364" s="9" t="s">
        <v>2438</v>
      </c>
      <c r="B1364" s="9" t="s">
        <v>2439</v>
      </c>
      <c r="C1364" s="9" t="s">
        <v>2440</v>
      </c>
      <c r="D1364" s="9" t="s">
        <v>40</v>
      </c>
      <c r="E1364" s="9" t="s">
        <v>12</v>
      </c>
      <c r="F1364" s="9" t="s">
        <v>2443</v>
      </c>
      <c r="G1364" s="9">
        <v>70</v>
      </c>
      <c r="H1364" s="9">
        <v>2</v>
      </c>
      <c r="I1364" s="9">
        <v>1.0149999999999999</v>
      </c>
      <c r="J1364" s="9">
        <v>410</v>
      </c>
      <c r="K1364" s="9" t="s">
        <v>2380</v>
      </c>
      <c r="L1364" s="9" t="s">
        <v>1015</v>
      </c>
      <c r="M1364" s="9"/>
      <c r="N1364" s="9" t="str">
        <f ca="1">IFERROR(__xludf.DUMMYFUNCTION("IFERROR(VALUE(REGEXEXTRACT(TO_TEXT($F1364), N$1 &amp; ""x(\d+)"")), """")
"),"")</f>
        <v/>
      </c>
      <c r="O1364" s="9" t="str">
        <f ca="1">IFERROR(__xludf.DUMMYFUNCTION("IFERROR(VALUE(REGEXEXTRACT(TO_TEXT($F1364), O$1 &amp; ""x(\d+)"")), """")"),"")</f>
        <v/>
      </c>
      <c r="P1364" s="9" t="str">
        <f ca="1">IFERROR(__xludf.DUMMYFUNCTION("IFERROR(VALUE(REGEXEXTRACT(TO_TEXT($F1364), P$1 &amp; ""x(\d+)"")), """")"),"")</f>
        <v/>
      </c>
      <c r="Q1364" s="9" t="str">
        <f ca="1">IFERROR(__xludf.DUMMYFUNCTION("IFERROR(VALUE(REGEXEXTRACT(TO_TEXT($F1364), Q$1 &amp; ""x(\d+)"")), """")"),"")</f>
        <v/>
      </c>
      <c r="R1364" s="9" t="str">
        <f ca="1">IFERROR(__xludf.DUMMYFUNCTION("IFERROR(VALUE(REGEXEXTRACT(TO_TEXT($F1364), R$1 &amp; ""x(\d+)"")), """")"),"")</f>
        <v/>
      </c>
      <c r="S1364" s="9">
        <f ca="1">IFERROR(__xludf.DUMMYFUNCTION("IFERROR(VALUE(REGEXEXTRACT(TO_TEXT($F1364), S$1 &amp; ""x(\d+)"")), """")"),1)</f>
        <v>1</v>
      </c>
      <c r="T1364" s="9" t="str">
        <f ca="1">IFERROR(__xludf.DUMMYFUNCTION("IFERROR(VALUE(REGEXEXTRACT(TO_TEXT($F1364), T$1 &amp; ""x(\d+)"")), """")"),"")</f>
        <v/>
      </c>
      <c r="U1364" s="9" t="str">
        <f ca="1">IFERROR(__xludf.DUMMYFUNCTION("IFERROR(VALUE(REGEXEXTRACT(TO_TEXT($F1364), U$1 &amp; ""x(\d+)"")), """")"),"")</f>
        <v/>
      </c>
      <c r="V1364" s="9" t="str">
        <f ca="1">IFERROR(__xludf.DUMMYFUNCTION("IFERROR(VALUE(REGEXEXTRACT(TO_TEXT($F1364), V$1 &amp; ""x(\d+)"")), """")"),"")</f>
        <v/>
      </c>
      <c r="W1364" s="9"/>
      <c r="X1364" s="9"/>
      <c r="Y1364" s="9"/>
      <c r="Z1364" s="9"/>
    </row>
    <row r="1365" spans="1:26" ht="15.75" customHeight="1">
      <c r="A1365" s="9" t="s">
        <v>2438</v>
      </c>
      <c r="B1365" s="9" t="s">
        <v>2439</v>
      </c>
      <c r="C1365" s="9" t="s">
        <v>2440</v>
      </c>
      <c r="D1365" s="9" t="s">
        <v>40</v>
      </c>
      <c r="E1365" s="9" t="s">
        <v>13</v>
      </c>
      <c r="F1365" s="9" t="s">
        <v>1173</v>
      </c>
      <c r="G1365" s="9">
        <v>30</v>
      </c>
      <c r="H1365" s="9">
        <v>2</v>
      </c>
      <c r="I1365" s="9">
        <v>1.0149999999999999</v>
      </c>
      <c r="J1365" s="9">
        <v>410</v>
      </c>
      <c r="K1365" s="9" t="s">
        <v>2380</v>
      </c>
      <c r="L1365" s="9"/>
      <c r="M1365" s="9"/>
      <c r="N1365" s="9" t="str">
        <f ca="1">IFERROR(__xludf.DUMMYFUNCTION("IFERROR(VALUE(REGEXEXTRACT(TO_TEXT($F1365), N$1 &amp; ""x(\d+)"")), """")
"),"")</f>
        <v/>
      </c>
      <c r="O1365" s="9" t="str">
        <f ca="1">IFERROR(__xludf.DUMMYFUNCTION("IFERROR(VALUE(REGEXEXTRACT(TO_TEXT($F1365), O$1 &amp; ""x(\d+)"")), """")"),"")</f>
        <v/>
      </c>
      <c r="P1365" s="9" t="str">
        <f ca="1">IFERROR(__xludf.DUMMYFUNCTION("IFERROR(VALUE(REGEXEXTRACT(TO_TEXT($F1365), P$1 &amp; ""x(\d+)"")), """")"),"")</f>
        <v/>
      </c>
      <c r="Q1365" s="9" t="str">
        <f ca="1">IFERROR(__xludf.DUMMYFUNCTION("IFERROR(VALUE(REGEXEXTRACT(TO_TEXT($F1365), Q$1 &amp; ""x(\d+)"")), """")"),"")</f>
        <v/>
      </c>
      <c r="R1365" s="9" t="str">
        <f ca="1">IFERROR(__xludf.DUMMYFUNCTION("IFERROR(VALUE(REGEXEXTRACT(TO_TEXT($F1365), R$1 &amp; ""x(\d+)"")), """")"),"")</f>
        <v/>
      </c>
      <c r="S1365" s="9">
        <f ca="1">IFERROR(__xludf.DUMMYFUNCTION("IFERROR(VALUE(REGEXEXTRACT(TO_TEXT($F1365), S$1 &amp; ""x(\d+)"")), """")"),1)</f>
        <v>1</v>
      </c>
      <c r="T1365" s="9" t="str">
        <f ca="1">IFERROR(__xludf.DUMMYFUNCTION("IFERROR(VALUE(REGEXEXTRACT(TO_TEXT($F1365), T$1 &amp; ""x(\d+)"")), """")"),"")</f>
        <v/>
      </c>
      <c r="U1365" s="9" t="str">
        <f ca="1">IFERROR(__xludf.DUMMYFUNCTION("IFERROR(VALUE(REGEXEXTRACT(TO_TEXT($F1365), U$1 &amp; ""x(\d+)"")), """")"),"")</f>
        <v/>
      </c>
      <c r="V1365" s="9" t="str">
        <f ca="1">IFERROR(__xludf.DUMMYFUNCTION("IFERROR(VALUE(REGEXEXTRACT(TO_TEXT($F1365), V$1 &amp; ""x(\d+)"")), """")"),"")</f>
        <v/>
      </c>
      <c r="W1365" s="9"/>
      <c r="X1365" s="9"/>
      <c r="Y1365" s="9"/>
      <c r="Z1365" s="9"/>
    </row>
    <row r="1366" spans="1:26" ht="15.75" customHeight="1">
      <c r="A1366" s="9" t="s">
        <v>2444</v>
      </c>
      <c r="B1366" s="9" t="s">
        <v>2445</v>
      </c>
      <c r="C1366" s="9" t="s">
        <v>2446</v>
      </c>
      <c r="D1366" s="9" t="s">
        <v>33</v>
      </c>
      <c r="E1366" s="9" t="s">
        <v>12</v>
      </c>
      <c r="F1366" s="9" t="s">
        <v>2376</v>
      </c>
      <c r="G1366" s="9">
        <v>45</v>
      </c>
      <c r="H1366" s="9">
        <v>2</v>
      </c>
      <c r="I1366" s="9">
        <v>1.0149999999999999</v>
      </c>
      <c r="J1366" s="9">
        <v>80</v>
      </c>
      <c r="K1366" s="9" t="s">
        <v>2377</v>
      </c>
      <c r="L1366" s="9"/>
      <c r="M1366" s="9"/>
      <c r="N1366" s="9" t="str">
        <f ca="1">IFERROR(__xludf.DUMMYFUNCTION("IFERROR(VALUE(REGEXEXTRACT(TO_TEXT($F1366), N$1 &amp; ""x(\d+)"")), """")
"),"")</f>
        <v/>
      </c>
      <c r="O1366" s="9">
        <f ca="1">IFERROR(__xludf.DUMMYFUNCTION("IFERROR(VALUE(REGEXEXTRACT(TO_TEXT($F1366), O$1 &amp; ""x(\d+)"")), """")"),1)</f>
        <v>1</v>
      </c>
      <c r="P1366" s="9" t="str">
        <f ca="1">IFERROR(__xludf.DUMMYFUNCTION("IFERROR(VALUE(REGEXEXTRACT(TO_TEXT($F1366), P$1 &amp; ""x(\d+)"")), """")"),"")</f>
        <v/>
      </c>
      <c r="Q1366" s="9" t="str">
        <f ca="1">IFERROR(__xludf.DUMMYFUNCTION("IFERROR(VALUE(REGEXEXTRACT(TO_TEXT($F1366), Q$1 &amp; ""x(\d+)"")), """")"),"")</f>
        <v/>
      </c>
      <c r="R1366" s="9" t="str">
        <f ca="1">IFERROR(__xludf.DUMMYFUNCTION("IFERROR(VALUE(REGEXEXTRACT(TO_TEXT($F1366), R$1 &amp; ""x(\d+)"")), """")"),"")</f>
        <v/>
      </c>
      <c r="S1366" s="9" t="str">
        <f ca="1">IFERROR(__xludf.DUMMYFUNCTION("IFERROR(VALUE(REGEXEXTRACT(TO_TEXT($F1366), S$1 &amp; ""x(\d+)"")), """")"),"")</f>
        <v/>
      </c>
      <c r="T1366" s="9" t="str">
        <f ca="1">IFERROR(__xludf.DUMMYFUNCTION("IFERROR(VALUE(REGEXEXTRACT(TO_TEXT($F1366), T$1 &amp; ""x(\d+)"")), """")"),"")</f>
        <v/>
      </c>
      <c r="U1366" s="9" t="str">
        <f ca="1">IFERROR(__xludf.DUMMYFUNCTION("IFERROR(VALUE(REGEXEXTRACT(TO_TEXT($F1366), U$1 &amp; ""x(\d+)"")), """")"),"")</f>
        <v/>
      </c>
      <c r="V1366" s="9" t="str">
        <f ca="1">IFERROR(__xludf.DUMMYFUNCTION("IFERROR(VALUE(REGEXEXTRACT(TO_TEXT($F1366), V$1 &amp; ""x(\d+)"")), """")"),"")</f>
        <v/>
      </c>
      <c r="W1366" s="9"/>
      <c r="X1366" s="9"/>
      <c r="Y1366" s="9"/>
      <c r="Z1366" s="9"/>
    </row>
    <row r="1367" spans="1:26" ht="15.75" customHeight="1">
      <c r="A1367" s="9" t="s">
        <v>2444</v>
      </c>
      <c r="B1367" s="9" t="s">
        <v>2445</v>
      </c>
      <c r="C1367" s="9" t="s">
        <v>2446</v>
      </c>
      <c r="D1367" s="9" t="s">
        <v>33</v>
      </c>
      <c r="E1367" s="9" t="s">
        <v>13</v>
      </c>
      <c r="F1367" s="9" t="s">
        <v>2378</v>
      </c>
      <c r="G1367" s="9">
        <v>10</v>
      </c>
      <c r="H1367" s="9">
        <v>2</v>
      </c>
      <c r="I1367" s="9">
        <v>1.0149999999999999</v>
      </c>
      <c r="J1367" s="9">
        <v>80</v>
      </c>
      <c r="K1367" s="9" t="s">
        <v>2377</v>
      </c>
      <c r="L1367" s="9"/>
      <c r="M1367" s="9"/>
      <c r="N1367" s="9" t="str">
        <f ca="1">IFERROR(__xludf.DUMMYFUNCTION("IFERROR(VALUE(REGEXEXTRACT(TO_TEXT($F1367), N$1 &amp; ""x(\d+)"")), """")
"),"")</f>
        <v/>
      </c>
      <c r="O1367" s="9">
        <f ca="1">IFERROR(__xludf.DUMMYFUNCTION("IFERROR(VALUE(REGEXEXTRACT(TO_TEXT($F1367), O$1 &amp; ""x(\d+)"")), """")"),1)</f>
        <v>1</v>
      </c>
      <c r="P1367" s="9" t="str">
        <f ca="1">IFERROR(__xludf.DUMMYFUNCTION("IFERROR(VALUE(REGEXEXTRACT(TO_TEXT($F1367), P$1 &amp; ""x(\d+)"")), """")"),"")</f>
        <v/>
      </c>
      <c r="Q1367" s="9" t="str">
        <f ca="1">IFERROR(__xludf.DUMMYFUNCTION("IFERROR(VALUE(REGEXEXTRACT(TO_TEXT($F1367), Q$1 &amp; ""x(\d+)"")), """")"),"")</f>
        <v/>
      </c>
      <c r="R1367" s="9" t="str">
        <f ca="1">IFERROR(__xludf.DUMMYFUNCTION("IFERROR(VALUE(REGEXEXTRACT(TO_TEXT($F1367), R$1 &amp; ""x(\d+)"")), """")"),"")</f>
        <v/>
      </c>
      <c r="S1367" s="9" t="str">
        <f ca="1">IFERROR(__xludf.DUMMYFUNCTION("IFERROR(VALUE(REGEXEXTRACT(TO_TEXT($F1367), S$1 &amp; ""x(\d+)"")), """")"),"")</f>
        <v/>
      </c>
      <c r="T1367" s="9" t="str">
        <f ca="1">IFERROR(__xludf.DUMMYFUNCTION("IFERROR(VALUE(REGEXEXTRACT(TO_TEXT($F1367), T$1 &amp; ""x(\d+)"")), """")"),"")</f>
        <v/>
      </c>
      <c r="U1367" s="9" t="str">
        <f ca="1">IFERROR(__xludf.DUMMYFUNCTION("IFERROR(VALUE(REGEXEXTRACT(TO_TEXT($F1367), U$1 &amp; ""x(\d+)"")), """")"),"")</f>
        <v/>
      </c>
      <c r="V1367" s="9" t="str">
        <f ca="1">IFERROR(__xludf.DUMMYFUNCTION("IFERROR(VALUE(REGEXEXTRACT(TO_TEXT($F1367), V$1 &amp; ""x(\d+)"")), """")"),"")</f>
        <v/>
      </c>
      <c r="W1367" s="9"/>
      <c r="X1367" s="9"/>
      <c r="Y1367" s="9"/>
      <c r="Z1367" s="9"/>
    </row>
    <row r="1368" spans="1:26" ht="15.75" customHeight="1">
      <c r="A1368" s="9" t="s">
        <v>2444</v>
      </c>
      <c r="B1368" s="9" t="s">
        <v>2445</v>
      </c>
      <c r="C1368" s="9" t="s">
        <v>2446</v>
      </c>
      <c r="D1368" s="9" t="s">
        <v>33</v>
      </c>
      <c r="E1368" s="9" t="s">
        <v>11</v>
      </c>
      <c r="F1368" s="9" t="s">
        <v>2441</v>
      </c>
      <c r="G1368" s="9">
        <v>60</v>
      </c>
      <c r="H1368" s="9">
        <v>2</v>
      </c>
      <c r="I1368" s="9">
        <v>1.0149999999999999</v>
      </c>
      <c r="J1368" s="9">
        <v>110</v>
      </c>
      <c r="K1368" s="9" t="s">
        <v>2380</v>
      </c>
      <c r="L1368" s="9"/>
      <c r="M1368" s="9"/>
      <c r="N1368" s="9" t="str">
        <f ca="1">IFERROR(__xludf.DUMMYFUNCTION("IFERROR(VALUE(REGEXEXTRACT(TO_TEXT($F1368), N$1 &amp; ""x(\d+)"")), """")
"),"")</f>
        <v/>
      </c>
      <c r="O1368" s="9" t="str">
        <f ca="1">IFERROR(__xludf.DUMMYFUNCTION("IFERROR(VALUE(REGEXEXTRACT(TO_TEXT($F1368), O$1 &amp; ""x(\d+)"")), """")"),"")</f>
        <v/>
      </c>
      <c r="P1368" s="9" t="str">
        <f ca="1">IFERROR(__xludf.DUMMYFUNCTION("IFERROR(VALUE(REGEXEXTRACT(TO_TEXT($F1368), P$1 &amp; ""x(\d+)"")), """")"),"")</f>
        <v/>
      </c>
      <c r="Q1368" s="9" t="str">
        <f ca="1">IFERROR(__xludf.DUMMYFUNCTION("IFERROR(VALUE(REGEXEXTRACT(TO_TEXT($F1368), Q$1 &amp; ""x(\d+)"")), """")"),"")</f>
        <v/>
      </c>
      <c r="R1368" s="9" t="str">
        <f ca="1">IFERROR(__xludf.DUMMYFUNCTION("IFERROR(VALUE(REGEXEXTRACT(TO_TEXT($F1368), R$1 &amp; ""x(\d+)"")), """")"),"")</f>
        <v/>
      </c>
      <c r="S1368" s="9" t="str">
        <f ca="1">IFERROR(__xludf.DUMMYFUNCTION("IFERROR(VALUE(REGEXEXTRACT(TO_TEXT($F1368), S$1 &amp; ""x(\d+)"")), """")"),"")</f>
        <v/>
      </c>
      <c r="T1368" s="9" t="str">
        <f ca="1">IFERROR(__xludf.DUMMYFUNCTION("IFERROR(VALUE(REGEXEXTRACT(TO_TEXT($F1368), T$1 &amp; ""x(\d+)"")), """")"),"")</f>
        <v/>
      </c>
      <c r="U1368" s="9" t="str">
        <f ca="1">IFERROR(__xludf.DUMMYFUNCTION("IFERROR(VALUE(REGEXEXTRACT(TO_TEXT($F1368), U$1 &amp; ""x(\d+)"")), """")"),"")</f>
        <v/>
      </c>
      <c r="V1368" s="9" t="str">
        <f ca="1">IFERROR(__xludf.DUMMYFUNCTION("IFERROR(VALUE(REGEXEXTRACT(TO_TEXT($F1368), V$1 &amp; ""x(\d+)"")), """")"),"")</f>
        <v/>
      </c>
      <c r="W1368" s="9"/>
      <c r="X1368" s="9"/>
      <c r="Y1368" s="9"/>
      <c r="Z1368" s="9"/>
    </row>
    <row r="1369" spans="1:26" ht="15.75" customHeight="1">
      <c r="A1369" s="9" t="s">
        <v>2444</v>
      </c>
      <c r="B1369" s="9" t="s">
        <v>2445</v>
      </c>
      <c r="C1369" s="9" t="s">
        <v>2446</v>
      </c>
      <c r="D1369" s="9" t="s">
        <v>33</v>
      </c>
      <c r="E1369" s="9" t="s">
        <v>12</v>
      </c>
      <c r="F1369" s="9" t="s">
        <v>2379</v>
      </c>
      <c r="G1369" s="9">
        <v>30</v>
      </c>
      <c r="H1369" s="9">
        <v>2</v>
      </c>
      <c r="I1369" s="9">
        <v>1.0149999999999999</v>
      </c>
      <c r="J1369" s="9">
        <v>110</v>
      </c>
      <c r="K1369" s="9" t="s">
        <v>2380</v>
      </c>
      <c r="L1369" s="9"/>
      <c r="M1369" s="9"/>
      <c r="N1369" s="9" t="str">
        <f ca="1">IFERROR(__xludf.DUMMYFUNCTION("IFERROR(VALUE(REGEXEXTRACT(TO_TEXT($F1369), N$1 &amp; ""x(\d+)"")), """")
"),"")</f>
        <v/>
      </c>
      <c r="O1369" s="9">
        <f ca="1">IFERROR(__xludf.DUMMYFUNCTION("IFERROR(VALUE(REGEXEXTRACT(TO_TEXT($F1369), O$1 &amp; ""x(\d+)"")), """")"),1)</f>
        <v>1</v>
      </c>
      <c r="P1369" s="9" t="str">
        <f ca="1">IFERROR(__xludf.DUMMYFUNCTION("IFERROR(VALUE(REGEXEXTRACT(TO_TEXT($F1369), P$1 &amp; ""x(\d+)"")), """")"),"")</f>
        <v/>
      </c>
      <c r="Q1369" s="9" t="str">
        <f ca="1">IFERROR(__xludf.DUMMYFUNCTION("IFERROR(VALUE(REGEXEXTRACT(TO_TEXT($F1369), Q$1 &amp; ""x(\d+)"")), """")"),"")</f>
        <v/>
      </c>
      <c r="R1369" s="9" t="str">
        <f ca="1">IFERROR(__xludf.DUMMYFUNCTION("IFERROR(VALUE(REGEXEXTRACT(TO_TEXT($F1369), R$1 &amp; ""x(\d+)"")), """")"),"")</f>
        <v/>
      </c>
      <c r="S1369" s="9" t="str">
        <f ca="1">IFERROR(__xludf.DUMMYFUNCTION("IFERROR(VALUE(REGEXEXTRACT(TO_TEXT($F1369), S$1 &amp; ""x(\d+)"")), """")"),"")</f>
        <v/>
      </c>
      <c r="T1369" s="9" t="str">
        <f ca="1">IFERROR(__xludf.DUMMYFUNCTION("IFERROR(VALUE(REGEXEXTRACT(TO_TEXT($F1369), T$1 &amp; ""x(\d+)"")), """")"),"")</f>
        <v/>
      </c>
      <c r="U1369" s="9" t="str">
        <f ca="1">IFERROR(__xludf.DUMMYFUNCTION("IFERROR(VALUE(REGEXEXTRACT(TO_TEXT($F1369), U$1 &amp; ""x(\d+)"")), """")"),"")</f>
        <v/>
      </c>
      <c r="V1369" s="9" t="str">
        <f ca="1">IFERROR(__xludf.DUMMYFUNCTION("IFERROR(VALUE(REGEXEXTRACT(TO_TEXT($F1369), V$1 &amp; ""x(\d+)"")), """")"),"")</f>
        <v/>
      </c>
      <c r="W1369" s="9"/>
      <c r="X1369" s="9"/>
      <c r="Y1369" s="9"/>
      <c r="Z1369" s="9"/>
    </row>
    <row r="1370" spans="1:26" ht="15.75" customHeight="1">
      <c r="A1370" s="9" t="s">
        <v>2444</v>
      </c>
      <c r="B1370" s="9" t="s">
        <v>2445</v>
      </c>
      <c r="C1370" s="9" t="s">
        <v>2446</v>
      </c>
      <c r="D1370" s="9" t="s">
        <v>33</v>
      </c>
      <c r="E1370" s="9" t="s">
        <v>13</v>
      </c>
      <c r="F1370" s="9" t="s">
        <v>2378</v>
      </c>
      <c r="G1370" s="9">
        <v>10</v>
      </c>
      <c r="H1370" s="9">
        <v>2</v>
      </c>
      <c r="I1370" s="9">
        <v>1.0149999999999999</v>
      </c>
      <c r="J1370" s="9">
        <v>110</v>
      </c>
      <c r="K1370" s="9" t="s">
        <v>2380</v>
      </c>
      <c r="L1370" s="9"/>
      <c r="M1370" s="9"/>
      <c r="N1370" s="9" t="str">
        <f ca="1">IFERROR(__xludf.DUMMYFUNCTION("IFERROR(VALUE(REGEXEXTRACT(TO_TEXT($F1370), N$1 &amp; ""x(\d+)"")), """")
"),"")</f>
        <v/>
      </c>
      <c r="O1370" s="9">
        <f ca="1">IFERROR(__xludf.DUMMYFUNCTION("IFERROR(VALUE(REGEXEXTRACT(TO_TEXT($F1370), O$1 &amp; ""x(\d+)"")), """")"),1)</f>
        <v>1</v>
      </c>
      <c r="P1370" s="9" t="str">
        <f ca="1">IFERROR(__xludf.DUMMYFUNCTION("IFERROR(VALUE(REGEXEXTRACT(TO_TEXT($F1370), P$1 &amp; ""x(\d+)"")), """")"),"")</f>
        <v/>
      </c>
      <c r="Q1370" s="9" t="str">
        <f ca="1">IFERROR(__xludf.DUMMYFUNCTION("IFERROR(VALUE(REGEXEXTRACT(TO_TEXT($F1370), Q$1 &amp; ""x(\d+)"")), """")"),"")</f>
        <v/>
      </c>
      <c r="R1370" s="9" t="str">
        <f ca="1">IFERROR(__xludf.DUMMYFUNCTION("IFERROR(VALUE(REGEXEXTRACT(TO_TEXT($F1370), R$1 &amp; ""x(\d+)"")), """")"),"")</f>
        <v/>
      </c>
      <c r="S1370" s="9" t="str">
        <f ca="1">IFERROR(__xludf.DUMMYFUNCTION("IFERROR(VALUE(REGEXEXTRACT(TO_TEXT($F1370), S$1 &amp; ""x(\d+)"")), """")"),"")</f>
        <v/>
      </c>
      <c r="T1370" s="9" t="str">
        <f ca="1">IFERROR(__xludf.DUMMYFUNCTION("IFERROR(VALUE(REGEXEXTRACT(TO_TEXT($F1370), T$1 &amp; ""x(\d+)"")), """")"),"")</f>
        <v/>
      </c>
      <c r="U1370" s="9" t="str">
        <f ca="1">IFERROR(__xludf.DUMMYFUNCTION("IFERROR(VALUE(REGEXEXTRACT(TO_TEXT($F1370), U$1 &amp; ""x(\d+)"")), """")"),"")</f>
        <v/>
      </c>
      <c r="V1370" s="9" t="str">
        <f ca="1">IFERROR(__xludf.DUMMYFUNCTION("IFERROR(VALUE(REGEXEXTRACT(TO_TEXT($F1370), V$1 &amp; ""x(\d+)"")), """")"),"")</f>
        <v/>
      </c>
      <c r="W1370" s="9"/>
      <c r="X1370" s="9"/>
      <c r="Y1370" s="9"/>
      <c r="Z1370" s="9"/>
    </row>
    <row r="1371" spans="1:26" ht="15.75" customHeight="1">
      <c r="A1371" s="9" t="s">
        <v>2444</v>
      </c>
      <c r="B1371" s="9" t="s">
        <v>2445</v>
      </c>
      <c r="C1371" s="9" t="s">
        <v>2446</v>
      </c>
      <c r="D1371" s="9" t="s">
        <v>40</v>
      </c>
      <c r="E1371" s="9" t="s">
        <v>11</v>
      </c>
      <c r="F1371" s="9" t="s">
        <v>2441</v>
      </c>
      <c r="G1371" s="9">
        <v>60</v>
      </c>
      <c r="H1371" s="9">
        <v>2</v>
      </c>
      <c r="I1371" s="9">
        <v>1.0149999999999999</v>
      </c>
      <c r="J1371" s="9">
        <v>410</v>
      </c>
      <c r="K1371" s="9" t="s">
        <v>2380</v>
      </c>
      <c r="L1371" s="9"/>
      <c r="M1371" s="9"/>
      <c r="N1371" s="9" t="str">
        <f ca="1">IFERROR(__xludf.DUMMYFUNCTION("IFERROR(VALUE(REGEXEXTRACT(TO_TEXT($F1371), N$1 &amp; ""x(\d+)"")), """")
"),"")</f>
        <v/>
      </c>
      <c r="O1371" s="9" t="str">
        <f ca="1">IFERROR(__xludf.DUMMYFUNCTION("IFERROR(VALUE(REGEXEXTRACT(TO_TEXT($F1371), O$1 &amp; ""x(\d+)"")), """")"),"")</f>
        <v/>
      </c>
      <c r="P1371" s="9" t="str">
        <f ca="1">IFERROR(__xludf.DUMMYFUNCTION("IFERROR(VALUE(REGEXEXTRACT(TO_TEXT($F1371), P$1 &amp; ""x(\d+)"")), """")"),"")</f>
        <v/>
      </c>
      <c r="Q1371" s="9" t="str">
        <f ca="1">IFERROR(__xludf.DUMMYFUNCTION("IFERROR(VALUE(REGEXEXTRACT(TO_TEXT($F1371), Q$1 &amp; ""x(\d+)"")), """")"),"")</f>
        <v/>
      </c>
      <c r="R1371" s="9" t="str">
        <f ca="1">IFERROR(__xludf.DUMMYFUNCTION("IFERROR(VALUE(REGEXEXTRACT(TO_TEXT($F1371), R$1 &amp; ""x(\d+)"")), """")"),"")</f>
        <v/>
      </c>
      <c r="S1371" s="9" t="str">
        <f ca="1">IFERROR(__xludf.DUMMYFUNCTION("IFERROR(VALUE(REGEXEXTRACT(TO_TEXT($F1371), S$1 &amp; ""x(\d+)"")), """")"),"")</f>
        <v/>
      </c>
      <c r="T1371" s="9" t="str">
        <f ca="1">IFERROR(__xludf.DUMMYFUNCTION("IFERROR(VALUE(REGEXEXTRACT(TO_TEXT($F1371), T$1 &amp; ""x(\d+)"")), """")"),"")</f>
        <v/>
      </c>
      <c r="U1371" s="9" t="str">
        <f ca="1">IFERROR(__xludf.DUMMYFUNCTION("IFERROR(VALUE(REGEXEXTRACT(TO_TEXT($F1371), U$1 &amp; ""x(\d+)"")), """")"),"")</f>
        <v/>
      </c>
      <c r="V1371" s="9" t="str">
        <f ca="1">IFERROR(__xludf.DUMMYFUNCTION("IFERROR(VALUE(REGEXEXTRACT(TO_TEXT($F1371), V$1 &amp; ""x(\d+)"")), """")"),"")</f>
        <v/>
      </c>
      <c r="W1371" s="9"/>
      <c r="X1371" s="9"/>
      <c r="Y1371" s="9"/>
      <c r="Z1371" s="9"/>
    </row>
    <row r="1372" spans="1:26" ht="15.75" customHeight="1">
      <c r="A1372" s="9" t="s">
        <v>2444</v>
      </c>
      <c r="B1372" s="9" t="s">
        <v>2445</v>
      </c>
      <c r="C1372" s="9" t="s">
        <v>2446</v>
      </c>
      <c r="D1372" s="9" t="s">
        <v>40</v>
      </c>
      <c r="E1372" s="9" t="s">
        <v>12</v>
      </c>
      <c r="F1372" s="9" t="s">
        <v>2443</v>
      </c>
      <c r="G1372" s="9">
        <v>70</v>
      </c>
      <c r="H1372" s="9">
        <v>2</v>
      </c>
      <c r="I1372" s="9">
        <v>1.0149999999999999</v>
      </c>
      <c r="J1372" s="9">
        <v>410</v>
      </c>
      <c r="K1372" s="9" t="s">
        <v>2380</v>
      </c>
      <c r="L1372" s="9" t="s">
        <v>1015</v>
      </c>
      <c r="M1372" s="9"/>
      <c r="N1372" s="9" t="str">
        <f ca="1">IFERROR(__xludf.DUMMYFUNCTION("IFERROR(VALUE(REGEXEXTRACT(TO_TEXT($F1372), N$1 &amp; ""x(\d+)"")), """")
"),"")</f>
        <v/>
      </c>
      <c r="O1372" s="9" t="str">
        <f ca="1">IFERROR(__xludf.DUMMYFUNCTION("IFERROR(VALUE(REGEXEXTRACT(TO_TEXT($F1372), O$1 &amp; ""x(\d+)"")), """")"),"")</f>
        <v/>
      </c>
      <c r="P1372" s="9" t="str">
        <f ca="1">IFERROR(__xludf.DUMMYFUNCTION("IFERROR(VALUE(REGEXEXTRACT(TO_TEXT($F1372), P$1 &amp; ""x(\d+)"")), """")"),"")</f>
        <v/>
      </c>
      <c r="Q1372" s="9" t="str">
        <f ca="1">IFERROR(__xludf.DUMMYFUNCTION("IFERROR(VALUE(REGEXEXTRACT(TO_TEXT($F1372), Q$1 &amp; ""x(\d+)"")), """")"),"")</f>
        <v/>
      </c>
      <c r="R1372" s="9" t="str">
        <f ca="1">IFERROR(__xludf.DUMMYFUNCTION("IFERROR(VALUE(REGEXEXTRACT(TO_TEXT($F1372), R$1 &amp; ""x(\d+)"")), """")"),"")</f>
        <v/>
      </c>
      <c r="S1372" s="9">
        <f ca="1">IFERROR(__xludf.DUMMYFUNCTION("IFERROR(VALUE(REGEXEXTRACT(TO_TEXT($F1372), S$1 &amp; ""x(\d+)"")), """")"),1)</f>
        <v>1</v>
      </c>
      <c r="T1372" s="9" t="str">
        <f ca="1">IFERROR(__xludf.DUMMYFUNCTION("IFERROR(VALUE(REGEXEXTRACT(TO_TEXT($F1372), T$1 &amp; ""x(\d+)"")), """")"),"")</f>
        <v/>
      </c>
      <c r="U1372" s="9" t="str">
        <f ca="1">IFERROR(__xludf.DUMMYFUNCTION("IFERROR(VALUE(REGEXEXTRACT(TO_TEXT($F1372), U$1 &amp; ""x(\d+)"")), """")"),"")</f>
        <v/>
      </c>
      <c r="V1372" s="9" t="str">
        <f ca="1">IFERROR(__xludf.DUMMYFUNCTION("IFERROR(VALUE(REGEXEXTRACT(TO_TEXT($F1372), V$1 &amp; ""x(\d+)"")), """")"),"")</f>
        <v/>
      </c>
      <c r="W1372" s="9"/>
      <c r="X1372" s="9"/>
      <c r="Y1372" s="9"/>
      <c r="Z1372" s="9"/>
    </row>
    <row r="1373" spans="1:26" ht="15.75" customHeight="1">
      <c r="A1373" s="9" t="s">
        <v>2444</v>
      </c>
      <c r="B1373" s="9" t="s">
        <v>2445</v>
      </c>
      <c r="C1373" s="9" t="s">
        <v>2446</v>
      </c>
      <c r="D1373" s="9" t="s">
        <v>40</v>
      </c>
      <c r="E1373" s="9" t="s">
        <v>13</v>
      </c>
      <c r="F1373" s="9" t="s">
        <v>1173</v>
      </c>
      <c r="G1373" s="9">
        <v>30</v>
      </c>
      <c r="H1373" s="9">
        <v>2</v>
      </c>
      <c r="I1373" s="9">
        <v>1.0149999999999999</v>
      </c>
      <c r="J1373" s="9">
        <v>410</v>
      </c>
      <c r="K1373" s="9" t="s">
        <v>2380</v>
      </c>
      <c r="L1373" s="9"/>
      <c r="M1373" s="9"/>
      <c r="N1373" s="9" t="str">
        <f ca="1">IFERROR(__xludf.DUMMYFUNCTION("IFERROR(VALUE(REGEXEXTRACT(TO_TEXT($F1373), N$1 &amp; ""x(\d+)"")), """")
"),"")</f>
        <v/>
      </c>
      <c r="O1373" s="9" t="str">
        <f ca="1">IFERROR(__xludf.DUMMYFUNCTION("IFERROR(VALUE(REGEXEXTRACT(TO_TEXT($F1373), O$1 &amp; ""x(\d+)"")), """")"),"")</f>
        <v/>
      </c>
      <c r="P1373" s="9" t="str">
        <f ca="1">IFERROR(__xludf.DUMMYFUNCTION("IFERROR(VALUE(REGEXEXTRACT(TO_TEXT($F1373), P$1 &amp; ""x(\d+)"")), """")"),"")</f>
        <v/>
      </c>
      <c r="Q1373" s="9" t="str">
        <f ca="1">IFERROR(__xludf.DUMMYFUNCTION("IFERROR(VALUE(REGEXEXTRACT(TO_TEXT($F1373), Q$1 &amp; ""x(\d+)"")), """")"),"")</f>
        <v/>
      </c>
      <c r="R1373" s="9" t="str">
        <f ca="1">IFERROR(__xludf.DUMMYFUNCTION("IFERROR(VALUE(REGEXEXTRACT(TO_TEXT($F1373), R$1 &amp; ""x(\d+)"")), """")"),"")</f>
        <v/>
      </c>
      <c r="S1373" s="9">
        <f ca="1">IFERROR(__xludf.DUMMYFUNCTION("IFERROR(VALUE(REGEXEXTRACT(TO_TEXT($F1373), S$1 &amp; ""x(\d+)"")), """")"),1)</f>
        <v>1</v>
      </c>
      <c r="T1373" s="9" t="str">
        <f ca="1">IFERROR(__xludf.DUMMYFUNCTION("IFERROR(VALUE(REGEXEXTRACT(TO_TEXT($F1373), T$1 &amp; ""x(\d+)"")), """")"),"")</f>
        <v/>
      </c>
      <c r="U1373" s="9" t="str">
        <f ca="1">IFERROR(__xludf.DUMMYFUNCTION("IFERROR(VALUE(REGEXEXTRACT(TO_TEXT($F1373), U$1 &amp; ""x(\d+)"")), """")"),"")</f>
        <v/>
      </c>
      <c r="V1373" s="9" t="str">
        <f ca="1">IFERROR(__xludf.DUMMYFUNCTION("IFERROR(VALUE(REGEXEXTRACT(TO_TEXT($F1373), V$1 &amp; ""x(\d+)"")), """")"),"")</f>
        <v/>
      </c>
      <c r="W1373" s="9"/>
      <c r="X1373" s="9"/>
      <c r="Y1373" s="9"/>
      <c r="Z1373" s="9"/>
    </row>
    <row r="1374" spans="1:26" ht="15.75" customHeight="1">
      <c r="A1374" s="9" t="s">
        <v>2447</v>
      </c>
      <c r="B1374" s="9" t="s">
        <v>2448</v>
      </c>
      <c r="C1374" s="9" t="s">
        <v>2449</v>
      </c>
      <c r="D1374" s="9" t="s">
        <v>33</v>
      </c>
      <c r="E1374" s="9" t="s">
        <v>12</v>
      </c>
      <c r="F1374" s="9" t="s">
        <v>2376</v>
      </c>
      <c r="G1374" s="9">
        <v>45</v>
      </c>
      <c r="H1374" s="9">
        <v>2</v>
      </c>
      <c r="I1374" s="9">
        <v>1.0149999999999999</v>
      </c>
      <c r="J1374" s="9">
        <v>80</v>
      </c>
      <c r="K1374" s="9" t="s">
        <v>2377</v>
      </c>
      <c r="L1374" s="9"/>
      <c r="M1374" s="9"/>
      <c r="N1374" s="9" t="str">
        <f ca="1">IFERROR(__xludf.DUMMYFUNCTION("IFERROR(VALUE(REGEXEXTRACT(TO_TEXT($F1374), N$1 &amp; ""x(\d+)"")), """")
"),"")</f>
        <v/>
      </c>
      <c r="O1374" s="9">
        <f ca="1">IFERROR(__xludf.DUMMYFUNCTION("IFERROR(VALUE(REGEXEXTRACT(TO_TEXT($F1374), O$1 &amp; ""x(\d+)"")), """")"),1)</f>
        <v>1</v>
      </c>
      <c r="P1374" s="9" t="str">
        <f ca="1">IFERROR(__xludf.DUMMYFUNCTION("IFERROR(VALUE(REGEXEXTRACT(TO_TEXT($F1374), P$1 &amp; ""x(\d+)"")), """")"),"")</f>
        <v/>
      </c>
      <c r="Q1374" s="9" t="str">
        <f ca="1">IFERROR(__xludf.DUMMYFUNCTION("IFERROR(VALUE(REGEXEXTRACT(TO_TEXT($F1374), Q$1 &amp; ""x(\d+)"")), """")"),"")</f>
        <v/>
      </c>
      <c r="R1374" s="9" t="str">
        <f ca="1">IFERROR(__xludf.DUMMYFUNCTION("IFERROR(VALUE(REGEXEXTRACT(TO_TEXT($F1374), R$1 &amp; ""x(\d+)"")), """")"),"")</f>
        <v/>
      </c>
      <c r="S1374" s="9" t="str">
        <f ca="1">IFERROR(__xludf.DUMMYFUNCTION("IFERROR(VALUE(REGEXEXTRACT(TO_TEXT($F1374), S$1 &amp; ""x(\d+)"")), """")"),"")</f>
        <v/>
      </c>
      <c r="T1374" s="9" t="str">
        <f ca="1">IFERROR(__xludf.DUMMYFUNCTION("IFERROR(VALUE(REGEXEXTRACT(TO_TEXT($F1374), T$1 &amp; ""x(\d+)"")), """")"),"")</f>
        <v/>
      </c>
      <c r="U1374" s="9" t="str">
        <f ca="1">IFERROR(__xludf.DUMMYFUNCTION("IFERROR(VALUE(REGEXEXTRACT(TO_TEXT($F1374), U$1 &amp; ""x(\d+)"")), """")"),"")</f>
        <v/>
      </c>
      <c r="V1374" s="9" t="str">
        <f ca="1">IFERROR(__xludf.DUMMYFUNCTION("IFERROR(VALUE(REGEXEXTRACT(TO_TEXT($F1374), V$1 &amp; ""x(\d+)"")), """")"),"")</f>
        <v/>
      </c>
      <c r="W1374" s="9"/>
      <c r="X1374" s="9"/>
      <c r="Y1374" s="9"/>
      <c r="Z1374" s="9"/>
    </row>
    <row r="1375" spans="1:26" ht="15.75" customHeight="1">
      <c r="A1375" s="9" t="s">
        <v>2447</v>
      </c>
      <c r="B1375" s="9" t="s">
        <v>2448</v>
      </c>
      <c r="C1375" s="9" t="s">
        <v>2449</v>
      </c>
      <c r="D1375" s="9" t="s">
        <v>33</v>
      </c>
      <c r="E1375" s="9" t="s">
        <v>13</v>
      </c>
      <c r="F1375" s="9" t="s">
        <v>2378</v>
      </c>
      <c r="G1375" s="9">
        <v>10</v>
      </c>
      <c r="H1375" s="9">
        <v>2</v>
      </c>
      <c r="I1375" s="9">
        <v>1.0149999999999999</v>
      </c>
      <c r="J1375" s="9">
        <v>80</v>
      </c>
      <c r="K1375" s="9" t="s">
        <v>2377</v>
      </c>
      <c r="L1375" s="9"/>
      <c r="M1375" s="9"/>
      <c r="N1375" s="9" t="str">
        <f ca="1">IFERROR(__xludf.DUMMYFUNCTION("IFERROR(VALUE(REGEXEXTRACT(TO_TEXT($F1375), N$1 &amp; ""x(\d+)"")), """")
"),"")</f>
        <v/>
      </c>
      <c r="O1375" s="9">
        <f ca="1">IFERROR(__xludf.DUMMYFUNCTION("IFERROR(VALUE(REGEXEXTRACT(TO_TEXT($F1375), O$1 &amp; ""x(\d+)"")), """")"),1)</f>
        <v>1</v>
      </c>
      <c r="P1375" s="9" t="str">
        <f ca="1">IFERROR(__xludf.DUMMYFUNCTION("IFERROR(VALUE(REGEXEXTRACT(TO_TEXT($F1375), P$1 &amp; ""x(\d+)"")), """")"),"")</f>
        <v/>
      </c>
      <c r="Q1375" s="9" t="str">
        <f ca="1">IFERROR(__xludf.DUMMYFUNCTION("IFERROR(VALUE(REGEXEXTRACT(TO_TEXT($F1375), Q$1 &amp; ""x(\d+)"")), """")"),"")</f>
        <v/>
      </c>
      <c r="R1375" s="9" t="str">
        <f ca="1">IFERROR(__xludf.DUMMYFUNCTION("IFERROR(VALUE(REGEXEXTRACT(TO_TEXT($F1375), R$1 &amp; ""x(\d+)"")), """")"),"")</f>
        <v/>
      </c>
      <c r="S1375" s="9" t="str">
        <f ca="1">IFERROR(__xludf.DUMMYFUNCTION("IFERROR(VALUE(REGEXEXTRACT(TO_TEXT($F1375), S$1 &amp; ""x(\d+)"")), """")"),"")</f>
        <v/>
      </c>
      <c r="T1375" s="9" t="str">
        <f ca="1">IFERROR(__xludf.DUMMYFUNCTION("IFERROR(VALUE(REGEXEXTRACT(TO_TEXT($F1375), T$1 &amp; ""x(\d+)"")), """")"),"")</f>
        <v/>
      </c>
      <c r="U1375" s="9" t="str">
        <f ca="1">IFERROR(__xludf.DUMMYFUNCTION("IFERROR(VALUE(REGEXEXTRACT(TO_TEXT($F1375), U$1 &amp; ""x(\d+)"")), """")"),"")</f>
        <v/>
      </c>
      <c r="V1375" s="9" t="str">
        <f ca="1">IFERROR(__xludf.DUMMYFUNCTION("IFERROR(VALUE(REGEXEXTRACT(TO_TEXT($F1375), V$1 &amp; ""x(\d+)"")), """")"),"")</f>
        <v/>
      </c>
      <c r="W1375" s="9"/>
      <c r="X1375" s="9"/>
      <c r="Y1375" s="9"/>
      <c r="Z1375" s="9"/>
    </row>
    <row r="1376" spans="1:26" ht="15.75" customHeight="1">
      <c r="A1376" s="9" t="s">
        <v>2447</v>
      </c>
      <c r="B1376" s="9" t="s">
        <v>2448</v>
      </c>
      <c r="C1376" s="9" t="s">
        <v>2449</v>
      </c>
      <c r="D1376" s="9" t="s">
        <v>33</v>
      </c>
      <c r="E1376" s="9" t="s">
        <v>11</v>
      </c>
      <c r="F1376" s="9" t="s">
        <v>2441</v>
      </c>
      <c r="G1376" s="9">
        <v>60</v>
      </c>
      <c r="H1376" s="9">
        <v>2</v>
      </c>
      <c r="I1376" s="9">
        <v>1.0149999999999999</v>
      </c>
      <c r="J1376" s="9">
        <v>110</v>
      </c>
      <c r="K1376" s="9" t="s">
        <v>2380</v>
      </c>
      <c r="L1376" s="9"/>
      <c r="M1376" s="9"/>
      <c r="N1376" s="9" t="str">
        <f ca="1">IFERROR(__xludf.DUMMYFUNCTION("IFERROR(VALUE(REGEXEXTRACT(TO_TEXT($F1376), N$1 &amp; ""x(\d+)"")), """")
"),"")</f>
        <v/>
      </c>
      <c r="O1376" s="9" t="str">
        <f ca="1">IFERROR(__xludf.DUMMYFUNCTION("IFERROR(VALUE(REGEXEXTRACT(TO_TEXT($F1376), O$1 &amp; ""x(\d+)"")), """")"),"")</f>
        <v/>
      </c>
      <c r="P1376" s="9" t="str">
        <f ca="1">IFERROR(__xludf.DUMMYFUNCTION("IFERROR(VALUE(REGEXEXTRACT(TO_TEXT($F1376), P$1 &amp; ""x(\d+)"")), """")"),"")</f>
        <v/>
      </c>
      <c r="Q1376" s="9" t="str">
        <f ca="1">IFERROR(__xludf.DUMMYFUNCTION("IFERROR(VALUE(REGEXEXTRACT(TO_TEXT($F1376), Q$1 &amp; ""x(\d+)"")), """")"),"")</f>
        <v/>
      </c>
      <c r="R1376" s="9" t="str">
        <f ca="1">IFERROR(__xludf.DUMMYFUNCTION("IFERROR(VALUE(REGEXEXTRACT(TO_TEXT($F1376), R$1 &amp; ""x(\d+)"")), """")"),"")</f>
        <v/>
      </c>
      <c r="S1376" s="9" t="str">
        <f ca="1">IFERROR(__xludf.DUMMYFUNCTION("IFERROR(VALUE(REGEXEXTRACT(TO_TEXT($F1376), S$1 &amp; ""x(\d+)"")), """")"),"")</f>
        <v/>
      </c>
      <c r="T1376" s="9" t="str">
        <f ca="1">IFERROR(__xludf.DUMMYFUNCTION("IFERROR(VALUE(REGEXEXTRACT(TO_TEXT($F1376), T$1 &amp; ""x(\d+)"")), """")"),"")</f>
        <v/>
      </c>
      <c r="U1376" s="9" t="str">
        <f ca="1">IFERROR(__xludf.DUMMYFUNCTION("IFERROR(VALUE(REGEXEXTRACT(TO_TEXT($F1376), U$1 &amp; ""x(\d+)"")), """")"),"")</f>
        <v/>
      </c>
      <c r="V1376" s="9" t="str">
        <f ca="1">IFERROR(__xludf.DUMMYFUNCTION("IFERROR(VALUE(REGEXEXTRACT(TO_TEXT($F1376), V$1 &amp; ""x(\d+)"")), """")"),"")</f>
        <v/>
      </c>
      <c r="W1376" s="9"/>
      <c r="X1376" s="9"/>
      <c r="Y1376" s="9"/>
      <c r="Z1376" s="9"/>
    </row>
    <row r="1377" spans="1:26" ht="15.75" customHeight="1">
      <c r="A1377" s="9" t="s">
        <v>2447</v>
      </c>
      <c r="B1377" s="9" t="s">
        <v>2448</v>
      </c>
      <c r="C1377" s="9" t="s">
        <v>2449</v>
      </c>
      <c r="D1377" s="9" t="s">
        <v>33</v>
      </c>
      <c r="E1377" s="9" t="s">
        <v>12</v>
      </c>
      <c r="F1377" s="9" t="s">
        <v>2379</v>
      </c>
      <c r="G1377" s="9">
        <v>30</v>
      </c>
      <c r="H1377" s="9">
        <v>2</v>
      </c>
      <c r="I1377" s="9">
        <v>1.0149999999999999</v>
      </c>
      <c r="J1377" s="9">
        <v>110</v>
      </c>
      <c r="K1377" s="9" t="s">
        <v>2380</v>
      </c>
      <c r="L1377" s="9"/>
      <c r="M1377" s="9"/>
      <c r="N1377" s="9" t="str">
        <f ca="1">IFERROR(__xludf.DUMMYFUNCTION("IFERROR(VALUE(REGEXEXTRACT(TO_TEXT($F1377), N$1 &amp; ""x(\d+)"")), """")
"),"")</f>
        <v/>
      </c>
      <c r="O1377" s="9">
        <f ca="1">IFERROR(__xludf.DUMMYFUNCTION("IFERROR(VALUE(REGEXEXTRACT(TO_TEXT($F1377), O$1 &amp; ""x(\d+)"")), """")"),1)</f>
        <v>1</v>
      </c>
      <c r="P1377" s="9" t="str">
        <f ca="1">IFERROR(__xludf.DUMMYFUNCTION("IFERROR(VALUE(REGEXEXTRACT(TO_TEXT($F1377), P$1 &amp; ""x(\d+)"")), """")"),"")</f>
        <v/>
      </c>
      <c r="Q1377" s="9" t="str">
        <f ca="1">IFERROR(__xludf.DUMMYFUNCTION("IFERROR(VALUE(REGEXEXTRACT(TO_TEXT($F1377), Q$1 &amp; ""x(\d+)"")), """")"),"")</f>
        <v/>
      </c>
      <c r="R1377" s="9" t="str">
        <f ca="1">IFERROR(__xludf.DUMMYFUNCTION("IFERROR(VALUE(REGEXEXTRACT(TO_TEXT($F1377), R$1 &amp; ""x(\d+)"")), """")"),"")</f>
        <v/>
      </c>
      <c r="S1377" s="9" t="str">
        <f ca="1">IFERROR(__xludf.DUMMYFUNCTION("IFERROR(VALUE(REGEXEXTRACT(TO_TEXT($F1377), S$1 &amp; ""x(\d+)"")), """")"),"")</f>
        <v/>
      </c>
      <c r="T1377" s="9" t="str">
        <f ca="1">IFERROR(__xludf.DUMMYFUNCTION("IFERROR(VALUE(REGEXEXTRACT(TO_TEXT($F1377), T$1 &amp; ""x(\d+)"")), """")"),"")</f>
        <v/>
      </c>
      <c r="U1377" s="9" t="str">
        <f ca="1">IFERROR(__xludf.DUMMYFUNCTION("IFERROR(VALUE(REGEXEXTRACT(TO_TEXT($F1377), U$1 &amp; ""x(\d+)"")), """")"),"")</f>
        <v/>
      </c>
      <c r="V1377" s="9" t="str">
        <f ca="1">IFERROR(__xludf.DUMMYFUNCTION("IFERROR(VALUE(REGEXEXTRACT(TO_TEXT($F1377), V$1 &amp; ""x(\d+)"")), """")"),"")</f>
        <v/>
      </c>
      <c r="W1377" s="9"/>
      <c r="X1377" s="9"/>
      <c r="Y1377" s="9"/>
      <c r="Z1377" s="9"/>
    </row>
    <row r="1378" spans="1:26" ht="15.75" customHeight="1">
      <c r="A1378" s="9" t="s">
        <v>2447</v>
      </c>
      <c r="B1378" s="9" t="s">
        <v>2448</v>
      </c>
      <c r="C1378" s="9" t="s">
        <v>2449</v>
      </c>
      <c r="D1378" s="9" t="s">
        <v>33</v>
      </c>
      <c r="E1378" s="9" t="s">
        <v>13</v>
      </c>
      <c r="F1378" s="9" t="s">
        <v>2378</v>
      </c>
      <c r="G1378" s="9">
        <v>10</v>
      </c>
      <c r="H1378" s="9">
        <v>2</v>
      </c>
      <c r="I1378" s="9">
        <v>1.0149999999999999</v>
      </c>
      <c r="J1378" s="9">
        <v>110</v>
      </c>
      <c r="K1378" s="9" t="s">
        <v>2380</v>
      </c>
      <c r="L1378" s="9"/>
      <c r="M1378" s="9"/>
      <c r="N1378" s="9" t="str">
        <f ca="1">IFERROR(__xludf.DUMMYFUNCTION("IFERROR(VALUE(REGEXEXTRACT(TO_TEXT($F1378), N$1 &amp; ""x(\d+)"")), """")
"),"")</f>
        <v/>
      </c>
      <c r="O1378" s="9">
        <f ca="1">IFERROR(__xludf.DUMMYFUNCTION("IFERROR(VALUE(REGEXEXTRACT(TO_TEXT($F1378), O$1 &amp; ""x(\d+)"")), """")"),1)</f>
        <v>1</v>
      </c>
      <c r="P1378" s="9" t="str">
        <f ca="1">IFERROR(__xludf.DUMMYFUNCTION("IFERROR(VALUE(REGEXEXTRACT(TO_TEXT($F1378), P$1 &amp; ""x(\d+)"")), """")"),"")</f>
        <v/>
      </c>
      <c r="Q1378" s="9" t="str">
        <f ca="1">IFERROR(__xludf.DUMMYFUNCTION("IFERROR(VALUE(REGEXEXTRACT(TO_TEXT($F1378), Q$1 &amp; ""x(\d+)"")), """")"),"")</f>
        <v/>
      </c>
      <c r="R1378" s="9" t="str">
        <f ca="1">IFERROR(__xludf.DUMMYFUNCTION("IFERROR(VALUE(REGEXEXTRACT(TO_TEXT($F1378), R$1 &amp; ""x(\d+)"")), """")"),"")</f>
        <v/>
      </c>
      <c r="S1378" s="9" t="str">
        <f ca="1">IFERROR(__xludf.DUMMYFUNCTION("IFERROR(VALUE(REGEXEXTRACT(TO_TEXT($F1378), S$1 &amp; ""x(\d+)"")), """")"),"")</f>
        <v/>
      </c>
      <c r="T1378" s="9" t="str">
        <f ca="1">IFERROR(__xludf.DUMMYFUNCTION("IFERROR(VALUE(REGEXEXTRACT(TO_TEXT($F1378), T$1 &amp; ""x(\d+)"")), """")"),"")</f>
        <v/>
      </c>
      <c r="U1378" s="9" t="str">
        <f ca="1">IFERROR(__xludf.DUMMYFUNCTION("IFERROR(VALUE(REGEXEXTRACT(TO_TEXT($F1378), U$1 &amp; ""x(\d+)"")), """")"),"")</f>
        <v/>
      </c>
      <c r="V1378" s="9" t="str">
        <f ca="1">IFERROR(__xludf.DUMMYFUNCTION("IFERROR(VALUE(REGEXEXTRACT(TO_TEXT($F1378), V$1 &amp; ""x(\d+)"")), """")"),"")</f>
        <v/>
      </c>
      <c r="W1378" s="9"/>
      <c r="X1378" s="9"/>
      <c r="Y1378" s="9"/>
      <c r="Z1378" s="9"/>
    </row>
    <row r="1379" spans="1:26" ht="15.75" customHeight="1">
      <c r="A1379" s="9" t="s">
        <v>2447</v>
      </c>
      <c r="B1379" s="9" t="s">
        <v>2448</v>
      </c>
      <c r="C1379" s="9" t="s">
        <v>2449</v>
      </c>
      <c r="D1379" s="9" t="s">
        <v>40</v>
      </c>
      <c r="E1379" s="9" t="s">
        <v>11</v>
      </c>
      <c r="F1379" s="9" t="s">
        <v>2441</v>
      </c>
      <c r="G1379" s="9">
        <v>60</v>
      </c>
      <c r="H1379" s="9">
        <v>2</v>
      </c>
      <c r="I1379" s="9">
        <v>1.0149999999999999</v>
      </c>
      <c r="J1379" s="9">
        <v>410</v>
      </c>
      <c r="K1379" s="9" t="s">
        <v>2380</v>
      </c>
      <c r="L1379" s="9"/>
      <c r="M1379" s="9"/>
      <c r="N1379" s="9" t="str">
        <f ca="1">IFERROR(__xludf.DUMMYFUNCTION("IFERROR(VALUE(REGEXEXTRACT(TO_TEXT($F1379), N$1 &amp; ""x(\d+)"")), """")
"),"")</f>
        <v/>
      </c>
      <c r="O1379" s="9" t="str">
        <f ca="1">IFERROR(__xludf.DUMMYFUNCTION("IFERROR(VALUE(REGEXEXTRACT(TO_TEXT($F1379), O$1 &amp; ""x(\d+)"")), """")"),"")</f>
        <v/>
      </c>
      <c r="P1379" s="9" t="str">
        <f ca="1">IFERROR(__xludf.DUMMYFUNCTION("IFERROR(VALUE(REGEXEXTRACT(TO_TEXT($F1379), P$1 &amp; ""x(\d+)"")), """")"),"")</f>
        <v/>
      </c>
      <c r="Q1379" s="9" t="str">
        <f ca="1">IFERROR(__xludf.DUMMYFUNCTION("IFERROR(VALUE(REGEXEXTRACT(TO_TEXT($F1379), Q$1 &amp; ""x(\d+)"")), """")"),"")</f>
        <v/>
      </c>
      <c r="R1379" s="9" t="str">
        <f ca="1">IFERROR(__xludf.DUMMYFUNCTION("IFERROR(VALUE(REGEXEXTRACT(TO_TEXT($F1379), R$1 &amp; ""x(\d+)"")), """")"),"")</f>
        <v/>
      </c>
      <c r="S1379" s="9" t="str">
        <f ca="1">IFERROR(__xludf.DUMMYFUNCTION("IFERROR(VALUE(REGEXEXTRACT(TO_TEXT($F1379), S$1 &amp; ""x(\d+)"")), """")"),"")</f>
        <v/>
      </c>
      <c r="T1379" s="9" t="str">
        <f ca="1">IFERROR(__xludf.DUMMYFUNCTION("IFERROR(VALUE(REGEXEXTRACT(TO_TEXT($F1379), T$1 &amp; ""x(\d+)"")), """")"),"")</f>
        <v/>
      </c>
      <c r="U1379" s="9" t="str">
        <f ca="1">IFERROR(__xludf.DUMMYFUNCTION("IFERROR(VALUE(REGEXEXTRACT(TO_TEXT($F1379), U$1 &amp; ""x(\d+)"")), """")"),"")</f>
        <v/>
      </c>
      <c r="V1379" s="9" t="str">
        <f ca="1">IFERROR(__xludf.DUMMYFUNCTION("IFERROR(VALUE(REGEXEXTRACT(TO_TEXT($F1379), V$1 &amp; ""x(\d+)"")), """")"),"")</f>
        <v/>
      </c>
      <c r="W1379" s="9"/>
      <c r="X1379" s="9"/>
      <c r="Y1379" s="9"/>
      <c r="Z1379" s="9"/>
    </row>
    <row r="1380" spans="1:26" ht="15.75" customHeight="1">
      <c r="A1380" s="9" t="s">
        <v>2447</v>
      </c>
      <c r="B1380" s="9" t="s">
        <v>2448</v>
      </c>
      <c r="C1380" s="9" t="s">
        <v>2449</v>
      </c>
      <c r="D1380" s="9" t="s">
        <v>40</v>
      </c>
      <c r="E1380" s="9" t="s">
        <v>12</v>
      </c>
      <c r="F1380" s="9" t="s">
        <v>2443</v>
      </c>
      <c r="G1380" s="9">
        <v>70</v>
      </c>
      <c r="H1380" s="9">
        <v>2</v>
      </c>
      <c r="I1380" s="9">
        <v>1.0149999999999999</v>
      </c>
      <c r="J1380" s="9">
        <v>410</v>
      </c>
      <c r="K1380" s="9" t="s">
        <v>2380</v>
      </c>
      <c r="L1380" s="9" t="s">
        <v>1015</v>
      </c>
      <c r="M1380" s="9"/>
      <c r="N1380" s="9" t="str">
        <f ca="1">IFERROR(__xludf.DUMMYFUNCTION("IFERROR(VALUE(REGEXEXTRACT(TO_TEXT($F1380), N$1 &amp; ""x(\d+)"")), """")
"),"")</f>
        <v/>
      </c>
      <c r="O1380" s="9" t="str">
        <f ca="1">IFERROR(__xludf.DUMMYFUNCTION("IFERROR(VALUE(REGEXEXTRACT(TO_TEXT($F1380), O$1 &amp; ""x(\d+)"")), """")"),"")</f>
        <v/>
      </c>
      <c r="P1380" s="9" t="str">
        <f ca="1">IFERROR(__xludf.DUMMYFUNCTION("IFERROR(VALUE(REGEXEXTRACT(TO_TEXT($F1380), P$1 &amp; ""x(\d+)"")), """")"),"")</f>
        <v/>
      </c>
      <c r="Q1380" s="9" t="str">
        <f ca="1">IFERROR(__xludf.DUMMYFUNCTION("IFERROR(VALUE(REGEXEXTRACT(TO_TEXT($F1380), Q$1 &amp; ""x(\d+)"")), """")"),"")</f>
        <v/>
      </c>
      <c r="R1380" s="9" t="str">
        <f ca="1">IFERROR(__xludf.DUMMYFUNCTION("IFERROR(VALUE(REGEXEXTRACT(TO_TEXT($F1380), R$1 &amp; ""x(\d+)"")), """")"),"")</f>
        <v/>
      </c>
      <c r="S1380" s="9">
        <f ca="1">IFERROR(__xludf.DUMMYFUNCTION("IFERROR(VALUE(REGEXEXTRACT(TO_TEXT($F1380), S$1 &amp; ""x(\d+)"")), """")"),1)</f>
        <v>1</v>
      </c>
      <c r="T1380" s="9" t="str">
        <f ca="1">IFERROR(__xludf.DUMMYFUNCTION("IFERROR(VALUE(REGEXEXTRACT(TO_TEXT($F1380), T$1 &amp; ""x(\d+)"")), """")"),"")</f>
        <v/>
      </c>
      <c r="U1380" s="9" t="str">
        <f ca="1">IFERROR(__xludf.DUMMYFUNCTION("IFERROR(VALUE(REGEXEXTRACT(TO_TEXT($F1380), U$1 &amp; ""x(\d+)"")), """")"),"")</f>
        <v/>
      </c>
      <c r="V1380" s="9" t="str">
        <f ca="1">IFERROR(__xludf.DUMMYFUNCTION("IFERROR(VALUE(REGEXEXTRACT(TO_TEXT($F1380), V$1 &amp; ""x(\d+)"")), """")"),"")</f>
        <v/>
      </c>
      <c r="W1380" s="9"/>
      <c r="X1380" s="9"/>
      <c r="Y1380" s="9"/>
      <c r="Z1380" s="9"/>
    </row>
    <row r="1381" spans="1:26" ht="15.75" customHeight="1">
      <c r="A1381" s="9" t="s">
        <v>2447</v>
      </c>
      <c r="B1381" s="9" t="s">
        <v>2448</v>
      </c>
      <c r="C1381" s="9" t="s">
        <v>2449</v>
      </c>
      <c r="D1381" s="9" t="s">
        <v>40</v>
      </c>
      <c r="E1381" s="9" t="s">
        <v>13</v>
      </c>
      <c r="F1381" s="9" t="s">
        <v>1173</v>
      </c>
      <c r="G1381" s="9">
        <v>30</v>
      </c>
      <c r="H1381" s="9">
        <v>2</v>
      </c>
      <c r="I1381" s="9">
        <v>1.0149999999999999</v>
      </c>
      <c r="J1381" s="9">
        <v>410</v>
      </c>
      <c r="K1381" s="9" t="s">
        <v>2380</v>
      </c>
      <c r="L1381" s="9"/>
      <c r="M1381" s="9"/>
      <c r="N1381" s="9" t="str">
        <f ca="1">IFERROR(__xludf.DUMMYFUNCTION("IFERROR(VALUE(REGEXEXTRACT(TO_TEXT($F1381), N$1 &amp; ""x(\d+)"")), """")
"),"")</f>
        <v/>
      </c>
      <c r="O1381" s="9" t="str">
        <f ca="1">IFERROR(__xludf.DUMMYFUNCTION("IFERROR(VALUE(REGEXEXTRACT(TO_TEXT($F1381), O$1 &amp; ""x(\d+)"")), """")"),"")</f>
        <v/>
      </c>
      <c r="P1381" s="9" t="str">
        <f ca="1">IFERROR(__xludf.DUMMYFUNCTION("IFERROR(VALUE(REGEXEXTRACT(TO_TEXT($F1381), P$1 &amp; ""x(\d+)"")), """")"),"")</f>
        <v/>
      </c>
      <c r="Q1381" s="9" t="str">
        <f ca="1">IFERROR(__xludf.DUMMYFUNCTION("IFERROR(VALUE(REGEXEXTRACT(TO_TEXT($F1381), Q$1 &amp; ""x(\d+)"")), """")"),"")</f>
        <v/>
      </c>
      <c r="R1381" s="9" t="str">
        <f ca="1">IFERROR(__xludf.DUMMYFUNCTION("IFERROR(VALUE(REGEXEXTRACT(TO_TEXT($F1381), R$1 &amp; ""x(\d+)"")), """")"),"")</f>
        <v/>
      </c>
      <c r="S1381" s="9">
        <f ca="1">IFERROR(__xludf.DUMMYFUNCTION("IFERROR(VALUE(REGEXEXTRACT(TO_TEXT($F1381), S$1 &amp; ""x(\d+)"")), """")"),1)</f>
        <v>1</v>
      </c>
      <c r="T1381" s="9" t="str">
        <f ca="1">IFERROR(__xludf.DUMMYFUNCTION("IFERROR(VALUE(REGEXEXTRACT(TO_TEXT($F1381), T$1 &amp; ""x(\d+)"")), """")"),"")</f>
        <v/>
      </c>
      <c r="U1381" s="9" t="str">
        <f ca="1">IFERROR(__xludf.DUMMYFUNCTION("IFERROR(VALUE(REGEXEXTRACT(TO_TEXT($F1381), U$1 &amp; ""x(\d+)"")), """")"),"")</f>
        <v/>
      </c>
      <c r="V1381" s="9" t="str">
        <f ca="1">IFERROR(__xludf.DUMMYFUNCTION("IFERROR(VALUE(REGEXEXTRACT(TO_TEXT($F1381), V$1 &amp; ""x(\d+)"")), """")"),"")</f>
        <v/>
      </c>
      <c r="W1381" s="9"/>
      <c r="X1381" s="9"/>
      <c r="Y1381" s="9"/>
      <c r="Z1381" s="9"/>
    </row>
    <row r="1382" spans="1:26" ht="15.75" customHeight="1">
      <c r="A1382" s="9" t="s">
        <v>2450</v>
      </c>
      <c r="B1382" s="9" t="s">
        <v>2451</v>
      </c>
      <c r="C1382" s="9" t="s">
        <v>2452</v>
      </c>
      <c r="D1382" s="9" t="s">
        <v>40</v>
      </c>
      <c r="E1382" s="9" t="s">
        <v>11</v>
      </c>
      <c r="F1382" s="9" t="s">
        <v>1961</v>
      </c>
      <c r="G1382" s="9">
        <v>20</v>
      </c>
      <c r="H1382" s="9">
        <v>2</v>
      </c>
      <c r="I1382" s="9">
        <v>1.0149999999999999</v>
      </c>
      <c r="J1382" s="9">
        <v>410</v>
      </c>
      <c r="K1382" s="9" t="s">
        <v>442</v>
      </c>
      <c r="L1382" s="9"/>
      <c r="M1382" s="9"/>
      <c r="N1382" s="9" t="str">
        <f ca="1">IFERROR(__xludf.DUMMYFUNCTION("IFERROR(VALUE(REGEXEXTRACT(TO_TEXT($F1382), N$1 &amp; ""x(\d+)"")), """")
"),"")</f>
        <v/>
      </c>
      <c r="O1382" s="9" t="str">
        <f ca="1">IFERROR(__xludf.DUMMYFUNCTION("IFERROR(VALUE(REGEXEXTRACT(TO_TEXT($F1382), O$1 &amp; ""x(\d+)"")), """")"),"")</f>
        <v/>
      </c>
      <c r="P1382" s="9" t="str">
        <f ca="1">IFERROR(__xludf.DUMMYFUNCTION("IFERROR(VALUE(REGEXEXTRACT(TO_TEXT($F1382), P$1 &amp; ""x(\d+)"")), """")"),"")</f>
        <v/>
      </c>
      <c r="Q1382" s="9" t="str">
        <f ca="1">IFERROR(__xludf.DUMMYFUNCTION("IFERROR(VALUE(REGEXEXTRACT(TO_TEXT($F1382), Q$1 &amp; ""x(\d+)"")), """")"),"")</f>
        <v/>
      </c>
      <c r="R1382" s="9" t="str">
        <f ca="1">IFERROR(__xludf.DUMMYFUNCTION("IFERROR(VALUE(REGEXEXTRACT(TO_TEXT($F1382), R$1 &amp; ""x(\d+)"")), """")"),"")</f>
        <v/>
      </c>
      <c r="S1382" s="9" t="str">
        <f ca="1">IFERROR(__xludf.DUMMYFUNCTION("IFERROR(VALUE(REGEXEXTRACT(TO_TEXT($F1382), S$1 &amp; ""x(\d+)"")), """")"),"")</f>
        <v/>
      </c>
      <c r="T1382" s="9" t="str">
        <f ca="1">IFERROR(__xludf.DUMMYFUNCTION("IFERROR(VALUE(REGEXEXTRACT(TO_TEXT($F1382), T$1 &amp; ""x(\d+)"")), """")"),"")</f>
        <v/>
      </c>
      <c r="U1382" s="9" t="str">
        <f ca="1">IFERROR(__xludf.DUMMYFUNCTION("IFERROR(VALUE(REGEXEXTRACT(TO_TEXT($F1382), U$1 &amp; ""x(\d+)"")), """")"),"")</f>
        <v/>
      </c>
      <c r="V1382" s="9" t="str">
        <f ca="1">IFERROR(__xludf.DUMMYFUNCTION("IFERROR(VALUE(REGEXEXTRACT(TO_TEXT($F1382), V$1 &amp; ""x(\d+)"")), """")"),"")</f>
        <v/>
      </c>
      <c r="W1382" s="9"/>
      <c r="X1382" s="9"/>
      <c r="Y1382" s="9"/>
      <c r="Z1382" s="9"/>
    </row>
    <row r="1383" spans="1:26" ht="15.75" customHeight="1">
      <c r="A1383" s="9" t="s">
        <v>2450</v>
      </c>
      <c r="B1383" s="9" t="s">
        <v>2451</v>
      </c>
      <c r="C1383" s="9" t="s">
        <v>2452</v>
      </c>
      <c r="D1383" s="9" t="s">
        <v>40</v>
      </c>
      <c r="E1383" s="9" t="s">
        <v>12</v>
      </c>
      <c r="F1383" s="9" t="s">
        <v>2331</v>
      </c>
      <c r="G1383" s="9">
        <v>90</v>
      </c>
      <c r="H1383" s="9">
        <v>3</v>
      </c>
      <c r="I1383" s="9">
        <v>1.0149999999999999</v>
      </c>
      <c r="J1383" s="9">
        <v>410</v>
      </c>
      <c r="K1383" s="9" t="s">
        <v>442</v>
      </c>
      <c r="L1383" s="9" t="s">
        <v>1210</v>
      </c>
      <c r="M1383" s="9"/>
      <c r="N1383" s="9" t="str">
        <f ca="1">IFERROR(__xludf.DUMMYFUNCTION("IFERROR(VALUE(REGEXEXTRACT(TO_TEXT($F1383), N$1 &amp; ""x(\d+)"")), """")
"),"")</f>
        <v/>
      </c>
      <c r="O1383" s="9" t="str">
        <f ca="1">IFERROR(__xludf.DUMMYFUNCTION("IFERROR(VALUE(REGEXEXTRACT(TO_TEXT($F1383), O$1 &amp; ""x(\d+)"")), """")"),"")</f>
        <v/>
      </c>
      <c r="P1383" s="9" t="str">
        <f ca="1">IFERROR(__xludf.DUMMYFUNCTION("IFERROR(VALUE(REGEXEXTRACT(TO_TEXT($F1383), P$1 &amp; ""x(\d+)"")), """")"),"")</f>
        <v/>
      </c>
      <c r="Q1383" s="9" t="str">
        <f ca="1">IFERROR(__xludf.DUMMYFUNCTION("IFERROR(VALUE(REGEXEXTRACT(TO_TEXT($F1383), Q$1 &amp; ""x(\d+)"")), """")"),"")</f>
        <v/>
      </c>
      <c r="R1383" s="9" t="str">
        <f ca="1">IFERROR(__xludf.DUMMYFUNCTION("IFERROR(VALUE(REGEXEXTRACT(TO_TEXT($F1383), R$1 &amp; ""x(\d+)"")), """")"),"")</f>
        <v/>
      </c>
      <c r="S1383" s="9">
        <f ca="1">IFERROR(__xludf.DUMMYFUNCTION("IFERROR(VALUE(REGEXEXTRACT(TO_TEXT($F1383), S$1 &amp; ""x(\d+)"")), """")"),1)</f>
        <v>1</v>
      </c>
      <c r="T1383" s="9" t="str">
        <f ca="1">IFERROR(__xludf.DUMMYFUNCTION("IFERROR(VALUE(REGEXEXTRACT(TO_TEXT($F1383), T$1 &amp; ""x(\d+)"")), """")"),"")</f>
        <v/>
      </c>
      <c r="U1383" s="9" t="str">
        <f ca="1">IFERROR(__xludf.DUMMYFUNCTION("IFERROR(VALUE(REGEXEXTRACT(TO_TEXT($F1383), U$1 &amp; ""x(\d+)"")), """")"),"")</f>
        <v/>
      </c>
      <c r="V1383" s="9" t="str">
        <f ca="1">IFERROR(__xludf.DUMMYFUNCTION("IFERROR(VALUE(REGEXEXTRACT(TO_TEXT($F1383), V$1 &amp; ""x(\d+)"")), """")"),"")</f>
        <v/>
      </c>
      <c r="W1383" s="9"/>
      <c r="X1383" s="9"/>
      <c r="Y1383" s="9"/>
      <c r="Z1383" s="9"/>
    </row>
    <row r="1384" spans="1:26" ht="15.75" customHeight="1">
      <c r="A1384" s="9" t="s">
        <v>2450</v>
      </c>
      <c r="B1384" s="9" t="s">
        <v>2451</v>
      </c>
      <c r="C1384" s="9" t="s">
        <v>2452</v>
      </c>
      <c r="D1384" s="9" t="s">
        <v>40</v>
      </c>
      <c r="E1384" s="9" t="s">
        <v>13</v>
      </c>
      <c r="F1384" s="9" t="s">
        <v>1111</v>
      </c>
      <c r="G1384" s="9">
        <v>30</v>
      </c>
      <c r="H1384" s="9">
        <v>3</v>
      </c>
      <c r="I1384" s="9">
        <v>1.0149999999999999</v>
      </c>
      <c r="J1384" s="9">
        <v>410</v>
      </c>
      <c r="K1384" s="9" t="s">
        <v>442</v>
      </c>
      <c r="L1384" s="9"/>
      <c r="M1384" s="9"/>
      <c r="N1384" s="9" t="str">
        <f ca="1">IFERROR(__xludf.DUMMYFUNCTION("IFERROR(VALUE(REGEXEXTRACT(TO_TEXT($F1384), N$1 &amp; ""x(\d+)"")), """")
"),"")</f>
        <v/>
      </c>
      <c r="O1384" s="9" t="str">
        <f ca="1">IFERROR(__xludf.DUMMYFUNCTION("IFERROR(VALUE(REGEXEXTRACT(TO_TEXT($F1384), O$1 &amp; ""x(\d+)"")), """")"),"")</f>
        <v/>
      </c>
      <c r="P1384" s="9" t="str">
        <f ca="1">IFERROR(__xludf.DUMMYFUNCTION("IFERROR(VALUE(REGEXEXTRACT(TO_TEXT($F1384), P$1 &amp; ""x(\d+)"")), """")"),"")</f>
        <v/>
      </c>
      <c r="Q1384" s="9" t="str">
        <f ca="1">IFERROR(__xludf.DUMMYFUNCTION("IFERROR(VALUE(REGEXEXTRACT(TO_TEXT($F1384), Q$1 &amp; ""x(\d+)"")), """")"),"")</f>
        <v/>
      </c>
      <c r="R1384" s="9" t="str">
        <f ca="1">IFERROR(__xludf.DUMMYFUNCTION("IFERROR(VALUE(REGEXEXTRACT(TO_TEXT($F1384), R$1 &amp; ""x(\d+)"")), """")"),"")</f>
        <v/>
      </c>
      <c r="S1384" s="9">
        <f ca="1">IFERROR(__xludf.DUMMYFUNCTION("IFERROR(VALUE(REGEXEXTRACT(TO_TEXT($F1384), S$1 &amp; ""x(\d+)"")), """")"),1)</f>
        <v>1</v>
      </c>
      <c r="T1384" s="9" t="str">
        <f ca="1">IFERROR(__xludf.DUMMYFUNCTION("IFERROR(VALUE(REGEXEXTRACT(TO_TEXT($F1384), T$1 &amp; ""x(\d+)"")), """")"),"")</f>
        <v/>
      </c>
      <c r="U1384" s="9" t="str">
        <f ca="1">IFERROR(__xludf.DUMMYFUNCTION("IFERROR(VALUE(REGEXEXTRACT(TO_TEXT($F1384), U$1 &amp; ""x(\d+)"")), """")"),"")</f>
        <v/>
      </c>
      <c r="V1384" s="9" t="str">
        <f ca="1">IFERROR(__xludf.DUMMYFUNCTION("IFERROR(VALUE(REGEXEXTRACT(TO_TEXT($F1384), V$1 &amp; ""x(\d+)"")), """")"),"")</f>
        <v/>
      </c>
      <c r="W1384" s="9"/>
      <c r="X1384" s="9"/>
      <c r="Y1384" s="9"/>
      <c r="Z1384" s="9"/>
    </row>
    <row r="1385" spans="1:26" ht="15.75" customHeight="1">
      <c r="A1385" s="9" t="s">
        <v>2453</v>
      </c>
      <c r="B1385" s="9" t="s">
        <v>2454</v>
      </c>
      <c r="C1385" s="9" t="s">
        <v>2455</v>
      </c>
      <c r="D1385" s="9" t="s">
        <v>40</v>
      </c>
      <c r="E1385" s="9" t="s">
        <v>11</v>
      </c>
      <c r="F1385" s="9" t="s">
        <v>1961</v>
      </c>
      <c r="G1385" s="9">
        <v>20</v>
      </c>
      <c r="H1385" s="9">
        <v>3</v>
      </c>
      <c r="I1385" s="9">
        <v>1.0149999999999999</v>
      </c>
      <c r="J1385" s="9">
        <v>410</v>
      </c>
      <c r="K1385" s="9" t="s">
        <v>442</v>
      </c>
      <c r="L1385" s="9"/>
      <c r="M1385" s="9"/>
      <c r="N1385" s="9" t="str">
        <f ca="1">IFERROR(__xludf.DUMMYFUNCTION("IFERROR(VALUE(REGEXEXTRACT(TO_TEXT($F1385), N$1 &amp; ""x(\d+)"")), """")
"),"")</f>
        <v/>
      </c>
      <c r="O1385" s="9" t="str">
        <f ca="1">IFERROR(__xludf.DUMMYFUNCTION("IFERROR(VALUE(REGEXEXTRACT(TO_TEXT($F1385), O$1 &amp; ""x(\d+)"")), """")"),"")</f>
        <v/>
      </c>
      <c r="P1385" s="9" t="str">
        <f ca="1">IFERROR(__xludf.DUMMYFUNCTION("IFERROR(VALUE(REGEXEXTRACT(TO_TEXT($F1385), P$1 &amp; ""x(\d+)"")), """")"),"")</f>
        <v/>
      </c>
      <c r="Q1385" s="9" t="str">
        <f ca="1">IFERROR(__xludf.DUMMYFUNCTION("IFERROR(VALUE(REGEXEXTRACT(TO_TEXT($F1385), Q$1 &amp; ""x(\d+)"")), """")"),"")</f>
        <v/>
      </c>
      <c r="R1385" s="9" t="str">
        <f ca="1">IFERROR(__xludf.DUMMYFUNCTION("IFERROR(VALUE(REGEXEXTRACT(TO_TEXT($F1385), R$1 &amp; ""x(\d+)"")), """")"),"")</f>
        <v/>
      </c>
      <c r="S1385" s="9" t="str">
        <f ca="1">IFERROR(__xludf.DUMMYFUNCTION("IFERROR(VALUE(REGEXEXTRACT(TO_TEXT($F1385), S$1 &amp; ""x(\d+)"")), """")"),"")</f>
        <v/>
      </c>
      <c r="T1385" s="9" t="str">
        <f ca="1">IFERROR(__xludf.DUMMYFUNCTION("IFERROR(VALUE(REGEXEXTRACT(TO_TEXT($F1385), T$1 &amp; ""x(\d+)"")), """")"),"")</f>
        <v/>
      </c>
      <c r="U1385" s="9" t="str">
        <f ca="1">IFERROR(__xludf.DUMMYFUNCTION("IFERROR(VALUE(REGEXEXTRACT(TO_TEXT($F1385), U$1 &amp; ""x(\d+)"")), """")"),"")</f>
        <v/>
      </c>
      <c r="V1385" s="9" t="str">
        <f ca="1">IFERROR(__xludf.DUMMYFUNCTION("IFERROR(VALUE(REGEXEXTRACT(TO_TEXT($F1385), V$1 &amp; ""x(\d+)"")), """")"),"")</f>
        <v/>
      </c>
      <c r="W1385" s="9"/>
      <c r="X1385" s="9"/>
      <c r="Y1385" s="9"/>
      <c r="Z1385" s="9"/>
    </row>
    <row r="1386" spans="1:26" ht="15.75" customHeight="1">
      <c r="A1386" s="9" t="s">
        <v>2453</v>
      </c>
      <c r="B1386" s="9" t="s">
        <v>2454</v>
      </c>
      <c r="C1386" s="9" t="s">
        <v>2455</v>
      </c>
      <c r="D1386" s="9" t="s">
        <v>40</v>
      </c>
      <c r="E1386" s="9" t="s">
        <v>12</v>
      </c>
      <c r="F1386" s="9" t="s">
        <v>2331</v>
      </c>
      <c r="G1386" s="9">
        <v>90</v>
      </c>
      <c r="H1386" s="9">
        <v>3</v>
      </c>
      <c r="I1386" s="9">
        <v>1.0149999999999999</v>
      </c>
      <c r="J1386" s="9">
        <v>410</v>
      </c>
      <c r="K1386" s="9" t="s">
        <v>442</v>
      </c>
      <c r="L1386" s="9" t="s">
        <v>1210</v>
      </c>
      <c r="M1386" s="9"/>
      <c r="N1386" s="9" t="str">
        <f ca="1">IFERROR(__xludf.DUMMYFUNCTION("IFERROR(VALUE(REGEXEXTRACT(TO_TEXT($F1386), N$1 &amp; ""x(\d+)"")), """")
"),"")</f>
        <v/>
      </c>
      <c r="O1386" s="9" t="str">
        <f ca="1">IFERROR(__xludf.DUMMYFUNCTION("IFERROR(VALUE(REGEXEXTRACT(TO_TEXT($F1386), O$1 &amp; ""x(\d+)"")), """")"),"")</f>
        <v/>
      </c>
      <c r="P1386" s="9" t="str">
        <f ca="1">IFERROR(__xludf.DUMMYFUNCTION("IFERROR(VALUE(REGEXEXTRACT(TO_TEXT($F1386), P$1 &amp; ""x(\d+)"")), """")"),"")</f>
        <v/>
      </c>
      <c r="Q1386" s="9" t="str">
        <f ca="1">IFERROR(__xludf.DUMMYFUNCTION("IFERROR(VALUE(REGEXEXTRACT(TO_TEXT($F1386), Q$1 &amp; ""x(\d+)"")), """")"),"")</f>
        <v/>
      </c>
      <c r="R1386" s="9" t="str">
        <f ca="1">IFERROR(__xludf.DUMMYFUNCTION("IFERROR(VALUE(REGEXEXTRACT(TO_TEXT($F1386), R$1 &amp; ""x(\d+)"")), """")"),"")</f>
        <v/>
      </c>
      <c r="S1386" s="9">
        <f ca="1">IFERROR(__xludf.DUMMYFUNCTION("IFERROR(VALUE(REGEXEXTRACT(TO_TEXT($F1386), S$1 &amp; ""x(\d+)"")), """")"),1)</f>
        <v>1</v>
      </c>
      <c r="T1386" s="9" t="str">
        <f ca="1">IFERROR(__xludf.DUMMYFUNCTION("IFERROR(VALUE(REGEXEXTRACT(TO_TEXT($F1386), T$1 &amp; ""x(\d+)"")), """")"),"")</f>
        <v/>
      </c>
      <c r="U1386" s="9" t="str">
        <f ca="1">IFERROR(__xludf.DUMMYFUNCTION("IFERROR(VALUE(REGEXEXTRACT(TO_TEXT($F1386), U$1 &amp; ""x(\d+)"")), """")"),"")</f>
        <v/>
      </c>
      <c r="V1386" s="9" t="str">
        <f ca="1">IFERROR(__xludf.DUMMYFUNCTION("IFERROR(VALUE(REGEXEXTRACT(TO_TEXT($F1386), V$1 &amp; ""x(\d+)"")), """")"),"")</f>
        <v/>
      </c>
      <c r="W1386" s="9"/>
      <c r="X1386" s="9"/>
      <c r="Y1386" s="9"/>
      <c r="Z1386" s="9"/>
    </row>
    <row r="1387" spans="1:26" ht="15.75" customHeight="1">
      <c r="A1387" s="9" t="s">
        <v>2453</v>
      </c>
      <c r="B1387" s="9" t="s">
        <v>2454</v>
      </c>
      <c r="C1387" s="9" t="s">
        <v>2455</v>
      </c>
      <c r="D1387" s="9" t="s">
        <v>40</v>
      </c>
      <c r="E1387" s="9" t="s">
        <v>13</v>
      </c>
      <c r="F1387" s="9" t="s">
        <v>1111</v>
      </c>
      <c r="G1387" s="9">
        <v>30</v>
      </c>
      <c r="H1387" s="9">
        <v>3</v>
      </c>
      <c r="I1387" s="9">
        <v>1.0149999999999999</v>
      </c>
      <c r="J1387" s="9">
        <v>410</v>
      </c>
      <c r="K1387" s="9" t="s">
        <v>442</v>
      </c>
      <c r="L1387" s="9"/>
      <c r="M1387" s="9"/>
      <c r="N1387" s="9" t="str">
        <f ca="1">IFERROR(__xludf.DUMMYFUNCTION("IFERROR(VALUE(REGEXEXTRACT(TO_TEXT($F1387), N$1 &amp; ""x(\d+)"")), """")
"),"")</f>
        <v/>
      </c>
      <c r="O1387" s="9" t="str">
        <f ca="1">IFERROR(__xludf.DUMMYFUNCTION("IFERROR(VALUE(REGEXEXTRACT(TO_TEXT($F1387), O$1 &amp; ""x(\d+)"")), """")"),"")</f>
        <v/>
      </c>
      <c r="P1387" s="9" t="str">
        <f ca="1">IFERROR(__xludf.DUMMYFUNCTION("IFERROR(VALUE(REGEXEXTRACT(TO_TEXT($F1387), P$1 &amp; ""x(\d+)"")), """")"),"")</f>
        <v/>
      </c>
      <c r="Q1387" s="9" t="str">
        <f ca="1">IFERROR(__xludf.DUMMYFUNCTION("IFERROR(VALUE(REGEXEXTRACT(TO_TEXT($F1387), Q$1 &amp; ""x(\d+)"")), """")"),"")</f>
        <v/>
      </c>
      <c r="R1387" s="9" t="str">
        <f ca="1">IFERROR(__xludf.DUMMYFUNCTION("IFERROR(VALUE(REGEXEXTRACT(TO_TEXT($F1387), R$1 &amp; ""x(\d+)"")), """")"),"")</f>
        <v/>
      </c>
      <c r="S1387" s="9">
        <f ca="1">IFERROR(__xludf.DUMMYFUNCTION("IFERROR(VALUE(REGEXEXTRACT(TO_TEXT($F1387), S$1 &amp; ""x(\d+)"")), """")"),1)</f>
        <v>1</v>
      </c>
      <c r="T1387" s="9" t="str">
        <f ca="1">IFERROR(__xludf.DUMMYFUNCTION("IFERROR(VALUE(REGEXEXTRACT(TO_TEXT($F1387), T$1 &amp; ""x(\d+)"")), """")"),"")</f>
        <v/>
      </c>
      <c r="U1387" s="9" t="str">
        <f ca="1">IFERROR(__xludf.DUMMYFUNCTION("IFERROR(VALUE(REGEXEXTRACT(TO_TEXT($F1387), U$1 &amp; ""x(\d+)"")), """")"),"")</f>
        <v/>
      </c>
      <c r="V1387" s="9" t="str">
        <f ca="1">IFERROR(__xludf.DUMMYFUNCTION("IFERROR(VALUE(REGEXEXTRACT(TO_TEXT($F1387), V$1 &amp; ""x(\d+)"")), """")"),"")</f>
        <v/>
      </c>
      <c r="W1387" s="9"/>
      <c r="X1387" s="9"/>
      <c r="Y1387" s="9"/>
      <c r="Z1387" s="9"/>
    </row>
    <row r="1388" spans="1:26" ht="15.75" customHeight="1">
      <c r="A1388" s="9" t="s">
        <v>2456</v>
      </c>
      <c r="B1388" s="9" t="s">
        <v>2457</v>
      </c>
      <c r="C1388" s="9" t="s">
        <v>2458</v>
      </c>
      <c r="D1388" s="9" t="s">
        <v>48</v>
      </c>
      <c r="E1388" s="9" t="s">
        <v>11</v>
      </c>
      <c r="F1388" s="9" t="s">
        <v>1204</v>
      </c>
      <c r="G1388" s="9">
        <v>25</v>
      </c>
      <c r="H1388" s="9">
        <v>3</v>
      </c>
      <c r="I1388" s="9">
        <v>1.0149999999999999</v>
      </c>
      <c r="J1388" s="9">
        <v>52</v>
      </c>
      <c r="K1388" s="9" t="s">
        <v>424</v>
      </c>
      <c r="L1388" s="9"/>
      <c r="M1388" s="9"/>
      <c r="N1388" s="9" t="str">
        <f ca="1">IFERROR(__xludf.DUMMYFUNCTION("IFERROR(VALUE(REGEXEXTRACT(TO_TEXT($F1388), N$1 &amp; ""x(\d+)"")), """")
"),"")</f>
        <v/>
      </c>
      <c r="O1388" s="9" t="str">
        <f ca="1">IFERROR(__xludf.DUMMYFUNCTION("IFERROR(VALUE(REGEXEXTRACT(TO_TEXT($F1388), O$1 &amp; ""x(\d+)"")), """")"),"")</f>
        <v/>
      </c>
      <c r="P1388" s="9" t="str">
        <f ca="1">IFERROR(__xludf.DUMMYFUNCTION("IFERROR(VALUE(REGEXEXTRACT(TO_TEXT($F1388), P$1 &amp; ""x(\d+)"")), """")"),"")</f>
        <v/>
      </c>
      <c r="Q1388" s="9" t="str">
        <f ca="1">IFERROR(__xludf.DUMMYFUNCTION("IFERROR(VALUE(REGEXEXTRACT(TO_TEXT($F1388), Q$1 &amp; ""x(\d+)"")), """")"),"")</f>
        <v/>
      </c>
      <c r="R1388" s="9" t="str">
        <f ca="1">IFERROR(__xludf.DUMMYFUNCTION("IFERROR(VALUE(REGEXEXTRACT(TO_TEXT($F1388), R$1 &amp; ""x(\d+)"")), """")"),"")</f>
        <v/>
      </c>
      <c r="S1388" s="9" t="str">
        <f ca="1">IFERROR(__xludf.DUMMYFUNCTION("IFERROR(VALUE(REGEXEXTRACT(TO_TEXT($F1388), S$1 &amp; ""x(\d+)"")), """")"),"")</f>
        <v/>
      </c>
      <c r="T1388" s="9" t="str">
        <f ca="1">IFERROR(__xludf.DUMMYFUNCTION("IFERROR(VALUE(REGEXEXTRACT(TO_TEXT($F1388), T$1 &amp; ""x(\d+)"")), """")"),"")</f>
        <v/>
      </c>
      <c r="U1388" s="9" t="str">
        <f ca="1">IFERROR(__xludf.DUMMYFUNCTION("IFERROR(VALUE(REGEXEXTRACT(TO_TEXT($F1388), U$1 &amp; ""x(\d+)"")), """")"),"")</f>
        <v/>
      </c>
      <c r="V1388" s="9" t="str">
        <f ca="1">IFERROR(__xludf.DUMMYFUNCTION("IFERROR(VALUE(REGEXEXTRACT(TO_TEXT($F1388), V$1 &amp; ""x(\d+)"")), """")"),"")</f>
        <v/>
      </c>
      <c r="W1388" s="9"/>
      <c r="X1388" s="9"/>
      <c r="Y1388" s="9"/>
      <c r="Z1388" s="9"/>
    </row>
    <row r="1389" spans="1:26" ht="15.75" customHeight="1">
      <c r="A1389" s="9" t="s">
        <v>2456</v>
      </c>
      <c r="B1389" s="9" t="s">
        <v>2457</v>
      </c>
      <c r="C1389" s="9" t="s">
        <v>2458</v>
      </c>
      <c r="D1389" s="9" t="s">
        <v>48</v>
      </c>
      <c r="E1389" s="9" t="s">
        <v>12</v>
      </c>
      <c r="F1389" s="9" t="s">
        <v>2359</v>
      </c>
      <c r="G1389" s="9">
        <v>125</v>
      </c>
      <c r="H1389" s="9">
        <v>3</v>
      </c>
      <c r="I1389" s="9">
        <v>1.0149999999999999</v>
      </c>
      <c r="J1389" s="9">
        <v>52</v>
      </c>
      <c r="K1389" s="9" t="s">
        <v>424</v>
      </c>
      <c r="L1389" s="9"/>
      <c r="M1389" s="9"/>
      <c r="N1389" s="9" t="str">
        <f ca="1">IFERROR(__xludf.DUMMYFUNCTION("IFERROR(VALUE(REGEXEXTRACT(TO_TEXT($F1389), N$1 &amp; ""x(\d+)"")), """")
"),"")</f>
        <v/>
      </c>
      <c r="O1389" s="9" t="str">
        <f ca="1">IFERROR(__xludf.DUMMYFUNCTION("IFERROR(VALUE(REGEXEXTRACT(TO_TEXT($F1389), O$1 &amp; ""x(\d+)"")), """")"),"")</f>
        <v/>
      </c>
      <c r="P1389" s="9">
        <f ca="1">IFERROR(__xludf.DUMMYFUNCTION("IFERROR(VALUE(REGEXEXTRACT(TO_TEXT($F1389), P$1 &amp; ""x(\d+)"")), """")"),1)</f>
        <v>1</v>
      </c>
      <c r="Q1389" s="9" t="str">
        <f ca="1">IFERROR(__xludf.DUMMYFUNCTION("IFERROR(VALUE(REGEXEXTRACT(TO_TEXT($F1389), Q$1 &amp; ""x(\d+)"")), """")"),"")</f>
        <v/>
      </c>
      <c r="R1389" s="9">
        <f ca="1">IFERROR(__xludf.DUMMYFUNCTION("IFERROR(VALUE(REGEXEXTRACT(TO_TEXT($F1389), R$1 &amp; ""x(\d+)"")), """")"),1)</f>
        <v>1</v>
      </c>
      <c r="S1389" s="9" t="str">
        <f ca="1">IFERROR(__xludf.DUMMYFUNCTION("IFERROR(VALUE(REGEXEXTRACT(TO_TEXT($F1389), S$1 &amp; ""x(\d+)"")), """")"),"")</f>
        <v/>
      </c>
      <c r="T1389" s="9">
        <f ca="1">IFERROR(__xludf.DUMMYFUNCTION("IFERROR(VALUE(REGEXEXTRACT(TO_TEXT($F1389), T$1 &amp; ""x(\d+)"")), """")"),1)</f>
        <v>1</v>
      </c>
      <c r="U1389" s="9" t="str">
        <f ca="1">IFERROR(__xludf.DUMMYFUNCTION("IFERROR(VALUE(REGEXEXTRACT(TO_TEXT($F1389), U$1 &amp; ""x(\d+)"")), """")"),"")</f>
        <v/>
      </c>
      <c r="V1389" s="9" t="str">
        <f ca="1">IFERROR(__xludf.DUMMYFUNCTION("IFERROR(VALUE(REGEXEXTRACT(TO_TEXT($F1389), V$1 &amp; ""x(\d+)"")), """")"),"")</f>
        <v/>
      </c>
      <c r="W1389" s="9"/>
      <c r="X1389" s="9"/>
      <c r="Y1389" s="9"/>
      <c r="Z1389" s="9"/>
    </row>
    <row r="1390" spans="1:26" ht="15.75" customHeight="1">
      <c r="A1390" s="9" t="s">
        <v>2456</v>
      </c>
      <c r="B1390" s="9" t="s">
        <v>2457</v>
      </c>
      <c r="C1390" s="9" t="s">
        <v>2458</v>
      </c>
      <c r="D1390" s="9" t="s">
        <v>48</v>
      </c>
      <c r="E1390" s="9" t="s">
        <v>13</v>
      </c>
      <c r="F1390" s="9" t="s">
        <v>2360</v>
      </c>
      <c r="G1390" s="9">
        <v>40</v>
      </c>
      <c r="H1390" s="9">
        <v>3</v>
      </c>
      <c r="I1390" s="9">
        <v>1.0149999999999999</v>
      </c>
      <c r="J1390" s="9">
        <v>52</v>
      </c>
      <c r="K1390" s="9" t="s">
        <v>424</v>
      </c>
      <c r="L1390" s="9"/>
      <c r="M1390" s="9"/>
      <c r="N1390" s="9" t="str">
        <f ca="1">IFERROR(__xludf.DUMMYFUNCTION("IFERROR(VALUE(REGEXEXTRACT(TO_TEXT($F1390), N$1 &amp; ""x(\d+)"")), """")
"),"")</f>
        <v/>
      </c>
      <c r="O1390" s="9" t="str">
        <f ca="1">IFERROR(__xludf.DUMMYFUNCTION("IFERROR(VALUE(REGEXEXTRACT(TO_TEXT($F1390), O$1 &amp; ""x(\d+)"")), """")"),"")</f>
        <v/>
      </c>
      <c r="P1390" s="9">
        <f ca="1">IFERROR(__xludf.DUMMYFUNCTION("IFERROR(VALUE(REGEXEXTRACT(TO_TEXT($F1390), P$1 &amp; ""x(\d+)"")), """")"),1)</f>
        <v>1</v>
      </c>
      <c r="Q1390" s="9" t="str">
        <f ca="1">IFERROR(__xludf.DUMMYFUNCTION("IFERROR(VALUE(REGEXEXTRACT(TO_TEXT($F1390), Q$1 &amp; ""x(\d+)"")), """")"),"")</f>
        <v/>
      </c>
      <c r="R1390" s="9" t="str">
        <f ca="1">IFERROR(__xludf.DUMMYFUNCTION("IFERROR(VALUE(REGEXEXTRACT(TO_TEXT($F1390), R$1 &amp; ""x(\d+)"")), """")"),"")</f>
        <v/>
      </c>
      <c r="S1390" s="9" t="str">
        <f ca="1">IFERROR(__xludf.DUMMYFUNCTION("IFERROR(VALUE(REGEXEXTRACT(TO_TEXT($F1390), S$1 &amp; ""x(\d+)"")), """")"),"")</f>
        <v/>
      </c>
      <c r="T1390" s="9" t="str">
        <f ca="1">IFERROR(__xludf.DUMMYFUNCTION("IFERROR(VALUE(REGEXEXTRACT(TO_TEXT($F1390), T$1 &amp; ""x(\d+)"")), """")"),"")</f>
        <v/>
      </c>
      <c r="U1390" s="9" t="str">
        <f ca="1">IFERROR(__xludf.DUMMYFUNCTION("IFERROR(VALUE(REGEXEXTRACT(TO_TEXT($F1390), U$1 &amp; ""x(\d+)"")), """")"),"")</f>
        <v/>
      </c>
      <c r="V1390" s="9" t="str">
        <f ca="1">IFERROR(__xludf.DUMMYFUNCTION("IFERROR(VALUE(REGEXEXTRACT(TO_TEXT($F1390), V$1 &amp; ""x(\d+)"")), """")"),"")</f>
        <v/>
      </c>
      <c r="W1390" s="9"/>
      <c r="X1390" s="9"/>
      <c r="Y1390" s="9"/>
      <c r="Z1390" s="9"/>
    </row>
    <row r="1391" spans="1:26" ht="15.75" customHeight="1">
      <c r="A1391" s="9" t="s">
        <v>2459</v>
      </c>
      <c r="B1391" s="9" t="s">
        <v>2460</v>
      </c>
      <c r="C1391" s="9" t="s">
        <v>2461</v>
      </c>
      <c r="D1391" s="9" t="s">
        <v>74</v>
      </c>
      <c r="E1391" s="9" t="s">
        <v>11</v>
      </c>
      <c r="F1391" s="9" t="s">
        <v>2462</v>
      </c>
      <c r="G1391" s="9">
        <v>25</v>
      </c>
      <c r="H1391" s="9">
        <v>3</v>
      </c>
      <c r="I1391" s="9">
        <v>1.0149999999999999</v>
      </c>
      <c r="J1391" s="9">
        <v>103</v>
      </c>
      <c r="K1391" s="9" t="s">
        <v>424</v>
      </c>
      <c r="L1391" s="9"/>
      <c r="M1391" s="9"/>
      <c r="N1391" s="9" t="str">
        <f ca="1">IFERROR(__xludf.DUMMYFUNCTION("IFERROR(VALUE(REGEXEXTRACT(TO_TEXT($F1391), N$1 &amp; ""x(\d+)"")), """")
"),"")</f>
        <v/>
      </c>
      <c r="O1391" s="9" t="str">
        <f ca="1">IFERROR(__xludf.DUMMYFUNCTION("IFERROR(VALUE(REGEXEXTRACT(TO_TEXT($F1391), O$1 &amp; ""x(\d+)"")), """")"),"")</f>
        <v/>
      </c>
      <c r="P1391" s="9" t="str">
        <f ca="1">IFERROR(__xludf.DUMMYFUNCTION("IFERROR(VALUE(REGEXEXTRACT(TO_TEXT($F1391), P$1 &amp; ""x(\d+)"")), """")"),"")</f>
        <v/>
      </c>
      <c r="Q1391" s="9" t="str">
        <f ca="1">IFERROR(__xludf.DUMMYFUNCTION("IFERROR(VALUE(REGEXEXTRACT(TO_TEXT($F1391), Q$1 &amp; ""x(\d+)"")), """")"),"")</f>
        <v/>
      </c>
      <c r="R1391" s="9" t="str">
        <f ca="1">IFERROR(__xludf.DUMMYFUNCTION("IFERROR(VALUE(REGEXEXTRACT(TO_TEXT($F1391), R$1 &amp; ""x(\d+)"")), """")"),"")</f>
        <v/>
      </c>
      <c r="S1391" s="9" t="str">
        <f ca="1">IFERROR(__xludf.DUMMYFUNCTION("IFERROR(VALUE(REGEXEXTRACT(TO_TEXT($F1391), S$1 &amp; ""x(\d+)"")), """")"),"")</f>
        <v/>
      </c>
      <c r="T1391" s="9" t="str">
        <f ca="1">IFERROR(__xludf.DUMMYFUNCTION("IFERROR(VALUE(REGEXEXTRACT(TO_TEXT($F1391), T$1 &amp; ""x(\d+)"")), """")"),"")</f>
        <v/>
      </c>
      <c r="U1391" s="9" t="str">
        <f ca="1">IFERROR(__xludf.DUMMYFUNCTION("IFERROR(VALUE(REGEXEXTRACT(TO_TEXT($F1391), U$1 &amp; ""x(\d+)"")), """")"),"")</f>
        <v/>
      </c>
      <c r="V1391" s="9" t="str">
        <f ca="1">IFERROR(__xludf.DUMMYFUNCTION("IFERROR(VALUE(REGEXEXTRACT(TO_TEXT($F1391), V$1 &amp; ""x(\d+)"")), """")"),"")</f>
        <v/>
      </c>
      <c r="W1391" s="9"/>
      <c r="X1391" s="9"/>
      <c r="Y1391" s="9"/>
      <c r="Z1391" s="9"/>
    </row>
    <row r="1392" spans="1:26" ht="15.75" customHeight="1">
      <c r="A1392" s="9" t="s">
        <v>2459</v>
      </c>
      <c r="B1392" s="9" t="s">
        <v>2460</v>
      </c>
      <c r="C1392" s="9" t="s">
        <v>2461</v>
      </c>
      <c r="D1392" s="9" t="s">
        <v>74</v>
      </c>
      <c r="E1392" s="9" t="s">
        <v>12</v>
      </c>
      <c r="F1392" s="9" t="s">
        <v>2463</v>
      </c>
      <c r="G1392" s="9">
        <v>140</v>
      </c>
      <c r="H1392" s="9">
        <v>3</v>
      </c>
      <c r="I1392" s="9">
        <v>1.0149999999999999</v>
      </c>
      <c r="J1392" s="9">
        <v>103</v>
      </c>
      <c r="K1392" s="9" t="s">
        <v>424</v>
      </c>
      <c r="L1392" s="9" t="s">
        <v>1015</v>
      </c>
      <c r="M1392" s="9"/>
      <c r="N1392" s="9" t="str">
        <f ca="1">IFERROR(__xludf.DUMMYFUNCTION("IFERROR(VALUE(REGEXEXTRACT(TO_TEXT($F1392), N$1 &amp; ""x(\d+)"")), """")
"),"")</f>
        <v/>
      </c>
      <c r="O1392" s="9" t="str">
        <f ca="1">IFERROR(__xludf.DUMMYFUNCTION("IFERROR(VALUE(REGEXEXTRACT(TO_TEXT($F1392), O$1 &amp; ""x(\d+)"")), """")"),"")</f>
        <v/>
      </c>
      <c r="P1392" s="9" t="str">
        <f ca="1">IFERROR(__xludf.DUMMYFUNCTION("IFERROR(VALUE(REGEXEXTRACT(TO_TEXT($F1392), P$1 &amp; ""x(\d+)"")), """")"),"")</f>
        <v/>
      </c>
      <c r="Q1392" s="9">
        <f ca="1">IFERROR(__xludf.DUMMYFUNCTION("IFERROR(VALUE(REGEXEXTRACT(TO_TEXT($F1392), Q$1 &amp; ""x(\d+)"")), """")"),1)</f>
        <v>1</v>
      </c>
      <c r="R1392" s="9" t="str">
        <f ca="1">IFERROR(__xludf.DUMMYFUNCTION("IFERROR(VALUE(REGEXEXTRACT(TO_TEXT($F1392), R$1 &amp; ""x(\d+)"")), """")"),"")</f>
        <v/>
      </c>
      <c r="S1392" s="9" t="str">
        <f ca="1">IFERROR(__xludf.DUMMYFUNCTION("IFERROR(VALUE(REGEXEXTRACT(TO_TEXT($F1392), S$1 &amp; ""x(\d+)"")), """")"),"")</f>
        <v/>
      </c>
      <c r="T1392" s="9" t="str">
        <f ca="1">IFERROR(__xludf.DUMMYFUNCTION("IFERROR(VALUE(REGEXEXTRACT(TO_TEXT($F1392), T$1 &amp; ""x(\d+)"")), """")"),"")</f>
        <v/>
      </c>
      <c r="U1392" s="9" t="str">
        <f ca="1">IFERROR(__xludf.DUMMYFUNCTION("IFERROR(VALUE(REGEXEXTRACT(TO_TEXT($F1392), U$1 &amp; ""x(\d+)"")), """")"),"")</f>
        <v/>
      </c>
      <c r="V1392" s="9" t="str">
        <f ca="1">IFERROR(__xludf.DUMMYFUNCTION("IFERROR(VALUE(REGEXEXTRACT(TO_TEXT($F1392), V$1 &amp; ""x(\d+)"")), """")"),"")</f>
        <v/>
      </c>
      <c r="W1392" s="9"/>
      <c r="X1392" s="9"/>
      <c r="Y1392" s="9"/>
      <c r="Z1392" s="9"/>
    </row>
    <row r="1393" spans="1:26" ht="15.75" customHeight="1">
      <c r="A1393" s="9" t="s">
        <v>2459</v>
      </c>
      <c r="B1393" s="9" t="s">
        <v>2460</v>
      </c>
      <c r="C1393" s="9" t="s">
        <v>2461</v>
      </c>
      <c r="D1393" s="9" t="s">
        <v>74</v>
      </c>
      <c r="E1393" s="9" t="s">
        <v>13</v>
      </c>
      <c r="F1393" s="9" t="s">
        <v>1233</v>
      </c>
      <c r="G1393" s="9">
        <v>40</v>
      </c>
      <c r="H1393" s="9">
        <v>3</v>
      </c>
      <c r="I1393" s="9">
        <v>1.0149999999999999</v>
      </c>
      <c r="J1393" s="9">
        <v>103</v>
      </c>
      <c r="K1393" s="9" t="s">
        <v>424</v>
      </c>
      <c r="L1393" s="9"/>
      <c r="M1393" s="9"/>
      <c r="N1393" s="9" t="str">
        <f ca="1">IFERROR(__xludf.DUMMYFUNCTION("IFERROR(VALUE(REGEXEXTRACT(TO_TEXT($F1393), N$1 &amp; ""x(\d+)"")), """")
"),"")</f>
        <v/>
      </c>
      <c r="O1393" s="9" t="str">
        <f ca="1">IFERROR(__xludf.DUMMYFUNCTION("IFERROR(VALUE(REGEXEXTRACT(TO_TEXT($F1393), O$1 &amp; ""x(\d+)"")), """")"),"")</f>
        <v/>
      </c>
      <c r="P1393" s="9" t="str">
        <f ca="1">IFERROR(__xludf.DUMMYFUNCTION("IFERROR(VALUE(REGEXEXTRACT(TO_TEXT($F1393), P$1 &amp; ""x(\d+)"")), """")"),"")</f>
        <v/>
      </c>
      <c r="Q1393" s="9">
        <f ca="1">IFERROR(__xludf.DUMMYFUNCTION("IFERROR(VALUE(REGEXEXTRACT(TO_TEXT($F1393), Q$1 &amp; ""x(\d+)"")), """")"),1)</f>
        <v>1</v>
      </c>
      <c r="R1393" s="9" t="str">
        <f ca="1">IFERROR(__xludf.DUMMYFUNCTION("IFERROR(VALUE(REGEXEXTRACT(TO_TEXT($F1393), R$1 &amp; ""x(\d+)"")), """")"),"")</f>
        <v/>
      </c>
      <c r="S1393" s="9" t="str">
        <f ca="1">IFERROR(__xludf.DUMMYFUNCTION("IFERROR(VALUE(REGEXEXTRACT(TO_TEXT($F1393), S$1 &amp; ""x(\d+)"")), """")"),"")</f>
        <v/>
      </c>
      <c r="T1393" s="9" t="str">
        <f ca="1">IFERROR(__xludf.DUMMYFUNCTION("IFERROR(VALUE(REGEXEXTRACT(TO_TEXT($F1393), T$1 &amp; ""x(\d+)"")), """")"),"")</f>
        <v/>
      </c>
      <c r="U1393" s="9" t="str">
        <f ca="1">IFERROR(__xludf.DUMMYFUNCTION("IFERROR(VALUE(REGEXEXTRACT(TO_TEXT($F1393), U$1 &amp; ""x(\d+)"")), """")"),"")</f>
        <v/>
      </c>
      <c r="V1393" s="9" t="str">
        <f ca="1">IFERROR(__xludf.DUMMYFUNCTION("IFERROR(VALUE(REGEXEXTRACT(TO_TEXT($F1393), V$1 &amp; ""x(\d+)"")), """")"),"")</f>
        <v/>
      </c>
      <c r="W1393" s="9"/>
      <c r="X1393" s="9"/>
      <c r="Y1393" s="9"/>
      <c r="Z1393" s="9"/>
    </row>
    <row r="1394" spans="1:26" ht="15.75" customHeight="1">
      <c r="A1394" s="9" t="s">
        <v>2459</v>
      </c>
      <c r="B1394" s="9" t="s">
        <v>2460</v>
      </c>
      <c r="C1394" s="9" t="s">
        <v>2461</v>
      </c>
      <c r="D1394" s="9" t="s">
        <v>48</v>
      </c>
      <c r="E1394" s="9" t="s">
        <v>11</v>
      </c>
      <c r="F1394" s="9" t="s">
        <v>1319</v>
      </c>
      <c r="G1394" s="9">
        <v>25</v>
      </c>
      <c r="H1394" s="9">
        <v>5</v>
      </c>
      <c r="I1394" s="9">
        <v>1.0149999999999999</v>
      </c>
      <c r="J1394" s="9">
        <v>52</v>
      </c>
      <c r="K1394" s="9" t="s">
        <v>424</v>
      </c>
      <c r="L1394" s="9"/>
      <c r="M1394" s="9"/>
      <c r="N1394" s="9" t="str">
        <f ca="1">IFERROR(__xludf.DUMMYFUNCTION("IFERROR(VALUE(REGEXEXTRACT(TO_TEXT($F1394), N$1 &amp; ""x(\d+)"")), """")
"),"")</f>
        <v/>
      </c>
      <c r="O1394" s="9" t="str">
        <f ca="1">IFERROR(__xludf.DUMMYFUNCTION("IFERROR(VALUE(REGEXEXTRACT(TO_TEXT($F1394), O$1 &amp; ""x(\d+)"")), """")"),"")</f>
        <v/>
      </c>
      <c r="P1394" s="9" t="str">
        <f ca="1">IFERROR(__xludf.DUMMYFUNCTION("IFERROR(VALUE(REGEXEXTRACT(TO_TEXT($F1394), P$1 &amp; ""x(\d+)"")), """")"),"")</f>
        <v/>
      </c>
      <c r="Q1394" s="9" t="str">
        <f ca="1">IFERROR(__xludf.DUMMYFUNCTION("IFERROR(VALUE(REGEXEXTRACT(TO_TEXT($F1394), Q$1 &amp; ""x(\d+)"")), """")"),"")</f>
        <v/>
      </c>
      <c r="R1394" s="9" t="str">
        <f ca="1">IFERROR(__xludf.DUMMYFUNCTION("IFERROR(VALUE(REGEXEXTRACT(TO_TEXT($F1394), R$1 &amp; ""x(\d+)"")), """")"),"")</f>
        <v/>
      </c>
      <c r="S1394" s="9" t="str">
        <f ca="1">IFERROR(__xludf.DUMMYFUNCTION("IFERROR(VALUE(REGEXEXTRACT(TO_TEXT($F1394), S$1 &amp; ""x(\d+)"")), """")"),"")</f>
        <v/>
      </c>
      <c r="T1394" s="9" t="str">
        <f ca="1">IFERROR(__xludf.DUMMYFUNCTION("IFERROR(VALUE(REGEXEXTRACT(TO_TEXT($F1394), T$1 &amp; ""x(\d+)"")), """")"),"")</f>
        <v/>
      </c>
      <c r="U1394" s="9" t="str">
        <f ca="1">IFERROR(__xludf.DUMMYFUNCTION("IFERROR(VALUE(REGEXEXTRACT(TO_TEXT($F1394), U$1 &amp; ""x(\d+)"")), """")"),"")</f>
        <v/>
      </c>
      <c r="V1394" s="9" t="str">
        <f ca="1">IFERROR(__xludf.DUMMYFUNCTION("IFERROR(VALUE(REGEXEXTRACT(TO_TEXT($F1394), V$1 &amp; ""x(\d+)"")), """")"),"")</f>
        <v/>
      </c>
      <c r="W1394" s="9"/>
      <c r="X1394" s="9"/>
      <c r="Y1394" s="9"/>
      <c r="Z1394" s="9"/>
    </row>
    <row r="1395" spans="1:26" ht="15.75" customHeight="1">
      <c r="A1395" s="9" t="s">
        <v>2459</v>
      </c>
      <c r="B1395" s="9" t="s">
        <v>2460</v>
      </c>
      <c r="C1395" s="9" t="s">
        <v>2461</v>
      </c>
      <c r="D1395" s="9" t="s">
        <v>48</v>
      </c>
      <c r="E1395" s="9" t="s">
        <v>12</v>
      </c>
      <c r="F1395" s="9" t="s">
        <v>2464</v>
      </c>
      <c r="G1395" s="9">
        <v>125</v>
      </c>
      <c r="H1395" s="9">
        <v>5</v>
      </c>
      <c r="I1395" s="9">
        <v>1.0149999999999999</v>
      </c>
      <c r="J1395" s="9">
        <v>52</v>
      </c>
      <c r="K1395" s="9" t="s">
        <v>424</v>
      </c>
      <c r="L1395" s="9" t="s">
        <v>1015</v>
      </c>
      <c r="M1395" s="9"/>
      <c r="N1395" s="9" t="str">
        <f ca="1">IFERROR(__xludf.DUMMYFUNCTION("IFERROR(VALUE(REGEXEXTRACT(TO_TEXT($F1395), N$1 &amp; ""x(\d+)"")), """")
"),"")</f>
        <v/>
      </c>
      <c r="O1395" s="9" t="str">
        <f ca="1">IFERROR(__xludf.DUMMYFUNCTION("IFERROR(VALUE(REGEXEXTRACT(TO_TEXT($F1395), O$1 &amp; ""x(\d+)"")), """")"),"")</f>
        <v/>
      </c>
      <c r="P1395" s="9">
        <f ca="1">IFERROR(__xludf.DUMMYFUNCTION("IFERROR(VALUE(REGEXEXTRACT(TO_TEXT($F1395), P$1 &amp; ""x(\d+)"")), """")"),1)</f>
        <v>1</v>
      </c>
      <c r="Q1395" s="9" t="str">
        <f ca="1">IFERROR(__xludf.DUMMYFUNCTION("IFERROR(VALUE(REGEXEXTRACT(TO_TEXT($F1395), Q$1 &amp; ""x(\d+)"")), """")"),"")</f>
        <v/>
      </c>
      <c r="R1395" s="9">
        <f ca="1">IFERROR(__xludf.DUMMYFUNCTION("IFERROR(VALUE(REGEXEXTRACT(TO_TEXT($F1395), R$1 &amp; ""x(\d+)"")), """")"),1)</f>
        <v>1</v>
      </c>
      <c r="S1395" s="9" t="str">
        <f ca="1">IFERROR(__xludf.DUMMYFUNCTION("IFERROR(VALUE(REGEXEXTRACT(TO_TEXT($F1395), S$1 &amp; ""x(\d+)"")), """")"),"")</f>
        <v/>
      </c>
      <c r="T1395" s="9">
        <f ca="1">IFERROR(__xludf.DUMMYFUNCTION("IFERROR(VALUE(REGEXEXTRACT(TO_TEXT($F1395), T$1 &amp; ""x(\d+)"")), """")"),1)</f>
        <v>1</v>
      </c>
      <c r="U1395" s="9" t="str">
        <f ca="1">IFERROR(__xludf.DUMMYFUNCTION("IFERROR(VALUE(REGEXEXTRACT(TO_TEXT($F1395), U$1 &amp; ""x(\d+)"")), """")"),"")</f>
        <v/>
      </c>
      <c r="V1395" s="9" t="str">
        <f ca="1">IFERROR(__xludf.DUMMYFUNCTION("IFERROR(VALUE(REGEXEXTRACT(TO_TEXT($F1395), V$1 &amp; ""x(\d+)"")), """")"),"")</f>
        <v/>
      </c>
      <c r="W1395" s="9"/>
      <c r="X1395" s="9"/>
      <c r="Y1395" s="9"/>
      <c r="Z1395" s="9"/>
    </row>
    <row r="1396" spans="1:26" ht="15.75" customHeight="1">
      <c r="A1396" s="9" t="s">
        <v>2459</v>
      </c>
      <c r="B1396" s="9" t="s">
        <v>2460</v>
      </c>
      <c r="C1396" s="9" t="s">
        <v>2461</v>
      </c>
      <c r="D1396" s="9" t="s">
        <v>48</v>
      </c>
      <c r="E1396" s="9" t="s">
        <v>13</v>
      </c>
      <c r="F1396" s="9" t="s">
        <v>1201</v>
      </c>
      <c r="G1396" s="9">
        <v>30</v>
      </c>
      <c r="H1396" s="9">
        <v>5</v>
      </c>
      <c r="I1396" s="9">
        <v>1.0149999999999999</v>
      </c>
      <c r="J1396" s="9">
        <v>52</v>
      </c>
      <c r="K1396" s="9" t="s">
        <v>424</v>
      </c>
      <c r="L1396" s="9"/>
      <c r="M1396" s="9"/>
      <c r="N1396" s="9" t="str">
        <f ca="1">IFERROR(__xludf.DUMMYFUNCTION("IFERROR(VALUE(REGEXEXTRACT(TO_TEXT($F1396), N$1 &amp; ""x(\d+)"")), """")
"),"")</f>
        <v/>
      </c>
      <c r="O1396" s="9" t="str">
        <f ca="1">IFERROR(__xludf.DUMMYFUNCTION("IFERROR(VALUE(REGEXEXTRACT(TO_TEXT($F1396), O$1 &amp; ""x(\d+)"")), """")"),"")</f>
        <v/>
      </c>
      <c r="P1396" s="9">
        <f ca="1">IFERROR(__xludf.DUMMYFUNCTION("IFERROR(VALUE(REGEXEXTRACT(TO_TEXT($F1396), P$1 &amp; ""x(\d+)"")), """")"),1)</f>
        <v>1</v>
      </c>
      <c r="Q1396" s="9" t="str">
        <f ca="1">IFERROR(__xludf.DUMMYFUNCTION("IFERROR(VALUE(REGEXEXTRACT(TO_TEXT($F1396), Q$1 &amp; ""x(\d+)"")), """")"),"")</f>
        <v/>
      </c>
      <c r="R1396" s="9" t="str">
        <f ca="1">IFERROR(__xludf.DUMMYFUNCTION("IFERROR(VALUE(REGEXEXTRACT(TO_TEXT($F1396), R$1 &amp; ""x(\d+)"")), """")"),"")</f>
        <v/>
      </c>
      <c r="S1396" s="9" t="str">
        <f ca="1">IFERROR(__xludf.DUMMYFUNCTION("IFERROR(VALUE(REGEXEXTRACT(TO_TEXT($F1396), S$1 &amp; ""x(\d+)"")), """")"),"")</f>
        <v/>
      </c>
      <c r="T1396" s="9" t="str">
        <f ca="1">IFERROR(__xludf.DUMMYFUNCTION("IFERROR(VALUE(REGEXEXTRACT(TO_TEXT($F1396), T$1 &amp; ""x(\d+)"")), """")"),"")</f>
        <v/>
      </c>
      <c r="U1396" s="9" t="str">
        <f ca="1">IFERROR(__xludf.DUMMYFUNCTION("IFERROR(VALUE(REGEXEXTRACT(TO_TEXT($F1396), U$1 &amp; ""x(\d+)"")), """")"),"")</f>
        <v/>
      </c>
      <c r="V1396" s="9" t="str">
        <f ca="1">IFERROR(__xludf.DUMMYFUNCTION("IFERROR(VALUE(REGEXEXTRACT(TO_TEXT($F1396), V$1 &amp; ""x(\d+)"")), """")"),"")</f>
        <v/>
      </c>
      <c r="W1396" s="9"/>
      <c r="X1396" s="9"/>
      <c r="Y1396" s="9"/>
      <c r="Z1396" s="9"/>
    </row>
    <row r="1397" spans="1:26" ht="15.75" customHeight="1">
      <c r="A1397" s="9" t="s">
        <v>2465</v>
      </c>
      <c r="B1397" s="9" t="s">
        <v>2466</v>
      </c>
      <c r="C1397" s="9" t="s">
        <v>2467</v>
      </c>
      <c r="D1397" s="9" t="s">
        <v>33</v>
      </c>
      <c r="E1397" s="9" t="s">
        <v>12</v>
      </c>
      <c r="F1397" s="9" t="s">
        <v>2376</v>
      </c>
      <c r="G1397" s="9">
        <v>45</v>
      </c>
      <c r="H1397" s="9">
        <v>2</v>
      </c>
      <c r="I1397" s="9">
        <v>1.0149999999999999</v>
      </c>
      <c r="J1397" s="9">
        <v>80</v>
      </c>
      <c r="K1397" s="9" t="s">
        <v>2377</v>
      </c>
      <c r="L1397" s="9"/>
      <c r="M1397" s="9"/>
      <c r="N1397" s="9" t="str">
        <f ca="1">IFERROR(__xludf.DUMMYFUNCTION("IFERROR(VALUE(REGEXEXTRACT(TO_TEXT($F1397), N$1 &amp; ""x(\d+)"")), """")
"),"")</f>
        <v/>
      </c>
      <c r="O1397" s="9">
        <f ca="1">IFERROR(__xludf.DUMMYFUNCTION("IFERROR(VALUE(REGEXEXTRACT(TO_TEXT($F1397), O$1 &amp; ""x(\d+)"")), """")"),1)</f>
        <v>1</v>
      </c>
      <c r="P1397" s="9" t="str">
        <f ca="1">IFERROR(__xludf.DUMMYFUNCTION("IFERROR(VALUE(REGEXEXTRACT(TO_TEXT($F1397), P$1 &amp; ""x(\d+)"")), """")"),"")</f>
        <v/>
      </c>
      <c r="Q1397" s="9" t="str">
        <f ca="1">IFERROR(__xludf.DUMMYFUNCTION("IFERROR(VALUE(REGEXEXTRACT(TO_TEXT($F1397), Q$1 &amp; ""x(\d+)"")), """")"),"")</f>
        <v/>
      </c>
      <c r="R1397" s="9" t="str">
        <f ca="1">IFERROR(__xludf.DUMMYFUNCTION("IFERROR(VALUE(REGEXEXTRACT(TO_TEXT($F1397), R$1 &amp; ""x(\d+)"")), """")"),"")</f>
        <v/>
      </c>
      <c r="S1397" s="9" t="str">
        <f ca="1">IFERROR(__xludf.DUMMYFUNCTION("IFERROR(VALUE(REGEXEXTRACT(TO_TEXT($F1397), S$1 &amp; ""x(\d+)"")), """")"),"")</f>
        <v/>
      </c>
      <c r="T1397" s="9" t="str">
        <f ca="1">IFERROR(__xludf.DUMMYFUNCTION("IFERROR(VALUE(REGEXEXTRACT(TO_TEXT($F1397), T$1 &amp; ""x(\d+)"")), """")"),"")</f>
        <v/>
      </c>
      <c r="U1397" s="9" t="str">
        <f ca="1">IFERROR(__xludf.DUMMYFUNCTION("IFERROR(VALUE(REGEXEXTRACT(TO_TEXT($F1397), U$1 &amp; ""x(\d+)"")), """")"),"")</f>
        <v/>
      </c>
      <c r="V1397" s="9" t="str">
        <f ca="1">IFERROR(__xludf.DUMMYFUNCTION("IFERROR(VALUE(REGEXEXTRACT(TO_TEXT($F1397), V$1 &amp; ""x(\d+)"")), """")"),"")</f>
        <v/>
      </c>
      <c r="W1397" s="9"/>
      <c r="X1397" s="9"/>
      <c r="Y1397" s="9"/>
      <c r="Z1397" s="9"/>
    </row>
    <row r="1398" spans="1:26" ht="15.75" customHeight="1">
      <c r="A1398" s="9" t="s">
        <v>2465</v>
      </c>
      <c r="B1398" s="9" t="s">
        <v>2466</v>
      </c>
      <c r="C1398" s="9" t="s">
        <v>2467</v>
      </c>
      <c r="D1398" s="9" t="s">
        <v>33</v>
      </c>
      <c r="E1398" s="9" t="s">
        <v>13</v>
      </c>
      <c r="F1398" s="9" t="s">
        <v>2378</v>
      </c>
      <c r="G1398" s="9">
        <v>10</v>
      </c>
      <c r="H1398" s="9">
        <v>2</v>
      </c>
      <c r="I1398" s="9">
        <v>1.0149999999999999</v>
      </c>
      <c r="J1398" s="9">
        <v>80</v>
      </c>
      <c r="K1398" s="9" t="s">
        <v>2377</v>
      </c>
      <c r="L1398" s="9"/>
      <c r="M1398" s="9"/>
      <c r="N1398" s="9" t="str">
        <f ca="1">IFERROR(__xludf.DUMMYFUNCTION("IFERROR(VALUE(REGEXEXTRACT(TO_TEXT($F1398), N$1 &amp; ""x(\d+)"")), """")
"),"")</f>
        <v/>
      </c>
      <c r="O1398" s="9">
        <f ca="1">IFERROR(__xludf.DUMMYFUNCTION("IFERROR(VALUE(REGEXEXTRACT(TO_TEXT($F1398), O$1 &amp; ""x(\d+)"")), """")"),1)</f>
        <v>1</v>
      </c>
      <c r="P1398" s="9" t="str">
        <f ca="1">IFERROR(__xludf.DUMMYFUNCTION("IFERROR(VALUE(REGEXEXTRACT(TO_TEXT($F1398), P$1 &amp; ""x(\d+)"")), """")"),"")</f>
        <v/>
      </c>
      <c r="Q1398" s="9" t="str">
        <f ca="1">IFERROR(__xludf.DUMMYFUNCTION("IFERROR(VALUE(REGEXEXTRACT(TO_TEXT($F1398), Q$1 &amp; ""x(\d+)"")), """")"),"")</f>
        <v/>
      </c>
      <c r="R1398" s="9" t="str">
        <f ca="1">IFERROR(__xludf.DUMMYFUNCTION("IFERROR(VALUE(REGEXEXTRACT(TO_TEXT($F1398), R$1 &amp; ""x(\d+)"")), """")"),"")</f>
        <v/>
      </c>
      <c r="S1398" s="9" t="str">
        <f ca="1">IFERROR(__xludf.DUMMYFUNCTION("IFERROR(VALUE(REGEXEXTRACT(TO_TEXT($F1398), S$1 &amp; ""x(\d+)"")), """")"),"")</f>
        <v/>
      </c>
      <c r="T1398" s="9" t="str">
        <f ca="1">IFERROR(__xludf.DUMMYFUNCTION("IFERROR(VALUE(REGEXEXTRACT(TO_TEXT($F1398), T$1 &amp; ""x(\d+)"")), """")"),"")</f>
        <v/>
      </c>
      <c r="U1398" s="9" t="str">
        <f ca="1">IFERROR(__xludf.DUMMYFUNCTION("IFERROR(VALUE(REGEXEXTRACT(TO_TEXT($F1398), U$1 &amp; ""x(\d+)"")), """")"),"")</f>
        <v/>
      </c>
      <c r="V1398" s="9" t="str">
        <f ca="1">IFERROR(__xludf.DUMMYFUNCTION("IFERROR(VALUE(REGEXEXTRACT(TO_TEXT($F1398), V$1 &amp; ""x(\d+)"")), """")"),"")</f>
        <v/>
      </c>
      <c r="W1398" s="9"/>
      <c r="X1398" s="9"/>
      <c r="Y1398" s="9"/>
      <c r="Z1398" s="9"/>
    </row>
    <row r="1399" spans="1:26" ht="15.75" customHeight="1">
      <c r="A1399" s="9" t="s">
        <v>2465</v>
      </c>
      <c r="B1399" s="9" t="s">
        <v>2466</v>
      </c>
      <c r="C1399" s="9" t="s">
        <v>2467</v>
      </c>
      <c r="D1399" s="9" t="s">
        <v>33</v>
      </c>
      <c r="E1399" s="9" t="s">
        <v>11</v>
      </c>
      <c r="F1399" s="9" t="s">
        <v>1017</v>
      </c>
      <c r="G1399" s="9">
        <v>50</v>
      </c>
      <c r="H1399" s="9">
        <v>2</v>
      </c>
      <c r="I1399" s="9">
        <v>1.0149999999999999</v>
      </c>
      <c r="J1399" s="9">
        <v>110</v>
      </c>
      <c r="K1399" s="9" t="s">
        <v>2380</v>
      </c>
      <c r="L1399" s="9"/>
      <c r="M1399" s="9"/>
      <c r="N1399" s="9" t="str">
        <f ca="1">IFERROR(__xludf.DUMMYFUNCTION("IFERROR(VALUE(REGEXEXTRACT(TO_TEXT($F1399), N$1 &amp; ""x(\d+)"")), """")
"),"")</f>
        <v/>
      </c>
      <c r="O1399" s="9" t="str">
        <f ca="1">IFERROR(__xludf.DUMMYFUNCTION("IFERROR(VALUE(REGEXEXTRACT(TO_TEXT($F1399), O$1 &amp; ""x(\d+)"")), """")"),"")</f>
        <v/>
      </c>
      <c r="P1399" s="9" t="str">
        <f ca="1">IFERROR(__xludf.DUMMYFUNCTION("IFERROR(VALUE(REGEXEXTRACT(TO_TEXT($F1399), P$1 &amp; ""x(\d+)"")), """")"),"")</f>
        <v/>
      </c>
      <c r="Q1399" s="9" t="str">
        <f ca="1">IFERROR(__xludf.DUMMYFUNCTION("IFERROR(VALUE(REGEXEXTRACT(TO_TEXT($F1399), Q$1 &amp; ""x(\d+)"")), """")"),"")</f>
        <v/>
      </c>
      <c r="R1399" s="9" t="str">
        <f ca="1">IFERROR(__xludf.DUMMYFUNCTION("IFERROR(VALUE(REGEXEXTRACT(TO_TEXT($F1399), R$1 &amp; ""x(\d+)"")), """")"),"")</f>
        <v/>
      </c>
      <c r="S1399" s="9" t="str">
        <f ca="1">IFERROR(__xludf.DUMMYFUNCTION("IFERROR(VALUE(REGEXEXTRACT(TO_TEXT($F1399), S$1 &amp; ""x(\d+)"")), """")"),"")</f>
        <v/>
      </c>
      <c r="T1399" s="9" t="str">
        <f ca="1">IFERROR(__xludf.DUMMYFUNCTION("IFERROR(VALUE(REGEXEXTRACT(TO_TEXT($F1399), T$1 &amp; ""x(\d+)"")), """")"),"")</f>
        <v/>
      </c>
      <c r="U1399" s="9" t="str">
        <f ca="1">IFERROR(__xludf.DUMMYFUNCTION("IFERROR(VALUE(REGEXEXTRACT(TO_TEXT($F1399), U$1 &amp; ""x(\d+)"")), """")"),"")</f>
        <v/>
      </c>
      <c r="V1399" s="9" t="str">
        <f ca="1">IFERROR(__xludf.DUMMYFUNCTION("IFERROR(VALUE(REGEXEXTRACT(TO_TEXT($F1399), V$1 &amp; ""x(\d+)"")), """")"),"")</f>
        <v/>
      </c>
      <c r="W1399" s="9"/>
      <c r="X1399" s="9"/>
      <c r="Y1399" s="9"/>
      <c r="Z1399" s="9"/>
    </row>
    <row r="1400" spans="1:26" ht="15.75" customHeight="1">
      <c r="A1400" s="9" t="s">
        <v>2465</v>
      </c>
      <c r="B1400" s="9" t="s">
        <v>2466</v>
      </c>
      <c r="C1400" s="9" t="s">
        <v>2467</v>
      </c>
      <c r="D1400" s="9" t="s">
        <v>33</v>
      </c>
      <c r="E1400" s="9" t="s">
        <v>12</v>
      </c>
      <c r="F1400" s="9" t="s">
        <v>2379</v>
      </c>
      <c r="G1400" s="9">
        <v>30</v>
      </c>
      <c r="H1400" s="9">
        <v>2</v>
      </c>
      <c r="I1400" s="9">
        <v>1.0149999999999999</v>
      </c>
      <c r="J1400" s="9">
        <v>110</v>
      </c>
      <c r="K1400" s="9" t="s">
        <v>2380</v>
      </c>
      <c r="L1400" s="9"/>
      <c r="M1400" s="9"/>
      <c r="N1400" s="9" t="str">
        <f ca="1">IFERROR(__xludf.DUMMYFUNCTION("IFERROR(VALUE(REGEXEXTRACT(TO_TEXT($F1400), N$1 &amp; ""x(\d+)"")), """")
"),"")</f>
        <v/>
      </c>
      <c r="O1400" s="9">
        <f ca="1">IFERROR(__xludf.DUMMYFUNCTION("IFERROR(VALUE(REGEXEXTRACT(TO_TEXT($F1400), O$1 &amp; ""x(\d+)"")), """")"),1)</f>
        <v>1</v>
      </c>
      <c r="P1400" s="9" t="str">
        <f ca="1">IFERROR(__xludf.DUMMYFUNCTION("IFERROR(VALUE(REGEXEXTRACT(TO_TEXT($F1400), P$1 &amp; ""x(\d+)"")), """")"),"")</f>
        <v/>
      </c>
      <c r="Q1400" s="9" t="str">
        <f ca="1">IFERROR(__xludf.DUMMYFUNCTION("IFERROR(VALUE(REGEXEXTRACT(TO_TEXT($F1400), Q$1 &amp; ""x(\d+)"")), """")"),"")</f>
        <v/>
      </c>
      <c r="R1400" s="9" t="str">
        <f ca="1">IFERROR(__xludf.DUMMYFUNCTION("IFERROR(VALUE(REGEXEXTRACT(TO_TEXT($F1400), R$1 &amp; ""x(\d+)"")), """")"),"")</f>
        <v/>
      </c>
      <c r="S1400" s="9" t="str">
        <f ca="1">IFERROR(__xludf.DUMMYFUNCTION("IFERROR(VALUE(REGEXEXTRACT(TO_TEXT($F1400), S$1 &amp; ""x(\d+)"")), """")"),"")</f>
        <v/>
      </c>
      <c r="T1400" s="9" t="str">
        <f ca="1">IFERROR(__xludf.DUMMYFUNCTION("IFERROR(VALUE(REGEXEXTRACT(TO_TEXT($F1400), T$1 &amp; ""x(\d+)"")), """")"),"")</f>
        <v/>
      </c>
      <c r="U1400" s="9" t="str">
        <f ca="1">IFERROR(__xludf.DUMMYFUNCTION("IFERROR(VALUE(REGEXEXTRACT(TO_TEXT($F1400), U$1 &amp; ""x(\d+)"")), """")"),"")</f>
        <v/>
      </c>
      <c r="V1400" s="9" t="str">
        <f ca="1">IFERROR(__xludf.DUMMYFUNCTION("IFERROR(VALUE(REGEXEXTRACT(TO_TEXT($F1400), V$1 &amp; ""x(\d+)"")), """")"),"")</f>
        <v/>
      </c>
      <c r="W1400" s="9"/>
      <c r="X1400" s="9"/>
      <c r="Y1400" s="9"/>
      <c r="Z1400" s="9"/>
    </row>
    <row r="1401" spans="1:26" ht="15.75" customHeight="1">
      <c r="A1401" s="9" t="s">
        <v>2465</v>
      </c>
      <c r="B1401" s="9" t="s">
        <v>2466</v>
      </c>
      <c r="C1401" s="9" t="s">
        <v>2467</v>
      </c>
      <c r="D1401" s="9" t="s">
        <v>33</v>
      </c>
      <c r="E1401" s="9" t="s">
        <v>13</v>
      </c>
      <c r="F1401" s="9" t="s">
        <v>2378</v>
      </c>
      <c r="G1401" s="9">
        <v>10</v>
      </c>
      <c r="H1401" s="9">
        <v>2</v>
      </c>
      <c r="I1401" s="9">
        <v>1.0149999999999999</v>
      </c>
      <c r="J1401" s="9">
        <v>110</v>
      </c>
      <c r="K1401" s="9" t="s">
        <v>2380</v>
      </c>
      <c r="L1401" s="9"/>
      <c r="M1401" s="9"/>
      <c r="N1401" s="9" t="str">
        <f ca="1">IFERROR(__xludf.DUMMYFUNCTION("IFERROR(VALUE(REGEXEXTRACT(TO_TEXT($F1401), N$1 &amp; ""x(\d+)"")), """")
"),"")</f>
        <v/>
      </c>
      <c r="O1401" s="9">
        <f ca="1">IFERROR(__xludf.DUMMYFUNCTION("IFERROR(VALUE(REGEXEXTRACT(TO_TEXT($F1401), O$1 &amp; ""x(\d+)"")), """")"),1)</f>
        <v>1</v>
      </c>
      <c r="P1401" s="9" t="str">
        <f ca="1">IFERROR(__xludf.DUMMYFUNCTION("IFERROR(VALUE(REGEXEXTRACT(TO_TEXT($F1401), P$1 &amp; ""x(\d+)"")), """")"),"")</f>
        <v/>
      </c>
      <c r="Q1401" s="9" t="str">
        <f ca="1">IFERROR(__xludf.DUMMYFUNCTION("IFERROR(VALUE(REGEXEXTRACT(TO_TEXT($F1401), Q$1 &amp; ""x(\d+)"")), """")"),"")</f>
        <v/>
      </c>
      <c r="R1401" s="9" t="str">
        <f ca="1">IFERROR(__xludf.DUMMYFUNCTION("IFERROR(VALUE(REGEXEXTRACT(TO_TEXT($F1401), R$1 &amp; ""x(\d+)"")), """")"),"")</f>
        <v/>
      </c>
      <c r="S1401" s="9" t="str">
        <f ca="1">IFERROR(__xludf.DUMMYFUNCTION("IFERROR(VALUE(REGEXEXTRACT(TO_TEXT($F1401), S$1 &amp; ""x(\d+)"")), """")"),"")</f>
        <v/>
      </c>
      <c r="T1401" s="9" t="str">
        <f ca="1">IFERROR(__xludf.DUMMYFUNCTION("IFERROR(VALUE(REGEXEXTRACT(TO_TEXT($F1401), T$1 &amp; ""x(\d+)"")), """")"),"")</f>
        <v/>
      </c>
      <c r="U1401" s="9" t="str">
        <f ca="1">IFERROR(__xludf.DUMMYFUNCTION("IFERROR(VALUE(REGEXEXTRACT(TO_TEXT($F1401), U$1 &amp; ""x(\d+)"")), """")"),"")</f>
        <v/>
      </c>
      <c r="V1401" s="9" t="str">
        <f ca="1">IFERROR(__xludf.DUMMYFUNCTION("IFERROR(VALUE(REGEXEXTRACT(TO_TEXT($F1401), V$1 &amp; ""x(\d+)"")), """")"),"")</f>
        <v/>
      </c>
      <c r="W1401" s="9"/>
      <c r="X1401" s="9"/>
      <c r="Y1401" s="9"/>
      <c r="Z1401" s="9"/>
    </row>
    <row r="1402" spans="1:26" ht="15.75" customHeight="1">
      <c r="A1402" s="9" t="s">
        <v>2468</v>
      </c>
      <c r="B1402" s="9" t="s">
        <v>2469</v>
      </c>
      <c r="C1402" s="9" t="s">
        <v>2470</v>
      </c>
      <c r="D1402" s="9" t="s">
        <v>48</v>
      </c>
      <c r="E1402" s="9" t="s">
        <v>11</v>
      </c>
      <c r="F1402" s="9" t="s">
        <v>1204</v>
      </c>
      <c r="G1402" s="9">
        <v>25</v>
      </c>
      <c r="H1402" s="9">
        <v>3</v>
      </c>
      <c r="I1402" s="9">
        <v>1.0149999999999999</v>
      </c>
      <c r="J1402" s="9">
        <v>52</v>
      </c>
      <c r="K1402" s="9" t="s">
        <v>424</v>
      </c>
      <c r="L1402" s="9"/>
      <c r="M1402" s="9"/>
      <c r="N1402" s="9" t="str">
        <f ca="1">IFERROR(__xludf.DUMMYFUNCTION("IFERROR(VALUE(REGEXEXTRACT(TO_TEXT($F1402), N$1 &amp; ""x(\d+)"")), """")
"),"")</f>
        <v/>
      </c>
      <c r="O1402" s="9" t="str">
        <f ca="1">IFERROR(__xludf.DUMMYFUNCTION("IFERROR(VALUE(REGEXEXTRACT(TO_TEXT($F1402), O$1 &amp; ""x(\d+)"")), """")"),"")</f>
        <v/>
      </c>
      <c r="P1402" s="9" t="str">
        <f ca="1">IFERROR(__xludf.DUMMYFUNCTION("IFERROR(VALUE(REGEXEXTRACT(TO_TEXT($F1402), P$1 &amp; ""x(\d+)"")), """")"),"")</f>
        <v/>
      </c>
      <c r="Q1402" s="9" t="str">
        <f ca="1">IFERROR(__xludf.DUMMYFUNCTION("IFERROR(VALUE(REGEXEXTRACT(TO_TEXT($F1402), Q$1 &amp; ""x(\d+)"")), """")"),"")</f>
        <v/>
      </c>
      <c r="R1402" s="9" t="str">
        <f ca="1">IFERROR(__xludf.DUMMYFUNCTION("IFERROR(VALUE(REGEXEXTRACT(TO_TEXT($F1402), R$1 &amp; ""x(\d+)"")), """")"),"")</f>
        <v/>
      </c>
      <c r="S1402" s="9" t="str">
        <f ca="1">IFERROR(__xludf.DUMMYFUNCTION("IFERROR(VALUE(REGEXEXTRACT(TO_TEXT($F1402), S$1 &amp; ""x(\d+)"")), """")"),"")</f>
        <v/>
      </c>
      <c r="T1402" s="9" t="str">
        <f ca="1">IFERROR(__xludf.DUMMYFUNCTION("IFERROR(VALUE(REGEXEXTRACT(TO_TEXT($F1402), T$1 &amp; ""x(\d+)"")), """")"),"")</f>
        <v/>
      </c>
      <c r="U1402" s="9" t="str">
        <f ca="1">IFERROR(__xludf.DUMMYFUNCTION("IFERROR(VALUE(REGEXEXTRACT(TO_TEXT($F1402), U$1 &amp; ""x(\d+)"")), """")"),"")</f>
        <v/>
      </c>
      <c r="V1402" s="9" t="str">
        <f ca="1">IFERROR(__xludf.DUMMYFUNCTION("IFERROR(VALUE(REGEXEXTRACT(TO_TEXT($F1402), V$1 &amp; ""x(\d+)"")), """")"),"")</f>
        <v/>
      </c>
      <c r="W1402" s="9"/>
      <c r="X1402" s="9"/>
      <c r="Y1402" s="9"/>
      <c r="Z1402" s="9"/>
    </row>
    <row r="1403" spans="1:26" ht="15.75" customHeight="1">
      <c r="A1403" s="9" t="s">
        <v>2468</v>
      </c>
      <c r="B1403" s="9" t="s">
        <v>2469</v>
      </c>
      <c r="C1403" s="9" t="s">
        <v>2470</v>
      </c>
      <c r="D1403" s="9" t="s">
        <v>48</v>
      </c>
      <c r="E1403" s="9" t="s">
        <v>12</v>
      </c>
      <c r="F1403" s="9" t="s">
        <v>2359</v>
      </c>
      <c r="G1403" s="9">
        <v>125</v>
      </c>
      <c r="H1403" s="9">
        <v>3</v>
      </c>
      <c r="I1403" s="9">
        <v>1.0149999999999999</v>
      </c>
      <c r="J1403" s="9">
        <v>52</v>
      </c>
      <c r="K1403" s="9" t="s">
        <v>424</v>
      </c>
      <c r="L1403" s="9"/>
      <c r="M1403" s="9"/>
      <c r="N1403" s="9" t="str">
        <f ca="1">IFERROR(__xludf.DUMMYFUNCTION("IFERROR(VALUE(REGEXEXTRACT(TO_TEXT($F1403), N$1 &amp; ""x(\d+)"")), """")
"),"")</f>
        <v/>
      </c>
      <c r="O1403" s="9" t="str">
        <f ca="1">IFERROR(__xludf.DUMMYFUNCTION("IFERROR(VALUE(REGEXEXTRACT(TO_TEXT($F1403), O$1 &amp; ""x(\d+)"")), """")"),"")</f>
        <v/>
      </c>
      <c r="P1403" s="9">
        <f ca="1">IFERROR(__xludf.DUMMYFUNCTION("IFERROR(VALUE(REGEXEXTRACT(TO_TEXT($F1403), P$1 &amp; ""x(\d+)"")), """")"),1)</f>
        <v>1</v>
      </c>
      <c r="Q1403" s="9" t="str">
        <f ca="1">IFERROR(__xludf.DUMMYFUNCTION("IFERROR(VALUE(REGEXEXTRACT(TO_TEXT($F1403), Q$1 &amp; ""x(\d+)"")), """")"),"")</f>
        <v/>
      </c>
      <c r="R1403" s="9">
        <f ca="1">IFERROR(__xludf.DUMMYFUNCTION("IFERROR(VALUE(REGEXEXTRACT(TO_TEXT($F1403), R$1 &amp; ""x(\d+)"")), """")"),1)</f>
        <v>1</v>
      </c>
      <c r="S1403" s="9" t="str">
        <f ca="1">IFERROR(__xludf.DUMMYFUNCTION("IFERROR(VALUE(REGEXEXTRACT(TO_TEXT($F1403), S$1 &amp; ""x(\d+)"")), """")"),"")</f>
        <v/>
      </c>
      <c r="T1403" s="9">
        <f ca="1">IFERROR(__xludf.DUMMYFUNCTION("IFERROR(VALUE(REGEXEXTRACT(TO_TEXT($F1403), T$1 &amp; ""x(\d+)"")), """")"),1)</f>
        <v>1</v>
      </c>
      <c r="U1403" s="9" t="str">
        <f ca="1">IFERROR(__xludf.DUMMYFUNCTION("IFERROR(VALUE(REGEXEXTRACT(TO_TEXT($F1403), U$1 &amp; ""x(\d+)"")), """")"),"")</f>
        <v/>
      </c>
      <c r="V1403" s="9" t="str">
        <f ca="1">IFERROR(__xludf.DUMMYFUNCTION("IFERROR(VALUE(REGEXEXTRACT(TO_TEXT($F1403), V$1 &amp; ""x(\d+)"")), """")"),"")</f>
        <v/>
      </c>
      <c r="W1403" s="9"/>
      <c r="X1403" s="9"/>
      <c r="Y1403" s="9"/>
      <c r="Z1403" s="9"/>
    </row>
    <row r="1404" spans="1:26" ht="15.75" customHeight="1">
      <c r="A1404" s="9" t="s">
        <v>2468</v>
      </c>
      <c r="B1404" s="9" t="s">
        <v>2469</v>
      </c>
      <c r="C1404" s="9" t="s">
        <v>2470</v>
      </c>
      <c r="D1404" s="9" t="s">
        <v>48</v>
      </c>
      <c r="E1404" s="9" t="s">
        <v>13</v>
      </c>
      <c r="F1404" s="9" t="s">
        <v>2360</v>
      </c>
      <c r="G1404" s="9">
        <v>40</v>
      </c>
      <c r="H1404" s="9">
        <v>3</v>
      </c>
      <c r="I1404" s="9">
        <v>1.0149999999999999</v>
      </c>
      <c r="J1404" s="9">
        <v>52</v>
      </c>
      <c r="K1404" s="9" t="s">
        <v>424</v>
      </c>
      <c r="L1404" s="9"/>
      <c r="M1404" s="9"/>
      <c r="N1404" s="9" t="str">
        <f ca="1">IFERROR(__xludf.DUMMYFUNCTION("IFERROR(VALUE(REGEXEXTRACT(TO_TEXT($F1404), N$1 &amp; ""x(\d+)"")), """")
"),"")</f>
        <v/>
      </c>
      <c r="O1404" s="9" t="str">
        <f ca="1">IFERROR(__xludf.DUMMYFUNCTION("IFERROR(VALUE(REGEXEXTRACT(TO_TEXT($F1404), O$1 &amp; ""x(\d+)"")), """")"),"")</f>
        <v/>
      </c>
      <c r="P1404" s="9">
        <f ca="1">IFERROR(__xludf.DUMMYFUNCTION("IFERROR(VALUE(REGEXEXTRACT(TO_TEXT($F1404), P$1 &amp; ""x(\d+)"")), """")"),1)</f>
        <v>1</v>
      </c>
      <c r="Q1404" s="9" t="str">
        <f ca="1">IFERROR(__xludf.DUMMYFUNCTION("IFERROR(VALUE(REGEXEXTRACT(TO_TEXT($F1404), Q$1 &amp; ""x(\d+)"")), """")"),"")</f>
        <v/>
      </c>
      <c r="R1404" s="9" t="str">
        <f ca="1">IFERROR(__xludf.DUMMYFUNCTION("IFERROR(VALUE(REGEXEXTRACT(TO_TEXT($F1404), R$1 &amp; ""x(\d+)"")), """")"),"")</f>
        <v/>
      </c>
      <c r="S1404" s="9" t="str">
        <f ca="1">IFERROR(__xludf.DUMMYFUNCTION("IFERROR(VALUE(REGEXEXTRACT(TO_TEXT($F1404), S$1 &amp; ""x(\d+)"")), """")"),"")</f>
        <v/>
      </c>
      <c r="T1404" s="9" t="str">
        <f ca="1">IFERROR(__xludf.DUMMYFUNCTION("IFERROR(VALUE(REGEXEXTRACT(TO_TEXT($F1404), T$1 &amp; ""x(\d+)"")), """")"),"")</f>
        <v/>
      </c>
      <c r="U1404" s="9" t="str">
        <f ca="1">IFERROR(__xludf.DUMMYFUNCTION("IFERROR(VALUE(REGEXEXTRACT(TO_TEXT($F1404), U$1 &amp; ""x(\d+)"")), """")"),"")</f>
        <v/>
      </c>
      <c r="V1404" s="9" t="str">
        <f ca="1">IFERROR(__xludf.DUMMYFUNCTION("IFERROR(VALUE(REGEXEXTRACT(TO_TEXT($F1404), V$1 &amp; ""x(\d+)"")), """")"),"")</f>
        <v/>
      </c>
      <c r="W1404" s="9"/>
      <c r="X1404" s="9"/>
      <c r="Y1404" s="9"/>
      <c r="Z1404" s="9"/>
    </row>
    <row r="1405" spans="1:26" ht="15.75" customHeight="1">
      <c r="A1405" s="9" t="s">
        <v>2471</v>
      </c>
      <c r="B1405" s="9" t="s">
        <v>2472</v>
      </c>
      <c r="C1405" s="9" t="s">
        <v>2473</v>
      </c>
      <c r="D1405" s="9" t="s">
        <v>40</v>
      </c>
      <c r="E1405" s="9" t="s">
        <v>11</v>
      </c>
      <c r="F1405" s="9" t="s">
        <v>2474</v>
      </c>
      <c r="G1405" s="9">
        <v>35</v>
      </c>
      <c r="H1405" s="9">
        <v>1</v>
      </c>
      <c r="I1405" s="9">
        <v>1.0149999999999999</v>
      </c>
      <c r="J1405" s="9">
        <v>412</v>
      </c>
      <c r="K1405" s="9" t="s">
        <v>442</v>
      </c>
      <c r="L1405" s="9"/>
      <c r="M1405" s="9"/>
      <c r="N1405" s="9" t="str">
        <f ca="1">IFERROR(__xludf.DUMMYFUNCTION("IFERROR(VALUE(REGEXEXTRACT(TO_TEXT($F1405), N$1 &amp; ""x(\d+)"")), """")
"),"")</f>
        <v/>
      </c>
      <c r="O1405" s="9" t="str">
        <f ca="1">IFERROR(__xludf.DUMMYFUNCTION("IFERROR(VALUE(REGEXEXTRACT(TO_TEXT($F1405), O$1 &amp; ""x(\d+)"")), """")"),"")</f>
        <v/>
      </c>
      <c r="P1405" s="9" t="str">
        <f ca="1">IFERROR(__xludf.DUMMYFUNCTION("IFERROR(VALUE(REGEXEXTRACT(TO_TEXT($F1405), P$1 &amp; ""x(\d+)"")), """")"),"")</f>
        <v/>
      </c>
      <c r="Q1405" s="9" t="str">
        <f ca="1">IFERROR(__xludf.DUMMYFUNCTION("IFERROR(VALUE(REGEXEXTRACT(TO_TEXT($F1405), Q$1 &amp; ""x(\d+)"")), """")"),"")</f>
        <v/>
      </c>
      <c r="R1405" s="9" t="str">
        <f ca="1">IFERROR(__xludf.DUMMYFUNCTION("IFERROR(VALUE(REGEXEXTRACT(TO_TEXT($F1405), R$1 &amp; ""x(\d+)"")), """")"),"")</f>
        <v/>
      </c>
      <c r="S1405" s="9" t="str">
        <f ca="1">IFERROR(__xludf.DUMMYFUNCTION("IFERROR(VALUE(REGEXEXTRACT(TO_TEXT($F1405), S$1 &amp; ""x(\d+)"")), """")"),"")</f>
        <v/>
      </c>
      <c r="T1405" s="9" t="str">
        <f ca="1">IFERROR(__xludf.DUMMYFUNCTION("IFERROR(VALUE(REGEXEXTRACT(TO_TEXT($F1405), T$1 &amp; ""x(\d+)"")), """")"),"")</f>
        <v/>
      </c>
      <c r="U1405" s="9" t="str">
        <f ca="1">IFERROR(__xludf.DUMMYFUNCTION("IFERROR(VALUE(REGEXEXTRACT(TO_TEXT($F1405), U$1 &amp; ""x(\d+)"")), """")"),"")</f>
        <v/>
      </c>
      <c r="V1405" s="9" t="str">
        <f ca="1">IFERROR(__xludf.DUMMYFUNCTION("IFERROR(VALUE(REGEXEXTRACT(TO_TEXT($F1405), V$1 &amp; ""x(\d+)"")), """")"),"")</f>
        <v/>
      </c>
      <c r="W1405" s="9"/>
      <c r="X1405" s="9"/>
      <c r="Y1405" s="9"/>
      <c r="Z1405" s="9"/>
    </row>
    <row r="1406" spans="1:26" ht="15.75" customHeight="1">
      <c r="A1406" s="9" t="s">
        <v>2471</v>
      </c>
      <c r="B1406" s="9" t="s">
        <v>2472</v>
      </c>
      <c r="C1406" s="9" t="s">
        <v>2473</v>
      </c>
      <c r="D1406" s="9" t="s">
        <v>40</v>
      </c>
      <c r="E1406" s="9" t="s">
        <v>12</v>
      </c>
      <c r="F1406" s="9" t="s">
        <v>2475</v>
      </c>
      <c r="G1406" s="9">
        <v>315</v>
      </c>
      <c r="H1406" s="9">
        <v>1</v>
      </c>
      <c r="I1406" s="9">
        <v>1.0149999999999999</v>
      </c>
      <c r="J1406" s="9">
        <v>412</v>
      </c>
      <c r="K1406" s="9" t="s">
        <v>442</v>
      </c>
      <c r="L1406" s="9" t="s">
        <v>1210</v>
      </c>
      <c r="M1406" s="9"/>
      <c r="N1406" s="9" t="str">
        <f ca="1">IFERROR(__xludf.DUMMYFUNCTION("IFERROR(VALUE(REGEXEXTRACT(TO_TEXT($F1406), N$1 &amp; ""x(\d+)"")), """")
"),"")</f>
        <v/>
      </c>
      <c r="O1406" s="9" t="str">
        <f ca="1">IFERROR(__xludf.DUMMYFUNCTION("IFERROR(VALUE(REGEXEXTRACT(TO_TEXT($F1406), O$1 &amp; ""x(\d+)"")), """")"),"")</f>
        <v/>
      </c>
      <c r="P1406" s="9" t="str">
        <f ca="1">IFERROR(__xludf.DUMMYFUNCTION("IFERROR(VALUE(REGEXEXTRACT(TO_TEXT($F1406), P$1 &amp; ""x(\d+)"")), """")"),"")</f>
        <v/>
      </c>
      <c r="Q1406" s="9" t="str">
        <f ca="1">IFERROR(__xludf.DUMMYFUNCTION("IFERROR(VALUE(REGEXEXTRACT(TO_TEXT($F1406), Q$1 &amp; ""x(\d+)"")), """")"),"")</f>
        <v/>
      </c>
      <c r="R1406" s="9" t="str">
        <f ca="1">IFERROR(__xludf.DUMMYFUNCTION("IFERROR(VALUE(REGEXEXTRACT(TO_TEXT($F1406), R$1 &amp; ""x(\d+)"")), """")"),"")</f>
        <v/>
      </c>
      <c r="S1406" s="9" t="str">
        <f ca="1">IFERROR(__xludf.DUMMYFUNCTION("IFERROR(VALUE(REGEXEXTRACT(TO_TEXT($F1406), S$1 &amp; ""x(\d+)"")), """")"),"")</f>
        <v/>
      </c>
      <c r="T1406" s="9">
        <f ca="1">IFERROR(__xludf.DUMMYFUNCTION("IFERROR(VALUE(REGEXEXTRACT(TO_TEXT($F1406), T$1 &amp; ""x(\d+)"")), """")"),1)</f>
        <v>1</v>
      </c>
      <c r="U1406" s="9" t="str">
        <f ca="1">IFERROR(__xludf.DUMMYFUNCTION("IFERROR(VALUE(REGEXEXTRACT(TO_TEXT($F1406), U$1 &amp; ""x(\d+)"")), """")"),"")</f>
        <v/>
      </c>
      <c r="V1406" s="9" t="str">
        <f ca="1">IFERROR(__xludf.DUMMYFUNCTION("IFERROR(VALUE(REGEXEXTRACT(TO_TEXT($F1406), V$1 &amp; ""x(\d+)"")), """")"),"")</f>
        <v/>
      </c>
      <c r="W1406" s="9"/>
      <c r="X1406" s="9"/>
      <c r="Y1406" s="9"/>
      <c r="Z1406" s="9"/>
    </row>
    <row r="1407" spans="1:26" ht="15.75" customHeight="1">
      <c r="A1407" s="9" t="s">
        <v>2471</v>
      </c>
      <c r="B1407" s="9" t="s">
        <v>2472</v>
      </c>
      <c r="C1407" s="9" t="s">
        <v>2473</v>
      </c>
      <c r="D1407" s="9" t="s">
        <v>40</v>
      </c>
      <c r="E1407" s="9" t="s">
        <v>13</v>
      </c>
      <c r="F1407" s="9" t="s">
        <v>1626</v>
      </c>
      <c r="G1407" s="9">
        <v>30</v>
      </c>
      <c r="H1407" s="9">
        <v>1</v>
      </c>
      <c r="I1407" s="9">
        <v>1.0149999999999999</v>
      </c>
      <c r="J1407" s="9">
        <v>412</v>
      </c>
      <c r="K1407" s="9" t="s">
        <v>442</v>
      </c>
      <c r="L1407" s="9"/>
      <c r="M1407" s="9"/>
      <c r="N1407" s="9" t="str">
        <f ca="1">IFERROR(__xludf.DUMMYFUNCTION("IFERROR(VALUE(REGEXEXTRACT(TO_TEXT($F1407), N$1 &amp; ""x(\d+)"")), """")
"),"")</f>
        <v/>
      </c>
      <c r="O1407" s="9" t="str">
        <f ca="1">IFERROR(__xludf.DUMMYFUNCTION("IFERROR(VALUE(REGEXEXTRACT(TO_TEXT($F1407), O$1 &amp; ""x(\d+)"")), """")"),"")</f>
        <v/>
      </c>
      <c r="P1407" s="9" t="str">
        <f ca="1">IFERROR(__xludf.DUMMYFUNCTION("IFERROR(VALUE(REGEXEXTRACT(TO_TEXT($F1407), P$1 &amp; ""x(\d+)"")), """")"),"")</f>
        <v/>
      </c>
      <c r="Q1407" s="9" t="str">
        <f ca="1">IFERROR(__xludf.DUMMYFUNCTION("IFERROR(VALUE(REGEXEXTRACT(TO_TEXT($F1407), Q$1 &amp; ""x(\d+)"")), """")"),"")</f>
        <v/>
      </c>
      <c r="R1407" s="9" t="str">
        <f ca="1">IFERROR(__xludf.DUMMYFUNCTION("IFERROR(VALUE(REGEXEXTRACT(TO_TEXT($F1407), R$1 &amp; ""x(\d+)"")), """")"),"")</f>
        <v/>
      </c>
      <c r="S1407" s="9" t="str">
        <f ca="1">IFERROR(__xludf.DUMMYFUNCTION("IFERROR(VALUE(REGEXEXTRACT(TO_TEXT($F1407), S$1 &amp; ""x(\d+)"")), """")"),"")</f>
        <v/>
      </c>
      <c r="T1407" s="9">
        <f ca="1">IFERROR(__xludf.DUMMYFUNCTION("IFERROR(VALUE(REGEXEXTRACT(TO_TEXT($F1407), T$1 &amp; ""x(\d+)"")), """")"),1)</f>
        <v>1</v>
      </c>
      <c r="U1407" s="9" t="str">
        <f ca="1">IFERROR(__xludf.DUMMYFUNCTION("IFERROR(VALUE(REGEXEXTRACT(TO_TEXT($F1407), U$1 &amp; ""x(\d+)"")), """")"),"")</f>
        <v/>
      </c>
      <c r="V1407" s="9" t="str">
        <f ca="1">IFERROR(__xludf.DUMMYFUNCTION("IFERROR(VALUE(REGEXEXTRACT(TO_TEXT($F1407), V$1 &amp; ""x(\d+)"")), """")"),"")</f>
        <v/>
      </c>
      <c r="W1407" s="9"/>
      <c r="X1407" s="9"/>
      <c r="Y1407" s="9"/>
      <c r="Z1407" s="9"/>
    </row>
    <row r="1408" spans="1:26" ht="15.75" customHeight="1">
      <c r="A1408" s="9" t="s">
        <v>2476</v>
      </c>
      <c r="B1408" s="9" t="s">
        <v>2472</v>
      </c>
      <c r="C1408" s="9" t="s">
        <v>2477</v>
      </c>
      <c r="D1408" s="9" t="s">
        <v>40</v>
      </c>
      <c r="E1408" s="9" t="s">
        <v>11</v>
      </c>
      <c r="F1408" s="9" t="s">
        <v>2474</v>
      </c>
      <c r="G1408" s="9">
        <v>35</v>
      </c>
      <c r="H1408" s="9">
        <v>1</v>
      </c>
      <c r="I1408" s="9">
        <v>1.0149999999999999</v>
      </c>
      <c r="J1408" s="9">
        <v>412</v>
      </c>
      <c r="K1408" s="9" t="s">
        <v>442</v>
      </c>
      <c r="L1408" s="9"/>
      <c r="M1408" s="9"/>
      <c r="N1408" s="9" t="str">
        <f ca="1">IFERROR(__xludf.DUMMYFUNCTION("IFERROR(VALUE(REGEXEXTRACT(TO_TEXT($F1408), N$1 &amp; ""x(\d+)"")), """")
"),"")</f>
        <v/>
      </c>
      <c r="O1408" s="9" t="str">
        <f ca="1">IFERROR(__xludf.DUMMYFUNCTION("IFERROR(VALUE(REGEXEXTRACT(TO_TEXT($F1408), O$1 &amp; ""x(\d+)"")), """")"),"")</f>
        <v/>
      </c>
      <c r="P1408" s="9" t="str">
        <f ca="1">IFERROR(__xludf.DUMMYFUNCTION("IFERROR(VALUE(REGEXEXTRACT(TO_TEXT($F1408), P$1 &amp; ""x(\d+)"")), """")"),"")</f>
        <v/>
      </c>
      <c r="Q1408" s="9" t="str">
        <f ca="1">IFERROR(__xludf.DUMMYFUNCTION("IFERROR(VALUE(REGEXEXTRACT(TO_TEXT($F1408), Q$1 &amp; ""x(\d+)"")), """")"),"")</f>
        <v/>
      </c>
      <c r="R1408" s="9" t="str">
        <f ca="1">IFERROR(__xludf.DUMMYFUNCTION("IFERROR(VALUE(REGEXEXTRACT(TO_TEXT($F1408), R$1 &amp; ""x(\d+)"")), """")"),"")</f>
        <v/>
      </c>
      <c r="S1408" s="9" t="str">
        <f ca="1">IFERROR(__xludf.DUMMYFUNCTION("IFERROR(VALUE(REGEXEXTRACT(TO_TEXT($F1408), S$1 &amp; ""x(\d+)"")), """")"),"")</f>
        <v/>
      </c>
      <c r="T1408" s="9" t="str">
        <f ca="1">IFERROR(__xludf.DUMMYFUNCTION("IFERROR(VALUE(REGEXEXTRACT(TO_TEXT($F1408), T$1 &amp; ""x(\d+)"")), """")"),"")</f>
        <v/>
      </c>
      <c r="U1408" s="9" t="str">
        <f ca="1">IFERROR(__xludf.DUMMYFUNCTION("IFERROR(VALUE(REGEXEXTRACT(TO_TEXT($F1408), U$1 &amp; ""x(\d+)"")), """")"),"")</f>
        <v/>
      </c>
      <c r="V1408" s="9" t="str">
        <f ca="1">IFERROR(__xludf.DUMMYFUNCTION("IFERROR(VALUE(REGEXEXTRACT(TO_TEXT($F1408), V$1 &amp; ""x(\d+)"")), """")"),"")</f>
        <v/>
      </c>
      <c r="W1408" s="9"/>
      <c r="X1408" s="9"/>
      <c r="Y1408" s="9"/>
      <c r="Z1408" s="9"/>
    </row>
    <row r="1409" spans="1:26" ht="15.75" customHeight="1">
      <c r="A1409" s="9" t="s">
        <v>2476</v>
      </c>
      <c r="B1409" s="9" t="s">
        <v>2472</v>
      </c>
      <c r="C1409" s="9" t="s">
        <v>2477</v>
      </c>
      <c r="D1409" s="9" t="s">
        <v>40</v>
      </c>
      <c r="E1409" s="9" t="s">
        <v>12</v>
      </c>
      <c r="F1409" s="9" t="s">
        <v>2475</v>
      </c>
      <c r="G1409" s="9">
        <v>315</v>
      </c>
      <c r="H1409" s="9">
        <v>1</v>
      </c>
      <c r="I1409" s="9">
        <v>1.0149999999999999</v>
      </c>
      <c r="J1409" s="9">
        <v>412</v>
      </c>
      <c r="K1409" s="9" t="s">
        <v>442</v>
      </c>
      <c r="L1409" s="9" t="s">
        <v>1210</v>
      </c>
      <c r="M1409" s="9"/>
      <c r="N1409" s="9" t="str">
        <f ca="1">IFERROR(__xludf.DUMMYFUNCTION("IFERROR(VALUE(REGEXEXTRACT(TO_TEXT($F1409), N$1 &amp; ""x(\d+)"")), """")
"),"")</f>
        <v/>
      </c>
      <c r="O1409" s="9" t="str">
        <f ca="1">IFERROR(__xludf.DUMMYFUNCTION("IFERROR(VALUE(REGEXEXTRACT(TO_TEXT($F1409), O$1 &amp; ""x(\d+)"")), """")"),"")</f>
        <v/>
      </c>
      <c r="P1409" s="9" t="str">
        <f ca="1">IFERROR(__xludf.DUMMYFUNCTION("IFERROR(VALUE(REGEXEXTRACT(TO_TEXT($F1409), P$1 &amp; ""x(\d+)"")), """")"),"")</f>
        <v/>
      </c>
      <c r="Q1409" s="9" t="str">
        <f ca="1">IFERROR(__xludf.DUMMYFUNCTION("IFERROR(VALUE(REGEXEXTRACT(TO_TEXT($F1409), Q$1 &amp; ""x(\d+)"")), """")"),"")</f>
        <v/>
      </c>
      <c r="R1409" s="9" t="str">
        <f ca="1">IFERROR(__xludf.DUMMYFUNCTION("IFERROR(VALUE(REGEXEXTRACT(TO_TEXT($F1409), R$1 &amp; ""x(\d+)"")), """")"),"")</f>
        <v/>
      </c>
      <c r="S1409" s="9" t="str">
        <f ca="1">IFERROR(__xludf.DUMMYFUNCTION("IFERROR(VALUE(REGEXEXTRACT(TO_TEXT($F1409), S$1 &amp; ""x(\d+)"")), """")"),"")</f>
        <v/>
      </c>
      <c r="T1409" s="9">
        <f ca="1">IFERROR(__xludf.DUMMYFUNCTION("IFERROR(VALUE(REGEXEXTRACT(TO_TEXT($F1409), T$1 &amp; ""x(\d+)"")), """")"),1)</f>
        <v>1</v>
      </c>
      <c r="U1409" s="9" t="str">
        <f ca="1">IFERROR(__xludf.DUMMYFUNCTION("IFERROR(VALUE(REGEXEXTRACT(TO_TEXT($F1409), U$1 &amp; ""x(\d+)"")), """")"),"")</f>
        <v/>
      </c>
      <c r="V1409" s="9" t="str">
        <f ca="1">IFERROR(__xludf.DUMMYFUNCTION("IFERROR(VALUE(REGEXEXTRACT(TO_TEXT($F1409), V$1 &amp; ""x(\d+)"")), """")"),"")</f>
        <v/>
      </c>
      <c r="W1409" s="9"/>
      <c r="X1409" s="9"/>
      <c r="Y1409" s="9"/>
      <c r="Z1409" s="9"/>
    </row>
    <row r="1410" spans="1:26" ht="15.75" customHeight="1">
      <c r="A1410" s="9" t="s">
        <v>2476</v>
      </c>
      <c r="B1410" s="9" t="s">
        <v>2472</v>
      </c>
      <c r="C1410" s="9" t="s">
        <v>2477</v>
      </c>
      <c r="D1410" s="9" t="s">
        <v>40</v>
      </c>
      <c r="E1410" s="9" t="s">
        <v>13</v>
      </c>
      <c r="F1410" s="9" t="s">
        <v>1626</v>
      </c>
      <c r="G1410" s="9">
        <v>30</v>
      </c>
      <c r="H1410" s="9">
        <v>1</v>
      </c>
      <c r="I1410" s="9">
        <v>1.0149999999999999</v>
      </c>
      <c r="J1410" s="9">
        <v>412</v>
      </c>
      <c r="K1410" s="9" t="s">
        <v>442</v>
      </c>
      <c r="L1410" s="9"/>
      <c r="M1410" s="9"/>
      <c r="N1410" s="9" t="str">
        <f ca="1">IFERROR(__xludf.DUMMYFUNCTION("IFERROR(VALUE(REGEXEXTRACT(TO_TEXT($F1410), N$1 &amp; ""x(\d+)"")), """")
"),"")</f>
        <v/>
      </c>
      <c r="O1410" s="9" t="str">
        <f ca="1">IFERROR(__xludf.DUMMYFUNCTION("IFERROR(VALUE(REGEXEXTRACT(TO_TEXT($F1410), O$1 &amp; ""x(\d+)"")), """")"),"")</f>
        <v/>
      </c>
      <c r="P1410" s="9" t="str">
        <f ca="1">IFERROR(__xludf.DUMMYFUNCTION("IFERROR(VALUE(REGEXEXTRACT(TO_TEXT($F1410), P$1 &amp; ""x(\d+)"")), """")"),"")</f>
        <v/>
      </c>
      <c r="Q1410" s="9" t="str">
        <f ca="1">IFERROR(__xludf.DUMMYFUNCTION("IFERROR(VALUE(REGEXEXTRACT(TO_TEXT($F1410), Q$1 &amp; ""x(\d+)"")), """")"),"")</f>
        <v/>
      </c>
      <c r="R1410" s="9" t="str">
        <f ca="1">IFERROR(__xludf.DUMMYFUNCTION("IFERROR(VALUE(REGEXEXTRACT(TO_TEXT($F1410), R$1 &amp; ""x(\d+)"")), """")"),"")</f>
        <v/>
      </c>
      <c r="S1410" s="9" t="str">
        <f ca="1">IFERROR(__xludf.DUMMYFUNCTION("IFERROR(VALUE(REGEXEXTRACT(TO_TEXT($F1410), S$1 &amp; ""x(\d+)"")), """")"),"")</f>
        <v/>
      </c>
      <c r="T1410" s="9">
        <f ca="1">IFERROR(__xludf.DUMMYFUNCTION("IFERROR(VALUE(REGEXEXTRACT(TO_TEXT($F1410), T$1 &amp; ""x(\d+)"")), """")"),1)</f>
        <v>1</v>
      </c>
      <c r="U1410" s="9" t="str">
        <f ca="1">IFERROR(__xludf.DUMMYFUNCTION("IFERROR(VALUE(REGEXEXTRACT(TO_TEXT($F1410), U$1 &amp; ""x(\d+)"")), """")"),"")</f>
        <v/>
      </c>
      <c r="V1410" s="9" t="str">
        <f ca="1">IFERROR(__xludf.DUMMYFUNCTION("IFERROR(VALUE(REGEXEXTRACT(TO_TEXT($F1410), V$1 &amp; ""x(\d+)"")), """")"),"")</f>
        <v/>
      </c>
      <c r="W1410" s="9"/>
      <c r="X1410" s="9"/>
      <c r="Y1410" s="9"/>
      <c r="Z1410" s="9"/>
    </row>
    <row r="1411" spans="1:26" ht="15.75" customHeight="1">
      <c r="A1411" s="9" t="s">
        <v>2478</v>
      </c>
      <c r="B1411" s="9" t="s">
        <v>2479</v>
      </c>
      <c r="C1411" s="9" t="s">
        <v>2480</v>
      </c>
      <c r="D1411" s="9" t="s">
        <v>40</v>
      </c>
      <c r="E1411" s="9" t="s">
        <v>11</v>
      </c>
      <c r="F1411" s="9" t="s">
        <v>2474</v>
      </c>
      <c r="G1411" s="9">
        <v>35</v>
      </c>
      <c r="H1411" s="9">
        <v>1</v>
      </c>
      <c r="I1411" s="9">
        <v>1.0149999999999999</v>
      </c>
      <c r="J1411" s="9">
        <v>412</v>
      </c>
      <c r="K1411" s="9" t="s">
        <v>442</v>
      </c>
      <c r="L1411" s="9"/>
      <c r="M1411" s="9"/>
      <c r="N1411" s="9" t="str">
        <f ca="1">IFERROR(__xludf.DUMMYFUNCTION("IFERROR(VALUE(REGEXEXTRACT(TO_TEXT($F1411), N$1 &amp; ""x(\d+)"")), """")
"),"")</f>
        <v/>
      </c>
      <c r="O1411" s="9" t="str">
        <f ca="1">IFERROR(__xludf.DUMMYFUNCTION("IFERROR(VALUE(REGEXEXTRACT(TO_TEXT($F1411), O$1 &amp; ""x(\d+)"")), """")"),"")</f>
        <v/>
      </c>
      <c r="P1411" s="9" t="str">
        <f ca="1">IFERROR(__xludf.DUMMYFUNCTION("IFERROR(VALUE(REGEXEXTRACT(TO_TEXT($F1411), P$1 &amp; ""x(\d+)"")), """")"),"")</f>
        <v/>
      </c>
      <c r="Q1411" s="9" t="str">
        <f ca="1">IFERROR(__xludf.DUMMYFUNCTION("IFERROR(VALUE(REGEXEXTRACT(TO_TEXT($F1411), Q$1 &amp; ""x(\d+)"")), """")"),"")</f>
        <v/>
      </c>
      <c r="R1411" s="9" t="str">
        <f ca="1">IFERROR(__xludf.DUMMYFUNCTION("IFERROR(VALUE(REGEXEXTRACT(TO_TEXT($F1411), R$1 &amp; ""x(\d+)"")), """")"),"")</f>
        <v/>
      </c>
      <c r="S1411" s="9" t="str">
        <f ca="1">IFERROR(__xludf.DUMMYFUNCTION("IFERROR(VALUE(REGEXEXTRACT(TO_TEXT($F1411), S$1 &amp; ""x(\d+)"")), """")"),"")</f>
        <v/>
      </c>
      <c r="T1411" s="9" t="str">
        <f ca="1">IFERROR(__xludf.DUMMYFUNCTION("IFERROR(VALUE(REGEXEXTRACT(TO_TEXT($F1411), T$1 &amp; ""x(\d+)"")), """")"),"")</f>
        <v/>
      </c>
      <c r="U1411" s="9" t="str">
        <f ca="1">IFERROR(__xludf.DUMMYFUNCTION("IFERROR(VALUE(REGEXEXTRACT(TO_TEXT($F1411), U$1 &amp; ""x(\d+)"")), """")"),"")</f>
        <v/>
      </c>
      <c r="V1411" s="9" t="str">
        <f ca="1">IFERROR(__xludf.DUMMYFUNCTION("IFERROR(VALUE(REGEXEXTRACT(TO_TEXT($F1411), V$1 &amp; ""x(\d+)"")), """")"),"")</f>
        <v/>
      </c>
      <c r="W1411" s="9"/>
      <c r="X1411" s="9"/>
      <c r="Y1411" s="9"/>
      <c r="Z1411" s="9"/>
    </row>
    <row r="1412" spans="1:26" ht="15.75" customHeight="1">
      <c r="A1412" s="9" t="s">
        <v>2478</v>
      </c>
      <c r="B1412" s="9" t="s">
        <v>2479</v>
      </c>
      <c r="C1412" s="9" t="s">
        <v>2480</v>
      </c>
      <c r="D1412" s="9" t="s">
        <v>40</v>
      </c>
      <c r="E1412" s="9" t="s">
        <v>12</v>
      </c>
      <c r="F1412" s="9" t="s">
        <v>2475</v>
      </c>
      <c r="G1412" s="9">
        <v>315</v>
      </c>
      <c r="H1412" s="9">
        <v>1</v>
      </c>
      <c r="I1412" s="9">
        <v>1.0149999999999999</v>
      </c>
      <c r="J1412" s="9">
        <v>412</v>
      </c>
      <c r="K1412" s="9" t="s">
        <v>442</v>
      </c>
      <c r="L1412" s="9" t="s">
        <v>1210</v>
      </c>
      <c r="M1412" s="9"/>
      <c r="N1412" s="9" t="str">
        <f ca="1">IFERROR(__xludf.DUMMYFUNCTION("IFERROR(VALUE(REGEXEXTRACT(TO_TEXT($F1412), N$1 &amp; ""x(\d+)"")), """")
"),"")</f>
        <v/>
      </c>
      <c r="O1412" s="9" t="str">
        <f ca="1">IFERROR(__xludf.DUMMYFUNCTION("IFERROR(VALUE(REGEXEXTRACT(TO_TEXT($F1412), O$1 &amp; ""x(\d+)"")), """")"),"")</f>
        <v/>
      </c>
      <c r="P1412" s="9" t="str">
        <f ca="1">IFERROR(__xludf.DUMMYFUNCTION("IFERROR(VALUE(REGEXEXTRACT(TO_TEXT($F1412), P$1 &amp; ""x(\d+)"")), """")"),"")</f>
        <v/>
      </c>
      <c r="Q1412" s="9" t="str">
        <f ca="1">IFERROR(__xludf.DUMMYFUNCTION("IFERROR(VALUE(REGEXEXTRACT(TO_TEXT($F1412), Q$1 &amp; ""x(\d+)"")), """")"),"")</f>
        <v/>
      </c>
      <c r="R1412" s="9" t="str">
        <f ca="1">IFERROR(__xludf.DUMMYFUNCTION("IFERROR(VALUE(REGEXEXTRACT(TO_TEXT($F1412), R$1 &amp; ""x(\d+)"")), """")"),"")</f>
        <v/>
      </c>
      <c r="S1412" s="9" t="str">
        <f ca="1">IFERROR(__xludf.DUMMYFUNCTION("IFERROR(VALUE(REGEXEXTRACT(TO_TEXT($F1412), S$1 &amp; ""x(\d+)"")), """")"),"")</f>
        <v/>
      </c>
      <c r="T1412" s="9">
        <f ca="1">IFERROR(__xludf.DUMMYFUNCTION("IFERROR(VALUE(REGEXEXTRACT(TO_TEXT($F1412), T$1 &amp; ""x(\d+)"")), """")"),1)</f>
        <v>1</v>
      </c>
      <c r="U1412" s="9" t="str">
        <f ca="1">IFERROR(__xludf.DUMMYFUNCTION("IFERROR(VALUE(REGEXEXTRACT(TO_TEXT($F1412), U$1 &amp; ""x(\d+)"")), """")"),"")</f>
        <v/>
      </c>
      <c r="V1412" s="9" t="str">
        <f ca="1">IFERROR(__xludf.DUMMYFUNCTION("IFERROR(VALUE(REGEXEXTRACT(TO_TEXT($F1412), V$1 &amp; ""x(\d+)"")), """")"),"")</f>
        <v/>
      </c>
      <c r="W1412" s="9"/>
      <c r="X1412" s="9"/>
      <c r="Y1412" s="9"/>
      <c r="Z1412" s="9"/>
    </row>
    <row r="1413" spans="1:26" ht="15.75" customHeight="1">
      <c r="A1413" s="9" t="s">
        <v>2478</v>
      </c>
      <c r="B1413" s="9" t="s">
        <v>2479</v>
      </c>
      <c r="C1413" s="9" t="s">
        <v>2480</v>
      </c>
      <c r="D1413" s="9" t="s">
        <v>40</v>
      </c>
      <c r="E1413" s="9" t="s">
        <v>13</v>
      </c>
      <c r="F1413" s="9" t="s">
        <v>1626</v>
      </c>
      <c r="G1413" s="9">
        <v>30</v>
      </c>
      <c r="H1413" s="9">
        <v>1</v>
      </c>
      <c r="I1413" s="9">
        <v>1.0149999999999999</v>
      </c>
      <c r="J1413" s="9">
        <v>412</v>
      </c>
      <c r="K1413" s="9" t="s">
        <v>442</v>
      </c>
      <c r="L1413" s="9"/>
      <c r="M1413" s="9"/>
      <c r="N1413" s="9" t="str">
        <f ca="1">IFERROR(__xludf.DUMMYFUNCTION("IFERROR(VALUE(REGEXEXTRACT(TO_TEXT($F1413), N$1 &amp; ""x(\d+)"")), """")
"),"")</f>
        <v/>
      </c>
      <c r="O1413" s="9" t="str">
        <f ca="1">IFERROR(__xludf.DUMMYFUNCTION("IFERROR(VALUE(REGEXEXTRACT(TO_TEXT($F1413), O$1 &amp; ""x(\d+)"")), """")"),"")</f>
        <v/>
      </c>
      <c r="P1413" s="9" t="str">
        <f ca="1">IFERROR(__xludf.DUMMYFUNCTION("IFERROR(VALUE(REGEXEXTRACT(TO_TEXT($F1413), P$1 &amp; ""x(\d+)"")), """")"),"")</f>
        <v/>
      </c>
      <c r="Q1413" s="9" t="str">
        <f ca="1">IFERROR(__xludf.DUMMYFUNCTION("IFERROR(VALUE(REGEXEXTRACT(TO_TEXT($F1413), Q$1 &amp; ""x(\d+)"")), """")"),"")</f>
        <v/>
      </c>
      <c r="R1413" s="9" t="str">
        <f ca="1">IFERROR(__xludf.DUMMYFUNCTION("IFERROR(VALUE(REGEXEXTRACT(TO_TEXT($F1413), R$1 &amp; ""x(\d+)"")), """")"),"")</f>
        <v/>
      </c>
      <c r="S1413" s="9" t="str">
        <f ca="1">IFERROR(__xludf.DUMMYFUNCTION("IFERROR(VALUE(REGEXEXTRACT(TO_TEXT($F1413), S$1 &amp; ""x(\d+)"")), """")"),"")</f>
        <v/>
      </c>
      <c r="T1413" s="9">
        <f ca="1">IFERROR(__xludf.DUMMYFUNCTION("IFERROR(VALUE(REGEXEXTRACT(TO_TEXT($F1413), T$1 &amp; ""x(\d+)"")), """")"),1)</f>
        <v>1</v>
      </c>
      <c r="U1413" s="9" t="str">
        <f ca="1">IFERROR(__xludf.DUMMYFUNCTION("IFERROR(VALUE(REGEXEXTRACT(TO_TEXT($F1413), U$1 &amp; ""x(\d+)"")), """")"),"")</f>
        <v/>
      </c>
      <c r="V1413" s="9" t="str">
        <f ca="1">IFERROR(__xludf.DUMMYFUNCTION("IFERROR(VALUE(REGEXEXTRACT(TO_TEXT($F1413), V$1 &amp; ""x(\d+)"")), """")"),"")</f>
        <v/>
      </c>
      <c r="W1413" s="9"/>
      <c r="X1413" s="9"/>
      <c r="Y1413" s="9"/>
      <c r="Z1413" s="9"/>
    </row>
    <row r="1414" spans="1:26" ht="15.75" customHeight="1">
      <c r="A1414" s="9" t="s">
        <v>2481</v>
      </c>
      <c r="B1414" s="9" t="s">
        <v>2479</v>
      </c>
      <c r="C1414" s="9" t="s">
        <v>2482</v>
      </c>
      <c r="D1414" s="9" t="s">
        <v>40</v>
      </c>
      <c r="E1414" s="9" t="s">
        <v>11</v>
      </c>
      <c r="F1414" s="9" t="s">
        <v>2474</v>
      </c>
      <c r="G1414" s="9">
        <v>35</v>
      </c>
      <c r="H1414" s="9">
        <v>1</v>
      </c>
      <c r="I1414" s="9">
        <v>1.0149999999999999</v>
      </c>
      <c r="J1414" s="9">
        <v>412</v>
      </c>
      <c r="K1414" s="9" t="s">
        <v>442</v>
      </c>
      <c r="L1414" s="9"/>
      <c r="M1414" s="9"/>
      <c r="N1414" s="9" t="str">
        <f ca="1">IFERROR(__xludf.DUMMYFUNCTION("IFERROR(VALUE(REGEXEXTRACT(TO_TEXT($F1414), N$1 &amp; ""x(\d+)"")), """")
"),"")</f>
        <v/>
      </c>
      <c r="O1414" s="9" t="str">
        <f ca="1">IFERROR(__xludf.DUMMYFUNCTION("IFERROR(VALUE(REGEXEXTRACT(TO_TEXT($F1414), O$1 &amp; ""x(\d+)"")), """")"),"")</f>
        <v/>
      </c>
      <c r="P1414" s="9" t="str">
        <f ca="1">IFERROR(__xludf.DUMMYFUNCTION("IFERROR(VALUE(REGEXEXTRACT(TO_TEXT($F1414), P$1 &amp; ""x(\d+)"")), """")"),"")</f>
        <v/>
      </c>
      <c r="Q1414" s="9" t="str">
        <f ca="1">IFERROR(__xludf.DUMMYFUNCTION("IFERROR(VALUE(REGEXEXTRACT(TO_TEXT($F1414), Q$1 &amp; ""x(\d+)"")), """")"),"")</f>
        <v/>
      </c>
      <c r="R1414" s="9" t="str">
        <f ca="1">IFERROR(__xludf.DUMMYFUNCTION("IFERROR(VALUE(REGEXEXTRACT(TO_TEXT($F1414), R$1 &amp; ""x(\d+)"")), """")"),"")</f>
        <v/>
      </c>
      <c r="S1414" s="9" t="str">
        <f ca="1">IFERROR(__xludf.DUMMYFUNCTION("IFERROR(VALUE(REGEXEXTRACT(TO_TEXT($F1414), S$1 &amp; ""x(\d+)"")), """")"),"")</f>
        <v/>
      </c>
      <c r="T1414" s="9" t="str">
        <f ca="1">IFERROR(__xludf.DUMMYFUNCTION("IFERROR(VALUE(REGEXEXTRACT(TO_TEXT($F1414), T$1 &amp; ""x(\d+)"")), """")"),"")</f>
        <v/>
      </c>
      <c r="U1414" s="9" t="str">
        <f ca="1">IFERROR(__xludf.DUMMYFUNCTION("IFERROR(VALUE(REGEXEXTRACT(TO_TEXT($F1414), U$1 &amp; ""x(\d+)"")), """")"),"")</f>
        <v/>
      </c>
      <c r="V1414" s="9" t="str">
        <f ca="1">IFERROR(__xludf.DUMMYFUNCTION("IFERROR(VALUE(REGEXEXTRACT(TO_TEXT($F1414), V$1 &amp; ""x(\d+)"")), """")"),"")</f>
        <v/>
      </c>
      <c r="W1414" s="9"/>
      <c r="X1414" s="9"/>
      <c r="Y1414" s="9"/>
      <c r="Z1414" s="9"/>
    </row>
    <row r="1415" spans="1:26" ht="15.75" customHeight="1">
      <c r="A1415" s="9" t="s">
        <v>2481</v>
      </c>
      <c r="B1415" s="9" t="s">
        <v>2479</v>
      </c>
      <c r="C1415" s="9" t="s">
        <v>2482</v>
      </c>
      <c r="D1415" s="9" t="s">
        <v>40</v>
      </c>
      <c r="E1415" s="9" t="s">
        <v>12</v>
      </c>
      <c r="F1415" s="9" t="s">
        <v>2475</v>
      </c>
      <c r="G1415" s="9">
        <v>315</v>
      </c>
      <c r="H1415" s="9">
        <v>1</v>
      </c>
      <c r="I1415" s="9">
        <v>1.0149999999999999</v>
      </c>
      <c r="J1415" s="9">
        <v>412</v>
      </c>
      <c r="K1415" s="9" t="s">
        <v>442</v>
      </c>
      <c r="L1415" s="9" t="s">
        <v>1210</v>
      </c>
      <c r="M1415" s="9"/>
      <c r="N1415" s="9" t="str">
        <f ca="1">IFERROR(__xludf.DUMMYFUNCTION("IFERROR(VALUE(REGEXEXTRACT(TO_TEXT($F1415), N$1 &amp; ""x(\d+)"")), """")
"),"")</f>
        <v/>
      </c>
      <c r="O1415" s="9" t="str">
        <f ca="1">IFERROR(__xludf.DUMMYFUNCTION("IFERROR(VALUE(REGEXEXTRACT(TO_TEXT($F1415), O$1 &amp; ""x(\d+)"")), """")"),"")</f>
        <v/>
      </c>
      <c r="P1415" s="9" t="str">
        <f ca="1">IFERROR(__xludf.DUMMYFUNCTION("IFERROR(VALUE(REGEXEXTRACT(TO_TEXT($F1415), P$1 &amp; ""x(\d+)"")), """")"),"")</f>
        <v/>
      </c>
      <c r="Q1415" s="9" t="str">
        <f ca="1">IFERROR(__xludf.DUMMYFUNCTION("IFERROR(VALUE(REGEXEXTRACT(TO_TEXT($F1415), Q$1 &amp; ""x(\d+)"")), """")"),"")</f>
        <v/>
      </c>
      <c r="R1415" s="9" t="str">
        <f ca="1">IFERROR(__xludf.DUMMYFUNCTION("IFERROR(VALUE(REGEXEXTRACT(TO_TEXT($F1415), R$1 &amp; ""x(\d+)"")), """")"),"")</f>
        <v/>
      </c>
      <c r="S1415" s="9" t="str">
        <f ca="1">IFERROR(__xludf.DUMMYFUNCTION("IFERROR(VALUE(REGEXEXTRACT(TO_TEXT($F1415), S$1 &amp; ""x(\d+)"")), """")"),"")</f>
        <v/>
      </c>
      <c r="T1415" s="9">
        <f ca="1">IFERROR(__xludf.DUMMYFUNCTION("IFERROR(VALUE(REGEXEXTRACT(TO_TEXT($F1415), T$1 &amp; ""x(\d+)"")), """")"),1)</f>
        <v>1</v>
      </c>
      <c r="U1415" s="9" t="str">
        <f ca="1">IFERROR(__xludf.DUMMYFUNCTION("IFERROR(VALUE(REGEXEXTRACT(TO_TEXT($F1415), U$1 &amp; ""x(\d+)"")), """")"),"")</f>
        <v/>
      </c>
      <c r="V1415" s="9" t="str">
        <f ca="1">IFERROR(__xludf.DUMMYFUNCTION("IFERROR(VALUE(REGEXEXTRACT(TO_TEXT($F1415), V$1 &amp; ""x(\d+)"")), """")"),"")</f>
        <v/>
      </c>
      <c r="W1415" s="9"/>
      <c r="X1415" s="9"/>
      <c r="Y1415" s="9"/>
      <c r="Z1415" s="9"/>
    </row>
    <row r="1416" spans="1:26" ht="15.75" customHeight="1">
      <c r="A1416" s="9" t="s">
        <v>2481</v>
      </c>
      <c r="B1416" s="9" t="s">
        <v>2479</v>
      </c>
      <c r="C1416" s="9" t="s">
        <v>2482</v>
      </c>
      <c r="D1416" s="9" t="s">
        <v>40</v>
      </c>
      <c r="E1416" s="9" t="s">
        <v>13</v>
      </c>
      <c r="F1416" s="9" t="s">
        <v>1626</v>
      </c>
      <c r="G1416" s="9">
        <v>30</v>
      </c>
      <c r="H1416" s="9">
        <v>1</v>
      </c>
      <c r="I1416" s="9">
        <v>1.0149999999999999</v>
      </c>
      <c r="J1416" s="9">
        <v>412</v>
      </c>
      <c r="K1416" s="9" t="s">
        <v>442</v>
      </c>
      <c r="L1416" s="9"/>
      <c r="M1416" s="9"/>
      <c r="N1416" s="9" t="str">
        <f ca="1">IFERROR(__xludf.DUMMYFUNCTION("IFERROR(VALUE(REGEXEXTRACT(TO_TEXT($F1416), N$1 &amp; ""x(\d+)"")), """")
"),"")</f>
        <v/>
      </c>
      <c r="O1416" s="9" t="str">
        <f ca="1">IFERROR(__xludf.DUMMYFUNCTION("IFERROR(VALUE(REGEXEXTRACT(TO_TEXT($F1416), O$1 &amp; ""x(\d+)"")), """")"),"")</f>
        <v/>
      </c>
      <c r="P1416" s="9" t="str">
        <f ca="1">IFERROR(__xludf.DUMMYFUNCTION("IFERROR(VALUE(REGEXEXTRACT(TO_TEXT($F1416), P$1 &amp; ""x(\d+)"")), """")"),"")</f>
        <v/>
      </c>
      <c r="Q1416" s="9" t="str">
        <f ca="1">IFERROR(__xludf.DUMMYFUNCTION("IFERROR(VALUE(REGEXEXTRACT(TO_TEXT($F1416), Q$1 &amp; ""x(\d+)"")), """")"),"")</f>
        <v/>
      </c>
      <c r="R1416" s="9" t="str">
        <f ca="1">IFERROR(__xludf.DUMMYFUNCTION("IFERROR(VALUE(REGEXEXTRACT(TO_TEXT($F1416), R$1 &amp; ""x(\d+)"")), """")"),"")</f>
        <v/>
      </c>
      <c r="S1416" s="9" t="str">
        <f ca="1">IFERROR(__xludf.DUMMYFUNCTION("IFERROR(VALUE(REGEXEXTRACT(TO_TEXT($F1416), S$1 &amp; ""x(\d+)"")), """")"),"")</f>
        <v/>
      </c>
      <c r="T1416" s="9">
        <f ca="1">IFERROR(__xludf.DUMMYFUNCTION("IFERROR(VALUE(REGEXEXTRACT(TO_TEXT($F1416), T$1 &amp; ""x(\d+)"")), """")"),1)</f>
        <v>1</v>
      </c>
      <c r="U1416" s="9" t="str">
        <f ca="1">IFERROR(__xludf.DUMMYFUNCTION("IFERROR(VALUE(REGEXEXTRACT(TO_TEXT($F1416), U$1 &amp; ""x(\d+)"")), """")"),"")</f>
        <v/>
      </c>
      <c r="V1416" s="9" t="str">
        <f ca="1">IFERROR(__xludf.DUMMYFUNCTION("IFERROR(VALUE(REGEXEXTRACT(TO_TEXT($F1416), V$1 &amp; ""x(\d+)"")), """")"),"")</f>
        <v/>
      </c>
      <c r="W1416" s="9"/>
      <c r="X1416" s="9"/>
      <c r="Y1416" s="9"/>
      <c r="Z1416" s="9"/>
    </row>
    <row r="1417" spans="1:26" ht="15.75" customHeight="1">
      <c r="A1417" s="9" t="s">
        <v>2483</v>
      </c>
      <c r="B1417" s="9" t="s">
        <v>2484</v>
      </c>
      <c r="C1417" s="9" t="s">
        <v>2485</v>
      </c>
      <c r="D1417" s="9" t="s">
        <v>40</v>
      </c>
      <c r="E1417" s="9" t="s">
        <v>11</v>
      </c>
      <c r="F1417" s="9" t="s">
        <v>2486</v>
      </c>
      <c r="G1417" s="9">
        <v>20</v>
      </c>
      <c r="H1417" s="9">
        <v>3</v>
      </c>
      <c r="I1417" s="9">
        <v>1.0149999999999999</v>
      </c>
      <c r="J1417" s="9">
        <v>412</v>
      </c>
      <c r="K1417" s="9" t="s">
        <v>442</v>
      </c>
      <c r="L1417" s="9"/>
      <c r="M1417" s="9"/>
      <c r="N1417" s="9" t="str">
        <f ca="1">IFERROR(__xludf.DUMMYFUNCTION("IFERROR(VALUE(REGEXEXTRACT(TO_TEXT($F1417), N$1 &amp; ""x(\d+)"")), """")
"),"")</f>
        <v/>
      </c>
      <c r="O1417" s="9" t="str">
        <f ca="1">IFERROR(__xludf.DUMMYFUNCTION("IFERROR(VALUE(REGEXEXTRACT(TO_TEXT($F1417), O$1 &amp; ""x(\d+)"")), """")"),"")</f>
        <v/>
      </c>
      <c r="P1417" s="9" t="str">
        <f ca="1">IFERROR(__xludf.DUMMYFUNCTION("IFERROR(VALUE(REGEXEXTRACT(TO_TEXT($F1417), P$1 &amp; ""x(\d+)"")), """")"),"")</f>
        <v/>
      </c>
      <c r="Q1417" s="9" t="str">
        <f ca="1">IFERROR(__xludf.DUMMYFUNCTION("IFERROR(VALUE(REGEXEXTRACT(TO_TEXT($F1417), Q$1 &amp; ""x(\d+)"")), """")"),"")</f>
        <v/>
      </c>
      <c r="R1417" s="9" t="str">
        <f ca="1">IFERROR(__xludf.DUMMYFUNCTION("IFERROR(VALUE(REGEXEXTRACT(TO_TEXT($F1417), R$1 &amp; ""x(\d+)"")), """")"),"")</f>
        <v/>
      </c>
      <c r="S1417" s="9" t="str">
        <f ca="1">IFERROR(__xludf.DUMMYFUNCTION("IFERROR(VALUE(REGEXEXTRACT(TO_TEXT($F1417), S$1 &amp; ""x(\d+)"")), """")"),"")</f>
        <v/>
      </c>
      <c r="T1417" s="9" t="str">
        <f ca="1">IFERROR(__xludf.DUMMYFUNCTION("IFERROR(VALUE(REGEXEXTRACT(TO_TEXT($F1417), T$1 &amp; ""x(\d+)"")), """")"),"")</f>
        <v/>
      </c>
      <c r="U1417" s="9" t="str">
        <f ca="1">IFERROR(__xludf.DUMMYFUNCTION("IFERROR(VALUE(REGEXEXTRACT(TO_TEXT($F1417), U$1 &amp; ""x(\d+)"")), """")"),"")</f>
        <v/>
      </c>
      <c r="V1417" s="9" t="str">
        <f ca="1">IFERROR(__xludf.DUMMYFUNCTION("IFERROR(VALUE(REGEXEXTRACT(TO_TEXT($F1417), V$1 &amp; ""x(\d+)"")), """")"),"")</f>
        <v/>
      </c>
      <c r="W1417" s="9"/>
      <c r="X1417" s="9"/>
      <c r="Y1417" s="9"/>
      <c r="Z1417" s="9"/>
    </row>
    <row r="1418" spans="1:26" ht="15.75" customHeight="1">
      <c r="A1418" s="9" t="s">
        <v>2483</v>
      </c>
      <c r="B1418" s="9" t="s">
        <v>2484</v>
      </c>
      <c r="C1418" s="9" t="s">
        <v>2485</v>
      </c>
      <c r="D1418" s="9" t="s">
        <v>40</v>
      </c>
      <c r="E1418" s="9" t="s">
        <v>12</v>
      </c>
      <c r="F1418" s="9" t="s">
        <v>2487</v>
      </c>
      <c r="G1418" s="9">
        <v>150</v>
      </c>
      <c r="H1418" s="9">
        <v>3</v>
      </c>
      <c r="I1418" s="9">
        <v>1.0149999999999999</v>
      </c>
      <c r="J1418" s="9">
        <v>412</v>
      </c>
      <c r="K1418" s="9" t="s">
        <v>442</v>
      </c>
      <c r="L1418" s="9" t="s">
        <v>1015</v>
      </c>
      <c r="M1418" s="9"/>
      <c r="N1418" s="9" t="str">
        <f ca="1">IFERROR(__xludf.DUMMYFUNCTION("IFERROR(VALUE(REGEXEXTRACT(TO_TEXT($F1418), N$1 &amp; ""x(\d+)"")), """")
"),"")</f>
        <v/>
      </c>
      <c r="O1418" s="9" t="str">
        <f ca="1">IFERROR(__xludf.DUMMYFUNCTION("IFERROR(VALUE(REGEXEXTRACT(TO_TEXT($F1418), O$1 &amp; ""x(\d+)"")), """")"),"")</f>
        <v/>
      </c>
      <c r="P1418" s="9" t="str">
        <f ca="1">IFERROR(__xludf.DUMMYFUNCTION("IFERROR(VALUE(REGEXEXTRACT(TO_TEXT($F1418), P$1 &amp; ""x(\d+)"")), """")"),"")</f>
        <v/>
      </c>
      <c r="Q1418" s="9" t="str">
        <f ca="1">IFERROR(__xludf.DUMMYFUNCTION("IFERROR(VALUE(REGEXEXTRACT(TO_TEXT($F1418), Q$1 &amp; ""x(\d+)"")), """")"),"")</f>
        <v/>
      </c>
      <c r="R1418" s="9" t="str">
        <f ca="1">IFERROR(__xludf.DUMMYFUNCTION("IFERROR(VALUE(REGEXEXTRACT(TO_TEXT($F1418), R$1 &amp; ""x(\d+)"")), """")"),"")</f>
        <v/>
      </c>
      <c r="S1418" s="9">
        <f ca="1">IFERROR(__xludf.DUMMYFUNCTION("IFERROR(VALUE(REGEXEXTRACT(TO_TEXT($F1418), S$1 &amp; ""x(\d+)"")), """")"),1)</f>
        <v>1</v>
      </c>
      <c r="T1418" s="9" t="str">
        <f ca="1">IFERROR(__xludf.DUMMYFUNCTION("IFERROR(VALUE(REGEXEXTRACT(TO_TEXT($F1418), T$1 &amp; ""x(\d+)"")), """")"),"")</f>
        <v/>
      </c>
      <c r="U1418" s="9" t="str">
        <f ca="1">IFERROR(__xludf.DUMMYFUNCTION("IFERROR(VALUE(REGEXEXTRACT(TO_TEXT($F1418), U$1 &amp; ""x(\d+)"")), """")"),"")</f>
        <v/>
      </c>
      <c r="V1418" s="9" t="str">
        <f ca="1">IFERROR(__xludf.DUMMYFUNCTION("IFERROR(VALUE(REGEXEXTRACT(TO_TEXT($F1418), V$1 &amp; ""x(\d+)"")), """")"),"")</f>
        <v/>
      </c>
      <c r="W1418" s="9"/>
      <c r="X1418" s="9"/>
      <c r="Y1418" s="9"/>
      <c r="Z1418" s="9"/>
    </row>
    <row r="1419" spans="1:26" ht="15.75" customHeight="1">
      <c r="A1419" s="9" t="s">
        <v>2483</v>
      </c>
      <c r="B1419" s="9" t="s">
        <v>2484</v>
      </c>
      <c r="C1419" s="9" t="s">
        <v>2485</v>
      </c>
      <c r="D1419" s="9" t="s">
        <v>40</v>
      </c>
      <c r="E1419" s="9" t="s">
        <v>13</v>
      </c>
      <c r="F1419" s="9" t="s">
        <v>1133</v>
      </c>
      <c r="G1419" s="9">
        <v>30</v>
      </c>
      <c r="H1419" s="9">
        <v>3</v>
      </c>
      <c r="I1419" s="9">
        <v>1.0149999999999999</v>
      </c>
      <c r="J1419" s="9">
        <v>412</v>
      </c>
      <c r="K1419" s="9" t="s">
        <v>442</v>
      </c>
      <c r="L1419" s="9"/>
      <c r="M1419" s="9"/>
      <c r="N1419" s="9" t="str">
        <f ca="1">IFERROR(__xludf.DUMMYFUNCTION("IFERROR(VALUE(REGEXEXTRACT(TO_TEXT($F1419), N$1 &amp; ""x(\d+)"")), """")
"),"")</f>
        <v/>
      </c>
      <c r="O1419" s="9" t="str">
        <f ca="1">IFERROR(__xludf.DUMMYFUNCTION("IFERROR(VALUE(REGEXEXTRACT(TO_TEXT($F1419), O$1 &amp; ""x(\d+)"")), """")"),"")</f>
        <v/>
      </c>
      <c r="P1419" s="9" t="str">
        <f ca="1">IFERROR(__xludf.DUMMYFUNCTION("IFERROR(VALUE(REGEXEXTRACT(TO_TEXT($F1419), P$1 &amp; ""x(\d+)"")), """")"),"")</f>
        <v/>
      </c>
      <c r="Q1419" s="9" t="str">
        <f ca="1">IFERROR(__xludf.DUMMYFUNCTION("IFERROR(VALUE(REGEXEXTRACT(TO_TEXT($F1419), Q$1 &amp; ""x(\d+)"")), """")"),"")</f>
        <v/>
      </c>
      <c r="R1419" s="9" t="str">
        <f ca="1">IFERROR(__xludf.DUMMYFUNCTION("IFERROR(VALUE(REGEXEXTRACT(TO_TEXT($F1419), R$1 &amp; ""x(\d+)"")), """")"),"")</f>
        <v/>
      </c>
      <c r="S1419" s="9">
        <f ca="1">IFERROR(__xludf.DUMMYFUNCTION("IFERROR(VALUE(REGEXEXTRACT(TO_TEXT($F1419), S$1 &amp; ""x(\d+)"")), """")"),1)</f>
        <v>1</v>
      </c>
      <c r="T1419" s="9" t="str">
        <f ca="1">IFERROR(__xludf.DUMMYFUNCTION("IFERROR(VALUE(REGEXEXTRACT(TO_TEXT($F1419), T$1 &amp; ""x(\d+)"")), """")"),"")</f>
        <v/>
      </c>
      <c r="U1419" s="9" t="str">
        <f ca="1">IFERROR(__xludf.DUMMYFUNCTION("IFERROR(VALUE(REGEXEXTRACT(TO_TEXT($F1419), U$1 &amp; ""x(\d+)"")), """")"),"")</f>
        <v/>
      </c>
      <c r="V1419" s="9" t="str">
        <f ca="1">IFERROR(__xludf.DUMMYFUNCTION("IFERROR(VALUE(REGEXEXTRACT(TO_TEXT($F1419), V$1 &amp; ""x(\d+)"")), """")"),"")</f>
        <v/>
      </c>
      <c r="W1419" s="9"/>
      <c r="X1419" s="9"/>
      <c r="Y1419" s="9"/>
      <c r="Z1419" s="9"/>
    </row>
    <row r="1420" spans="1:26" ht="15.75" customHeight="1">
      <c r="A1420" s="9" t="s">
        <v>2488</v>
      </c>
      <c r="B1420" s="9" t="s">
        <v>2489</v>
      </c>
      <c r="C1420" s="9" t="s">
        <v>2490</v>
      </c>
      <c r="D1420" s="9" t="s">
        <v>33</v>
      </c>
      <c r="E1420" s="9" t="s">
        <v>11</v>
      </c>
      <c r="F1420" s="9" t="s">
        <v>1187</v>
      </c>
      <c r="G1420" s="9">
        <v>80</v>
      </c>
      <c r="H1420" s="9">
        <v>4</v>
      </c>
      <c r="I1420" s="9">
        <v>1.0149999999999999</v>
      </c>
      <c r="J1420" s="9">
        <v>100</v>
      </c>
      <c r="K1420" s="9" t="s">
        <v>442</v>
      </c>
      <c r="L1420" s="9"/>
      <c r="M1420" s="9"/>
      <c r="N1420" s="9" t="str">
        <f ca="1">IFERROR(__xludf.DUMMYFUNCTION("IFERROR(VALUE(REGEXEXTRACT(TO_TEXT($F1420), N$1 &amp; ""x(\d+)"")), """")
"),"")</f>
        <v/>
      </c>
      <c r="O1420" s="9">
        <f ca="1">IFERROR(__xludf.DUMMYFUNCTION("IFERROR(VALUE(REGEXEXTRACT(TO_TEXT($F1420), O$1 &amp; ""x(\d+)"")), """")"),1)</f>
        <v>1</v>
      </c>
      <c r="P1420" s="9" t="str">
        <f ca="1">IFERROR(__xludf.DUMMYFUNCTION("IFERROR(VALUE(REGEXEXTRACT(TO_TEXT($F1420), P$1 &amp; ""x(\d+)"")), """")"),"")</f>
        <v/>
      </c>
      <c r="Q1420" s="9" t="str">
        <f ca="1">IFERROR(__xludf.DUMMYFUNCTION("IFERROR(VALUE(REGEXEXTRACT(TO_TEXT($F1420), Q$1 &amp; ""x(\d+)"")), """")"),"")</f>
        <v/>
      </c>
      <c r="R1420" s="9" t="str">
        <f ca="1">IFERROR(__xludf.DUMMYFUNCTION("IFERROR(VALUE(REGEXEXTRACT(TO_TEXT($F1420), R$1 &amp; ""x(\d+)"")), """")"),"")</f>
        <v/>
      </c>
      <c r="S1420" s="9" t="str">
        <f ca="1">IFERROR(__xludf.DUMMYFUNCTION("IFERROR(VALUE(REGEXEXTRACT(TO_TEXT($F1420), S$1 &amp; ""x(\d+)"")), """")"),"")</f>
        <v/>
      </c>
      <c r="T1420" s="9" t="str">
        <f ca="1">IFERROR(__xludf.DUMMYFUNCTION("IFERROR(VALUE(REGEXEXTRACT(TO_TEXT($F1420), T$1 &amp; ""x(\d+)"")), """")"),"")</f>
        <v/>
      </c>
      <c r="U1420" s="9" t="str">
        <f ca="1">IFERROR(__xludf.DUMMYFUNCTION("IFERROR(VALUE(REGEXEXTRACT(TO_TEXT($F1420), U$1 &amp; ""x(\d+)"")), """")"),"")</f>
        <v/>
      </c>
      <c r="V1420" s="9" t="str">
        <f ca="1">IFERROR(__xludf.DUMMYFUNCTION("IFERROR(VALUE(REGEXEXTRACT(TO_TEXT($F1420), V$1 &amp; ""x(\d+)"")), """")"),"")</f>
        <v/>
      </c>
      <c r="W1420" s="9"/>
      <c r="X1420" s="9"/>
      <c r="Y1420" s="9"/>
      <c r="Z1420" s="9"/>
    </row>
    <row r="1421" spans="1:26" ht="15.75" customHeight="1">
      <c r="A1421" s="9" t="s">
        <v>2488</v>
      </c>
      <c r="B1421" s="9" t="s">
        <v>2489</v>
      </c>
      <c r="C1421" s="9" t="s">
        <v>2490</v>
      </c>
      <c r="D1421" s="9" t="s">
        <v>33</v>
      </c>
      <c r="E1421" s="9" t="s">
        <v>12</v>
      </c>
      <c r="F1421" s="9" t="s">
        <v>2491</v>
      </c>
      <c r="G1421" s="9">
        <v>60</v>
      </c>
      <c r="H1421" s="9">
        <v>4</v>
      </c>
      <c r="I1421" s="9">
        <v>1.0149999999999999</v>
      </c>
      <c r="J1421" s="9">
        <v>100</v>
      </c>
      <c r="K1421" s="9" t="s">
        <v>442</v>
      </c>
      <c r="L1421" s="9"/>
      <c r="M1421" s="9"/>
      <c r="N1421" s="9" t="str">
        <f ca="1">IFERROR(__xludf.DUMMYFUNCTION("IFERROR(VALUE(REGEXEXTRACT(TO_TEXT($F1421), N$1 &amp; ""x(\d+)"")), """")
"),"")</f>
        <v/>
      </c>
      <c r="O1421" s="9">
        <f ca="1">IFERROR(__xludf.DUMMYFUNCTION("IFERROR(VALUE(REGEXEXTRACT(TO_TEXT($F1421), O$1 &amp; ""x(\d+)"")), """")"),1)</f>
        <v>1</v>
      </c>
      <c r="P1421" s="9" t="str">
        <f ca="1">IFERROR(__xludf.DUMMYFUNCTION("IFERROR(VALUE(REGEXEXTRACT(TO_TEXT($F1421), P$1 &amp; ""x(\d+)"")), """")"),"")</f>
        <v/>
      </c>
      <c r="Q1421" s="9" t="str">
        <f ca="1">IFERROR(__xludf.DUMMYFUNCTION("IFERROR(VALUE(REGEXEXTRACT(TO_TEXT($F1421), Q$1 &amp; ""x(\d+)"")), """")"),"")</f>
        <v/>
      </c>
      <c r="R1421" s="9" t="str">
        <f ca="1">IFERROR(__xludf.DUMMYFUNCTION("IFERROR(VALUE(REGEXEXTRACT(TO_TEXT($F1421), R$1 &amp; ""x(\d+)"")), """")"),"")</f>
        <v/>
      </c>
      <c r="S1421" s="9" t="str">
        <f ca="1">IFERROR(__xludf.DUMMYFUNCTION("IFERROR(VALUE(REGEXEXTRACT(TO_TEXT($F1421), S$1 &amp; ""x(\d+)"")), """")"),"")</f>
        <v/>
      </c>
      <c r="T1421" s="9" t="str">
        <f ca="1">IFERROR(__xludf.DUMMYFUNCTION("IFERROR(VALUE(REGEXEXTRACT(TO_TEXT($F1421), T$1 &amp; ""x(\d+)"")), """")"),"")</f>
        <v/>
      </c>
      <c r="U1421" s="9" t="str">
        <f ca="1">IFERROR(__xludf.DUMMYFUNCTION("IFERROR(VALUE(REGEXEXTRACT(TO_TEXT($F1421), U$1 &amp; ""x(\d+)"")), """")"),"")</f>
        <v/>
      </c>
      <c r="V1421" s="9" t="str">
        <f ca="1">IFERROR(__xludf.DUMMYFUNCTION("IFERROR(VALUE(REGEXEXTRACT(TO_TEXT($F1421), V$1 &amp; ""x(\d+)"")), """")"),"")</f>
        <v/>
      </c>
      <c r="W1421" s="9"/>
      <c r="X1421" s="9"/>
      <c r="Y1421" s="9"/>
      <c r="Z1421" s="9"/>
    </row>
    <row r="1422" spans="1:26" ht="15.75" customHeight="1">
      <c r="A1422" s="9" t="s">
        <v>2488</v>
      </c>
      <c r="B1422" s="9" t="s">
        <v>2489</v>
      </c>
      <c r="C1422" s="9" t="s">
        <v>2490</v>
      </c>
      <c r="D1422" s="9" t="s">
        <v>33</v>
      </c>
      <c r="E1422" s="9" t="s">
        <v>13</v>
      </c>
      <c r="F1422" s="9" t="s">
        <v>1188</v>
      </c>
      <c r="G1422" s="9">
        <v>30</v>
      </c>
      <c r="H1422" s="9">
        <v>4</v>
      </c>
      <c r="I1422" s="9">
        <v>1.0149999999999999</v>
      </c>
      <c r="J1422" s="9">
        <v>100</v>
      </c>
      <c r="K1422" s="9" t="s">
        <v>442</v>
      </c>
      <c r="L1422" s="9"/>
      <c r="M1422" s="9"/>
      <c r="N1422" s="9" t="str">
        <f ca="1">IFERROR(__xludf.DUMMYFUNCTION("IFERROR(VALUE(REGEXEXTRACT(TO_TEXT($F1422), N$1 &amp; ""x(\d+)"")), """")
"),"")</f>
        <v/>
      </c>
      <c r="O1422" s="9">
        <f ca="1">IFERROR(__xludf.DUMMYFUNCTION("IFERROR(VALUE(REGEXEXTRACT(TO_TEXT($F1422), O$1 &amp; ""x(\d+)"")), """")"),1)</f>
        <v>1</v>
      </c>
      <c r="P1422" s="9" t="str">
        <f ca="1">IFERROR(__xludf.DUMMYFUNCTION("IFERROR(VALUE(REGEXEXTRACT(TO_TEXT($F1422), P$1 &amp; ""x(\d+)"")), """")"),"")</f>
        <v/>
      </c>
      <c r="Q1422" s="9" t="str">
        <f ca="1">IFERROR(__xludf.DUMMYFUNCTION("IFERROR(VALUE(REGEXEXTRACT(TO_TEXT($F1422), Q$1 &amp; ""x(\d+)"")), """")"),"")</f>
        <v/>
      </c>
      <c r="R1422" s="9" t="str">
        <f ca="1">IFERROR(__xludf.DUMMYFUNCTION("IFERROR(VALUE(REGEXEXTRACT(TO_TEXT($F1422), R$1 &amp; ""x(\d+)"")), """")"),"")</f>
        <v/>
      </c>
      <c r="S1422" s="9" t="str">
        <f ca="1">IFERROR(__xludf.DUMMYFUNCTION("IFERROR(VALUE(REGEXEXTRACT(TO_TEXT($F1422), S$1 &amp; ""x(\d+)"")), """")"),"")</f>
        <v/>
      </c>
      <c r="T1422" s="9" t="str">
        <f ca="1">IFERROR(__xludf.DUMMYFUNCTION("IFERROR(VALUE(REGEXEXTRACT(TO_TEXT($F1422), T$1 &amp; ""x(\d+)"")), """")"),"")</f>
        <v/>
      </c>
      <c r="U1422" s="9" t="str">
        <f ca="1">IFERROR(__xludf.DUMMYFUNCTION("IFERROR(VALUE(REGEXEXTRACT(TO_TEXT($F1422), U$1 &amp; ""x(\d+)"")), """")"),"")</f>
        <v/>
      </c>
      <c r="V1422" s="9" t="str">
        <f ca="1">IFERROR(__xludf.DUMMYFUNCTION("IFERROR(VALUE(REGEXEXTRACT(TO_TEXT($F1422), V$1 &amp; ""x(\d+)"")), """")"),"")</f>
        <v/>
      </c>
      <c r="W1422" s="9"/>
      <c r="X1422" s="9"/>
      <c r="Y1422" s="9"/>
      <c r="Z1422" s="9"/>
    </row>
    <row r="1423" spans="1:26" ht="15.75" customHeight="1">
      <c r="A1423" s="9" t="s">
        <v>2492</v>
      </c>
      <c r="B1423" s="9" t="s">
        <v>2489</v>
      </c>
      <c r="C1423" s="9" t="s">
        <v>2493</v>
      </c>
      <c r="D1423" s="9" t="s">
        <v>33</v>
      </c>
      <c r="E1423" s="9" t="s">
        <v>11</v>
      </c>
      <c r="F1423" s="9" t="s">
        <v>1187</v>
      </c>
      <c r="G1423" s="9">
        <v>80</v>
      </c>
      <c r="H1423" s="9">
        <v>4</v>
      </c>
      <c r="I1423" s="9">
        <v>1.0149999999999999</v>
      </c>
      <c r="J1423" s="9">
        <v>100</v>
      </c>
      <c r="K1423" s="9" t="s">
        <v>442</v>
      </c>
      <c r="L1423" s="9"/>
      <c r="M1423" s="9"/>
      <c r="N1423" s="9" t="str">
        <f ca="1">IFERROR(__xludf.DUMMYFUNCTION("IFERROR(VALUE(REGEXEXTRACT(TO_TEXT($F1423), N$1 &amp; ""x(\d+)"")), """")
"),"")</f>
        <v/>
      </c>
      <c r="O1423" s="9">
        <f ca="1">IFERROR(__xludf.DUMMYFUNCTION("IFERROR(VALUE(REGEXEXTRACT(TO_TEXT($F1423), O$1 &amp; ""x(\d+)"")), """")"),1)</f>
        <v>1</v>
      </c>
      <c r="P1423" s="9" t="str">
        <f ca="1">IFERROR(__xludf.DUMMYFUNCTION("IFERROR(VALUE(REGEXEXTRACT(TO_TEXT($F1423), P$1 &amp; ""x(\d+)"")), """")"),"")</f>
        <v/>
      </c>
      <c r="Q1423" s="9" t="str">
        <f ca="1">IFERROR(__xludf.DUMMYFUNCTION("IFERROR(VALUE(REGEXEXTRACT(TO_TEXT($F1423), Q$1 &amp; ""x(\d+)"")), """")"),"")</f>
        <v/>
      </c>
      <c r="R1423" s="9" t="str">
        <f ca="1">IFERROR(__xludf.DUMMYFUNCTION("IFERROR(VALUE(REGEXEXTRACT(TO_TEXT($F1423), R$1 &amp; ""x(\d+)"")), """")"),"")</f>
        <v/>
      </c>
      <c r="S1423" s="9" t="str">
        <f ca="1">IFERROR(__xludf.DUMMYFUNCTION("IFERROR(VALUE(REGEXEXTRACT(TO_TEXT($F1423), S$1 &amp; ""x(\d+)"")), """")"),"")</f>
        <v/>
      </c>
      <c r="T1423" s="9" t="str">
        <f ca="1">IFERROR(__xludf.DUMMYFUNCTION("IFERROR(VALUE(REGEXEXTRACT(TO_TEXT($F1423), T$1 &amp; ""x(\d+)"")), """")"),"")</f>
        <v/>
      </c>
      <c r="U1423" s="9" t="str">
        <f ca="1">IFERROR(__xludf.DUMMYFUNCTION("IFERROR(VALUE(REGEXEXTRACT(TO_TEXT($F1423), U$1 &amp; ""x(\d+)"")), """")"),"")</f>
        <v/>
      </c>
      <c r="V1423" s="9" t="str">
        <f ca="1">IFERROR(__xludf.DUMMYFUNCTION("IFERROR(VALUE(REGEXEXTRACT(TO_TEXT($F1423), V$1 &amp; ""x(\d+)"")), """")"),"")</f>
        <v/>
      </c>
      <c r="W1423" s="9"/>
      <c r="X1423" s="9"/>
      <c r="Y1423" s="9"/>
      <c r="Z1423" s="9"/>
    </row>
    <row r="1424" spans="1:26" ht="15.75" customHeight="1">
      <c r="A1424" s="9" t="s">
        <v>2492</v>
      </c>
      <c r="B1424" s="9" t="s">
        <v>2489</v>
      </c>
      <c r="C1424" s="9" t="s">
        <v>2493</v>
      </c>
      <c r="D1424" s="9" t="s">
        <v>33</v>
      </c>
      <c r="E1424" s="9" t="s">
        <v>12</v>
      </c>
      <c r="F1424" s="9" t="s">
        <v>2491</v>
      </c>
      <c r="G1424" s="9">
        <v>60</v>
      </c>
      <c r="H1424" s="9">
        <v>4</v>
      </c>
      <c r="I1424" s="9">
        <v>1.0149999999999999</v>
      </c>
      <c r="J1424" s="9">
        <v>100</v>
      </c>
      <c r="K1424" s="9" t="s">
        <v>442</v>
      </c>
      <c r="L1424" s="9"/>
      <c r="M1424" s="9"/>
      <c r="N1424" s="9" t="str">
        <f ca="1">IFERROR(__xludf.DUMMYFUNCTION("IFERROR(VALUE(REGEXEXTRACT(TO_TEXT($F1424), N$1 &amp; ""x(\d+)"")), """")
"),"")</f>
        <v/>
      </c>
      <c r="O1424" s="9">
        <f ca="1">IFERROR(__xludf.DUMMYFUNCTION("IFERROR(VALUE(REGEXEXTRACT(TO_TEXT($F1424), O$1 &amp; ""x(\d+)"")), """")"),1)</f>
        <v>1</v>
      </c>
      <c r="P1424" s="9" t="str">
        <f ca="1">IFERROR(__xludf.DUMMYFUNCTION("IFERROR(VALUE(REGEXEXTRACT(TO_TEXT($F1424), P$1 &amp; ""x(\d+)"")), """")"),"")</f>
        <v/>
      </c>
      <c r="Q1424" s="9" t="str">
        <f ca="1">IFERROR(__xludf.DUMMYFUNCTION("IFERROR(VALUE(REGEXEXTRACT(TO_TEXT($F1424), Q$1 &amp; ""x(\d+)"")), """")"),"")</f>
        <v/>
      </c>
      <c r="R1424" s="9" t="str">
        <f ca="1">IFERROR(__xludf.DUMMYFUNCTION("IFERROR(VALUE(REGEXEXTRACT(TO_TEXT($F1424), R$1 &amp; ""x(\d+)"")), """")"),"")</f>
        <v/>
      </c>
      <c r="S1424" s="9" t="str">
        <f ca="1">IFERROR(__xludf.DUMMYFUNCTION("IFERROR(VALUE(REGEXEXTRACT(TO_TEXT($F1424), S$1 &amp; ""x(\d+)"")), """")"),"")</f>
        <v/>
      </c>
      <c r="T1424" s="9" t="str">
        <f ca="1">IFERROR(__xludf.DUMMYFUNCTION("IFERROR(VALUE(REGEXEXTRACT(TO_TEXT($F1424), T$1 &amp; ""x(\d+)"")), """")"),"")</f>
        <v/>
      </c>
      <c r="U1424" s="9" t="str">
        <f ca="1">IFERROR(__xludf.DUMMYFUNCTION("IFERROR(VALUE(REGEXEXTRACT(TO_TEXT($F1424), U$1 &amp; ""x(\d+)"")), """")"),"")</f>
        <v/>
      </c>
      <c r="V1424" s="9" t="str">
        <f ca="1">IFERROR(__xludf.DUMMYFUNCTION("IFERROR(VALUE(REGEXEXTRACT(TO_TEXT($F1424), V$1 &amp; ""x(\d+)"")), """")"),"")</f>
        <v/>
      </c>
      <c r="W1424" s="9"/>
      <c r="X1424" s="9"/>
      <c r="Y1424" s="9"/>
      <c r="Z1424" s="9"/>
    </row>
    <row r="1425" spans="1:26" ht="15.75" customHeight="1">
      <c r="A1425" s="9" t="s">
        <v>2492</v>
      </c>
      <c r="B1425" s="9" t="s">
        <v>2489</v>
      </c>
      <c r="C1425" s="9" t="s">
        <v>2493</v>
      </c>
      <c r="D1425" s="9" t="s">
        <v>33</v>
      </c>
      <c r="E1425" s="9" t="s">
        <v>13</v>
      </c>
      <c r="F1425" s="9" t="s">
        <v>1188</v>
      </c>
      <c r="G1425" s="9">
        <v>30</v>
      </c>
      <c r="H1425" s="9">
        <v>4</v>
      </c>
      <c r="I1425" s="9">
        <v>1.0149999999999999</v>
      </c>
      <c r="J1425" s="9">
        <v>100</v>
      </c>
      <c r="K1425" s="9" t="s">
        <v>442</v>
      </c>
      <c r="L1425" s="9"/>
      <c r="M1425" s="9"/>
      <c r="N1425" s="9" t="str">
        <f ca="1">IFERROR(__xludf.DUMMYFUNCTION("IFERROR(VALUE(REGEXEXTRACT(TO_TEXT($F1425), N$1 &amp; ""x(\d+)"")), """")
"),"")</f>
        <v/>
      </c>
      <c r="O1425" s="9">
        <f ca="1">IFERROR(__xludf.DUMMYFUNCTION("IFERROR(VALUE(REGEXEXTRACT(TO_TEXT($F1425), O$1 &amp; ""x(\d+)"")), """")"),1)</f>
        <v>1</v>
      </c>
      <c r="P1425" s="9" t="str">
        <f ca="1">IFERROR(__xludf.DUMMYFUNCTION("IFERROR(VALUE(REGEXEXTRACT(TO_TEXT($F1425), P$1 &amp; ""x(\d+)"")), """")"),"")</f>
        <v/>
      </c>
      <c r="Q1425" s="9" t="str">
        <f ca="1">IFERROR(__xludf.DUMMYFUNCTION("IFERROR(VALUE(REGEXEXTRACT(TO_TEXT($F1425), Q$1 &amp; ""x(\d+)"")), """")"),"")</f>
        <v/>
      </c>
      <c r="R1425" s="9" t="str">
        <f ca="1">IFERROR(__xludf.DUMMYFUNCTION("IFERROR(VALUE(REGEXEXTRACT(TO_TEXT($F1425), R$1 &amp; ""x(\d+)"")), """")"),"")</f>
        <v/>
      </c>
      <c r="S1425" s="9" t="str">
        <f ca="1">IFERROR(__xludf.DUMMYFUNCTION("IFERROR(VALUE(REGEXEXTRACT(TO_TEXT($F1425), S$1 &amp; ""x(\d+)"")), """")"),"")</f>
        <v/>
      </c>
      <c r="T1425" s="9" t="str">
        <f ca="1">IFERROR(__xludf.DUMMYFUNCTION("IFERROR(VALUE(REGEXEXTRACT(TO_TEXT($F1425), T$1 &amp; ""x(\d+)"")), """")"),"")</f>
        <v/>
      </c>
      <c r="U1425" s="9" t="str">
        <f ca="1">IFERROR(__xludf.DUMMYFUNCTION("IFERROR(VALUE(REGEXEXTRACT(TO_TEXT($F1425), U$1 &amp; ""x(\d+)"")), """")"),"")</f>
        <v/>
      </c>
      <c r="V1425" s="9" t="str">
        <f ca="1">IFERROR(__xludf.DUMMYFUNCTION("IFERROR(VALUE(REGEXEXTRACT(TO_TEXT($F1425), V$1 &amp; ""x(\d+)"")), """")"),"")</f>
        <v/>
      </c>
      <c r="W1425" s="9"/>
      <c r="X1425" s="9"/>
      <c r="Y1425" s="9"/>
      <c r="Z1425" s="9"/>
    </row>
    <row r="1426" spans="1:26" ht="15.75" customHeight="1">
      <c r="A1426" s="9" t="s">
        <v>2494</v>
      </c>
      <c r="B1426" s="9" t="s">
        <v>2495</v>
      </c>
      <c r="C1426" s="9" t="s">
        <v>2496</v>
      </c>
      <c r="D1426" s="9" t="s">
        <v>48</v>
      </c>
      <c r="E1426" s="9" t="s">
        <v>11</v>
      </c>
      <c r="F1426" s="9" t="s">
        <v>1799</v>
      </c>
      <c r="G1426" s="9">
        <v>25</v>
      </c>
      <c r="H1426" s="9">
        <v>4</v>
      </c>
      <c r="I1426" s="9">
        <v>1.0149999999999999</v>
      </c>
      <c r="J1426" s="9">
        <v>52</v>
      </c>
      <c r="K1426" s="9" t="s">
        <v>424</v>
      </c>
      <c r="L1426" s="9"/>
      <c r="M1426" s="9"/>
      <c r="N1426" s="9" t="str">
        <f ca="1">IFERROR(__xludf.DUMMYFUNCTION("IFERROR(VALUE(REGEXEXTRACT(TO_TEXT($F1426), N$1 &amp; ""x(\d+)"")), """")
"),"")</f>
        <v/>
      </c>
      <c r="O1426" s="9" t="str">
        <f ca="1">IFERROR(__xludf.DUMMYFUNCTION("IFERROR(VALUE(REGEXEXTRACT(TO_TEXT($F1426), O$1 &amp; ""x(\d+)"")), """")"),"")</f>
        <v/>
      </c>
      <c r="P1426" s="9" t="str">
        <f ca="1">IFERROR(__xludf.DUMMYFUNCTION("IFERROR(VALUE(REGEXEXTRACT(TO_TEXT($F1426), P$1 &amp; ""x(\d+)"")), """")"),"")</f>
        <v/>
      </c>
      <c r="Q1426" s="9" t="str">
        <f ca="1">IFERROR(__xludf.DUMMYFUNCTION("IFERROR(VALUE(REGEXEXTRACT(TO_TEXT($F1426), Q$1 &amp; ""x(\d+)"")), """")"),"")</f>
        <v/>
      </c>
      <c r="R1426" s="9" t="str">
        <f ca="1">IFERROR(__xludf.DUMMYFUNCTION("IFERROR(VALUE(REGEXEXTRACT(TO_TEXT($F1426), R$1 &amp; ""x(\d+)"")), """")"),"")</f>
        <v/>
      </c>
      <c r="S1426" s="9" t="str">
        <f ca="1">IFERROR(__xludf.DUMMYFUNCTION("IFERROR(VALUE(REGEXEXTRACT(TO_TEXT($F1426), S$1 &amp; ""x(\d+)"")), """")"),"")</f>
        <v/>
      </c>
      <c r="T1426" s="9" t="str">
        <f ca="1">IFERROR(__xludf.DUMMYFUNCTION("IFERROR(VALUE(REGEXEXTRACT(TO_TEXT($F1426), T$1 &amp; ""x(\d+)"")), """")"),"")</f>
        <v/>
      </c>
      <c r="U1426" s="9" t="str">
        <f ca="1">IFERROR(__xludf.DUMMYFUNCTION("IFERROR(VALUE(REGEXEXTRACT(TO_TEXT($F1426), U$1 &amp; ""x(\d+)"")), """")"),"")</f>
        <v/>
      </c>
      <c r="V1426" s="9" t="str">
        <f ca="1">IFERROR(__xludf.DUMMYFUNCTION("IFERROR(VALUE(REGEXEXTRACT(TO_TEXT($F1426), V$1 &amp; ""x(\d+)"")), """")"),"")</f>
        <v/>
      </c>
      <c r="W1426" s="9"/>
      <c r="X1426" s="9"/>
      <c r="Y1426" s="9"/>
      <c r="Z1426" s="9"/>
    </row>
    <row r="1427" spans="1:26" ht="15.75" customHeight="1">
      <c r="A1427" s="9" t="s">
        <v>2494</v>
      </c>
      <c r="B1427" s="9" t="s">
        <v>2495</v>
      </c>
      <c r="C1427" s="9" t="s">
        <v>2496</v>
      </c>
      <c r="D1427" s="9" t="s">
        <v>48</v>
      </c>
      <c r="E1427" s="9" t="s">
        <v>12</v>
      </c>
      <c r="F1427" s="9" t="s">
        <v>2497</v>
      </c>
      <c r="G1427" s="9">
        <v>125</v>
      </c>
      <c r="H1427" s="9">
        <v>4</v>
      </c>
      <c r="I1427" s="9">
        <v>1.0149999999999999</v>
      </c>
      <c r="J1427" s="9">
        <v>52</v>
      </c>
      <c r="K1427" s="9" t="s">
        <v>424</v>
      </c>
      <c r="L1427" s="9"/>
      <c r="M1427" s="9"/>
      <c r="N1427" s="9" t="str">
        <f ca="1">IFERROR(__xludf.DUMMYFUNCTION("IFERROR(VALUE(REGEXEXTRACT(TO_TEXT($F1427), N$1 &amp; ""x(\d+)"")), """")
"),"")</f>
        <v/>
      </c>
      <c r="O1427" s="9" t="str">
        <f ca="1">IFERROR(__xludf.DUMMYFUNCTION("IFERROR(VALUE(REGEXEXTRACT(TO_TEXT($F1427), O$1 &amp; ""x(\d+)"")), """")"),"")</f>
        <v/>
      </c>
      <c r="P1427" s="9">
        <f ca="1">IFERROR(__xludf.DUMMYFUNCTION("IFERROR(VALUE(REGEXEXTRACT(TO_TEXT($F1427), P$1 &amp; ""x(\d+)"")), """")"),1)</f>
        <v>1</v>
      </c>
      <c r="Q1427" s="9" t="str">
        <f ca="1">IFERROR(__xludf.DUMMYFUNCTION("IFERROR(VALUE(REGEXEXTRACT(TO_TEXT($F1427), Q$1 &amp; ""x(\d+)"")), """")"),"")</f>
        <v/>
      </c>
      <c r="R1427" s="9">
        <f ca="1">IFERROR(__xludf.DUMMYFUNCTION("IFERROR(VALUE(REGEXEXTRACT(TO_TEXT($F1427), R$1 &amp; ""x(\d+)"")), """")"),1)</f>
        <v>1</v>
      </c>
      <c r="S1427" s="9" t="str">
        <f ca="1">IFERROR(__xludf.DUMMYFUNCTION("IFERROR(VALUE(REGEXEXTRACT(TO_TEXT($F1427), S$1 &amp; ""x(\d+)"")), """")"),"")</f>
        <v/>
      </c>
      <c r="T1427" s="9">
        <f ca="1">IFERROR(__xludf.DUMMYFUNCTION("IFERROR(VALUE(REGEXEXTRACT(TO_TEXT($F1427), T$1 &amp; ""x(\d+)"")), """")"),1)</f>
        <v>1</v>
      </c>
      <c r="U1427" s="9" t="str">
        <f ca="1">IFERROR(__xludf.DUMMYFUNCTION("IFERROR(VALUE(REGEXEXTRACT(TO_TEXT($F1427), U$1 &amp; ""x(\d+)"")), """")"),"")</f>
        <v/>
      </c>
      <c r="V1427" s="9" t="str">
        <f ca="1">IFERROR(__xludf.DUMMYFUNCTION("IFERROR(VALUE(REGEXEXTRACT(TO_TEXT($F1427), V$1 &amp; ""x(\d+)"")), """")"),"")</f>
        <v/>
      </c>
      <c r="W1427" s="9"/>
      <c r="X1427" s="9"/>
      <c r="Y1427" s="9"/>
      <c r="Z1427" s="9"/>
    </row>
    <row r="1428" spans="1:26" ht="15.75" customHeight="1">
      <c r="A1428" s="9" t="s">
        <v>2494</v>
      </c>
      <c r="B1428" s="9" t="s">
        <v>2495</v>
      </c>
      <c r="C1428" s="9" t="s">
        <v>2496</v>
      </c>
      <c r="D1428" s="9" t="s">
        <v>48</v>
      </c>
      <c r="E1428" s="9" t="s">
        <v>13</v>
      </c>
      <c r="F1428" s="9" t="s">
        <v>2498</v>
      </c>
      <c r="G1428" s="9">
        <v>40</v>
      </c>
      <c r="H1428" s="9">
        <v>4</v>
      </c>
      <c r="I1428" s="9">
        <v>1.0149999999999999</v>
      </c>
      <c r="J1428" s="9">
        <v>52</v>
      </c>
      <c r="K1428" s="9" t="s">
        <v>424</v>
      </c>
      <c r="L1428" s="9"/>
      <c r="M1428" s="9"/>
      <c r="N1428" s="9" t="str">
        <f ca="1">IFERROR(__xludf.DUMMYFUNCTION("IFERROR(VALUE(REGEXEXTRACT(TO_TEXT($F1428), N$1 &amp; ""x(\d+)"")), """")
"),"")</f>
        <v/>
      </c>
      <c r="O1428" s="9" t="str">
        <f ca="1">IFERROR(__xludf.DUMMYFUNCTION("IFERROR(VALUE(REGEXEXTRACT(TO_TEXT($F1428), O$1 &amp; ""x(\d+)"")), """")"),"")</f>
        <v/>
      </c>
      <c r="P1428" s="9">
        <f ca="1">IFERROR(__xludf.DUMMYFUNCTION("IFERROR(VALUE(REGEXEXTRACT(TO_TEXT($F1428), P$1 &amp; ""x(\d+)"")), """")"),1)</f>
        <v>1</v>
      </c>
      <c r="Q1428" s="9" t="str">
        <f ca="1">IFERROR(__xludf.DUMMYFUNCTION("IFERROR(VALUE(REGEXEXTRACT(TO_TEXT($F1428), Q$1 &amp; ""x(\d+)"")), """")"),"")</f>
        <v/>
      </c>
      <c r="R1428" s="9" t="str">
        <f ca="1">IFERROR(__xludf.DUMMYFUNCTION("IFERROR(VALUE(REGEXEXTRACT(TO_TEXT($F1428), R$1 &amp; ""x(\d+)"")), """")"),"")</f>
        <v/>
      </c>
      <c r="S1428" s="9" t="str">
        <f ca="1">IFERROR(__xludf.DUMMYFUNCTION("IFERROR(VALUE(REGEXEXTRACT(TO_TEXT($F1428), S$1 &amp; ""x(\d+)"")), """")"),"")</f>
        <v/>
      </c>
      <c r="T1428" s="9" t="str">
        <f ca="1">IFERROR(__xludf.DUMMYFUNCTION("IFERROR(VALUE(REGEXEXTRACT(TO_TEXT($F1428), T$1 &amp; ""x(\d+)"")), """")"),"")</f>
        <v/>
      </c>
      <c r="U1428" s="9" t="str">
        <f ca="1">IFERROR(__xludf.DUMMYFUNCTION("IFERROR(VALUE(REGEXEXTRACT(TO_TEXT($F1428), U$1 &amp; ""x(\d+)"")), """")"),"")</f>
        <v/>
      </c>
      <c r="V1428" s="9" t="str">
        <f ca="1">IFERROR(__xludf.DUMMYFUNCTION("IFERROR(VALUE(REGEXEXTRACT(TO_TEXT($F1428), V$1 &amp; ""x(\d+)"")), """")"),"")</f>
        <v/>
      </c>
      <c r="W1428" s="9"/>
      <c r="X1428" s="9"/>
      <c r="Y1428" s="9"/>
      <c r="Z1428" s="9"/>
    </row>
    <row r="1429" spans="1:26" ht="15.75" customHeight="1">
      <c r="A1429" s="9" t="s">
        <v>2499</v>
      </c>
      <c r="B1429" s="9" t="s">
        <v>2495</v>
      </c>
      <c r="C1429" s="9" t="s">
        <v>2500</v>
      </c>
      <c r="D1429" s="9" t="s">
        <v>48</v>
      </c>
      <c r="E1429" s="9" t="s">
        <v>11</v>
      </c>
      <c r="F1429" s="9" t="s">
        <v>1799</v>
      </c>
      <c r="G1429" s="9">
        <v>25</v>
      </c>
      <c r="H1429" s="9">
        <v>4</v>
      </c>
      <c r="I1429" s="9">
        <v>1.0149999999999999</v>
      </c>
      <c r="J1429" s="9">
        <v>52</v>
      </c>
      <c r="K1429" s="9" t="s">
        <v>424</v>
      </c>
      <c r="L1429" s="9"/>
      <c r="M1429" s="9"/>
      <c r="N1429" s="9" t="str">
        <f ca="1">IFERROR(__xludf.DUMMYFUNCTION("IFERROR(VALUE(REGEXEXTRACT(TO_TEXT($F1429), N$1 &amp; ""x(\d+)"")), """")
"),"")</f>
        <v/>
      </c>
      <c r="O1429" s="9" t="str">
        <f ca="1">IFERROR(__xludf.DUMMYFUNCTION("IFERROR(VALUE(REGEXEXTRACT(TO_TEXT($F1429), O$1 &amp; ""x(\d+)"")), """")"),"")</f>
        <v/>
      </c>
      <c r="P1429" s="9" t="str">
        <f ca="1">IFERROR(__xludf.DUMMYFUNCTION("IFERROR(VALUE(REGEXEXTRACT(TO_TEXT($F1429), P$1 &amp; ""x(\d+)"")), """")"),"")</f>
        <v/>
      </c>
      <c r="Q1429" s="9" t="str">
        <f ca="1">IFERROR(__xludf.DUMMYFUNCTION("IFERROR(VALUE(REGEXEXTRACT(TO_TEXT($F1429), Q$1 &amp; ""x(\d+)"")), """")"),"")</f>
        <v/>
      </c>
      <c r="R1429" s="9" t="str">
        <f ca="1">IFERROR(__xludf.DUMMYFUNCTION("IFERROR(VALUE(REGEXEXTRACT(TO_TEXT($F1429), R$1 &amp; ""x(\d+)"")), """")"),"")</f>
        <v/>
      </c>
      <c r="S1429" s="9" t="str">
        <f ca="1">IFERROR(__xludf.DUMMYFUNCTION("IFERROR(VALUE(REGEXEXTRACT(TO_TEXT($F1429), S$1 &amp; ""x(\d+)"")), """")"),"")</f>
        <v/>
      </c>
      <c r="T1429" s="9" t="str">
        <f ca="1">IFERROR(__xludf.DUMMYFUNCTION("IFERROR(VALUE(REGEXEXTRACT(TO_TEXT($F1429), T$1 &amp; ""x(\d+)"")), """")"),"")</f>
        <v/>
      </c>
      <c r="U1429" s="9" t="str">
        <f ca="1">IFERROR(__xludf.DUMMYFUNCTION("IFERROR(VALUE(REGEXEXTRACT(TO_TEXT($F1429), U$1 &amp; ""x(\d+)"")), """")"),"")</f>
        <v/>
      </c>
      <c r="V1429" s="9" t="str">
        <f ca="1">IFERROR(__xludf.DUMMYFUNCTION("IFERROR(VALUE(REGEXEXTRACT(TO_TEXT($F1429), V$1 &amp; ""x(\d+)"")), """")"),"")</f>
        <v/>
      </c>
      <c r="W1429" s="9"/>
      <c r="X1429" s="9"/>
      <c r="Y1429" s="9"/>
      <c r="Z1429" s="9"/>
    </row>
    <row r="1430" spans="1:26" ht="15.75" customHeight="1">
      <c r="A1430" s="9" t="s">
        <v>2499</v>
      </c>
      <c r="B1430" s="9" t="s">
        <v>2495</v>
      </c>
      <c r="C1430" s="9" t="s">
        <v>2500</v>
      </c>
      <c r="D1430" s="9" t="s">
        <v>48</v>
      </c>
      <c r="E1430" s="9" t="s">
        <v>12</v>
      </c>
      <c r="F1430" s="9" t="s">
        <v>2497</v>
      </c>
      <c r="G1430" s="9">
        <v>125</v>
      </c>
      <c r="H1430" s="9">
        <v>4</v>
      </c>
      <c r="I1430" s="9">
        <v>1.0149999999999999</v>
      </c>
      <c r="J1430" s="9">
        <v>52</v>
      </c>
      <c r="K1430" s="9" t="s">
        <v>424</v>
      </c>
      <c r="L1430" s="9"/>
      <c r="M1430" s="9"/>
      <c r="N1430" s="9" t="str">
        <f ca="1">IFERROR(__xludf.DUMMYFUNCTION("IFERROR(VALUE(REGEXEXTRACT(TO_TEXT($F1430), N$1 &amp; ""x(\d+)"")), """")
"),"")</f>
        <v/>
      </c>
      <c r="O1430" s="9" t="str">
        <f ca="1">IFERROR(__xludf.DUMMYFUNCTION("IFERROR(VALUE(REGEXEXTRACT(TO_TEXT($F1430), O$1 &amp; ""x(\d+)"")), """")"),"")</f>
        <v/>
      </c>
      <c r="P1430" s="9">
        <f ca="1">IFERROR(__xludf.DUMMYFUNCTION("IFERROR(VALUE(REGEXEXTRACT(TO_TEXT($F1430), P$1 &amp; ""x(\d+)"")), """")"),1)</f>
        <v>1</v>
      </c>
      <c r="Q1430" s="9" t="str">
        <f ca="1">IFERROR(__xludf.DUMMYFUNCTION("IFERROR(VALUE(REGEXEXTRACT(TO_TEXT($F1430), Q$1 &amp; ""x(\d+)"")), """")"),"")</f>
        <v/>
      </c>
      <c r="R1430" s="9">
        <f ca="1">IFERROR(__xludf.DUMMYFUNCTION("IFERROR(VALUE(REGEXEXTRACT(TO_TEXT($F1430), R$1 &amp; ""x(\d+)"")), """")"),1)</f>
        <v>1</v>
      </c>
      <c r="S1430" s="9" t="str">
        <f ca="1">IFERROR(__xludf.DUMMYFUNCTION("IFERROR(VALUE(REGEXEXTRACT(TO_TEXT($F1430), S$1 &amp; ""x(\d+)"")), """")"),"")</f>
        <v/>
      </c>
      <c r="T1430" s="9">
        <f ca="1">IFERROR(__xludf.DUMMYFUNCTION("IFERROR(VALUE(REGEXEXTRACT(TO_TEXT($F1430), T$1 &amp; ""x(\d+)"")), """")"),1)</f>
        <v>1</v>
      </c>
      <c r="U1430" s="9" t="str">
        <f ca="1">IFERROR(__xludf.DUMMYFUNCTION("IFERROR(VALUE(REGEXEXTRACT(TO_TEXT($F1430), U$1 &amp; ""x(\d+)"")), """")"),"")</f>
        <v/>
      </c>
      <c r="V1430" s="9" t="str">
        <f ca="1">IFERROR(__xludf.DUMMYFUNCTION("IFERROR(VALUE(REGEXEXTRACT(TO_TEXT($F1430), V$1 &amp; ""x(\d+)"")), """")"),"")</f>
        <v/>
      </c>
      <c r="W1430" s="9"/>
      <c r="X1430" s="9"/>
      <c r="Y1430" s="9"/>
      <c r="Z1430" s="9"/>
    </row>
    <row r="1431" spans="1:26" ht="15.75" customHeight="1">
      <c r="A1431" s="9" t="s">
        <v>2499</v>
      </c>
      <c r="B1431" s="9" t="s">
        <v>2495</v>
      </c>
      <c r="C1431" s="9" t="s">
        <v>2500</v>
      </c>
      <c r="D1431" s="9" t="s">
        <v>48</v>
      </c>
      <c r="E1431" s="9" t="s">
        <v>13</v>
      </c>
      <c r="F1431" s="9" t="s">
        <v>2498</v>
      </c>
      <c r="G1431" s="9">
        <v>40</v>
      </c>
      <c r="H1431" s="9">
        <v>4</v>
      </c>
      <c r="I1431" s="9">
        <v>1.0149999999999999</v>
      </c>
      <c r="J1431" s="9">
        <v>52</v>
      </c>
      <c r="K1431" s="9" t="s">
        <v>424</v>
      </c>
      <c r="L1431" s="9"/>
      <c r="M1431" s="9"/>
      <c r="N1431" s="9" t="str">
        <f ca="1">IFERROR(__xludf.DUMMYFUNCTION("IFERROR(VALUE(REGEXEXTRACT(TO_TEXT($F1431), N$1 &amp; ""x(\d+)"")), """")
"),"")</f>
        <v/>
      </c>
      <c r="O1431" s="9" t="str">
        <f ca="1">IFERROR(__xludf.DUMMYFUNCTION("IFERROR(VALUE(REGEXEXTRACT(TO_TEXT($F1431), O$1 &amp; ""x(\d+)"")), """")"),"")</f>
        <v/>
      </c>
      <c r="P1431" s="9">
        <f ca="1">IFERROR(__xludf.DUMMYFUNCTION("IFERROR(VALUE(REGEXEXTRACT(TO_TEXT($F1431), P$1 &amp; ""x(\d+)"")), """")"),1)</f>
        <v>1</v>
      </c>
      <c r="Q1431" s="9" t="str">
        <f ca="1">IFERROR(__xludf.DUMMYFUNCTION("IFERROR(VALUE(REGEXEXTRACT(TO_TEXT($F1431), Q$1 &amp; ""x(\d+)"")), """")"),"")</f>
        <v/>
      </c>
      <c r="R1431" s="9" t="str">
        <f ca="1">IFERROR(__xludf.DUMMYFUNCTION("IFERROR(VALUE(REGEXEXTRACT(TO_TEXT($F1431), R$1 &amp; ""x(\d+)"")), """")"),"")</f>
        <v/>
      </c>
      <c r="S1431" s="9" t="str">
        <f ca="1">IFERROR(__xludf.DUMMYFUNCTION("IFERROR(VALUE(REGEXEXTRACT(TO_TEXT($F1431), S$1 &amp; ""x(\d+)"")), """")"),"")</f>
        <v/>
      </c>
      <c r="T1431" s="9" t="str">
        <f ca="1">IFERROR(__xludf.DUMMYFUNCTION("IFERROR(VALUE(REGEXEXTRACT(TO_TEXT($F1431), T$1 &amp; ""x(\d+)"")), """")"),"")</f>
        <v/>
      </c>
      <c r="U1431" s="9" t="str">
        <f ca="1">IFERROR(__xludf.DUMMYFUNCTION("IFERROR(VALUE(REGEXEXTRACT(TO_TEXT($F1431), U$1 &amp; ""x(\d+)"")), """")"),"")</f>
        <v/>
      </c>
      <c r="V1431" s="9" t="str">
        <f ca="1">IFERROR(__xludf.DUMMYFUNCTION("IFERROR(VALUE(REGEXEXTRACT(TO_TEXT($F1431), V$1 &amp; ""x(\d+)"")), """")"),"")</f>
        <v/>
      </c>
      <c r="W1431" s="9"/>
      <c r="X1431" s="9"/>
      <c r="Y1431" s="9"/>
      <c r="Z1431" s="9"/>
    </row>
    <row r="1432" spans="1:26" ht="15.75" customHeight="1">
      <c r="A1432" s="9" t="s">
        <v>2501</v>
      </c>
      <c r="B1432" s="9" t="s">
        <v>2502</v>
      </c>
      <c r="C1432" s="9" t="s">
        <v>2503</v>
      </c>
      <c r="D1432" s="9" t="s">
        <v>33</v>
      </c>
      <c r="E1432" s="9" t="s">
        <v>11</v>
      </c>
      <c r="F1432" s="9" t="s">
        <v>2178</v>
      </c>
      <c r="G1432" s="9">
        <v>25</v>
      </c>
      <c r="H1432" s="9">
        <v>1</v>
      </c>
      <c r="I1432" s="9">
        <v>1.0149999999999999</v>
      </c>
      <c r="J1432" s="9">
        <v>102</v>
      </c>
      <c r="K1432" s="9" t="s">
        <v>442</v>
      </c>
      <c r="L1432" s="9"/>
      <c r="M1432" s="9"/>
      <c r="N1432" s="9" t="str">
        <f ca="1">IFERROR(__xludf.DUMMYFUNCTION("IFERROR(VALUE(REGEXEXTRACT(TO_TEXT($F1432), N$1 &amp; ""x(\d+)"")), """")
"),"")</f>
        <v/>
      </c>
      <c r="O1432" s="9" t="str">
        <f ca="1">IFERROR(__xludf.DUMMYFUNCTION("IFERROR(VALUE(REGEXEXTRACT(TO_TEXT($F1432), O$1 &amp; ""x(\d+)"")), """")"),"")</f>
        <v/>
      </c>
      <c r="P1432" s="9" t="str">
        <f ca="1">IFERROR(__xludf.DUMMYFUNCTION("IFERROR(VALUE(REGEXEXTRACT(TO_TEXT($F1432), P$1 &amp; ""x(\d+)"")), """")"),"")</f>
        <v/>
      </c>
      <c r="Q1432" s="9" t="str">
        <f ca="1">IFERROR(__xludf.DUMMYFUNCTION("IFERROR(VALUE(REGEXEXTRACT(TO_TEXT($F1432), Q$1 &amp; ""x(\d+)"")), """")"),"")</f>
        <v/>
      </c>
      <c r="R1432" s="9" t="str">
        <f ca="1">IFERROR(__xludf.DUMMYFUNCTION("IFERROR(VALUE(REGEXEXTRACT(TO_TEXT($F1432), R$1 &amp; ""x(\d+)"")), """")"),"")</f>
        <v/>
      </c>
      <c r="S1432" s="9" t="str">
        <f ca="1">IFERROR(__xludf.DUMMYFUNCTION("IFERROR(VALUE(REGEXEXTRACT(TO_TEXT($F1432), S$1 &amp; ""x(\d+)"")), """")"),"")</f>
        <v/>
      </c>
      <c r="T1432" s="9" t="str">
        <f ca="1">IFERROR(__xludf.DUMMYFUNCTION("IFERROR(VALUE(REGEXEXTRACT(TO_TEXT($F1432), T$1 &amp; ""x(\d+)"")), """")"),"")</f>
        <v/>
      </c>
      <c r="U1432" s="9" t="str">
        <f ca="1">IFERROR(__xludf.DUMMYFUNCTION("IFERROR(VALUE(REGEXEXTRACT(TO_TEXT($F1432), U$1 &amp; ""x(\d+)"")), """")"),"")</f>
        <v/>
      </c>
      <c r="V1432" s="9" t="str">
        <f ca="1">IFERROR(__xludf.DUMMYFUNCTION("IFERROR(VALUE(REGEXEXTRACT(TO_TEXT($F1432), V$1 &amp; ""x(\d+)"")), """")"),"")</f>
        <v/>
      </c>
      <c r="W1432" s="9"/>
      <c r="X1432" s="9"/>
      <c r="Y1432" s="9"/>
      <c r="Z1432" s="9"/>
    </row>
    <row r="1433" spans="1:26" ht="15.75" customHeight="1">
      <c r="A1433" s="9" t="s">
        <v>2501</v>
      </c>
      <c r="B1433" s="9" t="s">
        <v>2502</v>
      </c>
      <c r="C1433" s="9" t="s">
        <v>2503</v>
      </c>
      <c r="D1433" s="9" t="s">
        <v>33</v>
      </c>
      <c r="E1433" s="9" t="s">
        <v>12</v>
      </c>
      <c r="F1433" s="9" t="s">
        <v>1008</v>
      </c>
      <c r="G1433" s="9">
        <v>80</v>
      </c>
      <c r="H1433" s="9">
        <v>1</v>
      </c>
      <c r="I1433" s="9">
        <v>1.0149999999999999</v>
      </c>
      <c r="J1433" s="9">
        <v>102</v>
      </c>
      <c r="K1433" s="9" t="s">
        <v>442</v>
      </c>
      <c r="L1433" s="9"/>
      <c r="M1433" s="9"/>
      <c r="N1433" s="9" t="str">
        <f ca="1">IFERROR(__xludf.DUMMYFUNCTION("IFERROR(VALUE(REGEXEXTRACT(TO_TEXT($F1433), N$1 &amp; ""x(\d+)"")), """")
"),"")</f>
        <v/>
      </c>
      <c r="O1433" s="9">
        <f ca="1">IFERROR(__xludf.DUMMYFUNCTION("IFERROR(VALUE(REGEXEXTRACT(TO_TEXT($F1433), O$1 &amp; ""x(\d+)"")), """")"),1)</f>
        <v>1</v>
      </c>
      <c r="P1433" s="9" t="str">
        <f ca="1">IFERROR(__xludf.DUMMYFUNCTION("IFERROR(VALUE(REGEXEXTRACT(TO_TEXT($F1433), P$1 &amp; ""x(\d+)"")), """")"),"")</f>
        <v/>
      </c>
      <c r="Q1433" s="9" t="str">
        <f ca="1">IFERROR(__xludf.DUMMYFUNCTION("IFERROR(VALUE(REGEXEXTRACT(TO_TEXT($F1433), Q$1 &amp; ""x(\d+)"")), """")"),"")</f>
        <v/>
      </c>
      <c r="R1433" s="9" t="str">
        <f ca="1">IFERROR(__xludf.DUMMYFUNCTION("IFERROR(VALUE(REGEXEXTRACT(TO_TEXT($F1433), R$1 &amp; ""x(\d+)"")), """")"),"")</f>
        <v/>
      </c>
      <c r="S1433" s="9" t="str">
        <f ca="1">IFERROR(__xludf.DUMMYFUNCTION("IFERROR(VALUE(REGEXEXTRACT(TO_TEXT($F1433), S$1 &amp; ""x(\d+)"")), """")"),"")</f>
        <v/>
      </c>
      <c r="T1433" s="9" t="str">
        <f ca="1">IFERROR(__xludf.DUMMYFUNCTION("IFERROR(VALUE(REGEXEXTRACT(TO_TEXT($F1433), T$1 &amp; ""x(\d+)"")), """")"),"")</f>
        <v/>
      </c>
      <c r="U1433" s="9" t="str">
        <f ca="1">IFERROR(__xludf.DUMMYFUNCTION("IFERROR(VALUE(REGEXEXTRACT(TO_TEXT($F1433), U$1 &amp; ""x(\d+)"")), """")"),"")</f>
        <v/>
      </c>
      <c r="V1433" s="9" t="str">
        <f ca="1">IFERROR(__xludf.DUMMYFUNCTION("IFERROR(VALUE(REGEXEXTRACT(TO_TEXT($F1433), V$1 &amp; ""x(\d+)"")), """")"),"")</f>
        <v/>
      </c>
      <c r="W1433" s="9"/>
      <c r="X1433" s="9"/>
      <c r="Y1433" s="9"/>
      <c r="Z1433" s="9"/>
    </row>
    <row r="1434" spans="1:26" ht="15.75" customHeight="1">
      <c r="A1434" s="9" t="s">
        <v>2501</v>
      </c>
      <c r="B1434" s="9" t="s">
        <v>2502</v>
      </c>
      <c r="C1434" s="9" t="s">
        <v>2503</v>
      </c>
      <c r="D1434" s="9" t="s">
        <v>33</v>
      </c>
      <c r="E1434" s="9" t="s">
        <v>13</v>
      </c>
      <c r="F1434" s="9" t="s">
        <v>1009</v>
      </c>
      <c r="G1434" s="9">
        <v>15</v>
      </c>
      <c r="H1434" s="9">
        <v>1</v>
      </c>
      <c r="I1434" s="9">
        <v>1.0149999999999999</v>
      </c>
      <c r="J1434" s="9">
        <v>102</v>
      </c>
      <c r="K1434" s="9" t="s">
        <v>442</v>
      </c>
      <c r="L1434" s="9"/>
      <c r="M1434" s="9"/>
      <c r="N1434" s="9" t="str">
        <f ca="1">IFERROR(__xludf.DUMMYFUNCTION("IFERROR(VALUE(REGEXEXTRACT(TO_TEXT($F1434), N$1 &amp; ""x(\d+)"")), """")
"),"")</f>
        <v/>
      </c>
      <c r="O1434" s="9">
        <f ca="1">IFERROR(__xludf.DUMMYFUNCTION("IFERROR(VALUE(REGEXEXTRACT(TO_TEXT($F1434), O$1 &amp; ""x(\d+)"")), """")"),1)</f>
        <v>1</v>
      </c>
      <c r="P1434" s="9" t="str">
        <f ca="1">IFERROR(__xludf.DUMMYFUNCTION("IFERROR(VALUE(REGEXEXTRACT(TO_TEXT($F1434), P$1 &amp; ""x(\d+)"")), """")"),"")</f>
        <v/>
      </c>
      <c r="Q1434" s="9" t="str">
        <f ca="1">IFERROR(__xludf.DUMMYFUNCTION("IFERROR(VALUE(REGEXEXTRACT(TO_TEXT($F1434), Q$1 &amp; ""x(\d+)"")), """")"),"")</f>
        <v/>
      </c>
      <c r="R1434" s="9" t="str">
        <f ca="1">IFERROR(__xludf.DUMMYFUNCTION("IFERROR(VALUE(REGEXEXTRACT(TO_TEXT($F1434), R$1 &amp; ""x(\d+)"")), """")"),"")</f>
        <v/>
      </c>
      <c r="S1434" s="9" t="str">
        <f ca="1">IFERROR(__xludf.DUMMYFUNCTION("IFERROR(VALUE(REGEXEXTRACT(TO_TEXT($F1434), S$1 &amp; ""x(\d+)"")), """")"),"")</f>
        <v/>
      </c>
      <c r="T1434" s="9" t="str">
        <f ca="1">IFERROR(__xludf.DUMMYFUNCTION("IFERROR(VALUE(REGEXEXTRACT(TO_TEXT($F1434), T$1 &amp; ""x(\d+)"")), """")"),"")</f>
        <v/>
      </c>
      <c r="U1434" s="9" t="str">
        <f ca="1">IFERROR(__xludf.DUMMYFUNCTION("IFERROR(VALUE(REGEXEXTRACT(TO_TEXT($F1434), U$1 &amp; ""x(\d+)"")), """")"),"")</f>
        <v/>
      </c>
      <c r="V1434" s="9" t="str">
        <f ca="1">IFERROR(__xludf.DUMMYFUNCTION("IFERROR(VALUE(REGEXEXTRACT(TO_TEXT($F1434), V$1 &amp; ""x(\d+)"")), """")"),"")</f>
        <v/>
      </c>
      <c r="W1434" s="9"/>
      <c r="X1434" s="9"/>
      <c r="Y1434" s="9"/>
      <c r="Z1434" s="9"/>
    </row>
    <row r="1435" spans="1:26" ht="15.75" customHeight="1">
      <c r="A1435" s="9" t="s">
        <v>2504</v>
      </c>
      <c r="B1435" s="9" t="s">
        <v>2505</v>
      </c>
      <c r="C1435" s="9" t="s">
        <v>1006</v>
      </c>
      <c r="D1435" s="9" t="s">
        <v>33</v>
      </c>
      <c r="E1435" s="9" t="s">
        <v>11</v>
      </c>
      <c r="F1435" s="9" t="s">
        <v>1007</v>
      </c>
      <c r="G1435" s="9">
        <v>25</v>
      </c>
      <c r="H1435" s="9">
        <v>1</v>
      </c>
      <c r="I1435" s="9">
        <v>1.0149999999999999</v>
      </c>
      <c r="J1435" s="9">
        <v>48</v>
      </c>
      <c r="K1435" s="9" t="s">
        <v>442</v>
      </c>
      <c r="L1435" s="9"/>
      <c r="M1435" s="9"/>
      <c r="N1435" s="9" t="str">
        <f ca="1">IFERROR(__xludf.DUMMYFUNCTION("IFERROR(VALUE(REGEXEXTRACT(TO_TEXT($F1435), N$1 &amp; ""x(\d+)"")), """")
"),"")</f>
        <v/>
      </c>
      <c r="O1435" s="9">
        <f ca="1">IFERROR(__xludf.DUMMYFUNCTION("IFERROR(VALUE(REGEXEXTRACT(TO_TEXT($F1435), O$1 &amp; ""x(\d+)"")), """")"),1)</f>
        <v>1</v>
      </c>
      <c r="P1435" s="9" t="str">
        <f ca="1">IFERROR(__xludf.DUMMYFUNCTION("IFERROR(VALUE(REGEXEXTRACT(TO_TEXT($F1435), P$1 &amp; ""x(\d+)"")), """")"),"")</f>
        <v/>
      </c>
      <c r="Q1435" s="9" t="str">
        <f ca="1">IFERROR(__xludf.DUMMYFUNCTION("IFERROR(VALUE(REGEXEXTRACT(TO_TEXT($F1435), Q$1 &amp; ""x(\d+)"")), """")"),"")</f>
        <v/>
      </c>
      <c r="R1435" s="9" t="str">
        <f ca="1">IFERROR(__xludf.DUMMYFUNCTION("IFERROR(VALUE(REGEXEXTRACT(TO_TEXT($F1435), R$1 &amp; ""x(\d+)"")), """")"),"")</f>
        <v/>
      </c>
      <c r="S1435" s="9" t="str">
        <f ca="1">IFERROR(__xludf.DUMMYFUNCTION("IFERROR(VALUE(REGEXEXTRACT(TO_TEXT($F1435), S$1 &amp; ""x(\d+)"")), """")"),"")</f>
        <v/>
      </c>
      <c r="T1435" s="9" t="str">
        <f ca="1">IFERROR(__xludf.DUMMYFUNCTION("IFERROR(VALUE(REGEXEXTRACT(TO_TEXT($F1435), T$1 &amp; ""x(\d+)"")), """")"),"")</f>
        <v/>
      </c>
      <c r="U1435" s="9" t="str">
        <f ca="1">IFERROR(__xludf.DUMMYFUNCTION("IFERROR(VALUE(REGEXEXTRACT(TO_TEXT($F1435), U$1 &amp; ""x(\d+)"")), """")"),"")</f>
        <v/>
      </c>
      <c r="V1435" s="9" t="str">
        <f ca="1">IFERROR(__xludf.DUMMYFUNCTION("IFERROR(VALUE(REGEXEXTRACT(TO_TEXT($F1435), V$1 &amp; ""x(\d+)"")), """")"),"")</f>
        <v/>
      </c>
      <c r="W1435" s="9"/>
      <c r="X1435" s="9"/>
      <c r="Y1435" s="9"/>
      <c r="Z1435" s="9"/>
    </row>
    <row r="1436" spans="1:26" ht="15.75" customHeight="1">
      <c r="A1436" s="9" t="s">
        <v>2504</v>
      </c>
      <c r="B1436" s="9" t="s">
        <v>2505</v>
      </c>
      <c r="C1436" s="9" t="s">
        <v>1006</v>
      </c>
      <c r="D1436" s="9" t="s">
        <v>33</v>
      </c>
      <c r="E1436" s="9" t="s">
        <v>12</v>
      </c>
      <c r="F1436" s="9" t="s">
        <v>1008</v>
      </c>
      <c r="G1436" s="9">
        <v>80</v>
      </c>
      <c r="H1436" s="9">
        <v>1</v>
      </c>
      <c r="I1436" s="9">
        <v>1.0149999999999999</v>
      </c>
      <c r="J1436" s="9">
        <v>48</v>
      </c>
      <c r="K1436" s="9" t="s">
        <v>442</v>
      </c>
      <c r="L1436" s="9"/>
      <c r="M1436" s="9"/>
      <c r="N1436" s="9" t="str">
        <f ca="1">IFERROR(__xludf.DUMMYFUNCTION("IFERROR(VALUE(REGEXEXTRACT(TO_TEXT($F1436), N$1 &amp; ""x(\d+)"")), """")
"),"")</f>
        <v/>
      </c>
      <c r="O1436" s="9">
        <f ca="1">IFERROR(__xludf.DUMMYFUNCTION("IFERROR(VALUE(REGEXEXTRACT(TO_TEXT($F1436), O$1 &amp; ""x(\d+)"")), """")"),1)</f>
        <v>1</v>
      </c>
      <c r="P1436" s="9" t="str">
        <f ca="1">IFERROR(__xludf.DUMMYFUNCTION("IFERROR(VALUE(REGEXEXTRACT(TO_TEXT($F1436), P$1 &amp; ""x(\d+)"")), """")"),"")</f>
        <v/>
      </c>
      <c r="Q1436" s="9" t="str">
        <f ca="1">IFERROR(__xludf.DUMMYFUNCTION("IFERROR(VALUE(REGEXEXTRACT(TO_TEXT($F1436), Q$1 &amp; ""x(\d+)"")), """")"),"")</f>
        <v/>
      </c>
      <c r="R1436" s="9" t="str">
        <f ca="1">IFERROR(__xludf.DUMMYFUNCTION("IFERROR(VALUE(REGEXEXTRACT(TO_TEXT($F1436), R$1 &amp; ""x(\d+)"")), """")"),"")</f>
        <v/>
      </c>
      <c r="S1436" s="9" t="str">
        <f ca="1">IFERROR(__xludf.DUMMYFUNCTION("IFERROR(VALUE(REGEXEXTRACT(TO_TEXT($F1436), S$1 &amp; ""x(\d+)"")), """")"),"")</f>
        <v/>
      </c>
      <c r="T1436" s="9" t="str">
        <f ca="1">IFERROR(__xludf.DUMMYFUNCTION("IFERROR(VALUE(REGEXEXTRACT(TO_TEXT($F1436), T$1 &amp; ""x(\d+)"")), """")"),"")</f>
        <v/>
      </c>
      <c r="U1436" s="9" t="str">
        <f ca="1">IFERROR(__xludf.DUMMYFUNCTION("IFERROR(VALUE(REGEXEXTRACT(TO_TEXT($F1436), U$1 &amp; ""x(\d+)"")), """")"),"")</f>
        <v/>
      </c>
      <c r="V1436" s="9" t="str">
        <f ca="1">IFERROR(__xludf.DUMMYFUNCTION("IFERROR(VALUE(REGEXEXTRACT(TO_TEXT($F1436), V$1 &amp; ""x(\d+)"")), """")"),"")</f>
        <v/>
      </c>
      <c r="W1436" s="9"/>
      <c r="X1436" s="9"/>
      <c r="Y1436" s="9"/>
      <c r="Z1436" s="9"/>
    </row>
    <row r="1437" spans="1:26" ht="15.75" customHeight="1">
      <c r="A1437" s="9" t="s">
        <v>2504</v>
      </c>
      <c r="B1437" s="9" t="s">
        <v>2505</v>
      </c>
      <c r="C1437" s="9" t="s">
        <v>1006</v>
      </c>
      <c r="D1437" s="9" t="s">
        <v>33</v>
      </c>
      <c r="E1437" s="9" t="s">
        <v>13</v>
      </c>
      <c r="F1437" s="9" t="s">
        <v>1009</v>
      </c>
      <c r="G1437" s="9">
        <v>15</v>
      </c>
      <c r="H1437" s="9">
        <v>1</v>
      </c>
      <c r="I1437" s="9">
        <v>1.0149999999999999</v>
      </c>
      <c r="J1437" s="9">
        <v>48</v>
      </c>
      <c r="K1437" s="9" t="s">
        <v>442</v>
      </c>
      <c r="L1437" s="9"/>
      <c r="M1437" s="9"/>
      <c r="N1437" s="9" t="str">
        <f ca="1">IFERROR(__xludf.DUMMYFUNCTION("IFERROR(VALUE(REGEXEXTRACT(TO_TEXT($F1437), N$1 &amp; ""x(\d+)"")), """")
"),"")</f>
        <v/>
      </c>
      <c r="O1437" s="9">
        <f ca="1">IFERROR(__xludf.DUMMYFUNCTION("IFERROR(VALUE(REGEXEXTRACT(TO_TEXT($F1437), O$1 &amp; ""x(\d+)"")), """")"),1)</f>
        <v>1</v>
      </c>
      <c r="P1437" s="9" t="str">
        <f ca="1">IFERROR(__xludf.DUMMYFUNCTION("IFERROR(VALUE(REGEXEXTRACT(TO_TEXT($F1437), P$1 &amp; ""x(\d+)"")), """")"),"")</f>
        <v/>
      </c>
      <c r="Q1437" s="9" t="str">
        <f ca="1">IFERROR(__xludf.DUMMYFUNCTION("IFERROR(VALUE(REGEXEXTRACT(TO_TEXT($F1437), Q$1 &amp; ""x(\d+)"")), """")"),"")</f>
        <v/>
      </c>
      <c r="R1437" s="9" t="str">
        <f ca="1">IFERROR(__xludf.DUMMYFUNCTION("IFERROR(VALUE(REGEXEXTRACT(TO_TEXT($F1437), R$1 &amp; ""x(\d+)"")), """")"),"")</f>
        <v/>
      </c>
      <c r="S1437" s="9" t="str">
        <f ca="1">IFERROR(__xludf.DUMMYFUNCTION("IFERROR(VALUE(REGEXEXTRACT(TO_TEXT($F1437), S$1 &amp; ""x(\d+)"")), """")"),"")</f>
        <v/>
      </c>
      <c r="T1437" s="9" t="str">
        <f ca="1">IFERROR(__xludf.DUMMYFUNCTION("IFERROR(VALUE(REGEXEXTRACT(TO_TEXT($F1437), T$1 &amp; ""x(\d+)"")), """")"),"")</f>
        <v/>
      </c>
      <c r="U1437" s="9" t="str">
        <f ca="1">IFERROR(__xludf.DUMMYFUNCTION("IFERROR(VALUE(REGEXEXTRACT(TO_TEXT($F1437), U$1 &amp; ""x(\d+)"")), """")"),"")</f>
        <v/>
      </c>
      <c r="V1437" s="9" t="str">
        <f ca="1">IFERROR(__xludf.DUMMYFUNCTION("IFERROR(VALUE(REGEXEXTRACT(TO_TEXT($F1437), V$1 &amp; ""x(\d+)"")), """")"),"")</f>
        <v/>
      </c>
      <c r="W1437" s="9"/>
      <c r="X1437" s="9"/>
      <c r="Y1437" s="9"/>
      <c r="Z1437" s="9"/>
    </row>
    <row r="1438" spans="1:26" ht="15.75" customHeight="1">
      <c r="A1438" s="9" t="s">
        <v>2506</v>
      </c>
      <c r="B1438" s="9" t="s">
        <v>2507</v>
      </c>
      <c r="C1438" s="9" t="s">
        <v>2508</v>
      </c>
      <c r="D1438" s="9" t="s">
        <v>40</v>
      </c>
      <c r="E1438" s="9" t="s">
        <v>11</v>
      </c>
      <c r="F1438" s="9" t="s">
        <v>1187</v>
      </c>
      <c r="G1438" s="9">
        <v>80</v>
      </c>
      <c r="H1438" s="9">
        <v>4</v>
      </c>
      <c r="I1438" s="9">
        <v>1.0149999999999999</v>
      </c>
      <c r="J1438" s="9">
        <v>400</v>
      </c>
      <c r="K1438" s="9" t="s">
        <v>442</v>
      </c>
      <c r="L1438" s="9"/>
      <c r="M1438" s="9"/>
      <c r="N1438" s="9" t="str">
        <f ca="1">IFERROR(__xludf.DUMMYFUNCTION("IFERROR(VALUE(REGEXEXTRACT(TO_TEXT($F1438), N$1 &amp; ""x(\d+)"")), """")
"),"")</f>
        <v/>
      </c>
      <c r="O1438" s="9">
        <f ca="1">IFERROR(__xludf.DUMMYFUNCTION("IFERROR(VALUE(REGEXEXTRACT(TO_TEXT($F1438), O$1 &amp; ""x(\d+)"")), """")"),1)</f>
        <v>1</v>
      </c>
      <c r="P1438" s="9" t="str">
        <f ca="1">IFERROR(__xludf.DUMMYFUNCTION("IFERROR(VALUE(REGEXEXTRACT(TO_TEXT($F1438), P$1 &amp; ""x(\d+)"")), """")"),"")</f>
        <v/>
      </c>
      <c r="Q1438" s="9" t="str">
        <f ca="1">IFERROR(__xludf.DUMMYFUNCTION("IFERROR(VALUE(REGEXEXTRACT(TO_TEXT($F1438), Q$1 &amp; ""x(\d+)"")), """")"),"")</f>
        <v/>
      </c>
      <c r="R1438" s="9" t="str">
        <f ca="1">IFERROR(__xludf.DUMMYFUNCTION("IFERROR(VALUE(REGEXEXTRACT(TO_TEXT($F1438), R$1 &amp; ""x(\d+)"")), """")"),"")</f>
        <v/>
      </c>
      <c r="S1438" s="9" t="str">
        <f ca="1">IFERROR(__xludf.DUMMYFUNCTION("IFERROR(VALUE(REGEXEXTRACT(TO_TEXT($F1438), S$1 &amp; ""x(\d+)"")), """")"),"")</f>
        <v/>
      </c>
      <c r="T1438" s="9" t="str">
        <f ca="1">IFERROR(__xludf.DUMMYFUNCTION("IFERROR(VALUE(REGEXEXTRACT(TO_TEXT($F1438), T$1 &amp; ""x(\d+)"")), """")"),"")</f>
        <v/>
      </c>
      <c r="U1438" s="9" t="str">
        <f ca="1">IFERROR(__xludf.DUMMYFUNCTION("IFERROR(VALUE(REGEXEXTRACT(TO_TEXT($F1438), U$1 &amp; ""x(\d+)"")), """")"),"")</f>
        <v/>
      </c>
      <c r="V1438" s="9" t="str">
        <f ca="1">IFERROR(__xludf.DUMMYFUNCTION("IFERROR(VALUE(REGEXEXTRACT(TO_TEXT($F1438), V$1 &amp; ""x(\d+)"")), """")"),"")</f>
        <v/>
      </c>
      <c r="W1438" s="9"/>
      <c r="X1438" s="9"/>
      <c r="Y1438" s="9"/>
      <c r="Z1438" s="9"/>
    </row>
    <row r="1439" spans="1:26" ht="15.75" customHeight="1">
      <c r="A1439" s="9" t="s">
        <v>2506</v>
      </c>
      <c r="B1439" s="9" t="s">
        <v>2507</v>
      </c>
      <c r="C1439" s="9" t="s">
        <v>2508</v>
      </c>
      <c r="D1439" s="9" t="s">
        <v>40</v>
      </c>
      <c r="E1439" s="9" t="s">
        <v>12</v>
      </c>
      <c r="F1439" s="9" t="s">
        <v>1485</v>
      </c>
      <c r="G1439" s="9">
        <v>110</v>
      </c>
      <c r="H1439" s="9">
        <v>4</v>
      </c>
      <c r="I1439" s="9">
        <v>1.0149999999999999</v>
      </c>
      <c r="J1439" s="9">
        <v>400</v>
      </c>
      <c r="K1439" s="9" t="s">
        <v>442</v>
      </c>
      <c r="L1439" s="9"/>
      <c r="M1439" s="9"/>
      <c r="N1439" s="9" t="str">
        <f ca="1">IFERROR(__xludf.DUMMYFUNCTION("IFERROR(VALUE(REGEXEXTRACT(TO_TEXT($F1439), N$1 &amp; ""x(\d+)"")), """")
"),"")</f>
        <v/>
      </c>
      <c r="O1439" s="9" t="str">
        <f ca="1">IFERROR(__xludf.DUMMYFUNCTION("IFERROR(VALUE(REGEXEXTRACT(TO_TEXT($F1439), O$1 &amp; ""x(\d+)"")), """")"),"")</f>
        <v/>
      </c>
      <c r="P1439" s="9" t="str">
        <f ca="1">IFERROR(__xludf.DUMMYFUNCTION("IFERROR(VALUE(REGEXEXTRACT(TO_TEXT($F1439), P$1 &amp; ""x(\d+)"")), """")"),"")</f>
        <v/>
      </c>
      <c r="Q1439" s="9" t="str">
        <f ca="1">IFERROR(__xludf.DUMMYFUNCTION("IFERROR(VALUE(REGEXEXTRACT(TO_TEXT($F1439), Q$1 &amp; ""x(\d+)"")), """")"),"")</f>
        <v/>
      </c>
      <c r="R1439" s="9" t="str">
        <f ca="1">IFERROR(__xludf.DUMMYFUNCTION("IFERROR(VALUE(REGEXEXTRACT(TO_TEXT($F1439), R$1 &amp; ""x(\d+)"")), """")"),"")</f>
        <v/>
      </c>
      <c r="S1439" s="9">
        <f ca="1">IFERROR(__xludf.DUMMYFUNCTION("IFERROR(VALUE(REGEXEXTRACT(TO_TEXT($F1439), S$1 &amp; ""x(\d+)"")), """")"),1)</f>
        <v>1</v>
      </c>
      <c r="T1439" s="9" t="str">
        <f ca="1">IFERROR(__xludf.DUMMYFUNCTION("IFERROR(VALUE(REGEXEXTRACT(TO_TEXT($F1439), T$1 &amp; ""x(\d+)"")), """")"),"")</f>
        <v/>
      </c>
      <c r="U1439" s="9" t="str">
        <f ca="1">IFERROR(__xludf.DUMMYFUNCTION("IFERROR(VALUE(REGEXEXTRACT(TO_TEXT($F1439), U$1 &amp; ""x(\d+)"")), """")"),"")</f>
        <v/>
      </c>
      <c r="V1439" s="9" t="str">
        <f ca="1">IFERROR(__xludf.DUMMYFUNCTION("IFERROR(VALUE(REGEXEXTRACT(TO_TEXT($F1439), V$1 &amp; ""x(\d+)"")), """")"),"")</f>
        <v/>
      </c>
      <c r="W1439" s="9"/>
      <c r="X1439" s="9"/>
      <c r="Y1439" s="9"/>
      <c r="Z1439" s="9"/>
    </row>
    <row r="1440" spans="1:26" ht="15.75" customHeight="1">
      <c r="A1440" s="9" t="s">
        <v>2506</v>
      </c>
      <c r="B1440" s="9" t="s">
        <v>2507</v>
      </c>
      <c r="C1440" s="9" t="s">
        <v>2508</v>
      </c>
      <c r="D1440" s="9" t="s">
        <v>40</v>
      </c>
      <c r="E1440" s="9" t="s">
        <v>13</v>
      </c>
      <c r="F1440" s="9" t="s">
        <v>1133</v>
      </c>
      <c r="G1440" s="9">
        <v>30</v>
      </c>
      <c r="H1440" s="9">
        <v>4</v>
      </c>
      <c r="I1440" s="9">
        <v>1.0149999999999999</v>
      </c>
      <c r="J1440" s="9">
        <v>400</v>
      </c>
      <c r="K1440" s="9" t="s">
        <v>442</v>
      </c>
      <c r="L1440" s="9"/>
      <c r="M1440" s="9"/>
      <c r="N1440" s="9" t="str">
        <f ca="1">IFERROR(__xludf.DUMMYFUNCTION("IFERROR(VALUE(REGEXEXTRACT(TO_TEXT($F1440), N$1 &amp; ""x(\d+)"")), """")
"),"")</f>
        <v/>
      </c>
      <c r="O1440" s="9" t="str">
        <f ca="1">IFERROR(__xludf.DUMMYFUNCTION("IFERROR(VALUE(REGEXEXTRACT(TO_TEXT($F1440), O$1 &amp; ""x(\d+)"")), """")"),"")</f>
        <v/>
      </c>
      <c r="P1440" s="9" t="str">
        <f ca="1">IFERROR(__xludf.DUMMYFUNCTION("IFERROR(VALUE(REGEXEXTRACT(TO_TEXT($F1440), P$1 &amp; ""x(\d+)"")), """")"),"")</f>
        <v/>
      </c>
      <c r="Q1440" s="9" t="str">
        <f ca="1">IFERROR(__xludf.DUMMYFUNCTION("IFERROR(VALUE(REGEXEXTRACT(TO_TEXT($F1440), Q$1 &amp; ""x(\d+)"")), """")"),"")</f>
        <v/>
      </c>
      <c r="R1440" s="9" t="str">
        <f ca="1">IFERROR(__xludf.DUMMYFUNCTION("IFERROR(VALUE(REGEXEXTRACT(TO_TEXT($F1440), R$1 &amp; ""x(\d+)"")), """")"),"")</f>
        <v/>
      </c>
      <c r="S1440" s="9">
        <f ca="1">IFERROR(__xludf.DUMMYFUNCTION("IFERROR(VALUE(REGEXEXTRACT(TO_TEXT($F1440), S$1 &amp; ""x(\d+)"")), """")"),1)</f>
        <v>1</v>
      </c>
      <c r="T1440" s="9" t="str">
        <f ca="1">IFERROR(__xludf.DUMMYFUNCTION("IFERROR(VALUE(REGEXEXTRACT(TO_TEXT($F1440), T$1 &amp; ""x(\d+)"")), """")"),"")</f>
        <v/>
      </c>
      <c r="U1440" s="9" t="str">
        <f ca="1">IFERROR(__xludf.DUMMYFUNCTION("IFERROR(VALUE(REGEXEXTRACT(TO_TEXT($F1440), U$1 &amp; ""x(\d+)"")), """")"),"")</f>
        <v/>
      </c>
      <c r="V1440" s="9" t="str">
        <f ca="1">IFERROR(__xludf.DUMMYFUNCTION("IFERROR(VALUE(REGEXEXTRACT(TO_TEXT($F1440), V$1 &amp; ""x(\d+)"")), """")"),"")</f>
        <v/>
      </c>
      <c r="W1440" s="9"/>
      <c r="X1440" s="9"/>
      <c r="Y1440" s="9"/>
      <c r="Z1440" s="9"/>
    </row>
    <row r="1441" spans="1:26" ht="15.75" customHeight="1">
      <c r="A1441" s="9" t="s">
        <v>2509</v>
      </c>
      <c r="B1441" s="9" t="s">
        <v>2510</v>
      </c>
      <c r="C1441" s="9" t="s">
        <v>2511</v>
      </c>
      <c r="D1441" s="9" t="s">
        <v>40</v>
      </c>
      <c r="E1441" s="9" t="s">
        <v>11</v>
      </c>
      <c r="F1441" s="9" t="s">
        <v>1859</v>
      </c>
      <c r="G1441" s="9">
        <v>20</v>
      </c>
      <c r="H1441" s="9">
        <v>4</v>
      </c>
      <c r="I1441" s="9">
        <v>1.0149999999999999</v>
      </c>
      <c r="J1441" s="9">
        <v>412</v>
      </c>
      <c r="K1441" s="9" t="s">
        <v>442</v>
      </c>
      <c r="L1441" s="9"/>
      <c r="M1441" s="9"/>
      <c r="N1441" s="9" t="str">
        <f ca="1">IFERROR(__xludf.DUMMYFUNCTION("IFERROR(VALUE(REGEXEXTRACT(TO_TEXT($F1441), N$1 &amp; ""x(\d+)"")), """")
"),"")</f>
        <v/>
      </c>
      <c r="O1441" s="9" t="str">
        <f ca="1">IFERROR(__xludf.DUMMYFUNCTION("IFERROR(VALUE(REGEXEXTRACT(TO_TEXT($F1441), O$1 &amp; ""x(\d+)"")), """")"),"")</f>
        <v/>
      </c>
      <c r="P1441" s="9" t="str">
        <f ca="1">IFERROR(__xludf.DUMMYFUNCTION("IFERROR(VALUE(REGEXEXTRACT(TO_TEXT($F1441), P$1 &amp; ""x(\d+)"")), """")"),"")</f>
        <v/>
      </c>
      <c r="Q1441" s="9" t="str">
        <f ca="1">IFERROR(__xludf.DUMMYFUNCTION("IFERROR(VALUE(REGEXEXTRACT(TO_TEXT($F1441), Q$1 &amp; ""x(\d+)"")), """")"),"")</f>
        <v/>
      </c>
      <c r="R1441" s="9" t="str">
        <f ca="1">IFERROR(__xludf.DUMMYFUNCTION("IFERROR(VALUE(REGEXEXTRACT(TO_TEXT($F1441), R$1 &amp; ""x(\d+)"")), """")"),"")</f>
        <v/>
      </c>
      <c r="S1441" s="9" t="str">
        <f ca="1">IFERROR(__xludf.DUMMYFUNCTION("IFERROR(VALUE(REGEXEXTRACT(TO_TEXT($F1441), S$1 &amp; ""x(\d+)"")), """")"),"")</f>
        <v/>
      </c>
      <c r="T1441" s="9" t="str">
        <f ca="1">IFERROR(__xludf.DUMMYFUNCTION("IFERROR(VALUE(REGEXEXTRACT(TO_TEXT($F1441), T$1 &amp; ""x(\d+)"")), """")"),"")</f>
        <v/>
      </c>
      <c r="U1441" s="9" t="str">
        <f ca="1">IFERROR(__xludf.DUMMYFUNCTION("IFERROR(VALUE(REGEXEXTRACT(TO_TEXT($F1441), U$1 &amp; ""x(\d+)"")), """")"),"")</f>
        <v/>
      </c>
      <c r="V1441" s="9" t="str">
        <f ca="1">IFERROR(__xludf.DUMMYFUNCTION("IFERROR(VALUE(REGEXEXTRACT(TO_TEXT($F1441), V$1 &amp; ""x(\d+)"")), """")"),"")</f>
        <v/>
      </c>
      <c r="W1441" s="9"/>
      <c r="X1441" s="9"/>
      <c r="Y1441" s="9"/>
      <c r="Z1441" s="9"/>
    </row>
    <row r="1442" spans="1:26" ht="15.75" customHeight="1">
      <c r="A1442" s="9" t="s">
        <v>2509</v>
      </c>
      <c r="B1442" s="9" t="s">
        <v>2510</v>
      </c>
      <c r="C1442" s="9" t="s">
        <v>2511</v>
      </c>
      <c r="D1442" s="9" t="s">
        <v>40</v>
      </c>
      <c r="E1442" s="9" t="s">
        <v>12</v>
      </c>
      <c r="F1442" s="9" t="s">
        <v>1485</v>
      </c>
      <c r="G1442" s="9">
        <v>110</v>
      </c>
      <c r="H1442" s="9">
        <v>4</v>
      </c>
      <c r="I1442" s="9">
        <v>1.0149999999999999</v>
      </c>
      <c r="J1442" s="9">
        <v>412</v>
      </c>
      <c r="K1442" s="9" t="s">
        <v>442</v>
      </c>
      <c r="L1442" s="9" t="s">
        <v>1015</v>
      </c>
      <c r="M1442" s="9"/>
      <c r="N1442" s="9" t="str">
        <f ca="1">IFERROR(__xludf.DUMMYFUNCTION("IFERROR(VALUE(REGEXEXTRACT(TO_TEXT($F1442), N$1 &amp; ""x(\d+)"")), """")
"),"")</f>
        <v/>
      </c>
      <c r="O1442" s="9" t="str">
        <f ca="1">IFERROR(__xludf.DUMMYFUNCTION("IFERROR(VALUE(REGEXEXTRACT(TO_TEXT($F1442), O$1 &amp; ""x(\d+)"")), """")"),"")</f>
        <v/>
      </c>
      <c r="P1442" s="9" t="str">
        <f ca="1">IFERROR(__xludf.DUMMYFUNCTION("IFERROR(VALUE(REGEXEXTRACT(TO_TEXT($F1442), P$1 &amp; ""x(\d+)"")), """")"),"")</f>
        <v/>
      </c>
      <c r="Q1442" s="9" t="str">
        <f ca="1">IFERROR(__xludf.DUMMYFUNCTION("IFERROR(VALUE(REGEXEXTRACT(TO_TEXT($F1442), Q$1 &amp; ""x(\d+)"")), """")"),"")</f>
        <v/>
      </c>
      <c r="R1442" s="9" t="str">
        <f ca="1">IFERROR(__xludf.DUMMYFUNCTION("IFERROR(VALUE(REGEXEXTRACT(TO_TEXT($F1442), R$1 &amp; ""x(\d+)"")), """")"),"")</f>
        <v/>
      </c>
      <c r="S1442" s="9">
        <f ca="1">IFERROR(__xludf.DUMMYFUNCTION("IFERROR(VALUE(REGEXEXTRACT(TO_TEXT($F1442), S$1 &amp; ""x(\d+)"")), """")"),1)</f>
        <v>1</v>
      </c>
      <c r="T1442" s="9" t="str">
        <f ca="1">IFERROR(__xludf.DUMMYFUNCTION("IFERROR(VALUE(REGEXEXTRACT(TO_TEXT($F1442), T$1 &amp; ""x(\d+)"")), """")"),"")</f>
        <v/>
      </c>
      <c r="U1442" s="9" t="str">
        <f ca="1">IFERROR(__xludf.DUMMYFUNCTION("IFERROR(VALUE(REGEXEXTRACT(TO_TEXT($F1442), U$1 &amp; ""x(\d+)"")), """")"),"")</f>
        <v/>
      </c>
      <c r="V1442" s="9" t="str">
        <f ca="1">IFERROR(__xludf.DUMMYFUNCTION("IFERROR(VALUE(REGEXEXTRACT(TO_TEXT($F1442), V$1 &amp; ""x(\d+)"")), """")"),"")</f>
        <v/>
      </c>
      <c r="W1442" s="9"/>
      <c r="X1442" s="9"/>
      <c r="Y1442" s="9"/>
      <c r="Z1442" s="9"/>
    </row>
    <row r="1443" spans="1:26" ht="15.75" customHeight="1">
      <c r="A1443" s="9" t="s">
        <v>2509</v>
      </c>
      <c r="B1443" s="9" t="s">
        <v>2510</v>
      </c>
      <c r="C1443" s="9" t="s">
        <v>2511</v>
      </c>
      <c r="D1443" s="9" t="s">
        <v>40</v>
      </c>
      <c r="E1443" s="9" t="s">
        <v>13</v>
      </c>
      <c r="F1443" s="9" t="s">
        <v>1133</v>
      </c>
      <c r="G1443" s="9">
        <v>30</v>
      </c>
      <c r="H1443" s="9">
        <v>4</v>
      </c>
      <c r="I1443" s="9">
        <v>1.0149999999999999</v>
      </c>
      <c r="J1443" s="9">
        <v>412</v>
      </c>
      <c r="K1443" s="9" t="s">
        <v>442</v>
      </c>
      <c r="L1443" s="9"/>
      <c r="M1443" s="9"/>
      <c r="N1443" s="9" t="str">
        <f ca="1">IFERROR(__xludf.DUMMYFUNCTION("IFERROR(VALUE(REGEXEXTRACT(TO_TEXT($F1443), N$1 &amp; ""x(\d+)"")), """")
"),"")</f>
        <v/>
      </c>
      <c r="O1443" s="9" t="str">
        <f ca="1">IFERROR(__xludf.DUMMYFUNCTION("IFERROR(VALUE(REGEXEXTRACT(TO_TEXT($F1443), O$1 &amp; ""x(\d+)"")), """")"),"")</f>
        <v/>
      </c>
      <c r="P1443" s="9" t="str">
        <f ca="1">IFERROR(__xludf.DUMMYFUNCTION("IFERROR(VALUE(REGEXEXTRACT(TO_TEXT($F1443), P$1 &amp; ""x(\d+)"")), """")"),"")</f>
        <v/>
      </c>
      <c r="Q1443" s="9" t="str">
        <f ca="1">IFERROR(__xludf.DUMMYFUNCTION("IFERROR(VALUE(REGEXEXTRACT(TO_TEXT($F1443), Q$1 &amp; ""x(\d+)"")), """")"),"")</f>
        <v/>
      </c>
      <c r="R1443" s="9" t="str">
        <f ca="1">IFERROR(__xludf.DUMMYFUNCTION("IFERROR(VALUE(REGEXEXTRACT(TO_TEXT($F1443), R$1 &amp; ""x(\d+)"")), """")"),"")</f>
        <v/>
      </c>
      <c r="S1443" s="9">
        <f ca="1">IFERROR(__xludf.DUMMYFUNCTION("IFERROR(VALUE(REGEXEXTRACT(TO_TEXT($F1443), S$1 &amp; ""x(\d+)"")), """")"),1)</f>
        <v>1</v>
      </c>
      <c r="T1443" s="9" t="str">
        <f ca="1">IFERROR(__xludf.DUMMYFUNCTION("IFERROR(VALUE(REGEXEXTRACT(TO_TEXT($F1443), T$1 &amp; ""x(\d+)"")), """")"),"")</f>
        <v/>
      </c>
      <c r="U1443" s="9" t="str">
        <f ca="1">IFERROR(__xludf.DUMMYFUNCTION("IFERROR(VALUE(REGEXEXTRACT(TO_TEXT($F1443), U$1 &amp; ""x(\d+)"")), """")"),"")</f>
        <v/>
      </c>
      <c r="V1443" s="9" t="str">
        <f ca="1">IFERROR(__xludf.DUMMYFUNCTION("IFERROR(VALUE(REGEXEXTRACT(TO_TEXT($F1443), V$1 &amp; ""x(\d+)"")), """")"),"")</f>
        <v/>
      </c>
      <c r="W1443" s="9"/>
      <c r="X1443" s="9"/>
      <c r="Y1443" s="9"/>
      <c r="Z1443" s="9"/>
    </row>
    <row r="1444" spans="1:26" ht="15.75" customHeight="1">
      <c r="A1444" s="9" t="s">
        <v>2512</v>
      </c>
      <c r="B1444" s="9" t="s">
        <v>1112</v>
      </c>
      <c r="C1444" s="9" t="s">
        <v>2513</v>
      </c>
      <c r="D1444" s="9" t="s">
        <v>40</v>
      </c>
      <c r="E1444" s="9" t="s">
        <v>11</v>
      </c>
      <c r="F1444" s="9" t="s">
        <v>1116</v>
      </c>
      <c r="G1444" s="9">
        <v>55</v>
      </c>
      <c r="H1444" s="9">
        <v>3</v>
      </c>
      <c r="I1444" s="9">
        <v>1.0149999999999999</v>
      </c>
      <c r="J1444" s="9">
        <v>410</v>
      </c>
      <c r="K1444" s="9" t="s">
        <v>442</v>
      </c>
      <c r="L1444" s="9"/>
      <c r="M1444" s="9"/>
      <c r="N1444" s="9" t="str">
        <f ca="1">IFERROR(__xludf.DUMMYFUNCTION("IFERROR(VALUE(REGEXEXTRACT(TO_TEXT($F1444), N$1 &amp; ""x(\d+)"")), """")
"),"")</f>
        <v/>
      </c>
      <c r="O1444" s="9">
        <f ca="1">IFERROR(__xludf.DUMMYFUNCTION("IFERROR(VALUE(REGEXEXTRACT(TO_TEXT($F1444), O$1 &amp; ""x(\d+)"")), """")"),1)</f>
        <v>1</v>
      </c>
      <c r="P1444" s="9" t="str">
        <f ca="1">IFERROR(__xludf.DUMMYFUNCTION("IFERROR(VALUE(REGEXEXTRACT(TO_TEXT($F1444), P$1 &amp; ""x(\d+)"")), """")"),"")</f>
        <v/>
      </c>
      <c r="Q1444" s="9" t="str">
        <f ca="1">IFERROR(__xludf.DUMMYFUNCTION("IFERROR(VALUE(REGEXEXTRACT(TO_TEXT($F1444), Q$1 &amp; ""x(\d+)"")), """")"),"")</f>
        <v/>
      </c>
      <c r="R1444" s="9" t="str">
        <f ca="1">IFERROR(__xludf.DUMMYFUNCTION("IFERROR(VALUE(REGEXEXTRACT(TO_TEXT($F1444), R$1 &amp; ""x(\d+)"")), """")"),"")</f>
        <v/>
      </c>
      <c r="S1444" s="9" t="str">
        <f ca="1">IFERROR(__xludf.DUMMYFUNCTION("IFERROR(VALUE(REGEXEXTRACT(TO_TEXT($F1444), S$1 &amp; ""x(\d+)"")), """")"),"")</f>
        <v/>
      </c>
      <c r="T1444" s="9" t="str">
        <f ca="1">IFERROR(__xludf.DUMMYFUNCTION("IFERROR(VALUE(REGEXEXTRACT(TO_TEXT($F1444), T$1 &amp; ""x(\d+)"")), """")"),"")</f>
        <v/>
      </c>
      <c r="U1444" s="9" t="str">
        <f ca="1">IFERROR(__xludf.DUMMYFUNCTION("IFERROR(VALUE(REGEXEXTRACT(TO_TEXT($F1444), U$1 &amp; ""x(\d+)"")), """")"),"")</f>
        <v/>
      </c>
      <c r="V1444" s="9" t="str">
        <f ca="1">IFERROR(__xludf.DUMMYFUNCTION("IFERROR(VALUE(REGEXEXTRACT(TO_TEXT($F1444), V$1 &amp; ""x(\d+)"")), """")"),"")</f>
        <v/>
      </c>
      <c r="W1444" s="9"/>
      <c r="X1444" s="9"/>
      <c r="Y1444" s="9"/>
      <c r="Z1444" s="9"/>
    </row>
    <row r="1445" spans="1:26" ht="15.75" customHeight="1">
      <c r="A1445" s="9" t="s">
        <v>2512</v>
      </c>
      <c r="B1445" s="9" t="s">
        <v>1112</v>
      </c>
      <c r="C1445" s="9" t="s">
        <v>2513</v>
      </c>
      <c r="D1445" s="9" t="s">
        <v>40</v>
      </c>
      <c r="E1445" s="9" t="s">
        <v>12</v>
      </c>
      <c r="F1445" s="9" t="s">
        <v>1110</v>
      </c>
      <c r="G1445" s="9">
        <v>130</v>
      </c>
      <c r="H1445" s="9">
        <v>3</v>
      </c>
      <c r="I1445" s="9">
        <v>1.0149999999999999</v>
      </c>
      <c r="J1445" s="9">
        <v>410</v>
      </c>
      <c r="K1445" s="9" t="s">
        <v>442</v>
      </c>
      <c r="L1445" s="9" t="s">
        <v>1015</v>
      </c>
      <c r="M1445" s="9"/>
      <c r="N1445" s="9" t="str">
        <f ca="1">IFERROR(__xludf.DUMMYFUNCTION("IFERROR(VALUE(REGEXEXTRACT(TO_TEXT($F1445), N$1 &amp; ""x(\d+)"")), """")
"),"")</f>
        <v/>
      </c>
      <c r="O1445" s="9" t="str">
        <f ca="1">IFERROR(__xludf.DUMMYFUNCTION("IFERROR(VALUE(REGEXEXTRACT(TO_TEXT($F1445), O$1 &amp; ""x(\d+)"")), """")"),"")</f>
        <v/>
      </c>
      <c r="P1445" s="9" t="str">
        <f ca="1">IFERROR(__xludf.DUMMYFUNCTION("IFERROR(VALUE(REGEXEXTRACT(TO_TEXT($F1445), P$1 &amp; ""x(\d+)"")), """")"),"")</f>
        <v/>
      </c>
      <c r="Q1445" s="9" t="str">
        <f ca="1">IFERROR(__xludf.DUMMYFUNCTION("IFERROR(VALUE(REGEXEXTRACT(TO_TEXT($F1445), Q$1 &amp; ""x(\d+)"")), """")"),"")</f>
        <v/>
      </c>
      <c r="R1445" s="9" t="str">
        <f ca="1">IFERROR(__xludf.DUMMYFUNCTION("IFERROR(VALUE(REGEXEXTRACT(TO_TEXT($F1445), R$1 &amp; ""x(\d+)"")), """")"),"")</f>
        <v/>
      </c>
      <c r="S1445" s="9">
        <f ca="1">IFERROR(__xludf.DUMMYFUNCTION("IFERROR(VALUE(REGEXEXTRACT(TO_TEXT($F1445), S$1 &amp; ""x(\d+)"")), """")"),1)</f>
        <v>1</v>
      </c>
      <c r="T1445" s="9" t="str">
        <f ca="1">IFERROR(__xludf.DUMMYFUNCTION("IFERROR(VALUE(REGEXEXTRACT(TO_TEXT($F1445), T$1 &amp; ""x(\d+)"")), """")"),"")</f>
        <v/>
      </c>
      <c r="U1445" s="9" t="str">
        <f ca="1">IFERROR(__xludf.DUMMYFUNCTION("IFERROR(VALUE(REGEXEXTRACT(TO_TEXT($F1445), U$1 &amp; ""x(\d+)"")), """")"),"")</f>
        <v/>
      </c>
      <c r="V1445" s="9" t="str">
        <f ca="1">IFERROR(__xludf.DUMMYFUNCTION("IFERROR(VALUE(REGEXEXTRACT(TO_TEXT($F1445), V$1 &amp; ""x(\d+)"")), """")"),"")</f>
        <v/>
      </c>
      <c r="W1445" s="9"/>
      <c r="X1445" s="9"/>
      <c r="Y1445" s="9"/>
      <c r="Z1445" s="9"/>
    </row>
    <row r="1446" spans="1:26" ht="15.75" customHeight="1">
      <c r="A1446" s="9" t="s">
        <v>2512</v>
      </c>
      <c r="B1446" s="9" t="s">
        <v>1112</v>
      </c>
      <c r="C1446" s="9" t="s">
        <v>2513</v>
      </c>
      <c r="D1446" s="9" t="s">
        <v>40</v>
      </c>
      <c r="E1446" s="9" t="s">
        <v>13</v>
      </c>
      <c r="F1446" s="9" t="s">
        <v>1111</v>
      </c>
      <c r="G1446" s="9">
        <v>30</v>
      </c>
      <c r="H1446" s="9">
        <v>3</v>
      </c>
      <c r="I1446" s="9">
        <v>1.0149999999999999</v>
      </c>
      <c r="J1446" s="9">
        <v>410</v>
      </c>
      <c r="K1446" s="9" t="s">
        <v>442</v>
      </c>
      <c r="L1446" s="9"/>
      <c r="M1446" s="9"/>
      <c r="N1446" s="9" t="str">
        <f ca="1">IFERROR(__xludf.DUMMYFUNCTION("IFERROR(VALUE(REGEXEXTRACT(TO_TEXT($F1446), N$1 &amp; ""x(\d+)"")), """")
"),"")</f>
        <v/>
      </c>
      <c r="O1446" s="9" t="str">
        <f ca="1">IFERROR(__xludf.DUMMYFUNCTION("IFERROR(VALUE(REGEXEXTRACT(TO_TEXT($F1446), O$1 &amp; ""x(\d+)"")), """")"),"")</f>
        <v/>
      </c>
      <c r="P1446" s="9" t="str">
        <f ca="1">IFERROR(__xludf.DUMMYFUNCTION("IFERROR(VALUE(REGEXEXTRACT(TO_TEXT($F1446), P$1 &amp; ""x(\d+)"")), """")"),"")</f>
        <v/>
      </c>
      <c r="Q1446" s="9" t="str">
        <f ca="1">IFERROR(__xludf.DUMMYFUNCTION("IFERROR(VALUE(REGEXEXTRACT(TO_TEXT($F1446), Q$1 &amp; ""x(\d+)"")), """")"),"")</f>
        <v/>
      </c>
      <c r="R1446" s="9" t="str">
        <f ca="1">IFERROR(__xludf.DUMMYFUNCTION("IFERROR(VALUE(REGEXEXTRACT(TO_TEXT($F1446), R$1 &amp; ""x(\d+)"")), """")"),"")</f>
        <v/>
      </c>
      <c r="S1446" s="9">
        <f ca="1">IFERROR(__xludf.DUMMYFUNCTION("IFERROR(VALUE(REGEXEXTRACT(TO_TEXT($F1446), S$1 &amp; ""x(\d+)"")), """")"),1)</f>
        <v>1</v>
      </c>
      <c r="T1446" s="9" t="str">
        <f ca="1">IFERROR(__xludf.DUMMYFUNCTION("IFERROR(VALUE(REGEXEXTRACT(TO_TEXT($F1446), T$1 &amp; ""x(\d+)"")), """")"),"")</f>
        <v/>
      </c>
      <c r="U1446" s="9" t="str">
        <f ca="1">IFERROR(__xludf.DUMMYFUNCTION("IFERROR(VALUE(REGEXEXTRACT(TO_TEXT($F1446), U$1 &amp; ""x(\d+)"")), """")"),"")</f>
        <v/>
      </c>
      <c r="V1446" s="9" t="str">
        <f ca="1">IFERROR(__xludf.DUMMYFUNCTION("IFERROR(VALUE(REGEXEXTRACT(TO_TEXT($F1446), V$1 &amp; ""x(\d+)"")), """")"),"")</f>
        <v/>
      </c>
      <c r="W1446" s="9"/>
      <c r="X1446" s="9"/>
      <c r="Y1446" s="9"/>
      <c r="Z1446" s="9"/>
    </row>
    <row r="1447" spans="1:26" ht="15.75" customHeight="1">
      <c r="A1447" s="9" t="s">
        <v>2514</v>
      </c>
      <c r="B1447" s="9" t="s">
        <v>1119</v>
      </c>
      <c r="C1447" s="9" t="s">
        <v>2515</v>
      </c>
      <c r="D1447" s="9" t="s">
        <v>48</v>
      </c>
      <c r="E1447" s="9" t="s">
        <v>11</v>
      </c>
      <c r="F1447" s="9" t="s">
        <v>1123</v>
      </c>
      <c r="G1447" s="9">
        <v>45</v>
      </c>
      <c r="H1447" s="9">
        <v>3</v>
      </c>
      <c r="I1447" s="9">
        <v>1.0149999999999999</v>
      </c>
      <c r="J1447" s="9">
        <v>52</v>
      </c>
      <c r="K1447" s="9" t="s">
        <v>424</v>
      </c>
      <c r="L1447" s="9"/>
      <c r="M1447" s="9"/>
      <c r="N1447" s="9" t="str">
        <f ca="1">IFERROR(__xludf.DUMMYFUNCTION("IFERROR(VALUE(REGEXEXTRACT(TO_TEXT($F1447), N$1 &amp; ""x(\d+)"")), """")
"),"")</f>
        <v/>
      </c>
      <c r="O1447" s="9" t="str">
        <f ca="1">IFERROR(__xludf.DUMMYFUNCTION("IFERROR(VALUE(REGEXEXTRACT(TO_TEXT($F1447), O$1 &amp; ""x(\d+)"")), """")"),"")</f>
        <v/>
      </c>
      <c r="P1447" s="9" t="str">
        <f ca="1">IFERROR(__xludf.DUMMYFUNCTION("IFERROR(VALUE(REGEXEXTRACT(TO_TEXT($F1447), P$1 &amp; ""x(\d+)"")), """")"),"")</f>
        <v/>
      </c>
      <c r="Q1447" s="9" t="str">
        <f ca="1">IFERROR(__xludf.DUMMYFUNCTION("IFERROR(VALUE(REGEXEXTRACT(TO_TEXT($F1447), Q$1 &amp; ""x(\d+)"")), """")"),"")</f>
        <v/>
      </c>
      <c r="R1447" s="9" t="str">
        <f ca="1">IFERROR(__xludf.DUMMYFUNCTION("IFERROR(VALUE(REGEXEXTRACT(TO_TEXT($F1447), R$1 &amp; ""x(\d+)"")), """")"),"")</f>
        <v/>
      </c>
      <c r="S1447" s="9" t="str">
        <f ca="1">IFERROR(__xludf.DUMMYFUNCTION("IFERROR(VALUE(REGEXEXTRACT(TO_TEXT($F1447), S$1 &amp; ""x(\d+)"")), """")"),"")</f>
        <v/>
      </c>
      <c r="T1447" s="9" t="str">
        <f ca="1">IFERROR(__xludf.DUMMYFUNCTION("IFERROR(VALUE(REGEXEXTRACT(TO_TEXT($F1447), T$1 &amp; ""x(\d+)"")), """")"),"")</f>
        <v/>
      </c>
      <c r="U1447" s="9" t="str">
        <f ca="1">IFERROR(__xludf.DUMMYFUNCTION("IFERROR(VALUE(REGEXEXTRACT(TO_TEXT($F1447), U$1 &amp; ""x(\d+)"")), """")"),"")</f>
        <v/>
      </c>
      <c r="V1447" s="9" t="str">
        <f ca="1">IFERROR(__xludf.DUMMYFUNCTION("IFERROR(VALUE(REGEXEXTRACT(TO_TEXT($F1447), V$1 &amp; ""x(\d+)"")), """")"),"")</f>
        <v/>
      </c>
      <c r="W1447" s="9"/>
      <c r="X1447" s="9"/>
      <c r="Y1447" s="9"/>
      <c r="Z1447" s="9"/>
    </row>
    <row r="1448" spans="1:26" ht="15.75" customHeight="1">
      <c r="A1448" s="9" t="s">
        <v>2514</v>
      </c>
      <c r="B1448" s="9" t="s">
        <v>1119</v>
      </c>
      <c r="C1448" s="9" t="s">
        <v>2515</v>
      </c>
      <c r="D1448" s="9" t="s">
        <v>48</v>
      </c>
      <c r="E1448" s="9" t="s">
        <v>12</v>
      </c>
      <c r="F1448" s="9" t="s">
        <v>1502</v>
      </c>
      <c r="G1448" s="9">
        <v>130</v>
      </c>
      <c r="H1448" s="9">
        <v>3</v>
      </c>
      <c r="I1448" s="9">
        <v>1.0149999999999999</v>
      </c>
      <c r="J1448" s="9">
        <v>52</v>
      </c>
      <c r="K1448" s="9" t="s">
        <v>424</v>
      </c>
      <c r="L1448" s="9" t="s">
        <v>1015</v>
      </c>
      <c r="M1448" s="9"/>
      <c r="N1448" s="9" t="str">
        <f ca="1">IFERROR(__xludf.DUMMYFUNCTION("IFERROR(VALUE(REGEXEXTRACT(TO_TEXT($F1448), N$1 &amp; ""x(\d+)"")), """")
"),"")</f>
        <v/>
      </c>
      <c r="O1448" s="9" t="str">
        <f ca="1">IFERROR(__xludf.DUMMYFUNCTION("IFERROR(VALUE(REGEXEXTRACT(TO_TEXT($F1448), O$1 &amp; ""x(\d+)"")), """")"),"")</f>
        <v/>
      </c>
      <c r="P1448" s="9">
        <f ca="1">IFERROR(__xludf.DUMMYFUNCTION("IFERROR(VALUE(REGEXEXTRACT(TO_TEXT($F1448), P$1 &amp; ""x(\d+)"")), """")"),1)</f>
        <v>1</v>
      </c>
      <c r="Q1448" s="9" t="str">
        <f ca="1">IFERROR(__xludf.DUMMYFUNCTION("IFERROR(VALUE(REGEXEXTRACT(TO_TEXT($F1448), Q$1 &amp; ""x(\d+)"")), """")"),"")</f>
        <v/>
      </c>
      <c r="R1448" s="9" t="str">
        <f ca="1">IFERROR(__xludf.DUMMYFUNCTION("IFERROR(VALUE(REGEXEXTRACT(TO_TEXT($F1448), R$1 &amp; ""x(\d+)"")), """")"),"")</f>
        <v/>
      </c>
      <c r="S1448" s="9" t="str">
        <f ca="1">IFERROR(__xludf.DUMMYFUNCTION("IFERROR(VALUE(REGEXEXTRACT(TO_TEXT($F1448), S$1 &amp; ""x(\d+)"")), """")"),"")</f>
        <v/>
      </c>
      <c r="T1448" s="9" t="str">
        <f ca="1">IFERROR(__xludf.DUMMYFUNCTION("IFERROR(VALUE(REGEXEXTRACT(TO_TEXT($F1448), T$1 &amp; ""x(\d+)"")), """")"),"")</f>
        <v/>
      </c>
      <c r="U1448" s="9" t="str">
        <f ca="1">IFERROR(__xludf.DUMMYFUNCTION("IFERROR(VALUE(REGEXEXTRACT(TO_TEXT($F1448), U$1 &amp; ""x(\d+)"")), """")"),"")</f>
        <v/>
      </c>
      <c r="V1448" s="9" t="str">
        <f ca="1">IFERROR(__xludf.DUMMYFUNCTION("IFERROR(VALUE(REGEXEXTRACT(TO_TEXT($F1448), V$1 &amp; ""x(\d+)"")), """")"),"")</f>
        <v/>
      </c>
      <c r="W1448" s="9"/>
      <c r="X1448" s="9"/>
      <c r="Y1448" s="9"/>
      <c r="Z1448" s="9"/>
    </row>
    <row r="1449" spans="1:26" ht="15.75" customHeight="1">
      <c r="A1449" s="9" t="s">
        <v>2514</v>
      </c>
      <c r="B1449" s="9" t="s">
        <v>1119</v>
      </c>
      <c r="C1449" s="9" t="s">
        <v>2515</v>
      </c>
      <c r="D1449" s="9" t="s">
        <v>48</v>
      </c>
      <c r="E1449" s="9" t="s">
        <v>13</v>
      </c>
      <c r="F1449" s="9" t="s">
        <v>1206</v>
      </c>
      <c r="G1449" s="9">
        <v>30</v>
      </c>
      <c r="H1449" s="9">
        <v>3</v>
      </c>
      <c r="I1449" s="9">
        <v>1.0149999999999999</v>
      </c>
      <c r="J1449" s="9">
        <v>52</v>
      </c>
      <c r="K1449" s="9" t="s">
        <v>424</v>
      </c>
      <c r="L1449" s="9"/>
      <c r="M1449" s="9"/>
      <c r="N1449" s="9" t="str">
        <f ca="1">IFERROR(__xludf.DUMMYFUNCTION("IFERROR(VALUE(REGEXEXTRACT(TO_TEXT($F1449), N$1 &amp; ""x(\d+)"")), """")
"),"")</f>
        <v/>
      </c>
      <c r="O1449" s="9" t="str">
        <f ca="1">IFERROR(__xludf.DUMMYFUNCTION("IFERROR(VALUE(REGEXEXTRACT(TO_TEXT($F1449), O$1 &amp; ""x(\d+)"")), """")"),"")</f>
        <v/>
      </c>
      <c r="P1449" s="9">
        <f ca="1">IFERROR(__xludf.DUMMYFUNCTION("IFERROR(VALUE(REGEXEXTRACT(TO_TEXT($F1449), P$1 &amp; ""x(\d+)"")), """")"),1)</f>
        <v>1</v>
      </c>
      <c r="Q1449" s="9" t="str">
        <f ca="1">IFERROR(__xludf.DUMMYFUNCTION("IFERROR(VALUE(REGEXEXTRACT(TO_TEXT($F1449), Q$1 &amp; ""x(\d+)"")), """")"),"")</f>
        <v/>
      </c>
      <c r="R1449" s="9" t="str">
        <f ca="1">IFERROR(__xludf.DUMMYFUNCTION("IFERROR(VALUE(REGEXEXTRACT(TO_TEXT($F1449), R$1 &amp; ""x(\d+)"")), """")"),"")</f>
        <v/>
      </c>
      <c r="S1449" s="9" t="str">
        <f ca="1">IFERROR(__xludf.DUMMYFUNCTION("IFERROR(VALUE(REGEXEXTRACT(TO_TEXT($F1449), S$1 &amp; ""x(\d+)"")), """")"),"")</f>
        <v/>
      </c>
      <c r="T1449" s="9" t="str">
        <f ca="1">IFERROR(__xludf.DUMMYFUNCTION("IFERROR(VALUE(REGEXEXTRACT(TO_TEXT($F1449), T$1 &amp; ""x(\d+)"")), """")"),"")</f>
        <v/>
      </c>
      <c r="U1449" s="9" t="str">
        <f ca="1">IFERROR(__xludf.DUMMYFUNCTION("IFERROR(VALUE(REGEXEXTRACT(TO_TEXT($F1449), U$1 &amp; ""x(\d+)"")), """")"),"")</f>
        <v/>
      </c>
      <c r="V1449" s="9" t="str">
        <f ca="1">IFERROR(__xludf.DUMMYFUNCTION("IFERROR(VALUE(REGEXEXTRACT(TO_TEXT($F1449), V$1 &amp; ""x(\d+)"")), """")"),"")</f>
        <v/>
      </c>
      <c r="W1449" s="9"/>
      <c r="X1449" s="9"/>
      <c r="Y1449" s="9"/>
      <c r="Z1449" s="9"/>
    </row>
    <row r="1450" spans="1:26" ht="15.75" customHeight="1">
      <c r="A1450" s="9" t="s">
        <v>2516</v>
      </c>
      <c r="B1450" s="9" t="s">
        <v>2517</v>
      </c>
      <c r="C1450" s="9" t="s">
        <v>552</v>
      </c>
      <c r="D1450" s="9" t="s">
        <v>33</v>
      </c>
      <c r="E1450" s="9" t="s">
        <v>11</v>
      </c>
      <c r="F1450" s="9" t="s">
        <v>1147</v>
      </c>
      <c r="G1450" s="9">
        <v>30</v>
      </c>
      <c r="H1450" s="9">
        <v>2</v>
      </c>
      <c r="I1450" s="9">
        <v>1.0149999999999999</v>
      </c>
      <c r="J1450" s="9">
        <v>110</v>
      </c>
      <c r="K1450" s="9" t="s">
        <v>442</v>
      </c>
      <c r="L1450" s="9"/>
      <c r="M1450" s="9"/>
      <c r="N1450" s="9" t="str">
        <f ca="1">IFERROR(__xludf.DUMMYFUNCTION("IFERROR(VALUE(REGEXEXTRACT(TO_TEXT($F1450), N$1 &amp; ""x(\d+)"")), """")
"),"")</f>
        <v/>
      </c>
      <c r="O1450" s="9" t="str">
        <f ca="1">IFERROR(__xludf.DUMMYFUNCTION("IFERROR(VALUE(REGEXEXTRACT(TO_TEXT($F1450), O$1 &amp; ""x(\d+)"")), """")"),"")</f>
        <v/>
      </c>
      <c r="P1450" s="9" t="str">
        <f ca="1">IFERROR(__xludf.DUMMYFUNCTION("IFERROR(VALUE(REGEXEXTRACT(TO_TEXT($F1450), P$1 &amp; ""x(\d+)"")), """")"),"")</f>
        <v/>
      </c>
      <c r="Q1450" s="9" t="str">
        <f ca="1">IFERROR(__xludf.DUMMYFUNCTION("IFERROR(VALUE(REGEXEXTRACT(TO_TEXT($F1450), Q$1 &amp; ""x(\d+)"")), """")"),"")</f>
        <v/>
      </c>
      <c r="R1450" s="9" t="str">
        <f ca="1">IFERROR(__xludf.DUMMYFUNCTION("IFERROR(VALUE(REGEXEXTRACT(TO_TEXT($F1450), R$1 &amp; ""x(\d+)"")), """")"),"")</f>
        <v/>
      </c>
      <c r="S1450" s="9" t="str">
        <f ca="1">IFERROR(__xludf.DUMMYFUNCTION("IFERROR(VALUE(REGEXEXTRACT(TO_TEXT($F1450), S$1 &amp; ""x(\d+)"")), """")"),"")</f>
        <v/>
      </c>
      <c r="T1450" s="9" t="str">
        <f ca="1">IFERROR(__xludf.DUMMYFUNCTION("IFERROR(VALUE(REGEXEXTRACT(TO_TEXT($F1450), T$1 &amp; ""x(\d+)"")), """")"),"")</f>
        <v/>
      </c>
      <c r="U1450" s="9" t="str">
        <f ca="1">IFERROR(__xludf.DUMMYFUNCTION("IFERROR(VALUE(REGEXEXTRACT(TO_TEXT($F1450), U$1 &amp; ""x(\d+)"")), """")"),"")</f>
        <v/>
      </c>
      <c r="V1450" s="9" t="str">
        <f ca="1">IFERROR(__xludf.DUMMYFUNCTION("IFERROR(VALUE(REGEXEXTRACT(TO_TEXT($F1450), V$1 &amp; ""x(\d+)"")), """")"),"")</f>
        <v/>
      </c>
      <c r="W1450" s="9"/>
      <c r="X1450" s="9"/>
      <c r="Y1450" s="9"/>
      <c r="Z1450" s="9"/>
    </row>
    <row r="1451" spans="1:26" ht="15.75" customHeight="1">
      <c r="A1451" s="9" t="s">
        <v>2516</v>
      </c>
      <c r="B1451" s="9" t="s">
        <v>2517</v>
      </c>
      <c r="C1451" s="9" t="s">
        <v>552</v>
      </c>
      <c r="D1451" s="9" t="s">
        <v>33</v>
      </c>
      <c r="E1451" s="9" t="s">
        <v>12</v>
      </c>
      <c r="F1451" s="9" t="s">
        <v>1867</v>
      </c>
      <c r="G1451" s="9">
        <v>60</v>
      </c>
      <c r="H1451" s="9">
        <v>2</v>
      </c>
      <c r="I1451" s="9">
        <v>1.0149999999999999</v>
      </c>
      <c r="J1451" s="9">
        <v>110</v>
      </c>
      <c r="K1451" s="9" t="s">
        <v>442</v>
      </c>
      <c r="L1451" s="9"/>
      <c r="M1451" s="9"/>
      <c r="N1451" s="9" t="str">
        <f ca="1">IFERROR(__xludf.DUMMYFUNCTION("IFERROR(VALUE(REGEXEXTRACT(TO_TEXT($F1451), N$1 &amp; ""x(\d+)"")), """")
"),"")</f>
        <v/>
      </c>
      <c r="O1451" s="9">
        <f ca="1">IFERROR(__xludf.DUMMYFUNCTION("IFERROR(VALUE(REGEXEXTRACT(TO_TEXT($F1451), O$1 &amp; ""x(\d+)"")), """")"),1)</f>
        <v>1</v>
      </c>
      <c r="P1451" s="9" t="str">
        <f ca="1">IFERROR(__xludf.DUMMYFUNCTION("IFERROR(VALUE(REGEXEXTRACT(TO_TEXT($F1451), P$1 &amp; ""x(\d+)"")), """")"),"")</f>
        <v/>
      </c>
      <c r="Q1451" s="9" t="str">
        <f ca="1">IFERROR(__xludf.DUMMYFUNCTION("IFERROR(VALUE(REGEXEXTRACT(TO_TEXT($F1451), Q$1 &amp; ""x(\d+)"")), """")"),"")</f>
        <v/>
      </c>
      <c r="R1451" s="9" t="str">
        <f ca="1">IFERROR(__xludf.DUMMYFUNCTION("IFERROR(VALUE(REGEXEXTRACT(TO_TEXT($F1451), R$1 &amp; ""x(\d+)"")), """")"),"")</f>
        <v/>
      </c>
      <c r="S1451" s="9" t="str">
        <f ca="1">IFERROR(__xludf.DUMMYFUNCTION("IFERROR(VALUE(REGEXEXTRACT(TO_TEXT($F1451), S$1 &amp; ""x(\d+)"")), """")"),"")</f>
        <v/>
      </c>
      <c r="T1451" s="9" t="str">
        <f ca="1">IFERROR(__xludf.DUMMYFUNCTION("IFERROR(VALUE(REGEXEXTRACT(TO_TEXT($F1451), T$1 &amp; ""x(\d+)"")), """")"),"")</f>
        <v/>
      </c>
      <c r="U1451" s="9" t="str">
        <f ca="1">IFERROR(__xludf.DUMMYFUNCTION("IFERROR(VALUE(REGEXEXTRACT(TO_TEXT($F1451), U$1 &amp; ""x(\d+)"")), """")"),"")</f>
        <v/>
      </c>
      <c r="V1451" s="9" t="str">
        <f ca="1">IFERROR(__xludf.DUMMYFUNCTION("IFERROR(VALUE(REGEXEXTRACT(TO_TEXT($F1451), V$1 &amp; ""x(\d+)"")), """")"),"")</f>
        <v/>
      </c>
      <c r="W1451" s="9"/>
      <c r="X1451" s="9"/>
      <c r="Y1451" s="9"/>
      <c r="Z1451" s="9"/>
    </row>
    <row r="1452" spans="1:26" ht="15.75" customHeight="1">
      <c r="A1452" s="9" t="s">
        <v>2516</v>
      </c>
      <c r="B1452" s="9" t="s">
        <v>2517</v>
      </c>
      <c r="C1452" s="9" t="s">
        <v>552</v>
      </c>
      <c r="D1452" s="9" t="s">
        <v>33</v>
      </c>
      <c r="E1452" s="9" t="s">
        <v>13</v>
      </c>
      <c r="F1452" s="9" t="s">
        <v>1149</v>
      </c>
      <c r="G1452" s="9">
        <v>15</v>
      </c>
      <c r="H1452" s="9">
        <v>2</v>
      </c>
      <c r="I1452" s="9">
        <v>1.0149999999999999</v>
      </c>
      <c r="J1452" s="9">
        <v>110</v>
      </c>
      <c r="K1452" s="9" t="s">
        <v>442</v>
      </c>
      <c r="L1452" s="9"/>
      <c r="M1452" s="9"/>
      <c r="N1452" s="9" t="str">
        <f ca="1">IFERROR(__xludf.DUMMYFUNCTION("IFERROR(VALUE(REGEXEXTRACT(TO_TEXT($F1452), N$1 &amp; ""x(\d+)"")), """")
"),"")</f>
        <v/>
      </c>
      <c r="O1452" s="9">
        <f ca="1">IFERROR(__xludf.DUMMYFUNCTION("IFERROR(VALUE(REGEXEXTRACT(TO_TEXT($F1452), O$1 &amp; ""x(\d+)"")), """")"),1)</f>
        <v>1</v>
      </c>
      <c r="P1452" s="9" t="str">
        <f ca="1">IFERROR(__xludf.DUMMYFUNCTION("IFERROR(VALUE(REGEXEXTRACT(TO_TEXT($F1452), P$1 &amp; ""x(\d+)"")), """")"),"")</f>
        <v/>
      </c>
      <c r="Q1452" s="9" t="str">
        <f ca="1">IFERROR(__xludf.DUMMYFUNCTION("IFERROR(VALUE(REGEXEXTRACT(TO_TEXT($F1452), Q$1 &amp; ""x(\d+)"")), """")"),"")</f>
        <v/>
      </c>
      <c r="R1452" s="9" t="str">
        <f ca="1">IFERROR(__xludf.DUMMYFUNCTION("IFERROR(VALUE(REGEXEXTRACT(TO_TEXT($F1452), R$1 &amp; ""x(\d+)"")), """")"),"")</f>
        <v/>
      </c>
      <c r="S1452" s="9" t="str">
        <f ca="1">IFERROR(__xludf.DUMMYFUNCTION("IFERROR(VALUE(REGEXEXTRACT(TO_TEXT($F1452), S$1 &amp; ""x(\d+)"")), """")"),"")</f>
        <v/>
      </c>
      <c r="T1452" s="9" t="str">
        <f ca="1">IFERROR(__xludf.DUMMYFUNCTION("IFERROR(VALUE(REGEXEXTRACT(TO_TEXT($F1452), T$1 &amp; ""x(\d+)"")), """")"),"")</f>
        <v/>
      </c>
      <c r="U1452" s="9" t="str">
        <f ca="1">IFERROR(__xludf.DUMMYFUNCTION("IFERROR(VALUE(REGEXEXTRACT(TO_TEXT($F1452), U$1 &amp; ""x(\d+)"")), """")"),"")</f>
        <v/>
      </c>
      <c r="V1452" s="9" t="str">
        <f ca="1">IFERROR(__xludf.DUMMYFUNCTION("IFERROR(VALUE(REGEXEXTRACT(TO_TEXT($F1452), V$1 &amp; ""x(\d+)"")), """")"),"")</f>
        <v/>
      </c>
      <c r="W1452" s="9"/>
      <c r="X1452" s="9"/>
      <c r="Y1452" s="9"/>
      <c r="Z1452" s="9"/>
    </row>
    <row r="1453" spans="1:26" ht="15.75" customHeight="1">
      <c r="A1453" s="9" t="s">
        <v>2516</v>
      </c>
      <c r="B1453" s="9" t="s">
        <v>2517</v>
      </c>
      <c r="C1453" s="9" t="s">
        <v>552</v>
      </c>
      <c r="D1453" s="9" t="s">
        <v>40</v>
      </c>
      <c r="E1453" s="9" t="s">
        <v>11</v>
      </c>
      <c r="F1453" s="9" t="s">
        <v>2036</v>
      </c>
      <c r="G1453" s="9">
        <v>60</v>
      </c>
      <c r="H1453" s="9">
        <v>3</v>
      </c>
      <c r="I1453" s="9">
        <v>1.0149999999999999</v>
      </c>
      <c r="J1453" s="9">
        <v>400</v>
      </c>
      <c r="K1453" s="9" t="s">
        <v>442</v>
      </c>
      <c r="L1453" s="9"/>
      <c r="M1453" s="9"/>
      <c r="N1453" s="9">
        <f ca="1">IFERROR(__xludf.DUMMYFUNCTION("IFERROR(VALUE(REGEXEXTRACT(TO_TEXT($F1453), N$1 &amp; ""x(\d+)"")), """")
"),1)</f>
        <v>1</v>
      </c>
      <c r="O1453" s="9">
        <f ca="1">IFERROR(__xludf.DUMMYFUNCTION("IFERROR(VALUE(REGEXEXTRACT(TO_TEXT($F1453), O$1 &amp; ""x(\d+)"")), """")"),1)</f>
        <v>1</v>
      </c>
      <c r="P1453" s="9" t="str">
        <f ca="1">IFERROR(__xludf.DUMMYFUNCTION("IFERROR(VALUE(REGEXEXTRACT(TO_TEXT($F1453), P$1 &amp; ""x(\d+)"")), """")"),"")</f>
        <v/>
      </c>
      <c r="Q1453" s="9" t="str">
        <f ca="1">IFERROR(__xludf.DUMMYFUNCTION("IFERROR(VALUE(REGEXEXTRACT(TO_TEXT($F1453), Q$1 &amp; ""x(\d+)"")), """")"),"")</f>
        <v/>
      </c>
      <c r="R1453" s="9" t="str">
        <f ca="1">IFERROR(__xludf.DUMMYFUNCTION("IFERROR(VALUE(REGEXEXTRACT(TO_TEXT($F1453), R$1 &amp; ""x(\d+)"")), """")"),"")</f>
        <v/>
      </c>
      <c r="S1453" s="9" t="str">
        <f ca="1">IFERROR(__xludf.DUMMYFUNCTION("IFERROR(VALUE(REGEXEXTRACT(TO_TEXT($F1453), S$1 &amp; ""x(\d+)"")), """")"),"")</f>
        <v/>
      </c>
      <c r="T1453" s="9" t="str">
        <f ca="1">IFERROR(__xludf.DUMMYFUNCTION("IFERROR(VALUE(REGEXEXTRACT(TO_TEXT($F1453), T$1 &amp; ""x(\d+)"")), """")"),"")</f>
        <v/>
      </c>
      <c r="U1453" s="9" t="str">
        <f ca="1">IFERROR(__xludf.DUMMYFUNCTION("IFERROR(VALUE(REGEXEXTRACT(TO_TEXT($F1453), U$1 &amp; ""x(\d+)"")), """")"),"")</f>
        <v/>
      </c>
      <c r="V1453" s="9" t="str">
        <f ca="1">IFERROR(__xludf.DUMMYFUNCTION("IFERROR(VALUE(REGEXEXTRACT(TO_TEXT($F1453), V$1 &amp; ""x(\d+)"")), """")"),"")</f>
        <v/>
      </c>
      <c r="W1453" s="9"/>
      <c r="X1453" s="9"/>
      <c r="Y1453" s="9"/>
      <c r="Z1453" s="9"/>
    </row>
    <row r="1454" spans="1:26" ht="15.75" customHeight="1">
      <c r="A1454" s="9" t="s">
        <v>2516</v>
      </c>
      <c r="B1454" s="9" t="s">
        <v>2517</v>
      </c>
      <c r="C1454" s="9" t="s">
        <v>552</v>
      </c>
      <c r="D1454" s="9" t="s">
        <v>40</v>
      </c>
      <c r="E1454" s="9" t="s">
        <v>12</v>
      </c>
      <c r="F1454" s="9" t="s">
        <v>1046</v>
      </c>
      <c r="G1454" s="9">
        <v>90</v>
      </c>
      <c r="H1454" s="9">
        <v>3</v>
      </c>
      <c r="I1454" s="9">
        <v>1.0149999999999999</v>
      </c>
      <c r="J1454" s="9">
        <v>400</v>
      </c>
      <c r="K1454" s="9" t="s">
        <v>442</v>
      </c>
      <c r="L1454" s="9" t="s">
        <v>1015</v>
      </c>
      <c r="M1454" s="9"/>
      <c r="N1454" s="9" t="str">
        <f ca="1">IFERROR(__xludf.DUMMYFUNCTION("IFERROR(VALUE(REGEXEXTRACT(TO_TEXT($F1454), N$1 &amp; ""x(\d+)"")), """")
"),"")</f>
        <v/>
      </c>
      <c r="O1454" s="9" t="str">
        <f ca="1">IFERROR(__xludf.DUMMYFUNCTION("IFERROR(VALUE(REGEXEXTRACT(TO_TEXT($F1454), O$1 &amp; ""x(\d+)"")), """")"),"")</f>
        <v/>
      </c>
      <c r="P1454" s="9" t="str">
        <f ca="1">IFERROR(__xludf.DUMMYFUNCTION("IFERROR(VALUE(REGEXEXTRACT(TO_TEXT($F1454), P$1 &amp; ""x(\d+)"")), """")"),"")</f>
        <v/>
      </c>
      <c r="Q1454" s="9" t="str">
        <f ca="1">IFERROR(__xludf.DUMMYFUNCTION("IFERROR(VALUE(REGEXEXTRACT(TO_TEXT($F1454), Q$1 &amp; ""x(\d+)"")), """")"),"")</f>
        <v/>
      </c>
      <c r="R1454" s="9" t="str">
        <f ca="1">IFERROR(__xludf.DUMMYFUNCTION("IFERROR(VALUE(REGEXEXTRACT(TO_TEXT($F1454), R$1 &amp; ""x(\d+)"")), """")"),"")</f>
        <v/>
      </c>
      <c r="S1454" s="9">
        <f ca="1">IFERROR(__xludf.DUMMYFUNCTION("IFERROR(VALUE(REGEXEXTRACT(TO_TEXT($F1454), S$1 &amp; ""x(\d+)"")), """")"),1)</f>
        <v>1</v>
      </c>
      <c r="T1454" s="9" t="str">
        <f ca="1">IFERROR(__xludf.DUMMYFUNCTION("IFERROR(VALUE(REGEXEXTRACT(TO_TEXT($F1454), T$1 &amp; ""x(\d+)"")), """")"),"")</f>
        <v/>
      </c>
      <c r="U1454" s="9" t="str">
        <f ca="1">IFERROR(__xludf.DUMMYFUNCTION("IFERROR(VALUE(REGEXEXTRACT(TO_TEXT($F1454), U$1 &amp; ""x(\d+)"")), """")"),"")</f>
        <v/>
      </c>
      <c r="V1454" s="9" t="str">
        <f ca="1">IFERROR(__xludf.DUMMYFUNCTION("IFERROR(VALUE(REGEXEXTRACT(TO_TEXT($F1454), V$1 &amp; ""x(\d+)"")), """")"),"")</f>
        <v/>
      </c>
      <c r="W1454" s="9"/>
      <c r="X1454" s="9"/>
      <c r="Y1454" s="9"/>
      <c r="Z1454" s="9"/>
    </row>
    <row r="1455" spans="1:26" ht="15.75" customHeight="1">
      <c r="A1455" s="9" t="s">
        <v>2516</v>
      </c>
      <c r="B1455" s="9" t="s">
        <v>2517</v>
      </c>
      <c r="C1455" s="9" t="s">
        <v>552</v>
      </c>
      <c r="D1455" s="9" t="s">
        <v>40</v>
      </c>
      <c r="E1455" s="9" t="s">
        <v>13</v>
      </c>
      <c r="F1455" s="9" t="s">
        <v>1047</v>
      </c>
      <c r="G1455" s="9">
        <v>30</v>
      </c>
      <c r="H1455" s="9">
        <v>3</v>
      </c>
      <c r="I1455" s="9">
        <v>1.0149999999999999</v>
      </c>
      <c r="J1455" s="9">
        <v>400</v>
      </c>
      <c r="K1455" s="9" t="s">
        <v>442</v>
      </c>
      <c r="L1455" s="9"/>
      <c r="M1455" s="9"/>
      <c r="N1455" s="9" t="str">
        <f ca="1">IFERROR(__xludf.DUMMYFUNCTION("IFERROR(VALUE(REGEXEXTRACT(TO_TEXT($F1455), N$1 &amp; ""x(\d+)"")), """")
"),"")</f>
        <v/>
      </c>
      <c r="O1455" s="9" t="str">
        <f ca="1">IFERROR(__xludf.DUMMYFUNCTION("IFERROR(VALUE(REGEXEXTRACT(TO_TEXT($F1455), O$1 &amp; ""x(\d+)"")), """")"),"")</f>
        <v/>
      </c>
      <c r="P1455" s="9" t="str">
        <f ca="1">IFERROR(__xludf.DUMMYFUNCTION("IFERROR(VALUE(REGEXEXTRACT(TO_TEXT($F1455), P$1 &amp; ""x(\d+)"")), """")"),"")</f>
        <v/>
      </c>
      <c r="Q1455" s="9" t="str">
        <f ca="1">IFERROR(__xludf.DUMMYFUNCTION("IFERROR(VALUE(REGEXEXTRACT(TO_TEXT($F1455), Q$1 &amp; ""x(\d+)"")), """")"),"")</f>
        <v/>
      </c>
      <c r="R1455" s="9" t="str">
        <f ca="1">IFERROR(__xludf.DUMMYFUNCTION("IFERROR(VALUE(REGEXEXTRACT(TO_TEXT($F1455), R$1 &amp; ""x(\d+)"")), """")"),"")</f>
        <v/>
      </c>
      <c r="S1455" s="9">
        <f ca="1">IFERROR(__xludf.DUMMYFUNCTION("IFERROR(VALUE(REGEXEXTRACT(TO_TEXT($F1455), S$1 &amp; ""x(\d+)"")), """")"),1)</f>
        <v>1</v>
      </c>
      <c r="T1455" s="9" t="str">
        <f ca="1">IFERROR(__xludf.DUMMYFUNCTION("IFERROR(VALUE(REGEXEXTRACT(TO_TEXT($F1455), T$1 &amp; ""x(\d+)"")), """")"),"")</f>
        <v/>
      </c>
      <c r="U1455" s="9" t="str">
        <f ca="1">IFERROR(__xludf.DUMMYFUNCTION("IFERROR(VALUE(REGEXEXTRACT(TO_TEXT($F1455), U$1 &amp; ""x(\d+)"")), """")"),"")</f>
        <v/>
      </c>
      <c r="V1455" s="9" t="str">
        <f ca="1">IFERROR(__xludf.DUMMYFUNCTION("IFERROR(VALUE(REGEXEXTRACT(TO_TEXT($F1455), V$1 &amp; ""x(\d+)"")), """")"),"")</f>
        <v/>
      </c>
      <c r="W1455" s="9"/>
      <c r="X1455" s="9"/>
      <c r="Y1455" s="9"/>
      <c r="Z1455" s="9"/>
    </row>
    <row r="1456" spans="1:26" ht="15.75" customHeight="1">
      <c r="A1456" s="9" t="s">
        <v>2518</v>
      </c>
      <c r="B1456" s="9" t="s">
        <v>2519</v>
      </c>
      <c r="C1456" s="9" t="s">
        <v>556</v>
      </c>
      <c r="D1456" s="9" t="s">
        <v>33</v>
      </c>
      <c r="E1456" s="9" t="s">
        <v>11</v>
      </c>
      <c r="F1456" s="9" t="s">
        <v>2040</v>
      </c>
      <c r="G1456" s="9">
        <v>60</v>
      </c>
      <c r="H1456" s="9">
        <v>3</v>
      </c>
      <c r="I1456" s="9">
        <v>1.0149999999999999</v>
      </c>
      <c r="J1456" s="9">
        <v>110</v>
      </c>
      <c r="K1456" s="9" t="s">
        <v>442</v>
      </c>
      <c r="L1456" s="9"/>
      <c r="M1456" s="9"/>
      <c r="N1456" s="9" t="str">
        <f ca="1">IFERROR(__xludf.DUMMYFUNCTION("IFERROR(VALUE(REGEXEXTRACT(TO_TEXT($F1456), N$1 &amp; ""x(\d+)"")), """")
"),"")</f>
        <v/>
      </c>
      <c r="O1456" s="9">
        <f ca="1">IFERROR(__xludf.DUMMYFUNCTION("IFERROR(VALUE(REGEXEXTRACT(TO_TEXT($F1456), O$1 &amp; ""x(\d+)"")), """")"),1)</f>
        <v>1</v>
      </c>
      <c r="P1456" s="9" t="str">
        <f ca="1">IFERROR(__xludf.DUMMYFUNCTION("IFERROR(VALUE(REGEXEXTRACT(TO_TEXT($F1456), P$1 &amp; ""x(\d+)"")), """")"),"")</f>
        <v/>
      </c>
      <c r="Q1456" s="9" t="str">
        <f ca="1">IFERROR(__xludf.DUMMYFUNCTION("IFERROR(VALUE(REGEXEXTRACT(TO_TEXT($F1456), Q$1 &amp; ""x(\d+)"")), """")"),"")</f>
        <v/>
      </c>
      <c r="R1456" s="9" t="str">
        <f ca="1">IFERROR(__xludf.DUMMYFUNCTION("IFERROR(VALUE(REGEXEXTRACT(TO_TEXT($F1456), R$1 &amp; ""x(\d+)"")), """")"),"")</f>
        <v/>
      </c>
      <c r="S1456" s="9" t="str">
        <f ca="1">IFERROR(__xludf.DUMMYFUNCTION("IFERROR(VALUE(REGEXEXTRACT(TO_TEXT($F1456), S$1 &amp; ""x(\d+)"")), """")"),"")</f>
        <v/>
      </c>
      <c r="T1456" s="9" t="str">
        <f ca="1">IFERROR(__xludf.DUMMYFUNCTION("IFERROR(VALUE(REGEXEXTRACT(TO_TEXT($F1456), T$1 &amp; ""x(\d+)"")), """")"),"")</f>
        <v/>
      </c>
      <c r="U1456" s="9" t="str">
        <f ca="1">IFERROR(__xludf.DUMMYFUNCTION("IFERROR(VALUE(REGEXEXTRACT(TO_TEXT($F1456), U$1 &amp; ""x(\d+)"")), """")"),"")</f>
        <v/>
      </c>
      <c r="V1456" s="9" t="str">
        <f ca="1">IFERROR(__xludf.DUMMYFUNCTION("IFERROR(VALUE(REGEXEXTRACT(TO_TEXT($F1456), V$1 &amp; ""x(\d+)"")), """")"),"")</f>
        <v/>
      </c>
      <c r="W1456" s="9"/>
      <c r="X1456" s="9"/>
      <c r="Y1456" s="9"/>
      <c r="Z1456" s="9"/>
    </row>
    <row r="1457" spans="1:26" ht="15.75" customHeight="1">
      <c r="A1457" s="9" t="s">
        <v>2518</v>
      </c>
      <c r="B1457" s="9" t="s">
        <v>2519</v>
      </c>
      <c r="C1457" s="9" t="s">
        <v>556</v>
      </c>
      <c r="D1457" s="9" t="s">
        <v>33</v>
      </c>
      <c r="E1457" s="9" t="s">
        <v>12</v>
      </c>
      <c r="F1457" s="9" t="s">
        <v>2040</v>
      </c>
      <c r="G1457" s="9">
        <v>60</v>
      </c>
      <c r="H1457" s="9">
        <v>3</v>
      </c>
      <c r="I1457" s="9">
        <v>1.0149999999999999</v>
      </c>
      <c r="J1457" s="9">
        <v>110</v>
      </c>
      <c r="K1457" s="9" t="s">
        <v>442</v>
      </c>
      <c r="L1457" s="9" t="s">
        <v>1169</v>
      </c>
      <c r="M1457" s="9"/>
      <c r="N1457" s="9" t="str">
        <f ca="1">IFERROR(__xludf.DUMMYFUNCTION("IFERROR(VALUE(REGEXEXTRACT(TO_TEXT($F1457), N$1 &amp; ""x(\d+)"")), """")
"),"")</f>
        <v/>
      </c>
      <c r="O1457" s="9">
        <f ca="1">IFERROR(__xludf.DUMMYFUNCTION("IFERROR(VALUE(REGEXEXTRACT(TO_TEXT($F1457), O$1 &amp; ""x(\d+)"")), """")"),1)</f>
        <v>1</v>
      </c>
      <c r="P1457" s="9" t="str">
        <f ca="1">IFERROR(__xludf.DUMMYFUNCTION("IFERROR(VALUE(REGEXEXTRACT(TO_TEXT($F1457), P$1 &amp; ""x(\d+)"")), """")"),"")</f>
        <v/>
      </c>
      <c r="Q1457" s="9" t="str">
        <f ca="1">IFERROR(__xludf.DUMMYFUNCTION("IFERROR(VALUE(REGEXEXTRACT(TO_TEXT($F1457), Q$1 &amp; ""x(\d+)"")), """")"),"")</f>
        <v/>
      </c>
      <c r="R1457" s="9" t="str">
        <f ca="1">IFERROR(__xludf.DUMMYFUNCTION("IFERROR(VALUE(REGEXEXTRACT(TO_TEXT($F1457), R$1 &amp; ""x(\d+)"")), """")"),"")</f>
        <v/>
      </c>
      <c r="S1457" s="9" t="str">
        <f ca="1">IFERROR(__xludf.DUMMYFUNCTION("IFERROR(VALUE(REGEXEXTRACT(TO_TEXT($F1457), S$1 &amp; ""x(\d+)"")), """")"),"")</f>
        <v/>
      </c>
      <c r="T1457" s="9" t="str">
        <f ca="1">IFERROR(__xludf.DUMMYFUNCTION("IFERROR(VALUE(REGEXEXTRACT(TO_TEXT($F1457), T$1 &amp; ""x(\d+)"")), """")"),"")</f>
        <v/>
      </c>
      <c r="U1457" s="9" t="str">
        <f ca="1">IFERROR(__xludf.DUMMYFUNCTION("IFERROR(VALUE(REGEXEXTRACT(TO_TEXT($F1457), U$1 &amp; ""x(\d+)"")), """")"),"")</f>
        <v/>
      </c>
      <c r="V1457" s="9" t="str">
        <f ca="1">IFERROR(__xludf.DUMMYFUNCTION("IFERROR(VALUE(REGEXEXTRACT(TO_TEXT($F1457), V$1 &amp; ""x(\d+)"")), """")"),"")</f>
        <v/>
      </c>
      <c r="W1457" s="9"/>
      <c r="X1457" s="9"/>
      <c r="Y1457" s="9"/>
      <c r="Z1457" s="9"/>
    </row>
    <row r="1458" spans="1:26" ht="15.75" customHeight="1">
      <c r="A1458" s="9" t="s">
        <v>2518</v>
      </c>
      <c r="B1458" s="9" t="s">
        <v>2519</v>
      </c>
      <c r="C1458" s="9" t="s">
        <v>556</v>
      </c>
      <c r="D1458" s="9" t="s">
        <v>33</v>
      </c>
      <c r="E1458" s="9" t="s">
        <v>13</v>
      </c>
      <c r="F1458" s="9" t="s">
        <v>2041</v>
      </c>
      <c r="G1458" s="9">
        <v>15</v>
      </c>
      <c r="H1458" s="9">
        <v>3</v>
      </c>
      <c r="I1458" s="9">
        <v>1.0149999999999999</v>
      </c>
      <c r="J1458" s="9">
        <v>110</v>
      </c>
      <c r="K1458" s="9" t="s">
        <v>442</v>
      </c>
      <c r="L1458" s="9"/>
      <c r="M1458" s="9"/>
      <c r="N1458" s="9" t="str">
        <f ca="1">IFERROR(__xludf.DUMMYFUNCTION("IFERROR(VALUE(REGEXEXTRACT(TO_TEXT($F1458), N$1 &amp; ""x(\d+)"")), """")
"),"")</f>
        <v/>
      </c>
      <c r="O1458" s="9">
        <f ca="1">IFERROR(__xludf.DUMMYFUNCTION("IFERROR(VALUE(REGEXEXTRACT(TO_TEXT($F1458), O$1 &amp; ""x(\d+)"")), """")"),1)</f>
        <v>1</v>
      </c>
      <c r="P1458" s="9" t="str">
        <f ca="1">IFERROR(__xludf.DUMMYFUNCTION("IFERROR(VALUE(REGEXEXTRACT(TO_TEXT($F1458), P$1 &amp; ""x(\d+)"")), """")"),"")</f>
        <v/>
      </c>
      <c r="Q1458" s="9" t="str">
        <f ca="1">IFERROR(__xludf.DUMMYFUNCTION("IFERROR(VALUE(REGEXEXTRACT(TO_TEXT($F1458), Q$1 &amp; ""x(\d+)"")), """")"),"")</f>
        <v/>
      </c>
      <c r="R1458" s="9" t="str">
        <f ca="1">IFERROR(__xludf.DUMMYFUNCTION("IFERROR(VALUE(REGEXEXTRACT(TO_TEXT($F1458), R$1 &amp; ""x(\d+)"")), """")"),"")</f>
        <v/>
      </c>
      <c r="S1458" s="9" t="str">
        <f ca="1">IFERROR(__xludf.DUMMYFUNCTION("IFERROR(VALUE(REGEXEXTRACT(TO_TEXT($F1458), S$1 &amp; ""x(\d+)"")), """")"),"")</f>
        <v/>
      </c>
      <c r="T1458" s="9" t="str">
        <f ca="1">IFERROR(__xludf.DUMMYFUNCTION("IFERROR(VALUE(REGEXEXTRACT(TO_TEXT($F1458), T$1 &amp; ""x(\d+)"")), """")"),"")</f>
        <v/>
      </c>
      <c r="U1458" s="9" t="str">
        <f ca="1">IFERROR(__xludf.DUMMYFUNCTION("IFERROR(VALUE(REGEXEXTRACT(TO_TEXT($F1458), U$1 &amp; ""x(\d+)"")), """")"),"")</f>
        <v/>
      </c>
      <c r="V1458" s="9" t="str">
        <f ca="1">IFERROR(__xludf.DUMMYFUNCTION("IFERROR(VALUE(REGEXEXTRACT(TO_TEXT($F1458), V$1 &amp; ""x(\d+)"")), """")"),"")</f>
        <v/>
      </c>
      <c r="W1458" s="9"/>
      <c r="X1458" s="9"/>
      <c r="Y1458" s="9"/>
      <c r="Z1458" s="9"/>
    </row>
    <row r="1459" spans="1:26" ht="15.75" customHeight="1">
      <c r="A1459" s="9" t="s">
        <v>2520</v>
      </c>
      <c r="B1459" s="9" t="s">
        <v>2519</v>
      </c>
      <c r="C1459" s="9" t="s">
        <v>2521</v>
      </c>
      <c r="D1459" s="9" t="s">
        <v>33</v>
      </c>
      <c r="E1459" s="9" t="s">
        <v>11</v>
      </c>
      <c r="F1459" s="9" t="s">
        <v>2040</v>
      </c>
      <c r="G1459" s="9">
        <v>60</v>
      </c>
      <c r="H1459" s="9">
        <v>3</v>
      </c>
      <c r="I1459" s="9">
        <v>1.0149999999999999</v>
      </c>
      <c r="J1459" s="9">
        <v>110</v>
      </c>
      <c r="K1459" s="9" t="s">
        <v>442</v>
      </c>
      <c r="L1459" s="9"/>
      <c r="M1459" s="9"/>
      <c r="N1459" s="9" t="str">
        <f ca="1">IFERROR(__xludf.DUMMYFUNCTION("IFERROR(VALUE(REGEXEXTRACT(TO_TEXT($F1459), N$1 &amp; ""x(\d+)"")), """")
"),"")</f>
        <v/>
      </c>
      <c r="O1459" s="9">
        <f ca="1">IFERROR(__xludf.DUMMYFUNCTION("IFERROR(VALUE(REGEXEXTRACT(TO_TEXT($F1459), O$1 &amp; ""x(\d+)"")), """")"),1)</f>
        <v>1</v>
      </c>
      <c r="P1459" s="9" t="str">
        <f ca="1">IFERROR(__xludf.DUMMYFUNCTION("IFERROR(VALUE(REGEXEXTRACT(TO_TEXT($F1459), P$1 &amp; ""x(\d+)"")), """")"),"")</f>
        <v/>
      </c>
      <c r="Q1459" s="9" t="str">
        <f ca="1">IFERROR(__xludf.DUMMYFUNCTION("IFERROR(VALUE(REGEXEXTRACT(TO_TEXT($F1459), Q$1 &amp; ""x(\d+)"")), """")"),"")</f>
        <v/>
      </c>
      <c r="R1459" s="9" t="str">
        <f ca="1">IFERROR(__xludf.DUMMYFUNCTION("IFERROR(VALUE(REGEXEXTRACT(TO_TEXT($F1459), R$1 &amp; ""x(\d+)"")), """")"),"")</f>
        <v/>
      </c>
      <c r="S1459" s="9" t="str">
        <f ca="1">IFERROR(__xludf.DUMMYFUNCTION("IFERROR(VALUE(REGEXEXTRACT(TO_TEXT($F1459), S$1 &amp; ""x(\d+)"")), """")"),"")</f>
        <v/>
      </c>
      <c r="T1459" s="9" t="str">
        <f ca="1">IFERROR(__xludf.DUMMYFUNCTION("IFERROR(VALUE(REGEXEXTRACT(TO_TEXT($F1459), T$1 &amp; ""x(\d+)"")), """")"),"")</f>
        <v/>
      </c>
      <c r="U1459" s="9" t="str">
        <f ca="1">IFERROR(__xludf.DUMMYFUNCTION("IFERROR(VALUE(REGEXEXTRACT(TO_TEXT($F1459), U$1 &amp; ""x(\d+)"")), """")"),"")</f>
        <v/>
      </c>
      <c r="V1459" s="9" t="str">
        <f ca="1">IFERROR(__xludf.DUMMYFUNCTION("IFERROR(VALUE(REGEXEXTRACT(TO_TEXT($F1459), V$1 &amp; ""x(\d+)"")), """")"),"")</f>
        <v/>
      </c>
      <c r="W1459" s="9"/>
      <c r="X1459" s="9"/>
      <c r="Y1459" s="9"/>
      <c r="Z1459" s="9"/>
    </row>
    <row r="1460" spans="1:26" ht="15.75" customHeight="1">
      <c r="A1460" s="9" t="s">
        <v>2520</v>
      </c>
      <c r="B1460" s="9" t="s">
        <v>2519</v>
      </c>
      <c r="C1460" s="9" t="s">
        <v>2521</v>
      </c>
      <c r="D1460" s="9" t="s">
        <v>33</v>
      </c>
      <c r="E1460" s="9" t="s">
        <v>12</v>
      </c>
      <c r="F1460" s="9" t="s">
        <v>2040</v>
      </c>
      <c r="G1460" s="9">
        <v>60</v>
      </c>
      <c r="H1460" s="9">
        <v>3</v>
      </c>
      <c r="I1460" s="9">
        <v>1.0149999999999999</v>
      </c>
      <c r="J1460" s="9">
        <v>110</v>
      </c>
      <c r="K1460" s="9" t="s">
        <v>442</v>
      </c>
      <c r="L1460" s="9" t="s">
        <v>1169</v>
      </c>
      <c r="M1460" s="9"/>
      <c r="N1460" s="9" t="str">
        <f ca="1">IFERROR(__xludf.DUMMYFUNCTION("IFERROR(VALUE(REGEXEXTRACT(TO_TEXT($F1460), N$1 &amp; ""x(\d+)"")), """")
"),"")</f>
        <v/>
      </c>
      <c r="O1460" s="9">
        <f ca="1">IFERROR(__xludf.DUMMYFUNCTION("IFERROR(VALUE(REGEXEXTRACT(TO_TEXT($F1460), O$1 &amp; ""x(\d+)"")), """")"),1)</f>
        <v>1</v>
      </c>
      <c r="P1460" s="9" t="str">
        <f ca="1">IFERROR(__xludf.DUMMYFUNCTION("IFERROR(VALUE(REGEXEXTRACT(TO_TEXT($F1460), P$1 &amp; ""x(\d+)"")), """")"),"")</f>
        <v/>
      </c>
      <c r="Q1460" s="9" t="str">
        <f ca="1">IFERROR(__xludf.DUMMYFUNCTION("IFERROR(VALUE(REGEXEXTRACT(TO_TEXT($F1460), Q$1 &amp; ""x(\d+)"")), """")"),"")</f>
        <v/>
      </c>
      <c r="R1460" s="9" t="str">
        <f ca="1">IFERROR(__xludf.DUMMYFUNCTION("IFERROR(VALUE(REGEXEXTRACT(TO_TEXT($F1460), R$1 &amp; ""x(\d+)"")), """")"),"")</f>
        <v/>
      </c>
      <c r="S1460" s="9" t="str">
        <f ca="1">IFERROR(__xludf.DUMMYFUNCTION("IFERROR(VALUE(REGEXEXTRACT(TO_TEXT($F1460), S$1 &amp; ""x(\d+)"")), """")"),"")</f>
        <v/>
      </c>
      <c r="T1460" s="9" t="str">
        <f ca="1">IFERROR(__xludf.DUMMYFUNCTION("IFERROR(VALUE(REGEXEXTRACT(TO_TEXT($F1460), T$1 &amp; ""x(\d+)"")), """")"),"")</f>
        <v/>
      </c>
      <c r="U1460" s="9" t="str">
        <f ca="1">IFERROR(__xludf.DUMMYFUNCTION("IFERROR(VALUE(REGEXEXTRACT(TO_TEXT($F1460), U$1 &amp; ""x(\d+)"")), """")"),"")</f>
        <v/>
      </c>
      <c r="V1460" s="9" t="str">
        <f ca="1">IFERROR(__xludf.DUMMYFUNCTION("IFERROR(VALUE(REGEXEXTRACT(TO_TEXT($F1460), V$1 &amp; ""x(\d+)"")), """")"),"")</f>
        <v/>
      </c>
      <c r="W1460" s="9"/>
      <c r="X1460" s="9"/>
      <c r="Y1460" s="9"/>
      <c r="Z1460" s="9"/>
    </row>
    <row r="1461" spans="1:26" ht="15.75" customHeight="1">
      <c r="A1461" s="9" t="s">
        <v>2520</v>
      </c>
      <c r="B1461" s="9" t="s">
        <v>2519</v>
      </c>
      <c r="C1461" s="9" t="s">
        <v>2521</v>
      </c>
      <c r="D1461" s="9" t="s">
        <v>33</v>
      </c>
      <c r="E1461" s="9" t="s">
        <v>13</v>
      </c>
      <c r="F1461" s="9" t="s">
        <v>2041</v>
      </c>
      <c r="G1461" s="9">
        <v>15</v>
      </c>
      <c r="H1461" s="9">
        <v>3</v>
      </c>
      <c r="I1461" s="9">
        <v>1.0149999999999999</v>
      </c>
      <c r="J1461" s="9">
        <v>110</v>
      </c>
      <c r="K1461" s="9" t="s">
        <v>442</v>
      </c>
      <c r="L1461" s="9"/>
      <c r="M1461" s="9"/>
      <c r="N1461" s="9" t="str">
        <f ca="1">IFERROR(__xludf.DUMMYFUNCTION("IFERROR(VALUE(REGEXEXTRACT(TO_TEXT($F1461), N$1 &amp; ""x(\d+)"")), """")
"),"")</f>
        <v/>
      </c>
      <c r="O1461" s="9">
        <f ca="1">IFERROR(__xludf.DUMMYFUNCTION("IFERROR(VALUE(REGEXEXTRACT(TO_TEXT($F1461), O$1 &amp; ""x(\d+)"")), """")"),1)</f>
        <v>1</v>
      </c>
      <c r="P1461" s="9" t="str">
        <f ca="1">IFERROR(__xludf.DUMMYFUNCTION("IFERROR(VALUE(REGEXEXTRACT(TO_TEXT($F1461), P$1 &amp; ""x(\d+)"")), """")"),"")</f>
        <v/>
      </c>
      <c r="Q1461" s="9" t="str">
        <f ca="1">IFERROR(__xludf.DUMMYFUNCTION("IFERROR(VALUE(REGEXEXTRACT(TO_TEXT($F1461), Q$1 &amp; ""x(\d+)"")), """")"),"")</f>
        <v/>
      </c>
      <c r="R1461" s="9" t="str">
        <f ca="1">IFERROR(__xludf.DUMMYFUNCTION("IFERROR(VALUE(REGEXEXTRACT(TO_TEXT($F1461), R$1 &amp; ""x(\d+)"")), """")"),"")</f>
        <v/>
      </c>
      <c r="S1461" s="9" t="str">
        <f ca="1">IFERROR(__xludf.DUMMYFUNCTION("IFERROR(VALUE(REGEXEXTRACT(TO_TEXT($F1461), S$1 &amp; ""x(\d+)"")), """")"),"")</f>
        <v/>
      </c>
      <c r="T1461" s="9" t="str">
        <f ca="1">IFERROR(__xludf.DUMMYFUNCTION("IFERROR(VALUE(REGEXEXTRACT(TO_TEXT($F1461), T$1 &amp; ""x(\d+)"")), """")"),"")</f>
        <v/>
      </c>
      <c r="U1461" s="9" t="str">
        <f ca="1">IFERROR(__xludf.DUMMYFUNCTION("IFERROR(VALUE(REGEXEXTRACT(TO_TEXT($F1461), U$1 &amp; ""x(\d+)"")), """")"),"")</f>
        <v/>
      </c>
      <c r="V1461" s="9" t="str">
        <f ca="1">IFERROR(__xludf.DUMMYFUNCTION("IFERROR(VALUE(REGEXEXTRACT(TO_TEXT($F1461), V$1 &amp; ""x(\d+)"")), """")"),"")</f>
        <v/>
      </c>
      <c r="W1461" s="9"/>
      <c r="X1461" s="9"/>
      <c r="Y1461" s="9"/>
      <c r="Z1461" s="9"/>
    </row>
    <row r="1462" spans="1:26" ht="15.75" customHeight="1">
      <c r="A1462" s="9" t="s">
        <v>2522</v>
      </c>
      <c r="B1462" s="9" t="s">
        <v>2523</v>
      </c>
      <c r="C1462" s="9" t="s">
        <v>2524</v>
      </c>
      <c r="D1462" s="9" t="s">
        <v>33</v>
      </c>
      <c r="E1462" s="9" t="s">
        <v>11</v>
      </c>
      <c r="F1462" s="9" t="s">
        <v>2525</v>
      </c>
      <c r="G1462" s="9">
        <v>25</v>
      </c>
      <c r="H1462" s="9">
        <v>3</v>
      </c>
      <c r="I1462" s="9">
        <v>1.0149999999999999</v>
      </c>
      <c r="J1462" s="9">
        <v>103</v>
      </c>
      <c r="K1462" s="9" t="s">
        <v>442</v>
      </c>
      <c r="L1462" s="9"/>
      <c r="M1462" s="9"/>
      <c r="N1462" s="9" t="str">
        <f ca="1">IFERROR(__xludf.DUMMYFUNCTION("IFERROR(VALUE(REGEXEXTRACT(TO_TEXT($F1462), N$1 &amp; ""x(\d+)"")), """")
"),"")</f>
        <v/>
      </c>
      <c r="O1462" s="9" t="str">
        <f ca="1">IFERROR(__xludf.DUMMYFUNCTION("IFERROR(VALUE(REGEXEXTRACT(TO_TEXT($F1462), O$1 &amp; ""x(\d+)"")), """")"),"")</f>
        <v/>
      </c>
      <c r="P1462" s="9" t="str">
        <f ca="1">IFERROR(__xludf.DUMMYFUNCTION("IFERROR(VALUE(REGEXEXTRACT(TO_TEXT($F1462), P$1 &amp; ""x(\d+)"")), """")"),"")</f>
        <v/>
      </c>
      <c r="Q1462" s="9" t="str">
        <f ca="1">IFERROR(__xludf.DUMMYFUNCTION("IFERROR(VALUE(REGEXEXTRACT(TO_TEXT($F1462), Q$1 &amp; ""x(\d+)"")), """")"),"")</f>
        <v/>
      </c>
      <c r="R1462" s="9" t="str">
        <f ca="1">IFERROR(__xludf.DUMMYFUNCTION("IFERROR(VALUE(REGEXEXTRACT(TO_TEXT($F1462), R$1 &amp; ""x(\d+)"")), """")"),"")</f>
        <v/>
      </c>
      <c r="S1462" s="9" t="str">
        <f ca="1">IFERROR(__xludf.DUMMYFUNCTION("IFERROR(VALUE(REGEXEXTRACT(TO_TEXT($F1462), S$1 &amp; ""x(\d+)"")), """")"),"")</f>
        <v/>
      </c>
      <c r="T1462" s="9" t="str">
        <f ca="1">IFERROR(__xludf.DUMMYFUNCTION("IFERROR(VALUE(REGEXEXTRACT(TO_TEXT($F1462), T$1 &amp; ""x(\d+)"")), """")"),"")</f>
        <v/>
      </c>
      <c r="U1462" s="9" t="str">
        <f ca="1">IFERROR(__xludf.DUMMYFUNCTION("IFERROR(VALUE(REGEXEXTRACT(TO_TEXT($F1462), U$1 &amp; ""x(\d+)"")), """")"),"")</f>
        <v/>
      </c>
      <c r="V1462" s="9" t="str">
        <f ca="1">IFERROR(__xludf.DUMMYFUNCTION("IFERROR(VALUE(REGEXEXTRACT(TO_TEXT($F1462), V$1 &amp; ""x(\d+)"")), """")"),"")</f>
        <v/>
      </c>
      <c r="W1462" s="9"/>
      <c r="X1462" s="9"/>
      <c r="Y1462" s="9"/>
      <c r="Z1462" s="9"/>
    </row>
    <row r="1463" spans="1:26" ht="15.75" customHeight="1">
      <c r="A1463" s="9" t="s">
        <v>2522</v>
      </c>
      <c r="B1463" s="9" t="s">
        <v>2523</v>
      </c>
      <c r="C1463" s="9" t="s">
        <v>2524</v>
      </c>
      <c r="D1463" s="9" t="s">
        <v>33</v>
      </c>
      <c r="E1463" s="9" t="s">
        <v>12</v>
      </c>
      <c r="F1463" s="9" t="s">
        <v>2526</v>
      </c>
      <c r="G1463" s="9">
        <v>85</v>
      </c>
      <c r="H1463" s="9">
        <v>3</v>
      </c>
      <c r="I1463" s="9">
        <v>1.0149999999999999</v>
      </c>
      <c r="J1463" s="9">
        <v>103</v>
      </c>
      <c r="K1463" s="9" t="s">
        <v>442</v>
      </c>
      <c r="L1463" s="9" t="s">
        <v>1169</v>
      </c>
      <c r="M1463" s="9"/>
      <c r="N1463" s="9" t="str">
        <f ca="1">IFERROR(__xludf.DUMMYFUNCTION("IFERROR(VALUE(REGEXEXTRACT(TO_TEXT($F1463), N$1 &amp; ""x(\d+)"")), """")
"),"")</f>
        <v/>
      </c>
      <c r="O1463" s="9">
        <f ca="1">IFERROR(__xludf.DUMMYFUNCTION("IFERROR(VALUE(REGEXEXTRACT(TO_TEXT($F1463), O$1 &amp; ""x(\d+)"")), """")"),1)</f>
        <v>1</v>
      </c>
      <c r="P1463" s="9" t="str">
        <f ca="1">IFERROR(__xludf.DUMMYFUNCTION("IFERROR(VALUE(REGEXEXTRACT(TO_TEXT($F1463), P$1 &amp; ""x(\d+)"")), """")"),"")</f>
        <v/>
      </c>
      <c r="Q1463" s="9" t="str">
        <f ca="1">IFERROR(__xludf.DUMMYFUNCTION("IFERROR(VALUE(REGEXEXTRACT(TO_TEXT($F1463), Q$1 &amp; ""x(\d+)"")), """")"),"")</f>
        <v/>
      </c>
      <c r="R1463" s="9" t="str">
        <f ca="1">IFERROR(__xludf.DUMMYFUNCTION("IFERROR(VALUE(REGEXEXTRACT(TO_TEXT($F1463), R$1 &amp; ""x(\d+)"")), """")"),"")</f>
        <v/>
      </c>
      <c r="S1463" s="9" t="str">
        <f ca="1">IFERROR(__xludf.DUMMYFUNCTION("IFERROR(VALUE(REGEXEXTRACT(TO_TEXT($F1463), S$1 &amp; ""x(\d+)"")), """")"),"")</f>
        <v/>
      </c>
      <c r="T1463" s="9" t="str">
        <f ca="1">IFERROR(__xludf.DUMMYFUNCTION("IFERROR(VALUE(REGEXEXTRACT(TO_TEXT($F1463), T$1 &amp; ""x(\d+)"")), """")"),"")</f>
        <v/>
      </c>
      <c r="U1463" s="9" t="str">
        <f ca="1">IFERROR(__xludf.DUMMYFUNCTION("IFERROR(VALUE(REGEXEXTRACT(TO_TEXT($F1463), U$1 &amp; ""x(\d+)"")), """")"),"")</f>
        <v/>
      </c>
      <c r="V1463" s="9" t="str">
        <f ca="1">IFERROR(__xludf.DUMMYFUNCTION("IFERROR(VALUE(REGEXEXTRACT(TO_TEXT($F1463), V$1 &amp; ""x(\d+)"")), """")"),"")</f>
        <v/>
      </c>
      <c r="W1463" s="9"/>
      <c r="X1463" s="9"/>
      <c r="Y1463" s="9"/>
      <c r="Z1463" s="9"/>
    </row>
    <row r="1464" spans="1:26" ht="15.75" customHeight="1">
      <c r="A1464" s="9" t="s">
        <v>2522</v>
      </c>
      <c r="B1464" s="9" t="s">
        <v>2523</v>
      </c>
      <c r="C1464" s="9" t="s">
        <v>2524</v>
      </c>
      <c r="D1464" s="9" t="s">
        <v>33</v>
      </c>
      <c r="E1464" s="9" t="s">
        <v>13</v>
      </c>
      <c r="F1464" s="9" t="s">
        <v>1050</v>
      </c>
      <c r="G1464" s="9">
        <v>20</v>
      </c>
      <c r="H1464" s="9">
        <v>3</v>
      </c>
      <c r="I1464" s="9">
        <v>1.0149999999999999</v>
      </c>
      <c r="J1464" s="9">
        <v>103</v>
      </c>
      <c r="K1464" s="9" t="s">
        <v>442</v>
      </c>
      <c r="L1464" s="9"/>
      <c r="M1464" s="9"/>
      <c r="N1464" s="9" t="str">
        <f ca="1">IFERROR(__xludf.DUMMYFUNCTION("IFERROR(VALUE(REGEXEXTRACT(TO_TEXT($F1464), N$1 &amp; ""x(\d+)"")), """")
"),"")</f>
        <v/>
      </c>
      <c r="O1464" s="9">
        <f ca="1">IFERROR(__xludf.DUMMYFUNCTION("IFERROR(VALUE(REGEXEXTRACT(TO_TEXT($F1464), O$1 &amp; ""x(\d+)"")), """")"),1)</f>
        <v>1</v>
      </c>
      <c r="P1464" s="9" t="str">
        <f ca="1">IFERROR(__xludf.DUMMYFUNCTION("IFERROR(VALUE(REGEXEXTRACT(TO_TEXT($F1464), P$1 &amp; ""x(\d+)"")), """")"),"")</f>
        <v/>
      </c>
      <c r="Q1464" s="9" t="str">
        <f ca="1">IFERROR(__xludf.DUMMYFUNCTION("IFERROR(VALUE(REGEXEXTRACT(TO_TEXT($F1464), Q$1 &amp; ""x(\d+)"")), """")"),"")</f>
        <v/>
      </c>
      <c r="R1464" s="9" t="str">
        <f ca="1">IFERROR(__xludf.DUMMYFUNCTION("IFERROR(VALUE(REGEXEXTRACT(TO_TEXT($F1464), R$1 &amp; ""x(\d+)"")), """")"),"")</f>
        <v/>
      </c>
      <c r="S1464" s="9" t="str">
        <f ca="1">IFERROR(__xludf.DUMMYFUNCTION("IFERROR(VALUE(REGEXEXTRACT(TO_TEXT($F1464), S$1 &amp; ""x(\d+)"")), """")"),"")</f>
        <v/>
      </c>
      <c r="T1464" s="9" t="str">
        <f ca="1">IFERROR(__xludf.DUMMYFUNCTION("IFERROR(VALUE(REGEXEXTRACT(TO_TEXT($F1464), T$1 &amp; ""x(\d+)"")), """")"),"")</f>
        <v/>
      </c>
      <c r="U1464" s="9" t="str">
        <f ca="1">IFERROR(__xludf.DUMMYFUNCTION("IFERROR(VALUE(REGEXEXTRACT(TO_TEXT($F1464), U$1 &amp; ""x(\d+)"")), """")"),"")</f>
        <v/>
      </c>
      <c r="V1464" s="9" t="str">
        <f ca="1">IFERROR(__xludf.DUMMYFUNCTION("IFERROR(VALUE(REGEXEXTRACT(TO_TEXT($F1464), V$1 &amp; ""x(\d+)"")), """")"),"")</f>
        <v/>
      </c>
      <c r="W1464" s="9"/>
      <c r="X1464" s="9"/>
      <c r="Y1464" s="9"/>
      <c r="Z1464" s="9"/>
    </row>
    <row r="1465" spans="1:26" ht="15.75" customHeight="1">
      <c r="A1465" s="9" t="s">
        <v>2527</v>
      </c>
      <c r="B1465" s="9" t="s">
        <v>2528</v>
      </c>
      <c r="C1465" s="9" t="s">
        <v>2529</v>
      </c>
      <c r="D1465" s="9" t="s">
        <v>40</v>
      </c>
      <c r="E1465" s="9" t="s">
        <v>12</v>
      </c>
      <c r="F1465" s="9" t="s">
        <v>2530</v>
      </c>
      <c r="G1465" s="9">
        <v>55</v>
      </c>
      <c r="H1465" s="9">
        <v>4</v>
      </c>
      <c r="I1465" s="9">
        <v>1.0149999999999999</v>
      </c>
      <c r="J1465" s="9">
        <v>412</v>
      </c>
      <c r="K1465" s="9" t="s">
        <v>442</v>
      </c>
      <c r="L1465" s="9"/>
      <c r="M1465" s="9"/>
      <c r="N1465" s="9" t="str">
        <f ca="1">IFERROR(__xludf.DUMMYFUNCTION("IFERROR(VALUE(REGEXEXTRACT(TO_TEXT($F1465), N$1 &amp; ""x(\d+)"")), """")
"),"")</f>
        <v/>
      </c>
      <c r="O1465" s="9" t="str">
        <f ca="1">IFERROR(__xludf.DUMMYFUNCTION("IFERROR(VALUE(REGEXEXTRACT(TO_TEXT($F1465), O$1 &amp; ""x(\d+)"")), """")"),"")</f>
        <v/>
      </c>
      <c r="P1465" s="9" t="str">
        <f ca="1">IFERROR(__xludf.DUMMYFUNCTION("IFERROR(VALUE(REGEXEXTRACT(TO_TEXT($F1465), P$1 &amp; ""x(\d+)"")), """")"),"")</f>
        <v/>
      </c>
      <c r="Q1465" s="9" t="str">
        <f ca="1">IFERROR(__xludf.DUMMYFUNCTION("IFERROR(VALUE(REGEXEXTRACT(TO_TEXT($F1465), Q$1 &amp; ""x(\d+)"")), """")"),"")</f>
        <v/>
      </c>
      <c r="R1465" s="9" t="str">
        <f ca="1">IFERROR(__xludf.DUMMYFUNCTION("IFERROR(VALUE(REGEXEXTRACT(TO_TEXT($F1465), R$1 &amp; ""x(\d+)"")), """")"),"")</f>
        <v/>
      </c>
      <c r="S1465" s="9">
        <f ca="1">IFERROR(__xludf.DUMMYFUNCTION("IFERROR(VALUE(REGEXEXTRACT(TO_TEXT($F1465), S$1 &amp; ""x(\d+)"")), """")"),1)</f>
        <v>1</v>
      </c>
      <c r="T1465" s="9" t="str">
        <f ca="1">IFERROR(__xludf.DUMMYFUNCTION("IFERROR(VALUE(REGEXEXTRACT(TO_TEXT($F1465), T$1 &amp; ""x(\d+)"")), """")"),"")</f>
        <v/>
      </c>
      <c r="U1465" s="9" t="str">
        <f ca="1">IFERROR(__xludf.DUMMYFUNCTION("IFERROR(VALUE(REGEXEXTRACT(TO_TEXT($F1465), U$1 &amp; ""x(\d+)"")), """")"),"")</f>
        <v/>
      </c>
      <c r="V1465" s="9" t="str">
        <f ca="1">IFERROR(__xludf.DUMMYFUNCTION("IFERROR(VALUE(REGEXEXTRACT(TO_TEXT($F1465), V$1 &amp; ""x(\d+)"")), """")"),"")</f>
        <v/>
      </c>
      <c r="W1465" s="9"/>
      <c r="X1465" s="9"/>
      <c r="Y1465" s="9"/>
      <c r="Z1465" s="9"/>
    </row>
    <row r="1466" spans="1:26" ht="15.75" customHeight="1">
      <c r="A1466" s="9" t="s">
        <v>2527</v>
      </c>
      <c r="B1466" s="9" t="s">
        <v>2528</v>
      </c>
      <c r="C1466" s="9" t="s">
        <v>2529</v>
      </c>
      <c r="D1466" s="9" t="s">
        <v>40</v>
      </c>
      <c r="E1466" s="9" t="s">
        <v>13</v>
      </c>
      <c r="F1466" s="9" t="s">
        <v>2531</v>
      </c>
      <c r="G1466" s="9">
        <v>20</v>
      </c>
      <c r="H1466" s="9">
        <v>4</v>
      </c>
      <c r="I1466" s="9">
        <v>1.0149999999999999</v>
      </c>
      <c r="J1466" s="9">
        <v>412</v>
      </c>
      <c r="K1466" s="9" t="s">
        <v>442</v>
      </c>
      <c r="L1466" s="9"/>
      <c r="M1466" s="9"/>
      <c r="N1466" s="9" t="str">
        <f ca="1">IFERROR(__xludf.DUMMYFUNCTION("IFERROR(VALUE(REGEXEXTRACT(TO_TEXT($F1466), N$1 &amp; ""x(\d+)"")), """")
"),"")</f>
        <v/>
      </c>
      <c r="O1466" s="9" t="str">
        <f ca="1">IFERROR(__xludf.DUMMYFUNCTION("IFERROR(VALUE(REGEXEXTRACT(TO_TEXT($F1466), O$1 &amp; ""x(\d+)"")), """")"),"")</f>
        <v/>
      </c>
      <c r="P1466" s="9" t="str">
        <f ca="1">IFERROR(__xludf.DUMMYFUNCTION("IFERROR(VALUE(REGEXEXTRACT(TO_TEXT($F1466), P$1 &amp; ""x(\d+)"")), """")"),"")</f>
        <v/>
      </c>
      <c r="Q1466" s="9" t="str">
        <f ca="1">IFERROR(__xludf.DUMMYFUNCTION("IFERROR(VALUE(REGEXEXTRACT(TO_TEXT($F1466), Q$1 &amp; ""x(\d+)"")), """")"),"")</f>
        <v/>
      </c>
      <c r="R1466" s="9" t="str">
        <f ca="1">IFERROR(__xludf.DUMMYFUNCTION("IFERROR(VALUE(REGEXEXTRACT(TO_TEXT($F1466), R$1 &amp; ""x(\d+)"")), """")"),"")</f>
        <v/>
      </c>
      <c r="S1466" s="9">
        <f ca="1">IFERROR(__xludf.DUMMYFUNCTION("IFERROR(VALUE(REGEXEXTRACT(TO_TEXT($F1466), S$1 &amp; ""x(\d+)"")), """")"),1)</f>
        <v>1</v>
      </c>
      <c r="T1466" s="9" t="str">
        <f ca="1">IFERROR(__xludf.DUMMYFUNCTION("IFERROR(VALUE(REGEXEXTRACT(TO_TEXT($F1466), T$1 &amp; ""x(\d+)"")), """")"),"")</f>
        <v/>
      </c>
      <c r="U1466" s="9" t="str">
        <f ca="1">IFERROR(__xludf.DUMMYFUNCTION("IFERROR(VALUE(REGEXEXTRACT(TO_TEXT($F1466), U$1 &amp; ""x(\d+)"")), """")"),"")</f>
        <v/>
      </c>
      <c r="V1466" s="9" t="str">
        <f ca="1">IFERROR(__xludf.DUMMYFUNCTION("IFERROR(VALUE(REGEXEXTRACT(TO_TEXT($F1466), V$1 &amp; ""x(\d+)"")), """")"),"")</f>
        <v/>
      </c>
      <c r="W1466" s="9"/>
      <c r="X1466" s="9"/>
      <c r="Y1466" s="9"/>
      <c r="Z1466" s="9"/>
    </row>
    <row r="1467" spans="1:26" ht="15.75" customHeight="1">
      <c r="A1467" s="9" t="s">
        <v>2527</v>
      </c>
      <c r="B1467" s="9" t="s">
        <v>2528</v>
      </c>
      <c r="C1467" s="9" t="s">
        <v>2529</v>
      </c>
      <c r="D1467" s="9" t="s">
        <v>33</v>
      </c>
      <c r="E1467" s="9" t="s">
        <v>12</v>
      </c>
      <c r="F1467" s="9" t="s">
        <v>1094</v>
      </c>
      <c r="G1467" s="9">
        <v>55</v>
      </c>
      <c r="H1467" s="9">
        <v>4</v>
      </c>
      <c r="I1467" s="9">
        <v>1.0149999999999999</v>
      </c>
      <c r="J1467" s="9">
        <v>103</v>
      </c>
      <c r="K1467" s="9" t="s">
        <v>442</v>
      </c>
      <c r="L1467" s="9"/>
      <c r="M1467" s="9"/>
      <c r="N1467" s="9" t="str">
        <f ca="1">IFERROR(__xludf.DUMMYFUNCTION("IFERROR(VALUE(REGEXEXTRACT(TO_TEXT($F1467), N$1 &amp; ""x(\d+)"")), """")
"),"")</f>
        <v/>
      </c>
      <c r="O1467" s="9">
        <f ca="1">IFERROR(__xludf.DUMMYFUNCTION("IFERROR(VALUE(REGEXEXTRACT(TO_TEXT($F1467), O$1 &amp; ""x(\d+)"")), """")"),1)</f>
        <v>1</v>
      </c>
      <c r="P1467" s="9" t="str">
        <f ca="1">IFERROR(__xludf.DUMMYFUNCTION("IFERROR(VALUE(REGEXEXTRACT(TO_TEXT($F1467), P$1 &amp; ""x(\d+)"")), """")"),"")</f>
        <v/>
      </c>
      <c r="Q1467" s="9" t="str">
        <f ca="1">IFERROR(__xludf.DUMMYFUNCTION("IFERROR(VALUE(REGEXEXTRACT(TO_TEXT($F1467), Q$1 &amp; ""x(\d+)"")), """")"),"")</f>
        <v/>
      </c>
      <c r="R1467" s="9" t="str">
        <f ca="1">IFERROR(__xludf.DUMMYFUNCTION("IFERROR(VALUE(REGEXEXTRACT(TO_TEXT($F1467), R$1 &amp; ""x(\d+)"")), """")"),"")</f>
        <v/>
      </c>
      <c r="S1467" s="9" t="str">
        <f ca="1">IFERROR(__xludf.DUMMYFUNCTION("IFERROR(VALUE(REGEXEXTRACT(TO_TEXT($F1467), S$1 &amp; ""x(\d+)"")), """")"),"")</f>
        <v/>
      </c>
      <c r="T1467" s="9" t="str">
        <f ca="1">IFERROR(__xludf.DUMMYFUNCTION("IFERROR(VALUE(REGEXEXTRACT(TO_TEXT($F1467), T$1 &amp; ""x(\d+)"")), """")"),"")</f>
        <v/>
      </c>
      <c r="U1467" s="9" t="str">
        <f ca="1">IFERROR(__xludf.DUMMYFUNCTION("IFERROR(VALUE(REGEXEXTRACT(TO_TEXT($F1467), U$1 &amp; ""x(\d+)"")), """")"),"")</f>
        <v/>
      </c>
      <c r="V1467" s="9" t="str">
        <f ca="1">IFERROR(__xludf.DUMMYFUNCTION("IFERROR(VALUE(REGEXEXTRACT(TO_TEXT($F1467), V$1 &amp; ""x(\d+)"")), """")"),"")</f>
        <v/>
      </c>
      <c r="W1467" s="9"/>
      <c r="X1467" s="9"/>
      <c r="Y1467" s="9"/>
      <c r="Z1467" s="9"/>
    </row>
    <row r="1468" spans="1:26" ht="15.75" customHeight="1">
      <c r="A1468" s="9" t="s">
        <v>2527</v>
      </c>
      <c r="B1468" s="9" t="s">
        <v>2528</v>
      </c>
      <c r="C1468" s="9" t="s">
        <v>2529</v>
      </c>
      <c r="D1468" s="9" t="s">
        <v>33</v>
      </c>
      <c r="E1468" s="9" t="s">
        <v>13</v>
      </c>
      <c r="F1468" s="9" t="s">
        <v>1108</v>
      </c>
      <c r="G1468" s="9">
        <v>20</v>
      </c>
      <c r="H1468" s="9">
        <v>4</v>
      </c>
      <c r="I1468" s="9">
        <v>1.0149999999999999</v>
      </c>
      <c r="J1468" s="9">
        <v>103</v>
      </c>
      <c r="K1468" s="9" t="s">
        <v>442</v>
      </c>
      <c r="L1468" s="9"/>
      <c r="M1468" s="9"/>
      <c r="N1468" s="9" t="str">
        <f ca="1">IFERROR(__xludf.DUMMYFUNCTION("IFERROR(VALUE(REGEXEXTRACT(TO_TEXT($F1468), N$1 &amp; ""x(\d+)"")), """")
"),"")</f>
        <v/>
      </c>
      <c r="O1468" s="9">
        <f ca="1">IFERROR(__xludf.DUMMYFUNCTION("IFERROR(VALUE(REGEXEXTRACT(TO_TEXT($F1468), O$1 &amp; ""x(\d+)"")), """")"),1)</f>
        <v>1</v>
      </c>
      <c r="P1468" s="9" t="str">
        <f ca="1">IFERROR(__xludf.DUMMYFUNCTION("IFERROR(VALUE(REGEXEXTRACT(TO_TEXT($F1468), P$1 &amp; ""x(\d+)"")), """")"),"")</f>
        <v/>
      </c>
      <c r="Q1468" s="9" t="str">
        <f ca="1">IFERROR(__xludf.DUMMYFUNCTION("IFERROR(VALUE(REGEXEXTRACT(TO_TEXT($F1468), Q$1 &amp; ""x(\d+)"")), """")"),"")</f>
        <v/>
      </c>
      <c r="R1468" s="9" t="str">
        <f ca="1">IFERROR(__xludf.DUMMYFUNCTION("IFERROR(VALUE(REGEXEXTRACT(TO_TEXT($F1468), R$1 &amp; ""x(\d+)"")), """")"),"")</f>
        <v/>
      </c>
      <c r="S1468" s="9" t="str">
        <f ca="1">IFERROR(__xludf.DUMMYFUNCTION("IFERROR(VALUE(REGEXEXTRACT(TO_TEXT($F1468), S$1 &amp; ""x(\d+)"")), """")"),"")</f>
        <v/>
      </c>
      <c r="T1468" s="9" t="str">
        <f ca="1">IFERROR(__xludf.DUMMYFUNCTION("IFERROR(VALUE(REGEXEXTRACT(TO_TEXT($F1468), T$1 &amp; ""x(\d+)"")), """")"),"")</f>
        <v/>
      </c>
      <c r="U1468" s="9" t="str">
        <f ca="1">IFERROR(__xludf.DUMMYFUNCTION("IFERROR(VALUE(REGEXEXTRACT(TO_TEXT($F1468), U$1 &amp; ""x(\d+)"")), """")"),"")</f>
        <v/>
      </c>
      <c r="V1468" s="9" t="str">
        <f ca="1">IFERROR(__xludf.DUMMYFUNCTION("IFERROR(VALUE(REGEXEXTRACT(TO_TEXT($F1468), V$1 &amp; ""x(\d+)"")), """")"),"")</f>
        <v/>
      </c>
      <c r="W1468" s="9"/>
      <c r="X1468" s="9"/>
      <c r="Y1468" s="9"/>
      <c r="Z1468" s="9"/>
    </row>
    <row r="1469" spans="1:26" ht="15.75" customHeight="1">
      <c r="A1469" s="9" t="s">
        <v>2532</v>
      </c>
      <c r="B1469" s="9" t="s">
        <v>2528</v>
      </c>
      <c r="C1469" s="9" t="s">
        <v>2533</v>
      </c>
      <c r="D1469" s="9" t="s">
        <v>40</v>
      </c>
      <c r="E1469" s="9" t="s">
        <v>12</v>
      </c>
      <c r="F1469" s="9" t="s">
        <v>2530</v>
      </c>
      <c r="G1469" s="9">
        <v>55</v>
      </c>
      <c r="H1469" s="9">
        <v>4</v>
      </c>
      <c r="I1469" s="9">
        <v>1.0149999999999999</v>
      </c>
      <c r="J1469" s="9">
        <v>412</v>
      </c>
      <c r="K1469" s="9" t="s">
        <v>442</v>
      </c>
      <c r="L1469" s="9"/>
      <c r="M1469" s="9"/>
      <c r="N1469" s="9" t="str">
        <f ca="1">IFERROR(__xludf.DUMMYFUNCTION("IFERROR(VALUE(REGEXEXTRACT(TO_TEXT($F1469), N$1 &amp; ""x(\d+)"")), """")
"),"")</f>
        <v/>
      </c>
      <c r="O1469" s="9" t="str">
        <f ca="1">IFERROR(__xludf.DUMMYFUNCTION("IFERROR(VALUE(REGEXEXTRACT(TO_TEXT($F1469), O$1 &amp; ""x(\d+)"")), """")"),"")</f>
        <v/>
      </c>
      <c r="P1469" s="9" t="str">
        <f ca="1">IFERROR(__xludf.DUMMYFUNCTION("IFERROR(VALUE(REGEXEXTRACT(TO_TEXT($F1469), P$1 &amp; ""x(\d+)"")), """")"),"")</f>
        <v/>
      </c>
      <c r="Q1469" s="9" t="str">
        <f ca="1">IFERROR(__xludf.DUMMYFUNCTION("IFERROR(VALUE(REGEXEXTRACT(TO_TEXT($F1469), Q$1 &amp; ""x(\d+)"")), """")"),"")</f>
        <v/>
      </c>
      <c r="R1469" s="9" t="str">
        <f ca="1">IFERROR(__xludf.DUMMYFUNCTION("IFERROR(VALUE(REGEXEXTRACT(TO_TEXT($F1469), R$1 &amp; ""x(\d+)"")), """")"),"")</f>
        <v/>
      </c>
      <c r="S1469" s="9">
        <f ca="1">IFERROR(__xludf.DUMMYFUNCTION("IFERROR(VALUE(REGEXEXTRACT(TO_TEXT($F1469), S$1 &amp; ""x(\d+)"")), """")"),1)</f>
        <v>1</v>
      </c>
      <c r="T1469" s="9" t="str">
        <f ca="1">IFERROR(__xludf.DUMMYFUNCTION("IFERROR(VALUE(REGEXEXTRACT(TO_TEXT($F1469), T$1 &amp; ""x(\d+)"")), """")"),"")</f>
        <v/>
      </c>
      <c r="U1469" s="9" t="str">
        <f ca="1">IFERROR(__xludf.DUMMYFUNCTION("IFERROR(VALUE(REGEXEXTRACT(TO_TEXT($F1469), U$1 &amp; ""x(\d+)"")), """")"),"")</f>
        <v/>
      </c>
      <c r="V1469" s="9" t="str">
        <f ca="1">IFERROR(__xludf.DUMMYFUNCTION("IFERROR(VALUE(REGEXEXTRACT(TO_TEXT($F1469), V$1 &amp; ""x(\d+)"")), """")"),"")</f>
        <v/>
      </c>
      <c r="W1469" s="9"/>
      <c r="X1469" s="9"/>
      <c r="Y1469" s="9"/>
      <c r="Z1469" s="9"/>
    </row>
    <row r="1470" spans="1:26" ht="15.75" customHeight="1">
      <c r="A1470" s="9" t="s">
        <v>2532</v>
      </c>
      <c r="B1470" s="9" t="s">
        <v>2528</v>
      </c>
      <c r="C1470" s="9" t="s">
        <v>2533</v>
      </c>
      <c r="D1470" s="9" t="s">
        <v>40</v>
      </c>
      <c r="E1470" s="9" t="s">
        <v>13</v>
      </c>
      <c r="F1470" s="9" t="s">
        <v>2531</v>
      </c>
      <c r="G1470" s="9">
        <v>20</v>
      </c>
      <c r="H1470" s="9">
        <v>4</v>
      </c>
      <c r="I1470" s="9">
        <v>1.0149999999999999</v>
      </c>
      <c r="J1470" s="9">
        <v>412</v>
      </c>
      <c r="K1470" s="9" t="s">
        <v>442</v>
      </c>
      <c r="L1470" s="9"/>
      <c r="M1470" s="9"/>
      <c r="N1470" s="9" t="str">
        <f ca="1">IFERROR(__xludf.DUMMYFUNCTION("IFERROR(VALUE(REGEXEXTRACT(TO_TEXT($F1470), N$1 &amp; ""x(\d+)"")), """")
"),"")</f>
        <v/>
      </c>
      <c r="O1470" s="9" t="str">
        <f ca="1">IFERROR(__xludf.DUMMYFUNCTION("IFERROR(VALUE(REGEXEXTRACT(TO_TEXT($F1470), O$1 &amp; ""x(\d+)"")), """")"),"")</f>
        <v/>
      </c>
      <c r="P1470" s="9" t="str">
        <f ca="1">IFERROR(__xludf.DUMMYFUNCTION("IFERROR(VALUE(REGEXEXTRACT(TO_TEXT($F1470), P$1 &amp; ""x(\d+)"")), """")"),"")</f>
        <v/>
      </c>
      <c r="Q1470" s="9" t="str">
        <f ca="1">IFERROR(__xludf.DUMMYFUNCTION("IFERROR(VALUE(REGEXEXTRACT(TO_TEXT($F1470), Q$1 &amp; ""x(\d+)"")), """")"),"")</f>
        <v/>
      </c>
      <c r="R1470" s="9" t="str">
        <f ca="1">IFERROR(__xludf.DUMMYFUNCTION("IFERROR(VALUE(REGEXEXTRACT(TO_TEXT($F1470), R$1 &amp; ""x(\d+)"")), """")"),"")</f>
        <v/>
      </c>
      <c r="S1470" s="9">
        <f ca="1">IFERROR(__xludf.DUMMYFUNCTION("IFERROR(VALUE(REGEXEXTRACT(TO_TEXT($F1470), S$1 &amp; ""x(\d+)"")), """")"),1)</f>
        <v>1</v>
      </c>
      <c r="T1470" s="9" t="str">
        <f ca="1">IFERROR(__xludf.DUMMYFUNCTION("IFERROR(VALUE(REGEXEXTRACT(TO_TEXT($F1470), T$1 &amp; ""x(\d+)"")), """")"),"")</f>
        <v/>
      </c>
      <c r="U1470" s="9" t="str">
        <f ca="1">IFERROR(__xludf.DUMMYFUNCTION("IFERROR(VALUE(REGEXEXTRACT(TO_TEXT($F1470), U$1 &amp; ""x(\d+)"")), """")"),"")</f>
        <v/>
      </c>
      <c r="V1470" s="9" t="str">
        <f ca="1">IFERROR(__xludf.DUMMYFUNCTION("IFERROR(VALUE(REGEXEXTRACT(TO_TEXT($F1470), V$1 &amp; ""x(\d+)"")), """")"),"")</f>
        <v/>
      </c>
      <c r="W1470" s="9"/>
      <c r="X1470" s="9"/>
      <c r="Y1470" s="9"/>
      <c r="Z1470" s="9"/>
    </row>
    <row r="1471" spans="1:26" ht="15.75" customHeight="1">
      <c r="A1471" s="9" t="s">
        <v>2532</v>
      </c>
      <c r="B1471" s="9" t="s">
        <v>2528</v>
      </c>
      <c r="C1471" s="9" t="s">
        <v>2533</v>
      </c>
      <c r="D1471" s="9" t="s">
        <v>33</v>
      </c>
      <c r="E1471" s="9" t="s">
        <v>12</v>
      </c>
      <c r="F1471" s="9" t="s">
        <v>1094</v>
      </c>
      <c r="G1471" s="9">
        <v>55</v>
      </c>
      <c r="H1471" s="9">
        <v>4</v>
      </c>
      <c r="I1471" s="9">
        <v>1.0149999999999999</v>
      </c>
      <c r="J1471" s="9">
        <v>103</v>
      </c>
      <c r="K1471" s="9" t="s">
        <v>442</v>
      </c>
      <c r="L1471" s="9"/>
      <c r="M1471" s="9"/>
      <c r="N1471" s="9" t="str">
        <f ca="1">IFERROR(__xludf.DUMMYFUNCTION("IFERROR(VALUE(REGEXEXTRACT(TO_TEXT($F1471), N$1 &amp; ""x(\d+)"")), """")
"),"")</f>
        <v/>
      </c>
      <c r="O1471" s="9">
        <f ca="1">IFERROR(__xludf.DUMMYFUNCTION("IFERROR(VALUE(REGEXEXTRACT(TO_TEXT($F1471), O$1 &amp; ""x(\d+)"")), """")"),1)</f>
        <v>1</v>
      </c>
      <c r="P1471" s="9" t="str">
        <f ca="1">IFERROR(__xludf.DUMMYFUNCTION("IFERROR(VALUE(REGEXEXTRACT(TO_TEXT($F1471), P$1 &amp; ""x(\d+)"")), """")"),"")</f>
        <v/>
      </c>
      <c r="Q1471" s="9" t="str">
        <f ca="1">IFERROR(__xludf.DUMMYFUNCTION("IFERROR(VALUE(REGEXEXTRACT(TO_TEXT($F1471), Q$1 &amp; ""x(\d+)"")), """")"),"")</f>
        <v/>
      </c>
      <c r="R1471" s="9" t="str">
        <f ca="1">IFERROR(__xludf.DUMMYFUNCTION("IFERROR(VALUE(REGEXEXTRACT(TO_TEXT($F1471), R$1 &amp; ""x(\d+)"")), """")"),"")</f>
        <v/>
      </c>
      <c r="S1471" s="9" t="str">
        <f ca="1">IFERROR(__xludf.DUMMYFUNCTION("IFERROR(VALUE(REGEXEXTRACT(TO_TEXT($F1471), S$1 &amp; ""x(\d+)"")), """")"),"")</f>
        <v/>
      </c>
      <c r="T1471" s="9" t="str">
        <f ca="1">IFERROR(__xludf.DUMMYFUNCTION("IFERROR(VALUE(REGEXEXTRACT(TO_TEXT($F1471), T$1 &amp; ""x(\d+)"")), """")"),"")</f>
        <v/>
      </c>
      <c r="U1471" s="9" t="str">
        <f ca="1">IFERROR(__xludf.DUMMYFUNCTION("IFERROR(VALUE(REGEXEXTRACT(TO_TEXT($F1471), U$1 &amp; ""x(\d+)"")), """")"),"")</f>
        <v/>
      </c>
      <c r="V1471" s="9" t="str">
        <f ca="1">IFERROR(__xludf.DUMMYFUNCTION("IFERROR(VALUE(REGEXEXTRACT(TO_TEXT($F1471), V$1 &amp; ""x(\d+)"")), """")"),"")</f>
        <v/>
      </c>
      <c r="W1471" s="9"/>
      <c r="X1471" s="9"/>
      <c r="Y1471" s="9"/>
      <c r="Z1471" s="9"/>
    </row>
    <row r="1472" spans="1:26" ht="15.75" customHeight="1">
      <c r="A1472" s="9" t="s">
        <v>2532</v>
      </c>
      <c r="B1472" s="9" t="s">
        <v>2528</v>
      </c>
      <c r="C1472" s="9" t="s">
        <v>2533</v>
      </c>
      <c r="D1472" s="9" t="s">
        <v>33</v>
      </c>
      <c r="E1472" s="9" t="s">
        <v>13</v>
      </c>
      <c r="F1472" s="9" t="s">
        <v>1108</v>
      </c>
      <c r="G1472" s="9">
        <v>20</v>
      </c>
      <c r="H1472" s="9">
        <v>4</v>
      </c>
      <c r="I1472" s="9">
        <v>1.0149999999999999</v>
      </c>
      <c r="J1472" s="9">
        <v>103</v>
      </c>
      <c r="K1472" s="9" t="s">
        <v>442</v>
      </c>
      <c r="L1472" s="9"/>
      <c r="M1472" s="9"/>
      <c r="N1472" s="9" t="str">
        <f ca="1">IFERROR(__xludf.DUMMYFUNCTION("IFERROR(VALUE(REGEXEXTRACT(TO_TEXT($F1472), N$1 &amp; ""x(\d+)"")), """")
"),"")</f>
        <v/>
      </c>
      <c r="O1472" s="9">
        <f ca="1">IFERROR(__xludf.DUMMYFUNCTION("IFERROR(VALUE(REGEXEXTRACT(TO_TEXT($F1472), O$1 &amp; ""x(\d+)"")), """")"),1)</f>
        <v>1</v>
      </c>
      <c r="P1472" s="9" t="str">
        <f ca="1">IFERROR(__xludf.DUMMYFUNCTION("IFERROR(VALUE(REGEXEXTRACT(TO_TEXT($F1472), P$1 &amp; ""x(\d+)"")), """")"),"")</f>
        <v/>
      </c>
      <c r="Q1472" s="9" t="str">
        <f ca="1">IFERROR(__xludf.DUMMYFUNCTION("IFERROR(VALUE(REGEXEXTRACT(TO_TEXT($F1472), Q$1 &amp; ""x(\d+)"")), """")"),"")</f>
        <v/>
      </c>
      <c r="R1472" s="9" t="str">
        <f ca="1">IFERROR(__xludf.DUMMYFUNCTION("IFERROR(VALUE(REGEXEXTRACT(TO_TEXT($F1472), R$1 &amp; ""x(\d+)"")), """")"),"")</f>
        <v/>
      </c>
      <c r="S1472" s="9" t="str">
        <f ca="1">IFERROR(__xludf.DUMMYFUNCTION("IFERROR(VALUE(REGEXEXTRACT(TO_TEXT($F1472), S$1 &amp; ""x(\d+)"")), """")"),"")</f>
        <v/>
      </c>
      <c r="T1472" s="9" t="str">
        <f ca="1">IFERROR(__xludf.DUMMYFUNCTION("IFERROR(VALUE(REGEXEXTRACT(TO_TEXT($F1472), T$1 &amp; ""x(\d+)"")), """")"),"")</f>
        <v/>
      </c>
      <c r="U1472" s="9" t="str">
        <f ca="1">IFERROR(__xludf.DUMMYFUNCTION("IFERROR(VALUE(REGEXEXTRACT(TO_TEXT($F1472), U$1 &amp; ""x(\d+)"")), """")"),"")</f>
        <v/>
      </c>
      <c r="V1472" s="9" t="str">
        <f ca="1">IFERROR(__xludf.DUMMYFUNCTION("IFERROR(VALUE(REGEXEXTRACT(TO_TEXT($F1472), V$1 &amp; ""x(\d+)"")), """")"),"")</f>
        <v/>
      </c>
      <c r="W1472" s="9"/>
      <c r="X1472" s="9"/>
      <c r="Y1472" s="9"/>
      <c r="Z1472" s="9"/>
    </row>
    <row r="1473" spans="1:26" ht="15.75" customHeight="1">
      <c r="A1473" s="9" t="s">
        <v>2534</v>
      </c>
      <c r="B1473" s="9" t="s">
        <v>2535</v>
      </c>
      <c r="C1473" s="9" t="s">
        <v>2303</v>
      </c>
      <c r="D1473" s="9" t="s">
        <v>33</v>
      </c>
      <c r="E1473" s="9" t="s">
        <v>11</v>
      </c>
      <c r="F1473" s="9" t="s">
        <v>2536</v>
      </c>
      <c r="G1473" s="9">
        <v>40</v>
      </c>
      <c r="H1473" s="9">
        <v>4</v>
      </c>
      <c r="I1473" s="9">
        <v>1.0149999999999999</v>
      </c>
      <c r="J1473" s="9">
        <v>100</v>
      </c>
      <c r="K1473" s="9" t="s">
        <v>442</v>
      </c>
      <c r="L1473" s="9"/>
      <c r="M1473" s="9"/>
      <c r="N1473" s="9" t="str">
        <f ca="1">IFERROR(__xludf.DUMMYFUNCTION("IFERROR(VALUE(REGEXEXTRACT(TO_TEXT($F1473), N$1 &amp; ""x(\d+)"")), """")
"),"")</f>
        <v/>
      </c>
      <c r="O1473" s="9" t="str">
        <f ca="1">IFERROR(__xludf.DUMMYFUNCTION("IFERROR(VALUE(REGEXEXTRACT(TO_TEXT($F1473), O$1 &amp; ""x(\d+)"")), """")"),"")</f>
        <v/>
      </c>
      <c r="P1473" s="9" t="str">
        <f ca="1">IFERROR(__xludf.DUMMYFUNCTION("IFERROR(VALUE(REGEXEXTRACT(TO_TEXT($F1473), P$1 &amp; ""x(\d+)"")), """")"),"")</f>
        <v/>
      </c>
      <c r="Q1473" s="9" t="str">
        <f ca="1">IFERROR(__xludf.DUMMYFUNCTION("IFERROR(VALUE(REGEXEXTRACT(TO_TEXT($F1473), Q$1 &amp; ""x(\d+)"")), """")"),"")</f>
        <v/>
      </c>
      <c r="R1473" s="9" t="str">
        <f ca="1">IFERROR(__xludf.DUMMYFUNCTION("IFERROR(VALUE(REGEXEXTRACT(TO_TEXT($F1473), R$1 &amp; ""x(\d+)"")), """")"),"")</f>
        <v/>
      </c>
      <c r="S1473" s="9" t="str">
        <f ca="1">IFERROR(__xludf.DUMMYFUNCTION("IFERROR(VALUE(REGEXEXTRACT(TO_TEXT($F1473), S$1 &amp; ""x(\d+)"")), """")"),"")</f>
        <v/>
      </c>
      <c r="T1473" s="9" t="str">
        <f ca="1">IFERROR(__xludf.DUMMYFUNCTION("IFERROR(VALUE(REGEXEXTRACT(TO_TEXT($F1473), T$1 &amp; ""x(\d+)"")), """")"),"")</f>
        <v/>
      </c>
      <c r="U1473" s="9" t="str">
        <f ca="1">IFERROR(__xludf.DUMMYFUNCTION("IFERROR(VALUE(REGEXEXTRACT(TO_TEXT($F1473), U$1 &amp; ""x(\d+)"")), """")"),"")</f>
        <v/>
      </c>
      <c r="V1473" s="9" t="str">
        <f ca="1">IFERROR(__xludf.DUMMYFUNCTION("IFERROR(VALUE(REGEXEXTRACT(TO_TEXT($F1473), V$1 &amp; ""x(\d+)"")), """")"),"")</f>
        <v/>
      </c>
      <c r="W1473" s="9"/>
      <c r="X1473" s="9"/>
      <c r="Y1473" s="9"/>
      <c r="Z1473" s="9"/>
    </row>
    <row r="1474" spans="1:26" ht="15.75" customHeight="1">
      <c r="A1474" s="9" t="s">
        <v>2534</v>
      </c>
      <c r="B1474" s="9" t="s">
        <v>2535</v>
      </c>
      <c r="C1474" s="9" t="s">
        <v>2303</v>
      </c>
      <c r="D1474" s="9" t="s">
        <v>33</v>
      </c>
      <c r="E1474" s="9" t="s">
        <v>12</v>
      </c>
      <c r="F1474" s="9" t="s">
        <v>1066</v>
      </c>
      <c r="G1474" s="9">
        <v>105</v>
      </c>
      <c r="H1474" s="9">
        <v>4</v>
      </c>
      <c r="I1474" s="9">
        <v>1.0149999999999999</v>
      </c>
      <c r="J1474" s="9">
        <v>100</v>
      </c>
      <c r="K1474" s="9" t="s">
        <v>442</v>
      </c>
      <c r="L1474" s="9"/>
      <c r="M1474" s="9"/>
      <c r="N1474" s="9" t="str">
        <f ca="1">IFERROR(__xludf.DUMMYFUNCTION("IFERROR(VALUE(REGEXEXTRACT(TO_TEXT($F1474), N$1 &amp; ""x(\d+)"")), """")
"),"")</f>
        <v/>
      </c>
      <c r="O1474" s="9">
        <f ca="1">IFERROR(__xludf.DUMMYFUNCTION("IFERROR(VALUE(REGEXEXTRACT(TO_TEXT($F1474), O$1 &amp; ""x(\d+)"")), """")"),1)</f>
        <v>1</v>
      </c>
      <c r="P1474" s="9" t="str">
        <f ca="1">IFERROR(__xludf.DUMMYFUNCTION("IFERROR(VALUE(REGEXEXTRACT(TO_TEXT($F1474), P$1 &amp; ""x(\d+)"")), """")"),"")</f>
        <v/>
      </c>
      <c r="Q1474" s="9" t="str">
        <f ca="1">IFERROR(__xludf.DUMMYFUNCTION("IFERROR(VALUE(REGEXEXTRACT(TO_TEXT($F1474), Q$1 &amp; ""x(\d+)"")), """")"),"")</f>
        <v/>
      </c>
      <c r="R1474" s="9" t="str">
        <f ca="1">IFERROR(__xludf.DUMMYFUNCTION("IFERROR(VALUE(REGEXEXTRACT(TO_TEXT($F1474), R$1 &amp; ""x(\d+)"")), """")"),"")</f>
        <v/>
      </c>
      <c r="S1474" s="9" t="str">
        <f ca="1">IFERROR(__xludf.DUMMYFUNCTION("IFERROR(VALUE(REGEXEXTRACT(TO_TEXT($F1474), S$1 &amp; ""x(\d+)"")), """")"),"")</f>
        <v/>
      </c>
      <c r="T1474" s="9" t="str">
        <f ca="1">IFERROR(__xludf.DUMMYFUNCTION("IFERROR(VALUE(REGEXEXTRACT(TO_TEXT($F1474), T$1 &amp; ""x(\d+)"")), """")"),"")</f>
        <v/>
      </c>
      <c r="U1474" s="9" t="str">
        <f ca="1">IFERROR(__xludf.DUMMYFUNCTION("IFERROR(VALUE(REGEXEXTRACT(TO_TEXT($F1474), U$1 &amp; ""x(\d+)"")), """")"),"")</f>
        <v/>
      </c>
      <c r="V1474" s="9" t="str">
        <f ca="1">IFERROR(__xludf.DUMMYFUNCTION("IFERROR(VALUE(REGEXEXTRACT(TO_TEXT($F1474), V$1 &amp; ""x(\d+)"")), """")"),"")</f>
        <v/>
      </c>
      <c r="W1474" s="9"/>
      <c r="X1474" s="9"/>
      <c r="Y1474" s="9"/>
      <c r="Z1474" s="9"/>
    </row>
    <row r="1475" spans="1:26" ht="15.75" customHeight="1">
      <c r="A1475" s="9" t="s">
        <v>2534</v>
      </c>
      <c r="B1475" s="9" t="s">
        <v>2535</v>
      </c>
      <c r="C1475" s="9" t="s">
        <v>2303</v>
      </c>
      <c r="D1475" s="9" t="s">
        <v>33</v>
      </c>
      <c r="E1475" s="9" t="s">
        <v>13</v>
      </c>
      <c r="F1475" s="9" t="s">
        <v>1058</v>
      </c>
      <c r="G1475" s="9">
        <v>15</v>
      </c>
      <c r="H1475" s="9">
        <v>4</v>
      </c>
      <c r="I1475" s="9">
        <v>1.0149999999999999</v>
      </c>
      <c r="J1475" s="9">
        <v>100</v>
      </c>
      <c r="K1475" s="9" t="s">
        <v>442</v>
      </c>
      <c r="L1475" s="9"/>
      <c r="M1475" s="9"/>
      <c r="N1475" s="9" t="str">
        <f ca="1">IFERROR(__xludf.DUMMYFUNCTION("IFERROR(VALUE(REGEXEXTRACT(TO_TEXT($F1475), N$1 &amp; ""x(\d+)"")), """")
"),"")</f>
        <v/>
      </c>
      <c r="O1475" s="9">
        <f ca="1">IFERROR(__xludf.DUMMYFUNCTION("IFERROR(VALUE(REGEXEXTRACT(TO_TEXT($F1475), O$1 &amp; ""x(\d+)"")), """")"),1)</f>
        <v>1</v>
      </c>
      <c r="P1475" s="9" t="str">
        <f ca="1">IFERROR(__xludf.DUMMYFUNCTION("IFERROR(VALUE(REGEXEXTRACT(TO_TEXT($F1475), P$1 &amp; ""x(\d+)"")), """")"),"")</f>
        <v/>
      </c>
      <c r="Q1475" s="9" t="str">
        <f ca="1">IFERROR(__xludf.DUMMYFUNCTION("IFERROR(VALUE(REGEXEXTRACT(TO_TEXT($F1475), Q$1 &amp; ""x(\d+)"")), """")"),"")</f>
        <v/>
      </c>
      <c r="R1475" s="9" t="str">
        <f ca="1">IFERROR(__xludf.DUMMYFUNCTION("IFERROR(VALUE(REGEXEXTRACT(TO_TEXT($F1475), R$1 &amp; ""x(\d+)"")), """")"),"")</f>
        <v/>
      </c>
      <c r="S1475" s="9" t="str">
        <f ca="1">IFERROR(__xludf.DUMMYFUNCTION("IFERROR(VALUE(REGEXEXTRACT(TO_TEXT($F1475), S$1 &amp; ""x(\d+)"")), """")"),"")</f>
        <v/>
      </c>
      <c r="T1475" s="9" t="str">
        <f ca="1">IFERROR(__xludf.DUMMYFUNCTION("IFERROR(VALUE(REGEXEXTRACT(TO_TEXT($F1475), T$1 &amp; ""x(\d+)"")), """")"),"")</f>
        <v/>
      </c>
      <c r="U1475" s="9" t="str">
        <f ca="1">IFERROR(__xludf.DUMMYFUNCTION("IFERROR(VALUE(REGEXEXTRACT(TO_TEXT($F1475), U$1 &amp; ""x(\d+)"")), """")"),"")</f>
        <v/>
      </c>
      <c r="V1475" s="9" t="str">
        <f ca="1">IFERROR(__xludf.DUMMYFUNCTION("IFERROR(VALUE(REGEXEXTRACT(TO_TEXT($F1475), V$1 &amp; ""x(\d+)"")), """")"),"")</f>
        <v/>
      </c>
      <c r="W1475" s="9"/>
      <c r="X1475" s="9"/>
      <c r="Y1475" s="9"/>
      <c r="Z1475" s="9"/>
    </row>
    <row r="1476" spans="1:26" ht="15.75" customHeight="1">
      <c r="A1476" s="9" t="s">
        <v>2537</v>
      </c>
      <c r="B1476" s="9" t="s">
        <v>2538</v>
      </c>
      <c r="C1476" s="9" t="s">
        <v>2300</v>
      </c>
      <c r="D1476" s="9" t="s">
        <v>33</v>
      </c>
      <c r="E1476" s="9" t="s">
        <v>11</v>
      </c>
      <c r="F1476" s="9" t="s">
        <v>2539</v>
      </c>
      <c r="G1476" s="9">
        <v>40</v>
      </c>
      <c r="H1476" s="9">
        <v>4</v>
      </c>
      <c r="I1476" s="9">
        <v>1.0149999999999999</v>
      </c>
      <c r="J1476" s="9">
        <v>110</v>
      </c>
      <c r="K1476" s="9" t="s">
        <v>442</v>
      </c>
      <c r="L1476" s="9"/>
      <c r="M1476" s="9"/>
      <c r="N1476" s="9" t="str">
        <f ca="1">IFERROR(__xludf.DUMMYFUNCTION("IFERROR(VALUE(REGEXEXTRACT(TO_TEXT($F1476), N$1 &amp; ""x(\d+)"")), """")
"),"")</f>
        <v/>
      </c>
      <c r="O1476" s="9" t="str">
        <f ca="1">IFERROR(__xludf.DUMMYFUNCTION("IFERROR(VALUE(REGEXEXTRACT(TO_TEXT($F1476), O$1 &amp; ""x(\d+)"")), """")"),"")</f>
        <v/>
      </c>
      <c r="P1476" s="9" t="str">
        <f ca="1">IFERROR(__xludf.DUMMYFUNCTION("IFERROR(VALUE(REGEXEXTRACT(TO_TEXT($F1476), P$1 &amp; ""x(\d+)"")), """")"),"")</f>
        <v/>
      </c>
      <c r="Q1476" s="9" t="str">
        <f ca="1">IFERROR(__xludf.DUMMYFUNCTION("IFERROR(VALUE(REGEXEXTRACT(TO_TEXT($F1476), Q$1 &amp; ""x(\d+)"")), """")"),"")</f>
        <v/>
      </c>
      <c r="R1476" s="9" t="str">
        <f ca="1">IFERROR(__xludf.DUMMYFUNCTION("IFERROR(VALUE(REGEXEXTRACT(TO_TEXT($F1476), R$1 &amp; ""x(\d+)"")), """")"),"")</f>
        <v/>
      </c>
      <c r="S1476" s="9" t="str">
        <f ca="1">IFERROR(__xludf.DUMMYFUNCTION("IFERROR(VALUE(REGEXEXTRACT(TO_TEXT($F1476), S$1 &amp; ""x(\d+)"")), """")"),"")</f>
        <v/>
      </c>
      <c r="T1476" s="9" t="str">
        <f ca="1">IFERROR(__xludf.DUMMYFUNCTION("IFERROR(VALUE(REGEXEXTRACT(TO_TEXT($F1476), T$1 &amp; ""x(\d+)"")), """")"),"")</f>
        <v/>
      </c>
      <c r="U1476" s="9" t="str">
        <f ca="1">IFERROR(__xludf.DUMMYFUNCTION("IFERROR(VALUE(REGEXEXTRACT(TO_TEXT($F1476), U$1 &amp; ""x(\d+)"")), """")"),"")</f>
        <v/>
      </c>
      <c r="V1476" s="9" t="str">
        <f ca="1">IFERROR(__xludf.DUMMYFUNCTION("IFERROR(VALUE(REGEXEXTRACT(TO_TEXT($F1476), V$1 &amp; ""x(\d+)"")), """")"),"")</f>
        <v/>
      </c>
      <c r="W1476" s="9"/>
      <c r="X1476" s="9"/>
      <c r="Y1476" s="9"/>
      <c r="Z1476" s="9"/>
    </row>
    <row r="1477" spans="1:26" ht="15.75" customHeight="1">
      <c r="A1477" s="9" t="s">
        <v>2537</v>
      </c>
      <c r="B1477" s="9" t="s">
        <v>2538</v>
      </c>
      <c r="C1477" s="9" t="s">
        <v>2300</v>
      </c>
      <c r="D1477" s="9" t="s">
        <v>33</v>
      </c>
      <c r="E1477" s="9" t="s">
        <v>12</v>
      </c>
      <c r="F1477" s="9" t="s">
        <v>1057</v>
      </c>
      <c r="G1477" s="9">
        <v>110</v>
      </c>
      <c r="H1477" s="9">
        <v>4</v>
      </c>
      <c r="I1477" s="9">
        <v>1.0149999999999999</v>
      </c>
      <c r="J1477" s="9">
        <v>110</v>
      </c>
      <c r="K1477" s="9" t="s">
        <v>442</v>
      </c>
      <c r="L1477" s="9"/>
      <c r="M1477" s="9"/>
      <c r="N1477" s="9" t="str">
        <f ca="1">IFERROR(__xludf.DUMMYFUNCTION("IFERROR(VALUE(REGEXEXTRACT(TO_TEXT($F1477), N$1 &amp; ""x(\d+)"")), """")
"),"")</f>
        <v/>
      </c>
      <c r="O1477" s="9">
        <f ca="1">IFERROR(__xludf.DUMMYFUNCTION("IFERROR(VALUE(REGEXEXTRACT(TO_TEXT($F1477), O$1 &amp; ""x(\d+)"")), """")"),1)</f>
        <v>1</v>
      </c>
      <c r="P1477" s="9" t="str">
        <f ca="1">IFERROR(__xludf.DUMMYFUNCTION("IFERROR(VALUE(REGEXEXTRACT(TO_TEXT($F1477), P$1 &amp; ""x(\d+)"")), """")"),"")</f>
        <v/>
      </c>
      <c r="Q1477" s="9" t="str">
        <f ca="1">IFERROR(__xludf.DUMMYFUNCTION("IFERROR(VALUE(REGEXEXTRACT(TO_TEXT($F1477), Q$1 &amp; ""x(\d+)"")), """")"),"")</f>
        <v/>
      </c>
      <c r="R1477" s="9" t="str">
        <f ca="1">IFERROR(__xludf.DUMMYFUNCTION("IFERROR(VALUE(REGEXEXTRACT(TO_TEXT($F1477), R$1 &amp; ""x(\d+)"")), """")"),"")</f>
        <v/>
      </c>
      <c r="S1477" s="9" t="str">
        <f ca="1">IFERROR(__xludf.DUMMYFUNCTION("IFERROR(VALUE(REGEXEXTRACT(TO_TEXT($F1477), S$1 &amp; ""x(\d+)"")), """")"),"")</f>
        <v/>
      </c>
      <c r="T1477" s="9" t="str">
        <f ca="1">IFERROR(__xludf.DUMMYFUNCTION("IFERROR(VALUE(REGEXEXTRACT(TO_TEXT($F1477), T$1 &amp; ""x(\d+)"")), """")"),"")</f>
        <v/>
      </c>
      <c r="U1477" s="9" t="str">
        <f ca="1">IFERROR(__xludf.DUMMYFUNCTION("IFERROR(VALUE(REGEXEXTRACT(TO_TEXT($F1477), U$1 &amp; ""x(\d+)"")), """")"),"")</f>
        <v/>
      </c>
      <c r="V1477" s="9" t="str">
        <f ca="1">IFERROR(__xludf.DUMMYFUNCTION("IFERROR(VALUE(REGEXEXTRACT(TO_TEXT($F1477), V$1 &amp; ""x(\d+)"")), """")"),"")</f>
        <v/>
      </c>
      <c r="W1477" s="9"/>
      <c r="X1477" s="9"/>
      <c r="Y1477" s="9"/>
      <c r="Z1477" s="9"/>
    </row>
    <row r="1478" spans="1:26" ht="15.75" customHeight="1">
      <c r="A1478" s="9" t="s">
        <v>2537</v>
      </c>
      <c r="B1478" s="9" t="s">
        <v>2538</v>
      </c>
      <c r="C1478" s="9" t="s">
        <v>2300</v>
      </c>
      <c r="D1478" s="9" t="s">
        <v>33</v>
      </c>
      <c r="E1478" s="9" t="s">
        <v>13</v>
      </c>
      <c r="F1478" s="9" t="s">
        <v>1058</v>
      </c>
      <c r="G1478" s="9">
        <v>15</v>
      </c>
      <c r="H1478" s="9">
        <v>4</v>
      </c>
      <c r="I1478" s="9">
        <v>1.0149999999999999</v>
      </c>
      <c r="J1478" s="9">
        <v>110</v>
      </c>
      <c r="K1478" s="9" t="s">
        <v>442</v>
      </c>
      <c r="L1478" s="9"/>
      <c r="M1478" s="9"/>
      <c r="N1478" s="9" t="str">
        <f ca="1">IFERROR(__xludf.DUMMYFUNCTION("IFERROR(VALUE(REGEXEXTRACT(TO_TEXT($F1478), N$1 &amp; ""x(\d+)"")), """")
"),"")</f>
        <v/>
      </c>
      <c r="O1478" s="9">
        <f ca="1">IFERROR(__xludf.DUMMYFUNCTION("IFERROR(VALUE(REGEXEXTRACT(TO_TEXT($F1478), O$1 &amp; ""x(\d+)"")), """")"),1)</f>
        <v>1</v>
      </c>
      <c r="P1478" s="9" t="str">
        <f ca="1">IFERROR(__xludf.DUMMYFUNCTION("IFERROR(VALUE(REGEXEXTRACT(TO_TEXT($F1478), P$1 &amp; ""x(\d+)"")), """")"),"")</f>
        <v/>
      </c>
      <c r="Q1478" s="9" t="str">
        <f ca="1">IFERROR(__xludf.DUMMYFUNCTION("IFERROR(VALUE(REGEXEXTRACT(TO_TEXT($F1478), Q$1 &amp; ""x(\d+)"")), """")"),"")</f>
        <v/>
      </c>
      <c r="R1478" s="9" t="str">
        <f ca="1">IFERROR(__xludf.DUMMYFUNCTION("IFERROR(VALUE(REGEXEXTRACT(TO_TEXT($F1478), R$1 &amp; ""x(\d+)"")), """")"),"")</f>
        <v/>
      </c>
      <c r="S1478" s="9" t="str">
        <f ca="1">IFERROR(__xludf.DUMMYFUNCTION("IFERROR(VALUE(REGEXEXTRACT(TO_TEXT($F1478), S$1 &amp; ""x(\d+)"")), """")"),"")</f>
        <v/>
      </c>
      <c r="T1478" s="9" t="str">
        <f ca="1">IFERROR(__xludf.DUMMYFUNCTION("IFERROR(VALUE(REGEXEXTRACT(TO_TEXT($F1478), T$1 &amp; ""x(\d+)"")), """")"),"")</f>
        <v/>
      </c>
      <c r="U1478" s="9" t="str">
        <f ca="1">IFERROR(__xludf.DUMMYFUNCTION("IFERROR(VALUE(REGEXEXTRACT(TO_TEXT($F1478), U$1 &amp; ""x(\d+)"")), """")"),"")</f>
        <v/>
      </c>
      <c r="V1478" s="9" t="str">
        <f ca="1">IFERROR(__xludf.DUMMYFUNCTION("IFERROR(VALUE(REGEXEXTRACT(TO_TEXT($F1478), V$1 &amp; ""x(\d+)"")), """")"),"")</f>
        <v/>
      </c>
      <c r="W1478" s="9"/>
      <c r="X1478" s="9"/>
      <c r="Y1478" s="9"/>
      <c r="Z1478" s="9"/>
    </row>
    <row r="1479" spans="1:26" ht="15.75" customHeight="1">
      <c r="A1479" s="9" t="s">
        <v>2537</v>
      </c>
      <c r="B1479" s="9" t="s">
        <v>2538</v>
      </c>
      <c r="C1479" s="9" t="s">
        <v>2300</v>
      </c>
      <c r="D1479" s="9" t="s">
        <v>40</v>
      </c>
      <c r="E1479" s="9" t="s">
        <v>11</v>
      </c>
      <c r="F1479" s="9" t="s">
        <v>2539</v>
      </c>
      <c r="G1479" s="9">
        <v>40</v>
      </c>
      <c r="H1479" s="9">
        <v>4</v>
      </c>
      <c r="I1479" s="9">
        <v>1.0149999999999999</v>
      </c>
      <c r="J1479" s="9">
        <v>410</v>
      </c>
      <c r="K1479" s="9" t="s">
        <v>442</v>
      </c>
      <c r="L1479" s="9"/>
      <c r="M1479" s="9"/>
      <c r="N1479" s="9" t="str">
        <f ca="1">IFERROR(__xludf.DUMMYFUNCTION("IFERROR(VALUE(REGEXEXTRACT(TO_TEXT($F1479), N$1 &amp; ""x(\d+)"")), """")
"),"")</f>
        <v/>
      </c>
      <c r="O1479" s="9" t="str">
        <f ca="1">IFERROR(__xludf.DUMMYFUNCTION("IFERROR(VALUE(REGEXEXTRACT(TO_TEXT($F1479), O$1 &amp; ""x(\d+)"")), """")"),"")</f>
        <v/>
      </c>
      <c r="P1479" s="9" t="str">
        <f ca="1">IFERROR(__xludf.DUMMYFUNCTION("IFERROR(VALUE(REGEXEXTRACT(TO_TEXT($F1479), P$1 &amp; ""x(\d+)"")), """")"),"")</f>
        <v/>
      </c>
      <c r="Q1479" s="9" t="str">
        <f ca="1">IFERROR(__xludf.DUMMYFUNCTION("IFERROR(VALUE(REGEXEXTRACT(TO_TEXT($F1479), Q$1 &amp; ""x(\d+)"")), """")"),"")</f>
        <v/>
      </c>
      <c r="R1479" s="9" t="str">
        <f ca="1">IFERROR(__xludf.DUMMYFUNCTION("IFERROR(VALUE(REGEXEXTRACT(TO_TEXT($F1479), R$1 &amp; ""x(\d+)"")), """")"),"")</f>
        <v/>
      </c>
      <c r="S1479" s="9" t="str">
        <f ca="1">IFERROR(__xludf.DUMMYFUNCTION("IFERROR(VALUE(REGEXEXTRACT(TO_TEXT($F1479), S$1 &amp; ""x(\d+)"")), """")"),"")</f>
        <v/>
      </c>
      <c r="T1479" s="9" t="str">
        <f ca="1">IFERROR(__xludf.DUMMYFUNCTION("IFERROR(VALUE(REGEXEXTRACT(TO_TEXT($F1479), T$1 &amp; ""x(\d+)"")), """")"),"")</f>
        <v/>
      </c>
      <c r="U1479" s="9" t="str">
        <f ca="1">IFERROR(__xludf.DUMMYFUNCTION("IFERROR(VALUE(REGEXEXTRACT(TO_TEXT($F1479), U$1 &amp; ""x(\d+)"")), """")"),"")</f>
        <v/>
      </c>
      <c r="V1479" s="9" t="str">
        <f ca="1">IFERROR(__xludf.DUMMYFUNCTION("IFERROR(VALUE(REGEXEXTRACT(TO_TEXT($F1479), V$1 &amp; ""x(\d+)"")), """")"),"")</f>
        <v/>
      </c>
      <c r="W1479" s="9"/>
      <c r="X1479" s="9"/>
      <c r="Y1479" s="9"/>
      <c r="Z1479" s="9"/>
    </row>
    <row r="1480" spans="1:26" ht="15.75" customHeight="1">
      <c r="A1480" s="9" t="s">
        <v>2537</v>
      </c>
      <c r="B1480" s="9" t="s">
        <v>2538</v>
      </c>
      <c r="C1480" s="9" t="s">
        <v>2300</v>
      </c>
      <c r="D1480" s="9" t="s">
        <v>40</v>
      </c>
      <c r="E1480" s="9" t="s">
        <v>12</v>
      </c>
      <c r="F1480" s="9" t="s">
        <v>1485</v>
      </c>
      <c r="G1480" s="9">
        <v>110</v>
      </c>
      <c r="H1480" s="9">
        <v>4</v>
      </c>
      <c r="I1480" s="9">
        <v>1.0149999999999999</v>
      </c>
      <c r="J1480" s="9">
        <v>410</v>
      </c>
      <c r="K1480" s="9" t="s">
        <v>442</v>
      </c>
      <c r="L1480" s="9" t="s">
        <v>1015</v>
      </c>
      <c r="M1480" s="9"/>
      <c r="N1480" s="9" t="str">
        <f ca="1">IFERROR(__xludf.DUMMYFUNCTION("IFERROR(VALUE(REGEXEXTRACT(TO_TEXT($F1480), N$1 &amp; ""x(\d+)"")), """")
"),"")</f>
        <v/>
      </c>
      <c r="O1480" s="9" t="str">
        <f ca="1">IFERROR(__xludf.DUMMYFUNCTION("IFERROR(VALUE(REGEXEXTRACT(TO_TEXT($F1480), O$1 &amp; ""x(\d+)"")), """")"),"")</f>
        <v/>
      </c>
      <c r="P1480" s="9" t="str">
        <f ca="1">IFERROR(__xludf.DUMMYFUNCTION("IFERROR(VALUE(REGEXEXTRACT(TO_TEXT($F1480), P$1 &amp; ""x(\d+)"")), """")"),"")</f>
        <v/>
      </c>
      <c r="Q1480" s="9" t="str">
        <f ca="1">IFERROR(__xludf.DUMMYFUNCTION("IFERROR(VALUE(REGEXEXTRACT(TO_TEXT($F1480), Q$1 &amp; ""x(\d+)"")), """")"),"")</f>
        <v/>
      </c>
      <c r="R1480" s="9" t="str">
        <f ca="1">IFERROR(__xludf.DUMMYFUNCTION("IFERROR(VALUE(REGEXEXTRACT(TO_TEXT($F1480), R$1 &amp; ""x(\d+)"")), """")"),"")</f>
        <v/>
      </c>
      <c r="S1480" s="9">
        <f ca="1">IFERROR(__xludf.DUMMYFUNCTION("IFERROR(VALUE(REGEXEXTRACT(TO_TEXT($F1480), S$1 &amp; ""x(\d+)"")), """")"),1)</f>
        <v>1</v>
      </c>
      <c r="T1480" s="9" t="str">
        <f ca="1">IFERROR(__xludf.DUMMYFUNCTION("IFERROR(VALUE(REGEXEXTRACT(TO_TEXT($F1480), T$1 &amp; ""x(\d+)"")), """")"),"")</f>
        <v/>
      </c>
      <c r="U1480" s="9" t="str">
        <f ca="1">IFERROR(__xludf.DUMMYFUNCTION("IFERROR(VALUE(REGEXEXTRACT(TO_TEXT($F1480), U$1 &amp; ""x(\d+)"")), """")"),"")</f>
        <v/>
      </c>
      <c r="V1480" s="9" t="str">
        <f ca="1">IFERROR(__xludf.DUMMYFUNCTION("IFERROR(VALUE(REGEXEXTRACT(TO_TEXT($F1480), V$1 &amp; ""x(\d+)"")), """")"),"")</f>
        <v/>
      </c>
      <c r="W1480" s="9"/>
      <c r="X1480" s="9"/>
      <c r="Y1480" s="9"/>
      <c r="Z1480" s="9"/>
    </row>
    <row r="1481" spans="1:26" ht="15.75" customHeight="1">
      <c r="A1481" s="9" t="s">
        <v>2537</v>
      </c>
      <c r="B1481" s="9" t="s">
        <v>2538</v>
      </c>
      <c r="C1481" s="9" t="s">
        <v>2300</v>
      </c>
      <c r="D1481" s="9" t="s">
        <v>40</v>
      </c>
      <c r="E1481" s="9" t="s">
        <v>13</v>
      </c>
      <c r="F1481" s="9" t="s">
        <v>1133</v>
      </c>
      <c r="G1481" s="9">
        <v>30</v>
      </c>
      <c r="H1481" s="9">
        <v>4</v>
      </c>
      <c r="I1481" s="9">
        <v>1.0149999999999999</v>
      </c>
      <c r="J1481" s="9">
        <v>410</v>
      </c>
      <c r="K1481" s="9" t="s">
        <v>442</v>
      </c>
      <c r="L1481" s="9"/>
      <c r="M1481" s="9"/>
      <c r="N1481" s="9" t="str">
        <f ca="1">IFERROR(__xludf.DUMMYFUNCTION("IFERROR(VALUE(REGEXEXTRACT(TO_TEXT($F1481), N$1 &amp; ""x(\d+)"")), """")
"),"")</f>
        <v/>
      </c>
      <c r="O1481" s="9" t="str">
        <f ca="1">IFERROR(__xludf.DUMMYFUNCTION("IFERROR(VALUE(REGEXEXTRACT(TO_TEXT($F1481), O$1 &amp; ""x(\d+)"")), """")"),"")</f>
        <v/>
      </c>
      <c r="P1481" s="9" t="str">
        <f ca="1">IFERROR(__xludf.DUMMYFUNCTION("IFERROR(VALUE(REGEXEXTRACT(TO_TEXT($F1481), P$1 &amp; ""x(\d+)"")), """")"),"")</f>
        <v/>
      </c>
      <c r="Q1481" s="9" t="str">
        <f ca="1">IFERROR(__xludf.DUMMYFUNCTION("IFERROR(VALUE(REGEXEXTRACT(TO_TEXT($F1481), Q$1 &amp; ""x(\d+)"")), """")"),"")</f>
        <v/>
      </c>
      <c r="R1481" s="9" t="str">
        <f ca="1">IFERROR(__xludf.DUMMYFUNCTION("IFERROR(VALUE(REGEXEXTRACT(TO_TEXT($F1481), R$1 &amp; ""x(\d+)"")), """")"),"")</f>
        <v/>
      </c>
      <c r="S1481" s="9">
        <f ca="1">IFERROR(__xludf.DUMMYFUNCTION("IFERROR(VALUE(REGEXEXTRACT(TO_TEXT($F1481), S$1 &amp; ""x(\d+)"")), """")"),1)</f>
        <v>1</v>
      </c>
      <c r="T1481" s="9" t="str">
        <f ca="1">IFERROR(__xludf.DUMMYFUNCTION("IFERROR(VALUE(REGEXEXTRACT(TO_TEXT($F1481), T$1 &amp; ""x(\d+)"")), """")"),"")</f>
        <v/>
      </c>
      <c r="U1481" s="9" t="str">
        <f ca="1">IFERROR(__xludf.DUMMYFUNCTION("IFERROR(VALUE(REGEXEXTRACT(TO_TEXT($F1481), U$1 &amp; ""x(\d+)"")), """")"),"")</f>
        <v/>
      </c>
      <c r="V1481" s="9" t="str">
        <f ca="1">IFERROR(__xludf.DUMMYFUNCTION("IFERROR(VALUE(REGEXEXTRACT(TO_TEXT($F1481), V$1 &amp; ""x(\d+)"")), """")"),"")</f>
        <v/>
      </c>
      <c r="W1481" s="9"/>
      <c r="X1481" s="9"/>
      <c r="Y1481" s="9"/>
      <c r="Z1481" s="9"/>
    </row>
    <row r="1482" spans="1:26" ht="15.75" customHeight="1">
      <c r="A1482" s="9" t="s">
        <v>2540</v>
      </c>
      <c r="B1482" s="9" t="s">
        <v>2541</v>
      </c>
      <c r="C1482" s="9" t="s">
        <v>2300</v>
      </c>
      <c r="D1482" s="9" t="s">
        <v>33</v>
      </c>
      <c r="E1482" s="9" t="s">
        <v>11</v>
      </c>
      <c r="F1482" s="9" t="s">
        <v>2539</v>
      </c>
      <c r="G1482" s="9">
        <v>40</v>
      </c>
      <c r="H1482" s="9">
        <v>4</v>
      </c>
      <c r="I1482" s="9">
        <v>1.0149999999999999</v>
      </c>
      <c r="J1482" s="9">
        <v>110</v>
      </c>
      <c r="K1482" s="9" t="s">
        <v>442</v>
      </c>
      <c r="L1482" s="9"/>
      <c r="M1482" s="9"/>
      <c r="N1482" s="9" t="str">
        <f ca="1">IFERROR(__xludf.DUMMYFUNCTION("IFERROR(VALUE(REGEXEXTRACT(TO_TEXT($F1482), N$1 &amp; ""x(\d+)"")), """")
"),"")</f>
        <v/>
      </c>
      <c r="O1482" s="9" t="str">
        <f ca="1">IFERROR(__xludf.DUMMYFUNCTION("IFERROR(VALUE(REGEXEXTRACT(TO_TEXT($F1482), O$1 &amp; ""x(\d+)"")), """")"),"")</f>
        <v/>
      </c>
      <c r="P1482" s="9" t="str">
        <f ca="1">IFERROR(__xludf.DUMMYFUNCTION("IFERROR(VALUE(REGEXEXTRACT(TO_TEXT($F1482), P$1 &amp; ""x(\d+)"")), """")"),"")</f>
        <v/>
      </c>
      <c r="Q1482" s="9" t="str">
        <f ca="1">IFERROR(__xludf.DUMMYFUNCTION("IFERROR(VALUE(REGEXEXTRACT(TO_TEXT($F1482), Q$1 &amp; ""x(\d+)"")), """")"),"")</f>
        <v/>
      </c>
      <c r="R1482" s="9" t="str">
        <f ca="1">IFERROR(__xludf.DUMMYFUNCTION("IFERROR(VALUE(REGEXEXTRACT(TO_TEXT($F1482), R$1 &amp; ""x(\d+)"")), """")"),"")</f>
        <v/>
      </c>
      <c r="S1482" s="9" t="str">
        <f ca="1">IFERROR(__xludf.DUMMYFUNCTION("IFERROR(VALUE(REGEXEXTRACT(TO_TEXT($F1482), S$1 &amp; ""x(\d+)"")), """")"),"")</f>
        <v/>
      </c>
      <c r="T1482" s="9" t="str">
        <f ca="1">IFERROR(__xludf.DUMMYFUNCTION("IFERROR(VALUE(REGEXEXTRACT(TO_TEXT($F1482), T$1 &amp; ""x(\d+)"")), """")"),"")</f>
        <v/>
      </c>
      <c r="U1482" s="9" t="str">
        <f ca="1">IFERROR(__xludf.DUMMYFUNCTION("IFERROR(VALUE(REGEXEXTRACT(TO_TEXT($F1482), U$1 &amp; ""x(\d+)"")), """")"),"")</f>
        <v/>
      </c>
      <c r="V1482" s="9" t="str">
        <f ca="1">IFERROR(__xludf.DUMMYFUNCTION("IFERROR(VALUE(REGEXEXTRACT(TO_TEXT($F1482), V$1 &amp; ""x(\d+)"")), """")"),"")</f>
        <v/>
      </c>
      <c r="W1482" s="9"/>
      <c r="X1482" s="9"/>
      <c r="Y1482" s="9"/>
      <c r="Z1482" s="9"/>
    </row>
    <row r="1483" spans="1:26" ht="15.75" customHeight="1">
      <c r="A1483" s="9" t="s">
        <v>2540</v>
      </c>
      <c r="B1483" s="9" t="s">
        <v>2541</v>
      </c>
      <c r="C1483" s="9" t="s">
        <v>2300</v>
      </c>
      <c r="D1483" s="9" t="s">
        <v>33</v>
      </c>
      <c r="E1483" s="9" t="s">
        <v>12</v>
      </c>
      <c r="F1483" s="9" t="s">
        <v>1057</v>
      </c>
      <c r="G1483" s="9">
        <v>110</v>
      </c>
      <c r="H1483" s="9">
        <v>4</v>
      </c>
      <c r="I1483" s="9">
        <v>1.0149999999999999</v>
      </c>
      <c r="J1483" s="9">
        <v>110</v>
      </c>
      <c r="K1483" s="9" t="s">
        <v>442</v>
      </c>
      <c r="L1483" s="9"/>
      <c r="M1483" s="9"/>
      <c r="N1483" s="9" t="str">
        <f ca="1">IFERROR(__xludf.DUMMYFUNCTION("IFERROR(VALUE(REGEXEXTRACT(TO_TEXT($F1483), N$1 &amp; ""x(\d+)"")), """")
"),"")</f>
        <v/>
      </c>
      <c r="O1483" s="9">
        <f ca="1">IFERROR(__xludf.DUMMYFUNCTION("IFERROR(VALUE(REGEXEXTRACT(TO_TEXT($F1483), O$1 &amp; ""x(\d+)"")), """")"),1)</f>
        <v>1</v>
      </c>
      <c r="P1483" s="9" t="str">
        <f ca="1">IFERROR(__xludf.DUMMYFUNCTION("IFERROR(VALUE(REGEXEXTRACT(TO_TEXT($F1483), P$1 &amp; ""x(\d+)"")), """")"),"")</f>
        <v/>
      </c>
      <c r="Q1483" s="9" t="str">
        <f ca="1">IFERROR(__xludf.DUMMYFUNCTION("IFERROR(VALUE(REGEXEXTRACT(TO_TEXT($F1483), Q$1 &amp; ""x(\d+)"")), """")"),"")</f>
        <v/>
      </c>
      <c r="R1483" s="9" t="str">
        <f ca="1">IFERROR(__xludf.DUMMYFUNCTION("IFERROR(VALUE(REGEXEXTRACT(TO_TEXT($F1483), R$1 &amp; ""x(\d+)"")), """")"),"")</f>
        <v/>
      </c>
      <c r="S1483" s="9" t="str">
        <f ca="1">IFERROR(__xludf.DUMMYFUNCTION("IFERROR(VALUE(REGEXEXTRACT(TO_TEXT($F1483), S$1 &amp; ""x(\d+)"")), """")"),"")</f>
        <v/>
      </c>
      <c r="T1483" s="9" t="str">
        <f ca="1">IFERROR(__xludf.DUMMYFUNCTION("IFERROR(VALUE(REGEXEXTRACT(TO_TEXT($F1483), T$1 &amp; ""x(\d+)"")), """")"),"")</f>
        <v/>
      </c>
      <c r="U1483" s="9" t="str">
        <f ca="1">IFERROR(__xludf.DUMMYFUNCTION("IFERROR(VALUE(REGEXEXTRACT(TO_TEXT($F1483), U$1 &amp; ""x(\d+)"")), """")"),"")</f>
        <v/>
      </c>
      <c r="V1483" s="9" t="str">
        <f ca="1">IFERROR(__xludf.DUMMYFUNCTION("IFERROR(VALUE(REGEXEXTRACT(TO_TEXT($F1483), V$1 &amp; ""x(\d+)"")), """")"),"")</f>
        <v/>
      </c>
      <c r="W1483" s="9"/>
      <c r="X1483" s="9"/>
      <c r="Y1483" s="9"/>
      <c r="Z1483" s="9"/>
    </row>
    <row r="1484" spans="1:26" ht="15.75" customHeight="1">
      <c r="A1484" s="9" t="s">
        <v>2540</v>
      </c>
      <c r="B1484" s="9" t="s">
        <v>2541</v>
      </c>
      <c r="C1484" s="9" t="s">
        <v>2300</v>
      </c>
      <c r="D1484" s="9" t="s">
        <v>33</v>
      </c>
      <c r="E1484" s="9" t="s">
        <v>13</v>
      </c>
      <c r="F1484" s="9" t="s">
        <v>1058</v>
      </c>
      <c r="G1484" s="9">
        <v>15</v>
      </c>
      <c r="H1484" s="9">
        <v>4</v>
      </c>
      <c r="I1484" s="9">
        <v>1.0149999999999999</v>
      </c>
      <c r="J1484" s="9">
        <v>110</v>
      </c>
      <c r="K1484" s="9" t="s">
        <v>442</v>
      </c>
      <c r="L1484" s="9"/>
      <c r="M1484" s="9"/>
      <c r="N1484" s="9" t="str">
        <f ca="1">IFERROR(__xludf.DUMMYFUNCTION("IFERROR(VALUE(REGEXEXTRACT(TO_TEXT($F1484), N$1 &amp; ""x(\d+)"")), """")
"),"")</f>
        <v/>
      </c>
      <c r="O1484" s="9">
        <f ca="1">IFERROR(__xludf.DUMMYFUNCTION("IFERROR(VALUE(REGEXEXTRACT(TO_TEXT($F1484), O$1 &amp; ""x(\d+)"")), """")"),1)</f>
        <v>1</v>
      </c>
      <c r="P1484" s="9" t="str">
        <f ca="1">IFERROR(__xludf.DUMMYFUNCTION("IFERROR(VALUE(REGEXEXTRACT(TO_TEXT($F1484), P$1 &amp; ""x(\d+)"")), """")"),"")</f>
        <v/>
      </c>
      <c r="Q1484" s="9" t="str">
        <f ca="1">IFERROR(__xludf.DUMMYFUNCTION("IFERROR(VALUE(REGEXEXTRACT(TO_TEXT($F1484), Q$1 &amp; ""x(\d+)"")), """")"),"")</f>
        <v/>
      </c>
      <c r="R1484" s="9" t="str">
        <f ca="1">IFERROR(__xludf.DUMMYFUNCTION("IFERROR(VALUE(REGEXEXTRACT(TO_TEXT($F1484), R$1 &amp; ""x(\d+)"")), """")"),"")</f>
        <v/>
      </c>
      <c r="S1484" s="9" t="str">
        <f ca="1">IFERROR(__xludf.DUMMYFUNCTION("IFERROR(VALUE(REGEXEXTRACT(TO_TEXT($F1484), S$1 &amp; ""x(\d+)"")), """")"),"")</f>
        <v/>
      </c>
      <c r="T1484" s="9" t="str">
        <f ca="1">IFERROR(__xludf.DUMMYFUNCTION("IFERROR(VALUE(REGEXEXTRACT(TO_TEXT($F1484), T$1 &amp; ""x(\d+)"")), """")"),"")</f>
        <v/>
      </c>
      <c r="U1484" s="9" t="str">
        <f ca="1">IFERROR(__xludf.DUMMYFUNCTION("IFERROR(VALUE(REGEXEXTRACT(TO_TEXT($F1484), U$1 &amp; ""x(\d+)"")), """")"),"")</f>
        <v/>
      </c>
      <c r="V1484" s="9" t="str">
        <f ca="1">IFERROR(__xludf.DUMMYFUNCTION("IFERROR(VALUE(REGEXEXTRACT(TO_TEXT($F1484), V$1 &amp; ""x(\d+)"")), """")"),"")</f>
        <v/>
      </c>
      <c r="W1484" s="9"/>
      <c r="X1484" s="9"/>
      <c r="Y1484" s="9"/>
      <c r="Z1484" s="9"/>
    </row>
    <row r="1485" spans="1:26" ht="15.75" customHeight="1">
      <c r="A1485" s="9" t="s">
        <v>2540</v>
      </c>
      <c r="B1485" s="9" t="s">
        <v>2541</v>
      </c>
      <c r="C1485" s="9" t="s">
        <v>2300</v>
      </c>
      <c r="D1485" s="9" t="s">
        <v>40</v>
      </c>
      <c r="E1485" s="9" t="s">
        <v>11</v>
      </c>
      <c r="F1485" s="9" t="s">
        <v>2539</v>
      </c>
      <c r="G1485" s="9">
        <v>40</v>
      </c>
      <c r="H1485" s="9">
        <v>4</v>
      </c>
      <c r="I1485" s="9">
        <v>1.0149999999999999</v>
      </c>
      <c r="J1485" s="9">
        <v>410</v>
      </c>
      <c r="K1485" s="9" t="s">
        <v>442</v>
      </c>
      <c r="L1485" s="9"/>
      <c r="M1485" s="9"/>
      <c r="N1485" s="9" t="str">
        <f ca="1">IFERROR(__xludf.DUMMYFUNCTION("IFERROR(VALUE(REGEXEXTRACT(TO_TEXT($F1485), N$1 &amp; ""x(\d+)"")), """")
"),"")</f>
        <v/>
      </c>
      <c r="O1485" s="9" t="str">
        <f ca="1">IFERROR(__xludf.DUMMYFUNCTION("IFERROR(VALUE(REGEXEXTRACT(TO_TEXT($F1485), O$1 &amp; ""x(\d+)"")), """")"),"")</f>
        <v/>
      </c>
      <c r="P1485" s="9" t="str">
        <f ca="1">IFERROR(__xludf.DUMMYFUNCTION("IFERROR(VALUE(REGEXEXTRACT(TO_TEXT($F1485), P$1 &amp; ""x(\d+)"")), """")"),"")</f>
        <v/>
      </c>
      <c r="Q1485" s="9" t="str">
        <f ca="1">IFERROR(__xludf.DUMMYFUNCTION("IFERROR(VALUE(REGEXEXTRACT(TO_TEXT($F1485), Q$1 &amp; ""x(\d+)"")), """")"),"")</f>
        <v/>
      </c>
      <c r="R1485" s="9" t="str">
        <f ca="1">IFERROR(__xludf.DUMMYFUNCTION("IFERROR(VALUE(REGEXEXTRACT(TO_TEXT($F1485), R$1 &amp; ""x(\d+)"")), """")"),"")</f>
        <v/>
      </c>
      <c r="S1485" s="9" t="str">
        <f ca="1">IFERROR(__xludf.DUMMYFUNCTION("IFERROR(VALUE(REGEXEXTRACT(TO_TEXT($F1485), S$1 &amp; ""x(\d+)"")), """")"),"")</f>
        <v/>
      </c>
      <c r="T1485" s="9" t="str">
        <f ca="1">IFERROR(__xludf.DUMMYFUNCTION("IFERROR(VALUE(REGEXEXTRACT(TO_TEXT($F1485), T$1 &amp; ""x(\d+)"")), """")"),"")</f>
        <v/>
      </c>
      <c r="U1485" s="9" t="str">
        <f ca="1">IFERROR(__xludf.DUMMYFUNCTION("IFERROR(VALUE(REGEXEXTRACT(TO_TEXT($F1485), U$1 &amp; ""x(\d+)"")), """")"),"")</f>
        <v/>
      </c>
      <c r="V1485" s="9" t="str">
        <f ca="1">IFERROR(__xludf.DUMMYFUNCTION("IFERROR(VALUE(REGEXEXTRACT(TO_TEXT($F1485), V$1 &amp; ""x(\d+)"")), """")"),"")</f>
        <v/>
      </c>
      <c r="W1485" s="9"/>
      <c r="X1485" s="9"/>
      <c r="Y1485" s="9"/>
      <c r="Z1485" s="9"/>
    </row>
    <row r="1486" spans="1:26" ht="15.75" customHeight="1">
      <c r="A1486" s="9" t="s">
        <v>2540</v>
      </c>
      <c r="B1486" s="9" t="s">
        <v>2541</v>
      </c>
      <c r="C1486" s="9" t="s">
        <v>2300</v>
      </c>
      <c r="D1486" s="9" t="s">
        <v>40</v>
      </c>
      <c r="E1486" s="9" t="s">
        <v>12</v>
      </c>
      <c r="F1486" s="9" t="s">
        <v>1485</v>
      </c>
      <c r="G1486" s="9">
        <v>110</v>
      </c>
      <c r="H1486" s="9">
        <v>4</v>
      </c>
      <c r="I1486" s="9">
        <v>1.0149999999999999</v>
      </c>
      <c r="J1486" s="9">
        <v>410</v>
      </c>
      <c r="K1486" s="9" t="s">
        <v>442</v>
      </c>
      <c r="L1486" s="9" t="s">
        <v>1015</v>
      </c>
      <c r="M1486" s="9"/>
      <c r="N1486" s="9" t="str">
        <f ca="1">IFERROR(__xludf.DUMMYFUNCTION("IFERROR(VALUE(REGEXEXTRACT(TO_TEXT($F1486), N$1 &amp; ""x(\d+)"")), """")
"),"")</f>
        <v/>
      </c>
      <c r="O1486" s="9" t="str">
        <f ca="1">IFERROR(__xludf.DUMMYFUNCTION("IFERROR(VALUE(REGEXEXTRACT(TO_TEXT($F1486), O$1 &amp; ""x(\d+)"")), """")"),"")</f>
        <v/>
      </c>
      <c r="P1486" s="9" t="str">
        <f ca="1">IFERROR(__xludf.DUMMYFUNCTION("IFERROR(VALUE(REGEXEXTRACT(TO_TEXT($F1486), P$1 &amp; ""x(\d+)"")), """")"),"")</f>
        <v/>
      </c>
      <c r="Q1486" s="9" t="str">
        <f ca="1">IFERROR(__xludf.DUMMYFUNCTION("IFERROR(VALUE(REGEXEXTRACT(TO_TEXT($F1486), Q$1 &amp; ""x(\d+)"")), """")"),"")</f>
        <v/>
      </c>
      <c r="R1486" s="9" t="str">
        <f ca="1">IFERROR(__xludf.DUMMYFUNCTION("IFERROR(VALUE(REGEXEXTRACT(TO_TEXT($F1486), R$1 &amp; ""x(\d+)"")), """")"),"")</f>
        <v/>
      </c>
      <c r="S1486" s="9">
        <f ca="1">IFERROR(__xludf.DUMMYFUNCTION("IFERROR(VALUE(REGEXEXTRACT(TO_TEXT($F1486), S$1 &amp; ""x(\d+)"")), """")"),1)</f>
        <v>1</v>
      </c>
      <c r="T1486" s="9" t="str">
        <f ca="1">IFERROR(__xludf.DUMMYFUNCTION("IFERROR(VALUE(REGEXEXTRACT(TO_TEXT($F1486), T$1 &amp; ""x(\d+)"")), """")"),"")</f>
        <v/>
      </c>
      <c r="U1486" s="9" t="str">
        <f ca="1">IFERROR(__xludf.DUMMYFUNCTION("IFERROR(VALUE(REGEXEXTRACT(TO_TEXT($F1486), U$1 &amp; ""x(\d+)"")), """")"),"")</f>
        <v/>
      </c>
      <c r="V1486" s="9" t="str">
        <f ca="1">IFERROR(__xludf.DUMMYFUNCTION("IFERROR(VALUE(REGEXEXTRACT(TO_TEXT($F1486), V$1 &amp; ""x(\d+)"")), """")"),"")</f>
        <v/>
      </c>
      <c r="W1486" s="9"/>
      <c r="X1486" s="9"/>
      <c r="Y1486" s="9"/>
      <c r="Z1486" s="9"/>
    </row>
    <row r="1487" spans="1:26" ht="15.75" customHeight="1">
      <c r="A1487" s="9" t="s">
        <v>2540</v>
      </c>
      <c r="B1487" s="9" t="s">
        <v>2541</v>
      </c>
      <c r="C1487" s="9" t="s">
        <v>2300</v>
      </c>
      <c r="D1487" s="9" t="s">
        <v>40</v>
      </c>
      <c r="E1487" s="9" t="s">
        <v>13</v>
      </c>
      <c r="F1487" s="9" t="s">
        <v>1133</v>
      </c>
      <c r="G1487" s="9">
        <v>30</v>
      </c>
      <c r="H1487" s="9">
        <v>4</v>
      </c>
      <c r="I1487" s="9">
        <v>1.0149999999999999</v>
      </c>
      <c r="J1487" s="9">
        <v>410</v>
      </c>
      <c r="K1487" s="9" t="s">
        <v>442</v>
      </c>
      <c r="L1487" s="9"/>
      <c r="M1487" s="9"/>
      <c r="N1487" s="9" t="str">
        <f ca="1">IFERROR(__xludf.DUMMYFUNCTION("IFERROR(VALUE(REGEXEXTRACT(TO_TEXT($F1487), N$1 &amp; ""x(\d+)"")), """")
"),"")</f>
        <v/>
      </c>
      <c r="O1487" s="9" t="str">
        <f ca="1">IFERROR(__xludf.DUMMYFUNCTION("IFERROR(VALUE(REGEXEXTRACT(TO_TEXT($F1487), O$1 &amp; ""x(\d+)"")), """")"),"")</f>
        <v/>
      </c>
      <c r="P1487" s="9" t="str">
        <f ca="1">IFERROR(__xludf.DUMMYFUNCTION("IFERROR(VALUE(REGEXEXTRACT(TO_TEXT($F1487), P$1 &amp; ""x(\d+)"")), """")"),"")</f>
        <v/>
      </c>
      <c r="Q1487" s="9" t="str">
        <f ca="1">IFERROR(__xludf.DUMMYFUNCTION("IFERROR(VALUE(REGEXEXTRACT(TO_TEXT($F1487), Q$1 &amp; ""x(\d+)"")), """")"),"")</f>
        <v/>
      </c>
      <c r="R1487" s="9" t="str">
        <f ca="1">IFERROR(__xludf.DUMMYFUNCTION("IFERROR(VALUE(REGEXEXTRACT(TO_TEXT($F1487), R$1 &amp; ""x(\d+)"")), """")"),"")</f>
        <v/>
      </c>
      <c r="S1487" s="9">
        <f ca="1">IFERROR(__xludf.DUMMYFUNCTION("IFERROR(VALUE(REGEXEXTRACT(TO_TEXT($F1487), S$1 &amp; ""x(\d+)"")), """")"),1)</f>
        <v>1</v>
      </c>
      <c r="T1487" s="9" t="str">
        <f ca="1">IFERROR(__xludf.DUMMYFUNCTION("IFERROR(VALUE(REGEXEXTRACT(TO_TEXT($F1487), T$1 &amp; ""x(\d+)"")), """")"),"")</f>
        <v/>
      </c>
      <c r="U1487" s="9" t="str">
        <f ca="1">IFERROR(__xludf.DUMMYFUNCTION("IFERROR(VALUE(REGEXEXTRACT(TO_TEXT($F1487), U$1 &amp; ""x(\d+)"")), """")"),"")</f>
        <v/>
      </c>
      <c r="V1487" s="9" t="str">
        <f ca="1">IFERROR(__xludf.DUMMYFUNCTION("IFERROR(VALUE(REGEXEXTRACT(TO_TEXT($F1487), V$1 &amp; ""x(\d+)"")), """")"),"")</f>
        <v/>
      </c>
      <c r="W1487" s="9"/>
      <c r="X1487" s="9"/>
      <c r="Y1487" s="9"/>
      <c r="Z1487" s="9"/>
    </row>
    <row r="1488" spans="1:26" ht="15.75" customHeight="1">
      <c r="A1488" s="9" t="s">
        <v>2542</v>
      </c>
      <c r="B1488" s="9" t="s">
        <v>2543</v>
      </c>
      <c r="C1488" s="9" t="s">
        <v>2320</v>
      </c>
      <c r="D1488" s="9" t="s">
        <v>33</v>
      </c>
      <c r="E1488" s="9" t="s">
        <v>11</v>
      </c>
      <c r="F1488" s="9" t="s">
        <v>1260</v>
      </c>
      <c r="G1488" s="9">
        <v>20</v>
      </c>
      <c r="H1488" s="9">
        <v>2</v>
      </c>
      <c r="I1488" s="9">
        <v>1.0149999999999999</v>
      </c>
      <c r="J1488" s="9">
        <v>110</v>
      </c>
      <c r="K1488" s="9" t="s">
        <v>442</v>
      </c>
      <c r="L1488" s="9"/>
      <c r="M1488" s="9"/>
      <c r="N1488" s="9" t="str">
        <f ca="1">IFERROR(__xludf.DUMMYFUNCTION("IFERROR(VALUE(REGEXEXTRACT(TO_TEXT($F1488), N$1 &amp; ""x(\d+)"")), """")
"),"")</f>
        <v/>
      </c>
      <c r="O1488" s="9" t="str">
        <f ca="1">IFERROR(__xludf.DUMMYFUNCTION("IFERROR(VALUE(REGEXEXTRACT(TO_TEXT($F1488), O$1 &amp; ""x(\d+)"")), """")"),"")</f>
        <v/>
      </c>
      <c r="P1488" s="9" t="str">
        <f ca="1">IFERROR(__xludf.DUMMYFUNCTION("IFERROR(VALUE(REGEXEXTRACT(TO_TEXT($F1488), P$1 &amp; ""x(\d+)"")), """")"),"")</f>
        <v/>
      </c>
      <c r="Q1488" s="9" t="str">
        <f ca="1">IFERROR(__xludf.DUMMYFUNCTION("IFERROR(VALUE(REGEXEXTRACT(TO_TEXT($F1488), Q$1 &amp; ""x(\d+)"")), """")"),"")</f>
        <v/>
      </c>
      <c r="R1488" s="9" t="str">
        <f ca="1">IFERROR(__xludf.DUMMYFUNCTION("IFERROR(VALUE(REGEXEXTRACT(TO_TEXT($F1488), R$1 &amp; ""x(\d+)"")), """")"),"")</f>
        <v/>
      </c>
      <c r="S1488" s="9" t="str">
        <f ca="1">IFERROR(__xludf.DUMMYFUNCTION("IFERROR(VALUE(REGEXEXTRACT(TO_TEXT($F1488), S$1 &amp; ""x(\d+)"")), """")"),"")</f>
        <v/>
      </c>
      <c r="T1488" s="9" t="str">
        <f ca="1">IFERROR(__xludf.DUMMYFUNCTION("IFERROR(VALUE(REGEXEXTRACT(TO_TEXT($F1488), T$1 &amp; ""x(\d+)"")), """")"),"")</f>
        <v/>
      </c>
      <c r="U1488" s="9" t="str">
        <f ca="1">IFERROR(__xludf.DUMMYFUNCTION("IFERROR(VALUE(REGEXEXTRACT(TO_TEXT($F1488), U$1 &amp; ""x(\d+)"")), """")"),"")</f>
        <v/>
      </c>
      <c r="V1488" s="9" t="str">
        <f ca="1">IFERROR(__xludf.DUMMYFUNCTION("IFERROR(VALUE(REGEXEXTRACT(TO_TEXT($F1488), V$1 &amp; ""x(\d+)"")), """")"),"")</f>
        <v/>
      </c>
      <c r="W1488" s="9"/>
      <c r="X1488" s="9"/>
      <c r="Y1488" s="9"/>
      <c r="Z1488" s="9"/>
    </row>
    <row r="1489" spans="1:26" ht="15.75" customHeight="1">
      <c r="A1489" s="9" t="s">
        <v>2542</v>
      </c>
      <c r="B1489" s="9" t="s">
        <v>2543</v>
      </c>
      <c r="C1489" s="9" t="s">
        <v>2320</v>
      </c>
      <c r="D1489" s="9" t="s">
        <v>33</v>
      </c>
      <c r="E1489" s="9" t="s">
        <v>12</v>
      </c>
      <c r="F1489" s="9" t="s">
        <v>2321</v>
      </c>
      <c r="G1489" s="9">
        <v>50</v>
      </c>
      <c r="H1489" s="9">
        <v>2</v>
      </c>
      <c r="I1489" s="9">
        <v>1.0149999999999999</v>
      </c>
      <c r="J1489" s="9">
        <v>110</v>
      </c>
      <c r="K1489" s="9" t="s">
        <v>442</v>
      </c>
      <c r="L1489" s="9"/>
      <c r="M1489" s="9"/>
      <c r="N1489" s="9" t="str">
        <f ca="1">IFERROR(__xludf.DUMMYFUNCTION("IFERROR(VALUE(REGEXEXTRACT(TO_TEXT($F1489), N$1 &amp; ""x(\d+)"")), """")
"),"")</f>
        <v/>
      </c>
      <c r="O1489" s="9">
        <f ca="1">IFERROR(__xludf.DUMMYFUNCTION("IFERROR(VALUE(REGEXEXTRACT(TO_TEXT($F1489), O$1 &amp; ""x(\d+)"")), """")"),1)</f>
        <v>1</v>
      </c>
      <c r="P1489" s="9" t="str">
        <f ca="1">IFERROR(__xludf.DUMMYFUNCTION("IFERROR(VALUE(REGEXEXTRACT(TO_TEXT($F1489), P$1 &amp; ""x(\d+)"")), """")"),"")</f>
        <v/>
      </c>
      <c r="Q1489" s="9" t="str">
        <f ca="1">IFERROR(__xludf.DUMMYFUNCTION("IFERROR(VALUE(REGEXEXTRACT(TO_TEXT($F1489), Q$1 &amp; ""x(\d+)"")), """")"),"")</f>
        <v/>
      </c>
      <c r="R1489" s="9" t="str">
        <f ca="1">IFERROR(__xludf.DUMMYFUNCTION("IFERROR(VALUE(REGEXEXTRACT(TO_TEXT($F1489), R$1 &amp; ""x(\d+)"")), """")"),"")</f>
        <v/>
      </c>
      <c r="S1489" s="9" t="str">
        <f ca="1">IFERROR(__xludf.DUMMYFUNCTION("IFERROR(VALUE(REGEXEXTRACT(TO_TEXT($F1489), S$1 &amp; ""x(\d+)"")), """")"),"")</f>
        <v/>
      </c>
      <c r="T1489" s="9" t="str">
        <f ca="1">IFERROR(__xludf.DUMMYFUNCTION("IFERROR(VALUE(REGEXEXTRACT(TO_TEXT($F1489), T$1 &amp; ""x(\d+)"")), """")"),"")</f>
        <v/>
      </c>
      <c r="U1489" s="9" t="str">
        <f ca="1">IFERROR(__xludf.DUMMYFUNCTION("IFERROR(VALUE(REGEXEXTRACT(TO_TEXT($F1489), U$1 &amp; ""x(\d+)"")), """")"),"")</f>
        <v/>
      </c>
      <c r="V1489" s="9" t="str">
        <f ca="1">IFERROR(__xludf.DUMMYFUNCTION("IFERROR(VALUE(REGEXEXTRACT(TO_TEXT($F1489), V$1 &amp; ""x(\d+)"")), """")"),"")</f>
        <v/>
      </c>
      <c r="W1489" s="9"/>
      <c r="X1489" s="9"/>
      <c r="Y1489" s="9"/>
      <c r="Z1489" s="9"/>
    </row>
    <row r="1490" spans="1:26" ht="15.75" customHeight="1">
      <c r="A1490" s="9" t="s">
        <v>2542</v>
      </c>
      <c r="B1490" s="9" t="s">
        <v>2543</v>
      </c>
      <c r="C1490" s="9" t="s">
        <v>2320</v>
      </c>
      <c r="D1490" s="9" t="s">
        <v>33</v>
      </c>
      <c r="E1490" s="9" t="s">
        <v>13</v>
      </c>
      <c r="F1490" s="9" t="s">
        <v>1369</v>
      </c>
      <c r="G1490" s="9">
        <v>15</v>
      </c>
      <c r="H1490" s="9">
        <v>2</v>
      </c>
      <c r="I1490" s="9">
        <v>1.0149999999999999</v>
      </c>
      <c r="J1490" s="9">
        <v>110</v>
      </c>
      <c r="K1490" s="9" t="s">
        <v>442</v>
      </c>
      <c r="L1490" s="9"/>
      <c r="M1490" s="9"/>
      <c r="N1490" s="9" t="str">
        <f ca="1">IFERROR(__xludf.DUMMYFUNCTION("IFERROR(VALUE(REGEXEXTRACT(TO_TEXT($F1490), N$1 &amp; ""x(\d+)"")), """")
"),"")</f>
        <v/>
      </c>
      <c r="O1490" s="9">
        <f ca="1">IFERROR(__xludf.DUMMYFUNCTION("IFERROR(VALUE(REGEXEXTRACT(TO_TEXT($F1490), O$1 &amp; ""x(\d+)"")), """")"),1)</f>
        <v>1</v>
      </c>
      <c r="P1490" s="9" t="str">
        <f ca="1">IFERROR(__xludf.DUMMYFUNCTION("IFERROR(VALUE(REGEXEXTRACT(TO_TEXT($F1490), P$1 &amp; ""x(\d+)"")), """")"),"")</f>
        <v/>
      </c>
      <c r="Q1490" s="9" t="str">
        <f ca="1">IFERROR(__xludf.DUMMYFUNCTION("IFERROR(VALUE(REGEXEXTRACT(TO_TEXT($F1490), Q$1 &amp; ""x(\d+)"")), """")"),"")</f>
        <v/>
      </c>
      <c r="R1490" s="9" t="str">
        <f ca="1">IFERROR(__xludf.DUMMYFUNCTION("IFERROR(VALUE(REGEXEXTRACT(TO_TEXT($F1490), R$1 &amp; ""x(\d+)"")), """")"),"")</f>
        <v/>
      </c>
      <c r="S1490" s="9" t="str">
        <f ca="1">IFERROR(__xludf.DUMMYFUNCTION("IFERROR(VALUE(REGEXEXTRACT(TO_TEXT($F1490), S$1 &amp; ""x(\d+)"")), """")"),"")</f>
        <v/>
      </c>
      <c r="T1490" s="9" t="str">
        <f ca="1">IFERROR(__xludf.DUMMYFUNCTION("IFERROR(VALUE(REGEXEXTRACT(TO_TEXT($F1490), T$1 &amp; ""x(\d+)"")), """")"),"")</f>
        <v/>
      </c>
      <c r="U1490" s="9" t="str">
        <f ca="1">IFERROR(__xludf.DUMMYFUNCTION("IFERROR(VALUE(REGEXEXTRACT(TO_TEXT($F1490), U$1 &amp; ""x(\d+)"")), """")"),"")</f>
        <v/>
      </c>
      <c r="V1490" s="9" t="str">
        <f ca="1">IFERROR(__xludf.DUMMYFUNCTION("IFERROR(VALUE(REGEXEXTRACT(TO_TEXT($F1490), V$1 &amp; ""x(\d+)"")), """")"),"")</f>
        <v/>
      </c>
      <c r="W1490" s="9"/>
      <c r="X1490" s="9"/>
      <c r="Y1490" s="9"/>
      <c r="Z1490" s="9"/>
    </row>
    <row r="1491" spans="1:26" ht="15.75" customHeight="1">
      <c r="A1491" s="9" t="s">
        <v>2544</v>
      </c>
      <c r="B1491" s="9" t="s">
        <v>2395</v>
      </c>
      <c r="C1491" s="9" t="s">
        <v>2545</v>
      </c>
      <c r="D1491" s="9" t="s">
        <v>33</v>
      </c>
      <c r="E1491" s="9" t="s">
        <v>12</v>
      </c>
      <c r="F1491" s="9" t="s">
        <v>1187</v>
      </c>
      <c r="G1491" s="9">
        <v>80</v>
      </c>
      <c r="H1491" s="9">
        <v>4</v>
      </c>
      <c r="I1491" s="9">
        <v>1.0149999999999999</v>
      </c>
      <c r="J1491" s="9">
        <v>80</v>
      </c>
      <c r="K1491" s="9" t="s">
        <v>442</v>
      </c>
      <c r="L1491" s="9" t="s">
        <v>1243</v>
      </c>
      <c r="M1491" s="9"/>
      <c r="N1491" s="9" t="str">
        <f ca="1">IFERROR(__xludf.DUMMYFUNCTION("IFERROR(VALUE(REGEXEXTRACT(TO_TEXT($F1491), N$1 &amp; ""x(\d+)"")), """")
"),"")</f>
        <v/>
      </c>
      <c r="O1491" s="9">
        <f ca="1">IFERROR(__xludf.DUMMYFUNCTION("IFERROR(VALUE(REGEXEXTRACT(TO_TEXT($F1491), O$1 &amp; ""x(\d+)"")), """")"),1)</f>
        <v>1</v>
      </c>
      <c r="P1491" s="9" t="str">
        <f ca="1">IFERROR(__xludf.DUMMYFUNCTION("IFERROR(VALUE(REGEXEXTRACT(TO_TEXT($F1491), P$1 &amp; ""x(\d+)"")), """")"),"")</f>
        <v/>
      </c>
      <c r="Q1491" s="9" t="str">
        <f ca="1">IFERROR(__xludf.DUMMYFUNCTION("IFERROR(VALUE(REGEXEXTRACT(TO_TEXT($F1491), Q$1 &amp; ""x(\d+)"")), """")"),"")</f>
        <v/>
      </c>
      <c r="R1491" s="9" t="str">
        <f ca="1">IFERROR(__xludf.DUMMYFUNCTION("IFERROR(VALUE(REGEXEXTRACT(TO_TEXT($F1491), R$1 &amp; ""x(\d+)"")), """")"),"")</f>
        <v/>
      </c>
      <c r="S1491" s="9" t="str">
        <f ca="1">IFERROR(__xludf.DUMMYFUNCTION("IFERROR(VALUE(REGEXEXTRACT(TO_TEXT($F1491), S$1 &amp; ""x(\d+)"")), """")"),"")</f>
        <v/>
      </c>
      <c r="T1491" s="9" t="str">
        <f ca="1">IFERROR(__xludf.DUMMYFUNCTION("IFERROR(VALUE(REGEXEXTRACT(TO_TEXT($F1491), T$1 &amp; ""x(\d+)"")), """")"),"")</f>
        <v/>
      </c>
      <c r="U1491" s="9" t="str">
        <f ca="1">IFERROR(__xludf.DUMMYFUNCTION("IFERROR(VALUE(REGEXEXTRACT(TO_TEXT($F1491), U$1 &amp; ""x(\d+)"")), """")"),"")</f>
        <v/>
      </c>
      <c r="V1491" s="9" t="str">
        <f ca="1">IFERROR(__xludf.DUMMYFUNCTION("IFERROR(VALUE(REGEXEXTRACT(TO_TEXT($F1491), V$1 &amp; ""x(\d+)"")), """")"),"")</f>
        <v/>
      </c>
      <c r="W1491" s="9"/>
      <c r="X1491" s="9"/>
      <c r="Y1491" s="9"/>
      <c r="Z1491" s="9"/>
    </row>
    <row r="1492" spans="1:26" ht="15.75" customHeight="1">
      <c r="A1492" s="9" t="s">
        <v>2544</v>
      </c>
      <c r="B1492" s="9" t="s">
        <v>2395</v>
      </c>
      <c r="C1492" s="9" t="s">
        <v>2545</v>
      </c>
      <c r="D1492" s="9" t="s">
        <v>33</v>
      </c>
      <c r="E1492" s="9" t="s">
        <v>13</v>
      </c>
      <c r="F1492" s="9" t="s">
        <v>1058</v>
      </c>
      <c r="G1492" s="9">
        <v>15</v>
      </c>
      <c r="H1492" s="9">
        <v>4</v>
      </c>
      <c r="I1492" s="9">
        <v>1.0149999999999999</v>
      </c>
      <c r="J1492" s="9">
        <v>80</v>
      </c>
      <c r="K1492" s="9" t="s">
        <v>442</v>
      </c>
      <c r="L1492" s="9"/>
      <c r="M1492" s="9"/>
      <c r="N1492" s="9" t="str">
        <f ca="1">IFERROR(__xludf.DUMMYFUNCTION("IFERROR(VALUE(REGEXEXTRACT(TO_TEXT($F1492), N$1 &amp; ""x(\d+)"")), """")
"),"")</f>
        <v/>
      </c>
      <c r="O1492" s="9">
        <f ca="1">IFERROR(__xludf.DUMMYFUNCTION("IFERROR(VALUE(REGEXEXTRACT(TO_TEXT($F1492), O$1 &amp; ""x(\d+)"")), """")"),1)</f>
        <v>1</v>
      </c>
      <c r="P1492" s="9" t="str">
        <f ca="1">IFERROR(__xludf.DUMMYFUNCTION("IFERROR(VALUE(REGEXEXTRACT(TO_TEXT($F1492), P$1 &amp; ""x(\d+)"")), """")"),"")</f>
        <v/>
      </c>
      <c r="Q1492" s="9" t="str">
        <f ca="1">IFERROR(__xludf.DUMMYFUNCTION("IFERROR(VALUE(REGEXEXTRACT(TO_TEXT($F1492), Q$1 &amp; ""x(\d+)"")), """")"),"")</f>
        <v/>
      </c>
      <c r="R1492" s="9" t="str">
        <f ca="1">IFERROR(__xludf.DUMMYFUNCTION("IFERROR(VALUE(REGEXEXTRACT(TO_TEXT($F1492), R$1 &amp; ""x(\d+)"")), """")"),"")</f>
        <v/>
      </c>
      <c r="S1492" s="9" t="str">
        <f ca="1">IFERROR(__xludf.DUMMYFUNCTION("IFERROR(VALUE(REGEXEXTRACT(TO_TEXT($F1492), S$1 &amp; ""x(\d+)"")), """")"),"")</f>
        <v/>
      </c>
      <c r="T1492" s="9" t="str">
        <f ca="1">IFERROR(__xludf.DUMMYFUNCTION("IFERROR(VALUE(REGEXEXTRACT(TO_TEXT($F1492), T$1 &amp; ""x(\d+)"")), """")"),"")</f>
        <v/>
      </c>
      <c r="U1492" s="9" t="str">
        <f ca="1">IFERROR(__xludf.DUMMYFUNCTION("IFERROR(VALUE(REGEXEXTRACT(TO_TEXT($F1492), U$1 &amp; ""x(\d+)"")), """")"),"")</f>
        <v/>
      </c>
      <c r="V1492" s="9" t="str">
        <f ca="1">IFERROR(__xludf.DUMMYFUNCTION("IFERROR(VALUE(REGEXEXTRACT(TO_TEXT($F1492), V$1 &amp; ""x(\d+)"")), """")"),"")</f>
        <v/>
      </c>
      <c r="W1492" s="9"/>
      <c r="X1492" s="9"/>
      <c r="Y1492" s="9"/>
      <c r="Z1492" s="9"/>
    </row>
    <row r="1493" spans="1:26" ht="15.75" customHeight="1">
      <c r="A1493" s="9" t="s">
        <v>2546</v>
      </c>
      <c r="B1493" s="9" t="s">
        <v>2547</v>
      </c>
      <c r="C1493" s="9" t="s">
        <v>2548</v>
      </c>
      <c r="D1493" s="9" t="s">
        <v>33</v>
      </c>
      <c r="E1493" s="9" t="s">
        <v>11</v>
      </c>
      <c r="F1493" s="9" t="s">
        <v>1477</v>
      </c>
      <c r="G1493" s="9">
        <v>20</v>
      </c>
      <c r="H1493" s="9">
        <v>3</v>
      </c>
      <c r="I1493" s="9">
        <v>1.0149999999999999</v>
      </c>
      <c r="J1493" s="9">
        <v>100</v>
      </c>
      <c r="K1493" s="9" t="s">
        <v>442</v>
      </c>
      <c r="L1493" s="9"/>
      <c r="M1493" s="9"/>
      <c r="N1493" s="9" t="str">
        <f ca="1">IFERROR(__xludf.DUMMYFUNCTION("IFERROR(VALUE(REGEXEXTRACT(TO_TEXT($F1493), N$1 &amp; ""x(\d+)"")), """")
"),"")</f>
        <v/>
      </c>
      <c r="O1493" s="9" t="str">
        <f ca="1">IFERROR(__xludf.DUMMYFUNCTION("IFERROR(VALUE(REGEXEXTRACT(TO_TEXT($F1493), O$1 &amp; ""x(\d+)"")), """")"),"")</f>
        <v/>
      </c>
      <c r="P1493" s="9" t="str">
        <f ca="1">IFERROR(__xludf.DUMMYFUNCTION("IFERROR(VALUE(REGEXEXTRACT(TO_TEXT($F1493), P$1 &amp; ""x(\d+)"")), """")"),"")</f>
        <v/>
      </c>
      <c r="Q1493" s="9" t="str">
        <f ca="1">IFERROR(__xludf.DUMMYFUNCTION("IFERROR(VALUE(REGEXEXTRACT(TO_TEXT($F1493), Q$1 &amp; ""x(\d+)"")), """")"),"")</f>
        <v/>
      </c>
      <c r="R1493" s="9" t="str">
        <f ca="1">IFERROR(__xludf.DUMMYFUNCTION("IFERROR(VALUE(REGEXEXTRACT(TO_TEXT($F1493), R$1 &amp; ""x(\d+)"")), """")"),"")</f>
        <v/>
      </c>
      <c r="S1493" s="9" t="str">
        <f ca="1">IFERROR(__xludf.DUMMYFUNCTION("IFERROR(VALUE(REGEXEXTRACT(TO_TEXT($F1493), S$1 &amp; ""x(\d+)"")), """")"),"")</f>
        <v/>
      </c>
      <c r="T1493" s="9" t="str">
        <f ca="1">IFERROR(__xludf.DUMMYFUNCTION("IFERROR(VALUE(REGEXEXTRACT(TO_TEXT($F1493), T$1 &amp; ""x(\d+)"")), """")"),"")</f>
        <v/>
      </c>
      <c r="U1493" s="9" t="str">
        <f ca="1">IFERROR(__xludf.DUMMYFUNCTION("IFERROR(VALUE(REGEXEXTRACT(TO_TEXT($F1493), U$1 &amp; ""x(\d+)"")), """")"),"")</f>
        <v/>
      </c>
      <c r="V1493" s="9" t="str">
        <f ca="1">IFERROR(__xludf.DUMMYFUNCTION("IFERROR(VALUE(REGEXEXTRACT(TO_TEXT($F1493), V$1 &amp; ""x(\d+)"")), """")"),"")</f>
        <v/>
      </c>
      <c r="W1493" s="9"/>
      <c r="X1493" s="9"/>
      <c r="Y1493" s="9"/>
      <c r="Z1493" s="9"/>
    </row>
    <row r="1494" spans="1:26" ht="15.75" customHeight="1">
      <c r="A1494" s="9" t="s">
        <v>2546</v>
      </c>
      <c r="B1494" s="9" t="s">
        <v>2547</v>
      </c>
      <c r="C1494" s="9" t="s">
        <v>2548</v>
      </c>
      <c r="D1494" s="9" t="s">
        <v>33</v>
      </c>
      <c r="E1494" s="9" t="s">
        <v>12</v>
      </c>
      <c r="F1494" s="9" t="s">
        <v>1103</v>
      </c>
      <c r="G1494" s="9">
        <v>110</v>
      </c>
      <c r="H1494" s="9">
        <v>3</v>
      </c>
      <c r="I1494" s="9">
        <v>1.0149999999999999</v>
      </c>
      <c r="J1494" s="9">
        <v>100</v>
      </c>
      <c r="K1494" s="9" t="s">
        <v>442</v>
      </c>
      <c r="L1494" s="9" t="s">
        <v>1169</v>
      </c>
      <c r="M1494" s="9"/>
      <c r="N1494" s="9" t="str">
        <f ca="1">IFERROR(__xludf.DUMMYFUNCTION("IFERROR(VALUE(REGEXEXTRACT(TO_TEXT($F1494), N$1 &amp; ""x(\d+)"")), """")
"),"")</f>
        <v/>
      </c>
      <c r="O1494" s="9">
        <f ca="1">IFERROR(__xludf.DUMMYFUNCTION("IFERROR(VALUE(REGEXEXTRACT(TO_TEXT($F1494), O$1 &amp; ""x(\d+)"")), """")"),1)</f>
        <v>1</v>
      </c>
      <c r="P1494" s="9" t="str">
        <f ca="1">IFERROR(__xludf.DUMMYFUNCTION("IFERROR(VALUE(REGEXEXTRACT(TO_TEXT($F1494), P$1 &amp; ""x(\d+)"")), """")"),"")</f>
        <v/>
      </c>
      <c r="Q1494" s="9" t="str">
        <f ca="1">IFERROR(__xludf.DUMMYFUNCTION("IFERROR(VALUE(REGEXEXTRACT(TO_TEXT($F1494), Q$1 &amp; ""x(\d+)"")), """")"),"")</f>
        <v/>
      </c>
      <c r="R1494" s="9" t="str">
        <f ca="1">IFERROR(__xludf.DUMMYFUNCTION("IFERROR(VALUE(REGEXEXTRACT(TO_TEXT($F1494), R$1 &amp; ""x(\d+)"")), """")"),"")</f>
        <v/>
      </c>
      <c r="S1494" s="9" t="str">
        <f ca="1">IFERROR(__xludf.DUMMYFUNCTION("IFERROR(VALUE(REGEXEXTRACT(TO_TEXT($F1494), S$1 &amp; ""x(\d+)"")), """")"),"")</f>
        <v/>
      </c>
      <c r="T1494" s="9" t="str">
        <f ca="1">IFERROR(__xludf.DUMMYFUNCTION("IFERROR(VALUE(REGEXEXTRACT(TO_TEXT($F1494), T$1 &amp; ""x(\d+)"")), """")"),"")</f>
        <v/>
      </c>
      <c r="U1494" s="9" t="str">
        <f ca="1">IFERROR(__xludf.DUMMYFUNCTION("IFERROR(VALUE(REGEXEXTRACT(TO_TEXT($F1494), U$1 &amp; ""x(\d+)"")), """")"),"")</f>
        <v/>
      </c>
      <c r="V1494" s="9" t="str">
        <f ca="1">IFERROR(__xludf.DUMMYFUNCTION("IFERROR(VALUE(REGEXEXTRACT(TO_TEXT($F1494), V$1 &amp; ""x(\d+)"")), """")"),"")</f>
        <v/>
      </c>
      <c r="W1494" s="9"/>
      <c r="X1494" s="9"/>
      <c r="Y1494" s="9"/>
      <c r="Z1494" s="9"/>
    </row>
    <row r="1495" spans="1:26" ht="15.75" customHeight="1">
      <c r="A1495" s="9" t="s">
        <v>2546</v>
      </c>
      <c r="B1495" s="9" t="s">
        <v>2547</v>
      </c>
      <c r="C1495" s="9" t="s">
        <v>2548</v>
      </c>
      <c r="D1495" s="9" t="s">
        <v>33</v>
      </c>
      <c r="E1495" s="9" t="s">
        <v>13</v>
      </c>
      <c r="F1495" s="9" t="s">
        <v>1071</v>
      </c>
      <c r="G1495" s="9">
        <v>15</v>
      </c>
      <c r="H1495" s="9">
        <v>3</v>
      </c>
      <c r="I1495" s="9">
        <v>1.0149999999999999</v>
      </c>
      <c r="J1495" s="9">
        <v>100</v>
      </c>
      <c r="K1495" s="9" t="s">
        <v>442</v>
      </c>
      <c r="L1495" s="9"/>
      <c r="M1495" s="9"/>
      <c r="N1495" s="9" t="str">
        <f ca="1">IFERROR(__xludf.DUMMYFUNCTION("IFERROR(VALUE(REGEXEXTRACT(TO_TEXT($F1495), N$1 &amp; ""x(\d+)"")), """")
"),"")</f>
        <v/>
      </c>
      <c r="O1495" s="9">
        <f ca="1">IFERROR(__xludf.DUMMYFUNCTION("IFERROR(VALUE(REGEXEXTRACT(TO_TEXT($F1495), O$1 &amp; ""x(\d+)"")), """")"),1)</f>
        <v>1</v>
      </c>
      <c r="P1495" s="9" t="str">
        <f ca="1">IFERROR(__xludf.DUMMYFUNCTION("IFERROR(VALUE(REGEXEXTRACT(TO_TEXT($F1495), P$1 &amp; ""x(\d+)"")), """")"),"")</f>
        <v/>
      </c>
      <c r="Q1495" s="9" t="str">
        <f ca="1">IFERROR(__xludf.DUMMYFUNCTION("IFERROR(VALUE(REGEXEXTRACT(TO_TEXT($F1495), Q$1 &amp; ""x(\d+)"")), """")"),"")</f>
        <v/>
      </c>
      <c r="R1495" s="9" t="str">
        <f ca="1">IFERROR(__xludf.DUMMYFUNCTION("IFERROR(VALUE(REGEXEXTRACT(TO_TEXT($F1495), R$1 &amp; ""x(\d+)"")), """")"),"")</f>
        <v/>
      </c>
      <c r="S1495" s="9" t="str">
        <f ca="1">IFERROR(__xludf.DUMMYFUNCTION("IFERROR(VALUE(REGEXEXTRACT(TO_TEXT($F1495), S$1 &amp; ""x(\d+)"")), """")"),"")</f>
        <v/>
      </c>
      <c r="T1495" s="9" t="str">
        <f ca="1">IFERROR(__xludf.DUMMYFUNCTION("IFERROR(VALUE(REGEXEXTRACT(TO_TEXT($F1495), T$1 &amp; ""x(\d+)"")), """")"),"")</f>
        <v/>
      </c>
      <c r="U1495" s="9" t="str">
        <f ca="1">IFERROR(__xludf.DUMMYFUNCTION("IFERROR(VALUE(REGEXEXTRACT(TO_TEXT($F1495), U$1 &amp; ""x(\d+)"")), """")"),"")</f>
        <v/>
      </c>
      <c r="V1495" s="9" t="str">
        <f ca="1">IFERROR(__xludf.DUMMYFUNCTION("IFERROR(VALUE(REGEXEXTRACT(TO_TEXT($F1495), V$1 &amp; ""x(\d+)"")), """")"),"")</f>
        <v/>
      </c>
      <c r="W1495" s="9"/>
      <c r="X1495" s="9"/>
      <c r="Y1495" s="9"/>
      <c r="Z1495" s="9"/>
    </row>
    <row r="1496" spans="1:26" ht="15.75" customHeight="1">
      <c r="A1496" s="9" t="s">
        <v>2549</v>
      </c>
      <c r="B1496" s="9" t="s">
        <v>2550</v>
      </c>
      <c r="C1496" s="9" t="s">
        <v>2551</v>
      </c>
      <c r="D1496" s="9" t="s">
        <v>33</v>
      </c>
      <c r="E1496" s="9" t="s">
        <v>11</v>
      </c>
      <c r="F1496" s="9" t="s">
        <v>1473</v>
      </c>
      <c r="G1496" s="9">
        <v>20</v>
      </c>
      <c r="H1496" s="9">
        <v>4</v>
      </c>
      <c r="I1496" s="9">
        <v>1.0149999999999999</v>
      </c>
      <c r="J1496" s="9">
        <v>100</v>
      </c>
      <c r="K1496" s="9" t="s">
        <v>442</v>
      </c>
      <c r="L1496" s="9"/>
      <c r="M1496" s="9"/>
      <c r="N1496" s="9" t="str">
        <f ca="1">IFERROR(__xludf.DUMMYFUNCTION("IFERROR(VALUE(REGEXEXTRACT(TO_TEXT($F1496), N$1 &amp; ""x(\d+)"")), """")
"),"")</f>
        <v/>
      </c>
      <c r="O1496" s="9" t="str">
        <f ca="1">IFERROR(__xludf.DUMMYFUNCTION("IFERROR(VALUE(REGEXEXTRACT(TO_TEXT($F1496), O$1 &amp; ""x(\d+)"")), """")"),"")</f>
        <v/>
      </c>
      <c r="P1496" s="9" t="str">
        <f ca="1">IFERROR(__xludf.DUMMYFUNCTION("IFERROR(VALUE(REGEXEXTRACT(TO_TEXT($F1496), P$1 &amp; ""x(\d+)"")), """")"),"")</f>
        <v/>
      </c>
      <c r="Q1496" s="9" t="str">
        <f ca="1">IFERROR(__xludf.DUMMYFUNCTION("IFERROR(VALUE(REGEXEXTRACT(TO_TEXT($F1496), Q$1 &amp; ""x(\d+)"")), """")"),"")</f>
        <v/>
      </c>
      <c r="R1496" s="9" t="str">
        <f ca="1">IFERROR(__xludf.DUMMYFUNCTION("IFERROR(VALUE(REGEXEXTRACT(TO_TEXT($F1496), R$1 &amp; ""x(\d+)"")), """")"),"")</f>
        <v/>
      </c>
      <c r="S1496" s="9" t="str">
        <f ca="1">IFERROR(__xludf.DUMMYFUNCTION("IFERROR(VALUE(REGEXEXTRACT(TO_TEXT($F1496), S$1 &amp; ""x(\d+)"")), """")"),"")</f>
        <v/>
      </c>
      <c r="T1496" s="9" t="str">
        <f ca="1">IFERROR(__xludf.DUMMYFUNCTION("IFERROR(VALUE(REGEXEXTRACT(TO_TEXT($F1496), T$1 &amp; ""x(\d+)"")), """")"),"")</f>
        <v/>
      </c>
      <c r="U1496" s="9" t="str">
        <f ca="1">IFERROR(__xludf.DUMMYFUNCTION("IFERROR(VALUE(REGEXEXTRACT(TO_TEXT($F1496), U$1 &amp; ""x(\d+)"")), """")"),"")</f>
        <v/>
      </c>
      <c r="V1496" s="9" t="str">
        <f ca="1">IFERROR(__xludf.DUMMYFUNCTION("IFERROR(VALUE(REGEXEXTRACT(TO_TEXT($F1496), V$1 &amp; ""x(\d+)"")), """")"),"")</f>
        <v/>
      </c>
      <c r="W1496" s="9"/>
      <c r="X1496" s="9"/>
      <c r="Y1496" s="9"/>
      <c r="Z1496" s="9"/>
    </row>
    <row r="1497" spans="1:26" ht="15.75" customHeight="1">
      <c r="A1497" s="9" t="s">
        <v>2549</v>
      </c>
      <c r="B1497" s="9" t="s">
        <v>2550</v>
      </c>
      <c r="C1497" s="9" t="s">
        <v>2551</v>
      </c>
      <c r="D1497" s="9" t="s">
        <v>33</v>
      </c>
      <c r="E1497" s="9" t="s">
        <v>12</v>
      </c>
      <c r="F1497" s="9" t="s">
        <v>1280</v>
      </c>
      <c r="G1497" s="9">
        <v>90</v>
      </c>
      <c r="H1497" s="9">
        <v>4</v>
      </c>
      <c r="I1497" s="9">
        <v>1.0149999999999999</v>
      </c>
      <c r="J1497" s="9">
        <v>100</v>
      </c>
      <c r="K1497" s="9" t="s">
        <v>442</v>
      </c>
      <c r="L1497" s="9"/>
      <c r="M1497" s="9"/>
      <c r="N1497" s="9" t="str">
        <f ca="1">IFERROR(__xludf.DUMMYFUNCTION("IFERROR(VALUE(REGEXEXTRACT(TO_TEXT($F1497), N$1 &amp; ""x(\d+)"")), """")
"),"")</f>
        <v/>
      </c>
      <c r="O1497" s="9">
        <f ca="1">IFERROR(__xludf.DUMMYFUNCTION("IFERROR(VALUE(REGEXEXTRACT(TO_TEXT($F1497), O$1 &amp; ""x(\d+)"")), """")"),1)</f>
        <v>1</v>
      </c>
      <c r="P1497" s="9" t="str">
        <f ca="1">IFERROR(__xludf.DUMMYFUNCTION("IFERROR(VALUE(REGEXEXTRACT(TO_TEXT($F1497), P$1 &amp; ""x(\d+)"")), """")"),"")</f>
        <v/>
      </c>
      <c r="Q1497" s="9" t="str">
        <f ca="1">IFERROR(__xludf.DUMMYFUNCTION("IFERROR(VALUE(REGEXEXTRACT(TO_TEXT($F1497), Q$1 &amp; ""x(\d+)"")), """")"),"")</f>
        <v/>
      </c>
      <c r="R1497" s="9" t="str">
        <f ca="1">IFERROR(__xludf.DUMMYFUNCTION("IFERROR(VALUE(REGEXEXTRACT(TO_TEXT($F1497), R$1 &amp; ""x(\d+)"")), """")"),"")</f>
        <v/>
      </c>
      <c r="S1497" s="9" t="str">
        <f ca="1">IFERROR(__xludf.DUMMYFUNCTION("IFERROR(VALUE(REGEXEXTRACT(TO_TEXT($F1497), S$1 &amp; ""x(\d+)"")), """")"),"")</f>
        <v/>
      </c>
      <c r="T1497" s="9" t="str">
        <f ca="1">IFERROR(__xludf.DUMMYFUNCTION("IFERROR(VALUE(REGEXEXTRACT(TO_TEXT($F1497), T$1 &amp; ""x(\d+)"")), """")"),"")</f>
        <v/>
      </c>
      <c r="U1497" s="9" t="str">
        <f ca="1">IFERROR(__xludf.DUMMYFUNCTION("IFERROR(VALUE(REGEXEXTRACT(TO_TEXT($F1497), U$1 &amp; ""x(\d+)"")), """")"),"")</f>
        <v/>
      </c>
      <c r="V1497" s="9" t="str">
        <f ca="1">IFERROR(__xludf.DUMMYFUNCTION("IFERROR(VALUE(REGEXEXTRACT(TO_TEXT($F1497), V$1 &amp; ""x(\d+)"")), """")"),"")</f>
        <v/>
      </c>
      <c r="W1497" s="9"/>
      <c r="X1497" s="9"/>
      <c r="Y1497" s="9"/>
      <c r="Z1497" s="9"/>
    </row>
    <row r="1498" spans="1:26" ht="15.75" customHeight="1">
      <c r="A1498" s="9" t="s">
        <v>2549</v>
      </c>
      <c r="B1498" s="9" t="s">
        <v>2550</v>
      </c>
      <c r="C1498" s="9" t="s">
        <v>2551</v>
      </c>
      <c r="D1498" s="9" t="s">
        <v>33</v>
      </c>
      <c r="E1498" s="9" t="s">
        <v>13</v>
      </c>
      <c r="F1498" s="9" t="s">
        <v>2552</v>
      </c>
      <c r="G1498" s="9">
        <v>15</v>
      </c>
      <c r="H1498" s="9">
        <v>4</v>
      </c>
      <c r="I1498" s="9">
        <v>1.0149999999999999</v>
      </c>
      <c r="J1498" s="9">
        <v>100</v>
      </c>
      <c r="K1498" s="9" t="s">
        <v>442</v>
      </c>
      <c r="L1498" s="9"/>
      <c r="M1498" s="9"/>
      <c r="N1498" s="9" t="str">
        <f ca="1">IFERROR(__xludf.DUMMYFUNCTION("IFERROR(VALUE(REGEXEXTRACT(TO_TEXT($F1498), N$1 &amp; ""x(\d+)"")), """")
"),"")</f>
        <v/>
      </c>
      <c r="O1498" s="9" t="str">
        <f ca="1">IFERROR(__xludf.DUMMYFUNCTION("IFERROR(VALUE(REGEXEXTRACT(TO_TEXT($F1498), O$1 &amp; ""x(\d+)"")), """")"),"")</f>
        <v/>
      </c>
      <c r="P1498" s="9" t="str">
        <f ca="1">IFERROR(__xludf.DUMMYFUNCTION("IFERROR(VALUE(REGEXEXTRACT(TO_TEXT($F1498), P$1 &amp; ""x(\d+)"")), """")"),"")</f>
        <v/>
      </c>
      <c r="Q1498" s="9" t="str">
        <f ca="1">IFERROR(__xludf.DUMMYFUNCTION("IFERROR(VALUE(REGEXEXTRACT(TO_TEXT($F1498), Q$1 &amp; ""x(\d+)"")), """")"),"")</f>
        <v/>
      </c>
      <c r="R1498" s="9" t="str">
        <f ca="1">IFERROR(__xludf.DUMMYFUNCTION("IFERROR(VALUE(REGEXEXTRACT(TO_TEXT($F1498), R$1 &amp; ""x(\d+)"")), """")"),"")</f>
        <v/>
      </c>
      <c r="S1498" s="9" t="str">
        <f ca="1">IFERROR(__xludf.DUMMYFUNCTION("IFERROR(VALUE(REGEXEXTRACT(TO_TEXT($F1498), S$1 &amp; ""x(\d+)"")), """")"),"")</f>
        <v/>
      </c>
      <c r="T1498" s="9" t="str">
        <f ca="1">IFERROR(__xludf.DUMMYFUNCTION("IFERROR(VALUE(REGEXEXTRACT(TO_TEXT($F1498), T$1 &amp; ""x(\d+)"")), """")"),"")</f>
        <v/>
      </c>
      <c r="U1498" s="9" t="str">
        <f ca="1">IFERROR(__xludf.DUMMYFUNCTION("IFERROR(VALUE(REGEXEXTRACT(TO_TEXT($F1498), U$1 &amp; ""x(\d+)"")), """")"),"")</f>
        <v/>
      </c>
      <c r="V1498" s="9" t="str">
        <f ca="1">IFERROR(__xludf.DUMMYFUNCTION("IFERROR(VALUE(REGEXEXTRACT(TO_TEXT($F1498), V$1 &amp; ""x(\d+)"")), """")"),"")</f>
        <v/>
      </c>
      <c r="W1498" s="9"/>
      <c r="X1498" s="9"/>
      <c r="Y1498" s="9"/>
      <c r="Z1498" s="9"/>
    </row>
    <row r="1499" spans="1:26" ht="15.75" customHeight="1">
      <c r="A1499" s="9" t="s">
        <v>2553</v>
      </c>
      <c r="B1499" s="9" t="s">
        <v>2554</v>
      </c>
      <c r="C1499" s="9" t="s">
        <v>2555</v>
      </c>
      <c r="D1499" s="9" t="s">
        <v>33</v>
      </c>
      <c r="E1499" s="9" t="s">
        <v>11</v>
      </c>
      <c r="F1499" s="9" t="s">
        <v>1473</v>
      </c>
      <c r="G1499" s="9">
        <v>20</v>
      </c>
      <c r="H1499" s="9">
        <v>4</v>
      </c>
      <c r="I1499" s="9">
        <v>1.0149999999999999</v>
      </c>
      <c r="J1499" s="9">
        <v>100</v>
      </c>
      <c r="K1499" s="9" t="s">
        <v>442</v>
      </c>
      <c r="L1499" s="9"/>
      <c r="M1499" s="9"/>
      <c r="N1499" s="9" t="str">
        <f ca="1">IFERROR(__xludf.DUMMYFUNCTION("IFERROR(VALUE(REGEXEXTRACT(TO_TEXT($F1499), N$1 &amp; ""x(\d+)"")), """")
"),"")</f>
        <v/>
      </c>
      <c r="O1499" s="9" t="str">
        <f ca="1">IFERROR(__xludf.DUMMYFUNCTION("IFERROR(VALUE(REGEXEXTRACT(TO_TEXT($F1499), O$1 &amp; ""x(\d+)"")), """")"),"")</f>
        <v/>
      </c>
      <c r="P1499" s="9" t="str">
        <f ca="1">IFERROR(__xludf.DUMMYFUNCTION("IFERROR(VALUE(REGEXEXTRACT(TO_TEXT($F1499), P$1 &amp; ""x(\d+)"")), """")"),"")</f>
        <v/>
      </c>
      <c r="Q1499" s="9" t="str">
        <f ca="1">IFERROR(__xludf.DUMMYFUNCTION("IFERROR(VALUE(REGEXEXTRACT(TO_TEXT($F1499), Q$1 &amp; ""x(\d+)"")), """")"),"")</f>
        <v/>
      </c>
      <c r="R1499" s="9" t="str">
        <f ca="1">IFERROR(__xludf.DUMMYFUNCTION("IFERROR(VALUE(REGEXEXTRACT(TO_TEXT($F1499), R$1 &amp; ""x(\d+)"")), """")"),"")</f>
        <v/>
      </c>
      <c r="S1499" s="9" t="str">
        <f ca="1">IFERROR(__xludf.DUMMYFUNCTION("IFERROR(VALUE(REGEXEXTRACT(TO_TEXT($F1499), S$1 &amp; ""x(\d+)"")), """")"),"")</f>
        <v/>
      </c>
      <c r="T1499" s="9" t="str">
        <f ca="1">IFERROR(__xludf.DUMMYFUNCTION("IFERROR(VALUE(REGEXEXTRACT(TO_TEXT($F1499), T$1 &amp; ""x(\d+)"")), """")"),"")</f>
        <v/>
      </c>
      <c r="U1499" s="9" t="str">
        <f ca="1">IFERROR(__xludf.DUMMYFUNCTION("IFERROR(VALUE(REGEXEXTRACT(TO_TEXT($F1499), U$1 &amp; ""x(\d+)"")), """")"),"")</f>
        <v/>
      </c>
      <c r="V1499" s="9" t="str">
        <f ca="1">IFERROR(__xludf.DUMMYFUNCTION("IFERROR(VALUE(REGEXEXTRACT(TO_TEXT($F1499), V$1 &amp; ""x(\d+)"")), """")"),"")</f>
        <v/>
      </c>
      <c r="W1499" s="9"/>
      <c r="X1499" s="9"/>
      <c r="Y1499" s="9"/>
      <c r="Z1499" s="9"/>
    </row>
    <row r="1500" spans="1:26" ht="15.75" customHeight="1">
      <c r="A1500" s="9" t="s">
        <v>2553</v>
      </c>
      <c r="B1500" s="9" t="s">
        <v>2554</v>
      </c>
      <c r="C1500" s="9" t="s">
        <v>2555</v>
      </c>
      <c r="D1500" s="9" t="s">
        <v>33</v>
      </c>
      <c r="E1500" s="9" t="s">
        <v>12</v>
      </c>
      <c r="F1500" s="9" t="s">
        <v>1280</v>
      </c>
      <c r="G1500" s="9">
        <v>90</v>
      </c>
      <c r="H1500" s="9">
        <v>4</v>
      </c>
      <c r="I1500" s="9">
        <v>1.0149999999999999</v>
      </c>
      <c r="J1500" s="9">
        <v>100</v>
      </c>
      <c r="K1500" s="9" t="s">
        <v>442</v>
      </c>
      <c r="L1500" s="9"/>
      <c r="M1500" s="9"/>
      <c r="N1500" s="9" t="str">
        <f ca="1">IFERROR(__xludf.DUMMYFUNCTION("IFERROR(VALUE(REGEXEXTRACT(TO_TEXT($F1500), N$1 &amp; ""x(\d+)"")), """")
"),"")</f>
        <v/>
      </c>
      <c r="O1500" s="9">
        <f ca="1">IFERROR(__xludf.DUMMYFUNCTION("IFERROR(VALUE(REGEXEXTRACT(TO_TEXT($F1500), O$1 &amp; ""x(\d+)"")), """")"),1)</f>
        <v>1</v>
      </c>
      <c r="P1500" s="9" t="str">
        <f ca="1">IFERROR(__xludf.DUMMYFUNCTION("IFERROR(VALUE(REGEXEXTRACT(TO_TEXT($F1500), P$1 &amp; ""x(\d+)"")), """")"),"")</f>
        <v/>
      </c>
      <c r="Q1500" s="9" t="str">
        <f ca="1">IFERROR(__xludf.DUMMYFUNCTION("IFERROR(VALUE(REGEXEXTRACT(TO_TEXT($F1500), Q$1 &amp; ""x(\d+)"")), """")"),"")</f>
        <v/>
      </c>
      <c r="R1500" s="9" t="str">
        <f ca="1">IFERROR(__xludf.DUMMYFUNCTION("IFERROR(VALUE(REGEXEXTRACT(TO_TEXT($F1500), R$1 &amp; ""x(\d+)"")), """")"),"")</f>
        <v/>
      </c>
      <c r="S1500" s="9" t="str">
        <f ca="1">IFERROR(__xludf.DUMMYFUNCTION("IFERROR(VALUE(REGEXEXTRACT(TO_TEXT($F1500), S$1 &amp; ""x(\d+)"")), """")"),"")</f>
        <v/>
      </c>
      <c r="T1500" s="9" t="str">
        <f ca="1">IFERROR(__xludf.DUMMYFUNCTION("IFERROR(VALUE(REGEXEXTRACT(TO_TEXT($F1500), T$1 &amp; ""x(\d+)"")), """")"),"")</f>
        <v/>
      </c>
      <c r="U1500" s="9" t="str">
        <f ca="1">IFERROR(__xludf.DUMMYFUNCTION("IFERROR(VALUE(REGEXEXTRACT(TO_TEXT($F1500), U$1 &amp; ""x(\d+)"")), """")"),"")</f>
        <v/>
      </c>
      <c r="V1500" s="9" t="str">
        <f ca="1">IFERROR(__xludf.DUMMYFUNCTION("IFERROR(VALUE(REGEXEXTRACT(TO_TEXT($F1500), V$1 &amp; ""x(\d+)"")), """")"),"")</f>
        <v/>
      </c>
      <c r="W1500" s="9"/>
      <c r="X1500" s="9"/>
      <c r="Y1500" s="9"/>
      <c r="Z1500" s="9"/>
    </row>
    <row r="1501" spans="1:26" ht="15.75" customHeight="1">
      <c r="A1501" s="9" t="s">
        <v>2553</v>
      </c>
      <c r="B1501" s="9" t="s">
        <v>2554</v>
      </c>
      <c r="C1501" s="9" t="s">
        <v>2555</v>
      </c>
      <c r="D1501" s="9" t="s">
        <v>33</v>
      </c>
      <c r="E1501" s="9" t="s">
        <v>13</v>
      </c>
      <c r="F1501" s="9" t="s">
        <v>2552</v>
      </c>
      <c r="G1501" s="9">
        <v>15</v>
      </c>
      <c r="H1501" s="9">
        <v>4</v>
      </c>
      <c r="I1501" s="9">
        <v>1.0149999999999999</v>
      </c>
      <c r="J1501" s="9">
        <v>100</v>
      </c>
      <c r="K1501" s="9" t="s">
        <v>442</v>
      </c>
      <c r="L1501" s="9"/>
      <c r="M1501" s="9"/>
      <c r="N1501" s="9" t="str">
        <f ca="1">IFERROR(__xludf.DUMMYFUNCTION("IFERROR(VALUE(REGEXEXTRACT(TO_TEXT($F1501), N$1 &amp; ""x(\d+)"")), """")
"),"")</f>
        <v/>
      </c>
      <c r="O1501" s="9" t="str">
        <f ca="1">IFERROR(__xludf.DUMMYFUNCTION("IFERROR(VALUE(REGEXEXTRACT(TO_TEXT($F1501), O$1 &amp; ""x(\d+)"")), """")"),"")</f>
        <v/>
      </c>
      <c r="P1501" s="9" t="str">
        <f ca="1">IFERROR(__xludf.DUMMYFUNCTION("IFERROR(VALUE(REGEXEXTRACT(TO_TEXT($F1501), P$1 &amp; ""x(\d+)"")), """")"),"")</f>
        <v/>
      </c>
      <c r="Q1501" s="9" t="str">
        <f ca="1">IFERROR(__xludf.DUMMYFUNCTION("IFERROR(VALUE(REGEXEXTRACT(TO_TEXT($F1501), Q$1 &amp; ""x(\d+)"")), """")"),"")</f>
        <v/>
      </c>
      <c r="R1501" s="9" t="str">
        <f ca="1">IFERROR(__xludf.DUMMYFUNCTION("IFERROR(VALUE(REGEXEXTRACT(TO_TEXT($F1501), R$1 &amp; ""x(\d+)"")), """")"),"")</f>
        <v/>
      </c>
      <c r="S1501" s="9" t="str">
        <f ca="1">IFERROR(__xludf.DUMMYFUNCTION("IFERROR(VALUE(REGEXEXTRACT(TO_TEXT($F1501), S$1 &amp; ""x(\d+)"")), """")"),"")</f>
        <v/>
      </c>
      <c r="T1501" s="9" t="str">
        <f ca="1">IFERROR(__xludf.DUMMYFUNCTION("IFERROR(VALUE(REGEXEXTRACT(TO_TEXT($F1501), T$1 &amp; ""x(\d+)"")), """")"),"")</f>
        <v/>
      </c>
      <c r="U1501" s="9" t="str">
        <f ca="1">IFERROR(__xludf.DUMMYFUNCTION("IFERROR(VALUE(REGEXEXTRACT(TO_TEXT($F1501), U$1 &amp; ""x(\d+)"")), """")"),"")</f>
        <v/>
      </c>
      <c r="V1501" s="9" t="str">
        <f ca="1">IFERROR(__xludf.DUMMYFUNCTION("IFERROR(VALUE(REGEXEXTRACT(TO_TEXT($F1501), V$1 &amp; ""x(\d+)"")), """")"),"")</f>
        <v/>
      </c>
      <c r="W1501" s="9"/>
      <c r="X1501" s="9"/>
      <c r="Y1501" s="9"/>
      <c r="Z1501" s="9"/>
    </row>
    <row r="1502" spans="1:26" ht="15.75" customHeight="1">
      <c r="A1502" s="9" t="s">
        <v>2556</v>
      </c>
      <c r="B1502" s="9" t="s">
        <v>2554</v>
      </c>
      <c r="C1502" s="9" t="s">
        <v>2557</v>
      </c>
      <c r="D1502" s="9" t="s">
        <v>33</v>
      </c>
      <c r="E1502" s="9" t="s">
        <v>11</v>
      </c>
      <c r="F1502" s="9" t="s">
        <v>1473</v>
      </c>
      <c r="G1502" s="9">
        <v>20</v>
      </c>
      <c r="H1502" s="9">
        <v>4</v>
      </c>
      <c r="I1502" s="9">
        <v>1.0149999999999999</v>
      </c>
      <c r="J1502" s="9">
        <v>100</v>
      </c>
      <c r="K1502" s="9" t="s">
        <v>442</v>
      </c>
      <c r="L1502" s="9"/>
      <c r="M1502" s="9"/>
      <c r="N1502" s="9" t="str">
        <f ca="1">IFERROR(__xludf.DUMMYFUNCTION("IFERROR(VALUE(REGEXEXTRACT(TO_TEXT($F1502), N$1 &amp; ""x(\d+)"")), """")
"),"")</f>
        <v/>
      </c>
      <c r="O1502" s="9" t="str">
        <f ca="1">IFERROR(__xludf.DUMMYFUNCTION("IFERROR(VALUE(REGEXEXTRACT(TO_TEXT($F1502), O$1 &amp; ""x(\d+)"")), """")"),"")</f>
        <v/>
      </c>
      <c r="P1502" s="9" t="str">
        <f ca="1">IFERROR(__xludf.DUMMYFUNCTION("IFERROR(VALUE(REGEXEXTRACT(TO_TEXT($F1502), P$1 &amp; ""x(\d+)"")), """")"),"")</f>
        <v/>
      </c>
      <c r="Q1502" s="9" t="str">
        <f ca="1">IFERROR(__xludf.DUMMYFUNCTION("IFERROR(VALUE(REGEXEXTRACT(TO_TEXT($F1502), Q$1 &amp; ""x(\d+)"")), """")"),"")</f>
        <v/>
      </c>
      <c r="R1502" s="9" t="str">
        <f ca="1">IFERROR(__xludf.DUMMYFUNCTION("IFERROR(VALUE(REGEXEXTRACT(TO_TEXT($F1502), R$1 &amp; ""x(\d+)"")), """")"),"")</f>
        <v/>
      </c>
      <c r="S1502" s="9" t="str">
        <f ca="1">IFERROR(__xludf.DUMMYFUNCTION("IFERROR(VALUE(REGEXEXTRACT(TO_TEXT($F1502), S$1 &amp; ""x(\d+)"")), """")"),"")</f>
        <v/>
      </c>
      <c r="T1502" s="9" t="str">
        <f ca="1">IFERROR(__xludf.DUMMYFUNCTION("IFERROR(VALUE(REGEXEXTRACT(TO_TEXT($F1502), T$1 &amp; ""x(\d+)"")), """")"),"")</f>
        <v/>
      </c>
      <c r="U1502" s="9" t="str">
        <f ca="1">IFERROR(__xludf.DUMMYFUNCTION("IFERROR(VALUE(REGEXEXTRACT(TO_TEXT($F1502), U$1 &amp; ""x(\d+)"")), """")"),"")</f>
        <v/>
      </c>
      <c r="V1502" s="9" t="str">
        <f ca="1">IFERROR(__xludf.DUMMYFUNCTION("IFERROR(VALUE(REGEXEXTRACT(TO_TEXT($F1502), V$1 &amp; ""x(\d+)"")), """")"),"")</f>
        <v/>
      </c>
      <c r="W1502" s="9"/>
      <c r="X1502" s="9"/>
      <c r="Y1502" s="9"/>
      <c r="Z1502" s="9"/>
    </row>
    <row r="1503" spans="1:26" ht="15.75" customHeight="1">
      <c r="A1503" s="9" t="s">
        <v>2556</v>
      </c>
      <c r="B1503" s="9" t="s">
        <v>2554</v>
      </c>
      <c r="C1503" s="9" t="s">
        <v>2557</v>
      </c>
      <c r="D1503" s="9" t="s">
        <v>33</v>
      </c>
      <c r="E1503" s="9" t="s">
        <v>12</v>
      </c>
      <c r="F1503" s="9" t="s">
        <v>1280</v>
      </c>
      <c r="G1503" s="9">
        <v>90</v>
      </c>
      <c r="H1503" s="9">
        <v>4</v>
      </c>
      <c r="I1503" s="9">
        <v>1.0149999999999999</v>
      </c>
      <c r="J1503" s="9">
        <v>100</v>
      </c>
      <c r="K1503" s="9" t="s">
        <v>442</v>
      </c>
      <c r="L1503" s="9"/>
      <c r="M1503" s="9"/>
      <c r="N1503" s="9" t="str">
        <f ca="1">IFERROR(__xludf.DUMMYFUNCTION("IFERROR(VALUE(REGEXEXTRACT(TO_TEXT($F1503), N$1 &amp; ""x(\d+)"")), """")
"),"")</f>
        <v/>
      </c>
      <c r="O1503" s="9">
        <f ca="1">IFERROR(__xludf.DUMMYFUNCTION("IFERROR(VALUE(REGEXEXTRACT(TO_TEXT($F1503), O$1 &amp; ""x(\d+)"")), """")"),1)</f>
        <v>1</v>
      </c>
      <c r="P1503" s="9" t="str">
        <f ca="1">IFERROR(__xludf.DUMMYFUNCTION("IFERROR(VALUE(REGEXEXTRACT(TO_TEXT($F1503), P$1 &amp; ""x(\d+)"")), """")"),"")</f>
        <v/>
      </c>
      <c r="Q1503" s="9" t="str">
        <f ca="1">IFERROR(__xludf.DUMMYFUNCTION("IFERROR(VALUE(REGEXEXTRACT(TO_TEXT($F1503), Q$1 &amp; ""x(\d+)"")), """")"),"")</f>
        <v/>
      </c>
      <c r="R1503" s="9" t="str">
        <f ca="1">IFERROR(__xludf.DUMMYFUNCTION("IFERROR(VALUE(REGEXEXTRACT(TO_TEXT($F1503), R$1 &amp; ""x(\d+)"")), """")"),"")</f>
        <v/>
      </c>
      <c r="S1503" s="9" t="str">
        <f ca="1">IFERROR(__xludf.DUMMYFUNCTION("IFERROR(VALUE(REGEXEXTRACT(TO_TEXT($F1503), S$1 &amp; ""x(\d+)"")), """")"),"")</f>
        <v/>
      </c>
      <c r="T1503" s="9" t="str">
        <f ca="1">IFERROR(__xludf.DUMMYFUNCTION("IFERROR(VALUE(REGEXEXTRACT(TO_TEXT($F1503), T$1 &amp; ""x(\d+)"")), """")"),"")</f>
        <v/>
      </c>
      <c r="U1503" s="9" t="str">
        <f ca="1">IFERROR(__xludf.DUMMYFUNCTION("IFERROR(VALUE(REGEXEXTRACT(TO_TEXT($F1503), U$1 &amp; ""x(\d+)"")), """")"),"")</f>
        <v/>
      </c>
      <c r="V1503" s="9" t="str">
        <f ca="1">IFERROR(__xludf.DUMMYFUNCTION("IFERROR(VALUE(REGEXEXTRACT(TO_TEXT($F1503), V$1 &amp; ""x(\d+)"")), """")"),"")</f>
        <v/>
      </c>
      <c r="W1503" s="9"/>
      <c r="X1503" s="9"/>
      <c r="Y1503" s="9"/>
      <c r="Z1503" s="9"/>
    </row>
    <row r="1504" spans="1:26" ht="15.75" customHeight="1">
      <c r="A1504" s="9" t="s">
        <v>2556</v>
      </c>
      <c r="B1504" s="9" t="s">
        <v>2554</v>
      </c>
      <c r="C1504" s="9" t="s">
        <v>2557</v>
      </c>
      <c r="D1504" s="9" t="s">
        <v>33</v>
      </c>
      <c r="E1504" s="9" t="s">
        <v>13</v>
      </c>
      <c r="F1504" s="9" t="s">
        <v>2552</v>
      </c>
      <c r="G1504" s="9">
        <v>15</v>
      </c>
      <c r="H1504" s="9">
        <v>4</v>
      </c>
      <c r="I1504" s="9">
        <v>1.0149999999999999</v>
      </c>
      <c r="J1504" s="9">
        <v>100</v>
      </c>
      <c r="K1504" s="9" t="s">
        <v>442</v>
      </c>
      <c r="L1504" s="9"/>
      <c r="M1504" s="9"/>
      <c r="N1504" s="9" t="str">
        <f ca="1">IFERROR(__xludf.DUMMYFUNCTION("IFERROR(VALUE(REGEXEXTRACT(TO_TEXT($F1504), N$1 &amp; ""x(\d+)"")), """")
"),"")</f>
        <v/>
      </c>
      <c r="O1504" s="9" t="str">
        <f ca="1">IFERROR(__xludf.DUMMYFUNCTION("IFERROR(VALUE(REGEXEXTRACT(TO_TEXT($F1504), O$1 &amp; ""x(\d+)"")), """")"),"")</f>
        <v/>
      </c>
      <c r="P1504" s="9" t="str">
        <f ca="1">IFERROR(__xludf.DUMMYFUNCTION("IFERROR(VALUE(REGEXEXTRACT(TO_TEXT($F1504), P$1 &amp; ""x(\d+)"")), """")"),"")</f>
        <v/>
      </c>
      <c r="Q1504" s="9" t="str">
        <f ca="1">IFERROR(__xludf.DUMMYFUNCTION("IFERROR(VALUE(REGEXEXTRACT(TO_TEXT($F1504), Q$1 &amp; ""x(\d+)"")), """")"),"")</f>
        <v/>
      </c>
      <c r="R1504" s="9" t="str">
        <f ca="1">IFERROR(__xludf.DUMMYFUNCTION("IFERROR(VALUE(REGEXEXTRACT(TO_TEXT($F1504), R$1 &amp; ""x(\d+)"")), """")"),"")</f>
        <v/>
      </c>
      <c r="S1504" s="9" t="str">
        <f ca="1">IFERROR(__xludf.DUMMYFUNCTION("IFERROR(VALUE(REGEXEXTRACT(TO_TEXT($F1504), S$1 &amp; ""x(\d+)"")), """")"),"")</f>
        <v/>
      </c>
      <c r="T1504" s="9" t="str">
        <f ca="1">IFERROR(__xludf.DUMMYFUNCTION("IFERROR(VALUE(REGEXEXTRACT(TO_TEXT($F1504), T$1 &amp; ""x(\d+)"")), """")"),"")</f>
        <v/>
      </c>
      <c r="U1504" s="9" t="str">
        <f ca="1">IFERROR(__xludf.DUMMYFUNCTION("IFERROR(VALUE(REGEXEXTRACT(TO_TEXT($F1504), U$1 &amp; ""x(\d+)"")), """")"),"")</f>
        <v/>
      </c>
      <c r="V1504" s="9" t="str">
        <f ca="1">IFERROR(__xludf.DUMMYFUNCTION("IFERROR(VALUE(REGEXEXTRACT(TO_TEXT($F1504), V$1 &amp; ""x(\d+)"")), """")"),"")</f>
        <v/>
      </c>
      <c r="W1504" s="9"/>
      <c r="X1504" s="9"/>
      <c r="Y1504" s="9"/>
      <c r="Z1504" s="9"/>
    </row>
    <row r="1505" spans="1:26" ht="15.75" customHeight="1">
      <c r="A1505" s="9" t="s">
        <v>2558</v>
      </c>
      <c r="B1505" s="9" t="s">
        <v>2559</v>
      </c>
      <c r="C1505" s="9" t="s">
        <v>2560</v>
      </c>
      <c r="D1505" s="9" t="s">
        <v>74</v>
      </c>
      <c r="E1505" s="9" t="s">
        <v>11</v>
      </c>
      <c r="F1505" s="9" t="s">
        <v>1204</v>
      </c>
      <c r="G1505" s="9">
        <v>30</v>
      </c>
      <c r="H1505" s="9">
        <v>3</v>
      </c>
      <c r="I1505" s="9">
        <v>1.0149999999999999</v>
      </c>
      <c r="J1505" s="9">
        <v>103</v>
      </c>
      <c r="K1505" s="9" t="s">
        <v>424</v>
      </c>
      <c r="L1505" s="9"/>
      <c r="M1505" s="9"/>
      <c r="N1505" s="9" t="str">
        <f ca="1">IFERROR(__xludf.DUMMYFUNCTION("IFERROR(VALUE(REGEXEXTRACT(TO_TEXT($F1505), N$1 &amp; ""x(\d+)"")), """")
"),"")</f>
        <v/>
      </c>
      <c r="O1505" s="9" t="str">
        <f ca="1">IFERROR(__xludf.DUMMYFUNCTION("IFERROR(VALUE(REGEXEXTRACT(TO_TEXT($F1505), O$1 &amp; ""x(\d+)"")), """")"),"")</f>
        <v/>
      </c>
      <c r="P1505" s="9" t="str">
        <f ca="1">IFERROR(__xludf.DUMMYFUNCTION("IFERROR(VALUE(REGEXEXTRACT(TO_TEXT($F1505), P$1 &amp; ""x(\d+)"")), """")"),"")</f>
        <v/>
      </c>
      <c r="Q1505" s="9" t="str">
        <f ca="1">IFERROR(__xludf.DUMMYFUNCTION("IFERROR(VALUE(REGEXEXTRACT(TO_TEXT($F1505), Q$1 &amp; ""x(\d+)"")), """")"),"")</f>
        <v/>
      </c>
      <c r="R1505" s="9" t="str">
        <f ca="1">IFERROR(__xludf.DUMMYFUNCTION("IFERROR(VALUE(REGEXEXTRACT(TO_TEXT($F1505), R$1 &amp; ""x(\d+)"")), """")"),"")</f>
        <v/>
      </c>
      <c r="S1505" s="9" t="str">
        <f ca="1">IFERROR(__xludf.DUMMYFUNCTION("IFERROR(VALUE(REGEXEXTRACT(TO_TEXT($F1505), S$1 &amp; ""x(\d+)"")), """")"),"")</f>
        <v/>
      </c>
      <c r="T1505" s="9" t="str">
        <f ca="1">IFERROR(__xludf.DUMMYFUNCTION("IFERROR(VALUE(REGEXEXTRACT(TO_TEXT($F1505), T$1 &amp; ""x(\d+)"")), """")"),"")</f>
        <v/>
      </c>
      <c r="U1505" s="9" t="str">
        <f ca="1">IFERROR(__xludf.DUMMYFUNCTION("IFERROR(VALUE(REGEXEXTRACT(TO_TEXT($F1505), U$1 &amp; ""x(\d+)"")), """")"),"")</f>
        <v/>
      </c>
      <c r="V1505" s="9" t="str">
        <f ca="1">IFERROR(__xludf.DUMMYFUNCTION("IFERROR(VALUE(REGEXEXTRACT(TO_TEXT($F1505), V$1 &amp; ""x(\d+)"")), """")"),"")</f>
        <v/>
      </c>
      <c r="W1505" s="9"/>
      <c r="X1505" s="9"/>
      <c r="Y1505" s="9"/>
      <c r="Z1505" s="9"/>
    </row>
    <row r="1506" spans="1:26" ht="15.75" customHeight="1">
      <c r="A1506" s="9" t="s">
        <v>2558</v>
      </c>
      <c r="B1506" s="9" t="s">
        <v>2559</v>
      </c>
      <c r="C1506" s="9" t="s">
        <v>2560</v>
      </c>
      <c r="D1506" s="9" t="s">
        <v>74</v>
      </c>
      <c r="E1506" s="9" t="s">
        <v>12</v>
      </c>
      <c r="F1506" s="9" t="s">
        <v>2561</v>
      </c>
      <c r="G1506" s="9">
        <v>170</v>
      </c>
      <c r="H1506" s="9">
        <v>3</v>
      </c>
      <c r="I1506" s="9">
        <v>1.0149999999999999</v>
      </c>
      <c r="J1506" s="9">
        <v>103</v>
      </c>
      <c r="K1506" s="9" t="s">
        <v>424</v>
      </c>
      <c r="L1506" s="9" t="s">
        <v>1015</v>
      </c>
      <c r="M1506" s="9"/>
      <c r="N1506" s="9" t="str">
        <f ca="1">IFERROR(__xludf.DUMMYFUNCTION("IFERROR(VALUE(REGEXEXTRACT(TO_TEXT($F1506), N$1 &amp; ""x(\d+)"")), """")
"),"")</f>
        <v/>
      </c>
      <c r="O1506" s="9" t="str">
        <f ca="1">IFERROR(__xludf.DUMMYFUNCTION("IFERROR(VALUE(REGEXEXTRACT(TO_TEXT($F1506), O$1 &amp; ""x(\d+)"")), """")"),"")</f>
        <v/>
      </c>
      <c r="P1506" s="9" t="str">
        <f ca="1">IFERROR(__xludf.DUMMYFUNCTION("IFERROR(VALUE(REGEXEXTRACT(TO_TEXT($F1506), P$1 &amp; ""x(\d+)"")), """")"),"")</f>
        <v/>
      </c>
      <c r="Q1506" s="9">
        <f ca="1">IFERROR(__xludf.DUMMYFUNCTION("IFERROR(VALUE(REGEXEXTRACT(TO_TEXT($F1506), Q$1 &amp; ""x(\d+)"")), """")"),1)</f>
        <v>1</v>
      </c>
      <c r="R1506" s="9" t="str">
        <f ca="1">IFERROR(__xludf.DUMMYFUNCTION("IFERROR(VALUE(REGEXEXTRACT(TO_TEXT($F1506), R$1 &amp; ""x(\d+)"")), """")"),"")</f>
        <v/>
      </c>
      <c r="S1506" s="9" t="str">
        <f ca="1">IFERROR(__xludf.DUMMYFUNCTION("IFERROR(VALUE(REGEXEXTRACT(TO_TEXT($F1506), S$1 &amp; ""x(\d+)"")), """")"),"")</f>
        <v/>
      </c>
      <c r="T1506" s="9" t="str">
        <f ca="1">IFERROR(__xludf.DUMMYFUNCTION("IFERROR(VALUE(REGEXEXTRACT(TO_TEXT($F1506), T$1 &amp; ""x(\d+)"")), """")"),"")</f>
        <v/>
      </c>
      <c r="U1506" s="9" t="str">
        <f ca="1">IFERROR(__xludf.DUMMYFUNCTION("IFERROR(VALUE(REGEXEXTRACT(TO_TEXT($F1506), U$1 &amp; ""x(\d+)"")), """")"),"")</f>
        <v/>
      </c>
      <c r="V1506" s="9" t="str">
        <f ca="1">IFERROR(__xludf.DUMMYFUNCTION("IFERROR(VALUE(REGEXEXTRACT(TO_TEXT($F1506), V$1 &amp; ""x(\d+)"")), """")"),"")</f>
        <v/>
      </c>
      <c r="W1506" s="9"/>
      <c r="X1506" s="9"/>
      <c r="Y1506" s="9"/>
      <c r="Z1506" s="9"/>
    </row>
    <row r="1507" spans="1:26" ht="15.75" customHeight="1">
      <c r="A1507" s="9" t="s">
        <v>2558</v>
      </c>
      <c r="B1507" s="9" t="s">
        <v>2559</v>
      </c>
      <c r="C1507" s="9" t="s">
        <v>2560</v>
      </c>
      <c r="D1507" s="9" t="s">
        <v>74</v>
      </c>
      <c r="E1507" s="9" t="s">
        <v>13</v>
      </c>
      <c r="F1507" s="9" t="s">
        <v>1233</v>
      </c>
      <c r="G1507" s="9">
        <v>40</v>
      </c>
      <c r="H1507" s="9">
        <v>3</v>
      </c>
      <c r="I1507" s="9">
        <v>1.0149999999999999</v>
      </c>
      <c r="J1507" s="9">
        <v>103</v>
      </c>
      <c r="K1507" s="9" t="s">
        <v>424</v>
      </c>
      <c r="L1507" s="9"/>
      <c r="M1507" s="9"/>
      <c r="N1507" s="9" t="str">
        <f ca="1">IFERROR(__xludf.DUMMYFUNCTION("IFERROR(VALUE(REGEXEXTRACT(TO_TEXT($F1507), N$1 &amp; ""x(\d+)"")), """")
"),"")</f>
        <v/>
      </c>
      <c r="O1507" s="9" t="str">
        <f ca="1">IFERROR(__xludf.DUMMYFUNCTION("IFERROR(VALUE(REGEXEXTRACT(TO_TEXT($F1507), O$1 &amp; ""x(\d+)"")), """")"),"")</f>
        <v/>
      </c>
      <c r="P1507" s="9" t="str">
        <f ca="1">IFERROR(__xludf.DUMMYFUNCTION("IFERROR(VALUE(REGEXEXTRACT(TO_TEXT($F1507), P$1 &amp; ""x(\d+)"")), """")"),"")</f>
        <v/>
      </c>
      <c r="Q1507" s="9">
        <f ca="1">IFERROR(__xludf.DUMMYFUNCTION("IFERROR(VALUE(REGEXEXTRACT(TO_TEXT($F1507), Q$1 &amp; ""x(\d+)"")), """")"),1)</f>
        <v>1</v>
      </c>
      <c r="R1507" s="9" t="str">
        <f ca="1">IFERROR(__xludf.DUMMYFUNCTION("IFERROR(VALUE(REGEXEXTRACT(TO_TEXT($F1507), R$1 &amp; ""x(\d+)"")), """")"),"")</f>
        <v/>
      </c>
      <c r="S1507" s="9" t="str">
        <f ca="1">IFERROR(__xludf.DUMMYFUNCTION("IFERROR(VALUE(REGEXEXTRACT(TO_TEXT($F1507), S$1 &amp; ""x(\d+)"")), """")"),"")</f>
        <v/>
      </c>
      <c r="T1507" s="9" t="str">
        <f ca="1">IFERROR(__xludf.DUMMYFUNCTION("IFERROR(VALUE(REGEXEXTRACT(TO_TEXT($F1507), T$1 &amp; ""x(\d+)"")), """")"),"")</f>
        <v/>
      </c>
      <c r="U1507" s="9" t="str">
        <f ca="1">IFERROR(__xludf.DUMMYFUNCTION("IFERROR(VALUE(REGEXEXTRACT(TO_TEXT($F1507), U$1 &amp; ""x(\d+)"")), """")"),"")</f>
        <v/>
      </c>
      <c r="V1507" s="9" t="str">
        <f ca="1">IFERROR(__xludf.DUMMYFUNCTION("IFERROR(VALUE(REGEXEXTRACT(TO_TEXT($F1507), V$1 &amp; ""x(\d+)"")), """")"),"")</f>
        <v/>
      </c>
      <c r="W1507" s="9"/>
      <c r="X1507" s="9"/>
      <c r="Y1507" s="9"/>
      <c r="Z1507" s="9"/>
    </row>
    <row r="1508" spans="1:26" ht="15.75" customHeight="1">
      <c r="A1508" s="9" t="s">
        <v>2562</v>
      </c>
      <c r="B1508" s="9" t="s">
        <v>2563</v>
      </c>
      <c r="C1508" s="9" t="s">
        <v>2564</v>
      </c>
      <c r="D1508" s="9" t="s">
        <v>33</v>
      </c>
      <c r="E1508" s="9" t="s">
        <v>11</v>
      </c>
      <c r="F1508" s="9" t="s">
        <v>2565</v>
      </c>
      <c r="G1508" s="9">
        <v>20</v>
      </c>
      <c r="H1508" s="9">
        <v>3</v>
      </c>
      <c r="I1508" s="9">
        <v>1.0149999999999999</v>
      </c>
      <c r="J1508" s="9">
        <v>65</v>
      </c>
      <c r="K1508" s="9" t="s">
        <v>442</v>
      </c>
      <c r="L1508" s="9"/>
      <c r="M1508" s="9"/>
      <c r="N1508" s="9" t="str">
        <f ca="1">IFERROR(__xludf.DUMMYFUNCTION("IFERROR(VALUE(REGEXEXTRACT(TO_TEXT($F1508), N$1 &amp; ""x(\d+)"")), """")
"),"")</f>
        <v/>
      </c>
      <c r="O1508" s="9" t="str">
        <f ca="1">IFERROR(__xludf.DUMMYFUNCTION("IFERROR(VALUE(REGEXEXTRACT(TO_TEXT($F1508), O$1 &amp; ""x(\d+)"")), """")"),"")</f>
        <v/>
      </c>
      <c r="P1508" s="9" t="str">
        <f ca="1">IFERROR(__xludf.DUMMYFUNCTION("IFERROR(VALUE(REGEXEXTRACT(TO_TEXT($F1508), P$1 &amp; ""x(\d+)"")), """")"),"")</f>
        <v/>
      </c>
      <c r="Q1508" s="9" t="str">
        <f ca="1">IFERROR(__xludf.DUMMYFUNCTION("IFERROR(VALUE(REGEXEXTRACT(TO_TEXT($F1508), Q$1 &amp; ""x(\d+)"")), """")"),"")</f>
        <v/>
      </c>
      <c r="R1508" s="9" t="str">
        <f ca="1">IFERROR(__xludf.DUMMYFUNCTION("IFERROR(VALUE(REGEXEXTRACT(TO_TEXT($F1508), R$1 &amp; ""x(\d+)"")), """")"),"")</f>
        <v/>
      </c>
      <c r="S1508" s="9" t="str">
        <f ca="1">IFERROR(__xludf.DUMMYFUNCTION("IFERROR(VALUE(REGEXEXTRACT(TO_TEXT($F1508), S$1 &amp; ""x(\d+)"")), """")"),"")</f>
        <v/>
      </c>
      <c r="T1508" s="9" t="str">
        <f ca="1">IFERROR(__xludf.DUMMYFUNCTION("IFERROR(VALUE(REGEXEXTRACT(TO_TEXT($F1508), T$1 &amp; ""x(\d+)"")), """")"),"")</f>
        <v/>
      </c>
      <c r="U1508" s="9" t="str">
        <f ca="1">IFERROR(__xludf.DUMMYFUNCTION("IFERROR(VALUE(REGEXEXTRACT(TO_TEXT($F1508), U$1 &amp; ""x(\d+)"")), """")"),"")</f>
        <v/>
      </c>
      <c r="V1508" s="9" t="str">
        <f ca="1">IFERROR(__xludf.DUMMYFUNCTION("IFERROR(VALUE(REGEXEXTRACT(TO_TEXT($F1508), V$1 &amp; ""x(\d+)"")), """")"),"")</f>
        <v/>
      </c>
      <c r="W1508" s="9"/>
      <c r="X1508" s="9"/>
      <c r="Y1508" s="9"/>
      <c r="Z1508" s="9"/>
    </row>
    <row r="1509" spans="1:26" ht="15.75" customHeight="1">
      <c r="A1509" s="9" t="s">
        <v>2562</v>
      </c>
      <c r="B1509" s="9" t="s">
        <v>2563</v>
      </c>
      <c r="C1509" s="9" t="s">
        <v>2564</v>
      </c>
      <c r="D1509" s="9" t="s">
        <v>33</v>
      </c>
      <c r="E1509" s="9" t="s">
        <v>12</v>
      </c>
      <c r="F1509" s="9" t="s">
        <v>1726</v>
      </c>
      <c r="G1509" s="9">
        <v>120</v>
      </c>
      <c r="H1509" s="9">
        <v>3</v>
      </c>
      <c r="I1509" s="9">
        <v>1.0149999999999999</v>
      </c>
      <c r="J1509" s="9">
        <v>65</v>
      </c>
      <c r="K1509" s="9" t="s">
        <v>442</v>
      </c>
      <c r="L1509" s="9"/>
      <c r="M1509" s="9"/>
      <c r="N1509" s="9" t="str">
        <f ca="1">IFERROR(__xludf.DUMMYFUNCTION("IFERROR(VALUE(REGEXEXTRACT(TO_TEXT($F1509), N$1 &amp; ""x(\d+)"")), """")
"),"")</f>
        <v/>
      </c>
      <c r="O1509" s="9">
        <f ca="1">IFERROR(__xludf.DUMMYFUNCTION("IFERROR(VALUE(REGEXEXTRACT(TO_TEXT($F1509), O$1 &amp; ""x(\d+)"")), """")"),1)</f>
        <v>1</v>
      </c>
      <c r="P1509" s="9" t="str">
        <f ca="1">IFERROR(__xludf.DUMMYFUNCTION("IFERROR(VALUE(REGEXEXTRACT(TO_TEXT($F1509), P$1 &amp; ""x(\d+)"")), """")"),"")</f>
        <v/>
      </c>
      <c r="Q1509" s="9" t="str">
        <f ca="1">IFERROR(__xludf.DUMMYFUNCTION("IFERROR(VALUE(REGEXEXTRACT(TO_TEXT($F1509), Q$1 &amp; ""x(\d+)"")), """")"),"")</f>
        <v/>
      </c>
      <c r="R1509" s="9" t="str">
        <f ca="1">IFERROR(__xludf.DUMMYFUNCTION("IFERROR(VALUE(REGEXEXTRACT(TO_TEXT($F1509), R$1 &amp; ""x(\d+)"")), """")"),"")</f>
        <v/>
      </c>
      <c r="S1509" s="9" t="str">
        <f ca="1">IFERROR(__xludf.DUMMYFUNCTION("IFERROR(VALUE(REGEXEXTRACT(TO_TEXT($F1509), S$1 &amp; ""x(\d+)"")), """")"),"")</f>
        <v/>
      </c>
      <c r="T1509" s="9" t="str">
        <f ca="1">IFERROR(__xludf.DUMMYFUNCTION("IFERROR(VALUE(REGEXEXTRACT(TO_TEXT($F1509), T$1 &amp; ""x(\d+)"")), """")"),"")</f>
        <v/>
      </c>
      <c r="U1509" s="9" t="str">
        <f ca="1">IFERROR(__xludf.DUMMYFUNCTION("IFERROR(VALUE(REGEXEXTRACT(TO_TEXT($F1509), U$1 &amp; ""x(\d+)"")), """")"),"")</f>
        <v/>
      </c>
      <c r="V1509" s="9" t="str">
        <f ca="1">IFERROR(__xludf.DUMMYFUNCTION("IFERROR(VALUE(REGEXEXTRACT(TO_TEXT($F1509), V$1 &amp; ""x(\d+)"")), """")"),"")</f>
        <v/>
      </c>
      <c r="W1509" s="9"/>
      <c r="X1509" s="9"/>
      <c r="Y1509" s="9"/>
      <c r="Z1509" s="9"/>
    </row>
    <row r="1510" spans="1:26" ht="15.75" customHeight="1">
      <c r="A1510" s="9" t="s">
        <v>2562</v>
      </c>
      <c r="B1510" s="9" t="s">
        <v>2563</v>
      </c>
      <c r="C1510" s="9" t="s">
        <v>2564</v>
      </c>
      <c r="D1510" s="9" t="s">
        <v>33</v>
      </c>
      <c r="E1510" s="9" t="s">
        <v>13</v>
      </c>
      <c r="F1510" s="9" t="s">
        <v>1477</v>
      </c>
      <c r="G1510" s="9">
        <v>20</v>
      </c>
      <c r="H1510" s="9">
        <v>3</v>
      </c>
      <c r="I1510" s="9">
        <v>1.0149999999999999</v>
      </c>
      <c r="J1510" s="9">
        <v>65</v>
      </c>
      <c r="K1510" s="9" t="s">
        <v>442</v>
      </c>
      <c r="L1510" s="9"/>
      <c r="M1510" s="9"/>
      <c r="N1510" s="9" t="str">
        <f ca="1">IFERROR(__xludf.DUMMYFUNCTION("IFERROR(VALUE(REGEXEXTRACT(TO_TEXT($F1510), N$1 &amp; ""x(\d+)"")), """")
"),"")</f>
        <v/>
      </c>
      <c r="O1510" s="9" t="str">
        <f ca="1">IFERROR(__xludf.DUMMYFUNCTION("IFERROR(VALUE(REGEXEXTRACT(TO_TEXT($F1510), O$1 &amp; ""x(\d+)"")), """")"),"")</f>
        <v/>
      </c>
      <c r="P1510" s="9" t="str">
        <f ca="1">IFERROR(__xludf.DUMMYFUNCTION("IFERROR(VALUE(REGEXEXTRACT(TO_TEXT($F1510), P$1 &amp; ""x(\d+)"")), """")"),"")</f>
        <v/>
      </c>
      <c r="Q1510" s="9" t="str">
        <f ca="1">IFERROR(__xludf.DUMMYFUNCTION("IFERROR(VALUE(REGEXEXTRACT(TO_TEXT($F1510), Q$1 &amp; ""x(\d+)"")), """")"),"")</f>
        <v/>
      </c>
      <c r="R1510" s="9" t="str">
        <f ca="1">IFERROR(__xludf.DUMMYFUNCTION("IFERROR(VALUE(REGEXEXTRACT(TO_TEXT($F1510), R$1 &amp; ""x(\d+)"")), """")"),"")</f>
        <v/>
      </c>
      <c r="S1510" s="9" t="str">
        <f ca="1">IFERROR(__xludf.DUMMYFUNCTION("IFERROR(VALUE(REGEXEXTRACT(TO_TEXT($F1510), S$1 &amp; ""x(\d+)"")), """")"),"")</f>
        <v/>
      </c>
      <c r="T1510" s="9" t="str">
        <f ca="1">IFERROR(__xludf.DUMMYFUNCTION("IFERROR(VALUE(REGEXEXTRACT(TO_TEXT($F1510), T$1 &amp; ""x(\d+)"")), """")"),"")</f>
        <v/>
      </c>
      <c r="U1510" s="9" t="str">
        <f ca="1">IFERROR(__xludf.DUMMYFUNCTION("IFERROR(VALUE(REGEXEXTRACT(TO_TEXT($F1510), U$1 &amp; ""x(\d+)"")), """")"),"")</f>
        <v/>
      </c>
      <c r="V1510" s="9" t="str">
        <f ca="1">IFERROR(__xludf.DUMMYFUNCTION("IFERROR(VALUE(REGEXEXTRACT(TO_TEXT($F1510), V$1 &amp; ""x(\d+)"")), """")"),"")</f>
        <v/>
      </c>
      <c r="W1510" s="9"/>
      <c r="X1510" s="9"/>
      <c r="Y1510" s="9"/>
      <c r="Z1510" s="9"/>
    </row>
    <row r="1511" spans="1:26" ht="15.75" customHeight="1">
      <c r="A1511" s="9" t="s">
        <v>2566</v>
      </c>
      <c r="B1511" s="9" t="s">
        <v>2567</v>
      </c>
      <c r="C1511" s="9" t="s">
        <v>2568</v>
      </c>
      <c r="D1511" s="9" t="s">
        <v>33</v>
      </c>
      <c r="E1511" s="9" t="s">
        <v>11</v>
      </c>
      <c r="F1511" s="9" t="s">
        <v>1346</v>
      </c>
      <c r="G1511" s="9">
        <v>20</v>
      </c>
      <c r="H1511" s="9">
        <v>4</v>
      </c>
      <c r="I1511" s="9">
        <v>1.0149999999999999</v>
      </c>
      <c r="J1511" s="9">
        <v>100</v>
      </c>
      <c r="K1511" s="9" t="s">
        <v>424</v>
      </c>
      <c r="L1511" s="9"/>
      <c r="M1511" s="9"/>
      <c r="N1511" s="9" t="str">
        <f ca="1">IFERROR(__xludf.DUMMYFUNCTION("IFERROR(VALUE(REGEXEXTRACT(TO_TEXT($F1511), N$1 &amp; ""x(\d+)"")), """")
"),"")</f>
        <v/>
      </c>
      <c r="O1511" s="9" t="str">
        <f ca="1">IFERROR(__xludf.DUMMYFUNCTION("IFERROR(VALUE(REGEXEXTRACT(TO_TEXT($F1511), O$1 &amp; ""x(\d+)"")), """")"),"")</f>
        <v/>
      </c>
      <c r="P1511" s="9" t="str">
        <f ca="1">IFERROR(__xludf.DUMMYFUNCTION("IFERROR(VALUE(REGEXEXTRACT(TO_TEXT($F1511), P$1 &amp; ""x(\d+)"")), """")"),"")</f>
        <v/>
      </c>
      <c r="Q1511" s="9" t="str">
        <f ca="1">IFERROR(__xludf.DUMMYFUNCTION("IFERROR(VALUE(REGEXEXTRACT(TO_TEXT($F1511), Q$1 &amp; ""x(\d+)"")), """")"),"")</f>
        <v/>
      </c>
      <c r="R1511" s="9" t="str">
        <f ca="1">IFERROR(__xludf.DUMMYFUNCTION("IFERROR(VALUE(REGEXEXTRACT(TO_TEXT($F1511), R$1 &amp; ""x(\d+)"")), """")"),"")</f>
        <v/>
      </c>
      <c r="S1511" s="9" t="str">
        <f ca="1">IFERROR(__xludf.DUMMYFUNCTION("IFERROR(VALUE(REGEXEXTRACT(TO_TEXT($F1511), S$1 &amp; ""x(\d+)"")), """")"),"")</f>
        <v/>
      </c>
      <c r="T1511" s="9" t="str">
        <f ca="1">IFERROR(__xludf.DUMMYFUNCTION("IFERROR(VALUE(REGEXEXTRACT(TO_TEXT($F1511), T$1 &amp; ""x(\d+)"")), """")"),"")</f>
        <v/>
      </c>
      <c r="U1511" s="9" t="str">
        <f ca="1">IFERROR(__xludf.DUMMYFUNCTION("IFERROR(VALUE(REGEXEXTRACT(TO_TEXT($F1511), U$1 &amp; ""x(\d+)"")), """")"),"")</f>
        <v/>
      </c>
      <c r="V1511" s="9" t="str">
        <f ca="1">IFERROR(__xludf.DUMMYFUNCTION("IFERROR(VALUE(REGEXEXTRACT(TO_TEXT($F1511), V$1 &amp; ""x(\d+)"")), """")"),"")</f>
        <v/>
      </c>
      <c r="W1511" s="9"/>
      <c r="X1511" s="9"/>
      <c r="Y1511" s="9"/>
      <c r="Z1511" s="9"/>
    </row>
    <row r="1512" spans="1:26" ht="15.75" customHeight="1">
      <c r="A1512" s="9" t="s">
        <v>2566</v>
      </c>
      <c r="B1512" s="9" t="s">
        <v>2567</v>
      </c>
      <c r="C1512" s="9" t="s">
        <v>2568</v>
      </c>
      <c r="D1512" s="9" t="s">
        <v>33</v>
      </c>
      <c r="E1512" s="9" t="s">
        <v>12</v>
      </c>
      <c r="F1512" s="9" t="s">
        <v>1474</v>
      </c>
      <c r="G1512" s="9">
        <v>100</v>
      </c>
      <c r="H1512" s="9">
        <v>4</v>
      </c>
      <c r="I1512" s="9">
        <v>1.0149999999999999</v>
      </c>
      <c r="J1512" s="9">
        <v>100</v>
      </c>
      <c r="K1512" s="9" t="s">
        <v>424</v>
      </c>
      <c r="L1512" s="9"/>
      <c r="M1512" s="9"/>
      <c r="N1512" s="9" t="str">
        <f ca="1">IFERROR(__xludf.DUMMYFUNCTION("IFERROR(VALUE(REGEXEXTRACT(TO_TEXT($F1512), N$1 &amp; ""x(\d+)"")), """")
"),"")</f>
        <v/>
      </c>
      <c r="O1512" s="9">
        <f ca="1">IFERROR(__xludf.DUMMYFUNCTION("IFERROR(VALUE(REGEXEXTRACT(TO_TEXT($F1512), O$1 &amp; ""x(\d+)"")), """")"),1)</f>
        <v>1</v>
      </c>
      <c r="P1512" s="9" t="str">
        <f ca="1">IFERROR(__xludf.DUMMYFUNCTION("IFERROR(VALUE(REGEXEXTRACT(TO_TEXT($F1512), P$1 &amp; ""x(\d+)"")), """")"),"")</f>
        <v/>
      </c>
      <c r="Q1512" s="9" t="str">
        <f ca="1">IFERROR(__xludf.DUMMYFUNCTION("IFERROR(VALUE(REGEXEXTRACT(TO_TEXT($F1512), Q$1 &amp; ""x(\d+)"")), """")"),"")</f>
        <v/>
      </c>
      <c r="R1512" s="9" t="str">
        <f ca="1">IFERROR(__xludf.DUMMYFUNCTION("IFERROR(VALUE(REGEXEXTRACT(TO_TEXT($F1512), R$1 &amp; ""x(\d+)"")), """")"),"")</f>
        <v/>
      </c>
      <c r="S1512" s="9" t="str">
        <f ca="1">IFERROR(__xludf.DUMMYFUNCTION("IFERROR(VALUE(REGEXEXTRACT(TO_TEXT($F1512), S$1 &amp; ""x(\d+)"")), """")"),"")</f>
        <v/>
      </c>
      <c r="T1512" s="9" t="str">
        <f ca="1">IFERROR(__xludf.DUMMYFUNCTION("IFERROR(VALUE(REGEXEXTRACT(TO_TEXT($F1512), T$1 &amp; ""x(\d+)"")), """")"),"")</f>
        <v/>
      </c>
      <c r="U1512" s="9" t="str">
        <f ca="1">IFERROR(__xludf.DUMMYFUNCTION("IFERROR(VALUE(REGEXEXTRACT(TO_TEXT($F1512), U$1 &amp; ""x(\d+)"")), """")"),"")</f>
        <v/>
      </c>
      <c r="V1512" s="9" t="str">
        <f ca="1">IFERROR(__xludf.DUMMYFUNCTION("IFERROR(VALUE(REGEXEXTRACT(TO_TEXT($F1512), V$1 &amp; ""x(\d+)"")), """")"),"")</f>
        <v/>
      </c>
      <c r="W1512" s="9"/>
      <c r="X1512" s="9"/>
      <c r="Y1512" s="9"/>
      <c r="Z1512" s="9"/>
    </row>
    <row r="1513" spans="1:26" ht="15.75" customHeight="1">
      <c r="A1513" s="9" t="s">
        <v>2566</v>
      </c>
      <c r="B1513" s="9" t="s">
        <v>2567</v>
      </c>
      <c r="C1513" s="9" t="s">
        <v>2568</v>
      </c>
      <c r="D1513" s="9" t="s">
        <v>33</v>
      </c>
      <c r="E1513" s="9" t="s">
        <v>13</v>
      </c>
      <c r="F1513" s="9" t="s">
        <v>1188</v>
      </c>
      <c r="G1513" s="9">
        <v>30</v>
      </c>
      <c r="H1513" s="9">
        <v>4</v>
      </c>
      <c r="I1513" s="9">
        <v>1.0149999999999999</v>
      </c>
      <c r="J1513" s="9">
        <v>100</v>
      </c>
      <c r="K1513" s="9" t="s">
        <v>424</v>
      </c>
      <c r="L1513" s="9"/>
      <c r="M1513" s="9"/>
      <c r="N1513" s="9" t="str">
        <f ca="1">IFERROR(__xludf.DUMMYFUNCTION("IFERROR(VALUE(REGEXEXTRACT(TO_TEXT($F1513), N$1 &amp; ""x(\d+)"")), """")
"),"")</f>
        <v/>
      </c>
      <c r="O1513" s="9">
        <f ca="1">IFERROR(__xludf.DUMMYFUNCTION("IFERROR(VALUE(REGEXEXTRACT(TO_TEXT($F1513), O$1 &amp; ""x(\d+)"")), """")"),1)</f>
        <v>1</v>
      </c>
      <c r="P1513" s="9" t="str">
        <f ca="1">IFERROR(__xludf.DUMMYFUNCTION("IFERROR(VALUE(REGEXEXTRACT(TO_TEXT($F1513), P$1 &amp; ""x(\d+)"")), """")"),"")</f>
        <v/>
      </c>
      <c r="Q1513" s="9" t="str">
        <f ca="1">IFERROR(__xludf.DUMMYFUNCTION("IFERROR(VALUE(REGEXEXTRACT(TO_TEXT($F1513), Q$1 &amp; ""x(\d+)"")), """")"),"")</f>
        <v/>
      </c>
      <c r="R1513" s="9" t="str">
        <f ca="1">IFERROR(__xludf.DUMMYFUNCTION("IFERROR(VALUE(REGEXEXTRACT(TO_TEXT($F1513), R$1 &amp; ""x(\d+)"")), """")"),"")</f>
        <v/>
      </c>
      <c r="S1513" s="9" t="str">
        <f ca="1">IFERROR(__xludf.DUMMYFUNCTION("IFERROR(VALUE(REGEXEXTRACT(TO_TEXT($F1513), S$1 &amp; ""x(\d+)"")), """")"),"")</f>
        <v/>
      </c>
      <c r="T1513" s="9" t="str">
        <f ca="1">IFERROR(__xludf.DUMMYFUNCTION("IFERROR(VALUE(REGEXEXTRACT(TO_TEXT($F1513), T$1 &amp; ""x(\d+)"")), """")"),"")</f>
        <v/>
      </c>
      <c r="U1513" s="9" t="str">
        <f ca="1">IFERROR(__xludf.DUMMYFUNCTION("IFERROR(VALUE(REGEXEXTRACT(TO_TEXT($F1513), U$1 &amp; ""x(\d+)"")), """")"),"")</f>
        <v/>
      </c>
      <c r="V1513" s="9" t="str">
        <f ca="1">IFERROR(__xludf.DUMMYFUNCTION("IFERROR(VALUE(REGEXEXTRACT(TO_TEXT($F1513), V$1 &amp; ""x(\d+)"")), """")"),"")</f>
        <v/>
      </c>
      <c r="W1513" s="9"/>
      <c r="X1513" s="9"/>
      <c r="Y1513" s="9"/>
      <c r="Z1513" s="9"/>
    </row>
    <row r="1514" spans="1:26" ht="15.75" customHeight="1">
      <c r="A1514" s="9" t="s">
        <v>2569</v>
      </c>
      <c r="B1514" s="9" t="s">
        <v>2570</v>
      </c>
      <c r="C1514" s="9" t="s">
        <v>2571</v>
      </c>
      <c r="D1514" s="9" t="s">
        <v>48</v>
      </c>
      <c r="E1514" s="9" t="s">
        <v>11</v>
      </c>
      <c r="F1514" s="9" t="s">
        <v>2572</v>
      </c>
      <c r="G1514" s="9">
        <v>60</v>
      </c>
      <c r="H1514" s="9">
        <v>4</v>
      </c>
      <c r="I1514" s="9">
        <v>1.0149999999999999</v>
      </c>
      <c r="J1514" s="9">
        <v>52</v>
      </c>
      <c r="K1514" s="9" t="s">
        <v>424</v>
      </c>
      <c r="L1514" s="9"/>
      <c r="M1514" s="9"/>
      <c r="N1514" s="9">
        <f ca="1">IFERROR(__xludf.DUMMYFUNCTION("IFERROR(VALUE(REGEXEXTRACT(TO_TEXT($F1514), N$1 &amp; ""x(\d+)"")), """")
"),1)</f>
        <v>1</v>
      </c>
      <c r="O1514" s="9">
        <f ca="1">IFERROR(__xludf.DUMMYFUNCTION("IFERROR(VALUE(REGEXEXTRACT(TO_TEXT($F1514), O$1 &amp; ""x(\d+)"")), """")"),1)</f>
        <v>1</v>
      </c>
      <c r="P1514" s="9" t="str">
        <f ca="1">IFERROR(__xludf.DUMMYFUNCTION("IFERROR(VALUE(REGEXEXTRACT(TO_TEXT($F1514), P$1 &amp; ""x(\d+)"")), """")"),"")</f>
        <v/>
      </c>
      <c r="Q1514" s="9" t="str">
        <f ca="1">IFERROR(__xludf.DUMMYFUNCTION("IFERROR(VALUE(REGEXEXTRACT(TO_TEXT($F1514), Q$1 &amp; ""x(\d+)"")), """")"),"")</f>
        <v/>
      </c>
      <c r="R1514" s="9" t="str">
        <f ca="1">IFERROR(__xludf.DUMMYFUNCTION("IFERROR(VALUE(REGEXEXTRACT(TO_TEXT($F1514), R$1 &amp; ""x(\d+)"")), """")"),"")</f>
        <v/>
      </c>
      <c r="S1514" s="9" t="str">
        <f ca="1">IFERROR(__xludf.DUMMYFUNCTION("IFERROR(VALUE(REGEXEXTRACT(TO_TEXT($F1514), S$1 &amp; ""x(\d+)"")), """")"),"")</f>
        <v/>
      </c>
      <c r="T1514" s="9" t="str">
        <f ca="1">IFERROR(__xludf.DUMMYFUNCTION("IFERROR(VALUE(REGEXEXTRACT(TO_TEXT($F1514), T$1 &amp; ""x(\d+)"")), """")"),"")</f>
        <v/>
      </c>
      <c r="U1514" s="9" t="str">
        <f ca="1">IFERROR(__xludf.DUMMYFUNCTION("IFERROR(VALUE(REGEXEXTRACT(TO_TEXT($F1514), U$1 &amp; ""x(\d+)"")), """")"),"")</f>
        <v/>
      </c>
      <c r="V1514" s="9">
        <f ca="1">IFERROR(__xludf.DUMMYFUNCTION("IFERROR(VALUE(REGEXEXTRACT(TO_TEXT($F1514), V$1 &amp; ""x(\d+)"")), """")"),1)</f>
        <v>1</v>
      </c>
      <c r="W1514" s="9"/>
      <c r="X1514" s="9"/>
      <c r="Y1514" s="9"/>
      <c r="Z1514" s="9"/>
    </row>
    <row r="1515" spans="1:26" ht="15.75" customHeight="1">
      <c r="A1515" s="9" t="s">
        <v>2569</v>
      </c>
      <c r="B1515" s="9" t="s">
        <v>2570</v>
      </c>
      <c r="C1515" s="9" t="s">
        <v>2571</v>
      </c>
      <c r="D1515" s="9" t="s">
        <v>48</v>
      </c>
      <c r="E1515" s="9" t="s">
        <v>12</v>
      </c>
      <c r="F1515" s="9" t="s">
        <v>2573</v>
      </c>
      <c r="G1515" s="9">
        <v>120</v>
      </c>
      <c r="H1515" s="9">
        <v>4</v>
      </c>
      <c r="I1515" s="9">
        <v>1.0149999999999999</v>
      </c>
      <c r="J1515" s="9">
        <v>52</v>
      </c>
      <c r="K1515" s="9" t="s">
        <v>424</v>
      </c>
      <c r="L1515" s="9" t="s">
        <v>1210</v>
      </c>
      <c r="M1515" s="9"/>
      <c r="N1515" s="9" t="str">
        <f ca="1">IFERROR(__xludf.DUMMYFUNCTION("IFERROR(VALUE(REGEXEXTRACT(TO_TEXT($F1515), N$1 &amp; ""x(\d+)"")), """")
"),"")</f>
        <v/>
      </c>
      <c r="O1515" s="9">
        <f ca="1">IFERROR(__xludf.DUMMYFUNCTION("IFERROR(VALUE(REGEXEXTRACT(TO_TEXT($F1515), O$1 &amp; ""x(\d+)"")), """")"),1)</f>
        <v>1</v>
      </c>
      <c r="P1515" s="9">
        <f ca="1">IFERROR(__xludf.DUMMYFUNCTION("IFERROR(VALUE(REGEXEXTRACT(TO_TEXT($F1515), P$1 &amp; ""x(\d+)"")), """")"),1)</f>
        <v>1</v>
      </c>
      <c r="Q1515" s="9" t="str">
        <f ca="1">IFERROR(__xludf.DUMMYFUNCTION("IFERROR(VALUE(REGEXEXTRACT(TO_TEXT($F1515), Q$1 &amp; ""x(\d+)"")), """")"),"")</f>
        <v/>
      </c>
      <c r="R1515" s="9" t="str">
        <f ca="1">IFERROR(__xludf.DUMMYFUNCTION("IFERROR(VALUE(REGEXEXTRACT(TO_TEXT($F1515), R$1 &amp; ""x(\d+)"")), """")"),"")</f>
        <v/>
      </c>
      <c r="S1515" s="9" t="str">
        <f ca="1">IFERROR(__xludf.DUMMYFUNCTION("IFERROR(VALUE(REGEXEXTRACT(TO_TEXT($F1515), S$1 &amp; ""x(\d+)"")), """")"),"")</f>
        <v/>
      </c>
      <c r="T1515" s="9" t="str">
        <f ca="1">IFERROR(__xludf.DUMMYFUNCTION("IFERROR(VALUE(REGEXEXTRACT(TO_TEXT($F1515), T$1 &amp; ""x(\d+)"")), """")"),"")</f>
        <v/>
      </c>
      <c r="U1515" s="9" t="str">
        <f ca="1">IFERROR(__xludf.DUMMYFUNCTION("IFERROR(VALUE(REGEXEXTRACT(TO_TEXT($F1515), U$1 &amp; ""x(\d+)"")), """")"),"")</f>
        <v/>
      </c>
      <c r="V1515" s="9" t="str">
        <f ca="1">IFERROR(__xludf.DUMMYFUNCTION("IFERROR(VALUE(REGEXEXTRACT(TO_TEXT($F1515), V$1 &amp; ""x(\d+)"")), """")"),"")</f>
        <v/>
      </c>
      <c r="W1515" s="9"/>
      <c r="X1515" s="9"/>
      <c r="Y1515" s="9"/>
      <c r="Z1515" s="9"/>
    </row>
    <row r="1516" spans="1:26" ht="15.75" customHeight="1">
      <c r="A1516" s="9" t="s">
        <v>2569</v>
      </c>
      <c r="B1516" s="9" t="s">
        <v>2570</v>
      </c>
      <c r="C1516" s="9" t="s">
        <v>2571</v>
      </c>
      <c r="D1516" s="9" t="s">
        <v>48</v>
      </c>
      <c r="E1516" s="9" t="s">
        <v>13</v>
      </c>
      <c r="F1516" s="9" t="s">
        <v>2574</v>
      </c>
      <c r="G1516" s="9">
        <v>105</v>
      </c>
      <c r="H1516" s="9">
        <v>4</v>
      </c>
      <c r="I1516" s="9">
        <v>1.0149999999999999</v>
      </c>
      <c r="J1516" s="9">
        <v>52</v>
      </c>
      <c r="K1516" s="9" t="s">
        <v>424</v>
      </c>
      <c r="L1516" s="9"/>
      <c r="M1516" s="9"/>
      <c r="N1516" s="9" t="str">
        <f ca="1">IFERROR(__xludf.DUMMYFUNCTION("IFERROR(VALUE(REGEXEXTRACT(TO_TEXT($F1516), N$1 &amp; ""x(\d+)"")), """")
"),"")</f>
        <v/>
      </c>
      <c r="O1516" s="9">
        <f ca="1">IFERROR(__xludf.DUMMYFUNCTION("IFERROR(VALUE(REGEXEXTRACT(TO_TEXT($F1516), O$1 &amp; ""x(\d+)"")), """")"),1)</f>
        <v>1</v>
      </c>
      <c r="P1516" s="9">
        <f ca="1">IFERROR(__xludf.DUMMYFUNCTION("IFERROR(VALUE(REGEXEXTRACT(TO_TEXT($F1516), P$1 &amp; ""x(\d+)"")), """")"),1)</f>
        <v>1</v>
      </c>
      <c r="Q1516" s="9" t="str">
        <f ca="1">IFERROR(__xludf.DUMMYFUNCTION("IFERROR(VALUE(REGEXEXTRACT(TO_TEXT($F1516), Q$1 &amp; ""x(\d+)"")), """")"),"")</f>
        <v/>
      </c>
      <c r="R1516" s="9" t="str">
        <f ca="1">IFERROR(__xludf.DUMMYFUNCTION("IFERROR(VALUE(REGEXEXTRACT(TO_TEXT($F1516), R$1 &amp; ""x(\d+)"")), """")"),"")</f>
        <v/>
      </c>
      <c r="S1516" s="9" t="str">
        <f ca="1">IFERROR(__xludf.DUMMYFUNCTION("IFERROR(VALUE(REGEXEXTRACT(TO_TEXT($F1516), S$1 &amp; ""x(\d+)"")), """")"),"")</f>
        <v/>
      </c>
      <c r="T1516" s="9" t="str">
        <f ca="1">IFERROR(__xludf.DUMMYFUNCTION("IFERROR(VALUE(REGEXEXTRACT(TO_TEXT($F1516), T$1 &amp; ""x(\d+)"")), """")"),"")</f>
        <v/>
      </c>
      <c r="U1516" s="9" t="str">
        <f ca="1">IFERROR(__xludf.DUMMYFUNCTION("IFERROR(VALUE(REGEXEXTRACT(TO_TEXT($F1516), U$1 &amp; ""x(\d+)"")), """")"),"")</f>
        <v/>
      </c>
      <c r="V1516" s="9" t="str">
        <f ca="1">IFERROR(__xludf.DUMMYFUNCTION("IFERROR(VALUE(REGEXEXTRACT(TO_TEXT($F1516), V$1 &amp; ""x(\d+)"")), """")"),"")</f>
        <v/>
      </c>
      <c r="W1516" s="9"/>
      <c r="X1516" s="9"/>
      <c r="Y1516" s="9"/>
      <c r="Z1516" s="9"/>
    </row>
    <row r="1517" spans="1:26" ht="15.75" customHeight="1">
      <c r="A1517" s="9" t="s">
        <v>2575</v>
      </c>
      <c r="B1517" s="9" t="s">
        <v>2576</v>
      </c>
      <c r="C1517" s="9" t="s">
        <v>2577</v>
      </c>
      <c r="D1517" s="9" t="s">
        <v>48</v>
      </c>
      <c r="E1517" s="9" t="s">
        <v>11</v>
      </c>
      <c r="F1517" s="9" t="s">
        <v>2572</v>
      </c>
      <c r="G1517" s="9">
        <v>60</v>
      </c>
      <c r="H1517" s="9">
        <v>4</v>
      </c>
      <c r="I1517" s="9">
        <v>1.0149999999999999</v>
      </c>
      <c r="J1517" s="9">
        <v>52</v>
      </c>
      <c r="K1517" s="9" t="s">
        <v>424</v>
      </c>
      <c r="L1517" s="9"/>
      <c r="M1517" s="9"/>
      <c r="N1517" s="9">
        <f ca="1">IFERROR(__xludf.DUMMYFUNCTION("IFERROR(VALUE(REGEXEXTRACT(TO_TEXT($F1517), N$1 &amp; ""x(\d+)"")), """")
"),1)</f>
        <v>1</v>
      </c>
      <c r="O1517" s="9">
        <f ca="1">IFERROR(__xludf.DUMMYFUNCTION("IFERROR(VALUE(REGEXEXTRACT(TO_TEXT($F1517), O$1 &amp; ""x(\d+)"")), """")"),1)</f>
        <v>1</v>
      </c>
      <c r="P1517" s="9" t="str">
        <f ca="1">IFERROR(__xludf.DUMMYFUNCTION("IFERROR(VALUE(REGEXEXTRACT(TO_TEXT($F1517), P$1 &amp; ""x(\d+)"")), """")"),"")</f>
        <v/>
      </c>
      <c r="Q1517" s="9" t="str">
        <f ca="1">IFERROR(__xludf.DUMMYFUNCTION("IFERROR(VALUE(REGEXEXTRACT(TO_TEXT($F1517), Q$1 &amp; ""x(\d+)"")), """")"),"")</f>
        <v/>
      </c>
      <c r="R1517" s="9" t="str">
        <f ca="1">IFERROR(__xludf.DUMMYFUNCTION("IFERROR(VALUE(REGEXEXTRACT(TO_TEXT($F1517), R$1 &amp; ""x(\d+)"")), """")"),"")</f>
        <v/>
      </c>
      <c r="S1517" s="9" t="str">
        <f ca="1">IFERROR(__xludf.DUMMYFUNCTION("IFERROR(VALUE(REGEXEXTRACT(TO_TEXT($F1517), S$1 &amp; ""x(\d+)"")), """")"),"")</f>
        <v/>
      </c>
      <c r="T1517" s="9" t="str">
        <f ca="1">IFERROR(__xludf.DUMMYFUNCTION("IFERROR(VALUE(REGEXEXTRACT(TO_TEXT($F1517), T$1 &amp; ""x(\d+)"")), """")"),"")</f>
        <v/>
      </c>
      <c r="U1517" s="9" t="str">
        <f ca="1">IFERROR(__xludf.DUMMYFUNCTION("IFERROR(VALUE(REGEXEXTRACT(TO_TEXT($F1517), U$1 &amp; ""x(\d+)"")), """")"),"")</f>
        <v/>
      </c>
      <c r="V1517" s="9">
        <f ca="1">IFERROR(__xludf.DUMMYFUNCTION("IFERROR(VALUE(REGEXEXTRACT(TO_TEXT($F1517), V$1 &amp; ""x(\d+)"")), """")"),1)</f>
        <v>1</v>
      </c>
      <c r="W1517" s="9"/>
      <c r="X1517" s="9"/>
      <c r="Y1517" s="9"/>
      <c r="Z1517" s="9"/>
    </row>
    <row r="1518" spans="1:26" ht="15.75" customHeight="1">
      <c r="A1518" s="9" t="s">
        <v>2575</v>
      </c>
      <c r="B1518" s="9" t="s">
        <v>2576</v>
      </c>
      <c r="C1518" s="9" t="s">
        <v>2577</v>
      </c>
      <c r="D1518" s="9" t="s">
        <v>48</v>
      </c>
      <c r="E1518" s="9" t="s">
        <v>12</v>
      </c>
      <c r="F1518" s="9" t="s">
        <v>2573</v>
      </c>
      <c r="G1518" s="9">
        <v>120</v>
      </c>
      <c r="H1518" s="9">
        <v>4</v>
      </c>
      <c r="I1518" s="9">
        <v>1.0149999999999999</v>
      </c>
      <c r="J1518" s="9">
        <v>52</v>
      </c>
      <c r="K1518" s="9" t="s">
        <v>424</v>
      </c>
      <c r="L1518" s="9" t="s">
        <v>1210</v>
      </c>
      <c r="M1518" s="9"/>
      <c r="N1518" s="9" t="str">
        <f ca="1">IFERROR(__xludf.DUMMYFUNCTION("IFERROR(VALUE(REGEXEXTRACT(TO_TEXT($F1518), N$1 &amp; ""x(\d+)"")), """")
"),"")</f>
        <v/>
      </c>
      <c r="O1518" s="9">
        <f ca="1">IFERROR(__xludf.DUMMYFUNCTION("IFERROR(VALUE(REGEXEXTRACT(TO_TEXT($F1518), O$1 &amp; ""x(\d+)"")), """")"),1)</f>
        <v>1</v>
      </c>
      <c r="P1518" s="9">
        <f ca="1">IFERROR(__xludf.DUMMYFUNCTION("IFERROR(VALUE(REGEXEXTRACT(TO_TEXT($F1518), P$1 &amp; ""x(\d+)"")), """")"),1)</f>
        <v>1</v>
      </c>
      <c r="Q1518" s="9" t="str">
        <f ca="1">IFERROR(__xludf.DUMMYFUNCTION("IFERROR(VALUE(REGEXEXTRACT(TO_TEXT($F1518), Q$1 &amp; ""x(\d+)"")), """")"),"")</f>
        <v/>
      </c>
      <c r="R1518" s="9" t="str">
        <f ca="1">IFERROR(__xludf.DUMMYFUNCTION("IFERROR(VALUE(REGEXEXTRACT(TO_TEXT($F1518), R$1 &amp; ""x(\d+)"")), """")"),"")</f>
        <v/>
      </c>
      <c r="S1518" s="9" t="str">
        <f ca="1">IFERROR(__xludf.DUMMYFUNCTION("IFERROR(VALUE(REGEXEXTRACT(TO_TEXT($F1518), S$1 &amp; ""x(\d+)"")), """")"),"")</f>
        <v/>
      </c>
      <c r="T1518" s="9" t="str">
        <f ca="1">IFERROR(__xludf.DUMMYFUNCTION("IFERROR(VALUE(REGEXEXTRACT(TO_TEXT($F1518), T$1 &amp; ""x(\d+)"")), """")"),"")</f>
        <v/>
      </c>
      <c r="U1518" s="9" t="str">
        <f ca="1">IFERROR(__xludf.DUMMYFUNCTION("IFERROR(VALUE(REGEXEXTRACT(TO_TEXT($F1518), U$1 &amp; ""x(\d+)"")), """")"),"")</f>
        <v/>
      </c>
      <c r="V1518" s="9" t="str">
        <f ca="1">IFERROR(__xludf.DUMMYFUNCTION("IFERROR(VALUE(REGEXEXTRACT(TO_TEXT($F1518), V$1 &amp; ""x(\d+)"")), """")"),"")</f>
        <v/>
      </c>
      <c r="W1518" s="9"/>
      <c r="X1518" s="9"/>
      <c r="Y1518" s="9"/>
      <c r="Z1518" s="9"/>
    </row>
    <row r="1519" spans="1:26" ht="15.75" customHeight="1">
      <c r="A1519" s="9" t="s">
        <v>2575</v>
      </c>
      <c r="B1519" s="9" t="s">
        <v>2576</v>
      </c>
      <c r="C1519" s="9" t="s">
        <v>2577</v>
      </c>
      <c r="D1519" s="9" t="s">
        <v>48</v>
      </c>
      <c r="E1519" s="9" t="s">
        <v>13</v>
      </c>
      <c r="F1519" s="9" t="s">
        <v>2574</v>
      </c>
      <c r="G1519" s="9">
        <v>105</v>
      </c>
      <c r="H1519" s="9">
        <v>4</v>
      </c>
      <c r="I1519" s="9">
        <v>1.0149999999999999</v>
      </c>
      <c r="J1519" s="9">
        <v>52</v>
      </c>
      <c r="K1519" s="9" t="s">
        <v>424</v>
      </c>
      <c r="L1519" s="9"/>
      <c r="M1519" s="9"/>
      <c r="N1519" s="9" t="str">
        <f ca="1">IFERROR(__xludf.DUMMYFUNCTION("IFERROR(VALUE(REGEXEXTRACT(TO_TEXT($F1519), N$1 &amp; ""x(\d+)"")), """")
"),"")</f>
        <v/>
      </c>
      <c r="O1519" s="9">
        <f ca="1">IFERROR(__xludf.DUMMYFUNCTION("IFERROR(VALUE(REGEXEXTRACT(TO_TEXT($F1519), O$1 &amp; ""x(\d+)"")), """")"),1)</f>
        <v>1</v>
      </c>
      <c r="P1519" s="9">
        <f ca="1">IFERROR(__xludf.DUMMYFUNCTION("IFERROR(VALUE(REGEXEXTRACT(TO_TEXT($F1519), P$1 &amp; ""x(\d+)"")), """")"),1)</f>
        <v>1</v>
      </c>
      <c r="Q1519" s="9" t="str">
        <f ca="1">IFERROR(__xludf.DUMMYFUNCTION("IFERROR(VALUE(REGEXEXTRACT(TO_TEXT($F1519), Q$1 &amp; ""x(\d+)"")), """")"),"")</f>
        <v/>
      </c>
      <c r="R1519" s="9" t="str">
        <f ca="1">IFERROR(__xludf.DUMMYFUNCTION("IFERROR(VALUE(REGEXEXTRACT(TO_TEXT($F1519), R$1 &amp; ""x(\d+)"")), """")"),"")</f>
        <v/>
      </c>
      <c r="S1519" s="9" t="str">
        <f ca="1">IFERROR(__xludf.DUMMYFUNCTION("IFERROR(VALUE(REGEXEXTRACT(TO_TEXT($F1519), S$1 &amp; ""x(\d+)"")), """")"),"")</f>
        <v/>
      </c>
      <c r="T1519" s="9" t="str">
        <f ca="1">IFERROR(__xludf.DUMMYFUNCTION("IFERROR(VALUE(REGEXEXTRACT(TO_TEXT($F1519), T$1 &amp; ""x(\d+)"")), """")"),"")</f>
        <v/>
      </c>
      <c r="U1519" s="9" t="str">
        <f ca="1">IFERROR(__xludf.DUMMYFUNCTION("IFERROR(VALUE(REGEXEXTRACT(TO_TEXT($F1519), U$1 &amp; ""x(\d+)"")), """")"),"")</f>
        <v/>
      </c>
      <c r="V1519" s="9" t="str">
        <f ca="1">IFERROR(__xludf.DUMMYFUNCTION("IFERROR(VALUE(REGEXEXTRACT(TO_TEXT($F1519), V$1 &amp; ""x(\d+)"")), """")"),"")</f>
        <v/>
      </c>
      <c r="W1519" s="9"/>
      <c r="X1519" s="9"/>
      <c r="Y1519" s="9"/>
      <c r="Z1519" s="9"/>
    </row>
    <row r="1520" spans="1:26" ht="15.75" customHeight="1">
      <c r="A1520" s="9" t="s">
        <v>2578</v>
      </c>
      <c r="B1520" s="9" t="s">
        <v>2579</v>
      </c>
      <c r="C1520" s="9" t="s">
        <v>2580</v>
      </c>
      <c r="D1520" s="9" t="s">
        <v>48</v>
      </c>
      <c r="E1520" s="9" t="s">
        <v>11</v>
      </c>
      <c r="F1520" s="9" t="s">
        <v>2057</v>
      </c>
      <c r="G1520" s="9">
        <v>30</v>
      </c>
      <c r="H1520" s="9">
        <v>5</v>
      </c>
      <c r="I1520" s="9">
        <v>1.0149999999999999</v>
      </c>
      <c r="J1520" s="9">
        <v>52</v>
      </c>
      <c r="K1520" s="9" t="s">
        <v>424</v>
      </c>
      <c r="L1520" s="9"/>
      <c r="M1520" s="9"/>
      <c r="N1520" s="9">
        <f ca="1">IFERROR(__xludf.DUMMYFUNCTION("IFERROR(VALUE(REGEXEXTRACT(TO_TEXT($F1520), N$1 &amp; ""x(\d+)"")), """")
"),1)</f>
        <v>1</v>
      </c>
      <c r="O1520" s="9" t="str">
        <f ca="1">IFERROR(__xludf.DUMMYFUNCTION("IFERROR(VALUE(REGEXEXTRACT(TO_TEXT($F1520), O$1 &amp; ""x(\d+)"")), """")"),"")</f>
        <v/>
      </c>
      <c r="P1520" s="9" t="str">
        <f ca="1">IFERROR(__xludf.DUMMYFUNCTION("IFERROR(VALUE(REGEXEXTRACT(TO_TEXT($F1520), P$1 &amp; ""x(\d+)"")), """")"),"")</f>
        <v/>
      </c>
      <c r="Q1520" s="9" t="str">
        <f ca="1">IFERROR(__xludf.DUMMYFUNCTION("IFERROR(VALUE(REGEXEXTRACT(TO_TEXT($F1520), Q$1 &amp; ""x(\d+)"")), """")"),"")</f>
        <v/>
      </c>
      <c r="R1520" s="9" t="str">
        <f ca="1">IFERROR(__xludf.DUMMYFUNCTION("IFERROR(VALUE(REGEXEXTRACT(TO_TEXT($F1520), R$1 &amp; ""x(\d+)"")), """")"),"")</f>
        <v/>
      </c>
      <c r="S1520" s="9" t="str">
        <f ca="1">IFERROR(__xludf.DUMMYFUNCTION("IFERROR(VALUE(REGEXEXTRACT(TO_TEXT($F1520), S$1 &amp; ""x(\d+)"")), """")"),"")</f>
        <v/>
      </c>
      <c r="T1520" s="9" t="str">
        <f ca="1">IFERROR(__xludf.DUMMYFUNCTION("IFERROR(VALUE(REGEXEXTRACT(TO_TEXT($F1520), T$1 &amp; ""x(\d+)"")), """")"),"")</f>
        <v/>
      </c>
      <c r="U1520" s="9" t="str">
        <f ca="1">IFERROR(__xludf.DUMMYFUNCTION("IFERROR(VALUE(REGEXEXTRACT(TO_TEXT($F1520), U$1 &amp; ""x(\d+)"")), """")"),"")</f>
        <v/>
      </c>
      <c r="V1520" s="9" t="str">
        <f ca="1">IFERROR(__xludf.DUMMYFUNCTION("IFERROR(VALUE(REGEXEXTRACT(TO_TEXT($F1520), V$1 &amp; ""x(\d+)"")), """")"),"")</f>
        <v/>
      </c>
      <c r="W1520" s="9"/>
      <c r="X1520" s="9"/>
      <c r="Y1520" s="9"/>
      <c r="Z1520" s="9"/>
    </row>
    <row r="1521" spans="1:26" ht="15.75" customHeight="1">
      <c r="A1521" s="9" t="s">
        <v>2578</v>
      </c>
      <c r="B1521" s="9" t="s">
        <v>2579</v>
      </c>
      <c r="C1521" s="9" t="s">
        <v>2580</v>
      </c>
      <c r="D1521" s="9" t="s">
        <v>48</v>
      </c>
      <c r="E1521" s="9" t="s">
        <v>12</v>
      </c>
      <c r="F1521" s="9" t="s">
        <v>2058</v>
      </c>
      <c r="G1521" s="9">
        <v>125</v>
      </c>
      <c r="H1521" s="9">
        <v>5</v>
      </c>
      <c r="I1521" s="9">
        <v>1.0149999999999999</v>
      </c>
      <c r="J1521" s="9">
        <v>52</v>
      </c>
      <c r="K1521" s="9" t="s">
        <v>424</v>
      </c>
      <c r="L1521" s="9" t="s">
        <v>2059</v>
      </c>
      <c r="M1521" s="9"/>
      <c r="N1521" s="9" t="str">
        <f ca="1">IFERROR(__xludf.DUMMYFUNCTION("IFERROR(VALUE(REGEXEXTRACT(TO_TEXT($F1521), N$1 &amp; ""x(\d+)"")), """")
"),"")</f>
        <v/>
      </c>
      <c r="O1521" s="9" t="str">
        <f ca="1">IFERROR(__xludf.DUMMYFUNCTION("IFERROR(VALUE(REGEXEXTRACT(TO_TEXT($F1521), O$1 &amp; ""x(\d+)"")), """")"),"")</f>
        <v/>
      </c>
      <c r="P1521" s="9">
        <f ca="1">IFERROR(__xludf.DUMMYFUNCTION("IFERROR(VALUE(REGEXEXTRACT(TO_TEXT($F1521), P$1 &amp; ""x(\d+)"")), """")"),1)</f>
        <v>1</v>
      </c>
      <c r="Q1521" s="9" t="str">
        <f ca="1">IFERROR(__xludf.DUMMYFUNCTION("IFERROR(VALUE(REGEXEXTRACT(TO_TEXT($F1521), Q$1 &amp; ""x(\d+)"")), """")"),"")</f>
        <v/>
      </c>
      <c r="R1521" s="9">
        <f ca="1">IFERROR(__xludf.DUMMYFUNCTION("IFERROR(VALUE(REGEXEXTRACT(TO_TEXT($F1521), R$1 &amp; ""x(\d+)"")), """")"),1)</f>
        <v>1</v>
      </c>
      <c r="S1521" s="9" t="str">
        <f ca="1">IFERROR(__xludf.DUMMYFUNCTION("IFERROR(VALUE(REGEXEXTRACT(TO_TEXT($F1521), S$1 &amp; ""x(\d+)"")), """")"),"")</f>
        <v/>
      </c>
      <c r="T1521" s="9">
        <f ca="1">IFERROR(__xludf.DUMMYFUNCTION("IFERROR(VALUE(REGEXEXTRACT(TO_TEXT($F1521), T$1 &amp; ""x(\d+)"")), """")"),1)</f>
        <v>1</v>
      </c>
      <c r="U1521" s="9" t="str">
        <f ca="1">IFERROR(__xludf.DUMMYFUNCTION("IFERROR(VALUE(REGEXEXTRACT(TO_TEXT($F1521), U$1 &amp; ""x(\d+)"")), """")"),"")</f>
        <v/>
      </c>
      <c r="V1521" s="9" t="str">
        <f ca="1">IFERROR(__xludf.DUMMYFUNCTION("IFERROR(VALUE(REGEXEXTRACT(TO_TEXT($F1521), V$1 &amp; ""x(\d+)"")), """")"),"")</f>
        <v/>
      </c>
      <c r="W1521" s="9"/>
      <c r="X1521" s="9"/>
      <c r="Y1521" s="9"/>
      <c r="Z1521" s="9"/>
    </row>
    <row r="1522" spans="1:26" ht="15.75" customHeight="1">
      <c r="A1522" s="9" t="s">
        <v>2578</v>
      </c>
      <c r="B1522" s="9" t="s">
        <v>2579</v>
      </c>
      <c r="C1522" s="9" t="s">
        <v>2580</v>
      </c>
      <c r="D1522" s="9" t="s">
        <v>48</v>
      </c>
      <c r="E1522" s="9" t="s">
        <v>13</v>
      </c>
      <c r="F1522" s="9" t="s">
        <v>1201</v>
      </c>
      <c r="G1522" s="9">
        <v>30</v>
      </c>
      <c r="H1522" s="9">
        <v>5</v>
      </c>
      <c r="I1522" s="9">
        <v>1.0149999999999999</v>
      </c>
      <c r="J1522" s="9">
        <v>52</v>
      </c>
      <c r="K1522" s="9" t="s">
        <v>424</v>
      </c>
      <c r="L1522" s="9"/>
      <c r="M1522" s="9"/>
      <c r="N1522" s="9" t="str">
        <f ca="1">IFERROR(__xludf.DUMMYFUNCTION("IFERROR(VALUE(REGEXEXTRACT(TO_TEXT($F1522), N$1 &amp; ""x(\d+)"")), """")
"),"")</f>
        <v/>
      </c>
      <c r="O1522" s="9" t="str">
        <f ca="1">IFERROR(__xludf.DUMMYFUNCTION("IFERROR(VALUE(REGEXEXTRACT(TO_TEXT($F1522), O$1 &amp; ""x(\d+)"")), """")"),"")</f>
        <v/>
      </c>
      <c r="P1522" s="9">
        <f ca="1">IFERROR(__xludf.DUMMYFUNCTION("IFERROR(VALUE(REGEXEXTRACT(TO_TEXT($F1522), P$1 &amp; ""x(\d+)"")), """")"),1)</f>
        <v>1</v>
      </c>
      <c r="Q1522" s="9" t="str">
        <f ca="1">IFERROR(__xludf.DUMMYFUNCTION("IFERROR(VALUE(REGEXEXTRACT(TO_TEXT($F1522), Q$1 &amp; ""x(\d+)"")), """")"),"")</f>
        <v/>
      </c>
      <c r="R1522" s="9" t="str">
        <f ca="1">IFERROR(__xludf.DUMMYFUNCTION("IFERROR(VALUE(REGEXEXTRACT(TO_TEXT($F1522), R$1 &amp; ""x(\d+)"")), """")"),"")</f>
        <v/>
      </c>
      <c r="S1522" s="9" t="str">
        <f ca="1">IFERROR(__xludf.DUMMYFUNCTION("IFERROR(VALUE(REGEXEXTRACT(TO_TEXT($F1522), S$1 &amp; ""x(\d+)"")), """")"),"")</f>
        <v/>
      </c>
      <c r="T1522" s="9" t="str">
        <f ca="1">IFERROR(__xludf.DUMMYFUNCTION("IFERROR(VALUE(REGEXEXTRACT(TO_TEXT($F1522), T$1 &amp; ""x(\d+)"")), """")"),"")</f>
        <v/>
      </c>
      <c r="U1522" s="9" t="str">
        <f ca="1">IFERROR(__xludf.DUMMYFUNCTION("IFERROR(VALUE(REGEXEXTRACT(TO_TEXT($F1522), U$1 &amp; ""x(\d+)"")), """")"),"")</f>
        <v/>
      </c>
      <c r="V1522" s="9" t="str">
        <f ca="1">IFERROR(__xludf.DUMMYFUNCTION("IFERROR(VALUE(REGEXEXTRACT(TO_TEXT($F1522), V$1 &amp; ""x(\d+)"")), """")"),"")</f>
        <v/>
      </c>
      <c r="W1522" s="9"/>
      <c r="X1522" s="9"/>
      <c r="Y1522" s="9"/>
      <c r="Z1522" s="9"/>
    </row>
    <row r="1523" spans="1:26" ht="15.75" customHeight="1">
      <c r="A1523" s="9" t="s">
        <v>2578</v>
      </c>
      <c r="B1523" s="9" t="s">
        <v>2579</v>
      </c>
      <c r="C1523" s="9" t="s">
        <v>2580</v>
      </c>
      <c r="D1523" s="9" t="s">
        <v>74</v>
      </c>
      <c r="E1523" s="9" t="s">
        <v>11</v>
      </c>
      <c r="F1523" s="9" t="s">
        <v>1204</v>
      </c>
      <c r="G1523" s="9">
        <v>30</v>
      </c>
      <c r="H1523" s="9">
        <v>3</v>
      </c>
      <c r="I1523" s="9">
        <v>1.0149999999999999</v>
      </c>
      <c r="J1523" s="9">
        <v>103</v>
      </c>
      <c r="K1523" s="9" t="s">
        <v>424</v>
      </c>
      <c r="L1523" s="9"/>
      <c r="M1523" s="9"/>
      <c r="N1523" s="9" t="str">
        <f ca="1">IFERROR(__xludf.DUMMYFUNCTION("IFERROR(VALUE(REGEXEXTRACT(TO_TEXT($F1523), N$1 &amp; ""x(\d+)"")), """")
"),"")</f>
        <v/>
      </c>
      <c r="O1523" s="9" t="str">
        <f ca="1">IFERROR(__xludf.DUMMYFUNCTION("IFERROR(VALUE(REGEXEXTRACT(TO_TEXT($F1523), O$1 &amp; ""x(\d+)"")), """")"),"")</f>
        <v/>
      </c>
      <c r="P1523" s="9" t="str">
        <f ca="1">IFERROR(__xludf.DUMMYFUNCTION("IFERROR(VALUE(REGEXEXTRACT(TO_TEXT($F1523), P$1 &amp; ""x(\d+)"")), """")"),"")</f>
        <v/>
      </c>
      <c r="Q1523" s="9" t="str">
        <f ca="1">IFERROR(__xludf.DUMMYFUNCTION("IFERROR(VALUE(REGEXEXTRACT(TO_TEXT($F1523), Q$1 &amp; ""x(\d+)"")), """")"),"")</f>
        <v/>
      </c>
      <c r="R1523" s="9" t="str">
        <f ca="1">IFERROR(__xludf.DUMMYFUNCTION("IFERROR(VALUE(REGEXEXTRACT(TO_TEXT($F1523), R$1 &amp; ""x(\d+)"")), """")"),"")</f>
        <v/>
      </c>
      <c r="S1523" s="9" t="str">
        <f ca="1">IFERROR(__xludf.DUMMYFUNCTION("IFERROR(VALUE(REGEXEXTRACT(TO_TEXT($F1523), S$1 &amp; ""x(\d+)"")), """")"),"")</f>
        <v/>
      </c>
      <c r="T1523" s="9" t="str">
        <f ca="1">IFERROR(__xludf.DUMMYFUNCTION("IFERROR(VALUE(REGEXEXTRACT(TO_TEXT($F1523), T$1 &amp; ""x(\d+)"")), """")"),"")</f>
        <v/>
      </c>
      <c r="U1523" s="9" t="str">
        <f ca="1">IFERROR(__xludf.DUMMYFUNCTION("IFERROR(VALUE(REGEXEXTRACT(TO_TEXT($F1523), U$1 &amp; ""x(\d+)"")), """")"),"")</f>
        <v/>
      </c>
      <c r="V1523" s="9" t="str">
        <f ca="1">IFERROR(__xludf.DUMMYFUNCTION("IFERROR(VALUE(REGEXEXTRACT(TO_TEXT($F1523), V$1 &amp; ""x(\d+)"")), """")"),"")</f>
        <v/>
      </c>
      <c r="W1523" s="9"/>
      <c r="X1523" s="9"/>
      <c r="Y1523" s="9"/>
      <c r="Z1523" s="9"/>
    </row>
    <row r="1524" spans="1:26" ht="15.75" customHeight="1">
      <c r="A1524" s="9" t="s">
        <v>2578</v>
      </c>
      <c r="B1524" s="9" t="s">
        <v>2579</v>
      </c>
      <c r="C1524" s="9" t="s">
        <v>2580</v>
      </c>
      <c r="D1524" s="9" t="s">
        <v>74</v>
      </c>
      <c r="E1524" s="9" t="s">
        <v>12</v>
      </c>
      <c r="F1524" s="9" t="s">
        <v>2118</v>
      </c>
      <c r="G1524" s="9">
        <v>180</v>
      </c>
      <c r="H1524" s="9">
        <v>3</v>
      </c>
      <c r="I1524" s="9">
        <v>1.0149999999999999</v>
      </c>
      <c r="J1524" s="9">
        <v>103</v>
      </c>
      <c r="K1524" s="9" t="s">
        <v>424</v>
      </c>
      <c r="L1524" s="9" t="s">
        <v>1210</v>
      </c>
      <c r="M1524" s="9"/>
      <c r="N1524" s="9" t="str">
        <f ca="1">IFERROR(__xludf.DUMMYFUNCTION("IFERROR(VALUE(REGEXEXTRACT(TO_TEXT($F1524), N$1 &amp; ""x(\d+)"")), """")
"),"")</f>
        <v/>
      </c>
      <c r="O1524" s="9" t="str">
        <f ca="1">IFERROR(__xludf.DUMMYFUNCTION("IFERROR(VALUE(REGEXEXTRACT(TO_TEXT($F1524), O$1 &amp; ""x(\d+)"")), """")"),"")</f>
        <v/>
      </c>
      <c r="P1524" s="9" t="str">
        <f ca="1">IFERROR(__xludf.DUMMYFUNCTION("IFERROR(VALUE(REGEXEXTRACT(TO_TEXT($F1524), P$1 &amp; ""x(\d+)"")), """")"),"")</f>
        <v/>
      </c>
      <c r="Q1524" s="9">
        <f ca="1">IFERROR(__xludf.DUMMYFUNCTION("IFERROR(VALUE(REGEXEXTRACT(TO_TEXT($F1524), Q$1 &amp; ""x(\d+)"")), """")"),1)</f>
        <v>1</v>
      </c>
      <c r="R1524" s="9" t="str">
        <f ca="1">IFERROR(__xludf.DUMMYFUNCTION("IFERROR(VALUE(REGEXEXTRACT(TO_TEXT($F1524), R$1 &amp; ""x(\d+)"")), """")"),"")</f>
        <v/>
      </c>
      <c r="S1524" s="9" t="str">
        <f ca="1">IFERROR(__xludf.DUMMYFUNCTION("IFERROR(VALUE(REGEXEXTRACT(TO_TEXT($F1524), S$1 &amp; ""x(\d+)"")), """")"),"")</f>
        <v/>
      </c>
      <c r="T1524" s="9" t="str">
        <f ca="1">IFERROR(__xludf.DUMMYFUNCTION("IFERROR(VALUE(REGEXEXTRACT(TO_TEXT($F1524), T$1 &amp; ""x(\d+)"")), """")"),"")</f>
        <v/>
      </c>
      <c r="U1524" s="9" t="str">
        <f ca="1">IFERROR(__xludf.DUMMYFUNCTION("IFERROR(VALUE(REGEXEXTRACT(TO_TEXT($F1524), U$1 &amp; ""x(\d+)"")), """")"),"")</f>
        <v/>
      </c>
      <c r="V1524" s="9" t="str">
        <f ca="1">IFERROR(__xludf.DUMMYFUNCTION("IFERROR(VALUE(REGEXEXTRACT(TO_TEXT($F1524), V$1 &amp; ""x(\d+)"")), """")"),"")</f>
        <v/>
      </c>
      <c r="W1524" s="9"/>
      <c r="X1524" s="9"/>
      <c r="Y1524" s="9"/>
      <c r="Z1524" s="9"/>
    </row>
    <row r="1525" spans="1:26" ht="15.75" customHeight="1">
      <c r="A1525" s="9" t="s">
        <v>2578</v>
      </c>
      <c r="B1525" s="9" t="s">
        <v>2579</v>
      </c>
      <c r="C1525" s="9" t="s">
        <v>2580</v>
      </c>
      <c r="D1525" s="9" t="s">
        <v>74</v>
      </c>
      <c r="E1525" s="9" t="s">
        <v>13</v>
      </c>
      <c r="F1525" s="9" t="s">
        <v>1233</v>
      </c>
      <c r="G1525" s="9">
        <v>40</v>
      </c>
      <c r="H1525" s="9">
        <v>3</v>
      </c>
      <c r="I1525" s="9">
        <v>1.0149999999999999</v>
      </c>
      <c r="J1525" s="9">
        <v>103</v>
      </c>
      <c r="K1525" s="9" t="s">
        <v>424</v>
      </c>
      <c r="L1525" s="9"/>
      <c r="M1525" s="9"/>
      <c r="N1525" s="9" t="str">
        <f ca="1">IFERROR(__xludf.DUMMYFUNCTION("IFERROR(VALUE(REGEXEXTRACT(TO_TEXT($F1525), N$1 &amp; ""x(\d+)"")), """")
"),"")</f>
        <v/>
      </c>
      <c r="O1525" s="9" t="str">
        <f ca="1">IFERROR(__xludf.DUMMYFUNCTION("IFERROR(VALUE(REGEXEXTRACT(TO_TEXT($F1525), O$1 &amp; ""x(\d+)"")), """")"),"")</f>
        <v/>
      </c>
      <c r="P1525" s="9" t="str">
        <f ca="1">IFERROR(__xludf.DUMMYFUNCTION("IFERROR(VALUE(REGEXEXTRACT(TO_TEXT($F1525), P$1 &amp; ""x(\d+)"")), """")"),"")</f>
        <v/>
      </c>
      <c r="Q1525" s="9">
        <f ca="1">IFERROR(__xludf.DUMMYFUNCTION("IFERROR(VALUE(REGEXEXTRACT(TO_TEXT($F1525), Q$1 &amp; ""x(\d+)"")), """")"),1)</f>
        <v>1</v>
      </c>
      <c r="R1525" s="9" t="str">
        <f ca="1">IFERROR(__xludf.DUMMYFUNCTION("IFERROR(VALUE(REGEXEXTRACT(TO_TEXT($F1525), R$1 &amp; ""x(\d+)"")), """")"),"")</f>
        <v/>
      </c>
      <c r="S1525" s="9" t="str">
        <f ca="1">IFERROR(__xludf.DUMMYFUNCTION("IFERROR(VALUE(REGEXEXTRACT(TO_TEXT($F1525), S$1 &amp; ""x(\d+)"")), """")"),"")</f>
        <v/>
      </c>
      <c r="T1525" s="9" t="str">
        <f ca="1">IFERROR(__xludf.DUMMYFUNCTION("IFERROR(VALUE(REGEXEXTRACT(TO_TEXT($F1525), T$1 &amp; ""x(\d+)"")), """")"),"")</f>
        <v/>
      </c>
      <c r="U1525" s="9" t="str">
        <f ca="1">IFERROR(__xludf.DUMMYFUNCTION("IFERROR(VALUE(REGEXEXTRACT(TO_TEXT($F1525), U$1 &amp; ""x(\d+)"")), """")"),"")</f>
        <v/>
      </c>
      <c r="V1525" s="9" t="str">
        <f ca="1">IFERROR(__xludf.DUMMYFUNCTION("IFERROR(VALUE(REGEXEXTRACT(TO_TEXT($F1525), V$1 &amp; ""x(\d+)"")), """")"),"")</f>
        <v/>
      </c>
      <c r="W1525" s="9"/>
      <c r="X1525" s="9"/>
      <c r="Y1525" s="9"/>
      <c r="Z1525" s="9"/>
    </row>
    <row r="1526" spans="1:26" ht="15.75" customHeight="1">
      <c r="A1526" s="9" t="s">
        <v>2581</v>
      </c>
      <c r="B1526" s="9" t="s">
        <v>2582</v>
      </c>
      <c r="C1526" s="9" t="s">
        <v>2583</v>
      </c>
      <c r="D1526" s="9" t="s">
        <v>33</v>
      </c>
      <c r="E1526" s="9" t="s">
        <v>12</v>
      </c>
      <c r="F1526" s="9" t="s">
        <v>1363</v>
      </c>
      <c r="G1526" s="9">
        <v>45</v>
      </c>
      <c r="H1526" s="9">
        <v>2</v>
      </c>
      <c r="I1526" s="9">
        <v>1.0149999999999999</v>
      </c>
      <c r="J1526" s="9">
        <v>80</v>
      </c>
      <c r="K1526" s="9" t="s">
        <v>2377</v>
      </c>
      <c r="L1526" s="9"/>
      <c r="M1526" s="9"/>
      <c r="N1526" s="9" t="str">
        <f ca="1">IFERROR(__xludf.DUMMYFUNCTION("IFERROR(VALUE(REGEXEXTRACT(TO_TEXT($F1526), N$1 &amp; ""x(\d+)"")), """")
"),"")</f>
        <v/>
      </c>
      <c r="O1526" s="9">
        <f ca="1">IFERROR(__xludf.DUMMYFUNCTION("IFERROR(VALUE(REGEXEXTRACT(TO_TEXT($F1526), O$1 &amp; ""x(\d+)"")), """")"),1)</f>
        <v>1</v>
      </c>
      <c r="P1526" s="9" t="str">
        <f ca="1">IFERROR(__xludf.DUMMYFUNCTION("IFERROR(VALUE(REGEXEXTRACT(TO_TEXT($F1526), P$1 &amp; ""x(\d+)"")), """")"),"")</f>
        <v/>
      </c>
      <c r="Q1526" s="9" t="str">
        <f ca="1">IFERROR(__xludf.DUMMYFUNCTION("IFERROR(VALUE(REGEXEXTRACT(TO_TEXT($F1526), Q$1 &amp; ""x(\d+)"")), """")"),"")</f>
        <v/>
      </c>
      <c r="R1526" s="9" t="str">
        <f ca="1">IFERROR(__xludf.DUMMYFUNCTION("IFERROR(VALUE(REGEXEXTRACT(TO_TEXT($F1526), R$1 &amp; ""x(\d+)"")), """")"),"")</f>
        <v/>
      </c>
      <c r="S1526" s="9" t="str">
        <f ca="1">IFERROR(__xludf.DUMMYFUNCTION("IFERROR(VALUE(REGEXEXTRACT(TO_TEXT($F1526), S$1 &amp; ""x(\d+)"")), """")"),"")</f>
        <v/>
      </c>
      <c r="T1526" s="9" t="str">
        <f ca="1">IFERROR(__xludf.DUMMYFUNCTION("IFERROR(VALUE(REGEXEXTRACT(TO_TEXT($F1526), T$1 &amp; ""x(\d+)"")), """")"),"")</f>
        <v/>
      </c>
      <c r="U1526" s="9" t="str">
        <f ca="1">IFERROR(__xludf.DUMMYFUNCTION("IFERROR(VALUE(REGEXEXTRACT(TO_TEXT($F1526), U$1 &amp; ""x(\d+)"")), """")"),"")</f>
        <v/>
      </c>
      <c r="V1526" s="9" t="str">
        <f ca="1">IFERROR(__xludf.DUMMYFUNCTION("IFERROR(VALUE(REGEXEXTRACT(TO_TEXT($F1526), V$1 &amp; ""x(\d+)"")), """")"),"")</f>
        <v/>
      </c>
      <c r="W1526" s="9"/>
      <c r="X1526" s="9"/>
      <c r="Y1526" s="9"/>
      <c r="Z1526" s="9"/>
    </row>
    <row r="1527" spans="1:26" ht="15.75" customHeight="1">
      <c r="A1527" s="9" t="s">
        <v>2581</v>
      </c>
      <c r="B1527" s="9" t="s">
        <v>2582</v>
      </c>
      <c r="C1527" s="9" t="s">
        <v>2583</v>
      </c>
      <c r="D1527" s="9" t="s">
        <v>33</v>
      </c>
      <c r="E1527" s="9" t="s">
        <v>13</v>
      </c>
      <c r="F1527" s="9" t="s">
        <v>1364</v>
      </c>
      <c r="G1527" s="9">
        <v>10</v>
      </c>
      <c r="H1527" s="9">
        <v>2</v>
      </c>
      <c r="I1527" s="9">
        <v>1.0149999999999999</v>
      </c>
      <c r="J1527" s="9">
        <v>80</v>
      </c>
      <c r="K1527" s="9" t="s">
        <v>2377</v>
      </c>
      <c r="L1527" s="9"/>
      <c r="M1527" s="9"/>
      <c r="N1527" s="9" t="str">
        <f ca="1">IFERROR(__xludf.DUMMYFUNCTION("IFERROR(VALUE(REGEXEXTRACT(TO_TEXT($F1527), N$1 &amp; ""x(\d+)"")), """")
"),"")</f>
        <v/>
      </c>
      <c r="O1527" s="9">
        <f ca="1">IFERROR(__xludf.DUMMYFUNCTION("IFERROR(VALUE(REGEXEXTRACT(TO_TEXT($F1527), O$1 &amp; ""x(\d+)"")), """")"),1)</f>
        <v>1</v>
      </c>
      <c r="P1527" s="9" t="str">
        <f ca="1">IFERROR(__xludf.DUMMYFUNCTION("IFERROR(VALUE(REGEXEXTRACT(TO_TEXT($F1527), P$1 &amp; ""x(\d+)"")), """")"),"")</f>
        <v/>
      </c>
      <c r="Q1527" s="9" t="str">
        <f ca="1">IFERROR(__xludf.DUMMYFUNCTION("IFERROR(VALUE(REGEXEXTRACT(TO_TEXT($F1527), Q$1 &amp; ""x(\d+)"")), """")"),"")</f>
        <v/>
      </c>
      <c r="R1527" s="9" t="str">
        <f ca="1">IFERROR(__xludf.DUMMYFUNCTION("IFERROR(VALUE(REGEXEXTRACT(TO_TEXT($F1527), R$1 &amp; ""x(\d+)"")), """")"),"")</f>
        <v/>
      </c>
      <c r="S1527" s="9" t="str">
        <f ca="1">IFERROR(__xludf.DUMMYFUNCTION("IFERROR(VALUE(REGEXEXTRACT(TO_TEXT($F1527), S$1 &amp; ""x(\d+)"")), """")"),"")</f>
        <v/>
      </c>
      <c r="T1527" s="9" t="str">
        <f ca="1">IFERROR(__xludf.DUMMYFUNCTION("IFERROR(VALUE(REGEXEXTRACT(TO_TEXT($F1527), T$1 &amp; ""x(\d+)"")), """")"),"")</f>
        <v/>
      </c>
      <c r="U1527" s="9" t="str">
        <f ca="1">IFERROR(__xludf.DUMMYFUNCTION("IFERROR(VALUE(REGEXEXTRACT(TO_TEXT($F1527), U$1 &amp; ""x(\d+)"")), """")"),"")</f>
        <v/>
      </c>
      <c r="V1527" s="9" t="str">
        <f ca="1">IFERROR(__xludf.DUMMYFUNCTION("IFERROR(VALUE(REGEXEXTRACT(TO_TEXT($F1527), V$1 &amp; ""x(\d+)"")), """")"),"")</f>
        <v/>
      </c>
      <c r="W1527" s="9"/>
      <c r="X1527" s="9"/>
      <c r="Y1527" s="9"/>
      <c r="Z1527" s="9"/>
    </row>
    <row r="1528" spans="1:26" ht="15.75" customHeight="1">
      <c r="A1528" s="9" t="s">
        <v>2581</v>
      </c>
      <c r="B1528" s="9" t="s">
        <v>2582</v>
      </c>
      <c r="C1528" s="9" t="s">
        <v>2583</v>
      </c>
      <c r="D1528" s="9" t="s">
        <v>33</v>
      </c>
      <c r="E1528" s="9" t="s">
        <v>12</v>
      </c>
      <c r="F1528" s="9" t="s">
        <v>2584</v>
      </c>
      <c r="G1528" s="9">
        <v>30</v>
      </c>
      <c r="H1528" s="9">
        <v>2</v>
      </c>
      <c r="I1528" s="9">
        <v>1.0149999999999999</v>
      </c>
      <c r="J1528" s="9">
        <v>110</v>
      </c>
      <c r="K1528" s="9" t="s">
        <v>2380</v>
      </c>
      <c r="L1528" s="9"/>
      <c r="M1528" s="9"/>
      <c r="N1528" s="9" t="str">
        <f ca="1">IFERROR(__xludf.DUMMYFUNCTION("IFERROR(VALUE(REGEXEXTRACT(TO_TEXT($F1528), N$1 &amp; ""x(\d+)"")), """")
"),"")</f>
        <v/>
      </c>
      <c r="O1528" s="9">
        <f ca="1">IFERROR(__xludf.DUMMYFUNCTION("IFERROR(VALUE(REGEXEXTRACT(TO_TEXT($F1528), O$1 &amp; ""x(\d+)"")), """")"),1)</f>
        <v>1</v>
      </c>
      <c r="P1528" s="9" t="str">
        <f ca="1">IFERROR(__xludf.DUMMYFUNCTION("IFERROR(VALUE(REGEXEXTRACT(TO_TEXT($F1528), P$1 &amp; ""x(\d+)"")), """")"),"")</f>
        <v/>
      </c>
      <c r="Q1528" s="9" t="str">
        <f ca="1">IFERROR(__xludf.DUMMYFUNCTION("IFERROR(VALUE(REGEXEXTRACT(TO_TEXT($F1528), Q$1 &amp; ""x(\d+)"")), """")"),"")</f>
        <v/>
      </c>
      <c r="R1528" s="9" t="str">
        <f ca="1">IFERROR(__xludf.DUMMYFUNCTION("IFERROR(VALUE(REGEXEXTRACT(TO_TEXT($F1528), R$1 &amp; ""x(\d+)"")), """")"),"")</f>
        <v/>
      </c>
      <c r="S1528" s="9" t="str">
        <f ca="1">IFERROR(__xludf.DUMMYFUNCTION("IFERROR(VALUE(REGEXEXTRACT(TO_TEXT($F1528), S$1 &amp; ""x(\d+)"")), """")"),"")</f>
        <v/>
      </c>
      <c r="T1528" s="9" t="str">
        <f ca="1">IFERROR(__xludf.DUMMYFUNCTION("IFERROR(VALUE(REGEXEXTRACT(TO_TEXT($F1528), T$1 &amp; ""x(\d+)"")), """")"),"")</f>
        <v/>
      </c>
      <c r="U1528" s="9" t="str">
        <f ca="1">IFERROR(__xludf.DUMMYFUNCTION("IFERROR(VALUE(REGEXEXTRACT(TO_TEXT($F1528), U$1 &amp; ""x(\d+)"")), """")"),"")</f>
        <v/>
      </c>
      <c r="V1528" s="9" t="str">
        <f ca="1">IFERROR(__xludf.DUMMYFUNCTION("IFERROR(VALUE(REGEXEXTRACT(TO_TEXT($F1528), V$1 &amp; ""x(\d+)"")), """")"),"")</f>
        <v/>
      </c>
      <c r="W1528" s="9"/>
      <c r="X1528" s="9"/>
      <c r="Y1528" s="9"/>
      <c r="Z1528" s="9"/>
    </row>
    <row r="1529" spans="1:26" ht="15.75" customHeight="1">
      <c r="A1529" s="9" t="s">
        <v>2581</v>
      </c>
      <c r="B1529" s="9" t="s">
        <v>2582</v>
      </c>
      <c r="C1529" s="9" t="s">
        <v>2583</v>
      </c>
      <c r="D1529" s="9" t="s">
        <v>33</v>
      </c>
      <c r="E1529" s="9" t="s">
        <v>13</v>
      </c>
      <c r="F1529" s="9" t="s">
        <v>1364</v>
      </c>
      <c r="G1529" s="9">
        <v>10</v>
      </c>
      <c r="H1529" s="9">
        <v>2</v>
      </c>
      <c r="I1529" s="9">
        <v>1.0149999999999999</v>
      </c>
      <c r="J1529" s="9">
        <v>110</v>
      </c>
      <c r="K1529" s="9" t="s">
        <v>2380</v>
      </c>
      <c r="L1529" s="9"/>
      <c r="M1529" s="9"/>
      <c r="N1529" s="9" t="str">
        <f ca="1">IFERROR(__xludf.DUMMYFUNCTION("IFERROR(VALUE(REGEXEXTRACT(TO_TEXT($F1529), N$1 &amp; ""x(\d+)"")), """")
"),"")</f>
        <v/>
      </c>
      <c r="O1529" s="9">
        <f ca="1">IFERROR(__xludf.DUMMYFUNCTION("IFERROR(VALUE(REGEXEXTRACT(TO_TEXT($F1529), O$1 &amp; ""x(\d+)"")), """")"),1)</f>
        <v>1</v>
      </c>
      <c r="P1529" s="9" t="str">
        <f ca="1">IFERROR(__xludf.DUMMYFUNCTION("IFERROR(VALUE(REGEXEXTRACT(TO_TEXT($F1529), P$1 &amp; ""x(\d+)"")), """")"),"")</f>
        <v/>
      </c>
      <c r="Q1529" s="9" t="str">
        <f ca="1">IFERROR(__xludf.DUMMYFUNCTION("IFERROR(VALUE(REGEXEXTRACT(TO_TEXT($F1529), Q$1 &amp; ""x(\d+)"")), """")"),"")</f>
        <v/>
      </c>
      <c r="R1529" s="9" t="str">
        <f ca="1">IFERROR(__xludf.DUMMYFUNCTION("IFERROR(VALUE(REGEXEXTRACT(TO_TEXT($F1529), R$1 &amp; ""x(\d+)"")), """")"),"")</f>
        <v/>
      </c>
      <c r="S1529" s="9" t="str">
        <f ca="1">IFERROR(__xludf.DUMMYFUNCTION("IFERROR(VALUE(REGEXEXTRACT(TO_TEXT($F1529), S$1 &amp; ""x(\d+)"")), """")"),"")</f>
        <v/>
      </c>
      <c r="T1529" s="9" t="str">
        <f ca="1">IFERROR(__xludf.DUMMYFUNCTION("IFERROR(VALUE(REGEXEXTRACT(TO_TEXT($F1529), T$1 &amp; ""x(\d+)"")), """")"),"")</f>
        <v/>
      </c>
      <c r="U1529" s="9" t="str">
        <f ca="1">IFERROR(__xludf.DUMMYFUNCTION("IFERROR(VALUE(REGEXEXTRACT(TO_TEXT($F1529), U$1 &amp; ""x(\d+)"")), """")"),"")</f>
        <v/>
      </c>
      <c r="V1529" s="9" t="str">
        <f ca="1">IFERROR(__xludf.DUMMYFUNCTION("IFERROR(VALUE(REGEXEXTRACT(TO_TEXT($F1529), V$1 &amp; ""x(\d+)"")), """")"),"")</f>
        <v/>
      </c>
      <c r="W1529" s="9"/>
      <c r="X1529" s="9"/>
      <c r="Y1529" s="9"/>
      <c r="Z1529" s="9"/>
    </row>
    <row r="1530" spans="1:26" ht="15.75" customHeight="1">
      <c r="A1530" s="9" t="s">
        <v>2581</v>
      </c>
      <c r="B1530" s="9" t="s">
        <v>2582</v>
      </c>
      <c r="C1530" s="9" t="s">
        <v>2583</v>
      </c>
      <c r="D1530" s="9" t="s">
        <v>40</v>
      </c>
      <c r="E1530" s="9" t="s">
        <v>12</v>
      </c>
      <c r="F1530" s="9" t="s">
        <v>2443</v>
      </c>
      <c r="G1530" s="9">
        <v>70</v>
      </c>
      <c r="H1530" s="9">
        <v>2</v>
      </c>
      <c r="I1530" s="9">
        <v>1.0149999999999999</v>
      </c>
      <c r="J1530" s="9">
        <v>410</v>
      </c>
      <c r="K1530" s="9" t="s">
        <v>2380</v>
      </c>
      <c r="L1530" s="9"/>
      <c r="M1530" s="9"/>
      <c r="N1530" s="9" t="str">
        <f ca="1">IFERROR(__xludf.DUMMYFUNCTION("IFERROR(VALUE(REGEXEXTRACT(TO_TEXT($F1530), N$1 &amp; ""x(\d+)"")), """")
"),"")</f>
        <v/>
      </c>
      <c r="O1530" s="9" t="str">
        <f ca="1">IFERROR(__xludf.DUMMYFUNCTION("IFERROR(VALUE(REGEXEXTRACT(TO_TEXT($F1530), O$1 &amp; ""x(\d+)"")), """")"),"")</f>
        <v/>
      </c>
      <c r="P1530" s="9" t="str">
        <f ca="1">IFERROR(__xludf.DUMMYFUNCTION("IFERROR(VALUE(REGEXEXTRACT(TO_TEXT($F1530), P$1 &amp; ""x(\d+)"")), """")"),"")</f>
        <v/>
      </c>
      <c r="Q1530" s="9" t="str">
        <f ca="1">IFERROR(__xludf.DUMMYFUNCTION("IFERROR(VALUE(REGEXEXTRACT(TO_TEXT($F1530), Q$1 &amp; ""x(\d+)"")), """")"),"")</f>
        <v/>
      </c>
      <c r="R1530" s="9" t="str">
        <f ca="1">IFERROR(__xludf.DUMMYFUNCTION("IFERROR(VALUE(REGEXEXTRACT(TO_TEXT($F1530), R$1 &amp; ""x(\d+)"")), """")"),"")</f>
        <v/>
      </c>
      <c r="S1530" s="9">
        <f ca="1">IFERROR(__xludf.DUMMYFUNCTION("IFERROR(VALUE(REGEXEXTRACT(TO_TEXT($F1530), S$1 &amp; ""x(\d+)"")), """")"),1)</f>
        <v>1</v>
      </c>
      <c r="T1530" s="9" t="str">
        <f ca="1">IFERROR(__xludf.DUMMYFUNCTION("IFERROR(VALUE(REGEXEXTRACT(TO_TEXT($F1530), T$1 &amp; ""x(\d+)"")), """")"),"")</f>
        <v/>
      </c>
      <c r="U1530" s="9" t="str">
        <f ca="1">IFERROR(__xludf.DUMMYFUNCTION("IFERROR(VALUE(REGEXEXTRACT(TO_TEXT($F1530), U$1 &amp; ""x(\d+)"")), """")"),"")</f>
        <v/>
      </c>
      <c r="V1530" s="9" t="str">
        <f ca="1">IFERROR(__xludf.DUMMYFUNCTION("IFERROR(VALUE(REGEXEXTRACT(TO_TEXT($F1530), V$1 &amp; ""x(\d+)"")), """")"),"")</f>
        <v/>
      </c>
      <c r="W1530" s="9"/>
      <c r="X1530" s="9"/>
      <c r="Y1530" s="9"/>
      <c r="Z1530" s="9"/>
    </row>
    <row r="1531" spans="1:26" ht="15.75" customHeight="1">
      <c r="A1531" s="9" t="s">
        <v>2581</v>
      </c>
      <c r="B1531" s="9" t="s">
        <v>2582</v>
      </c>
      <c r="C1531" s="9" t="s">
        <v>2583</v>
      </c>
      <c r="D1531" s="9" t="s">
        <v>40</v>
      </c>
      <c r="E1531" s="9" t="s">
        <v>13</v>
      </c>
      <c r="F1531" s="9" t="s">
        <v>1173</v>
      </c>
      <c r="G1531" s="9">
        <v>30</v>
      </c>
      <c r="H1531" s="9">
        <v>2</v>
      </c>
      <c r="I1531" s="9">
        <v>1.0149999999999999</v>
      </c>
      <c r="J1531" s="9">
        <v>410</v>
      </c>
      <c r="K1531" s="9" t="s">
        <v>2380</v>
      </c>
      <c r="L1531" s="9"/>
      <c r="M1531" s="9"/>
      <c r="N1531" s="9" t="str">
        <f ca="1">IFERROR(__xludf.DUMMYFUNCTION("IFERROR(VALUE(REGEXEXTRACT(TO_TEXT($F1531), N$1 &amp; ""x(\d+)"")), """")
"),"")</f>
        <v/>
      </c>
      <c r="O1531" s="9" t="str">
        <f ca="1">IFERROR(__xludf.DUMMYFUNCTION("IFERROR(VALUE(REGEXEXTRACT(TO_TEXT($F1531), O$1 &amp; ""x(\d+)"")), """")"),"")</f>
        <v/>
      </c>
      <c r="P1531" s="9" t="str">
        <f ca="1">IFERROR(__xludf.DUMMYFUNCTION("IFERROR(VALUE(REGEXEXTRACT(TO_TEXT($F1531), P$1 &amp; ""x(\d+)"")), """")"),"")</f>
        <v/>
      </c>
      <c r="Q1531" s="9" t="str">
        <f ca="1">IFERROR(__xludf.DUMMYFUNCTION("IFERROR(VALUE(REGEXEXTRACT(TO_TEXT($F1531), Q$1 &amp; ""x(\d+)"")), """")"),"")</f>
        <v/>
      </c>
      <c r="R1531" s="9" t="str">
        <f ca="1">IFERROR(__xludf.DUMMYFUNCTION("IFERROR(VALUE(REGEXEXTRACT(TO_TEXT($F1531), R$1 &amp; ""x(\d+)"")), """")"),"")</f>
        <v/>
      </c>
      <c r="S1531" s="9">
        <f ca="1">IFERROR(__xludf.DUMMYFUNCTION("IFERROR(VALUE(REGEXEXTRACT(TO_TEXT($F1531), S$1 &amp; ""x(\d+)"")), """")"),1)</f>
        <v>1</v>
      </c>
      <c r="T1531" s="9" t="str">
        <f ca="1">IFERROR(__xludf.DUMMYFUNCTION("IFERROR(VALUE(REGEXEXTRACT(TO_TEXT($F1531), T$1 &amp; ""x(\d+)"")), """")"),"")</f>
        <v/>
      </c>
      <c r="U1531" s="9" t="str">
        <f ca="1">IFERROR(__xludf.DUMMYFUNCTION("IFERROR(VALUE(REGEXEXTRACT(TO_TEXT($F1531), U$1 &amp; ""x(\d+)"")), """")"),"")</f>
        <v/>
      </c>
      <c r="V1531" s="9" t="str">
        <f ca="1">IFERROR(__xludf.DUMMYFUNCTION("IFERROR(VALUE(REGEXEXTRACT(TO_TEXT($F1531), V$1 &amp; ""x(\d+)"")), """")"),"")</f>
        <v/>
      </c>
      <c r="W1531" s="9"/>
      <c r="X1531" s="9"/>
      <c r="Y1531" s="9"/>
      <c r="Z1531" s="9"/>
    </row>
    <row r="1532" spans="1:26" ht="15.75" customHeight="1">
      <c r="A1532" s="9" t="s">
        <v>2585</v>
      </c>
      <c r="B1532" s="9" t="s">
        <v>2586</v>
      </c>
      <c r="C1532" s="9" t="s">
        <v>2587</v>
      </c>
      <c r="D1532" s="9" t="s">
        <v>48</v>
      </c>
      <c r="E1532" s="9" t="s">
        <v>11</v>
      </c>
      <c r="F1532" s="9" t="s">
        <v>1224</v>
      </c>
      <c r="G1532" s="9">
        <v>25</v>
      </c>
      <c r="H1532" s="9">
        <v>3</v>
      </c>
      <c r="I1532" s="9">
        <v>1.0149999999999999</v>
      </c>
      <c r="J1532" s="9">
        <v>52.5</v>
      </c>
      <c r="K1532" s="9" t="s">
        <v>424</v>
      </c>
      <c r="L1532" s="9"/>
      <c r="M1532" s="9"/>
      <c r="N1532" s="9" t="str">
        <f ca="1">IFERROR(__xludf.DUMMYFUNCTION("IFERROR(VALUE(REGEXEXTRACT(TO_TEXT($F1532), N$1 &amp; ""x(\d+)"")), """")
"),"")</f>
        <v/>
      </c>
      <c r="O1532" s="9" t="str">
        <f ca="1">IFERROR(__xludf.DUMMYFUNCTION("IFERROR(VALUE(REGEXEXTRACT(TO_TEXT($F1532), O$1 &amp; ""x(\d+)"")), """")"),"")</f>
        <v/>
      </c>
      <c r="P1532" s="9" t="str">
        <f ca="1">IFERROR(__xludf.DUMMYFUNCTION("IFERROR(VALUE(REGEXEXTRACT(TO_TEXT($F1532), P$1 &amp; ""x(\d+)"")), """")"),"")</f>
        <v/>
      </c>
      <c r="Q1532" s="9" t="str">
        <f ca="1">IFERROR(__xludf.DUMMYFUNCTION("IFERROR(VALUE(REGEXEXTRACT(TO_TEXT($F1532), Q$1 &amp; ""x(\d+)"")), """")"),"")</f>
        <v/>
      </c>
      <c r="R1532" s="9" t="str">
        <f ca="1">IFERROR(__xludf.DUMMYFUNCTION("IFERROR(VALUE(REGEXEXTRACT(TO_TEXT($F1532), R$1 &amp; ""x(\d+)"")), """")"),"")</f>
        <v/>
      </c>
      <c r="S1532" s="9" t="str">
        <f ca="1">IFERROR(__xludf.DUMMYFUNCTION("IFERROR(VALUE(REGEXEXTRACT(TO_TEXT($F1532), S$1 &amp; ""x(\d+)"")), """")"),"")</f>
        <v/>
      </c>
      <c r="T1532" s="9" t="str">
        <f ca="1">IFERROR(__xludf.DUMMYFUNCTION("IFERROR(VALUE(REGEXEXTRACT(TO_TEXT($F1532), T$1 &amp; ""x(\d+)"")), """")"),"")</f>
        <v/>
      </c>
      <c r="U1532" s="9" t="str">
        <f ca="1">IFERROR(__xludf.DUMMYFUNCTION("IFERROR(VALUE(REGEXEXTRACT(TO_TEXT($F1532), U$1 &amp; ""x(\d+)"")), """")"),"")</f>
        <v/>
      </c>
      <c r="V1532" s="9" t="str">
        <f ca="1">IFERROR(__xludf.DUMMYFUNCTION("IFERROR(VALUE(REGEXEXTRACT(TO_TEXT($F1532), V$1 &amp; ""x(\d+)"")), """")"),"")</f>
        <v/>
      </c>
      <c r="W1532" s="9"/>
      <c r="X1532" s="9"/>
      <c r="Y1532" s="9"/>
      <c r="Z1532" s="9"/>
    </row>
    <row r="1533" spans="1:26" ht="15.75" customHeight="1">
      <c r="A1533" s="9" t="s">
        <v>2585</v>
      </c>
      <c r="B1533" s="9" t="s">
        <v>2586</v>
      </c>
      <c r="C1533" s="9" t="s">
        <v>2587</v>
      </c>
      <c r="D1533" s="9" t="s">
        <v>48</v>
      </c>
      <c r="E1533" s="9" t="s">
        <v>12</v>
      </c>
      <c r="F1533" s="9" t="s">
        <v>1539</v>
      </c>
      <c r="G1533" s="9">
        <v>150</v>
      </c>
      <c r="H1533" s="9">
        <v>3</v>
      </c>
      <c r="I1533" s="9">
        <v>1.0149999999999999</v>
      </c>
      <c r="J1533" s="9">
        <v>52.5</v>
      </c>
      <c r="K1533" s="9" t="s">
        <v>424</v>
      </c>
      <c r="L1533" s="9" t="s">
        <v>1035</v>
      </c>
      <c r="M1533" s="9"/>
      <c r="N1533" s="9" t="str">
        <f ca="1">IFERROR(__xludf.DUMMYFUNCTION("IFERROR(VALUE(REGEXEXTRACT(TO_TEXT($F1533), N$1 &amp; ""x(\d+)"")), """")
"),"")</f>
        <v/>
      </c>
      <c r="O1533" s="9" t="str">
        <f ca="1">IFERROR(__xludf.DUMMYFUNCTION("IFERROR(VALUE(REGEXEXTRACT(TO_TEXT($F1533), O$1 &amp; ""x(\d+)"")), """")"),"")</f>
        <v/>
      </c>
      <c r="P1533" s="9">
        <f ca="1">IFERROR(__xludf.DUMMYFUNCTION("IFERROR(VALUE(REGEXEXTRACT(TO_TEXT($F1533), P$1 &amp; ""x(\d+)"")), """")"),1)</f>
        <v>1</v>
      </c>
      <c r="Q1533" s="9" t="str">
        <f ca="1">IFERROR(__xludf.DUMMYFUNCTION("IFERROR(VALUE(REGEXEXTRACT(TO_TEXT($F1533), Q$1 &amp; ""x(\d+)"")), """")"),"")</f>
        <v/>
      </c>
      <c r="R1533" s="9" t="str">
        <f ca="1">IFERROR(__xludf.DUMMYFUNCTION("IFERROR(VALUE(REGEXEXTRACT(TO_TEXT($F1533), R$1 &amp; ""x(\d+)"")), """")"),"")</f>
        <v/>
      </c>
      <c r="S1533" s="9" t="str">
        <f ca="1">IFERROR(__xludf.DUMMYFUNCTION("IFERROR(VALUE(REGEXEXTRACT(TO_TEXT($F1533), S$1 &amp; ""x(\d+)"")), """")"),"")</f>
        <v/>
      </c>
      <c r="T1533" s="9" t="str">
        <f ca="1">IFERROR(__xludf.DUMMYFUNCTION("IFERROR(VALUE(REGEXEXTRACT(TO_TEXT($F1533), T$1 &amp; ""x(\d+)"")), """")"),"")</f>
        <v/>
      </c>
      <c r="U1533" s="9" t="str">
        <f ca="1">IFERROR(__xludf.DUMMYFUNCTION("IFERROR(VALUE(REGEXEXTRACT(TO_TEXT($F1533), U$1 &amp; ""x(\d+)"")), """")"),"")</f>
        <v/>
      </c>
      <c r="V1533" s="9" t="str">
        <f ca="1">IFERROR(__xludf.DUMMYFUNCTION("IFERROR(VALUE(REGEXEXTRACT(TO_TEXT($F1533), V$1 &amp; ""x(\d+)"")), """")"),"")</f>
        <v/>
      </c>
      <c r="W1533" s="9"/>
      <c r="X1533" s="9"/>
      <c r="Y1533" s="9"/>
      <c r="Z1533" s="9"/>
    </row>
    <row r="1534" spans="1:26" ht="15.75" customHeight="1">
      <c r="A1534" s="9" t="s">
        <v>2585</v>
      </c>
      <c r="B1534" s="9" t="s">
        <v>2586</v>
      </c>
      <c r="C1534" s="9" t="s">
        <v>2587</v>
      </c>
      <c r="D1534" s="9" t="s">
        <v>48</v>
      </c>
      <c r="E1534" s="9" t="s">
        <v>13</v>
      </c>
      <c r="F1534" s="9" t="s">
        <v>1206</v>
      </c>
      <c r="G1534" s="9">
        <v>30</v>
      </c>
      <c r="H1534" s="9">
        <v>3</v>
      </c>
      <c r="I1534" s="9">
        <v>1.0149999999999999</v>
      </c>
      <c r="J1534" s="9">
        <v>52.5</v>
      </c>
      <c r="K1534" s="9" t="s">
        <v>424</v>
      </c>
      <c r="L1534" s="9"/>
      <c r="M1534" s="9"/>
      <c r="N1534" s="9" t="str">
        <f ca="1">IFERROR(__xludf.DUMMYFUNCTION("IFERROR(VALUE(REGEXEXTRACT(TO_TEXT($F1534), N$1 &amp; ""x(\d+)"")), """")
"),"")</f>
        <v/>
      </c>
      <c r="O1534" s="9" t="str">
        <f ca="1">IFERROR(__xludf.DUMMYFUNCTION("IFERROR(VALUE(REGEXEXTRACT(TO_TEXT($F1534), O$1 &amp; ""x(\d+)"")), """")"),"")</f>
        <v/>
      </c>
      <c r="P1534" s="9">
        <f ca="1">IFERROR(__xludf.DUMMYFUNCTION("IFERROR(VALUE(REGEXEXTRACT(TO_TEXT($F1534), P$1 &amp; ""x(\d+)"")), """")"),1)</f>
        <v>1</v>
      </c>
      <c r="Q1534" s="9" t="str">
        <f ca="1">IFERROR(__xludf.DUMMYFUNCTION("IFERROR(VALUE(REGEXEXTRACT(TO_TEXT($F1534), Q$1 &amp; ""x(\d+)"")), """")"),"")</f>
        <v/>
      </c>
      <c r="R1534" s="9" t="str">
        <f ca="1">IFERROR(__xludf.DUMMYFUNCTION("IFERROR(VALUE(REGEXEXTRACT(TO_TEXT($F1534), R$1 &amp; ""x(\d+)"")), """")"),"")</f>
        <v/>
      </c>
      <c r="S1534" s="9" t="str">
        <f ca="1">IFERROR(__xludf.DUMMYFUNCTION("IFERROR(VALUE(REGEXEXTRACT(TO_TEXT($F1534), S$1 &amp; ""x(\d+)"")), """")"),"")</f>
        <v/>
      </c>
      <c r="T1534" s="9" t="str">
        <f ca="1">IFERROR(__xludf.DUMMYFUNCTION("IFERROR(VALUE(REGEXEXTRACT(TO_TEXT($F1534), T$1 &amp; ""x(\d+)"")), """")"),"")</f>
        <v/>
      </c>
      <c r="U1534" s="9" t="str">
        <f ca="1">IFERROR(__xludf.DUMMYFUNCTION("IFERROR(VALUE(REGEXEXTRACT(TO_TEXT($F1534), U$1 &amp; ""x(\d+)"")), """")"),"")</f>
        <v/>
      </c>
      <c r="V1534" s="9" t="str">
        <f ca="1">IFERROR(__xludf.DUMMYFUNCTION("IFERROR(VALUE(REGEXEXTRACT(TO_TEXT($F1534), V$1 &amp; ""x(\d+)"")), """")"),"")</f>
        <v/>
      </c>
      <c r="W1534" s="9"/>
      <c r="X1534" s="9"/>
      <c r="Y1534" s="9"/>
      <c r="Z1534" s="9"/>
    </row>
    <row r="1535" spans="1:26" ht="15.75" customHeight="1">
      <c r="A1535" s="9" t="s">
        <v>2585</v>
      </c>
      <c r="B1535" s="9" t="s">
        <v>2586</v>
      </c>
      <c r="C1535" s="9" t="s">
        <v>2587</v>
      </c>
      <c r="D1535" s="9" t="s">
        <v>74</v>
      </c>
      <c r="E1535" s="9" t="s">
        <v>11</v>
      </c>
      <c r="F1535" s="9" t="s">
        <v>1224</v>
      </c>
      <c r="G1535" s="9">
        <v>25</v>
      </c>
      <c r="H1535" s="9">
        <v>3</v>
      </c>
      <c r="I1535" s="9">
        <v>1.0149999999999999</v>
      </c>
      <c r="J1535" s="9">
        <v>80</v>
      </c>
      <c r="K1535" s="9" t="s">
        <v>424</v>
      </c>
      <c r="L1535" s="9"/>
      <c r="M1535" s="9"/>
      <c r="N1535" s="9" t="str">
        <f ca="1">IFERROR(__xludf.DUMMYFUNCTION("IFERROR(VALUE(REGEXEXTRACT(TO_TEXT($F1535), N$1 &amp; ""x(\d+)"")), """")
"),"")</f>
        <v/>
      </c>
      <c r="O1535" s="9" t="str">
        <f ca="1">IFERROR(__xludf.DUMMYFUNCTION("IFERROR(VALUE(REGEXEXTRACT(TO_TEXT($F1535), O$1 &amp; ""x(\d+)"")), """")"),"")</f>
        <v/>
      </c>
      <c r="P1535" s="9" t="str">
        <f ca="1">IFERROR(__xludf.DUMMYFUNCTION("IFERROR(VALUE(REGEXEXTRACT(TO_TEXT($F1535), P$1 &amp; ""x(\d+)"")), """")"),"")</f>
        <v/>
      </c>
      <c r="Q1535" s="9" t="str">
        <f ca="1">IFERROR(__xludf.DUMMYFUNCTION("IFERROR(VALUE(REGEXEXTRACT(TO_TEXT($F1535), Q$1 &amp; ""x(\d+)"")), """")"),"")</f>
        <v/>
      </c>
      <c r="R1535" s="9" t="str">
        <f ca="1">IFERROR(__xludf.DUMMYFUNCTION("IFERROR(VALUE(REGEXEXTRACT(TO_TEXT($F1535), R$1 &amp; ""x(\d+)"")), """")"),"")</f>
        <v/>
      </c>
      <c r="S1535" s="9" t="str">
        <f ca="1">IFERROR(__xludf.DUMMYFUNCTION("IFERROR(VALUE(REGEXEXTRACT(TO_TEXT($F1535), S$1 &amp; ""x(\d+)"")), """")"),"")</f>
        <v/>
      </c>
      <c r="T1535" s="9" t="str">
        <f ca="1">IFERROR(__xludf.DUMMYFUNCTION("IFERROR(VALUE(REGEXEXTRACT(TO_TEXT($F1535), T$1 &amp; ""x(\d+)"")), """")"),"")</f>
        <v/>
      </c>
      <c r="U1535" s="9" t="str">
        <f ca="1">IFERROR(__xludf.DUMMYFUNCTION("IFERROR(VALUE(REGEXEXTRACT(TO_TEXT($F1535), U$1 &amp; ""x(\d+)"")), """")"),"")</f>
        <v/>
      </c>
      <c r="V1535" s="9" t="str">
        <f ca="1">IFERROR(__xludf.DUMMYFUNCTION("IFERROR(VALUE(REGEXEXTRACT(TO_TEXT($F1535), V$1 &amp; ""x(\d+)"")), """")"),"")</f>
        <v/>
      </c>
      <c r="W1535" s="9"/>
      <c r="X1535" s="9"/>
      <c r="Y1535" s="9"/>
      <c r="Z1535" s="9"/>
    </row>
    <row r="1536" spans="1:26" ht="15.75" customHeight="1">
      <c r="A1536" s="9" t="s">
        <v>2585</v>
      </c>
      <c r="B1536" s="9" t="s">
        <v>2586</v>
      </c>
      <c r="C1536" s="9" t="s">
        <v>2587</v>
      </c>
      <c r="D1536" s="9" t="s">
        <v>74</v>
      </c>
      <c r="E1536" s="9" t="s">
        <v>12</v>
      </c>
      <c r="F1536" s="9" t="s">
        <v>1540</v>
      </c>
      <c r="G1536" s="9">
        <v>180</v>
      </c>
      <c r="H1536" s="9">
        <v>3</v>
      </c>
      <c r="I1536" s="9">
        <v>1.0149999999999999</v>
      </c>
      <c r="J1536" s="9">
        <v>80</v>
      </c>
      <c r="K1536" s="9" t="s">
        <v>424</v>
      </c>
      <c r="L1536" s="9" t="s">
        <v>1035</v>
      </c>
      <c r="M1536" s="9"/>
      <c r="N1536" s="9" t="str">
        <f ca="1">IFERROR(__xludf.DUMMYFUNCTION("IFERROR(VALUE(REGEXEXTRACT(TO_TEXT($F1536), N$1 &amp; ""x(\d+)"")), """")
"),"")</f>
        <v/>
      </c>
      <c r="O1536" s="9" t="str">
        <f ca="1">IFERROR(__xludf.DUMMYFUNCTION("IFERROR(VALUE(REGEXEXTRACT(TO_TEXT($F1536), O$1 &amp; ""x(\d+)"")), """")"),"")</f>
        <v/>
      </c>
      <c r="P1536" s="9" t="str">
        <f ca="1">IFERROR(__xludf.DUMMYFUNCTION("IFERROR(VALUE(REGEXEXTRACT(TO_TEXT($F1536), P$1 &amp; ""x(\d+)"")), """")"),"")</f>
        <v/>
      </c>
      <c r="Q1536" s="9">
        <f ca="1">IFERROR(__xludf.DUMMYFUNCTION("IFERROR(VALUE(REGEXEXTRACT(TO_TEXT($F1536), Q$1 &amp; ""x(\d+)"")), """")"),1)</f>
        <v>1</v>
      </c>
      <c r="R1536" s="9" t="str">
        <f ca="1">IFERROR(__xludf.DUMMYFUNCTION("IFERROR(VALUE(REGEXEXTRACT(TO_TEXT($F1536), R$1 &amp; ""x(\d+)"")), """")"),"")</f>
        <v/>
      </c>
      <c r="S1536" s="9" t="str">
        <f ca="1">IFERROR(__xludf.DUMMYFUNCTION("IFERROR(VALUE(REGEXEXTRACT(TO_TEXT($F1536), S$1 &amp; ""x(\d+)"")), """")"),"")</f>
        <v/>
      </c>
      <c r="T1536" s="9" t="str">
        <f ca="1">IFERROR(__xludf.DUMMYFUNCTION("IFERROR(VALUE(REGEXEXTRACT(TO_TEXT($F1536), T$1 &amp; ""x(\d+)"")), """")"),"")</f>
        <v/>
      </c>
      <c r="U1536" s="9" t="str">
        <f ca="1">IFERROR(__xludf.DUMMYFUNCTION("IFERROR(VALUE(REGEXEXTRACT(TO_TEXT($F1536), U$1 &amp; ""x(\d+)"")), """")"),"")</f>
        <v/>
      </c>
      <c r="V1536" s="9" t="str">
        <f ca="1">IFERROR(__xludf.DUMMYFUNCTION("IFERROR(VALUE(REGEXEXTRACT(TO_TEXT($F1536), V$1 &amp; ""x(\d+)"")), """")"),"")</f>
        <v/>
      </c>
      <c r="W1536" s="9"/>
      <c r="X1536" s="9"/>
      <c r="Y1536" s="9"/>
      <c r="Z1536" s="9"/>
    </row>
    <row r="1537" spans="1:26" ht="15.75" customHeight="1">
      <c r="A1537" s="9" t="s">
        <v>2585</v>
      </c>
      <c r="B1537" s="9" t="s">
        <v>2586</v>
      </c>
      <c r="C1537" s="9" t="s">
        <v>2587</v>
      </c>
      <c r="D1537" s="9" t="s">
        <v>74</v>
      </c>
      <c r="E1537" s="9" t="s">
        <v>13</v>
      </c>
      <c r="F1537" s="9" t="s">
        <v>1541</v>
      </c>
      <c r="G1537" s="9">
        <v>40</v>
      </c>
      <c r="H1537" s="9">
        <v>3</v>
      </c>
      <c r="I1537" s="9">
        <v>1.0149999999999999</v>
      </c>
      <c r="J1537" s="9">
        <v>80</v>
      </c>
      <c r="K1537" s="9" t="s">
        <v>424</v>
      </c>
      <c r="L1537" s="9"/>
      <c r="M1537" s="9"/>
      <c r="N1537" s="9" t="str">
        <f ca="1">IFERROR(__xludf.DUMMYFUNCTION("IFERROR(VALUE(REGEXEXTRACT(TO_TEXT($F1537), N$1 &amp; ""x(\d+)"")), """")
"),"")</f>
        <v/>
      </c>
      <c r="O1537" s="9" t="str">
        <f ca="1">IFERROR(__xludf.DUMMYFUNCTION("IFERROR(VALUE(REGEXEXTRACT(TO_TEXT($F1537), O$1 &amp; ""x(\d+)"")), """")"),"")</f>
        <v/>
      </c>
      <c r="P1537" s="9" t="str">
        <f ca="1">IFERROR(__xludf.DUMMYFUNCTION("IFERROR(VALUE(REGEXEXTRACT(TO_TEXT($F1537), P$1 &amp; ""x(\d+)"")), """")"),"")</f>
        <v/>
      </c>
      <c r="Q1537" s="9">
        <f ca="1">IFERROR(__xludf.DUMMYFUNCTION("IFERROR(VALUE(REGEXEXTRACT(TO_TEXT($F1537), Q$1 &amp; ""x(\d+)"")), """")"),1)</f>
        <v>1</v>
      </c>
      <c r="R1537" s="9" t="str">
        <f ca="1">IFERROR(__xludf.DUMMYFUNCTION("IFERROR(VALUE(REGEXEXTRACT(TO_TEXT($F1537), R$1 &amp; ""x(\d+)"")), """")"),"")</f>
        <v/>
      </c>
      <c r="S1537" s="9" t="str">
        <f ca="1">IFERROR(__xludf.DUMMYFUNCTION("IFERROR(VALUE(REGEXEXTRACT(TO_TEXT($F1537), S$1 &amp; ""x(\d+)"")), """")"),"")</f>
        <v/>
      </c>
      <c r="T1537" s="9" t="str">
        <f ca="1">IFERROR(__xludf.DUMMYFUNCTION("IFERROR(VALUE(REGEXEXTRACT(TO_TEXT($F1537), T$1 &amp; ""x(\d+)"")), """")"),"")</f>
        <v/>
      </c>
      <c r="U1537" s="9" t="str">
        <f ca="1">IFERROR(__xludf.DUMMYFUNCTION("IFERROR(VALUE(REGEXEXTRACT(TO_TEXT($F1537), U$1 &amp; ""x(\d+)"")), """")"),"")</f>
        <v/>
      </c>
      <c r="V1537" s="9" t="str">
        <f ca="1">IFERROR(__xludf.DUMMYFUNCTION("IFERROR(VALUE(REGEXEXTRACT(TO_TEXT($F1537), V$1 &amp; ""x(\d+)"")), """")"),"")</f>
        <v/>
      </c>
      <c r="W1537" s="9"/>
      <c r="X1537" s="9"/>
      <c r="Y1537" s="9"/>
      <c r="Z1537" s="9"/>
    </row>
    <row r="1538" spans="1:26" ht="15.75" customHeight="1">
      <c r="A1538" s="9" t="s">
        <v>2588</v>
      </c>
      <c r="B1538" s="9" t="s">
        <v>2586</v>
      </c>
      <c r="C1538" s="9" t="s">
        <v>2589</v>
      </c>
      <c r="D1538" s="9" t="s">
        <v>48</v>
      </c>
      <c r="E1538" s="9" t="s">
        <v>11</v>
      </c>
      <c r="F1538" s="9" t="s">
        <v>1224</v>
      </c>
      <c r="G1538" s="9">
        <v>25</v>
      </c>
      <c r="H1538" s="9">
        <v>3</v>
      </c>
      <c r="I1538" s="9">
        <v>1.0149999999999999</v>
      </c>
      <c r="J1538" s="9">
        <v>52.5</v>
      </c>
      <c r="K1538" s="9" t="s">
        <v>424</v>
      </c>
      <c r="L1538" s="9"/>
      <c r="M1538" s="9"/>
      <c r="N1538" s="9" t="str">
        <f ca="1">IFERROR(__xludf.DUMMYFUNCTION("IFERROR(VALUE(REGEXEXTRACT(TO_TEXT($F1538), N$1 &amp; ""x(\d+)"")), """")
"),"")</f>
        <v/>
      </c>
      <c r="O1538" s="9" t="str">
        <f ca="1">IFERROR(__xludf.DUMMYFUNCTION("IFERROR(VALUE(REGEXEXTRACT(TO_TEXT($F1538), O$1 &amp; ""x(\d+)"")), """")"),"")</f>
        <v/>
      </c>
      <c r="P1538" s="9" t="str">
        <f ca="1">IFERROR(__xludf.DUMMYFUNCTION("IFERROR(VALUE(REGEXEXTRACT(TO_TEXT($F1538), P$1 &amp; ""x(\d+)"")), """")"),"")</f>
        <v/>
      </c>
      <c r="Q1538" s="9" t="str">
        <f ca="1">IFERROR(__xludf.DUMMYFUNCTION("IFERROR(VALUE(REGEXEXTRACT(TO_TEXT($F1538), Q$1 &amp; ""x(\d+)"")), """")"),"")</f>
        <v/>
      </c>
      <c r="R1538" s="9" t="str">
        <f ca="1">IFERROR(__xludf.DUMMYFUNCTION("IFERROR(VALUE(REGEXEXTRACT(TO_TEXT($F1538), R$1 &amp; ""x(\d+)"")), """")"),"")</f>
        <v/>
      </c>
      <c r="S1538" s="9" t="str">
        <f ca="1">IFERROR(__xludf.DUMMYFUNCTION("IFERROR(VALUE(REGEXEXTRACT(TO_TEXT($F1538), S$1 &amp; ""x(\d+)"")), """")"),"")</f>
        <v/>
      </c>
      <c r="T1538" s="9" t="str">
        <f ca="1">IFERROR(__xludf.DUMMYFUNCTION("IFERROR(VALUE(REGEXEXTRACT(TO_TEXT($F1538), T$1 &amp; ""x(\d+)"")), """")"),"")</f>
        <v/>
      </c>
      <c r="U1538" s="9" t="str">
        <f ca="1">IFERROR(__xludf.DUMMYFUNCTION("IFERROR(VALUE(REGEXEXTRACT(TO_TEXT($F1538), U$1 &amp; ""x(\d+)"")), """")"),"")</f>
        <v/>
      </c>
      <c r="V1538" s="9" t="str">
        <f ca="1">IFERROR(__xludf.DUMMYFUNCTION("IFERROR(VALUE(REGEXEXTRACT(TO_TEXT($F1538), V$1 &amp; ""x(\d+)"")), """")"),"")</f>
        <v/>
      </c>
      <c r="W1538" s="9"/>
      <c r="X1538" s="9"/>
      <c r="Y1538" s="9"/>
      <c r="Z1538" s="9"/>
    </row>
    <row r="1539" spans="1:26" ht="15.75" customHeight="1">
      <c r="A1539" s="9" t="s">
        <v>2588</v>
      </c>
      <c r="B1539" s="9" t="s">
        <v>2586</v>
      </c>
      <c r="C1539" s="9" t="s">
        <v>2589</v>
      </c>
      <c r="D1539" s="9" t="s">
        <v>48</v>
      </c>
      <c r="E1539" s="9" t="s">
        <v>12</v>
      </c>
      <c r="F1539" s="9" t="s">
        <v>1539</v>
      </c>
      <c r="G1539" s="9">
        <v>150</v>
      </c>
      <c r="H1539" s="9">
        <v>3</v>
      </c>
      <c r="I1539" s="9">
        <v>1.0149999999999999</v>
      </c>
      <c r="J1539" s="9">
        <v>52.5</v>
      </c>
      <c r="K1539" s="9" t="s">
        <v>424</v>
      </c>
      <c r="L1539" s="9" t="s">
        <v>1035</v>
      </c>
      <c r="M1539" s="9"/>
      <c r="N1539" s="9" t="str">
        <f ca="1">IFERROR(__xludf.DUMMYFUNCTION("IFERROR(VALUE(REGEXEXTRACT(TO_TEXT($F1539), N$1 &amp; ""x(\d+)"")), """")
"),"")</f>
        <v/>
      </c>
      <c r="O1539" s="9" t="str">
        <f ca="1">IFERROR(__xludf.DUMMYFUNCTION("IFERROR(VALUE(REGEXEXTRACT(TO_TEXT($F1539), O$1 &amp; ""x(\d+)"")), """")"),"")</f>
        <v/>
      </c>
      <c r="P1539" s="9">
        <f ca="1">IFERROR(__xludf.DUMMYFUNCTION("IFERROR(VALUE(REGEXEXTRACT(TO_TEXT($F1539), P$1 &amp; ""x(\d+)"")), """")"),1)</f>
        <v>1</v>
      </c>
      <c r="Q1539" s="9" t="str">
        <f ca="1">IFERROR(__xludf.DUMMYFUNCTION("IFERROR(VALUE(REGEXEXTRACT(TO_TEXT($F1539), Q$1 &amp; ""x(\d+)"")), """")"),"")</f>
        <v/>
      </c>
      <c r="R1539" s="9" t="str">
        <f ca="1">IFERROR(__xludf.DUMMYFUNCTION("IFERROR(VALUE(REGEXEXTRACT(TO_TEXT($F1539), R$1 &amp; ""x(\d+)"")), """")"),"")</f>
        <v/>
      </c>
      <c r="S1539" s="9" t="str">
        <f ca="1">IFERROR(__xludf.DUMMYFUNCTION("IFERROR(VALUE(REGEXEXTRACT(TO_TEXT($F1539), S$1 &amp; ""x(\d+)"")), """")"),"")</f>
        <v/>
      </c>
      <c r="T1539" s="9" t="str">
        <f ca="1">IFERROR(__xludf.DUMMYFUNCTION("IFERROR(VALUE(REGEXEXTRACT(TO_TEXT($F1539), T$1 &amp; ""x(\d+)"")), """")"),"")</f>
        <v/>
      </c>
      <c r="U1539" s="9" t="str">
        <f ca="1">IFERROR(__xludf.DUMMYFUNCTION("IFERROR(VALUE(REGEXEXTRACT(TO_TEXT($F1539), U$1 &amp; ""x(\d+)"")), """")"),"")</f>
        <v/>
      </c>
      <c r="V1539" s="9" t="str">
        <f ca="1">IFERROR(__xludf.DUMMYFUNCTION("IFERROR(VALUE(REGEXEXTRACT(TO_TEXT($F1539), V$1 &amp; ""x(\d+)"")), """")"),"")</f>
        <v/>
      </c>
      <c r="W1539" s="9"/>
      <c r="X1539" s="9"/>
      <c r="Y1539" s="9"/>
      <c r="Z1539" s="9"/>
    </row>
    <row r="1540" spans="1:26" ht="15.75" customHeight="1">
      <c r="A1540" s="9" t="s">
        <v>2588</v>
      </c>
      <c r="B1540" s="9" t="s">
        <v>2586</v>
      </c>
      <c r="C1540" s="9" t="s">
        <v>2589</v>
      </c>
      <c r="D1540" s="9" t="s">
        <v>48</v>
      </c>
      <c r="E1540" s="9" t="s">
        <v>13</v>
      </c>
      <c r="F1540" s="9" t="s">
        <v>1206</v>
      </c>
      <c r="G1540" s="9">
        <v>30</v>
      </c>
      <c r="H1540" s="9">
        <v>3</v>
      </c>
      <c r="I1540" s="9">
        <v>1.0149999999999999</v>
      </c>
      <c r="J1540" s="9">
        <v>52.5</v>
      </c>
      <c r="K1540" s="9" t="s">
        <v>424</v>
      </c>
      <c r="L1540" s="9"/>
      <c r="M1540" s="9"/>
      <c r="N1540" s="9" t="str">
        <f ca="1">IFERROR(__xludf.DUMMYFUNCTION("IFERROR(VALUE(REGEXEXTRACT(TO_TEXT($F1540), N$1 &amp; ""x(\d+)"")), """")
"),"")</f>
        <v/>
      </c>
      <c r="O1540" s="9" t="str">
        <f ca="1">IFERROR(__xludf.DUMMYFUNCTION("IFERROR(VALUE(REGEXEXTRACT(TO_TEXT($F1540), O$1 &amp; ""x(\d+)"")), """")"),"")</f>
        <v/>
      </c>
      <c r="P1540" s="9">
        <f ca="1">IFERROR(__xludf.DUMMYFUNCTION("IFERROR(VALUE(REGEXEXTRACT(TO_TEXT($F1540), P$1 &amp; ""x(\d+)"")), """")"),1)</f>
        <v>1</v>
      </c>
      <c r="Q1540" s="9" t="str">
        <f ca="1">IFERROR(__xludf.DUMMYFUNCTION("IFERROR(VALUE(REGEXEXTRACT(TO_TEXT($F1540), Q$1 &amp; ""x(\d+)"")), """")"),"")</f>
        <v/>
      </c>
      <c r="R1540" s="9" t="str">
        <f ca="1">IFERROR(__xludf.DUMMYFUNCTION("IFERROR(VALUE(REGEXEXTRACT(TO_TEXT($F1540), R$1 &amp; ""x(\d+)"")), """")"),"")</f>
        <v/>
      </c>
      <c r="S1540" s="9" t="str">
        <f ca="1">IFERROR(__xludf.DUMMYFUNCTION("IFERROR(VALUE(REGEXEXTRACT(TO_TEXT($F1540), S$1 &amp; ""x(\d+)"")), """")"),"")</f>
        <v/>
      </c>
      <c r="T1540" s="9" t="str">
        <f ca="1">IFERROR(__xludf.DUMMYFUNCTION("IFERROR(VALUE(REGEXEXTRACT(TO_TEXT($F1540), T$1 &amp; ""x(\d+)"")), """")"),"")</f>
        <v/>
      </c>
      <c r="U1540" s="9" t="str">
        <f ca="1">IFERROR(__xludf.DUMMYFUNCTION("IFERROR(VALUE(REGEXEXTRACT(TO_TEXT($F1540), U$1 &amp; ""x(\d+)"")), """")"),"")</f>
        <v/>
      </c>
      <c r="V1540" s="9" t="str">
        <f ca="1">IFERROR(__xludf.DUMMYFUNCTION("IFERROR(VALUE(REGEXEXTRACT(TO_TEXT($F1540), V$1 &amp; ""x(\d+)"")), """")"),"")</f>
        <v/>
      </c>
      <c r="W1540" s="9"/>
      <c r="X1540" s="9"/>
      <c r="Y1540" s="9"/>
      <c r="Z1540" s="9"/>
    </row>
    <row r="1541" spans="1:26" ht="15.75" customHeight="1">
      <c r="A1541" s="9" t="s">
        <v>2588</v>
      </c>
      <c r="B1541" s="9" t="s">
        <v>2586</v>
      </c>
      <c r="C1541" s="9" t="s">
        <v>2589</v>
      </c>
      <c r="D1541" s="9" t="s">
        <v>74</v>
      </c>
      <c r="E1541" s="9" t="s">
        <v>11</v>
      </c>
      <c r="F1541" s="9" t="s">
        <v>1224</v>
      </c>
      <c r="G1541" s="9">
        <v>25</v>
      </c>
      <c r="H1541" s="9">
        <v>3</v>
      </c>
      <c r="I1541" s="9">
        <v>1.0149999999999999</v>
      </c>
      <c r="J1541" s="9">
        <v>80</v>
      </c>
      <c r="K1541" s="9" t="s">
        <v>424</v>
      </c>
      <c r="L1541" s="9"/>
      <c r="M1541" s="9"/>
      <c r="N1541" s="9" t="str">
        <f ca="1">IFERROR(__xludf.DUMMYFUNCTION("IFERROR(VALUE(REGEXEXTRACT(TO_TEXT($F1541), N$1 &amp; ""x(\d+)"")), """")
"),"")</f>
        <v/>
      </c>
      <c r="O1541" s="9" t="str">
        <f ca="1">IFERROR(__xludf.DUMMYFUNCTION("IFERROR(VALUE(REGEXEXTRACT(TO_TEXT($F1541), O$1 &amp; ""x(\d+)"")), """")"),"")</f>
        <v/>
      </c>
      <c r="P1541" s="9" t="str">
        <f ca="1">IFERROR(__xludf.DUMMYFUNCTION("IFERROR(VALUE(REGEXEXTRACT(TO_TEXT($F1541), P$1 &amp; ""x(\d+)"")), """")"),"")</f>
        <v/>
      </c>
      <c r="Q1541" s="9" t="str">
        <f ca="1">IFERROR(__xludf.DUMMYFUNCTION("IFERROR(VALUE(REGEXEXTRACT(TO_TEXT($F1541), Q$1 &amp; ""x(\d+)"")), """")"),"")</f>
        <v/>
      </c>
      <c r="R1541" s="9" t="str">
        <f ca="1">IFERROR(__xludf.DUMMYFUNCTION("IFERROR(VALUE(REGEXEXTRACT(TO_TEXT($F1541), R$1 &amp; ""x(\d+)"")), """")"),"")</f>
        <v/>
      </c>
      <c r="S1541" s="9" t="str">
        <f ca="1">IFERROR(__xludf.DUMMYFUNCTION("IFERROR(VALUE(REGEXEXTRACT(TO_TEXT($F1541), S$1 &amp; ""x(\d+)"")), """")"),"")</f>
        <v/>
      </c>
      <c r="T1541" s="9" t="str">
        <f ca="1">IFERROR(__xludf.DUMMYFUNCTION("IFERROR(VALUE(REGEXEXTRACT(TO_TEXT($F1541), T$1 &amp; ""x(\d+)"")), """")"),"")</f>
        <v/>
      </c>
      <c r="U1541" s="9" t="str">
        <f ca="1">IFERROR(__xludf.DUMMYFUNCTION("IFERROR(VALUE(REGEXEXTRACT(TO_TEXT($F1541), U$1 &amp; ""x(\d+)"")), """")"),"")</f>
        <v/>
      </c>
      <c r="V1541" s="9" t="str">
        <f ca="1">IFERROR(__xludf.DUMMYFUNCTION("IFERROR(VALUE(REGEXEXTRACT(TO_TEXT($F1541), V$1 &amp; ""x(\d+)"")), """")"),"")</f>
        <v/>
      </c>
      <c r="W1541" s="9"/>
      <c r="X1541" s="9"/>
      <c r="Y1541" s="9"/>
      <c r="Z1541" s="9"/>
    </row>
    <row r="1542" spans="1:26" ht="15.75" customHeight="1">
      <c r="A1542" s="9" t="s">
        <v>2588</v>
      </c>
      <c r="B1542" s="9" t="s">
        <v>2586</v>
      </c>
      <c r="C1542" s="9" t="s">
        <v>2589</v>
      </c>
      <c r="D1542" s="9" t="s">
        <v>74</v>
      </c>
      <c r="E1542" s="9" t="s">
        <v>12</v>
      </c>
      <c r="F1542" s="9" t="s">
        <v>1540</v>
      </c>
      <c r="G1542" s="9">
        <v>180</v>
      </c>
      <c r="H1542" s="9">
        <v>3</v>
      </c>
      <c r="I1542" s="9">
        <v>1.0149999999999999</v>
      </c>
      <c r="J1542" s="9">
        <v>80</v>
      </c>
      <c r="K1542" s="9" t="s">
        <v>424</v>
      </c>
      <c r="L1542" s="9" t="s">
        <v>1035</v>
      </c>
      <c r="M1542" s="9"/>
      <c r="N1542" s="9" t="str">
        <f ca="1">IFERROR(__xludf.DUMMYFUNCTION("IFERROR(VALUE(REGEXEXTRACT(TO_TEXT($F1542), N$1 &amp; ""x(\d+)"")), """")
"),"")</f>
        <v/>
      </c>
      <c r="O1542" s="9" t="str">
        <f ca="1">IFERROR(__xludf.DUMMYFUNCTION("IFERROR(VALUE(REGEXEXTRACT(TO_TEXT($F1542), O$1 &amp; ""x(\d+)"")), """")"),"")</f>
        <v/>
      </c>
      <c r="P1542" s="9" t="str">
        <f ca="1">IFERROR(__xludf.DUMMYFUNCTION("IFERROR(VALUE(REGEXEXTRACT(TO_TEXT($F1542), P$1 &amp; ""x(\d+)"")), """")"),"")</f>
        <v/>
      </c>
      <c r="Q1542" s="9">
        <f ca="1">IFERROR(__xludf.DUMMYFUNCTION("IFERROR(VALUE(REGEXEXTRACT(TO_TEXT($F1542), Q$1 &amp; ""x(\d+)"")), """")"),1)</f>
        <v>1</v>
      </c>
      <c r="R1542" s="9" t="str">
        <f ca="1">IFERROR(__xludf.DUMMYFUNCTION("IFERROR(VALUE(REGEXEXTRACT(TO_TEXT($F1542), R$1 &amp; ""x(\d+)"")), """")"),"")</f>
        <v/>
      </c>
      <c r="S1542" s="9" t="str">
        <f ca="1">IFERROR(__xludf.DUMMYFUNCTION("IFERROR(VALUE(REGEXEXTRACT(TO_TEXT($F1542), S$1 &amp; ""x(\d+)"")), """")"),"")</f>
        <v/>
      </c>
      <c r="T1542" s="9" t="str">
        <f ca="1">IFERROR(__xludf.DUMMYFUNCTION("IFERROR(VALUE(REGEXEXTRACT(TO_TEXT($F1542), T$1 &amp; ""x(\d+)"")), """")"),"")</f>
        <v/>
      </c>
      <c r="U1542" s="9" t="str">
        <f ca="1">IFERROR(__xludf.DUMMYFUNCTION("IFERROR(VALUE(REGEXEXTRACT(TO_TEXT($F1542), U$1 &amp; ""x(\d+)"")), """")"),"")</f>
        <v/>
      </c>
      <c r="V1542" s="9" t="str">
        <f ca="1">IFERROR(__xludf.DUMMYFUNCTION("IFERROR(VALUE(REGEXEXTRACT(TO_TEXT($F1542), V$1 &amp; ""x(\d+)"")), """")"),"")</f>
        <v/>
      </c>
      <c r="W1542" s="9"/>
      <c r="X1542" s="9"/>
      <c r="Y1542" s="9"/>
      <c r="Z1542" s="9"/>
    </row>
    <row r="1543" spans="1:26" ht="15.75" customHeight="1">
      <c r="A1543" s="9" t="s">
        <v>2588</v>
      </c>
      <c r="B1543" s="9" t="s">
        <v>2586</v>
      </c>
      <c r="C1543" s="9" t="s">
        <v>2589</v>
      </c>
      <c r="D1543" s="9" t="s">
        <v>74</v>
      </c>
      <c r="E1543" s="9" t="s">
        <v>13</v>
      </c>
      <c r="F1543" s="9" t="s">
        <v>1541</v>
      </c>
      <c r="G1543" s="9">
        <v>40</v>
      </c>
      <c r="H1543" s="9">
        <v>3</v>
      </c>
      <c r="I1543" s="9">
        <v>1.0149999999999999</v>
      </c>
      <c r="J1543" s="9">
        <v>80</v>
      </c>
      <c r="K1543" s="9" t="s">
        <v>424</v>
      </c>
      <c r="L1543" s="9"/>
      <c r="M1543" s="9"/>
      <c r="N1543" s="9" t="str">
        <f ca="1">IFERROR(__xludf.DUMMYFUNCTION("IFERROR(VALUE(REGEXEXTRACT(TO_TEXT($F1543), N$1 &amp; ""x(\d+)"")), """")
"),"")</f>
        <v/>
      </c>
      <c r="O1543" s="9" t="str">
        <f ca="1">IFERROR(__xludf.DUMMYFUNCTION("IFERROR(VALUE(REGEXEXTRACT(TO_TEXT($F1543), O$1 &amp; ""x(\d+)"")), """")"),"")</f>
        <v/>
      </c>
      <c r="P1543" s="9" t="str">
        <f ca="1">IFERROR(__xludf.DUMMYFUNCTION("IFERROR(VALUE(REGEXEXTRACT(TO_TEXT($F1543), P$1 &amp; ""x(\d+)"")), """")"),"")</f>
        <v/>
      </c>
      <c r="Q1543" s="9">
        <f ca="1">IFERROR(__xludf.DUMMYFUNCTION("IFERROR(VALUE(REGEXEXTRACT(TO_TEXT($F1543), Q$1 &amp; ""x(\d+)"")), """")"),1)</f>
        <v>1</v>
      </c>
      <c r="R1543" s="9" t="str">
        <f ca="1">IFERROR(__xludf.DUMMYFUNCTION("IFERROR(VALUE(REGEXEXTRACT(TO_TEXT($F1543), R$1 &amp; ""x(\d+)"")), """")"),"")</f>
        <v/>
      </c>
      <c r="S1543" s="9" t="str">
        <f ca="1">IFERROR(__xludf.DUMMYFUNCTION("IFERROR(VALUE(REGEXEXTRACT(TO_TEXT($F1543), S$1 &amp; ""x(\d+)"")), """")"),"")</f>
        <v/>
      </c>
      <c r="T1543" s="9" t="str">
        <f ca="1">IFERROR(__xludf.DUMMYFUNCTION("IFERROR(VALUE(REGEXEXTRACT(TO_TEXT($F1543), T$1 &amp; ""x(\d+)"")), """")"),"")</f>
        <v/>
      </c>
      <c r="U1543" s="9" t="str">
        <f ca="1">IFERROR(__xludf.DUMMYFUNCTION("IFERROR(VALUE(REGEXEXTRACT(TO_TEXT($F1543), U$1 &amp; ""x(\d+)"")), """")"),"")</f>
        <v/>
      </c>
      <c r="V1543" s="9" t="str">
        <f ca="1">IFERROR(__xludf.DUMMYFUNCTION("IFERROR(VALUE(REGEXEXTRACT(TO_TEXT($F1543), V$1 &amp; ""x(\d+)"")), """")"),"")</f>
        <v/>
      </c>
      <c r="W1543" s="9"/>
      <c r="X1543" s="9"/>
      <c r="Y1543" s="9"/>
      <c r="Z1543" s="9"/>
    </row>
    <row r="1544" spans="1:26" ht="15.75" customHeight="1">
      <c r="A1544" s="9" t="s">
        <v>2590</v>
      </c>
      <c r="B1544" s="9" t="s">
        <v>2586</v>
      </c>
      <c r="C1544" s="9" t="s">
        <v>2591</v>
      </c>
      <c r="D1544" s="9" t="s">
        <v>48</v>
      </c>
      <c r="E1544" s="9" t="s">
        <v>11</v>
      </c>
      <c r="F1544" s="9" t="s">
        <v>1224</v>
      </c>
      <c r="G1544" s="9">
        <v>25</v>
      </c>
      <c r="H1544" s="9">
        <v>3</v>
      </c>
      <c r="I1544" s="9">
        <v>1.0149999999999999</v>
      </c>
      <c r="J1544" s="9">
        <v>52</v>
      </c>
      <c r="K1544" s="9" t="s">
        <v>424</v>
      </c>
      <c r="L1544" s="9"/>
      <c r="M1544" s="9"/>
      <c r="N1544" s="9" t="str">
        <f ca="1">IFERROR(__xludf.DUMMYFUNCTION("IFERROR(VALUE(REGEXEXTRACT(TO_TEXT($F1544), N$1 &amp; ""x(\d+)"")), """")
"),"")</f>
        <v/>
      </c>
      <c r="O1544" s="9" t="str">
        <f ca="1">IFERROR(__xludf.DUMMYFUNCTION("IFERROR(VALUE(REGEXEXTRACT(TO_TEXT($F1544), O$1 &amp; ""x(\d+)"")), """")"),"")</f>
        <v/>
      </c>
      <c r="P1544" s="9" t="str">
        <f ca="1">IFERROR(__xludf.DUMMYFUNCTION("IFERROR(VALUE(REGEXEXTRACT(TO_TEXT($F1544), P$1 &amp; ""x(\d+)"")), """")"),"")</f>
        <v/>
      </c>
      <c r="Q1544" s="9" t="str">
        <f ca="1">IFERROR(__xludf.DUMMYFUNCTION("IFERROR(VALUE(REGEXEXTRACT(TO_TEXT($F1544), Q$1 &amp; ""x(\d+)"")), """")"),"")</f>
        <v/>
      </c>
      <c r="R1544" s="9" t="str">
        <f ca="1">IFERROR(__xludf.DUMMYFUNCTION("IFERROR(VALUE(REGEXEXTRACT(TO_TEXT($F1544), R$1 &amp; ""x(\d+)"")), """")"),"")</f>
        <v/>
      </c>
      <c r="S1544" s="9" t="str">
        <f ca="1">IFERROR(__xludf.DUMMYFUNCTION("IFERROR(VALUE(REGEXEXTRACT(TO_TEXT($F1544), S$1 &amp; ""x(\d+)"")), """")"),"")</f>
        <v/>
      </c>
      <c r="T1544" s="9" t="str">
        <f ca="1">IFERROR(__xludf.DUMMYFUNCTION("IFERROR(VALUE(REGEXEXTRACT(TO_TEXT($F1544), T$1 &amp; ""x(\d+)"")), """")"),"")</f>
        <v/>
      </c>
      <c r="U1544" s="9" t="str">
        <f ca="1">IFERROR(__xludf.DUMMYFUNCTION("IFERROR(VALUE(REGEXEXTRACT(TO_TEXT($F1544), U$1 &amp; ""x(\d+)"")), """")"),"")</f>
        <v/>
      </c>
      <c r="V1544" s="9" t="str">
        <f ca="1">IFERROR(__xludf.DUMMYFUNCTION("IFERROR(VALUE(REGEXEXTRACT(TO_TEXT($F1544), V$1 &amp; ""x(\d+)"")), """")"),"")</f>
        <v/>
      </c>
      <c r="W1544" s="9"/>
      <c r="X1544" s="9"/>
      <c r="Y1544" s="9"/>
      <c r="Z1544" s="9"/>
    </row>
    <row r="1545" spans="1:26" ht="15.75" customHeight="1">
      <c r="A1545" s="9" t="s">
        <v>2590</v>
      </c>
      <c r="B1545" s="9" t="s">
        <v>2586</v>
      </c>
      <c r="C1545" s="9" t="s">
        <v>2591</v>
      </c>
      <c r="D1545" s="9" t="s">
        <v>48</v>
      </c>
      <c r="E1545" s="9" t="s">
        <v>12</v>
      </c>
      <c r="F1545" s="9" t="s">
        <v>1539</v>
      </c>
      <c r="G1545" s="9">
        <v>150</v>
      </c>
      <c r="H1545" s="9">
        <v>3</v>
      </c>
      <c r="I1545" s="9">
        <v>1.0149999999999999</v>
      </c>
      <c r="J1545" s="9">
        <v>52</v>
      </c>
      <c r="K1545" s="9" t="s">
        <v>424</v>
      </c>
      <c r="L1545" s="9" t="s">
        <v>1035</v>
      </c>
      <c r="M1545" s="9"/>
      <c r="N1545" s="9" t="str">
        <f ca="1">IFERROR(__xludf.DUMMYFUNCTION("IFERROR(VALUE(REGEXEXTRACT(TO_TEXT($F1545), N$1 &amp; ""x(\d+)"")), """")
"),"")</f>
        <v/>
      </c>
      <c r="O1545" s="9" t="str">
        <f ca="1">IFERROR(__xludf.DUMMYFUNCTION("IFERROR(VALUE(REGEXEXTRACT(TO_TEXT($F1545), O$1 &amp; ""x(\d+)"")), """")"),"")</f>
        <v/>
      </c>
      <c r="P1545" s="9">
        <f ca="1">IFERROR(__xludf.DUMMYFUNCTION("IFERROR(VALUE(REGEXEXTRACT(TO_TEXT($F1545), P$1 &amp; ""x(\d+)"")), """")"),1)</f>
        <v>1</v>
      </c>
      <c r="Q1545" s="9" t="str">
        <f ca="1">IFERROR(__xludf.DUMMYFUNCTION("IFERROR(VALUE(REGEXEXTRACT(TO_TEXT($F1545), Q$1 &amp; ""x(\d+)"")), """")"),"")</f>
        <v/>
      </c>
      <c r="R1545" s="9" t="str">
        <f ca="1">IFERROR(__xludf.DUMMYFUNCTION("IFERROR(VALUE(REGEXEXTRACT(TO_TEXT($F1545), R$1 &amp; ""x(\d+)"")), """")"),"")</f>
        <v/>
      </c>
      <c r="S1545" s="9" t="str">
        <f ca="1">IFERROR(__xludf.DUMMYFUNCTION("IFERROR(VALUE(REGEXEXTRACT(TO_TEXT($F1545), S$1 &amp; ""x(\d+)"")), """")"),"")</f>
        <v/>
      </c>
      <c r="T1545" s="9" t="str">
        <f ca="1">IFERROR(__xludf.DUMMYFUNCTION("IFERROR(VALUE(REGEXEXTRACT(TO_TEXT($F1545), T$1 &amp; ""x(\d+)"")), """")"),"")</f>
        <v/>
      </c>
      <c r="U1545" s="9" t="str">
        <f ca="1">IFERROR(__xludf.DUMMYFUNCTION("IFERROR(VALUE(REGEXEXTRACT(TO_TEXT($F1545), U$1 &amp; ""x(\d+)"")), """")"),"")</f>
        <v/>
      </c>
      <c r="V1545" s="9" t="str">
        <f ca="1">IFERROR(__xludf.DUMMYFUNCTION("IFERROR(VALUE(REGEXEXTRACT(TO_TEXT($F1545), V$1 &amp; ""x(\d+)"")), """")"),"")</f>
        <v/>
      </c>
      <c r="W1545" s="9"/>
      <c r="X1545" s="9"/>
      <c r="Y1545" s="9"/>
      <c r="Z1545" s="9"/>
    </row>
    <row r="1546" spans="1:26" ht="15.75" customHeight="1">
      <c r="A1546" s="9" t="s">
        <v>2590</v>
      </c>
      <c r="B1546" s="9" t="s">
        <v>2586</v>
      </c>
      <c r="C1546" s="9" t="s">
        <v>2591</v>
      </c>
      <c r="D1546" s="9" t="s">
        <v>48</v>
      </c>
      <c r="E1546" s="9" t="s">
        <v>13</v>
      </c>
      <c r="F1546" s="9" t="s">
        <v>1206</v>
      </c>
      <c r="G1546" s="9">
        <v>30</v>
      </c>
      <c r="H1546" s="9">
        <v>3</v>
      </c>
      <c r="I1546" s="9">
        <v>1.0149999999999999</v>
      </c>
      <c r="J1546" s="9">
        <v>52</v>
      </c>
      <c r="K1546" s="9" t="s">
        <v>424</v>
      </c>
      <c r="L1546" s="9"/>
      <c r="M1546" s="9"/>
      <c r="N1546" s="9" t="str">
        <f ca="1">IFERROR(__xludf.DUMMYFUNCTION("IFERROR(VALUE(REGEXEXTRACT(TO_TEXT($F1546), N$1 &amp; ""x(\d+)"")), """")
"),"")</f>
        <v/>
      </c>
      <c r="O1546" s="9" t="str">
        <f ca="1">IFERROR(__xludf.DUMMYFUNCTION("IFERROR(VALUE(REGEXEXTRACT(TO_TEXT($F1546), O$1 &amp; ""x(\d+)"")), """")"),"")</f>
        <v/>
      </c>
      <c r="P1546" s="9">
        <f ca="1">IFERROR(__xludf.DUMMYFUNCTION("IFERROR(VALUE(REGEXEXTRACT(TO_TEXT($F1546), P$1 &amp; ""x(\d+)"")), """")"),1)</f>
        <v>1</v>
      </c>
      <c r="Q1546" s="9" t="str">
        <f ca="1">IFERROR(__xludf.DUMMYFUNCTION("IFERROR(VALUE(REGEXEXTRACT(TO_TEXT($F1546), Q$1 &amp; ""x(\d+)"")), """")"),"")</f>
        <v/>
      </c>
      <c r="R1546" s="9" t="str">
        <f ca="1">IFERROR(__xludf.DUMMYFUNCTION("IFERROR(VALUE(REGEXEXTRACT(TO_TEXT($F1546), R$1 &amp; ""x(\d+)"")), """")"),"")</f>
        <v/>
      </c>
      <c r="S1546" s="9" t="str">
        <f ca="1">IFERROR(__xludf.DUMMYFUNCTION("IFERROR(VALUE(REGEXEXTRACT(TO_TEXT($F1546), S$1 &amp; ""x(\d+)"")), """")"),"")</f>
        <v/>
      </c>
      <c r="T1546" s="9" t="str">
        <f ca="1">IFERROR(__xludf.DUMMYFUNCTION("IFERROR(VALUE(REGEXEXTRACT(TO_TEXT($F1546), T$1 &amp; ""x(\d+)"")), """")"),"")</f>
        <v/>
      </c>
      <c r="U1546" s="9" t="str">
        <f ca="1">IFERROR(__xludf.DUMMYFUNCTION("IFERROR(VALUE(REGEXEXTRACT(TO_TEXT($F1546), U$1 &amp; ""x(\d+)"")), """")"),"")</f>
        <v/>
      </c>
      <c r="V1546" s="9" t="str">
        <f ca="1">IFERROR(__xludf.DUMMYFUNCTION("IFERROR(VALUE(REGEXEXTRACT(TO_TEXT($F1546), V$1 &amp; ""x(\d+)"")), """")"),"")</f>
        <v/>
      </c>
      <c r="W1546" s="9"/>
      <c r="X1546" s="9"/>
      <c r="Y1546" s="9"/>
      <c r="Z1546" s="9"/>
    </row>
    <row r="1547" spans="1:26" ht="15.75" customHeight="1">
      <c r="A1547" s="9" t="s">
        <v>2590</v>
      </c>
      <c r="B1547" s="9" t="s">
        <v>2586</v>
      </c>
      <c r="C1547" s="9" t="s">
        <v>2591</v>
      </c>
      <c r="D1547" s="9" t="s">
        <v>74</v>
      </c>
      <c r="E1547" s="9" t="s">
        <v>11</v>
      </c>
      <c r="F1547" s="9" t="s">
        <v>1224</v>
      </c>
      <c r="G1547" s="9">
        <v>25</v>
      </c>
      <c r="H1547" s="9">
        <v>3</v>
      </c>
      <c r="I1547" s="9">
        <v>1.0149999999999999</v>
      </c>
      <c r="J1547" s="9">
        <v>80</v>
      </c>
      <c r="K1547" s="9" t="s">
        <v>424</v>
      </c>
      <c r="L1547" s="9"/>
      <c r="M1547" s="9"/>
      <c r="N1547" s="9" t="str">
        <f ca="1">IFERROR(__xludf.DUMMYFUNCTION("IFERROR(VALUE(REGEXEXTRACT(TO_TEXT($F1547), N$1 &amp; ""x(\d+)"")), """")
"),"")</f>
        <v/>
      </c>
      <c r="O1547" s="9" t="str">
        <f ca="1">IFERROR(__xludf.DUMMYFUNCTION("IFERROR(VALUE(REGEXEXTRACT(TO_TEXT($F1547), O$1 &amp; ""x(\d+)"")), """")"),"")</f>
        <v/>
      </c>
      <c r="P1547" s="9" t="str">
        <f ca="1">IFERROR(__xludf.DUMMYFUNCTION("IFERROR(VALUE(REGEXEXTRACT(TO_TEXT($F1547), P$1 &amp; ""x(\d+)"")), """")"),"")</f>
        <v/>
      </c>
      <c r="Q1547" s="9" t="str">
        <f ca="1">IFERROR(__xludf.DUMMYFUNCTION("IFERROR(VALUE(REGEXEXTRACT(TO_TEXT($F1547), Q$1 &amp; ""x(\d+)"")), """")"),"")</f>
        <v/>
      </c>
      <c r="R1547" s="9" t="str">
        <f ca="1">IFERROR(__xludf.DUMMYFUNCTION("IFERROR(VALUE(REGEXEXTRACT(TO_TEXT($F1547), R$1 &amp; ""x(\d+)"")), """")"),"")</f>
        <v/>
      </c>
      <c r="S1547" s="9" t="str">
        <f ca="1">IFERROR(__xludf.DUMMYFUNCTION("IFERROR(VALUE(REGEXEXTRACT(TO_TEXT($F1547), S$1 &amp; ""x(\d+)"")), """")"),"")</f>
        <v/>
      </c>
      <c r="T1547" s="9" t="str">
        <f ca="1">IFERROR(__xludf.DUMMYFUNCTION("IFERROR(VALUE(REGEXEXTRACT(TO_TEXT($F1547), T$1 &amp; ""x(\d+)"")), """")"),"")</f>
        <v/>
      </c>
      <c r="U1547" s="9" t="str">
        <f ca="1">IFERROR(__xludf.DUMMYFUNCTION("IFERROR(VALUE(REGEXEXTRACT(TO_TEXT($F1547), U$1 &amp; ""x(\d+)"")), """")"),"")</f>
        <v/>
      </c>
      <c r="V1547" s="9" t="str">
        <f ca="1">IFERROR(__xludf.DUMMYFUNCTION("IFERROR(VALUE(REGEXEXTRACT(TO_TEXT($F1547), V$1 &amp; ""x(\d+)"")), """")"),"")</f>
        <v/>
      </c>
      <c r="W1547" s="9"/>
      <c r="X1547" s="9"/>
      <c r="Y1547" s="9"/>
      <c r="Z1547" s="9"/>
    </row>
    <row r="1548" spans="1:26" ht="15.75" customHeight="1">
      <c r="A1548" s="9" t="s">
        <v>2590</v>
      </c>
      <c r="B1548" s="9" t="s">
        <v>2586</v>
      </c>
      <c r="C1548" s="9" t="s">
        <v>2591</v>
      </c>
      <c r="D1548" s="9" t="s">
        <v>74</v>
      </c>
      <c r="E1548" s="9" t="s">
        <v>12</v>
      </c>
      <c r="F1548" s="9" t="s">
        <v>1540</v>
      </c>
      <c r="G1548" s="9">
        <v>180</v>
      </c>
      <c r="H1548" s="9">
        <v>3</v>
      </c>
      <c r="I1548" s="9">
        <v>1.0149999999999999</v>
      </c>
      <c r="J1548" s="9">
        <v>80</v>
      </c>
      <c r="K1548" s="9" t="s">
        <v>424</v>
      </c>
      <c r="L1548" s="9" t="s">
        <v>1035</v>
      </c>
      <c r="M1548" s="9"/>
      <c r="N1548" s="9" t="str">
        <f ca="1">IFERROR(__xludf.DUMMYFUNCTION("IFERROR(VALUE(REGEXEXTRACT(TO_TEXT($F1548), N$1 &amp; ""x(\d+)"")), """")
"),"")</f>
        <v/>
      </c>
      <c r="O1548" s="9" t="str">
        <f ca="1">IFERROR(__xludf.DUMMYFUNCTION("IFERROR(VALUE(REGEXEXTRACT(TO_TEXT($F1548), O$1 &amp; ""x(\d+)"")), """")"),"")</f>
        <v/>
      </c>
      <c r="P1548" s="9" t="str">
        <f ca="1">IFERROR(__xludf.DUMMYFUNCTION("IFERROR(VALUE(REGEXEXTRACT(TO_TEXT($F1548), P$1 &amp; ""x(\d+)"")), """")"),"")</f>
        <v/>
      </c>
      <c r="Q1548" s="9">
        <f ca="1">IFERROR(__xludf.DUMMYFUNCTION("IFERROR(VALUE(REGEXEXTRACT(TO_TEXT($F1548), Q$1 &amp; ""x(\d+)"")), """")"),1)</f>
        <v>1</v>
      </c>
      <c r="R1548" s="9" t="str">
        <f ca="1">IFERROR(__xludf.DUMMYFUNCTION("IFERROR(VALUE(REGEXEXTRACT(TO_TEXT($F1548), R$1 &amp; ""x(\d+)"")), """")"),"")</f>
        <v/>
      </c>
      <c r="S1548" s="9" t="str">
        <f ca="1">IFERROR(__xludf.DUMMYFUNCTION("IFERROR(VALUE(REGEXEXTRACT(TO_TEXT($F1548), S$1 &amp; ""x(\d+)"")), """")"),"")</f>
        <v/>
      </c>
      <c r="T1548" s="9" t="str">
        <f ca="1">IFERROR(__xludf.DUMMYFUNCTION("IFERROR(VALUE(REGEXEXTRACT(TO_TEXT($F1548), T$1 &amp; ""x(\d+)"")), """")"),"")</f>
        <v/>
      </c>
      <c r="U1548" s="9" t="str">
        <f ca="1">IFERROR(__xludf.DUMMYFUNCTION("IFERROR(VALUE(REGEXEXTRACT(TO_TEXT($F1548), U$1 &amp; ""x(\d+)"")), """")"),"")</f>
        <v/>
      </c>
      <c r="V1548" s="9" t="str">
        <f ca="1">IFERROR(__xludf.DUMMYFUNCTION("IFERROR(VALUE(REGEXEXTRACT(TO_TEXT($F1548), V$1 &amp; ""x(\d+)"")), """")"),"")</f>
        <v/>
      </c>
      <c r="W1548" s="9"/>
      <c r="X1548" s="9"/>
      <c r="Y1548" s="9"/>
      <c r="Z1548" s="9"/>
    </row>
    <row r="1549" spans="1:26" ht="15.75" customHeight="1">
      <c r="A1549" s="9" t="s">
        <v>2590</v>
      </c>
      <c r="B1549" s="9" t="s">
        <v>2586</v>
      </c>
      <c r="C1549" s="9" t="s">
        <v>2591</v>
      </c>
      <c r="D1549" s="9" t="s">
        <v>74</v>
      </c>
      <c r="E1549" s="9" t="s">
        <v>13</v>
      </c>
      <c r="F1549" s="9" t="s">
        <v>1541</v>
      </c>
      <c r="G1549" s="9">
        <v>40</v>
      </c>
      <c r="H1549" s="9">
        <v>3</v>
      </c>
      <c r="I1549" s="9">
        <v>1.0149999999999999</v>
      </c>
      <c r="J1549" s="9">
        <v>80</v>
      </c>
      <c r="K1549" s="9" t="s">
        <v>424</v>
      </c>
      <c r="L1549" s="9"/>
      <c r="M1549" s="9"/>
      <c r="N1549" s="9" t="str">
        <f ca="1">IFERROR(__xludf.DUMMYFUNCTION("IFERROR(VALUE(REGEXEXTRACT(TO_TEXT($F1549), N$1 &amp; ""x(\d+)"")), """")
"),"")</f>
        <v/>
      </c>
      <c r="O1549" s="9" t="str">
        <f ca="1">IFERROR(__xludf.DUMMYFUNCTION("IFERROR(VALUE(REGEXEXTRACT(TO_TEXT($F1549), O$1 &amp; ""x(\d+)"")), """")"),"")</f>
        <v/>
      </c>
      <c r="P1549" s="9" t="str">
        <f ca="1">IFERROR(__xludf.DUMMYFUNCTION("IFERROR(VALUE(REGEXEXTRACT(TO_TEXT($F1549), P$1 &amp; ""x(\d+)"")), """")"),"")</f>
        <v/>
      </c>
      <c r="Q1549" s="9">
        <f ca="1">IFERROR(__xludf.DUMMYFUNCTION("IFERROR(VALUE(REGEXEXTRACT(TO_TEXT($F1549), Q$1 &amp; ""x(\d+)"")), """")"),1)</f>
        <v>1</v>
      </c>
      <c r="R1549" s="9" t="str">
        <f ca="1">IFERROR(__xludf.DUMMYFUNCTION("IFERROR(VALUE(REGEXEXTRACT(TO_TEXT($F1549), R$1 &amp; ""x(\d+)"")), """")"),"")</f>
        <v/>
      </c>
      <c r="S1549" s="9" t="str">
        <f ca="1">IFERROR(__xludf.DUMMYFUNCTION("IFERROR(VALUE(REGEXEXTRACT(TO_TEXT($F1549), S$1 &amp; ""x(\d+)"")), """")"),"")</f>
        <v/>
      </c>
      <c r="T1549" s="9" t="str">
        <f ca="1">IFERROR(__xludf.DUMMYFUNCTION("IFERROR(VALUE(REGEXEXTRACT(TO_TEXT($F1549), T$1 &amp; ""x(\d+)"")), """")"),"")</f>
        <v/>
      </c>
      <c r="U1549" s="9" t="str">
        <f ca="1">IFERROR(__xludf.DUMMYFUNCTION("IFERROR(VALUE(REGEXEXTRACT(TO_TEXT($F1549), U$1 &amp; ""x(\d+)"")), """")"),"")</f>
        <v/>
      </c>
      <c r="V1549" s="9" t="str">
        <f ca="1">IFERROR(__xludf.DUMMYFUNCTION("IFERROR(VALUE(REGEXEXTRACT(TO_TEXT($F1549), V$1 &amp; ""x(\d+)"")), """")"),"")</f>
        <v/>
      </c>
      <c r="W1549" s="9"/>
      <c r="X1549" s="9"/>
      <c r="Y1549" s="9"/>
      <c r="Z1549" s="9"/>
    </row>
    <row r="1550" spans="1:26" ht="15.75" customHeight="1">
      <c r="A1550" s="9" t="s">
        <v>2592</v>
      </c>
      <c r="B1550" s="9" t="s">
        <v>2586</v>
      </c>
      <c r="C1550" s="9" t="s">
        <v>2593</v>
      </c>
      <c r="D1550" s="9" t="s">
        <v>48</v>
      </c>
      <c r="E1550" s="9" t="s">
        <v>11</v>
      </c>
      <c r="F1550" s="9" t="s">
        <v>1224</v>
      </c>
      <c r="G1550" s="9">
        <v>25</v>
      </c>
      <c r="H1550" s="9">
        <v>3</v>
      </c>
      <c r="I1550" s="9">
        <v>1.0149999999999999</v>
      </c>
      <c r="J1550" s="9">
        <v>52</v>
      </c>
      <c r="K1550" s="9" t="s">
        <v>424</v>
      </c>
      <c r="L1550" s="9"/>
      <c r="M1550" s="9"/>
      <c r="N1550" s="9" t="str">
        <f ca="1">IFERROR(__xludf.DUMMYFUNCTION("IFERROR(VALUE(REGEXEXTRACT(TO_TEXT($F1550), N$1 &amp; ""x(\d+)"")), """")
"),"")</f>
        <v/>
      </c>
      <c r="O1550" s="9" t="str">
        <f ca="1">IFERROR(__xludf.DUMMYFUNCTION("IFERROR(VALUE(REGEXEXTRACT(TO_TEXT($F1550), O$1 &amp; ""x(\d+)"")), """")"),"")</f>
        <v/>
      </c>
      <c r="P1550" s="9" t="str">
        <f ca="1">IFERROR(__xludf.DUMMYFUNCTION("IFERROR(VALUE(REGEXEXTRACT(TO_TEXT($F1550), P$1 &amp; ""x(\d+)"")), """")"),"")</f>
        <v/>
      </c>
      <c r="Q1550" s="9" t="str">
        <f ca="1">IFERROR(__xludf.DUMMYFUNCTION("IFERROR(VALUE(REGEXEXTRACT(TO_TEXT($F1550), Q$1 &amp; ""x(\d+)"")), """")"),"")</f>
        <v/>
      </c>
      <c r="R1550" s="9" t="str">
        <f ca="1">IFERROR(__xludf.DUMMYFUNCTION("IFERROR(VALUE(REGEXEXTRACT(TO_TEXT($F1550), R$1 &amp; ""x(\d+)"")), """")"),"")</f>
        <v/>
      </c>
      <c r="S1550" s="9" t="str">
        <f ca="1">IFERROR(__xludf.DUMMYFUNCTION("IFERROR(VALUE(REGEXEXTRACT(TO_TEXT($F1550), S$1 &amp; ""x(\d+)"")), """")"),"")</f>
        <v/>
      </c>
      <c r="T1550" s="9" t="str">
        <f ca="1">IFERROR(__xludf.DUMMYFUNCTION("IFERROR(VALUE(REGEXEXTRACT(TO_TEXT($F1550), T$1 &amp; ""x(\d+)"")), """")"),"")</f>
        <v/>
      </c>
      <c r="U1550" s="9" t="str">
        <f ca="1">IFERROR(__xludf.DUMMYFUNCTION("IFERROR(VALUE(REGEXEXTRACT(TO_TEXT($F1550), U$1 &amp; ""x(\d+)"")), """")"),"")</f>
        <v/>
      </c>
      <c r="V1550" s="9" t="str">
        <f ca="1">IFERROR(__xludf.DUMMYFUNCTION("IFERROR(VALUE(REGEXEXTRACT(TO_TEXT($F1550), V$1 &amp; ""x(\d+)"")), """")"),"")</f>
        <v/>
      </c>
      <c r="W1550" s="9"/>
      <c r="X1550" s="9"/>
      <c r="Y1550" s="9"/>
      <c r="Z1550" s="9"/>
    </row>
    <row r="1551" spans="1:26" ht="15.75" customHeight="1">
      <c r="A1551" s="9" t="s">
        <v>2592</v>
      </c>
      <c r="B1551" s="9" t="s">
        <v>2586</v>
      </c>
      <c r="C1551" s="9" t="s">
        <v>2593</v>
      </c>
      <c r="D1551" s="9" t="s">
        <v>48</v>
      </c>
      <c r="E1551" s="9" t="s">
        <v>12</v>
      </c>
      <c r="F1551" s="9" t="s">
        <v>1539</v>
      </c>
      <c r="G1551" s="9">
        <v>150</v>
      </c>
      <c r="H1551" s="9">
        <v>3</v>
      </c>
      <c r="I1551" s="9">
        <v>1.0149999999999999</v>
      </c>
      <c r="J1551" s="9">
        <v>52</v>
      </c>
      <c r="K1551" s="9" t="s">
        <v>424</v>
      </c>
      <c r="L1551" s="9" t="s">
        <v>1035</v>
      </c>
      <c r="M1551" s="9"/>
      <c r="N1551" s="9" t="str">
        <f ca="1">IFERROR(__xludf.DUMMYFUNCTION("IFERROR(VALUE(REGEXEXTRACT(TO_TEXT($F1551), N$1 &amp; ""x(\d+)"")), """")
"),"")</f>
        <v/>
      </c>
      <c r="O1551" s="9" t="str">
        <f ca="1">IFERROR(__xludf.DUMMYFUNCTION("IFERROR(VALUE(REGEXEXTRACT(TO_TEXT($F1551), O$1 &amp; ""x(\d+)"")), """")"),"")</f>
        <v/>
      </c>
      <c r="P1551" s="9">
        <f ca="1">IFERROR(__xludf.DUMMYFUNCTION("IFERROR(VALUE(REGEXEXTRACT(TO_TEXT($F1551), P$1 &amp; ""x(\d+)"")), """")"),1)</f>
        <v>1</v>
      </c>
      <c r="Q1551" s="9" t="str">
        <f ca="1">IFERROR(__xludf.DUMMYFUNCTION("IFERROR(VALUE(REGEXEXTRACT(TO_TEXT($F1551), Q$1 &amp; ""x(\d+)"")), """")"),"")</f>
        <v/>
      </c>
      <c r="R1551" s="9" t="str">
        <f ca="1">IFERROR(__xludf.DUMMYFUNCTION("IFERROR(VALUE(REGEXEXTRACT(TO_TEXT($F1551), R$1 &amp; ""x(\d+)"")), """")"),"")</f>
        <v/>
      </c>
      <c r="S1551" s="9" t="str">
        <f ca="1">IFERROR(__xludf.DUMMYFUNCTION("IFERROR(VALUE(REGEXEXTRACT(TO_TEXT($F1551), S$1 &amp; ""x(\d+)"")), """")"),"")</f>
        <v/>
      </c>
      <c r="T1551" s="9" t="str">
        <f ca="1">IFERROR(__xludf.DUMMYFUNCTION("IFERROR(VALUE(REGEXEXTRACT(TO_TEXT($F1551), T$1 &amp; ""x(\d+)"")), """")"),"")</f>
        <v/>
      </c>
      <c r="U1551" s="9" t="str">
        <f ca="1">IFERROR(__xludf.DUMMYFUNCTION("IFERROR(VALUE(REGEXEXTRACT(TO_TEXT($F1551), U$1 &amp; ""x(\d+)"")), """")"),"")</f>
        <v/>
      </c>
      <c r="V1551" s="9" t="str">
        <f ca="1">IFERROR(__xludf.DUMMYFUNCTION("IFERROR(VALUE(REGEXEXTRACT(TO_TEXT($F1551), V$1 &amp; ""x(\d+)"")), """")"),"")</f>
        <v/>
      </c>
      <c r="W1551" s="9"/>
      <c r="X1551" s="9"/>
      <c r="Y1551" s="9"/>
      <c r="Z1551" s="9"/>
    </row>
    <row r="1552" spans="1:26" ht="15.75" customHeight="1">
      <c r="A1552" s="9" t="s">
        <v>2592</v>
      </c>
      <c r="B1552" s="9" t="s">
        <v>2586</v>
      </c>
      <c r="C1552" s="9" t="s">
        <v>2593</v>
      </c>
      <c r="D1552" s="9" t="s">
        <v>48</v>
      </c>
      <c r="E1552" s="9" t="s">
        <v>13</v>
      </c>
      <c r="F1552" s="9" t="s">
        <v>1206</v>
      </c>
      <c r="G1552" s="9">
        <v>30</v>
      </c>
      <c r="H1552" s="9">
        <v>3</v>
      </c>
      <c r="I1552" s="9">
        <v>1.0149999999999999</v>
      </c>
      <c r="J1552" s="9">
        <v>52</v>
      </c>
      <c r="K1552" s="9" t="s">
        <v>424</v>
      </c>
      <c r="L1552" s="9"/>
      <c r="M1552" s="9"/>
      <c r="N1552" s="9" t="str">
        <f ca="1">IFERROR(__xludf.DUMMYFUNCTION("IFERROR(VALUE(REGEXEXTRACT(TO_TEXT($F1552), N$1 &amp; ""x(\d+)"")), """")
"),"")</f>
        <v/>
      </c>
      <c r="O1552" s="9" t="str">
        <f ca="1">IFERROR(__xludf.DUMMYFUNCTION("IFERROR(VALUE(REGEXEXTRACT(TO_TEXT($F1552), O$1 &amp; ""x(\d+)"")), """")"),"")</f>
        <v/>
      </c>
      <c r="P1552" s="9">
        <f ca="1">IFERROR(__xludf.DUMMYFUNCTION("IFERROR(VALUE(REGEXEXTRACT(TO_TEXT($F1552), P$1 &amp; ""x(\d+)"")), """")"),1)</f>
        <v>1</v>
      </c>
      <c r="Q1552" s="9" t="str">
        <f ca="1">IFERROR(__xludf.DUMMYFUNCTION("IFERROR(VALUE(REGEXEXTRACT(TO_TEXT($F1552), Q$1 &amp; ""x(\d+)"")), """")"),"")</f>
        <v/>
      </c>
      <c r="R1552" s="9" t="str">
        <f ca="1">IFERROR(__xludf.DUMMYFUNCTION("IFERROR(VALUE(REGEXEXTRACT(TO_TEXT($F1552), R$1 &amp; ""x(\d+)"")), """")"),"")</f>
        <v/>
      </c>
      <c r="S1552" s="9" t="str">
        <f ca="1">IFERROR(__xludf.DUMMYFUNCTION("IFERROR(VALUE(REGEXEXTRACT(TO_TEXT($F1552), S$1 &amp; ""x(\d+)"")), """")"),"")</f>
        <v/>
      </c>
      <c r="T1552" s="9" t="str">
        <f ca="1">IFERROR(__xludf.DUMMYFUNCTION("IFERROR(VALUE(REGEXEXTRACT(TO_TEXT($F1552), T$1 &amp; ""x(\d+)"")), """")"),"")</f>
        <v/>
      </c>
      <c r="U1552" s="9" t="str">
        <f ca="1">IFERROR(__xludf.DUMMYFUNCTION("IFERROR(VALUE(REGEXEXTRACT(TO_TEXT($F1552), U$1 &amp; ""x(\d+)"")), """")"),"")</f>
        <v/>
      </c>
      <c r="V1552" s="9" t="str">
        <f ca="1">IFERROR(__xludf.DUMMYFUNCTION("IFERROR(VALUE(REGEXEXTRACT(TO_TEXT($F1552), V$1 &amp; ""x(\d+)"")), """")"),"")</f>
        <v/>
      </c>
      <c r="W1552" s="9"/>
      <c r="X1552" s="9"/>
      <c r="Y1552" s="9"/>
      <c r="Z1552" s="9"/>
    </row>
    <row r="1553" spans="1:26" ht="15.75" customHeight="1">
      <c r="A1553" s="9" t="s">
        <v>2592</v>
      </c>
      <c r="B1553" s="9" t="s">
        <v>2586</v>
      </c>
      <c r="C1553" s="9" t="s">
        <v>2593</v>
      </c>
      <c r="D1553" s="9" t="s">
        <v>74</v>
      </c>
      <c r="E1553" s="9" t="s">
        <v>11</v>
      </c>
      <c r="F1553" s="9" t="s">
        <v>1224</v>
      </c>
      <c r="G1553" s="9">
        <v>25</v>
      </c>
      <c r="H1553" s="9">
        <v>3</v>
      </c>
      <c r="I1553" s="9">
        <v>1.0149999999999999</v>
      </c>
      <c r="J1553" s="9">
        <v>80</v>
      </c>
      <c r="K1553" s="9" t="s">
        <v>424</v>
      </c>
      <c r="L1553" s="9"/>
      <c r="M1553" s="9"/>
      <c r="N1553" s="9" t="str">
        <f ca="1">IFERROR(__xludf.DUMMYFUNCTION("IFERROR(VALUE(REGEXEXTRACT(TO_TEXT($F1553), N$1 &amp; ""x(\d+)"")), """")
"),"")</f>
        <v/>
      </c>
      <c r="O1553" s="9" t="str">
        <f ca="1">IFERROR(__xludf.DUMMYFUNCTION("IFERROR(VALUE(REGEXEXTRACT(TO_TEXT($F1553), O$1 &amp; ""x(\d+)"")), """")"),"")</f>
        <v/>
      </c>
      <c r="P1553" s="9" t="str">
        <f ca="1">IFERROR(__xludf.DUMMYFUNCTION("IFERROR(VALUE(REGEXEXTRACT(TO_TEXT($F1553), P$1 &amp; ""x(\d+)"")), """")"),"")</f>
        <v/>
      </c>
      <c r="Q1553" s="9" t="str">
        <f ca="1">IFERROR(__xludf.DUMMYFUNCTION("IFERROR(VALUE(REGEXEXTRACT(TO_TEXT($F1553), Q$1 &amp; ""x(\d+)"")), """")"),"")</f>
        <v/>
      </c>
      <c r="R1553" s="9" t="str">
        <f ca="1">IFERROR(__xludf.DUMMYFUNCTION("IFERROR(VALUE(REGEXEXTRACT(TO_TEXT($F1553), R$1 &amp; ""x(\d+)"")), """")"),"")</f>
        <v/>
      </c>
      <c r="S1553" s="9" t="str">
        <f ca="1">IFERROR(__xludf.DUMMYFUNCTION("IFERROR(VALUE(REGEXEXTRACT(TO_TEXT($F1553), S$1 &amp; ""x(\d+)"")), """")"),"")</f>
        <v/>
      </c>
      <c r="T1553" s="9" t="str">
        <f ca="1">IFERROR(__xludf.DUMMYFUNCTION("IFERROR(VALUE(REGEXEXTRACT(TO_TEXT($F1553), T$1 &amp; ""x(\d+)"")), """")"),"")</f>
        <v/>
      </c>
      <c r="U1553" s="9" t="str">
        <f ca="1">IFERROR(__xludf.DUMMYFUNCTION("IFERROR(VALUE(REGEXEXTRACT(TO_TEXT($F1553), U$1 &amp; ""x(\d+)"")), """")"),"")</f>
        <v/>
      </c>
      <c r="V1553" s="9" t="str">
        <f ca="1">IFERROR(__xludf.DUMMYFUNCTION("IFERROR(VALUE(REGEXEXTRACT(TO_TEXT($F1553), V$1 &amp; ""x(\d+)"")), """")"),"")</f>
        <v/>
      </c>
      <c r="W1553" s="9"/>
      <c r="X1553" s="9"/>
      <c r="Y1553" s="9"/>
      <c r="Z1553" s="9"/>
    </row>
    <row r="1554" spans="1:26" ht="15.75" customHeight="1">
      <c r="A1554" s="9" t="s">
        <v>2592</v>
      </c>
      <c r="B1554" s="9" t="s">
        <v>2586</v>
      </c>
      <c r="C1554" s="9" t="s">
        <v>2593</v>
      </c>
      <c r="D1554" s="9" t="s">
        <v>74</v>
      </c>
      <c r="E1554" s="9" t="s">
        <v>12</v>
      </c>
      <c r="F1554" s="9" t="s">
        <v>1540</v>
      </c>
      <c r="G1554" s="9">
        <v>180</v>
      </c>
      <c r="H1554" s="9">
        <v>3</v>
      </c>
      <c r="I1554" s="9">
        <v>1.0149999999999999</v>
      </c>
      <c r="J1554" s="9">
        <v>80</v>
      </c>
      <c r="K1554" s="9" t="s">
        <v>424</v>
      </c>
      <c r="L1554" s="9" t="s">
        <v>1035</v>
      </c>
      <c r="M1554" s="9"/>
      <c r="N1554" s="9" t="str">
        <f ca="1">IFERROR(__xludf.DUMMYFUNCTION("IFERROR(VALUE(REGEXEXTRACT(TO_TEXT($F1554), N$1 &amp; ""x(\d+)"")), """")
"),"")</f>
        <v/>
      </c>
      <c r="O1554" s="9" t="str">
        <f ca="1">IFERROR(__xludf.DUMMYFUNCTION("IFERROR(VALUE(REGEXEXTRACT(TO_TEXT($F1554), O$1 &amp; ""x(\d+)"")), """")"),"")</f>
        <v/>
      </c>
      <c r="P1554" s="9" t="str">
        <f ca="1">IFERROR(__xludf.DUMMYFUNCTION("IFERROR(VALUE(REGEXEXTRACT(TO_TEXT($F1554), P$1 &amp; ""x(\d+)"")), """")"),"")</f>
        <v/>
      </c>
      <c r="Q1554" s="9">
        <f ca="1">IFERROR(__xludf.DUMMYFUNCTION("IFERROR(VALUE(REGEXEXTRACT(TO_TEXT($F1554), Q$1 &amp; ""x(\d+)"")), """")"),1)</f>
        <v>1</v>
      </c>
      <c r="R1554" s="9" t="str">
        <f ca="1">IFERROR(__xludf.DUMMYFUNCTION("IFERROR(VALUE(REGEXEXTRACT(TO_TEXT($F1554), R$1 &amp; ""x(\d+)"")), """")"),"")</f>
        <v/>
      </c>
      <c r="S1554" s="9" t="str">
        <f ca="1">IFERROR(__xludf.DUMMYFUNCTION("IFERROR(VALUE(REGEXEXTRACT(TO_TEXT($F1554), S$1 &amp; ""x(\d+)"")), """")"),"")</f>
        <v/>
      </c>
      <c r="T1554" s="9" t="str">
        <f ca="1">IFERROR(__xludf.DUMMYFUNCTION("IFERROR(VALUE(REGEXEXTRACT(TO_TEXT($F1554), T$1 &amp; ""x(\d+)"")), """")"),"")</f>
        <v/>
      </c>
      <c r="U1554" s="9" t="str">
        <f ca="1">IFERROR(__xludf.DUMMYFUNCTION("IFERROR(VALUE(REGEXEXTRACT(TO_TEXT($F1554), U$1 &amp; ""x(\d+)"")), """")"),"")</f>
        <v/>
      </c>
      <c r="V1554" s="9" t="str">
        <f ca="1">IFERROR(__xludf.DUMMYFUNCTION("IFERROR(VALUE(REGEXEXTRACT(TO_TEXT($F1554), V$1 &amp; ""x(\d+)"")), """")"),"")</f>
        <v/>
      </c>
      <c r="W1554" s="9"/>
      <c r="X1554" s="9"/>
      <c r="Y1554" s="9"/>
      <c r="Z1554" s="9"/>
    </row>
    <row r="1555" spans="1:26" ht="15.75" customHeight="1">
      <c r="A1555" s="9" t="s">
        <v>2592</v>
      </c>
      <c r="B1555" s="9" t="s">
        <v>2586</v>
      </c>
      <c r="C1555" s="9" t="s">
        <v>2593</v>
      </c>
      <c r="D1555" s="9" t="s">
        <v>74</v>
      </c>
      <c r="E1555" s="9" t="s">
        <v>13</v>
      </c>
      <c r="F1555" s="9" t="s">
        <v>1541</v>
      </c>
      <c r="G1555" s="9">
        <v>40</v>
      </c>
      <c r="H1555" s="9">
        <v>3</v>
      </c>
      <c r="I1555" s="9">
        <v>1.0149999999999999</v>
      </c>
      <c r="J1555" s="9">
        <v>80</v>
      </c>
      <c r="K1555" s="9" t="s">
        <v>424</v>
      </c>
      <c r="L1555" s="9"/>
      <c r="M1555" s="9"/>
      <c r="N1555" s="9" t="str">
        <f ca="1">IFERROR(__xludf.DUMMYFUNCTION("IFERROR(VALUE(REGEXEXTRACT(TO_TEXT($F1555), N$1 &amp; ""x(\d+)"")), """")
"),"")</f>
        <v/>
      </c>
      <c r="O1555" s="9" t="str">
        <f ca="1">IFERROR(__xludf.DUMMYFUNCTION("IFERROR(VALUE(REGEXEXTRACT(TO_TEXT($F1555), O$1 &amp; ""x(\d+)"")), """")"),"")</f>
        <v/>
      </c>
      <c r="P1555" s="9" t="str">
        <f ca="1">IFERROR(__xludf.DUMMYFUNCTION("IFERROR(VALUE(REGEXEXTRACT(TO_TEXT($F1555), P$1 &amp; ""x(\d+)"")), """")"),"")</f>
        <v/>
      </c>
      <c r="Q1555" s="9">
        <f ca="1">IFERROR(__xludf.DUMMYFUNCTION("IFERROR(VALUE(REGEXEXTRACT(TO_TEXT($F1555), Q$1 &amp; ""x(\d+)"")), """")"),1)</f>
        <v>1</v>
      </c>
      <c r="R1555" s="9" t="str">
        <f ca="1">IFERROR(__xludf.DUMMYFUNCTION("IFERROR(VALUE(REGEXEXTRACT(TO_TEXT($F1555), R$1 &amp; ""x(\d+)"")), """")"),"")</f>
        <v/>
      </c>
      <c r="S1555" s="9" t="str">
        <f ca="1">IFERROR(__xludf.DUMMYFUNCTION("IFERROR(VALUE(REGEXEXTRACT(TO_TEXT($F1555), S$1 &amp; ""x(\d+)"")), """")"),"")</f>
        <v/>
      </c>
      <c r="T1555" s="9" t="str">
        <f ca="1">IFERROR(__xludf.DUMMYFUNCTION("IFERROR(VALUE(REGEXEXTRACT(TO_TEXT($F1555), T$1 &amp; ""x(\d+)"")), """")"),"")</f>
        <v/>
      </c>
      <c r="U1555" s="9" t="str">
        <f ca="1">IFERROR(__xludf.DUMMYFUNCTION("IFERROR(VALUE(REGEXEXTRACT(TO_TEXT($F1555), U$1 &amp; ""x(\d+)"")), """")"),"")</f>
        <v/>
      </c>
      <c r="V1555" s="9" t="str">
        <f ca="1">IFERROR(__xludf.DUMMYFUNCTION("IFERROR(VALUE(REGEXEXTRACT(TO_TEXT($F1555), V$1 &amp; ""x(\d+)"")), """")"),"")</f>
        <v/>
      </c>
      <c r="W1555" s="9"/>
      <c r="X1555" s="9"/>
      <c r="Y1555" s="9"/>
      <c r="Z1555" s="9"/>
    </row>
    <row r="1556" spans="1:26" ht="15.75" customHeight="1">
      <c r="A1556" s="9" t="s">
        <v>2594</v>
      </c>
      <c r="B1556" s="9" t="s">
        <v>2586</v>
      </c>
      <c r="C1556" s="9" t="s">
        <v>2595</v>
      </c>
      <c r="D1556" s="9" t="s">
        <v>48</v>
      </c>
      <c r="E1556" s="9" t="s">
        <v>11</v>
      </c>
      <c r="F1556" s="9" t="s">
        <v>1224</v>
      </c>
      <c r="G1556" s="9">
        <v>25</v>
      </c>
      <c r="H1556" s="9">
        <v>3</v>
      </c>
      <c r="I1556" s="9">
        <v>1.0149999999999999</v>
      </c>
      <c r="J1556" s="9">
        <v>52</v>
      </c>
      <c r="K1556" s="9" t="s">
        <v>424</v>
      </c>
      <c r="L1556" s="9"/>
      <c r="M1556" s="9"/>
      <c r="N1556" s="9" t="str">
        <f ca="1">IFERROR(__xludf.DUMMYFUNCTION("IFERROR(VALUE(REGEXEXTRACT(TO_TEXT($F1556), N$1 &amp; ""x(\d+)"")), """")
"),"")</f>
        <v/>
      </c>
      <c r="O1556" s="9" t="str">
        <f ca="1">IFERROR(__xludf.DUMMYFUNCTION("IFERROR(VALUE(REGEXEXTRACT(TO_TEXT($F1556), O$1 &amp; ""x(\d+)"")), """")"),"")</f>
        <v/>
      </c>
      <c r="P1556" s="9" t="str">
        <f ca="1">IFERROR(__xludf.DUMMYFUNCTION("IFERROR(VALUE(REGEXEXTRACT(TO_TEXT($F1556), P$1 &amp; ""x(\d+)"")), """")"),"")</f>
        <v/>
      </c>
      <c r="Q1556" s="9" t="str">
        <f ca="1">IFERROR(__xludf.DUMMYFUNCTION("IFERROR(VALUE(REGEXEXTRACT(TO_TEXT($F1556), Q$1 &amp; ""x(\d+)"")), """")"),"")</f>
        <v/>
      </c>
      <c r="R1556" s="9" t="str">
        <f ca="1">IFERROR(__xludf.DUMMYFUNCTION("IFERROR(VALUE(REGEXEXTRACT(TO_TEXT($F1556), R$1 &amp; ""x(\d+)"")), """")"),"")</f>
        <v/>
      </c>
      <c r="S1556" s="9" t="str">
        <f ca="1">IFERROR(__xludf.DUMMYFUNCTION("IFERROR(VALUE(REGEXEXTRACT(TO_TEXT($F1556), S$1 &amp; ""x(\d+)"")), """")"),"")</f>
        <v/>
      </c>
      <c r="T1556" s="9" t="str">
        <f ca="1">IFERROR(__xludf.DUMMYFUNCTION("IFERROR(VALUE(REGEXEXTRACT(TO_TEXT($F1556), T$1 &amp; ""x(\d+)"")), """")"),"")</f>
        <v/>
      </c>
      <c r="U1556" s="9" t="str">
        <f ca="1">IFERROR(__xludf.DUMMYFUNCTION("IFERROR(VALUE(REGEXEXTRACT(TO_TEXT($F1556), U$1 &amp; ""x(\d+)"")), """")"),"")</f>
        <v/>
      </c>
      <c r="V1556" s="9" t="str">
        <f ca="1">IFERROR(__xludf.DUMMYFUNCTION("IFERROR(VALUE(REGEXEXTRACT(TO_TEXT($F1556), V$1 &amp; ""x(\d+)"")), """")"),"")</f>
        <v/>
      </c>
      <c r="W1556" s="9"/>
      <c r="X1556" s="9"/>
      <c r="Y1556" s="9"/>
      <c r="Z1556" s="9"/>
    </row>
    <row r="1557" spans="1:26" ht="15.75" customHeight="1">
      <c r="A1557" s="9" t="s">
        <v>2594</v>
      </c>
      <c r="B1557" s="9" t="s">
        <v>2586</v>
      </c>
      <c r="C1557" s="9" t="s">
        <v>2595</v>
      </c>
      <c r="D1557" s="9" t="s">
        <v>48</v>
      </c>
      <c r="E1557" s="9" t="s">
        <v>12</v>
      </c>
      <c r="F1557" s="9" t="s">
        <v>1539</v>
      </c>
      <c r="G1557" s="9">
        <v>150</v>
      </c>
      <c r="H1557" s="9">
        <v>3</v>
      </c>
      <c r="I1557" s="9">
        <v>1.0149999999999999</v>
      </c>
      <c r="J1557" s="9">
        <v>52</v>
      </c>
      <c r="K1557" s="9" t="s">
        <v>424</v>
      </c>
      <c r="L1557" s="9" t="s">
        <v>1035</v>
      </c>
      <c r="M1557" s="9"/>
      <c r="N1557" s="9" t="str">
        <f ca="1">IFERROR(__xludf.DUMMYFUNCTION("IFERROR(VALUE(REGEXEXTRACT(TO_TEXT($F1557), N$1 &amp; ""x(\d+)"")), """")
"),"")</f>
        <v/>
      </c>
      <c r="O1557" s="9" t="str">
        <f ca="1">IFERROR(__xludf.DUMMYFUNCTION("IFERROR(VALUE(REGEXEXTRACT(TO_TEXT($F1557), O$1 &amp; ""x(\d+)"")), """")"),"")</f>
        <v/>
      </c>
      <c r="P1557" s="9">
        <f ca="1">IFERROR(__xludf.DUMMYFUNCTION("IFERROR(VALUE(REGEXEXTRACT(TO_TEXT($F1557), P$1 &amp; ""x(\d+)"")), """")"),1)</f>
        <v>1</v>
      </c>
      <c r="Q1557" s="9" t="str">
        <f ca="1">IFERROR(__xludf.DUMMYFUNCTION("IFERROR(VALUE(REGEXEXTRACT(TO_TEXT($F1557), Q$1 &amp; ""x(\d+)"")), """")"),"")</f>
        <v/>
      </c>
      <c r="R1557" s="9" t="str">
        <f ca="1">IFERROR(__xludf.DUMMYFUNCTION("IFERROR(VALUE(REGEXEXTRACT(TO_TEXT($F1557), R$1 &amp; ""x(\d+)"")), """")"),"")</f>
        <v/>
      </c>
      <c r="S1557" s="9" t="str">
        <f ca="1">IFERROR(__xludf.DUMMYFUNCTION("IFERROR(VALUE(REGEXEXTRACT(TO_TEXT($F1557), S$1 &amp; ""x(\d+)"")), """")"),"")</f>
        <v/>
      </c>
      <c r="T1557" s="9" t="str">
        <f ca="1">IFERROR(__xludf.DUMMYFUNCTION("IFERROR(VALUE(REGEXEXTRACT(TO_TEXT($F1557), T$1 &amp; ""x(\d+)"")), """")"),"")</f>
        <v/>
      </c>
      <c r="U1557" s="9" t="str">
        <f ca="1">IFERROR(__xludf.DUMMYFUNCTION("IFERROR(VALUE(REGEXEXTRACT(TO_TEXT($F1557), U$1 &amp; ""x(\d+)"")), """")"),"")</f>
        <v/>
      </c>
      <c r="V1557" s="9" t="str">
        <f ca="1">IFERROR(__xludf.DUMMYFUNCTION("IFERROR(VALUE(REGEXEXTRACT(TO_TEXT($F1557), V$1 &amp; ""x(\d+)"")), """")"),"")</f>
        <v/>
      </c>
      <c r="W1557" s="9"/>
      <c r="X1557" s="9"/>
      <c r="Y1557" s="9"/>
      <c r="Z1557" s="9"/>
    </row>
    <row r="1558" spans="1:26" ht="15.75" customHeight="1">
      <c r="A1558" s="9" t="s">
        <v>2594</v>
      </c>
      <c r="B1558" s="9" t="s">
        <v>2586</v>
      </c>
      <c r="C1558" s="9" t="s">
        <v>2595</v>
      </c>
      <c r="D1558" s="9" t="s">
        <v>48</v>
      </c>
      <c r="E1558" s="9" t="s">
        <v>13</v>
      </c>
      <c r="F1558" s="9" t="s">
        <v>1206</v>
      </c>
      <c r="G1558" s="9">
        <v>30</v>
      </c>
      <c r="H1558" s="9">
        <v>3</v>
      </c>
      <c r="I1558" s="9">
        <v>1.0149999999999999</v>
      </c>
      <c r="J1558" s="9">
        <v>52</v>
      </c>
      <c r="K1558" s="9" t="s">
        <v>424</v>
      </c>
      <c r="L1558" s="9"/>
      <c r="M1558" s="9"/>
      <c r="N1558" s="9" t="str">
        <f ca="1">IFERROR(__xludf.DUMMYFUNCTION("IFERROR(VALUE(REGEXEXTRACT(TO_TEXT($F1558), N$1 &amp; ""x(\d+)"")), """")
"),"")</f>
        <v/>
      </c>
      <c r="O1558" s="9" t="str">
        <f ca="1">IFERROR(__xludf.DUMMYFUNCTION("IFERROR(VALUE(REGEXEXTRACT(TO_TEXT($F1558), O$1 &amp; ""x(\d+)"")), """")"),"")</f>
        <v/>
      </c>
      <c r="P1558" s="9">
        <f ca="1">IFERROR(__xludf.DUMMYFUNCTION("IFERROR(VALUE(REGEXEXTRACT(TO_TEXT($F1558), P$1 &amp; ""x(\d+)"")), """")"),1)</f>
        <v>1</v>
      </c>
      <c r="Q1558" s="9" t="str">
        <f ca="1">IFERROR(__xludf.DUMMYFUNCTION("IFERROR(VALUE(REGEXEXTRACT(TO_TEXT($F1558), Q$1 &amp; ""x(\d+)"")), """")"),"")</f>
        <v/>
      </c>
      <c r="R1558" s="9" t="str">
        <f ca="1">IFERROR(__xludf.DUMMYFUNCTION("IFERROR(VALUE(REGEXEXTRACT(TO_TEXT($F1558), R$1 &amp; ""x(\d+)"")), """")"),"")</f>
        <v/>
      </c>
      <c r="S1558" s="9" t="str">
        <f ca="1">IFERROR(__xludf.DUMMYFUNCTION("IFERROR(VALUE(REGEXEXTRACT(TO_TEXT($F1558), S$1 &amp; ""x(\d+)"")), """")"),"")</f>
        <v/>
      </c>
      <c r="T1558" s="9" t="str">
        <f ca="1">IFERROR(__xludf.DUMMYFUNCTION("IFERROR(VALUE(REGEXEXTRACT(TO_TEXT($F1558), T$1 &amp; ""x(\d+)"")), """")"),"")</f>
        <v/>
      </c>
      <c r="U1558" s="9" t="str">
        <f ca="1">IFERROR(__xludf.DUMMYFUNCTION("IFERROR(VALUE(REGEXEXTRACT(TO_TEXT($F1558), U$1 &amp; ""x(\d+)"")), """")"),"")</f>
        <v/>
      </c>
      <c r="V1558" s="9" t="str">
        <f ca="1">IFERROR(__xludf.DUMMYFUNCTION("IFERROR(VALUE(REGEXEXTRACT(TO_TEXT($F1558), V$1 &amp; ""x(\d+)"")), """")"),"")</f>
        <v/>
      </c>
      <c r="W1558" s="9"/>
      <c r="X1558" s="9"/>
      <c r="Y1558" s="9"/>
      <c r="Z1558" s="9"/>
    </row>
    <row r="1559" spans="1:26" ht="15.75" customHeight="1">
      <c r="A1559" s="9" t="s">
        <v>2594</v>
      </c>
      <c r="B1559" s="9" t="s">
        <v>2586</v>
      </c>
      <c r="C1559" s="9" t="s">
        <v>2595</v>
      </c>
      <c r="D1559" s="9" t="s">
        <v>74</v>
      </c>
      <c r="E1559" s="9" t="s">
        <v>11</v>
      </c>
      <c r="F1559" s="9" t="s">
        <v>1224</v>
      </c>
      <c r="G1559" s="9">
        <v>25</v>
      </c>
      <c r="H1559" s="9">
        <v>3</v>
      </c>
      <c r="I1559" s="9">
        <v>1.0149999999999999</v>
      </c>
      <c r="J1559" s="9">
        <v>80</v>
      </c>
      <c r="K1559" s="9" t="s">
        <v>424</v>
      </c>
      <c r="L1559" s="9"/>
      <c r="M1559" s="9"/>
      <c r="N1559" s="9" t="str">
        <f ca="1">IFERROR(__xludf.DUMMYFUNCTION("IFERROR(VALUE(REGEXEXTRACT(TO_TEXT($F1559), N$1 &amp; ""x(\d+)"")), """")
"),"")</f>
        <v/>
      </c>
      <c r="O1559" s="9" t="str">
        <f ca="1">IFERROR(__xludf.DUMMYFUNCTION("IFERROR(VALUE(REGEXEXTRACT(TO_TEXT($F1559), O$1 &amp; ""x(\d+)"")), """")"),"")</f>
        <v/>
      </c>
      <c r="P1559" s="9" t="str">
        <f ca="1">IFERROR(__xludf.DUMMYFUNCTION("IFERROR(VALUE(REGEXEXTRACT(TO_TEXT($F1559), P$1 &amp; ""x(\d+)"")), """")"),"")</f>
        <v/>
      </c>
      <c r="Q1559" s="9" t="str">
        <f ca="1">IFERROR(__xludf.DUMMYFUNCTION("IFERROR(VALUE(REGEXEXTRACT(TO_TEXT($F1559), Q$1 &amp; ""x(\d+)"")), """")"),"")</f>
        <v/>
      </c>
      <c r="R1559" s="9" t="str">
        <f ca="1">IFERROR(__xludf.DUMMYFUNCTION("IFERROR(VALUE(REGEXEXTRACT(TO_TEXT($F1559), R$1 &amp; ""x(\d+)"")), """")"),"")</f>
        <v/>
      </c>
      <c r="S1559" s="9" t="str">
        <f ca="1">IFERROR(__xludf.DUMMYFUNCTION("IFERROR(VALUE(REGEXEXTRACT(TO_TEXT($F1559), S$1 &amp; ""x(\d+)"")), """")"),"")</f>
        <v/>
      </c>
      <c r="T1559" s="9" t="str">
        <f ca="1">IFERROR(__xludf.DUMMYFUNCTION("IFERROR(VALUE(REGEXEXTRACT(TO_TEXT($F1559), T$1 &amp; ""x(\d+)"")), """")"),"")</f>
        <v/>
      </c>
      <c r="U1559" s="9" t="str">
        <f ca="1">IFERROR(__xludf.DUMMYFUNCTION("IFERROR(VALUE(REGEXEXTRACT(TO_TEXT($F1559), U$1 &amp; ""x(\d+)"")), """")"),"")</f>
        <v/>
      </c>
      <c r="V1559" s="9" t="str">
        <f ca="1">IFERROR(__xludf.DUMMYFUNCTION("IFERROR(VALUE(REGEXEXTRACT(TO_TEXT($F1559), V$1 &amp; ""x(\d+)"")), """")"),"")</f>
        <v/>
      </c>
      <c r="W1559" s="9"/>
      <c r="X1559" s="9"/>
      <c r="Y1559" s="9"/>
      <c r="Z1559" s="9"/>
    </row>
    <row r="1560" spans="1:26" ht="15.75" customHeight="1">
      <c r="A1560" s="9" t="s">
        <v>2594</v>
      </c>
      <c r="B1560" s="9" t="s">
        <v>2586</v>
      </c>
      <c r="C1560" s="9" t="s">
        <v>2595</v>
      </c>
      <c r="D1560" s="9" t="s">
        <v>74</v>
      </c>
      <c r="E1560" s="9" t="s">
        <v>12</v>
      </c>
      <c r="F1560" s="9" t="s">
        <v>1540</v>
      </c>
      <c r="G1560" s="9">
        <v>180</v>
      </c>
      <c r="H1560" s="9">
        <v>3</v>
      </c>
      <c r="I1560" s="9">
        <v>1.0149999999999999</v>
      </c>
      <c r="J1560" s="9">
        <v>80</v>
      </c>
      <c r="K1560" s="9" t="s">
        <v>424</v>
      </c>
      <c r="L1560" s="9" t="s">
        <v>1035</v>
      </c>
      <c r="M1560" s="9"/>
      <c r="N1560" s="9" t="str">
        <f ca="1">IFERROR(__xludf.DUMMYFUNCTION("IFERROR(VALUE(REGEXEXTRACT(TO_TEXT($F1560), N$1 &amp; ""x(\d+)"")), """")
"),"")</f>
        <v/>
      </c>
      <c r="O1560" s="9" t="str">
        <f ca="1">IFERROR(__xludf.DUMMYFUNCTION("IFERROR(VALUE(REGEXEXTRACT(TO_TEXT($F1560), O$1 &amp; ""x(\d+)"")), """")"),"")</f>
        <v/>
      </c>
      <c r="P1560" s="9" t="str">
        <f ca="1">IFERROR(__xludf.DUMMYFUNCTION("IFERROR(VALUE(REGEXEXTRACT(TO_TEXT($F1560), P$1 &amp; ""x(\d+)"")), """")"),"")</f>
        <v/>
      </c>
      <c r="Q1560" s="9">
        <f ca="1">IFERROR(__xludf.DUMMYFUNCTION("IFERROR(VALUE(REGEXEXTRACT(TO_TEXT($F1560), Q$1 &amp; ""x(\d+)"")), """")"),1)</f>
        <v>1</v>
      </c>
      <c r="R1560" s="9" t="str">
        <f ca="1">IFERROR(__xludf.DUMMYFUNCTION("IFERROR(VALUE(REGEXEXTRACT(TO_TEXT($F1560), R$1 &amp; ""x(\d+)"")), """")"),"")</f>
        <v/>
      </c>
      <c r="S1560" s="9" t="str">
        <f ca="1">IFERROR(__xludf.DUMMYFUNCTION("IFERROR(VALUE(REGEXEXTRACT(TO_TEXT($F1560), S$1 &amp; ""x(\d+)"")), """")"),"")</f>
        <v/>
      </c>
      <c r="T1560" s="9" t="str">
        <f ca="1">IFERROR(__xludf.DUMMYFUNCTION("IFERROR(VALUE(REGEXEXTRACT(TO_TEXT($F1560), T$1 &amp; ""x(\d+)"")), """")"),"")</f>
        <v/>
      </c>
      <c r="U1560" s="9" t="str">
        <f ca="1">IFERROR(__xludf.DUMMYFUNCTION("IFERROR(VALUE(REGEXEXTRACT(TO_TEXT($F1560), U$1 &amp; ""x(\d+)"")), """")"),"")</f>
        <v/>
      </c>
      <c r="V1560" s="9" t="str">
        <f ca="1">IFERROR(__xludf.DUMMYFUNCTION("IFERROR(VALUE(REGEXEXTRACT(TO_TEXT($F1560), V$1 &amp; ""x(\d+)"")), """")"),"")</f>
        <v/>
      </c>
      <c r="W1560" s="9"/>
      <c r="X1560" s="9"/>
      <c r="Y1560" s="9"/>
      <c r="Z1560" s="9"/>
    </row>
    <row r="1561" spans="1:26" ht="15.75" customHeight="1">
      <c r="A1561" s="9" t="s">
        <v>2594</v>
      </c>
      <c r="B1561" s="9" t="s">
        <v>2586</v>
      </c>
      <c r="C1561" s="9" t="s">
        <v>2595</v>
      </c>
      <c r="D1561" s="9" t="s">
        <v>74</v>
      </c>
      <c r="E1561" s="9" t="s">
        <v>13</v>
      </c>
      <c r="F1561" s="9" t="s">
        <v>1541</v>
      </c>
      <c r="G1561" s="9">
        <v>40</v>
      </c>
      <c r="H1561" s="9">
        <v>3</v>
      </c>
      <c r="I1561" s="9">
        <v>1.0149999999999999</v>
      </c>
      <c r="J1561" s="9">
        <v>80</v>
      </c>
      <c r="K1561" s="9" t="s">
        <v>424</v>
      </c>
      <c r="L1561" s="9"/>
      <c r="M1561" s="9"/>
      <c r="N1561" s="9" t="str">
        <f ca="1">IFERROR(__xludf.DUMMYFUNCTION("IFERROR(VALUE(REGEXEXTRACT(TO_TEXT($F1561), N$1 &amp; ""x(\d+)"")), """")
"),"")</f>
        <v/>
      </c>
      <c r="O1561" s="9" t="str">
        <f ca="1">IFERROR(__xludf.DUMMYFUNCTION("IFERROR(VALUE(REGEXEXTRACT(TO_TEXT($F1561), O$1 &amp; ""x(\d+)"")), """")"),"")</f>
        <v/>
      </c>
      <c r="P1561" s="9" t="str">
        <f ca="1">IFERROR(__xludf.DUMMYFUNCTION("IFERROR(VALUE(REGEXEXTRACT(TO_TEXT($F1561), P$1 &amp; ""x(\d+)"")), """")"),"")</f>
        <v/>
      </c>
      <c r="Q1561" s="9">
        <f ca="1">IFERROR(__xludf.DUMMYFUNCTION("IFERROR(VALUE(REGEXEXTRACT(TO_TEXT($F1561), Q$1 &amp; ""x(\d+)"")), """")"),1)</f>
        <v>1</v>
      </c>
      <c r="R1561" s="9" t="str">
        <f ca="1">IFERROR(__xludf.DUMMYFUNCTION("IFERROR(VALUE(REGEXEXTRACT(TO_TEXT($F1561), R$1 &amp; ""x(\d+)"")), """")"),"")</f>
        <v/>
      </c>
      <c r="S1561" s="9" t="str">
        <f ca="1">IFERROR(__xludf.DUMMYFUNCTION("IFERROR(VALUE(REGEXEXTRACT(TO_TEXT($F1561), S$1 &amp; ""x(\d+)"")), """")"),"")</f>
        <v/>
      </c>
      <c r="T1561" s="9" t="str">
        <f ca="1">IFERROR(__xludf.DUMMYFUNCTION("IFERROR(VALUE(REGEXEXTRACT(TO_TEXT($F1561), T$1 &amp; ""x(\d+)"")), """")"),"")</f>
        <v/>
      </c>
      <c r="U1561" s="9" t="str">
        <f ca="1">IFERROR(__xludf.DUMMYFUNCTION("IFERROR(VALUE(REGEXEXTRACT(TO_TEXT($F1561), U$1 &amp; ""x(\d+)"")), """")"),"")</f>
        <v/>
      </c>
      <c r="V1561" s="9" t="str">
        <f ca="1">IFERROR(__xludf.DUMMYFUNCTION("IFERROR(VALUE(REGEXEXTRACT(TO_TEXT($F1561), V$1 &amp; ""x(\d+)"")), """")"),"")</f>
        <v/>
      </c>
      <c r="W1561" s="9"/>
      <c r="X1561" s="9"/>
      <c r="Y1561" s="9"/>
      <c r="Z1561" s="9"/>
    </row>
    <row r="1562" spans="1:26" ht="15.75" customHeight="1">
      <c r="A1562" s="9" t="s">
        <v>2596</v>
      </c>
      <c r="B1562" s="9" t="s">
        <v>2597</v>
      </c>
      <c r="C1562" s="9" t="s">
        <v>2598</v>
      </c>
      <c r="D1562" s="9" t="s">
        <v>33</v>
      </c>
      <c r="E1562" s="9" t="s">
        <v>11</v>
      </c>
      <c r="F1562" s="9" t="s">
        <v>2040</v>
      </c>
      <c r="G1562" s="9">
        <v>60</v>
      </c>
      <c r="H1562" s="9">
        <v>3</v>
      </c>
      <c r="I1562" s="9">
        <v>1.0149999999999999</v>
      </c>
      <c r="J1562" s="9">
        <v>110</v>
      </c>
      <c r="K1562" s="9" t="s">
        <v>442</v>
      </c>
      <c r="L1562" s="9"/>
      <c r="M1562" s="9"/>
      <c r="N1562" s="9" t="str">
        <f ca="1">IFERROR(__xludf.DUMMYFUNCTION("IFERROR(VALUE(REGEXEXTRACT(TO_TEXT($F1562), N$1 &amp; ""x(\d+)"")), """")
"),"")</f>
        <v/>
      </c>
      <c r="O1562" s="9">
        <f ca="1">IFERROR(__xludf.DUMMYFUNCTION("IFERROR(VALUE(REGEXEXTRACT(TO_TEXT($F1562), O$1 &amp; ""x(\d+)"")), """")"),1)</f>
        <v>1</v>
      </c>
      <c r="P1562" s="9" t="str">
        <f ca="1">IFERROR(__xludf.DUMMYFUNCTION("IFERROR(VALUE(REGEXEXTRACT(TO_TEXT($F1562), P$1 &amp; ""x(\d+)"")), """")"),"")</f>
        <v/>
      </c>
      <c r="Q1562" s="9" t="str">
        <f ca="1">IFERROR(__xludf.DUMMYFUNCTION("IFERROR(VALUE(REGEXEXTRACT(TO_TEXT($F1562), Q$1 &amp; ""x(\d+)"")), """")"),"")</f>
        <v/>
      </c>
      <c r="R1562" s="9" t="str">
        <f ca="1">IFERROR(__xludf.DUMMYFUNCTION("IFERROR(VALUE(REGEXEXTRACT(TO_TEXT($F1562), R$1 &amp; ""x(\d+)"")), """")"),"")</f>
        <v/>
      </c>
      <c r="S1562" s="9" t="str">
        <f ca="1">IFERROR(__xludf.DUMMYFUNCTION("IFERROR(VALUE(REGEXEXTRACT(TO_TEXT($F1562), S$1 &amp; ""x(\d+)"")), """")"),"")</f>
        <v/>
      </c>
      <c r="T1562" s="9" t="str">
        <f ca="1">IFERROR(__xludf.DUMMYFUNCTION("IFERROR(VALUE(REGEXEXTRACT(TO_TEXT($F1562), T$1 &amp; ""x(\d+)"")), """")"),"")</f>
        <v/>
      </c>
      <c r="U1562" s="9" t="str">
        <f ca="1">IFERROR(__xludf.DUMMYFUNCTION("IFERROR(VALUE(REGEXEXTRACT(TO_TEXT($F1562), U$1 &amp; ""x(\d+)"")), """")"),"")</f>
        <v/>
      </c>
      <c r="V1562" s="9" t="str">
        <f ca="1">IFERROR(__xludf.DUMMYFUNCTION("IFERROR(VALUE(REGEXEXTRACT(TO_TEXT($F1562), V$1 &amp; ""x(\d+)"")), """")"),"")</f>
        <v/>
      </c>
      <c r="W1562" s="9"/>
      <c r="X1562" s="9"/>
      <c r="Y1562" s="9"/>
      <c r="Z1562" s="9"/>
    </row>
    <row r="1563" spans="1:26" ht="15.75" customHeight="1">
      <c r="A1563" s="9" t="s">
        <v>2596</v>
      </c>
      <c r="B1563" s="9" t="s">
        <v>2597</v>
      </c>
      <c r="C1563" s="9" t="s">
        <v>2598</v>
      </c>
      <c r="D1563" s="9" t="s">
        <v>33</v>
      </c>
      <c r="E1563" s="9" t="s">
        <v>12</v>
      </c>
      <c r="F1563" s="9" t="s">
        <v>2040</v>
      </c>
      <c r="G1563" s="9">
        <v>60</v>
      </c>
      <c r="H1563" s="9">
        <v>3</v>
      </c>
      <c r="I1563" s="9">
        <v>1.0149999999999999</v>
      </c>
      <c r="J1563" s="9">
        <v>110</v>
      </c>
      <c r="K1563" s="9" t="s">
        <v>442</v>
      </c>
      <c r="L1563" s="9" t="s">
        <v>1169</v>
      </c>
      <c r="M1563" s="9"/>
      <c r="N1563" s="9" t="str">
        <f ca="1">IFERROR(__xludf.DUMMYFUNCTION("IFERROR(VALUE(REGEXEXTRACT(TO_TEXT($F1563), N$1 &amp; ""x(\d+)"")), """")
"),"")</f>
        <v/>
      </c>
      <c r="O1563" s="9">
        <f ca="1">IFERROR(__xludf.DUMMYFUNCTION("IFERROR(VALUE(REGEXEXTRACT(TO_TEXT($F1563), O$1 &amp; ""x(\d+)"")), """")"),1)</f>
        <v>1</v>
      </c>
      <c r="P1563" s="9" t="str">
        <f ca="1">IFERROR(__xludf.DUMMYFUNCTION("IFERROR(VALUE(REGEXEXTRACT(TO_TEXT($F1563), P$1 &amp; ""x(\d+)"")), """")"),"")</f>
        <v/>
      </c>
      <c r="Q1563" s="9" t="str">
        <f ca="1">IFERROR(__xludf.DUMMYFUNCTION("IFERROR(VALUE(REGEXEXTRACT(TO_TEXT($F1563), Q$1 &amp; ""x(\d+)"")), """")"),"")</f>
        <v/>
      </c>
      <c r="R1563" s="9" t="str">
        <f ca="1">IFERROR(__xludf.DUMMYFUNCTION("IFERROR(VALUE(REGEXEXTRACT(TO_TEXT($F1563), R$1 &amp; ""x(\d+)"")), """")"),"")</f>
        <v/>
      </c>
      <c r="S1563" s="9" t="str">
        <f ca="1">IFERROR(__xludf.DUMMYFUNCTION("IFERROR(VALUE(REGEXEXTRACT(TO_TEXT($F1563), S$1 &amp; ""x(\d+)"")), """")"),"")</f>
        <v/>
      </c>
      <c r="T1563" s="9" t="str">
        <f ca="1">IFERROR(__xludf.DUMMYFUNCTION("IFERROR(VALUE(REGEXEXTRACT(TO_TEXT($F1563), T$1 &amp; ""x(\d+)"")), """")"),"")</f>
        <v/>
      </c>
      <c r="U1563" s="9" t="str">
        <f ca="1">IFERROR(__xludf.DUMMYFUNCTION("IFERROR(VALUE(REGEXEXTRACT(TO_TEXT($F1563), U$1 &amp; ""x(\d+)"")), """")"),"")</f>
        <v/>
      </c>
      <c r="V1563" s="9" t="str">
        <f ca="1">IFERROR(__xludf.DUMMYFUNCTION("IFERROR(VALUE(REGEXEXTRACT(TO_TEXT($F1563), V$1 &amp; ""x(\d+)"")), """")"),"")</f>
        <v/>
      </c>
      <c r="W1563" s="9"/>
      <c r="X1563" s="9"/>
      <c r="Y1563" s="9"/>
      <c r="Z1563" s="9"/>
    </row>
    <row r="1564" spans="1:26" ht="15.75" customHeight="1">
      <c r="A1564" s="9" t="s">
        <v>2596</v>
      </c>
      <c r="B1564" s="9" t="s">
        <v>2597</v>
      </c>
      <c r="C1564" s="9" t="s">
        <v>2598</v>
      </c>
      <c r="D1564" s="9" t="s">
        <v>33</v>
      </c>
      <c r="E1564" s="9" t="s">
        <v>13</v>
      </c>
      <c r="F1564" s="9" t="s">
        <v>2041</v>
      </c>
      <c r="G1564" s="9">
        <v>15</v>
      </c>
      <c r="H1564" s="9">
        <v>3</v>
      </c>
      <c r="I1564" s="9">
        <v>1.0149999999999999</v>
      </c>
      <c r="J1564" s="9">
        <v>110</v>
      </c>
      <c r="K1564" s="9" t="s">
        <v>442</v>
      </c>
      <c r="L1564" s="9"/>
      <c r="M1564" s="9"/>
      <c r="N1564" s="9" t="str">
        <f ca="1">IFERROR(__xludf.DUMMYFUNCTION("IFERROR(VALUE(REGEXEXTRACT(TO_TEXT($F1564), N$1 &amp; ""x(\d+)"")), """")
"),"")</f>
        <v/>
      </c>
      <c r="O1564" s="9">
        <f ca="1">IFERROR(__xludf.DUMMYFUNCTION("IFERROR(VALUE(REGEXEXTRACT(TO_TEXT($F1564), O$1 &amp; ""x(\d+)"")), """")"),1)</f>
        <v>1</v>
      </c>
      <c r="P1564" s="9" t="str">
        <f ca="1">IFERROR(__xludf.DUMMYFUNCTION("IFERROR(VALUE(REGEXEXTRACT(TO_TEXT($F1564), P$1 &amp; ""x(\d+)"")), """")"),"")</f>
        <v/>
      </c>
      <c r="Q1564" s="9" t="str">
        <f ca="1">IFERROR(__xludf.DUMMYFUNCTION("IFERROR(VALUE(REGEXEXTRACT(TO_TEXT($F1564), Q$1 &amp; ""x(\d+)"")), """")"),"")</f>
        <v/>
      </c>
      <c r="R1564" s="9" t="str">
        <f ca="1">IFERROR(__xludf.DUMMYFUNCTION("IFERROR(VALUE(REGEXEXTRACT(TO_TEXT($F1564), R$1 &amp; ""x(\d+)"")), """")"),"")</f>
        <v/>
      </c>
      <c r="S1564" s="9" t="str">
        <f ca="1">IFERROR(__xludf.DUMMYFUNCTION("IFERROR(VALUE(REGEXEXTRACT(TO_TEXT($F1564), S$1 &amp; ""x(\d+)"")), """")"),"")</f>
        <v/>
      </c>
      <c r="T1564" s="9" t="str">
        <f ca="1">IFERROR(__xludf.DUMMYFUNCTION("IFERROR(VALUE(REGEXEXTRACT(TO_TEXT($F1564), T$1 &amp; ""x(\d+)"")), """")"),"")</f>
        <v/>
      </c>
      <c r="U1564" s="9" t="str">
        <f ca="1">IFERROR(__xludf.DUMMYFUNCTION("IFERROR(VALUE(REGEXEXTRACT(TO_TEXT($F1564), U$1 &amp; ""x(\d+)"")), """")"),"")</f>
        <v/>
      </c>
      <c r="V1564" s="9" t="str">
        <f ca="1">IFERROR(__xludf.DUMMYFUNCTION("IFERROR(VALUE(REGEXEXTRACT(TO_TEXT($F1564), V$1 &amp; ""x(\d+)"")), """")"),"")</f>
        <v/>
      </c>
      <c r="W1564" s="9"/>
      <c r="X1564" s="9"/>
      <c r="Y1564" s="9"/>
      <c r="Z1564" s="9"/>
    </row>
    <row r="1565" spans="1:26" ht="15.75" customHeight="1">
      <c r="A1565" s="9" t="s">
        <v>2599</v>
      </c>
      <c r="B1565" s="9" t="s">
        <v>2597</v>
      </c>
      <c r="C1565" s="9" t="s">
        <v>2600</v>
      </c>
      <c r="D1565" s="9" t="s">
        <v>33</v>
      </c>
      <c r="E1565" s="9" t="s">
        <v>11</v>
      </c>
      <c r="F1565" s="9" t="s">
        <v>2040</v>
      </c>
      <c r="G1565" s="9">
        <v>60</v>
      </c>
      <c r="H1565" s="9">
        <v>3</v>
      </c>
      <c r="I1565" s="9">
        <v>1.0149999999999999</v>
      </c>
      <c r="J1565" s="9">
        <v>110</v>
      </c>
      <c r="K1565" s="9" t="s">
        <v>442</v>
      </c>
      <c r="L1565" s="9"/>
      <c r="M1565" s="9"/>
      <c r="N1565" s="9" t="str">
        <f ca="1">IFERROR(__xludf.DUMMYFUNCTION("IFERROR(VALUE(REGEXEXTRACT(TO_TEXT($F1565), N$1 &amp; ""x(\d+)"")), """")
"),"")</f>
        <v/>
      </c>
      <c r="O1565" s="9">
        <f ca="1">IFERROR(__xludf.DUMMYFUNCTION("IFERROR(VALUE(REGEXEXTRACT(TO_TEXT($F1565), O$1 &amp; ""x(\d+)"")), """")"),1)</f>
        <v>1</v>
      </c>
      <c r="P1565" s="9" t="str">
        <f ca="1">IFERROR(__xludf.DUMMYFUNCTION("IFERROR(VALUE(REGEXEXTRACT(TO_TEXT($F1565), P$1 &amp; ""x(\d+)"")), """")"),"")</f>
        <v/>
      </c>
      <c r="Q1565" s="9" t="str">
        <f ca="1">IFERROR(__xludf.DUMMYFUNCTION("IFERROR(VALUE(REGEXEXTRACT(TO_TEXT($F1565), Q$1 &amp; ""x(\d+)"")), """")"),"")</f>
        <v/>
      </c>
      <c r="R1565" s="9" t="str">
        <f ca="1">IFERROR(__xludf.DUMMYFUNCTION("IFERROR(VALUE(REGEXEXTRACT(TO_TEXT($F1565), R$1 &amp; ""x(\d+)"")), """")"),"")</f>
        <v/>
      </c>
      <c r="S1565" s="9" t="str">
        <f ca="1">IFERROR(__xludf.DUMMYFUNCTION("IFERROR(VALUE(REGEXEXTRACT(TO_TEXT($F1565), S$1 &amp; ""x(\d+)"")), """")"),"")</f>
        <v/>
      </c>
      <c r="T1565" s="9" t="str">
        <f ca="1">IFERROR(__xludf.DUMMYFUNCTION("IFERROR(VALUE(REGEXEXTRACT(TO_TEXT($F1565), T$1 &amp; ""x(\d+)"")), """")"),"")</f>
        <v/>
      </c>
      <c r="U1565" s="9" t="str">
        <f ca="1">IFERROR(__xludf.DUMMYFUNCTION("IFERROR(VALUE(REGEXEXTRACT(TO_TEXT($F1565), U$1 &amp; ""x(\d+)"")), """")"),"")</f>
        <v/>
      </c>
      <c r="V1565" s="9" t="str">
        <f ca="1">IFERROR(__xludf.DUMMYFUNCTION("IFERROR(VALUE(REGEXEXTRACT(TO_TEXT($F1565), V$1 &amp; ""x(\d+)"")), """")"),"")</f>
        <v/>
      </c>
      <c r="W1565" s="9"/>
      <c r="X1565" s="9"/>
      <c r="Y1565" s="9"/>
      <c r="Z1565" s="9"/>
    </row>
    <row r="1566" spans="1:26" ht="15.75" customHeight="1">
      <c r="A1566" s="9" t="s">
        <v>2599</v>
      </c>
      <c r="B1566" s="9" t="s">
        <v>2597</v>
      </c>
      <c r="C1566" s="9" t="s">
        <v>2600</v>
      </c>
      <c r="D1566" s="9" t="s">
        <v>33</v>
      </c>
      <c r="E1566" s="9" t="s">
        <v>12</v>
      </c>
      <c r="F1566" s="9" t="s">
        <v>2040</v>
      </c>
      <c r="G1566" s="9">
        <v>60</v>
      </c>
      <c r="H1566" s="9">
        <v>3</v>
      </c>
      <c r="I1566" s="9">
        <v>1.0149999999999999</v>
      </c>
      <c r="J1566" s="9">
        <v>110</v>
      </c>
      <c r="K1566" s="9" t="s">
        <v>442</v>
      </c>
      <c r="L1566" s="9" t="s">
        <v>1169</v>
      </c>
      <c r="M1566" s="9"/>
      <c r="N1566" s="9" t="str">
        <f ca="1">IFERROR(__xludf.DUMMYFUNCTION("IFERROR(VALUE(REGEXEXTRACT(TO_TEXT($F1566), N$1 &amp; ""x(\d+)"")), """")
"),"")</f>
        <v/>
      </c>
      <c r="O1566" s="9">
        <f ca="1">IFERROR(__xludf.DUMMYFUNCTION("IFERROR(VALUE(REGEXEXTRACT(TO_TEXT($F1566), O$1 &amp; ""x(\d+)"")), """")"),1)</f>
        <v>1</v>
      </c>
      <c r="P1566" s="9" t="str">
        <f ca="1">IFERROR(__xludf.DUMMYFUNCTION("IFERROR(VALUE(REGEXEXTRACT(TO_TEXT($F1566), P$1 &amp; ""x(\d+)"")), """")"),"")</f>
        <v/>
      </c>
      <c r="Q1566" s="9" t="str">
        <f ca="1">IFERROR(__xludf.DUMMYFUNCTION("IFERROR(VALUE(REGEXEXTRACT(TO_TEXT($F1566), Q$1 &amp; ""x(\d+)"")), """")"),"")</f>
        <v/>
      </c>
      <c r="R1566" s="9" t="str">
        <f ca="1">IFERROR(__xludf.DUMMYFUNCTION("IFERROR(VALUE(REGEXEXTRACT(TO_TEXT($F1566), R$1 &amp; ""x(\d+)"")), """")"),"")</f>
        <v/>
      </c>
      <c r="S1566" s="9" t="str">
        <f ca="1">IFERROR(__xludf.DUMMYFUNCTION("IFERROR(VALUE(REGEXEXTRACT(TO_TEXT($F1566), S$1 &amp; ""x(\d+)"")), """")"),"")</f>
        <v/>
      </c>
      <c r="T1566" s="9" t="str">
        <f ca="1">IFERROR(__xludf.DUMMYFUNCTION("IFERROR(VALUE(REGEXEXTRACT(TO_TEXT($F1566), T$1 &amp; ""x(\d+)"")), """")"),"")</f>
        <v/>
      </c>
      <c r="U1566" s="9" t="str">
        <f ca="1">IFERROR(__xludf.DUMMYFUNCTION("IFERROR(VALUE(REGEXEXTRACT(TO_TEXT($F1566), U$1 &amp; ""x(\d+)"")), """")"),"")</f>
        <v/>
      </c>
      <c r="V1566" s="9" t="str">
        <f ca="1">IFERROR(__xludf.DUMMYFUNCTION("IFERROR(VALUE(REGEXEXTRACT(TO_TEXT($F1566), V$1 &amp; ""x(\d+)"")), """")"),"")</f>
        <v/>
      </c>
      <c r="W1566" s="9"/>
      <c r="X1566" s="9"/>
      <c r="Y1566" s="9"/>
      <c r="Z1566" s="9"/>
    </row>
    <row r="1567" spans="1:26" ht="15.75" customHeight="1">
      <c r="A1567" s="9" t="s">
        <v>2599</v>
      </c>
      <c r="B1567" s="9" t="s">
        <v>2597</v>
      </c>
      <c r="C1567" s="9" t="s">
        <v>2600</v>
      </c>
      <c r="D1567" s="9" t="s">
        <v>33</v>
      </c>
      <c r="E1567" s="9" t="s">
        <v>13</v>
      </c>
      <c r="F1567" s="9" t="s">
        <v>2041</v>
      </c>
      <c r="G1567" s="9">
        <v>15</v>
      </c>
      <c r="H1567" s="9">
        <v>3</v>
      </c>
      <c r="I1567" s="9">
        <v>1.0149999999999999</v>
      </c>
      <c r="J1567" s="9">
        <v>110</v>
      </c>
      <c r="K1567" s="9" t="s">
        <v>442</v>
      </c>
      <c r="L1567" s="9"/>
      <c r="M1567" s="9"/>
      <c r="N1567" s="9" t="str">
        <f ca="1">IFERROR(__xludf.DUMMYFUNCTION("IFERROR(VALUE(REGEXEXTRACT(TO_TEXT($F1567), N$1 &amp; ""x(\d+)"")), """")
"),"")</f>
        <v/>
      </c>
      <c r="O1567" s="9">
        <f ca="1">IFERROR(__xludf.DUMMYFUNCTION("IFERROR(VALUE(REGEXEXTRACT(TO_TEXT($F1567), O$1 &amp; ""x(\d+)"")), """")"),1)</f>
        <v>1</v>
      </c>
      <c r="P1567" s="9" t="str">
        <f ca="1">IFERROR(__xludf.DUMMYFUNCTION("IFERROR(VALUE(REGEXEXTRACT(TO_TEXT($F1567), P$1 &amp; ""x(\d+)"")), """")"),"")</f>
        <v/>
      </c>
      <c r="Q1567" s="9" t="str">
        <f ca="1">IFERROR(__xludf.DUMMYFUNCTION("IFERROR(VALUE(REGEXEXTRACT(TO_TEXT($F1567), Q$1 &amp; ""x(\d+)"")), """")"),"")</f>
        <v/>
      </c>
      <c r="R1567" s="9" t="str">
        <f ca="1">IFERROR(__xludf.DUMMYFUNCTION("IFERROR(VALUE(REGEXEXTRACT(TO_TEXT($F1567), R$1 &amp; ""x(\d+)"")), """")"),"")</f>
        <v/>
      </c>
      <c r="S1567" s="9" t="str">
        <f ca="1">IFERROR(__xludf.DUMMYFUNCTION("IFERROR(VALUE(REGEXEXTRACT(TO_TEXT($F1567), S$1 &amp; ""x(\d+)"")), """")"),"")</f>
        <v/>
      </c>
      <c r="T1567" s="9" t="str">
        <f ca="1">IFERROR(__xludf.DUMMYFUNCTION("IFERROR(VALUE(REGEXEXTRACT(TO_TEXT($F1567), T$1 &amp; ""x(\d+)"")), """")"),"")</f>
        <v/>
      </c>
      <c r="U1567" s="9" t="str">
        <f ca="1">IFERROR(__xludf.DUMMYFUNCTION("IFERROR(VALUE(REGEXEXTRACT(TO_TEXT($F1567), U$1 &amp; ""x(\d+)"")), """")"),"")</f>
        <v/>
      </c>
      <c r="V1567" s="9" t="str">
        <f ca="1">IFERROR(__xludf.DUMMYFUNCTION("IFERROR(VALUE(REGEXEXTRACT(TO_TEXT($F1567), V$1 &amp; ""x(\d+)"")), """")"),"")</f>
        <v/>
      </c>
      <c r="W1567" s="9"/>
      <c r="X1567" s="9"/>
      <c r="Y1567" s="9"/>
      <c r="Z1567" s="9"/>
    </row>
    <row r="1568" spans="1:26" ht="15.75" customHeight="1">
      <c r="A1568" s="9" t="s">
        <v>2601</v>
      </c>
      <c r="B1568" s="9" t="s">
        <v>2597</v>
      </c>
      <c r="C1568" s="9" t="s">
        <v>2602</v>
      </c>
      <c r="D1568" s="9" t="s">
        <v>33</v>
      </c>
      <c r="E1568" s="9" t="s">
        <v>11</v>
      </c>
      <c r="F1568" s="9" t="s">
        <v>2040</v>
      </c>
      <c r="G1568" s="9">
        <v>60</v>
      </c>
      <c r="H1568" s="9">
        <v>3</v>
      </c>
      <c r="I1568" s="9">
        <v>1.0149999999999999</v>
      </c>
      <c r="J1568" s="9">
        <v>110</v>
      </c>
      <c r="K1568" s="9" t="s">
        <v>442</v>
      </c>
      <c r="L1568" s="9"/>
      <c r="M1568" s="9"/>
      <c r="N1568" s="9" t="str">
        <f ca="1">IFERROR(__xludf.DUMMYFUNCTION("IFERROR(VALUE(REGEXEXTRACT(TO_TEXT($F1568), N$1 &amp; ""x(\d+)"")), """")
"),"")</f>
        <v/>
      </c>
      <c r="O1568" s="9">
        <f ca="1">IFERROR(__xludf.DUMMYFUNCTION("IFERROR(VALUE(REGEXEXTRACT(TO_TEXT($F1568), O$1 &amp; ""x(\d+)"")), """")"),1)</f>
        <v>1</v>
      </c>
      <c r="P1568" s="9" t="str">
        <f ca="1">IFERROR(__xludf.DUMMYFUNCTION("IFERROR(VALUE(REGEXEXTRACT(TO_TEXT($F1568), P$1 &amp; ""x(\d+)"")), """")"),"")</f>
        <v/>
      </c>
      <c r="Q1568" s="9" t="str">
        <f ca="1">IFERROR(__xludf.DUMMYFUNCTION("IFERROR(VALUE(REGEXEXTRACT(TO_TEXT($F1568), Q$1 &amp; ""x(\d+)"")), """")"),"")</f>
        <v/>
      </c>
      <c r="R1568" s="9" t="str">
        <f ca="1">IFERROR(__xludf.DUMMYFUNCTION("IFERROR(VALUE(REGEXEXTRACT(TO_TEXT($F1568), R$1 &amp; ""x(\d+)"")), """")"),"")</f>
        <v/>
      </c>
      <c r="S1568" s="9" t="str">
        <f ca="1">IFERROR(__xludf.DUMMYFUNCTION("IFERROR(VALUE(REGEXEXTRACT(TO_TEXT($F1568), S$1 &amp; ""x(\d+)"")), """")"),"")</f>
        <v/>
      </c>
      <c r="T1568" s="9" t="str">
        <f ca="1">IFERROR(__xludf.DUMMYFUNCTION("IFERROR(VALUE(REGEXEXTRACT(TO_TEXT($F1568), T$1 &amp; ""x(\d+)"")), """")"),"")</f>
        <v/>
      </c>
      <c r="U1568" s="9" t="str">
        <f ca="1">IFERROR(__xludf.DUMMYFUNCTION("IFERROR(VALUE(REGEXEXTRACT(TO_TEXT($F1568), U$1 &amp; ""x(\d+)"")), """")"),"")</f>
        <v/>
      </c>
      <c r="V1568" s="9" t="str">
        <f ca="1">IFERROR(__xludf.DUMMYFUNCTION("IFERROR(VALUE(REGEXEXTRACT(TO_TEXT($F1568), V$1 &amp; ""x(\d+)"")), """")"),"")</f>
        <v/>
      </c>
      <c r="W1568" s="9"/>
      <c r="X1568" s="9"/>
      <c r="Y1568" s="9"/>
      <c r="Z1568" s="9"/>
    </row>
    <row r="1569" spans="1:26" ht="15.75" customHeight="1">
      <c r="A1569" s="9" t="s">
        <v>2601</v>
      </c>
      <c r="B1569" s="9" t="s">
        <v>2597</v>
      </c>
      <c r="C1569" s="9" t="s">
        <v>2602</v>
      </c>
      <c r="D1569" s="9" t="s">
        <v>33</v>
      </c>
      <c r="E1569" s="9" t="s">
        <v>12</v>
      </c>
      <c r="F1569" s="9" t="s">
        <v>2040</v>
      </c>
      <c r="G1569" s="9">
        <v>60</v>
      </c>
      <c r="H1569" s="9">
        <v>3</v>
      </c>
      <c r="I1569" s="9">
        <v>1.0149999999999999</v>
      </c>
      <c r="J1569" s="9">
        <v>110</v>
      </c>
      <c r="K1569" s="9" t="s">
        <v>442</v>
      </c>
      <c r="L1569" s="9" t="s">
        <v>1169</v>
      </c>
      <c r="M1569" s="9"/>
      <c r="N1569" s="9" t="str">
        <f ca="1">IFERROR(__xludf.DUMMYFUNCTION("IFERROR(VALUE(REGEXEXTRACT(TO_TEXT($F1569), N$1 &amp; ""x(\d+)"")), """")
"),"")</f>
        <v/>
      </c>
      <c r="O1569" s="9">
        <f ca="1">IFERROR(__xludf.DUMMYFUNCTION("IFERROR(VALUE(REGEXEXTRACT(TO_TEXT($F1569), O$1 &amp; ""x(\d+)"")), """")"),1)</f>
        <v>1</v>
      </c>
      <c r="P1569" s="9" t="str">
        <f ca="1">IFERROR(__xludf.DUMMYFUNCTION("IFERROR(VALUE(REGEXEXTRACT(TO_TEXT($F1569), P$1 &amp; ""x(\d+)"")), """")"),"")</f>
        <v/>
      </c>
      <c r="Q1569" s="9" t="str">
        <f ca="1">IFERROR(__xludf.DUMMYFUNCTION("IFERROR(VALUE(REGEXEXTRACT(TO_TEXT($F1569), Q$1 &amp; ""x(\d+)"")), """")"),"")</f>
        <v/>
      </c>
      <c r="R1569" s="9" t="str">
        <f ca="1">IFERROR(__xludf.DUMMYFUNCTION("IFERROR(VALUE(REGEXEXTRACT(TO_TEXT($F1569), R$1 &amp; ""x(\d+)"")), """")"),"")</f>
        <v/>
      </c>
      <c r="S1569" s="9" t="str">
        <f ca="1">IFERROR(__xludf.DUMMYFUNCTION("IFERROR(VALUE(REGEXEXTRACT(TO_TEXT($F1569), S$1 &amp; ""x(\d+)"")), """")"),"")</f>
        <v/>
      </c>
      <c r="T1569" s="9" t="str">
        <f ca="1">IFERROR(__xludf.DUMMYFUNCTION("IFERROR(VALUE(REGEXEXTRACT(TO_TEXT($F1569), T$1 &amp; ""x(\d+)"")), """")"),"")</f>
        <v/>
      </c>
      <c r="U1569" s="9" t="str">
        <f ca="1">IFERROR(__xludf.DUMMYFUNCTION("IFERROR(VALUE(REGEXEXTRACT(TO_TEXT($F1569), U$1 &amp; ""x(\d+)"")), """")"),"")</f>
        <v/>
      </c>
      <c r="V1569" s="9" t="str">
        <f ca="1">IFERROR(__xludf.DUMMYFUNCTION("IFERROR(VALUE(REGEXEXTRACT(TO_TEXT($F1569), V$1 &amp; ""x(\d+)"")), """")"),"")</f>
        <v/>
      </c>
      <c r="W1569" s="9"/>
      <c r="X1569" s="9"/>
      <c r="Y1569" s="9"/>
      <c r="Z1569" s="9"/>
    </row>
    <row r="1570" spans="1:26" ht="15.75" customHeight="1">
      <c r="A1570" s="9" t="s">
        <v>2601</v>
      </c>
      <c r="B1570" s="9" t="s">
        <v>2597</v>
      </c>
      <c r="C1570" s="9" t="s">
        <v>2602</v>
      </c>
      <c r="D1570" s="9" t="s">
        <v>33</v>
      </c>
      <c r="E1570" s="9" t="s">
        <v>13</v>
      </c>
      <c r="F1570" s="9" t="s">
        <v>2041</v>
      </c>
      <c r="G1570" s="9">
        <v>15</v>
      </c>
      <c r="H1570" s="9">
        <v>3</v>
      </c>
      <c r="I1570" s="9">
        <v>1.0149999999999999</v>
      </c>
      <c r="J1570" s="9">
        <v>110</v>
      </c>
      <c r="K1570" s="9" t="s">
        <v>442</v>
      </c>
      <c r="L1570" s="9"/>
      <c r="M1570" s="9"/>
      <c r="N1570" s="9" t="str">
        <f ca="1">IFERROR(__xludf.DUMMYFUNCTION("IFERROR(VALUE(REGEXEXTRACT(TO_TEXT($F1570), N$1 &amp; ""x(\d+)"")), """")
"),"")</f>
        <v/>
      </c>
      <c r="O1570" s="9">
        <f ca="1">IFERROR(__xludf.DUMMYFUNCTION("IFERROR(VALUE(REGEXEXTRACT(TO_TEXT($F1570), O$1 &amp; ""x(\d+)"")), """")"),1)</f>
        <v>1</v>
      </c>
      <c r="P1570" s="9" t="str">
        <f ca="1">IFERROR(__xludf.DUMMYFUNCTION("IFERROR(VALUE(REGEXEXTRACT(TO_TEXT($F1570), P$1 &amp; ""x(\d+)"")), """")"),"")</f>
        <v/>
      </c>
      <c r="Q1570" s="9" t="str">
        <f ca="1">IFERROR(__xludf.DUMMYFUNCTION("IFERROR(VALUE(REGEXEXTRACT(TO_TEXT($F1570), Q$1 &amp; ""x(\d+)"")), """")"),"")</f>
        <v/>
      </c>
      <c r="R1570" s="9" t="str">
        <f ca="1">IFERROR(__xludf.DUMMYFUNCTION("IFERROR(VALUE(REGEXEXTRACT(TO_TEXT($F1570), R$1 &amp; ""x(\d+)"")), """")"),"")</f>
        <v/>
      </c>
      <c r="S1570" s="9" t="str">
        <f ca="1">IFERROR(__xludf.DUMMYFUNCTION("IFERROR(VALUE(REGEXEXTRACT(TO_TEXT($F1570), S$1 &amp; ""x(\d+)"")), """")"),"")</f>
        <v/>
      </c>
      <c r="T1570" s="9" t="str">
        <f ca="1">IFERROR(__xludf.DUMMYFUNCTION("IFERROR(VALUE(REGEXEXTRACT(TO_TEXT($F1570), T$1 &amp; ""x(\d+)"")), """")"),"")</f>
        <v/>
      </c>
      <c r="U1570" s="9" t="str">
        <f ca="1">IFERROR(__xludf.DUMMYFUNCTION("IFERROR(VALUE(REGEXEXTRACT(TO_TEXT($F1570), U$1 &amp; ""x(\d+)"")), """")"),"")</f>
        <v/>
      </c>
      <c r="V1570" s="9" t="str">
        <f ca="1">IFERROR(__xludf.DUMMYFUNCTION("IFERROR(VALUE(REGEXEXTRACT(TO_TEXT($F1570), V$1 &amp; ""x(\d+)"")), """")"),"")</f>
        <v/>
      </c>
      <c r="W1570" s="9"/>
      <c r="X1570" s="9"/>
      <c r="Y1570" s="9"/>
      <c r="Z1570" s="9"/>
    </row>
    <row r="1571" spans="1:26" ht="15.75" customHeight="1">
      <c r="A1571" s="9" t="s">
        <v>2603</v>
      </c>
      <c r="B1571" s="9" t="s">
        <v>2597</v>
      </c>
      <c r="C1571" s="9" t="s">
        <v>2604</v>
      </c>
      <c r="D1571" s="9" t="s">
        <v>33</v>
      </c>
      <c r="E1571" s="9" t="s">
        <v>11</v>
      </c>
      <c r="F1571" s="9" t="s">
        <v>2040</v>
      </c>
      <c r="G1571" s="9">
        <v>60</v>
      </c>
      <c r="H1571" s="9">
        <v>3</v>
      </c>
      <c r="I1571" s="9">
        <v>1.0149999999999999</v>
      </c>
      <c r="J1571" s="9">
        <v>110</v>
      </c>
      <c r="K1571" s="9" t="s">
        <v>442</v>
      </c>
      <c r="L1571" s="9"/>
      <c r="M1571" s="9"/>
      <c r="N1571" s="9" t="str">
        <f ca="1">IFERROR(__xludf.DUMMYFUNCTION("IFERROR(VALUE(REGEXEXTRACT(TO_TEXT($F1571), N$1 &amp; ""x(\d+)"")), """")
"),"")</f>
        <v/>
      </c>
      <c r="O1571" s="9">
        <f ca="1">IFERROR(__xludf.DUMMYFUNCTION("IFERROR(VALUE(REGEXEXTRACT(TO_TEXT($F1571), O$1 &amp; ""x(\d+)"")), """")"),1)</f>
        <v>1</v>
      </c>
      <c r="P1571" s="9" t="str">
        <f ca="1">IFERROR(__xludf.DUMMYFUNCTION("IFERROR(VALUE(REGEXEXTRACT(TO_TEXT($F1571), P$1 &amp; ""x(\d+)"")), """")"),"")</f>
        <v/>
      </c>
      <c r="Q1571" s="9" t="str">
        <f ca="1">IFERROR(__xludf.DUMMYFUNCTION("IFERROR(VALUE(REGEXEXTRACT(TO_TEXT($F1571), Q$1 &amp; ""x(\d+)"")), """")"),"")</f>
        <v/>
      </c>
      <c r="R1571" s="9" t="str">
        <f ca="1">IFERROR(__xludf.DUMMYFUNCTION("IFERROR(VALUE(REGEXEXTRACT(TO_TEXT($F1571), R$1 &amp; ""x(\d+)"")), """")"),"")</f>
        <v/>
      </c>
      <c r="S1571" s="9" t="str">
        <f ca="1">IFERROR(__xludf.DUMMYFUNCTION("IFERROR(VALUE(REGEXEXTRACT(TO_TEXT($F1571), S$1 &amp; ""x(\d+)"")), """")"),"")</f>
        <v/>
      </c>
      <c r="T1571" s="9" t="str">
        <f ca="1">IFERROR(__xludf.DUMMYFUNCTION("IFERROR(VALUE(REGEXEXTRACT(TO_TEXT($F1571), T$1 &amp; ""x(\d+)"")), """")"),"")</f>
        <v/>
      </c>
      <c r="U1571" s="9" t="str">
        <f ca="1">IFERROR(__xludf.DUMMYFUNCTION("IFERROR(VALUE(REGEXEXTRACT(TO_TEXT($F1571), U$1 &amp; ""x(\d+)"")), """")"),"")</f>
        <v/>
      </c>
      <c r="V1571" s="9" t="str">
        <f ca="1">IFERROR(__xludf.DUMMYFUNCTION("IFERROR(VALUE(REGEXEXTRACT(TO_TEXT($F1571), V$1 &amp; ""x(\d+)"")), """")"),"")</f>
        <v/>
      </c>
      <c r="W1571" s="9"/>
      <c r="X1571" s="9"/>
      <c r="Y1571" s="9"/>
      <c r="Z1571" s="9"/>
    </row>
    <row r="1572" spans="1:26" ht="15.75" customHeight="1">
      <c r="A1572" s="9" t="s">
        <v>2603</v>
      </c>
      <c r="B1572" s="9" t="s">
        <v>2597</v>
      </c>
      <c r="C1572" s="9" t="s">
        <v>2604</v>
      </c>
      <c r="D1572" s="9" t="s">
        <v>33</v>
      </c>
      <c r="E1572" s="9" t="s">
        <v>12</v>
      </c>
      <c r="F1572" s="9" t="s">
        <v>2040</v>
      </c>
      <c r="G1572" s="9">
        <v>60</v>
      </c>
      <c r="H1572" s="9">
        <v>3</v>
      </c>
      <c r="I1572" s="9">
        <v>1.0149999999999999</v>
      </c>
      <c r="J1572" s="9">
        <v>110</v>
      </c>
      <c r="K1572" s="9" t="s">
        <v>442</v>
      </c>
      <c r="L1572" s="9" t="s">
        <v>1169</v>
      </c>
      <c r="M1572" s="9"/>
      <c r="N1572" s="9" t="str">
        <f ca="1">IFERROR(__xludf.DUMMYFUNCTION("IFERROR(VALUE(REGEXEXTRACT(TO_TEXT($F1572), N$1 &amp; ""x(\d+)"")), """")
"),"")</f>
        <v/>
      </c>
      <c r="O1572" s="9">
        <f ca="1">IFERROR(__xludf.DUMMYFUNCTION("IFERROR(VALUE(REGEXEXTRACT(TO_TEXT($F1572), O$1 &amp; ""x(\d+)"")), """")"),1)</f>
        <v>1</v>
      </c>
      <c r="P1572" s="9" t="str">
        <f ca="1">IFERROR(__xludf.DUMMYFUNCTION("IFERROR(VALUE(REGEXEXTRACT(TO_TEXT($F1572), P$1 &amp; ""x(\d+)"")), """")"),"")</f>
        <v/>
      </c>
      <c r="Q1572" s="9" t="str">
        <f ca="1">IFERROR(__xludf.DUMMYFUNCTION("IFERROR(VALUE(REGEXEXTRACT(TO_TEXT($F1572), Q$1 &amp; ""x(\d+)"")), """")"),"")</f>
        <v/>
      </c>
      <c r="R1572" s="9" t="str">
        <f ca="1">IFERROR(__xludf.DUMMYFUNCTION("IFERROR(VALUE(REGEXEXTRACT(TO_TEXT($F1572), R$1 &amp; ""x(\d+)"")), """")"),"")</f>
        <v/>
      </c>
      <c r="S1572" s="9" t="str">
        <f ca="1">IFERROR(__xludf.DUMMYFUNCTION("IFERROR(VALUE(REGEXEXTRACT(TO_TEXT($F1572), S$1 &amp; ""x(\d+)"")), """")"),"")</f>
        <v/>
      </c>
      <c r="T1572" s="9" t="str">
        <f ca="1">IFERROR(__xludf.DUMMYFUNCTION("IFERROR(VALUE(REGEXEXTRACT(TO_TEXT($F1572), T$1 &amp; ""x(\d+)"")), """")"),"")</f>
        <v/>
      </c>
      <c r="U1572" s="9" t="str">
        <f ca="1">IFERROR(__xludf.DUMMYFUNCTION("IFERROR(VALUE(REGEXEXTRACT(TO_TEXT($F1572), U$1 &amp; ""x(\d+)"")), """")"),"")</f>
        <v/>
      </c>
      <c r="V1572" s="9" t="str">
        <f ca="1">IFERROR(__xludf.DUMMYFUNCTION("IFERROR(VALUE(REGEXEXTRACT(TO_TEXT($F1572), V$1 &amp; ""x(\d+)"")), """")"),"")</f>
        <v/>
      </c>
      <c r="W1572" s="9"/>
      <c r="X1572" s="9"/>
      <c r="Y1572" s="9"/>
      <c r="Z1572" s="9"/>
    </row>
    <row r="1573" spans="1:26" ht="15.75" customHeight="1">
      <c r="A1573" s="9" t="s">
        <v>2603</v>
      </c>
      <c r="B1573" s="9" t="s">
        <v>2597</v>
      </c>
      <c r="C1573" s="9" t="s">
        <v>2604</v>
      </c>
      <c r="D1573" s="9" t="s">
        <v>33</v>
      </c>
      <c r="E1573" s="9" t="s">
        <v>13</v>
      </c>
      <c r="F1573" s="9" t="s">
        <v>2041</v>
      </c>
      <c r="G1573" s="9">
        <v>15</v>
      </c>
      <c r="H1573" s="9">
        <v>3</v>
      </c>
      <c r="I1573" s="9">
        <v>1.0149999999999999</v>
      </c>
      <c r="J1573" s="9">
        <v>110</v>
      </c>
      <c r="K1573" s="9" t="s">
        <v>442</v>
      </c>
      <c r="L1573" s="9"/>
      <c r="M1573" s="9"/>
      <c r="N1573" s="9" t="str">
        <f ca="1">IFERROR(__xludf.DUMMYFUNCTION("IFERROR(VALUE(REGEXEXTRACT(TO_TEXT($F1573), N$1 &amp; ""x(\d+)"")), """")
"),"")</f>
        <v/>
      </c>
      <c r="O1573" s="9">
        <f ca="1">IFERROR(__xludf.DUMMYFUNCTION("IFERROR(VALUE(REGEXEXTRACT(TO_TEXT($F1573), O$1 &amp; ""x(\d+)"")), """")"),1)</f>
        <v>1</v>
      </c>
      <c r="P1573" s="9" t="str">
        <f ca="1">IFERROR(__xludf.DUMMYFUNCTION("IFERROR(VALUE(REGEXEXTRACT(TO_TEXT($F1573), P$1 &amp; ""x(\d+)"")), """")"),"")</f>
        <v/>
      </c>
      <c r="Q1573" s="9" t="str">
        <f ca="1">IFERROR(__xludf.DUMMYFUNCTION("IFERROR(VALUE(REGEXEXTRACT(TO_TEXT($F1573), Q$1 &amp; ""x(\d+)"")), """")"),"")</f>
        <v/>
      </c>
      <c r="R1573" s="9" t="str">
        <f ca="1">IFERROR(__xludf.DUMMYFUNCTION("IFERROR(VALUE(REGEXEXTRACT(TO_TEXT($F1573), R$1 &amp; ""x(\d+)"")), """")"),"")</f>
        <v/>
      </c>
      <c r="S1573" s="9" t="str">
        <f ca="1">IFERROR(__xludf.DUMMYFUNCTION("IFERROR(VALUE(REGEXEXTRACT(TO_TEXT($F1573), S$1 &amp; ""x(\d+)"")), """")"),"")</f>
        <v/>
      </c>
      <c r="T1573" s="9" t="str">
        <f ca="1">IFERROR(__xludf.DUMMYFUNCTION("IFERROR(VALUE(REGEXEXTRACT(TO_TEXT($F1573), T$1 &amp; ""x(\d+)"")), """")"),"")</f>
        <v/>
      </c>
      <c r="U1573" s="9" t="str">
        <f ca="1">IFERROR(__xludf.DUMMYFUNCTION("IFERROR(VALUE(REGEXEXTRACT(TO_TEXT($F1573), U$1 &amp; ""x(\d+)"")), """")"),"")</f>
        <v/>
      </c>
      <c r="V1573" s="9" t="str">
        <f ca="1">IFERROR(__xludf.DUMMYFUNCTION("IFERROR(VALUE(REGEXEXTRACT(TO_TEXT($F1573), V$1 &amp; ""x(\d+)"")), """")"),"")</f>
        <v/>
      </c>
      <c r="W1573" s="9"/>
      <c r="X1573" s="9"/>
      <c r="Y1573" s="9"/>
      <c r="Z1573" s="9"/>
    </row>
    <row r="1574" spans="1:26" ht="15.75" customHeight="1">
      <c r="A1574" s="9" t="s">
        <v>2605</v>
      </c>
      <c r="B1574" s="9" t="s">
        <v>2597</v>
      </c>
      <c r="C1574" s="9" t="s">
        <v>2606</v>
      </c>
      <c r="D1574" s="9" t="s">
        <v>33</v>
      </c>
      <c r="E1574" s="9" t="s">
        <v>11</v>
      </c>
      <c r="F1574" s="9" t="s">
        <v>2040</v>
      </c>
      <c r="G1574" s="9">
        <v>60</v>
      </c>
      <c r="H1574" s="9">
        <v>3</v>
      </c>
      <c r="I1574" s="9">
        <v>1.0149999999999999</v>
      </c>
      <c r="J1574" s="9">
        <v>110</v>
      </c>
      <c r="K1574" s="9" t="s">
        <v>442</v>
      </c>
      <c r="L1574" s="9"/>
      <c r="M1574" s="9"/>
      <c r="N1574" s="9" t="str">
        <f ca="1">IFERROR(__xludf.DUMMYFUNCTION("IFERROR(VALUE(REGEXEXTRACT(TO_TEXT($F1574), N$1 &amp; ""x(\d+)"")), """")
"),"")</f>
        <v/>
      </c>
      <c r="O1574" s="9">
        <f ca="1">IFERROR(__xludf.DUMMYFUNCTION("IFERROR(VALUE(REGEXEXTRACT(TO_TEXT($F1574), O$1 &amp; ""x(\d+)"")), """")"),1)</f>
        <v>1</v>
      </c>
      <c r="P1574" s="9" t="str">
        <f ca="1">IFERROR(__xludf.DUMMYFUNCTION("IFERROR(VALUE(REGEXEXTRACT(TO_TEXT($F1574), P$1 &amp; ""x(\d+)"")), """")"),"")</f>
        <v/>
      </c>
      <c r="Q1574" s="9" t="str">
        <f ca="1">IFERROR(__xludf.DUMMYFUNCTION("IFERROR(VALUE(REGEXEXTRACT(TO_TEXT($F1574), Q$1 &amp; ""x(\d+)"")), """")"),"")</f>
        <v/>
      </c>
      <c r="R1574" s="9" t="str">
        <f ca="1">IFERROR(__xludf.DUMMYFUNCTION("IFERROR(VALUE(REGEXEXTRACT(TO_TEXT($F1574), R$1 &amp; ""x(\d+)"")), """")"),"")</f>
        <v/>
      </c>
      <c r="S1574" s="9" t="str">
        <f ca="1">IFERROR(__xludf.DUMMYFUNCTION("IFERROR(VALUE(REGEXEXTRACT(TO_TEXT($F1574), S$1 &amp; ""x(\d+)"")), """")"),"")</f>
        <v/>
      </c>
      <c r="T1574" s="9" t="str">
        <f ca="1">IFERROR(__xludf.DUMMYFUNCTION("IFERROR(VALUE(REGEXEXTRACT(TO_TEXT($F1574), T$1 &amp; ""x(\d+)"")), """")"),"")</f>
        <v/>
      </c>
      <c r="U1574" s="9" t="str">
        <f ca="1">IFERROR(__xludf.DUMMYFUNCTION("IFERROR(VALUE(REGEXEXTRACT(TO_TEXT($F1574), U$1 &amp; ""x(\d+)"")), """")"),"")</f>
        <v/>
      </c>
      <c r="V1574" s="9" t="str">
        <f ca="1">IFERROR(__xludf.DUMMYFUNCTION("IFERROR(VALUE(REGEXEXTRACT(TO_TEXT($F1574), V$1 &amp; ""x(\d+)"")), """")"),"")</f>
        <v/>
      </c>
      <c r="W1574" s="9"/>
      <c r="X1574" s="9"/>
      <c r="Y1574" s="9"/>
      <c r="Z1574" s="9"/>
    </row>
    <row r="1575" spans="1:26" ht="15.75" customHeight="1">
      <c r="A1575" s="9" t="s">
        <v>2605</v>
      </c>
      <c r="B1575" s="9" t="s">
        <v>2597</v>
      </c>
      <c r="C1575" s="9" t="s">
        <v>2606</v>
      </c>
      <c r="D1575" s="9" t="s">
        <v>33</v>
      </c>
      <c r="E1575" s="9" t="s">
        <v>12</v>
      </c>
      <c r="F1575" s="9" t="s">
        <v>2040</v>
      </c>
      <c r="G1575" s="9">
        <v>60</v>
      </c>
      <c r="H1575" s="9">
        <v>3</v>
      </c>
      <c r="I1575" s="9">
        <v>1.0149999999999999</v>
      </c>
      <c r="J1575" s="9">
        <v>110</v>
      </c>
      <c r="K1575" s="9" t="s">
        <v>442</v>
      </c>
      <c r="L1575" s="9" t="s">
        <v>1169</v>
      </c>
      <c r="M1575" s="9"/>
      <c r="N1575" s="9" t="str">
        <f ca="1">IFERROR(__xludf.DUMMYFUNCTION("IFERROR(VALUE(REGEXEXTRACT(TO_TEXT($F1575), N$1 &amp; ""x(\d+)"")), """")
"),"")</f>
        <v/>
      </c>
      <c r="O1575" s="9">
        <f ca="1">IFERROR(__xludf.DUMMYFUNCTION("IFERROR(VALUE(REGEXEXTRACT(TO_TEXT($F1575), O$1 &amp; ""x(\d+)"")), """")"),1)</f>
        <v>1</v>
      </c>
      <c r="P1575" s="9" t="str">
        <f ca="1">IFERROR(__xludf.DUMMYFUNCTION("IFERROR(VALUE(REGEXEXTRACT(TO_TEXT($F1575), P$1 &amp; ""x(\d+)"")), """")"),"")</f>
        <v/>
      </c>
      <c r="Q1575" s="9" t="str">
        <f ca="1">IFERROR(__xludf.DUMMYFUNCTION("IFERROR(VALUE(REGEXEXTRACT(TO_TEXT($F1575), Q$1 &amp; ""x(\d+)"")), """")"),"")</f>
        <v/>
      </c>
      <c r="R1575" s="9" t="str">
        <f ca="1">IFERROR(__xludf.DUMMYFUNCTION("IFERROR(VALUE(REGEXEXTRACT(TO_TEXT($F1575), R$1 &amp; ""x(\d+)"")), """")"),"")</f>
        <v/>
      </c>
      <c r="S1575" s="9" t="str">
        <f ca="1">IFERROR(__xludf.DUMMYFUNCTION("IFERROR(VALUE(REGEXEXTRACT(TO_TEXT($F1575), S$1 &amp; ""x(\d+)"")), """")"),"")</f>
        <v/>
      </c>
      <c r="T1575" s="9" t="str">
        <f ca="1">IFERROR(__xludf.DUMMYFUNCTION("IFERROR(VALUE(REGEXEXTRACT(TO_TEXT($F1575), T$1 &amp; ""x(\d+)"")), """")"),"")</f>
        <v/>
      </c>
      <c r="U1575" s="9" t="str">
        <f ca="1">IFERROR(__xludf.DUMMYFUNCTION("IFERROR(VALUE(REGEXEXTRACT(TO_TEXT($F1575), U$1 &amp; ""x(\d+)"")), """")"),"")</f>
        <v/>
      </c>
      <c r="V1575" s="9" t="str">
        <f ca="1">IFERROR(__xludf.DUMMYFUNCTION("IFERROR(VALUE(REGEXEXTRACT(TO_TEXT($F1575), V$1 &amp; ""x(\d+)"")), """")"),"")</f>
        <v/>
      </c>
      <c r="W1575" s="9"/>
      <c r="X1575" s="9"/>
      <c r="Y1575" s="9"/>
      <c r="Z1575" s="9"/>
    </row>
    <row r="1576" spans="1:26" ht="15.75" customHeight="1">
      <c r="A1576" s="9" t="s">
        <v>2605</v>
      </c>
      <c r="B1576" s="9" t="s">
        <v>2597</v>
      </c>
      <c r="C1576" s="9" t="s">
        <v>2606</v>
      </c>
      <c r="D1576" s="9" t="s">
        <v>33</v>
      </c>
      <c r="E1576" s="9" t="s">
        <v>13</v>
      </c>
      <c r="F1576" s="9" t="s">
        <v>2041</v>
      </c>
      <c r="G1576" s="9">
        <v>15</v>
      </c>
      <c r="H1576" s="9">
        <v>3</v>
      </c>
      <c r="I1576" s="9">
        <v>1.0149999999999999</v>
      </c>
      <c r="J1576" s="9">
        <v>110</v>
      </c>
      <c r="K1576" s="9" t="s">
        <v>442</v>
      </c>
      <c r="L1576" s="9"/>
      <c r="M1576" s="9"/>
      <c r="N1576" s="9" t="str">
        <f ca="1">IFERROR(__xludf.DUMMYFUNCTION("IFERROR(VALUE(REGEXEXTRACT(TO_TEXT($F1576), N$1 &amp; ""x(\d+)"")), """")
"),"")</f>
        <v/>
      </c>
      <c r="O1576" s="9">
        <f ca="1">IFERROR(__xludf.DUMMYFUNCTION("IFERROR(VALUE(REGEXEXTRACT(TO_TEXT($F1576), O$1 &amp; ""x(\d+)"")), """")"),1)</f>
        <v>1</v>
      </c>
      <c r="P1576" s="9" t="str">
        <f ca="1">IFERROR(__xludf.DUMMYFUNCTION("IFERROR(VALUE(REGEXEXTRACT(TO_TEXT($F1576), P$1 &amp; ""x(\d+)"")), """")"),"")</f>
        <v/>
      </c>
      <c r="Q1576" s="9" t="str">
        <f ca="1">IFERROR(__xludf.DUMMYFUNCTION("IFERROR(VALUE(REGEXEXTRACT(TO_TEXT($F1576), Q$1 &amp; ""x(\d+)"")), """")"),"")</f>
        <v/>
      </c>
      <c r="R1576" s="9" t="str">
        <f ca="1">IFERROR(__xludf.DUMMYFUNCTION("IFERROR(VALUE(REGEXEXTRACT(TO_TEXT($F1576), R$1 &amp; ""x(\d+)"")), """")"),"")</f>
        <v/>
      </c>
      <c r="S1576" s="9" t="str">
        <f ca="1">IFERROR(__xludf.DUMMYFUNCTION("IFERROR(VALUE(REGEXEXTRACT(TO_TEXT($F1576), S$1 &amp; ""x(\d+)"")), """")"),"")</f>
        <v/>
      </c>
      <c r="T1576" s="9" t="str">
        <f ca="1">IFERROR(__xludf.DUMMYFUNCTION("IFERROR(VALUE(REGEXEXTRACT(TO_TEXT($F1576), T$1 &amp; ""x(\d+)"")), """")"),"")</f>
        <v/>
      </c>
      <c r="U1576" s="9" t="str">
        <f ca="1">IFERROR(__xludf.DUMMYFUNCTION("IFERROR(VALUE(REGEXEXTRACT(TO_TEXT($F1576), U$1 &amp; ""x(\d+)"")), """")"),"")</f>
        <v/>
      </c>
      <c r="V1576" s="9" t="str">
        <f ca="1">IFERROR(__xludf.DUMMYFUNCTION("IFERROR(VALUE(REGEXEXTRACT(TO_TEXT($F1576), V$1 &amp; ""x(\d+)"")), """")"),"")</f>
        <v/>
      </c>
      <c r="W1576" s="9"/>
      <c r="X1576" s="9"/>
      <c r="Y1576" s="9"/>
      <c r="Z1576" s="9"/>
    </row>
    <row r="1577" spans="1:26" ht="15.75" customHeight="1">
      <c r="A1577" s="9" t="s">
        <v>2607</v>
      </c>
      <c r="B1577" s="9" t="s">
        <v>2608</v>
      </c>
      <c r="C1577" s="9" t="s">
        <v>2609</v>
      </c>
      <c r="D1577" s="9" t="s">
        <v>33</v>
      </c>
      <c r="E1577" s="9" t="s">
        <v>11</v>
      </c>
      <c r="F1577" s="9" t="s">
        <v>2610</v>
      </c>
      <c r="G1577" s="9">
        <v>30</v>
      </c>
      <c r="H1577" s="9">
        <v>4</v>
      </c>
      <c r="I1577" s="9">
        <v>1.0149999999999999</v>
      </c>
      <c r="J1577" s="9">
        <v>110</v>
      </c>
      <c r="K1577" s="9" t="s">
        <v>442</v>
      </c>
      <c r="L1577" s="9"/>
      <c r="M1577" s="9"/>
      <c r="N1577" s="9" t="str">
        <f ca="1">IFERROR(__xludf.DUMMYFUNCTION("IFERROR(VALUE(REGEXEXTRACT(TO_TEXT($F1577), N$1 &amp; ""x(\d+)"")), """")
"),"")</f>
        <v/>
      </c>
      <c r="O1577" s="9" t="str">
        <f ca="1">IFERROR(__xludf.DUMMYFUNCTION("IFERROR(VALUE(REGEXEXTRACT(TO_TEXT($F1577), O$1 &amp; ""x(\d+)"")), """")"),"")</f>
        <v/>
      </c>
      <c r="P1577" s="9" t="str">
        <f ca="1">IFERROR(__xludf.DUMMYFUNCTION("IFERROR(VALUE(REGEXEXTRACT(TO_TEXT($F1577), P$1 &amp; ""x(\d+)"")), """")"),"")</f>
        <v/>
      </c>
      <c r="Q1577" s="9" t="str">
        <f ca="1">IFERROR(__xludf.DUMMYFUNCTION("IFERROR(VALUE(REGEXEXTRACT(TO_TEXT($F1577), Q$1 &amp; ""x(\d+)"")), """")"),"")</f>
        <v/>
      </c>
      <c r="R1577" s="9" t="str">
        <f ca="1">IFERROR(__xludf.DUMMYFUNCTION("IFERROR(VALUE(REGEXEXTRACT(TO_TEXT($F1577), R$1 &amp; ""x(\d+)"")), """")"),"")</f>
        <v/>
      </c>
      <c r="S1577" s="9" t="str">
        <f ca="1">IFERROR(__xludf.DUMMYFUNCTION("IFERROR(VALUE(REGEXEXTRACT(TO_TEXT($F1577), S$1 &amp; ""x(\d+)"")), """")"),"")</f>
        <v/>
      </c>
      <c r="T1577" s="9" t="str">
        <f ca="1">IFERROR(__xludf.DUMMYFUNCTION("IFERROR(VALUE(REGEXEXTRACT(TO_TEXT($F1577), T$1 &amp; ""x(\d+)"")), """")"),"")</f>
        <v/>
      </c>
      <c r="U1577" s="9" t="str">
        <f ca="1">IFERROR(__xludf.DUMMYFUNCTION("IFERROR(VALUE(REGEXEXTRACT(TO_TEXT($F1577), U$1 &amp; ""x(\d+)"")), """")"),"")</f>
        <v/>
      </c>
      <c r="V1577" s="9" t="str">
        <f ca="1">IFERROR(__xludf.DUMMYFUNCTION("IFERROR(VALUE(REGEXEXTRACT(TO_TEXT($F1577), V$1 &amp; ""x(\d+)"")), """")"),"")</f>
        <v/>
      </c>
      <c r="W1577" s="9"/>
      <c r="X1577" s="9"/>
      <c r="Y1577" s="9"/>
      <c r="Z1577" s="9"/>
    </row>
    <row r="1578" spans="1:26" ht="15.75" customHeight="1">
      <c r="A1578" s="9" t="s">
        <v>2607</v>
      </c>
      <c r="B1578" s="9" t="s">
        <v>2608</v>
      </c>
      <c r="C1578" s="9" t="s">
        <v>2609</v>
      </c>
      <c r="D1578" s="9" t="s">
        <v>33</v>
      </c>
      <c r="E1578" s="9" t="s">
        <v>12</v>
      </c>
      <c r="F1578" s="9" t="s">
        <v>2311</v>
      </c>
      <c r="G1578" s="9">
        <v>120</v>
      </c>
      <c r="H1578" s="9">
        <v>4</v>
      </c>
      <c r="I1578" s="9">
        <v>1.0149999999999999</v>
      </c>
      <c r="J1578" s="9">
        <v>110</v>
      </c>
      <c r="K1578" s="9" t="s">
        <v>442</v>
      </c>
      <c r="L1578" s="9"/>
      <c r="M1578" s="9"/>
      <c r="N1578" s="9" t="str">
        <f ca="1">IFERROR(__xludf.DUMMYFUNCTION("IFERROR(VALUE(REGEXEXTRACT(TO_TEXT($F1578), N$1 &amp; ""x(\d+)"")), """")
"),"")</f>
        <v/>
      </c>
      <c r="O1578" s="9">
        <f ca="1">IFERROR(__xludf.DUMMYFUNCTION("IFERROR(VALUE(REGEXEXTRACT(TO_TEXT($F1578), O$1 &amp; ""x(\d+)"")), """")"),1)</f>
        <v>1</v>
      </c>
      <c r="P1578" s="9" t="str">
        <f ca="1">IFERROR(__xludf.DUMMYFUNCTION("IFERROR(VALUE(REGEXEXTRACT(TO_TEXT($F1578), P$1 &amp; ""x(\d+)"")), """")"),"")</f>
        <v/>
      </c>
      <c r="Q1578" s="9" t="str">
        <f ca="1">IFERROR(__xludf.DUMMYFUNCTION("IFERROR(VALUE(REGEXEXTRACT(TO_TEXT($F1578), Q$1 &amp; ""x(\d+)"")), """")"),"")</f>
        <v/>
      </c>
      <c r="R1578" s="9" t="str">
        <f ca="1">IFERROR(__xludf.DUMMYFUNCTION("IFERROR(VALUE(REGEXEXTRACT(TO_TEXT($F1578), R$1 &amp; ""x(\d+)"")), """")"),"")</f>
        <v/>
      </c>
      <c r="S1578" s="9" t="str">
        <f ca="1">IFERROR(__xludf.DUMMYFUNCTION("IFERROR(VALUE(REGEXEXTRACT(TO_TEXT($F1578), S$1 &amp; ""x(\d+)"")), """")"),"")</f>
        <v/>
      </c>
      <c r="T1578" s="9" t="str">
        <f ca="1">IFERROR(__xludf.DUMMYFUNCTION("IFERROR(VALUE(REGEXEXTRACT(TO_TEXT($F1578), T$1 &amp; ""x(\d+)"")), """")"),"")</f>
        <v/>
      </c>
      <c r="U1578" s="9" t="str">
        <f ca="1">IFERROR(__xludf.DUMMYFUNCTION("IFERROR(VALUE(REGEXEXTRACT(TO_TEXT($F1578), U$1 &amp; ""x(\d+)"")), """")"),"")</f>
        <v/>
      </c>
      <c r="V1578" s="9" t="str">
        <f ca="1">IFERROR(__xludf.DUMMYFUNCTION("IFERROR(VALUE(REGEXEXTRACT(TO_TEXT($F1578), V$1 &amp; ""x(\d+)"")), """")"),"")</f>
        <v/>
      </c>
      <c r="W1578" s="9"/>
      <c r="X1578" s="9"/>
      <c r="Y1578" s="9"/>
      <c r="Z1578" s="9"/>
    </row>
    <row r="1579" spans="1:26" ht="15.75" customHeight="1">
      <c r="A1579" s="9" t="s">
        <v>2607</v>
      </c>
      <c r="B1579" s="9" t="s">
        <v>2608</v>
      </c>
      <c r="C1579" s="9" t="s">
        <v>2609</v>
      </c>
      <c r="D1579" s="9" t="s">
        <v>33</v>
      </c>
      <c r="E1579" s="9" t="s">
        <v>13</v>
      </c>
      <c r="F1579" s="9" t="s">
        <v>2611</v>
      </c>
      <c r="G1579" s="9">
        <v>15</v>
      </c>
      <c r="H1579" s="9">
        <v>4</v>
      </c>
      <c r="I1579" s="9">
        <v>1.0149999999999999</v>
      </c>
      <c r="J1579" s="9">
        <v>110</v>
      </c>
      <c r="K1579" s="9" t="s">
        <v>442</v>
      </c>
      <c r="L1579" s="9"/>
      <c r="M1579" s="9"/>
      <c r="N1579" s="9" t="str">
        <f ca="1">IFERROR(__xludf.DUMMYFUNCTION("IFERROR(VALUE(REGEXEXTRACT(TO_TEXT($F1579), N$1 &amp; ""x(\d+)"")), """")
"),"")</f>
        <v/>
      </c>
      <c r="O1579" s="9">
        <f ca="1">IFERROR(__xludf.DUMMYFUNCTION("IFERROR(VALUE(REGEXEXTRACT(TO_TEXT($F1579), O$1 &amp; ""x(\d+)"")), """")"),1)</f>
        <v>1</v>
      </c>
      <c r="P1579" s="9" t="str">
        <f ca="1">IFERROR(__xludf.DUMMYFUNCTION("IFERROR(VALUE(REGEXEXTRACT(TO_TEXT($F1579), P$1 &amp; ""x(\d+)"")), """")"),"")</f>
        <v/>
      </c>
      <c r="Q1579" s="9" t="str">
        <f ca="1">IFERROR(__xludf.DUMMYFUNCTION("IFERROR(VALUE(REGEXEXTRACT(TO_TEXT($F1579), Q$1 &amp; ""x(\d+)"")), """")"),"")</f>
        <v/>
      </c>
      <c r="R1579" s="9" t="str">
        <f ca="1">IFERROR(__xludf.DUMMYFUNCTION("IFERROR(VALUE(REGEXEXTRACT(TO_TEXT($F1579), R$1 &amp; ""x(\d+)"")), """")"),"")</f>
        <v/>
      </c>
      <c r="S1579" s="9" t="str">
        <f ca="1">IFERROR(__xludf.DUMMYFUNCTION("IFERROR(VALUE(REGEXEXTRACT(TO_TEXT($F1579), S$1 &amp; ""x(\d+)"")), """")"),"")</f>
        <v/>
      </c>
      <c r="T1579" s="9" t="str">
        <f ca="1">IFERROR(__xludf.DUMMYFUNCTION("IFERROR(VALUE(REGEXEXTRACT(TO_TEXT($F1579), T$1 &amp; ""x(\d+)"")), """")"),"")</f>
        <v/>
      </c>
      <c r="U1579" s="9" t="str">
        <f ca="1">IFERROR(__xludf.DUMMYFUNCTION("IFERROR(VALUE(REGEXEXTRACT(TO_TEXT($F1579), U$1 &amp; ""x(\d+)"")), """")"),"")</f>
        <v/>
      </c>
      <c r="V1579" s="9" t="str">
        <f ca="1">IFERROR(__xludf.DUMMYFUNCTION("IFERROR(VALUE(REGEXEXTRACT(TO_TEXT($F1579), V$1 &amp; ""x(\d+)"")), """")"),"")</f>
        <v/>
      </c>
      <c r="W1579" s="9"/>
      <c r="X1579" s="9"/>
      <c r="Y1579" s="9"/>
      <c r="Z1579" s="9"/>
    </row>
    <row r="1580" spans="1:26" ht="15.75" customHeight="1">
      <c r="A1580" s="9" t="s">
        <v>2612</v>
      </c>
      <c r="B1580" s="9" t="s">
        <v>2613</v>
      </c>
      <c r="C1580" s="9" t="s">
        <v>2614</v>
      </c>
      <c r="D1580" s="9" t="s">
        <v>48</v>
      </c>
      <c r="E1580" s="9" t="s">
        <v>11</v>
      </c>
      <c r="F1580" s="9" t="s">
        <v>1315</v>
      </c>
      <c r="G1580" s="9">
        <v>25</v>
      </c>
      <c r="H1580" s="9">
        <v>2</v>
      </c>
      <c r="I1580" s="9">
        <v>1.0149999999999999</v>
      </c>
      <c r="J1580" s="9">
        <v>52</v>
      </c>
      <c r="K1580" s="9" t="s">
        <v>424</v>
      </c>
      <c r="L1580" s="9"/>
      <c r="M1580" s="9"/>
      <c r="N1580" s="9" t="str">
        <f ca="1">IFERROR(__xludf.DUMMYFUNCTION("IFERROR(VALUE(REGEXEXTRACT(TO_TEXT($F1580), N$1 &amp; ""x(\d+)"")), """")
"),"")</f>
        <v/>
      </c>
      <c r="O1580" s="9" t="str">
        <f ca="1">IFERROR(__xludf.DUMMYFUNCTION("IFERROR(VALUE(REGEXEXTRACT(TO_TEXT($F1580), O$1 &amp; ""x(\d+)"")), """")"),"")</f>
        <v/>
      </c>
      <c r="P1580" s="9" t="str">
        <f ca="1">IFERROR(__xludf.DUMMYFUNCTION("IFERROR(VALUE(REGEXEXTRACT(TO_TEXT($F1580), P$1 &amp; ""x(\d+)"")), """")"),"")</f>
        <v/>
      </c>
      <c r="Q1580" s="9" t="str">
        <f ca="1">IFERROR(__xludf.DUMMYFUNCTION("IFERROR(VALUE(REGEXEXTRACT(TO_TEXT($F1580), Q$1 &amp; ""x(\d+)"")), """")"),"")</f>
        <v/>
      </c>
      <c r="R1580" s="9" t="str">
        <f ca="1">IFERROR(__xludf.DUMMYFUNCTION("IFERROR(VALUE(REGEXEXTRACT(TO_TEXT($F1580), R$1 &amp; ""x(\d+)"")), """")"),"")</f>
        <v/>
      </c>
      <c r="S1580" s="9" t="str">
        <f ca="1">IFERROR(__xludf.DUMMYFUNCTION("IFERROR(VALUE(REGEXEXTRACT(TO_TEXT($F1580), S$1 &amp; ""x(\d+)"")), """")"),"")</f>
        <v/>
      </c>
      <c r="T1580" s="9" t="str">
        <f ca="1">IFERROR(__xludf.DUMMYFUNCTION("IFERROR(VALUE(REGEXEXTRACT(TO_TEXT($F1580), T$1 &amp; ""x(\d+)"")), """")"),"")</f>
        <v/>
      </c>
      <c r="U1580" s="9" t="str">
        <f ca="1">IFERROR(__xludf.DUMMYFUNCTION("IFERROR(VALUE(REGEXEXTRACT(TO_TEXT($F1580), U$1 &amp; ""x(\d+)"")), """")"),"")</f>
        <v/>
      </c>
      <c r="V1580" s="9" t="str">
        <f ca="1">IFERROR(__xludf.DUMMYFUNCTION("IFERROR(VALUE(REGEXEXTRACT(TO_TEXT($F1580), V$1 &amp; ""x(\d+)"")), """")"),"")</f>
        <v/>
      </c>
      <c r="W1580" s="9"/>
      <c r="X1580" s="9"/>
      <c r="Y1580" s="9"/>
      <c r="Z1580" s="9"/>
    </row>
    <row r="1581" spans="1:26" ht="15.75" customHeight="1">
      <c r="A1581" s="9" t="s">
        <v>2612</v>
      </c>
      <c r="B1581" s="9" t="s">
        <v>2613</v>
      </c>
      <c r="C1581" s="9" t="s">
        <v>2614</v>
      </c>
      <c r="D1581" s="9" t="s">
        <v>48</v>
      </c>
      <c r="E1581" s="9" t="s">
        <v>12</v>
      </c>
      <c r="F1581" s="9" t="s">
        <v>2615</v>
      </c>
      <c r="G1581" s="9">
        <v>210</v>
      </c>
      <c r="H1581" s="9">
        <v>2</v>
      </c>
      <c r="I1581" s="9">
        <v>1.0149999999999999</v>
      </c>
      <c r="J1581" s="9">
        <v>52</v>
      </c>
      <c r="K1581" s="9" t="s">
        <v>424</v>
      </c>
      <c r="L1581" s="9"/>
      <c r="M1581" s="9"/>
      <c r="N1581" s="9" t="str">
        <f ca="1">IFERROR(__xludf.DUMMYFUNCTION("IFERROR(VALUE(REGEXEXTRACT(TO_TEXT($F1581), N$1 &amp; ""x(\d+)"")), """")
"),"")</f>
        <v/>
      </c>
      <c r="O1581" s="9" t="str">
        <f ca="1">IFERROR(__xludf.DUMMYFUNCTION("IFERROR(VALUE(REGEXEXTRACT(TO_TEXT($F1581), O$1 &amp; ""x(\d+)"")), """")"),"")</f>
        <v/>
      </c>
      <c r="P1581" s="9">
        <f ca="1">IFERROR(__xludf.DUMMYFUNCTION("IFERROR(VALUE(REGEXEXTRACT(TO_TEXT($F1581), P$1 &amp; ""x(\d+)"")), """")"),1)</f>
        <v>1</v>
      </c>
      <c r="Q1581" s="9" t="str">
        <f ca="1">IFERROR(__xludf.DUMMYFUNCTION("IFERROR(VALUE(REGEXEXTRACT(TO_TEXT($F1581), Q$1 &amp; ""x(\d+)"")), """")"),"")</f>
        <v/>
      </c>
      <c r="R1581" s="9" t="str">
        <f ca="1">IFERROR(__xludf.DUMMYFUNCTION("IFERROR(VALUE(REGEXEXTRACT(TO_TEXT($F1581), R$1 &amp; ""x(\d+)"")), """")"),"")</f>
        <v/>
      </c>
      <c r="S1581" s="9" t="str">
        <f ca="1">IFERROR(__xludf.DUMMYFUNCTION("IFERROR(VALUE(REGEXEXTRACT(TO_TEXT($F1581), S$1 &amp; ""x(\d+)"")), """")"),"")</f>
        <v/>
      </c>
      <c r="T1581" s="9" t="str">
        <f ca="1">IFERROR(__xludf.DUMMYFUNCTION("IFERROR(VALUE(REGEXEXTRACT(TO_TEXT($F1581), T$1 &amp; ""x(\d+)"")), """")"),"")</f>
        <v/>
      </c>
      <c r="U1581" s="9" t="str">
        <f ca="1">IFERROR(__xludf.DUMMYFUNCTION("IFERROR(VALUE(REGEXEXTRACT(TO_TEXT($F1581), U$1 &amp; ""x(\d+)"")), """")"),"")</f>
        <v/>
      </c>
      <c r="V1581" s="9" t="str">
        <f ca="1">IFERROR(__xludf.DUMMYFUNCTION("IFERROR(VALUE(REGEXEXTRACT(TO_TEXT($F1581), V$1 &amp; ""x(\d+)"")), """")"),"")</f>
        <v/>
      </c>
      <c r="W1581" s="9"/>
      <c r="X1581" s="9"/>
      <c r="Y1581" s="9"/>
      <c r="Z1581" s="9"/>
    </row>
    <row r="1582" spans="1:26" ht="15.75" customHeight="1">
      <c r="A1582" s="9" t="s">
        <v>2612</v>
      </c>
      <c r="B1582" s="9" t="s">
        <v>2613</v>
      </c>
      <c r="C1582" s="9" t="s">
        <v>2614</v>
      </c>
      <c r="D1582" s="9" t="s">
        <v>48</v>
      </c>
      <c r="E1582" s="9" t="s">
        <v>13</v>
      </c>
      <c r="F1582" s="9" t="s">
        <v>1853</v>
      </c>
      <c r="G1582" s="9">
        <v>90</v>
      </c>
      <c r="H1582" s="9">
        <v>2</v>
      </c>
      <c r="I1582" s="9">
        <v>1.0149999999999999</v>
      </c>
      <c r="J1582" s="9">
        <v>52</v>
      </c>
      <c r="K1582" s="9" t="s">
        <v>424</v>
      </c>
      <c r="L1582" s="9"/>
      <c r="M1582" s="9"/>
      <c r="N1582" s="9" t="str">
        <f ca="1">IFERROR(__xludf.DUMMYFUNCTION("IFERROR(VALUE(REGEXEXTRACT(TO_TEXT($F1582), N$1 &amp; ""x(\d+)"")), """")
"),"")</f>
        <v/>
      </c>
      <c r="O1582" s="9" t="str">
        <f ca="1">IFERROR(__xludf.DUMMYFUNCTION("IFERROR(VALUE(REGEXEXTRACT(TO_TEXT($F1582), O$1 &amp; ""x(\d+)"")), """")"),"")</f>
        <v/>
      </c>
      <c r="P1582" s="9">
        <f ca="1">IFERROR(__xludf.DUMMYFUNCTION("IFERROR(VALUE(REGEXEXTRACT(TO_TEXT($F1582), P$1 &amp; ""x(\d+)"")), """")"),1)</f>
        <v>1</v>
      </c>
      <c r="Q1582" s="9" t="str">
        <f ca="1">IFERROR(__xludf.DUMMYFUNCTION("IFERROR(VALUE(REGEXEXTRACT(TO_TEXT($F1582), Q$1 &amp; ""x(\d+)"")), """")"),"")</f>
        <v/>
      </c>
      <c r="R1582" s="9" t="str">
        <f ca="1">IFERROR(__xludf.DUMMYFUNCTION("IFERROR(VALUE(REGEXEXTRACT(TO_TEXT($F1582), R$1 &amp; ""x(\d+)"")), """")"),"")</f>
        <v/>
      </c>
      <c r="S1582" s="9" t="str">
        <f ca="1">IFERROR(__xludf.DUMMYFUNCTION("IFERROR(VALUE(REGEXEXTRACT(TO_TEXT($F1582), S$1 &amp; ""x(\d+)"")), """")"),"")</f>
        <v/>
      </c>
      <c r="T1582" s="9" t="str">
        <f ca="1">IFERROR(__xludf.DUMMYFUNCTION("IFERROR(VALUE(REGEXEXTRACT(TO_TEXT($F1582), T$1 &amp; ""x(\d+)"")), """")"),"")</f>
        <v/>
      </c>
      <c r="U1582" s="9" t="str">
        <f ca="1">IFERROR(__xludf.DUMMYFUNCTION("IFERROR(VALUE(REGEXEXTRACT(TO_TEXT($F1582), U$1 &amp; ""x(\d+)"")), """")"),"")</f>
        <v/>
      </c>
      <c r="V1582" s="9" t="str">
        <f ca="1">IFERROR(__xludf.DUMMYFUNCTION("IFERROR(VALUE(REGEXEXTRACT(TO_TEXT($F1582), V$1 &amp; ""x(\d+)"")), """")"),"")</f>
        <v/>
      </c>
      <c r="W1582" s="9"/>
      <c r="X1582" s="9"/>
      <c r="Y1582" s="9"/>
      <c r="Z1582" s="9"/>
    </row>
    <row r="1583" spans="1:26" ht="15.75" customHeight="1">
      <c r="A1583" s="9" t="s">
        <v>2616</v>
      </c>
      <c r="B1583" s="9" t="s">
        <v>2617</v>
      </c>
      <c r="C1583" s="9" t="s">
        <v>2618</v>
      </c>
      <c r="D1583" s="9" t="s">
        <v>33</v>
      </c>
      <c r="E1583" s="9" t="s">
        <v>11</v>
      </c>
      <c r="F1583" s="9" t="s">
        <v>1380</v>
      </c>
      <c r="G1583" s="9">
        <v>40</v>
      </c>
      <c r="H1583" s="9">
        <v>2</v>
      </c>
      <c r="I1583" s="9">
        <v>1.0149999999999999</v>
      </c>
      <c r="J1583" s="9">
        <v>100</v>
      </c>
      <c r="K1583" s="9" t="s">
        <v>442</v>
      </c>
      <c r="L1583" s="9"/>
      <c r="M1583" s="9"/>
      <c r="N1583" s="9" t="str">
        <f ca="1">IFERROR(__xludf.DUMMYFUNCTION("IFERROR(VALUE(REGEXEXTRACT(TO_TEXT($F1583), N$1 &amp; ""x(\d+)"")), """")
"),"")</f>
        <v/>
      </c>
      <c r="O1583" s="9" t="str">
        <f ca="1">IFERROR(__xludf.DUMMYFUNCTION("IFERROR(VALUE(REGEXEXTRACT(TO_TEXT($F1583), O$1 &amp; ""x(\d+)"")), """")"),"")</f>
        <v/>
      </c>
      <c r="P1583" s="9" t="str">
        <f ca="1">IFERROR(__xludf.DUMMYFUNCTION("IFERROR(VALUE(REGEXEXTRACT(TO_TEXT($F1583), P$1 &amp; ""x(\d+)"")), """")"),"")</f>
        <v/>
      </c>
      <c r="Q1583" s="9" t="str">
        <f ca="1">IFERROR(__xludf.DUMMYFUNCTION("IFERROR(VALUE(REGEXEXTRACT(TO_TEXT($F1583), Q$1 &amp; ""x(\d+)"")), """")"),"")</f>
        <v/>
      </c>
      <c r="R1583" s="9" t="str">
        <f ca="1">IFERROR(__xludf.DUMMYFUNCTION("IFERROR(VALUE(REGEXEXTRACT(TO_TEXT($F1583), R$1 &amp; ""x(\d+)"")), """")"),"")</f>
        <v/>
      </c>
      <c r="S1583" s="9" t="str">
        <f ca="1">IFERROR(__xludf.DUMMYFUNCTION("IFERROR(VALUE(REGEXEXTRACT(TO_TEXT($F1583), S$1 &amp; ""x(\d+)"")), """")"),"")</f>
        <v/>
      </c>
      <c r="T1583" s="9" t="str">
        <f ca="1">IFERROR(__xludf.DUMMYFUNCTION("IFERROR(VALUE(REGEXEXTRACT(TO_TEXT($F1583), T$1 &amp; ""x(\d+)"")), """")"),"")</f>
        <v/>
      </c>
      <c r="U1583" s="9" t="str">
        <f ca="1">IFERROR(__xludf.DUMMYFUNCTION("IFERROR(VALUE(REGEXEXTRACT(TO_TEXT($F1583), U$1 &amp; ""x(\d+)"")), """")"),"")</f>
        <v/>
      </c>
      <c r="V1583" s="9" t="str">
        <f ca="1">IFERROR(__xludf.DUMMYFUNCTION("IFERROR(VALUE(REGEXEXTRACT(TO_TEXT($F1583), V$1 &amp; ""x(\d+)"")), """")"),"")</f>
        <v/>
      </c>
      <c r="W1583" s="9"/>
      <c r="X1583" s="9"/>
      <c r="Y1583" s="9"/>
      <c r="Z1583" s="9"/>
    </row>
    <row r="1584" spans="1:26" ht="15.75" customHeight="1">
      <c r="A1584" s="9" t="s">
        <v>2616</v>
      </c>
      <c r="B1584" s="9" t="s">
        <v>2617</v>
      </c>
      <c r="C1584" s="9" t="s">
        <v>2618</v>
      </c>
      <c r="D1584" s="9" t="s">
        <v>33</v>
      </c>
      <c r="E1584" s="9" t="s">
        <v>12</v>
      </c>
      <c r="F1584" s="9" t="s">
        <v>2214</v>
      </c>
      <c r="G1584" s="9">
        <v>90</v>
      </c>
      <c r="H1584" s="9">
        <v>2</v>
      </c>
      <c r="I1584" s="9">
        <v>1.0149999999999999</v>
      </c>
      <c r="J1584" s="9">
        <v>100</v>
      </c>
      <c r="K1584" s="9" t="s">
        <v>442</v>
      </c>
      <c r="L1584" s="9"/>
      <c r="M1584" s="9"/>
      <c r="N1584" s="9" t="str">
        <f ca="1">IFERROR(__xludf.DUMMYFUNCTION("IFERROR(VALUE(REGEXEXTRACT(TO_TEXT($F1584), N$1 &amp; ""x(\d+)"")), """")
"),"")</f>
        <v/>
      </c>
      <c r="O1584" s="9">
        <f ca="1">IFERROR(__xludf.DUMMYFUNCTION("IFERROR(VALUE(REGEXEXTRACT(TO_TEXT($F1584), O$1 &amp; ""x(\d+)"")), """")"),1)</f>
        <v>1</v>
      </c>
      <c r="P1584" s="9" t="str">
        <f ca="1">IFERROR(__xludf.DUMMYFUNCTION("IFERROR(VALUE(REGEXEXTRACT(TO_TEXT($F1584), P$1 &amp; ""x(\d+)"")), """")"),"")</f>
        <v/>
      </c>
      <c r="Q1584" s="9" t="str">
        <f ca="1">IFERROR(__xludf.DUMMYFUNCTION("IFERROR(VALUE(REGEXEXTRACT(TO_TEXT($F1584), Q$1 &amp; ""x(\d+)"")), """")"),"")</f>
        <v/>
      </c>
      <c r="R1584" s="9" t="str">
        <f ca="1">IFERROR(__xludf.DUMMYFUNCTION("IFERROR(VALUE(REGEXEXTRACT(TO_TEXT($F1584), R$1 &amp; ""x(\d+)"")), """")"),"")</f>
        <v/>
      </c>
      <c r="S1584" s="9" t="str">
        <f ca="1">IFERROR(__xludf.DUMMYFUNCTION("IFERROR(VALUE(REGEXEXTRACT(TO_TEXT($F1584), S$1 &amp; ""x(\d+)"")), """")"),"")</f>
        <v/>
      </c>
      <c r="T1584" s="9" t="str">
        <f ca="1">IFERROR(__xludf.DUMMYFUNCTION("IFERROR(VALUE(REGEXEXTRACT(TO_TEXT($F1584), T$1 &amp; ""x(\d+)"")), """")"),"")</f>
        <v/>
      </c>
      <c r="U1584" s="9" t="str">
        <f ca="1">IFERROR(__xludf.DUMMYFUNCTION("IFERROR(VALUE(REGEXEXTRACT(TO_TEXT($F1584), U$1 &amp; ""x(\d+)"")), """")"),"")</f>
        <v/>
      </c>
      <c r="V1584" s="9" t="str">
        <f ca="1">IFERROR(__xludf.DUMMYFUNCTION("IFERROR(VALUE(REGEXEXTRACT(TO_TEXT($F1584), V$1 &amp; ""x(\d+)"")), """")"),"")</f>
        <v/>
      </c>
      <c r="W1584" s="9"/>
      <c r="X1584" s="9"/>
      <c r="Y1584" s="9"/>
      <c r="Z1584" s="9"/>
    </row>
    <row r="1585" spans="1:26" ht="15.75" customHeight="1">
      <c r="A1585" s="9" t="s">
        <v>2616</v>
      </c>
      <c r="B1585" s="9" t="s">
        <v>2617</v>
      </c>
      <c r="C1585" s="9" t="s">
        <v>2618</v>
      </c>
      <c r="D1585" s="9" t="s">
        <v>33</v>
      </c>
      <c r="E1585" s="9" t="s">
        <v>13</v>
      </c>
      <c r="F1585" s="9" t="s">
        <v>1369</v>
      </c>
      <c r="G1585" s="9">
        <v>15</v>
      </c>
      <c r="H1585" s="9">
        <v>2</v>
      </c>
      <c r="I1585" s="9">
        <v>1.0149999999999999</v>
      </c>
      <c r="J1585" s="9">
        <v>100</v>
      </c>
      <c r="K1585" s="9" t="s">
        <v>442</v>
      </c>
      <c r="L1585" s="9"/>
      <c r="M1585" s="9"/>
      <c r="N1585" s="9" t="str">
        <f ca="1">IFERROR(__xludf.DUMMYFUNCTION("IFERROR(VALUE(REGEXEXTRACT(TO_TEXT($F1585), N$1 &amp; ""x(\d+)"")), """")
"),"")</f>
        <v/>
      </c>
      <c r="O1585" s="9">
        <f ca="1">IFERROR(__xludf.DUMMYFUNCTION("IFERROR(VALUE(REGEXEXTRACT(TO_TEXT($F1585), O$1 &amp; ""x(\d+)"")), """")"),1)</f>
        <v>1</v>
      </c>
      <c r="P1585" s="9" t="str">
        <f ca="1">IFERROR(__xludf.DUMMYFUNCTION("IFERROR(VALUE(REGEXEXTRACT(TO_TEXT($F1585), P$1 &amp; ""x(\d+)"")), """")"),"")</f>
        <v/>
      </c>
      <c r="Q1585" s="9" t="str">
        <f ca="1">IFERROR(__xludf.DUMMYFUNCTION("IFERROR(VALUE(REGEXEXTRACT(TO_TEXT($F1585), Q$1 &amp; ""x(\d+)"")), """")"),"")</f>
        <v/>
      </c>
      <c r="R1585" s="9" t="str">
        <f ca="1">IFERROR(__xludf.DUMMYFUNCTION("IFERROR(VALUE(REGEXEXTRACT(TO_TEXT($F1585), R$1 &amp; ""x(\d+)"")), """")"),"")</f>
        <v/>
      </c>
      <c r="S1585" s="9" t="str">
        <f ca="1">IFERROR(__xludf.DUMMYFUNCTION("IFERROR(VALUE(REGEXEXTRACT(TO_TEXT($F1585), S$1 &amp; ""x(\d+)"")), """")"),"")</f>
        <v/>
      </c>
      <c r="T1585" s="9" t="str">
        <f ca="1">IFERROR(__xludf.DUMMYFUNCTION("IFERROR(VALUE(REGEXEXTRACT(TO_TEXT($F1585), T$1 &amp; ""x(\d+)"")), """")"),"")</f>
        <v/>
      </c>
      <c r="U1585" s="9" t="str">
        <f ca="1">IFERROR(__xludf.DUMMYFUNCTION("IFERROR(VALUE(REGEXEXTRACT(TO_TEXT($F1585), U$1 &amp; ""x(\d+)"")), """")"),"")</f>
        <v/>
      </c>
      <c r="V1585" s="9" t="str">
        <f ca="1">IFERROR(__xludf.DUMMYFUNCTION("IFERROR(VALUE(REGEXEXTRACT(TO_TEXT($F1585), V$1 &amp; ""x(\d+)"")), """")"),"")</f>
        <v/>
      </c>
      <c r="W1585" s="9"/>
      <c r="X1585" s="9"/>
      <c r="Y1585" s="9"/>
      <c r="Z1585" s="9"/>
    </row>
    <row r="1586" spans="1:26" ht="15.75" customHeight="1">
      <c r="A1586" s="9" t="s">
        <v>2619</v>
      </c>
      <c r="B1586" s="9" t="s">
        <v>2620</v>
      </c>
      <c r="C1586" s="9" t="s">
        <v>2621</v>
      </c>
      <c r="D1586" s="9" t="s">
        <v>33</v>
      </c>
      <c r="E1586" s="9" t="s">
        <v>11</v>
      </c>
      <c r="F1586" s="9" t="s">
        <v>1260</v>
      </c>
      <c r="G1586" s="9">
        <v>20</v>
      </c>
      <c r="H1586" s="9">
        <v>2</v>
      </c>
      <c r="I1586" s="9">
        <v>1.0149999999999999</v>
      </c>
      <c r="J1586" s="9">
        <v>110</v>
      </c>
      <c r="K1586" s="9" t="s">
        <v>442</v>
      </c>
      <c r="L1586" s="9"/>
      <c r="M1586" s="9"/>
      <c r="N1586" s="9" t="str">
        <f ca="1">IFERROR(__xludf.DUMMYFUNCTION("IFERROR(VALUE(REGEXEXTRACT(TO_TEXT($F1586), N$1 &amp; ""x(\d+)"")), """")
"),"")</f>
        <v/>
      </c>
      <c r="O1586" s="9" t="str">
        <f ca="1">IFERROR(__xludf.DUMMYFUNCTION("IFERROR(VALUE(REGEXEXTRACT(TO_TEXT($F1586), O$1 &amp; ""x(\d+)"")), """")"),"")</f>
        <v/>
      </c>
      <c r="P1586" s="9" t="str">
        <f ca="1">IFERROR(__xludf.DUMMYFUNCTION("IFERROR(VALUE(REGEXEXTRACT(TO_TEXT($F1586), P$1 &amp; ""x(\d+)"")), """")"),"")</f>
        <v/>
      </c>
      <c r="Q1586" s="9" t="str">
        <f ca="1">IFERROR(__xludf.DUMMYFUNCTION("IFERROR(VALUE(REGEXEXTRACT(TO_TEXT($F1586), Q$1 &amp; ""x(\d+)"")), """")"),"")</f>
        <v/>
      </c>
      <c r="R1586" s="9" t="str">
        <f ca="1">IFERROR(__xludf.DUMMYFUNCTION("IFERROR(VALUE(REGEXEXTRACT(TO_TEXT($F1586), R$1 &amp; ""x(\d+)"")), """")"),"")</f>
        <v/>
      </c>
      <c r="S1586" s="9" t="str">
        <f ca="1">IFERROR(__xludf.DUMMYFUNCTION("IFERROR(VALUE(REGEXEXTRACT(TO_TEXT($F1586), S$1 &amp; ""x(\d+)"")), """")"),"")</f>
        <v/>
      </c>
      <c r="T1586" s="9" t="str">
        <f ca="1">IFERROR(__xludf.DUMMYFUNCTION("IFERROR(VALUE(REGEXEXTRACT(TO_TEXT($F1586), T$1 &amp; ""x(\d+)"")), """")"),"")</f>
        <v/>
      </c>
      <c r="U1586" s="9" t="str">
        <f ca="1">IFERROR(__xludf.DUMMYFUNCTION("IFERROR(VALUE(REGEXEXTRACT(TO_TEXT($F1586), U$1 &amp; ""x(\d+)"")), """")"),"")</f>
        <v/>
      </c>
      <c r="V1586" s="9" t="str">
        <f ca="1">IFERROR(__xludf.DUMMYFUNCTION("IFERROR(VALUE(REGEXEXTRACT(TO_TEXT($F1586), V$1 &amp; ""x(\d+)"")), """")"),"")</f>
        <v/>
      </c>
      <c r="W1586" s="9"/>
      <c r="X1586" s="9"/>
      <c r="Y1586" s="9"/>
      <c r="Z1586" s="9"/>
    </row>
    <row r="1587" spans="1:26" ht="15.75" customHeight="1">
      <c r="A1587" s="9" t="s">
        <v>2619</v>
      </c>
      <c r="B1587" s="9" t="s">
        <v>2620</v>
      </c>
      <c r="C1587" s="9" t="s">
        <v>2621</v>
      </c>
      <c r="D1587" s="9" t="s">
        <v>33</v>
      </c>
      <c r="E1587" s="9" t="s">
        <v>12</v>
      </c>
      <c r="F1587" s="9" t="s">
        <v>2321</v>
      </c>
      <c r="G1587" s="9">
        <v>50</v>
      </c>
      <c r="H1587" s="9">
        <v>2</v>
      </c>
      <c r="I1587" s="9">
        <v>1.0149999999999999</v>
      </c>
      <c r="J1587" s="9">
        <v>110</v>
      </c>
      <c r="K1587" s="9" t="s">
        <v>442</v>
      </c>
      <c r="L1587" s="9"/>
      <c r="M1587" s="9"/>
      <c r="N1587" s="9" t="str">
        <f ca="1">IFERROR(__xludf.DUMMYFUNCTION("IFERROR(VALUE(REGEXEXTRACT(TO_TEXT($F1587), N$1 &amp; ""x(\d+)"")), """")
"),"")</f>
        <v/>
      </c>
      <c r="O1587" s="9">
        <f ca="1">IFERROR(__xludf.DUMMYFUNCTION("IFERROR(VALUE(REGEXEXTRACT(TO_TEXT($F1587), O$1 &amp; ""x(\d+)"")), """")"),1)</f>
        <v>1</v>
      </c>
      <c r="P1587" s="9" t="str">
        <f ca="1">IFERROR(__xludf.DUMMYFUNCTION("IFERROR(VALUE(REGEXEXTRACT(TO_TEXT($F1587), P$1 &amp; ""x(\d+)"")), """")"),"")</f>
        <v/>
      </c>
      <c r="Q1587" s="9" t="str">
        <f ca="1">IFERROR(__xludf.DUMMYFUNCTION("IFERROR(VALUE(REGEXEXTRACT(TO_TEXT($F1587), Q$1 &amp; ""x(\d+)"")), """")"),"")</f>
        <v/>
      </c>
      <c r="R1587" s="9" t="str">
        <f ca="1">IFERROR(__xludf.DUMMYFUNCTION("IFERROR(VALUE(REGEXEXTRACT(TO_TEXT($F1587), R$1 &amp; ""x(\d+)"")), """")"),"")</f>
        <v/>
      </c>
      <c r="S1587" s="9" t="str">
        <f ca="1">IFERROR(__xludf.DUMMYFUNCTION("IFERROR(VALUE(REGEXEXTRACT(TO_TEXT($F1587), S$1 &amp; ""x(\d+)"")), """")"),"")</f>
        <v/>
      </c>
      <c r="T1587" s="9" t="str">
        <f ca="1">IFERROR(__xludf.DUMMYFUNCTION("IFERROR(VALUE(REGEXEXTRACT(TO_TEXT($F1587), T$1 &amp; ""x(\d+)"")), """")"),"")</f>
        <v/>
      </c>
      <c r="U1587" s="9" t="str">
        <f ca="1">IFERROR(__xludf.DUMMYFUNCTION("IFERROR(VALUE(REGEXEXTRACT(TO_TEXT($F1587), U$1 &amp; ""x(\d+)"")), """")"),"")</f>
        <v/>
      </c>
      <c r="V1587" s="9" t="str">
        <f ca="1">IFERROR(__xludf.DUMMYFUNCTION("IFERROR(VALUE(REGEXEXTRACT(TO_TEXT($F1587), V$1 &amp; ""x(\d+)"")), """")"),"")</f>
        <v/>
      </c>
      <c r="W1587" s="9"/>
      <c r="X1587" s="9"/>
      <c r="Y1587" s="9"/>
      <c r="Z1587" s="9"/>
    </row>
    <row r="1588" spans="1:26" ht="15.75" customHeight="1">
      <c r="A1588" s="9" t="s">
        <v>2619</v>
      </c>
      <c r="B1588" s="9" t="s">
        <v>2620</v>
      </c>
      <c r="C1588" s="9" t="s">
        <v>2621</v>
      </c>
      <c r="D1588" s="9" t="s">
        <v>33</v>
      </c>
      <c r="E1588" s="9" t="s">
        <v>13</v>
      </c>
      <c r="F1588" s="9" t="s">
        <v>1369</v>
      </c>
      <c r="G1588" s="9">
        <v>15</v>
      </c>
      <c r="H1588" s="9">
        <v>2</v>
      </c>
      <c r="I1588" s="9">
        <v>1.0149999999999999</v>
      </c>
      <c r="J1588" s="9">
        <v>110</v>
      </c>
      <c r="K1588" s="9" t="s">
        <v>442</v>
      </c>
      <c r="L1588" s="9"/>
      <c r="M1588" s="9"/>
      <c r="N1588" s="9" t="str">
        <f ca="1">IFERROR(__xludf.DUMMYFUNCTION("IFERROR(VALUE(REGEXEXTRACT(TO_TEXT($F1588), N$1 &amp; ""x(\d+)"")), """")
"),"")</f>
        <v/>
      </c>
      <c r="O1588" s="9">
        <f ca="1">IFERROR(__xludf.DUMMYFUNCTION("IFERROR(VALUE(REGEXEXTRACT(TO_TEXT($F1588), O$1 &amp; ""x(\d+)"")), """")"),1)</f>
        <v>1</v>
      </c>
      <c r="P1588" s="9" t="str">
        <f ca="1">IFERROR(__xludf.DUMMYFUNCTION("IFERROR(VALUE(REGEXEXTRACT(TO_TEXT($F1588), P$1 &amp; ""x(\d+)"")), """")"),"")</f>
        <v/>
      </c>
      <c r="Q1588" s="9" t="str">
        <f ca="1">IFERROR(__xludf.DUMMYFUNCTION("IFERROR(VALUE(REGEXEXTRACT(TO_TEXT($F1588), Q$1 &amp; ""x(\d+)"")), """")"),"")</f>
        <v/>
      </c>
      <c r="R1588" s="9" t="str">
        <f ca="1">IFERROR(__xludf.DUMMYFUNCTION("IFERROR(VALUE(REGEXEXTRACT(TO_TEXT($F1588), R$1 &amp; ""x(\d+)"")), """")"),"")</f>
        <v/>
      </c>
      <c r="S1588" s="9" t="str">
        <f ca="1">IFERROR(__xludf.DUMMYFUNCTION("IFERROR(VALUE(REGEXEXTRACT(TO_TEXT($F1588), S$1 &amp; ""x(\d+)"")), """")"),"")</f>
        <v/>
      </c>
      <c r="T1588" s="9" t="str">
        <f ca="1">IFERROR(__xludf.DUMMYFUNCTION("IFERROR(VALUE(REGEXEXTRACT(TO_TEXT($F1588), T$1 &amp; ""x(\d+)"")), """")"),"")</f>
        <v/>
      </c>
      <c r="U1588" s="9" t="str">
        <f ca="1">IFERROR(__xludf.DUMMYFUNCTION("IFERROR(VALUE(REGEXEXTRACT(TO_TEXT($F1588), U$1 &amp; ""x(\d+)"")), """")"),"")</f>
        <v/>
      </c>
      <c r="V1588" s="9" t="str">
        <f ca="1">IFERROR(__xludf.DUMMYFUNCTION("IFERROR(VALUE(REGEXEXTRACT(TO_TEXT($F1588), V$1 &amp; ""x(\d+)"")), """")"),"")</f>
        <v/>
      </c>
      <c r="W1588" s="9"/>
      <c r="X1588" s="9"/>
      <c r="Y1588" s="9"/>
      <c r="Z1588" s="9"/>
    </row>
    <row r="1589" spans="1:26" ht="15.75" customHeight="1">
      <c r="A1589" s="9" t="s">
        <v>2622</v>
      </c>
      <c r="B1589" s="9" t="s">
        <v>2623</v>
      </c>
      <c r="C1589" s="9" t="s">
        <v>2624</v>
      </c>
      <c r="D1589" s="9" t="s">
        <v>48</v>
      </c>
      <c r="E1589" s="9" t="s">
        <v>11</v>
      </c>
      <c r="F1589" s="9" t="s">
        <v>1799</v>
      </c>
      <c r="G1589" s="9">
        <v>30</v>
      </c>
      <c r="H1589" s="9">
        <v>4</v>
      </c>
      <c r="I1589" s="9">
        <v>1.0149999999999999</v>
      </c>
      <c r="J1589" s="9">
        <v>52</v>
      </c>
      <c r="K1589" s="9" t="s">
        <v>424</v>
      </c>
      <c r="L1589" s="9"/>
      <c r="M1589" s="9"/>
      <c r="N1589" s="9" t="str">
        <f ca="1">IFERROR(__xludf.DUMMYFUNCTION("IFERROR(VALUE(REGEXEXTRACT(TO_TEXT($F1589), N$1 &amp; ""x(\d+)"")), """")
"),"")</f>
        <v/>
      </c>
      <c r="O1589" s="9" t="str">
        <f ca="1">IFERROR(__xludf.DUMMYFUNCTION("IFERROR(VALUE(REGEXEXTRACT(TO_TEXT($F1589), O$1 &amp; ""x(\d+)"")), """")"),"")</f>
        <v/>
      </c>
      <c r="P1589" s="9" t="str">
        <f ca="1">IFERROR(__xludf.DUMMYFUNCTION("IFERROR(VALUE(REGEXEXTRACT(TO_TEXT($F1589), P$1 &amp; ""x(\d+)"")), """")"),"")</f>
        <v/>
      </c>
      <c r="Q1589" s="9" t="str">
        <f ca="1">IFERROR(__xludf.DUMMYFUNCTION("IFERROR(VALUE(REGEXEXTRACT(TO_TEXT($F1589), Q$1 &amp; ""x(\d+)"")), """")"),"")</f>
        <v/>
      </c>
      <c r="R1589" s="9" t="str">
        <f ca="1">IFERROR(__xludf.DUMMYFUNCTION("IFERROR(VALUE(REGEXEXTRACT(TO_TEXT($F1589), R$1 &amp; ""x(\d+)"")), """")"),"")</f>
        <v/>
      </c>
      <c r="S1589" s="9" t="str">
        <f ca="1">IFERROR(__xludf.DUMMYFUNCTION("IFERROR(VALUE(REGEXEXTRACT(TO_TEXT($F1589), S$1 &amp; ""x(\d+)"")), """")"),"")</f>
        <v/>
      </c>
      <c r="T1589" s="9" t="str">
        <f ca="1">IFERROR(__xludf.DUMMYFUNCTION("IFERROR(VALUE(REGEXEXTRACT(TO_TEXT($F1589), T$1 &amp; ""x(\d+)"")), """")"),"")</f>
        <v/>
      </c>
      <c r="U1589" s="9" t="str">
        <f ca="1">IFERROR(__xludf.DUMMYFUNCTION("IFERROR(VALUE(REGEXEXTRACT(TO_TEXT($F1589), U$1 &amp; ""x(\d+)"")), """")"),"")</f>
        <v/>
      </c>
      <c r="V1589" s="9" t="str">
        <f ca="1">IFERROR(__xludf.DUMMYFUNCTION("IFERROR(VALUE(REGEXEXTRACT(TO_TEXT($F1589), V$1 &amp; ""x(\d+)"")), """")"),"")</f>
        <v/>
      </c>
      <c r="W1589" s="9"/>
      <c r="X1589" s="9"/>
      <c r="Y1589" s="9"/>
      <c r="Z1589" s="9"/>
    </row>
    <row r="1590" spans="1:26" ht="15.75" customHeight="1">
      <c r="A1590" s="9" t="s">
        <v>2622</v>
      </c>
      <c r="B1590" s="9" t="s">
        <v>2623</v>
      </c>
      <c r="C1590" s="9" t="s">
        <v>2624</v>
      </c>
      <c r="D1590" s="9" t="s">
        <v>48</v>
      </c>
      <c r="E1590" s="9" t="s">
        <v>12</v>
      </c>
      <c r="F1590" s="9" t="s">
        <v>2138</v>
      </c>
      <c r="G1590" s="9">
        <v>145</v>
      </c>
      <c r="H1590" s="9">
        <v>4</v>
      </c>
      <c r="I1590" s="9">
        <v>1.0149999999999999</v>
      </c>
      <c r="J1590" s="9">
        <v>52</v>
      </c>
      <c r="K1590" s="9" t="s">
        <v>424</v>
      </c>
      <c r="L1590" s="9" t="s">
        <v>1015</v>
      </c>
      <c r="M1590" s="9"/>
      <c r="N1590" s="9" t="str">
        <f ca="1">IFERROR(__xludf.DUMMYFUNCTION("IFERROR(VALUE(REGEXEXTRACT(TO_TEXT($F1590), N$1 &amp; ""x(\d+)"")), """")
"),"")</f>
        <v/>
      </c>
      <c r="O1590" s="9" t="str">
        <f ca="1">IFERROR(__xludf.DUMMYFUNCTION("IFERROR(VALUE(REGEXEXTRACT(TO_TEXT($F1590), O$1 &amp; ""x(\d+)"")), """")"),"")</f>
        <v/>
      </c>
      <c r="P1590" s="9">
        <f ca="1">IFERROR(__xludf.DUMMYFUNCTION("IFERROR(VALUE(REGEXEXTRACT(TO_TEXT($F1590), P$1 &amp; ""x(\d+)"")), """")"),1)</f>
        <v>1</v>
      </c>
      <c r="Q1590" s="9" t="str">
        <f ca="1">IFERROR(__xludf.DUMMYFUNCTION("IFERROR(VALUE(REGEXEXTRACT(TO_TEXT($F1590), Q$1 &amp; ""x(\d+)"")), """")"),"")</f>
        <v/>
      </c>
      <c r="R1590" s="9">
        <f ca="1">IFERROR(__xludf.DUMMYFUNCTION("IFERROR(VALUE(REGEXEXTRACT(TO_TEXT($F1590), R$1 &amp; ""x(\d+)"")), """")"),1)</f>
        <v>1</v>
      </c>
      <c r="S1590" s="9" t="str">
        <f ca="1">IFERROR(__xludf.DUMMYFUNCTION("IFERROR(VALUE(REGEXEXTRACT(TO_TEXT($F1590), S$1 &amp; ""x(\d+)"")), """")"),"")</f>
        <v/>
      </c>
      <c r="T1590" s="9" t="str">
        <f ca="1">IFERROR(__xludf.DUMMYFUNCTION("IFERROR(VALUE(REGEXEXTRACT(TO_TEXT($F1590), T$1 &amp; ""x(\d+)"")), """")"),"")</f>
        <v/>
      </c>
      <c r="U1590" s="9" t="str">
        <f ca="1">IFERROR(__xludf.DUMMYFUNCTION("IFERROR(VALUE(REGEXEXTRACT(TO_TEXT($F1590), U$1 &amp; ""x(\d+)"")), """")"),"")</f>
        <v/>
      </c>
      <c r="V1590" s="9" t="str">
        <f ca="1">IFERROR(__xludf.DUMMYFUNCTION("IFERROR(VALUE(REGEXEXTRACT(TO_TEXT($F1590), V$1 &amp; ""x(\d+)"")), """")"),"")</f>
        <v/>
      </c>
      <c r="W1590" s="9"/>
      <c r="X1590" s="9"/>
      <c r="Y1590" s="9"/>
      <c r="Z1590" s="9"/>
    </row>
    <row r="1591" spans="1:26" ht="15.75" customHeight="1">
      <c r="A1591" s="9" t="s">
        <v>2622</v>
      </c>
      <c r="B1591" s="9" t="s">
        <v>2623</v>
      </c>
      <c r="C1591" s="9" t="s">
        <v>2624</v>
      </c>
      <c r="D1591" s="9" t="s">
        <v>48</v>
      </c>
      <c r="E1591" s="9" t="s">
        <v>13</v>
      </c>
      <c r="F1591" s="9" t="s">
        <v>1348</v>
      </c>
      <c r="G1591" s="9">
        <v>90</v>
      </c>
      <c r="H1591" s="9">
        <v>4</v>
      </c>
      <c r="I1591" s="9">
        <v>1.0149999999999999</v>
      </c>
      <c r="J1591" s="9">
        <v>52</v>
      </c>
      <c r="K1591" s="9" t="s">
        <v>424</v>
      </c>
      <c r="L1591" s="9"/>
      <c r="M1591" s="9"/>
      <c r="N1591" s="9" t="str">
        <f ca="1">IFERROR(__xludf.DUMMYFUNCTION("IFERROR(VALUE(REGEXEXTRACT(TO_TEXT($F1591), N$1 &amp; ""x(\d+)"")), """")
"),"")</f>
        <v/>
      </c>
      <c r="O1591" s="9" t="str">
        <f ca="1">IFERROR(__xludf.DUMMYFUNCTION("IFERROR(VALUE(REGEXEXTRACT(TO_TEXT($F1591), O$1 &amp; ""x(\d+)"")), """")"),"")</f>
        <v/>
      </c>
      <c r="P1591" s="9">
        <f ca="1">IFERROR(__xludf.DUMMYFUNCTION("IFERROR(VALUE(REGEXEXTRACT(TO_TEXT($F1591), P$1 &amp; ""x(\d+)"")), """")"),1)</f>
        <v>1</v>
      </c>
      <c r="Q1591" s="9" t="str">
        <f ca="1">IFERROR(__xludf.DUMMYFUNCTION("IFERROR(VALUE(REGEXEXTRACT(TO_TEXT($F1591), Q$1 &amp; ""x(\d+)"")), """")"),"")</f>
        <v/>
      </c>
      <c r="R1591" s="9">
        <f ca="1">IFERROR(__xludf.DUMMYFUNCTION("IFERROR(VALUE(REGEXEXTRACT(TO_TEXT($F1591), R$1 &amp; ""x(\d+)"")), """")"),1)</f>
        <v>1</v>
      </c>
      <c r="S1591" s="9" t="str">
        <f ca="1">IFERROR(__xludf.DUMMYFUNCTION("IFERROR(VALUE(REGEXEXTRACT(TO_TEXT($F1591), S$1 &amp; ""x(\d+)"")), """")"),"")</f>
        <v/>
      </c>
      <c r="T1591" s="9" t="str">
        <f ca="1">IFERROR(__xludf.DUMMYFUNCTION("IFERROR(VALUE(REGEXEXTRACT(TO_TEXT($F1591), T$1 &amp; ""x(\d+)"")), """")"),"")</f>
        <v/>
      </c>
      <c r="U1591" s="9" t="str">
        <f ca="1">IFERROR(__xludf.DUMMYFUNCTION("IFERROR(VALUE(REGEXEXTRACT(TO_TEXT($F1591), U$1 &amp; ""x(\d+)"")), """")"),"")</f>
        <v/>
      </c>
      <c r="V1591" s="9" t="str">
        <f ca="1">IFERROR(__xludf.DUMMYFUNCTION("IFERROR(VALUE(REGEXEXTRACT(TO_TEXT($F1591), V$1 &amp; ""x(\d+)"")), """")"),"")</f>
        <v/>
      </c>
      <c r="W1591" s="9"/>
      <c r="X1591" s="9"/>
      <c r="Y1591" s="9"/>
      <c r="Z1591" s="9"/>
    </row>
    <row r="1592" spans="1:26" ht="15.75" customHeight="1">
      <c r="A1592" s="9" t="s">
        <v>2622</v>
      </c>
      <c r="B1592" s="9" t="s">
        <v>2623</v>
      </c>
      <c r="C1592" s="9" t="s">
        <v>2624</v>
      </c>
      <c r="D1592" s="9" t="s">
        <v>74</v>
      </c>
      <c r="E1592" s="9" t="s">
        <v>11</v>
      </c>
      <c r="F1592" s="9" t="s">
        <v>1204</v>
      </c>
      <c r="G1592" s="9">
        <v>30</v>
      </c>
      <c r="H1592" s="9">
        <v>3</v>
      </c>
      <c r="I1592" s="9">
        <v>1.0149999999999999</v>
      </c>
      <c r="J1592" s="9">
        <v>104</v>
      </c>
      <c r="K1592" s="9" t="s">
        <v>424</v>
      </c>
      <c r="L1592" s="9"/>
      <c r="M1592" s="9"/>
      <c r="N1592" s="9" t="str">
        <f ca="1">IFERROR(__xludf.DUMMYFUNCTION("IFERROR(VALUE(REGEXEXTRACT(TO_TEXT($F1592), N$1 &amp; ""x(\d+)"")), """")
"),"")</f>
        <v/>
      </c>
      <c r="O1592" s="9" t="str">
        <f ca="1">IFERROR(__xludf.DUMMYFUNCTION("IFERROR(VALUE(REGEXEXTRACT(TO_TEXT($F1592), O$1 &amp; ""x(\d+)"")), """")"),"")</f>
        <v/>
      </c>
      <c r="P1592" s="9" t="str">
        <f ca="1">IFERROR(__xludf.DUMMYFUNCTION("IFERROR(VALUE(REGEXEXTRACT(TO_TEXT($F1592), P$1 &amp; ""x(\d+)"")), """")"),"")</f>
        <v/>
      </c>
      <c r="Q1592" s="9" t="str">
        <f ca="1">IFERROR(__xludf.DUMMYFUNCTION("IFERROR(VALUE(REGEXEXTRACT(TO_TEXT($F1592), Q$1 &amp; ""x(\d+)"")), """")"),"")</f>
        <v/>
      </c>
      <c r="R1592" s="9" t="str">
        <f ca="1">IFERROR(__xludf.DUMMYFUNCTION("IFERROR(VALUE(REGEXEXTRACT(TO_TEXT($F1592), R$1 &amp; ""x(\d+)"")), """")"),"")</f>
        <v/>
      </c>
      <c r="S1592" s="9" t="str">
        <f ca="1">IFERROR(__xludf.DUMMYFUNCTION("IFERROR(VALUE(REGEXEXTRACT(TO_TEXT($F1592), S$1 &amp; ""x(\d+)"")), """")"),"")</f>
        <v/>
      </c>
      <c r="T1592" s="9" t="str">
        <f ca="1">IFERROR(__xludf.DUMMYFUNCTION("IFERROR(VALUE(REGEXEXTRACT(TO_TEXT($F1592), T$1 &amp; ""x(\d+)"")), """")"),"")</f>
        <v/>
      </c>
      <c r="U1592" s="9" t="str">
        <f ca="1">IFERROR(__xludf.DUMMYFUNCTION("IFERROR(VALUE(REGEXEXTRACT(TO_TEXT($F1592), U$1 &amp; ""x(\d+)"")), """")"),"")</f>
        <v/>
      </c>
      <c r="V1592" s="9" t="str">
        <f ca="1">IFERROR(__xludf.DUMMYFUNCTION("IFERROR(VALUE(REGEXEXTRACT(TO_TEXT($F1592), V$1 &amp; ""x(\d+)"")), """")"),"")</f>
        <v/>
      </c>
      <c r="W1592" s="9"/>
      <c r="X1592" s="9"/>
      <c r="Y1592" s="9"/>
      <c r="Z1592" s="9"/>
    </row>
    <row r="1593" spans="1:26" ht="15.75" customHeight="1">
      <c r="A1593" s="9" t="s">
        <v>2622</v>
      </c>
      <c r="B1593" s="9" t="s">
        <v>2623</v>
      </c>
      <c r="C1593" s="9" t="s">
        <v>2624</v>
      </c>
      <c r="D1593" s="9" t="s">
        <v>74</v>
      </c>
      <c r="E1593" s="9" t="s">
        <v>12</v>
      </c>
      <c r="F1593" s="9" t="s">
        <v>2078</v>
      </c>
      <c r="G1593" s="9">
        <v>170</v>
      </c>
      <c r="H1593" s="9">
        <v>3</v>
      </c>
      <c r="I1593" s="9">
        <v>1.0149999999999999</v>
      </c>
      <c r="J1593" s="9">
        <v>104</v>
      </c>
      <c r="K1593" s="9" t="s">
        <v>424</v>
      </c>
      <c r="L1593" s="9" t="s">
        <v>1015</v>
      </c>
      <c r="M1593" s="9"/>
      <c r="N1593" s="9" t="str">
        <f ca="1">IFERROR(__xludf.DUMMYFUNCTION("IFERROR(VALUE(REGEXEXTRACT(TO_TEXT($F1593), N$1 &amp; ""x(\d+)"")), """")
"),"")</f>
        <v/>
      </c>
      <c r="O1593" s="9" t="str">
        <f ca="1">IFERROR(__xludf.DUMMYFUNCTION("IFERROR(VALUE(REGEXEXTRACT(TO_TEXT($F1593), O$1 &amp; ""x(\d+)"")), """")"),"")</f>
        <v/>
      </c>
      <c r="P1593" s="9" t="str">
        <f ca="1">IFERROR(__xludf.DUMMYFUNCTION("IFERROR(VALUE(REGEXEXTRACT(TO_TEXT($F1593), P$1 &amp; ""x(\d+)"")), """")"),"")</f>
        <v/>
      </c>
      <c r="Q1593" s="9">
        <f ca="1">IFERROR(__xludf.DUMMYFUNCTION("IFERROR(VALUE(REGEXEXTRACT(TO_TEXT($F1593), Q$1 &amp; ""x(\d+)"")), """")"),1)</f>
        <v>1</v>
      </c>
      <c r="R1593" s="9">
        <f ca="1">IFERROR(__xludf.DUMMYFUNCTION("IFERROR(VALUE(REGEXEXTRACT(TO_TEXT($F1593), R$1 &amp; ""x(\d+)"")), """")"),1)</f>
        <v>1</v>
      </c>
      <c r="S1593" s="9" t="str">
        <f ca="1">IFERROR(__xludf.DUMMYFUNCTION("IFERROR(VALUE(REGEXEXTRACT(TO_TEXT($F1593), S$1 &amp; ""x(\d+)"")), """")"),"")</f>
        <v/>
      </c>
      <c r="T1593" s="9" t="str">
        <f ca="1">IFERROR(__xludf.DUMMYFUNCTION("IFERROR(VALUE(REGEXEXTRACT(TO_TEXT($F1593), T$1 &amp; ""x(\d+)"")), """")"),"")</f>
        <v/>
      </c>
      <c r="U1593" s="9" t="str">
        <f ca="1">IFERROR(__xludf.DUMMYFUNCTION("IFERROR(VALUE(REGEXEXTRACT(TO_TEXT($F1593), U$1 &amp; ""x(\d+)"")), """")"),"")</f>
        <v/>
      </c>
      <c r="V1593" s="9" t="str">
        <f ca="1">IFERROR(__xludf.DUMMYFUNCTION("IFERROR(VALUE(REGEXEXTRACT(TO_TEXT($F1593), V$1 &amp; ""x(\d+)"")), """")"),"")</f>
        <v/>
      </c>
      <c r="W1593" s="9"/>
      <c r="X1593" s="9"/>
      <c r="Y1593" s="9"/>
      <c r="Z1593" s="9"/>
    </row>
    <row r="1594" spans="1:26" ht="15.75" customHeight="1">
      <c r="A1594" s="9" t="s">
        <v>2622</v>
      </c>
      <c r="B1594" s="9" t="s">
        <v>2623</v>
      </c>
      <c r="C1594" s="9" t="s">
        <v>2624</v>
      </c>
      <c r="D1594" s="9" t="s">
        <v>74</v>
      </c>
      <c r="E1594" s="9" t="s">
        <v>13</v>
      </c>
      <c r="F1594" s="9" t="s">
        <v>2079</v>
      </c>
      <c r="G1594" s="9">
        <v>90</v>
      </c>
      <c r="H1594" s="9">
        <v>3</v>
      </c>
      <c r="I1594" s="9">
        <v>1.0149999999999999</v>
      </c>
      <c r="J1594" s="9">
        <v>104</v>
      </c>
      <c r="K1594" s="9" t="s">
        <v>424</v>
      </c>
      <c r="L1594" s="9"/>
      <c r="M1594" s="9"/>
      <c r="N1594" s="9" t="str">
        <f ca="1">IFERROR(__xludf.DUMMYFUNCTION("IFERROR(VALUE(REGEXEXTRACT(TO_TEXT($F1594), N$1 &amp; ""x(\d+)"")), """")
"),"")</f>
        <v/>
      </c>
      <c r="O1594" s="9" t="str">
        <f ca="1">IFERROR(__xludf.DUMMYFUNCTION("IFERROR(VALUE(REGEXEXTRACT(TO_TEXT($F1594), O$1 &amp; ""x(\d+)"")), """")"),"")</f>
        <v/>
      </c>
      <c r="P1594" s="9" t="str">
        <f ca="1">IFERROR(__xludf.DUMMYFUNCTION("IFERROR(VALUE(REGEXEXTRACT(TO_TEXT($F1594), P$1 &amp; ""x(\d+)"")), """")"),"")</f>
        <v/>
      </c>
      <c r="Q1594" s="9">
        <f ca="1">IFERROR(__xludf.DUMMYFUNCTION("IFERROR(VALUE(REGEXEXTRACT(TO_TEXT($F1594), Q$1 &amp; ""x(\d+)"")), """")"),1)</f>
        <v>1</v>
      </c>
      <c r="R1594" s="9">
        <f ca="1">IFERROR(__xludf.DUMMYFUNCTION("IFERROR(VALUE(REGEXEXTRACT(TO_TEXT($F1594), R$1 &amp; ""x(\d+)"")), """")"),1)</f>
        <v>1</v>
      </c>
      <c r="S1594" s="9" t="str">
        <f ca="1">IFERROR(__xludf.DUMMYFUNCTION("IFERROR(VALUE(REGEXEXTRACT(TO_TEXT($F1594), S$1 &amp; ""x(\d+)"")), """")"),"")</f>
        <v/>
      </c>
      <c r="T1594" s="9" t="str">
        <f ca="1">IFERROR(__xludf.DUMMYFUNCTION("IFERROR(VALUE(REGEXEXTRACT(TO_TEXT($F1594), T$1 &amp; ""x(\d+)"")), """")"),"")</f>
        <v/>
      </c>
      <c r="U1594" s="9" t="str">
        <f ca="1">IFERROR(__xludf.DUMMYFUNCTION("IFERROR(VALUE(REGEXEXTRACT(TO_TEXT($F1594), U$1 &amp; ""x(\d+)"")), """")"),"")</f>
        <v/>
      </c>
      <c r="V1594" s="9" t="str">
        <f ca="1">IFERROR(__xludf.DUMMYFUNCTION("IFERROR(VALUE(REGEXEXTRACT(TO_TEXT($F1594), V$1 &amp; ""x(\d+)"")), """")"),"")</f>
        <v/>
      </c>
      <c r="W1594" s="9"/>
      <c r="X1594" s="9"/>
      <c r="Y1594" s="9"/>
      <c r="Z1594" s="9"/>
    </row>
    <row r="1595" spans="1:26" ht="15.75" customHeight="1">
      <c r="A1595" s="9" t="s">
        <v>2625</v>
      </c>
      <c r="B1595" s="9" t="s">
        <v>2626</v>
      </c>
      <c r="C1595" s="9" t="s">
        <v>2627</v>
      </c>
      <c r="D1595" s="9" t="s">
        <v>48</v>
      </c>
      <c r="E1595" s="9" t="s">
        <v>11</v>
      </c>
      <c r="F1595" s="9" t="s">
        <v>2628</v>
      </c>
      <c r="G1595" s="9">
        <v>90</v>
      </c>
      <c r="H1595" s="9">
        <v>3</v>
      </c>
      <c r="I1595" s="9">
        <v>1.0149999999999999</v>
      </c>
      <c r="J1595" s="9">
        <v>51.5</v>
      </c>
      <c r="K1595" s="9" t="s">
        <v>424</v>
      </c>
      <c r="L1595" s="9"/>
      <c r="M1595" s="9"/>
      <c r="N1595" s="9">
        <f ca="1">IFERROR(__xludf.DUMMYFUNCTION("IFERROR(VALUE(REGEXEXTRACT(TO_TEXT($F1595), N$1 &amp; ""x(\d+)"")), """")
"),1)</f>
        <v>1</v>
      </c>
      <c r="O1595" s="9" t="str">
        <f ca="1">IFERROR(__xludf.DUMMYFUNCTION("IFERROR(VALUE(REGEXEXTRACT(TO_TEXT($F1595), O$1 &amp; ""x(\d+)"")), """")"),"")</f>
        <v/>
      </c>
      <c r="P1595" s="9" t="str">
        <f ca="1">IFERROR(__xludf.DUMMYFUNCTION("IFERROR(VALUE(REGEXEXTRACT(TO_TEXT($F1595), P$1 &amp; ""x(\d+)"")), """")"),"")</f>
        <v/>
      </c>
      <c r="Q1595" s="9" t="str">
        <f ca="1">IFERROR(__xludf.DUMMYFUNCTION("IFERROR(VALUE(REGEXEXTRACT(TO_TEXT($F1595), Q$1 &amp; ""x(\d+)"")), """")"),"")</f>
        <v/>
      </c>
      <c r="R1595" s="9" t="str">
        <f ca="1">IFERROR(__xludf.DUMMYFUNCTION("IFERROR(VALUE(REGEXEXTRACT(TO_TEXT($F1595), R$1 &amp; ""x(\d+)"")), """")"),"")</f>
        <v/>
      </c>
      <c r="S1595" s="9" t="str">
        <f ca="1">IFERROR(__xludf.DUMMYFUNCTION("IFERROR(VALUE(REGEXEXTRACT(TO_TEXT($F1595), S$1 &amp; ""x(\d+)"")), """")"),"")</f>
        <v/>
      </c>
      <c r="T1595" s="9" t="str">
        <f ca="1">IFERROR(__xludf.DUMMYFUNCTION("IFERROR(VALUE(REGEXEXTRACT(TO_TEXT($F1595), T$1 &amp; ""x(\d+)"")), """")"),"")</f>
        <v/>
      </c>
      <c r="U1595" s="9" t="str">
        <f ca="1">IFERROR(__xludf.DUMMYFUNCTION("IFERROR(VALUE(REGEXEXTRACT(TO_TEXT($F1595), U$1 &amp; ""x(\d+)"")), """")"),"")</f>
        <v/>
      </c>
      <c r="V1595" s="9">
        <f ca="1">IFERROR(__xludf.DUMMYFUNCTION("IFERROR(VALUE(REGEXEXTRACT(TO_TEXT($F1595), V$1 &amp; ""x(\d+)"")), """")"),1)</f>
        <v>1</v>
      </c>
      <c r="W1595" s="9"/>
      <c r="X1595" s="9"/>
      <c r="Y1595" s="9"/>
      <c r="Z1595" s="9"/>
    </row>
    <row r="1596" spans="1:26" ht="15.75" customHeight="1">
      <c r="A1596" s="9" t="s">
        <v>2625</v>
      </c>
      <c r="B1596" s="9" t="s">
        <v>2626</v>
      </c>
      <c r="C1596" s="9" t="s">
        <v>2627</v>
      </c>
      <c r="D1596" s="9" t="s">
        <v>48</v>
      </c>
      <c r="E1596" s="9" t="s">
        <v>12</v>
      </c>
      <c r="F1596" s="9" t="s">
        <v>2629</v>
      </c>
      <c r="G1596" s="9">
        <v>145</v>
      </c>
      <c r="H1596" s="9">
        <v>4</v>
      </c>
      <c r="I1596" s="9">
        <v>1.0149999999999999</v>
      </c>
      <c r="J1596" s="9">
        <v>51.5</v>
      </c>
      <c r="K1596" s="9" t="s">
        <v>424</v>
      </c>
      <c r="L1596" s="9" t="s">
        <v>1035</v>
      </c>
      <c r="M1596" s="9"/>
      <c r="N1596" s="9" t="str">
        <f ca="1">IFERROR(__xludf.DUMMYFUNCTION("IFERROR(VALUE(REGEXEXTRACT(TO_TEXT($F1596), N$1 &amp; ""x(\d+)"")), """")
"),"")</f>
        <v/>
      </c>
      <c r="O1596" s="9" t="str">
        <f ca="1">IFERROR(__xludf.DUMMYFUNCTION("IFERROR(VALUE(REGEXEXTRACT(TO_TEXT($F1596), O$1 &amp; ""x(\d+)"")), """")"),"")</f>
        <v/>
      </c>
      <c r="P1596" s="9">
        <f ca="1">IFERROR(__xludf.DUMMYFUNCTION("IFERROR(VALUE(REGEXEXTRACT(TO_TEXT($F1596), P$1 &amp; ""x(\d+)"")), """")"),1)</f>
        <v>1</v>
      </c>
      <c r="Q1596" s="9" t="str">
        <f ca="1">IFERROR(__xludf.DUMMYFUNCTION("IFERROR(VALUE(REGEXEXTRACT(TO_TEXT($F1596), Q$1 &amp; ""x(\d+)"")), """")"),"")</f>
        <v/>
      </c>
      <c r="R1596" s="9" t="str">
        <f ca="1">IFERROR(__xludf.DUMMYFUNCTION("IFERROR(VALUE(REGEXEXTRACT(TO_TEXT($F1596), R$1 &amp; ""x(\d+)"")), """")"),"")</f>
        <v/>
      </c>
      <c r="S1596" s="9" t="str">
        <f ca="1">IFERROR(__xludf.DUMMYFUNCTION("IFERROR(VALUE(REGEXEXTRACT(TO_TEXT($F1596), S$1 &amp; ""x(\d+)"")), """")"),"")</f>
        <v/>
      </c>
      <c r="T1596" s="9" t="str">
        <f ca="1">IFERROR(__xludf.DUMMYFUNCTION("IFERROR(VALUE(REGEXEXTRACT(TO_TEXT($F1596), T$1 &amp; ""x(\d+)"")), """")"),"")</f>
        <v/>
      </c>
      <c r="U1596" s="9" t="str">
        <f ca="1">IFERROR(__xludf.DUMMYFUNCTION("IFERROR(VALUE(REGEXEXTRACT(TO_TEXT($F1596), U$1 &amp; ""x(\d+)"")), """")"),"")</f>
        <v/>
      </c>
      <c r="V1596" s="9" t="str">
        <f ca="1">IFERROR(__xludf.DUMMYFUNCTION("IFERROR(VALUE(REGEXEXTRACT(TO_TEXT($F1596), V$1 &amp; ""x(\d+)"")), """")"),"")</f>
        <v/>
      </c>
      <c r="W1596" s="9"/>
      <c r="X1596" s="9"/>
      <c r="Y1596" s="9"/>
      <c r="Z1596" s="9"/>
    </row>
    <row r="1597" spans="1:26" ht="15.75" customHeight="1">
      <c r="A1597" s="9" t="s">
        <v>2625</v>
      </c>
      <c r="B1597" s="9" t="s">
        <v>2626</v>
      </c>
      <c r="C1597" s="9" t="s">
        <v>2627</v>
      </c>
      <c r="D1597" s="9" t="s">
        <v>48</v>
      </c>
      <c r="E1597" s="9" t="s">
        <v>13</v>
      </c>
      <c r="F1597" s="9" t="s">
        <v>1655</v>
      </c>
      <c r="G1597" s="9">
        <v>90</v>
      </c>
      <c r="H1597" s="9">
        <v>4</v>
      </c>
      <c r="I1597" s="9">
        <v>1.0149999999999999</v>
      </c>
      <c r="J1597" s="9">
        <v>51.5</v>
      </c>
      <c r="K1597" s="9" t="s">
        <v>424</v>
      </c>
      <c r="L1597" s="9"/>
      <c r="M1597" s="9"/>
      <c r="N1597" s="9" t="str">
        <f ca="1">IFERROR(__xludf.DUMMYFUNCTION("IFERROR(VALUE(REGEXEXTRACT(TO_TEXT($F1597), N$1 &amp; ""x(\d+)"")), """")
"),"")</f>
        <v/>
      </c>
      <c r="O1597" s="9" t="str">
        <f ca="1">IFERROR(__xludf.DUMMYFUNCTION("IFERROR(VALUE(REGEXEXTRACT(TO_TEXT($F1597), O$1 &amp; ""x(\d+)"")), """")"),"")</f>
        <v/>
      </c>
      <c r="P1597" s="9">
        <f ca="1">IFERROR(__xludf.DUMMYFUNCTION("IFERROR(VALUE(REGEXEXTRACT(TO_TEXT($F1597), P$1 &amp; ""x(\d+)"")), """")"),1)</f>
        <v>1</v>
      </c>
      <c r="Q1597" s="9" t="str">
        <f ca="1">IFERROR(__xludf.DUMMYFUNCTION("IFERROR(VALUE(REGEXEXTRACT(TO_TEXT($F1597), Q$1 &amp; ""x(\d+)"")), """")"),"")</f>
        <v/>
      </c>
      <c r="R1597" s="9" t="str">
        <f ca="1">IFERROR(__xludf.DUMMYFUNCTION("IFERROR(VALUE(REGEXEXTRACT(TO_TEXT($F1597), R$1 &amp; ""x(\d+)"")), """")"),"")</f>
        <v/>
      </c>
      <c r="S1597" s="9" t="str">
        <f ca="1">IFERROR(__xludf.DUMMYFUNCTION("IFERROR(VALUE(REGEXEXTRACT(TO_TEXT($F1597), S$1 &amp; ""x(\d+)"")), """")"),"")</f>
        <v/>
      </c>
      <c r="T1597" s="9" t="str">
        <f ca="1">IFERROR(__xludf.DUMMYFUNCTION("IFERROR(VALUE(REGEXEXTRACT(TO_TEXT($F1597), T$1 &amp; ""x(\d+)"")), """")"),"")</f>
        <v/>
      </c>
      <c r="U1597" s="9" t="str">
        <f ca="1">IFERROR(__xludf.DUMMYFUNCTION("IFERROR(VALUE(REGEXEXTRACT(TO_TEXT($F1597), U$1 &amp; ""x(\d+)"")), """")"),"")</f>
        <v/>
      </c>
      <c r="V1597" s="9" t="str">
        <f ca="1">IFERROR(__xludf.DUMMYFUNCTION("IFERROR(VALUE(REGEXEXTRACT(TO_TEXT($F1597), V$1 &amp; ""x(\d+)"")), """")"),"")</f>
        <v/>
      </c>
      <c r="W1597" s="9"/>
      <c r="X1597" s="9"/>
      <c r="Y1597" s="9"/>
      <c r="Z1597" s="9"/>
    </row>
    <row r="1598" spans="1:26" ht="15.75" customHeight="1">
      <c r="A1598" s="9" t="s">
        <v>2630</v>
      </c>
      <c r="B1598" s="9" t="s">
        <v>2631</v>
      </c>
      <c r="C1598" s="9" t="s">
        <v>748</v>
      </c>
      <c r="D1598" s="9" t="s">
        <v>33</v>
      </c>
      <c r="E1598" s="9" t="s">
        <v>11</v>
      </c>
      <c r="F1598" s="9" t="s">
        <v>1224</v>
      </c>
      <c r="G1598" s="9">
        <v>25</v>
      </c>
      <c r="H1598" s="9">
        <v>3</v>
      </c>
      <c r="I1598" s="9">
        <v>1.0149999999999999</v>
      </c>
      <c r="J1598" s="9">
        <v>105</v>
      </c>
      <c r="K1598" s="9" t="s">
        <v>442</v>
      </c>
      <c r="L1598" s="9"/>
      <c r="M1598" s="9"/>
      <c r="N1598" s="9" t="str">
        <f ca="1">IFERROR(__xludf.DUMMYFUNCTION("IFERROR(VALUE(REGEXEXTRACT(TO_TEXT($F1598), N$1 &amp; ""x(\d+)"")), """")
"),"")</f>
        <v/>
      </c>
      <c r="O1598" s="9" t="str">
        <f ca="1">IFERROR(__xludf.DUMMYFUNCTION("IFERROR(VALUE(REGEXEXTRACT(TO_TEXT($F1598), O$1 &amp; ""x(\d+)"")), """")"),"")</f>
        <v/>
      </c>
      <c r="P1598" s="9" t="str">
        <f ca="1">IFERROR(__xludf.DUMMYFUNCTION("IFERROR(VALUE(REGEXEXTRACT(TO_TEXT($F1598), P$1 &amp; ""x(\d+)"")), """")"),"")</f>
        <v/>
      </c>
      <c r="Q1598" s="9" t="str">
        <f ca="1">IFERROR(__xludf.DUMMYFUNCTION("IFERROR(VALUE(REGEXEXTRACT(TO_TEXT($F1598), Q$1 &amp; ""x(\d+)"")), """")"),"")</f>
        <v/>
      </c>
      <c r="R1598" s="9" t="str">
        <f ca="1">IFERROR(__xludf.DUMMYFUNCTION("IFERROR(VALUE(REGEXEXTRACT(TO_TEXT($F1598), R$1 &amp; ""x(\d+)"")), """")"),"")</f>
        <v/>
      </c>
      <c r="S1598" s="9" t="str">
        <f ca="1">IFERROR(__xludf.DUMMYFUNCTION("IFERROR(VALUE(REGEXEXTRACT(TO_TEXT($F1598), S$1 &amp; ""x(\d+)"")), """")"),"")</f>
        <v/>
      </c>
      <c r="T1598" s="9" t="str">
        <f ca="1">IFERROR(__xludf.DUMMYFUNCTION("IFERROR(VALUE(REGEXEXTRACT(TO_TEXT($F1598), T$1 &amp; ""x(\d+)"")), """")"),"")</f>
        <v/>
      </c>
      <c r="U1598" s="9" t="str">
        <f ca="1">IFERROR(__xludf.DUMMYFUNCTION("IFERROR(VALUE(REGEXEXTRACT(TO_TEXT($F1598), U$1 &amp; ""x(\d+)"")), """")"),"")</f>
        <v/>
      </c>
      <c r="V1598" s="9" t="str">
        <f ca="1">IFERROR(__xludf.DUMMYFUNCTION("IFERROR(VALUE(REGEXEXTRACT(TO_TEXT($F1598), V$1 &amp; ""x(\d+)"")), """")"),"")</f>
        <v/>
      </c>
      <c r="W1598" s="9"/>
      <c r="X1598" s="9"/>
      <c r="Y1598" s="9"/>
      <c r="Z1598" s="9"/>
    </row>
    <row r="1599" spans="1:26" ht="15.75" customHeight="1">
      <c r="A1599" s="9" t="s">
        <v>2630</v>
      </c>
      <c r="B1599" s="9" t="s">
        <v>2631</v>
      </c>
      <c r="C1599" s="9" t="s">
        <v>748</v>
      </c>
      <c r="D1599" s="9" t="s">
        <v>33</v>
      </c>
      <c r="E1599" s="9" t="s">
        <v>12</v>
      </c>
      <c r="F1599" s="9" t="s">
        <v>1669</v>
      </c>
      <c r="G1599" s="9">
        <v>125</v>
      </c>
      <c r="H1599" s="9">
        <v>3</v>
      </c>
      <c r="I1599" s="9">
        <v>1.0149999999999999</v>
      </c>
      <c r="J1599" s="9">
        <v>105</v>
      </c>
      <c r="K1599" s="9" t="s">
        <v>442</v>
      </c>
      <c r="L1599" s="9"/>
      <c r="M1599" s="9"/>
      <c r="N1599" s="9" t="str">
        <f ca="1">IFERROR(__xludf.DUMMYFUNCTION("IFERROR(VALUE(REGEXEXTRACT(TO_TEXT($F1599), N$1 &amp; ""x(\d+)"")), """")
"),"")</f>
        <v/>
      </c>
      <c r="O1599" s="9">
        <f ca="1">IFERROR(__xludf.DUMMYFUNCTION("IFERROR(VALUE(REGEXEXTRACT(TO_TEXT($F1599), O$1 &amp; ""x(\d+)"")), """")"),1)</f>
        <v>1</v>
      </c>
      <c r="P1599" s="9" t="str">
        <f ca="1">IFERROR(__xludf.DUMMYFUNCTION("IFERROR(VALUE(REGEXEXTRACT(TO_TEXT($F1599), P$1 &amp; ""x(\d+)"")), """")"),"")</f>
        <v/>
      </c>
      <c r="Q1599" s="9" t="str">
        <f ca="1">IFERROR(__xludf.DUMMYFUNCTION("IFERROR(VALUE(REGEXEXTRACT(TO_TEXT($F1599), Q$1 &amp; ""x(\d+)"")), """")"),"")</f>
        <v/>
      </c>
      <c r="R1599" s="9" t="str">
        <f ca="1">IFERROR(__xludf.DUMMYFUNCTION("IFERROR(VALUE(REGEXEXTRACT(TO_TEXT($F1599), R$1 &amp; ""x(\d+)"")), """")"),"")</f>
        <v/>
      </c>
      <c r="S1599" s="9" t="str">
        <f ca="1">IFERROR(__xludf.DUMMYFUNCTION("IFERROR(VALUE(REGEXEXTRACT(TO_TEXT($F1599), S$1 &amp; ""x(\d+)"")), """")"),"")</f>
        <v/>
      </c>
      <c r="T1599" s="9" t="str">
        <f ca="1">IFERROR(__xludf.DUMMYFUNCTION("IFERROR(VALUE(REGEXEXTRACT(TO_TEXT($F1599), T$1 &amp; ""x(\d+)"")), """")"),"")</f>
        <v/>
      </c>
      <c r="U1599" s="9" t="str">
        <f ca="1">IFERROR(__xludf.DUMMYFUNCTION("IFERROR(VALUE(REGEXEXTRACT(TO_TEXT($F1599), U$1 &amp; ""x(\d+)"")), """")"),"")</f>
        <v/>
      </c>
      <c r="V1599" s="9" t="str">
        <f ca="1">IFERROR(__xludf.DUMMYFUNCTION("IFERROR(VALUE(REGEXEXTRACT(TO_TEXT($F1599), V$1 &amp; ""x(\d+)"")), """")"),"")</f>
        <v/>
      </c>
      <c r="W1599" s="9"/>
      <c r="X1599" s="9"/>
      <c r="Y1599" s="9"/>
      <c r="Z1599" s="9"/>
    </row>
    <row r="1600" spans="1:26" ht="15.75" customHeight="1">
      <c r="A1600" s="9" t="s">
        <v>2630</v>
      </c>
      <c r="B1600" s="9" t="s">
        <v>2631</v>
      </c>
      <c r="C1600" s="9" t="s">
        <v>748</v>
      </c>
      <c r="D1600" s="9" t="s">
        <v>33</v>
      </c>
      <c r="E1600" s="9" t="s">
        <v>13</v>
      </c>
      <c r="F1600" s="9" t="s">
        <v>1071</v>
      </c>
      <c r="G1600" s="9">
        <v>15</v>
      </c>
      <c r="H1600" s="9">
        <v>3</v>
      </c>
      <c r="I1600" s="9">
        <v>1.0149999999999999</v>
      </c>
      <c r="J1600" s="9">
        <v>105</v>
      </c>
      <c r="K1600" s="9" t="s">
        <v>442</v>
      </c>
      <c r="L1600" s="9"/>
      <c r="M1600" s="9"/>
      <c r="N1600" s="9" t="str">
        <f ca="1">IFERROR(__xludf.DUMMYFUNCTION("IFERROR(VALUE(REGEXEXTRACT(TO_TEXT($F1600), N$1 &amp; ""x(\d+)"")), """")
"),"")</f>
        <v/>
      </c>
      <c r="O1600" s="9">
        <f ca="1">IFERROR(__xludf.DUMMYFUNCTION("IFERROR(VALUE(REGEXEXTRACT(TO_TEXT($F1600), O$1 &amp; ""x(\d+)"")), """")"),1)</f>
        <v>1</v>
      </c>
      <c r="P1600" s="9" t="str">
        <f ca="1">IFERROR(__xludf.DUMMYFUNCTION("IFERROR(VALUE(REGEXEXTRACT(TO_TEXT($F1600), P$1 &amp; ""x(\d+)"")), """")"),"")</f>
        <v/>
      </c>
      <c r="Q1600" s="9" t="str">
        <f ca="1">IFERROR(__xludf.DUMMYFUNCTION("IFERROR(VALUE(REGEXEXTRACT(TO_TEXT($F1600), Q$1 &amp; ""x(\d+)"")), """")"),"")</f>
        <v/>
      </c>
      <c r="R1600" s="9" t="str">
        <f ca="1">IFERROR(__xludf.DUMMYFUNCTION("IFERROR(VALUE(REGEXEXTRACT(TO_TEXT($F1600), R$1 &amp; ""x(\d+)"")), """")"),"")</f>
        <v/>
      </c>
      <c r="S1600" s="9" t="str">
        <f ca="1">IFERROR(__xludf.DUMMYFUNCTION("IFERROR(VALUE(REGEXEXTRACT(TO_TEXT($F1600), S$1 &amp; ""x(\d+)"")), """")"),"")</f>
        <v/>
      </c>
      <c r="T1600" s="9" t="str">
        <f ca="1">IFERROR(__xludf.DUMMYFUNCTION("IFERROR(VALUE(REGEXEXTRACT(TO_TEXT($F1600), T$1 &amp; ""x(\d+)"")), """")"),"")</f>
        <v/>
      </c>
      <c r="U1600" s="9" t="str">
        <f ca="1">IFERROR(__xludf.DUMMYFUNCTION("IFERROR(VALUE(REGEXEXTRACT(TO_TEXT($F1600), U$1 &amp; ""x(\d+)"")), """")"),"")</f>
        <v/>
      </c>
      <c r="V1600" s="9" t="str">
        <f ca="1">IFERROR(__xludf.DUMMYFUNCTION("IFERROR(VALUE(REGEXEXTRACT(TO_TEXT($F1600), V$1 &amp; ""x(\d+)"")), """")"),"")</f>
        <v/>
      </c>
      <c r="W1600" s="9"/>
      <c r="X1600" s="9"/>
      <c r="Y1600" s="9"/>
      <c r="Z1600" s="9"/>
    </row>
    <row r="1601" spans="1:26" ht="15.75" customHeight="1">
      <c r="A1601" s="9" t="s">
        <v>2630</v>
      </c>
      <c r="B1601" s="9" t="s">
        <v>2631</v>
      </c>
      <c r="C1601" s="9" t="s">
        <v>748</v>
      </c>
      <c r="D1601" s="9" t="s">
        <v>40</v>
      </c>
      <c r="E1601" s="9" t="s">
        <v>11</v>
      </c>
      <c r="F1601" s="9" t="s">
        <v>2393</v>
      </c>
      <c r="G1601" s="9">
        <v>40</v>
      </c>
      <c r="H1601" s="9">
        <v>2</v>
      </c>
      <c r="I1601" s="9">
        <v>1.0149999999999999</v>
      </c>
      <c r="J1601" s="9">
        <v>412</v>
      </c>
      <c r="K1601" s="9" t="s">
        <v>442</v>
      </c>
      <c r="L1601" s="9"/>
      <c r="M1601" s="9"/>
      <c r="N1601" s="9" t="str">
        <f ca="1">IFERROR(__xludf.DUMMYFUNCTION("IFERROR(VALUE(REGEXEXTRACT(TO_TEXT($F1601), N$1 &amp; ""x(\d+)"")), """")
"),"")</f>
        <v/>
      </c>
      <c r="O1601" s="9">
        <f ca="1">IFERROR(__xludf.DUMMYFUNCTION("IFERROR(VALUE(REGEXEXTRACT(TO_TEXT($F1601), O$1 &amp; ""x(\d+)"")), """")"),1)</f>
        <v>1</v>
      </c>
      <c r="P1601" s="9" t="str">
        <f ca="1">IFERROR(__xludf.DUMMYFUNCTION("IFERROR(VALUE(REGEXEXTRACT(TO_TEXT($F1601), P$1 &amp; ""x(\d+)"")), """")"),"")</f>
        <v/>
      </c>
      <c r="Q1601" s="9" t="str">
        <f ca="1">IFERROR(__xludf.DUMMYFUNCTION("IFERROR(VALUE(REGEXEXTRACT(TO_TEXT($F1601), Q$1 &amp; ""x(\d+)"")), """")"),"")</f>
        <v/>
      </c>
      <c r="R1601" s="9" t="str">
        <f ca="1">IFERROR(__xludf.DUMMYFUNCTION("IFERROR(VALUE(REGEXEXTRACT(TO_TEXT($F1601), R$1 &amp; ""x(\d+)"")), """")"),"")</f>
        <v/>
      </c>
      <c r="S1601" s="9" t="str">
        <f ca="1">IFERROR(__xludf.DUMMYFUNCTION("IFERROR(VALUE(REGEXEXTRACT(TO_TEXT($F1601), S$1 &amp; ""x(\d+)"")), """")"),"")</f>
        <v/>
      </c>
      <c r="T1601" s="9" t="str">
        <f ca="1">IFERROR(__xludf.DUMMYFUNCTION("IFERROR(VALUE(REGEXEXTRACT(TO_TEXT($F1601), T$1 &amp; ""x(\d+)"")), """")"),"")</f>
        <v/>
      </c>
      <c r="U1601" s="9" t="str">
        <f ca="1">IFERROR(__xludf.DUMMYFUNCTION("IFERROR(VALUE(REGEXEXTRACT(TO_TEXT($F1601), U$1 &amp; ""x(\d+)"")), """")"),"")</f>
        <v/>
      </c>
      <c r="V1601" s="9" t="str">
        <f ca="1">IFERROR(__xludf.DUMMYFUNCTION("IFERROR(VALUE(REGEXEXTRACT(TO_TEXT($F1601), V$1 &amp; ""x(\d+)"")), """")"),"")</f>
        <v/>
      </c>
      <c r="W1601" s="9"/>
      <c r="X1601" s="9"/>
      <c r="Y1601" s="9"/>
      <c r="Z1601" s="9"/>
    </row>
    <row r="1602" spans="1:26" ht="15.75" customHeight="1">
      <c r="A1602" s="9" t="s">
        <v>2630</v>
      </c>
      <c r="B1602" s="9" t="s">
        <v>2631</v>
      </c>
      <c r="C1602" s="9" t="s">
        <v>748</v>
      </c>
      <c r="D1602" s="9" t="s">
        <v>40</v>
      </c>
      <c r="E1602" s="9" t="s">
        <v>12</v>
      </c>
      <c r="F1602" s="9" t="s">
        <v>2632</v>
      </c>
      <c r="G1602" s="9">
        <v>160</v>
      </c>
      <c r="H1602" s="9">
        <v>2</v>
      </c>
      <c r="I1602" s="9">
        <v>1.0149999999999999</v>
      </c>
      <c r="J1602" s="9">
        <v>412</v>
      </c>
      <c r="K1602" s="9" t="s">
        <v>442</v>
      </c>
      <c r="L1602" s="9" t="s">
        <v>1015</v>
      </c>
      <c r="M1602" s="9"/>
      <c r="N1602" s="9" t="str">
        <f ca="1">IFERROR(__xludf.DUMMYFUNCTION("IFERROR(VALUE(REGEXEXTRACT(TO_TEXT($F1602), N$1 &amp; ""x(\d+)"")), """")
"),"")</f>
        <v/>
      </c>
      <c r="O1602" s="9">
        <f ca="1">IFERROR(__xludf.DUMMYFUNCTION("IFERROR(VALUE(REGEXEXTRACT(TO_TEXT($F1602), O$1 &amp; ""x(\d+)"")), """")"),1)</f>
        <v>1</v>
      </c>
      <c r="P1602" s="9" t="str">
        <f ca="1">IFERROR(__xludf.DUMMYFUNCTION("IFERROR(VALUE(REGEXEXTRACT(TO_TEXT($F1602), P$1 &amp; ""x(\d+)"")), """")"),"")</f>
        <v/>
      </c>
      <c r="Q1602" s="9" t="str">
        <f ca="1">IFERROR(__xludf.DUMMYFUNCTION("IFERROR(VALUE(REGEXEXTRACT(TO_TEXT($F1602), Q$1 &amp; ""x(\d+)"")), """")"),"")</f>
        <v/>
      </c>
      <c r="R1602" s="9" t="str">
        <f ca="1">IFERROR(__xludf.DUMMYFUNCTION("IFERROR(VALUE(REGEXEXTRACT(TO_TEXT($F1602), R$1 &amp; ""x(\d+)"")), """")"),"")</f>
        <v/>
      </c>
      <c r="S1602" s="9">
        <f ca="1">IFERROR(__xludf.DUMMYFUNCTION("IFERROR(VALUE(REGEXEXTRACT(TO_TEXT($F1602), S$1 &amp; ""x(\d+)"")), """")"),1)</f>
        <v>1</v>
      </c>
      <c r="T1602" s="9" t="str">
        <f ca="1">IFERROR(__xludf.DUMMYFUNCTION("IFERROR(VALUE(REGEXEXTRACT(TO_TEXT($F1602), T$1 &amp; ""x(\d+)"")), """")"),"")</f>
        <v/>
      </c>
      <c r="U1602" s="9" t="str">
        <f ca="1">IFERROR(__xludf.DUMMYFUNCTION("IFERROR(VALUE(REGEXEXTRACT(TO_TEXT($F1602), U$1 &amp; ""x(\d+)"")), """")"),"")</f>
        <v/>
      </c>
      <c r="V1602" s="9" t="str">
        <f ca="1">IFERROR(__xludf.DUMMYFUNCTION("IFERROR(VALUE(REGEXEXTRACT(TO_TEXT($F1602), V$1 &amp; ""x(\d+)"")), """")"),"")</f>
        <v/>
      </c>
      <c r="W1602" s="9"/>
      <c r="X1602" s="9"/>
      <c r="Y1602" s="9"/>
      <c r="Z1602" s="9"/>
    </row>
    <row r="1603" spans="1:26" ht="15.75" customHeight="1">
      <c r="A1603" s="9" t="s">
        <v>2630</v>
      </c>
      <c r="B1603" s="9" t="s">
        <v>2631</v>
      </c>
      <c r="C1603" s="9" t="s">
        <v>748</v>
      </c>
      <c r="D1603" s="9" t="s">
        <v>40</v>
      </c>
      <c r="E1603" s="9" t="s">
        <v>13</v>
      </c>
      <c r="F1603" s="9" t="s">
        <v>2633</v>
      </c>
      <c r="G1603" s="9">
        <v>30</v>
      </c>
      <c r="H1603" s="9">
        <v>2</v>
      </c>
      <c r="I1603" s="9">
        <v>1.0149999999999999</v>
      </c>
      <c r="J1603" s="9">
        <v>412</v>
      </c>
      <c r="K1603" s="9" t="s">
        <v>442</v>
      </c>
      <c r="L1603" s="9"/>
      <c r="M1603" s="9"/>
      <c r="N1603" s="9" t="str">
        <f ca="1">IFERROR(__xludf.DUMMYFUNCTION("IFERROR(VALUE(REGEXEXTRACT(TO_TEXT($F1603), N$1 &amp; ""x(\d+)"")), """")
"),"")</f>
        <v/>
      </c>
      <c r="O1603" s="9">
        <f ca="1">IFERROR(__xludf.DUMMYFUNCTION("IFERROR(VALUE(REGEXEXTRACT(TO_TEXT($F1603), O$1 &amp; ""x(\d+)"")), """")"),1)</f>
        <v>1</v>
      </c>
      <c r="P1603" s="9" t="str">
        <f ca="1">IFERROR(__xludf.DUMMYFUNCTION("IFERROR(VALUE(REGEXEXTRACT(TO_TEXT($F1603), P$1 &amp; ""x(\d+)"")), """")"),"")</f>
        <v/>
      </c>
      <c r="Q1603" s="9" t="str">
        <f ca="1">IFERROR(__xludf.DUMMYFUNCTION("IFERROR(VALUE(REGEXEXTRACT(TO_TEXT($F1603), Q$1 &amp; ""x(\d+)"")), """")"),"")</f>
        <v/>
      </c>
      <c r="R1603" s="9" t="str">
        <f ca="1">IFERROR(__xludf.DUMMYFUNCTION("IFERROR(VALUE(REGEXEXTRACT(TO_TEXT($F1603), R$1 &amp; ""x(\d+)"")), """")"),"")</f>
        <v/>
      </c>
      <c r="S1603" s="9">
        <f ca="1">IFERROR(__xludf.DUMMYFUNCTION("IFERROR(VALUE(REGEXEXTRACT(TO_TEXT($F1603), S$1 &amp; ""x(\d+)"")), """")"),1)</f>
        <v>1</v>
      </c>
      <c r="T1603" s="9" t="str">
        <f ca="1">IFERROR(__xludf.DUMMYFUNCTION("IFERROR(VALUE(REGEXEXTRACT(TO_TEXT($F1603), T$1 &amp; ""x(\d+)"")), """")"),"")</f>
        <v/>
      </c>
      <c r="U1603" s="9" t="str">
        <f ca="1">IFERROR(__xludf.DUMMYFUNCTION("IFERROR(VALUE(REGEXEXTRACT(TO_TEXT($F1603), U$1 &amp; ""x(\d+)"")), """")"),"")</f>
        <v/>
      </c>
      <c r="V1603" s="9" t="str">
        <f ca="1">IFERROR(__xludf.DUMMYFUNCTION("IFERROR(VALUE(REGEXEXTRACT(TO_TEXT($F1603), V$1 &amp; ""x(\d+)"")), """")"),"")</f>
        <v/>
      </c>
      <c r="W1603" s="9"/>
      <c r="X1603" s="9"/>
      <c r="Y1603" s="9"/>
      <c r="Z1603" s="9"/>
    </row>
    <row r="1604" spans="1:26" ht="15.75" customHeight="1">
      <c r="A1604" s="9" t="s">
        <v>2634</v>
      </c>
      <c r="B1604" s="9" t="s">
        <v>2635</v>
      </c>
      <c r="C1604" s="9" t="s">
        <v>2636</v>
      </c>
      <c r="D1604" s="9" t="s">
        <v>74</v>
      </c>
      <c r="E1604" s="9" t="s">
        <v>11</v>
      </c>
      <c r="F1604" s="9" t="s">
        <v>2462</v>
      </c>
      <c r="G1604" s="9">
        <v>25</v>
      </c>
      <c r="H1604" s="9">
        <v>3</v>
      </c>
      <c r="I1604" s="9">
        <v>1.0149999999999999</v>
      </c>
      <c r="J1604" s="9">
        <v>103</v>
      </c>
      <c r="K1604" s="9" t="s">
        <v>424</v>
      </c>
      <c r="L1604" s="9"/>
      <c r="M1604" s="9"/>
      <c r="N1604" s="9" t="str">
        <f ca="1">IFERROR(__xludf.DUMMYFUNCTION("IFERROR(VALUE(REGEXEXTRACT(TO_TEXT($F1604), N$1 &amp; ""x(\d+)"")), """")
"),"")</f>
        <v/>
      </c>
      <c r="O1604" s="9" t="str">
        <f ca="1">IFERROR(__xludf.DUMMYFUNCTION("IFERROR(VALUE(REGEXEXTRACT(TO_TEXT($F1604), O$1 &amp; ""x(\d+)"")), """")"),"")</f>
        <v/>
      </c>
      <c r="P1604" s="9" t="str">
        <f ca="1">IFERROR(__xludf.DUMMYFUNCTION("IFERROR(VALUE(REGEXEXTRACT(TO_TEXT($F1604), P$1 &amp; ""x(\d+)"")), """")"),"")</f>
        <v/>
      </c>
      <c r="Q1604" s="9" t="str">
        <f ca="1">IFERROR(__xludf.DUMMYFUNCTION("IFERROR(VALUE(REGEXEXTRACT(TO_TEXT($F1604), Q$1 &amp; ""x(\d+)"")), """")"),"")</f>
        <v/>
      </c>
      <c r="R1604" s="9" t="str">
        <f ca="1">IFERROR(__xludf.DUMMYFUNCTION("IFERROR(VALUE(REGEXEXTRACT(TO_TEXT($F1604), R$1 &amp; ""x(\d+)"")), """")"),"")</f>
        <v/>
      </c>
      <c r="S1604" s="9" t="str">
        <f ca="1">IFERROR(__xludf.DUMMYFUNCTION("IFERROR(VALUE(REGEXEXTRACT(TO_TEXT($F1604), S$1 &amp; ""x(\d+)"")), """")"),"")</f>
        <v/>
      </c>
      <c r="T1604" s="9" t="str">
        <f ca="1">IFERROR(__xludf.DUMMYFUNCTION("IFERROR(VALUE(REGEXEXTRACT(TO_TEXT($F1604), T$1 &amp; ""x(\d+)"")), """")"),"")</f>
        <v/>
      </c>
      <c r="U1604" s="9" t="str">
        <f ca="1">IFERROR(__xludf.DUMMYFUNCTION("IFERROR(VALUE(REGEXEXTRACT(TO_TEXT($F1604), U$1 &amp; ""x(\d+)"")), """")"),"")</f>
        <v/>
      </c>
      <c r="V1604" s="9" t="str">
        <f ca="1">IFERROR(__xludf.DUMMYFUNCTION("IFERROR(VALUE(REGEXEXTRACT(TO_TEXT($F1604), V$1 &amp; ""x(\d+)"")), """")"),"")</f>
        <v/>
      </c>
      <c r="W1604" s="9"/>
      <c r="X1604" s="9"/>
      <c r="Y1604" s="9"/>
      <c r="Z1604" s="9"/>
    </row>
    <row r="1605" spans="1:26" ht="15.75" customHeight="1">
      <c r="A1605" s="9" t="s">
        <v>2634</v>
      </c>
      <c r="B1605" s="9" t="s">
        <v>2635</v>
      </c>
      <c r="C1605" s="9" t="s">
        <v>2636</v>
      </c>
      <c r="D1605" s="9" t="s">
        <v>74</v>
      </c>
      <c r="E1605" s="9" t="s">
        <v>12</v>
      </c>
      <c r="F1605" s="9" t="s">
        <v>2463</v>
      </c>
      <c r="G1605" s="9">
        <v>140</v>
      </c>
      <c r="H1605" s="9">
        <v>3</v>
      </c>
      <c r="I1605" s="9">
        <v>1.0149999999999999</v>
      </c>
      <c r="J1605" s="9">
        <v>103</v>
      </c>
      <c r="K1605" s="9" t="s">
        <v>424</v>
      </c>
      <c r="L1605" s="9" t="s">
        <v>1015</v>
      </c>
      <c r="M1605" s="9"/>
      <c r="N1605" s="9" t="str">
        <f ca="1">IFERROR(__xludf.DUMMYFUNCTION("IFERROR(VALUE(REGEXEXTRACT(TO_TEXT($F1605), N$1 &amp; ""x(\d+)"")), """")
"),"")</f>
        <v/>
      </c>
      <c r="O1605" s="9" t="str">
        <f ca="1">IFERROR(__xludf.DUMMYFUNCTION("IFERROR(VALUE(REGEXEXTRACT(TO_TEXT($F1605), O$1 &amp; ""x(\d+)"")), """")"),"")</f>
        <v/>
      </c>
      <c r="P1605" s="9" t="str">
        <f ca="1">IFERROR(__xludf.DUMMYFUNCTION("IFERROR(VALUE(REGEXEXTRACT(TO_TEXT($F1605), P$1 &amp; ""x(\d+)"")), """")"),"")</f>
        <v/>
      </c>
      <c r="Q1605" s="9">
        <f ca="1">IFERROR(__xludf.DUMMYFUNCTION("IFERROR(VALUE(REGEXEXTRACT(TO_TEXT($F1605), Q$1 &amp; ""x(\d+)"")), """")"),1)</f>
        <v>1</v>
      </c>
      <c r="R1605" s="9" t="str">
        <f ca="1">IFERROR(__xludf.DUMMYFUNCTION("IFERROR(VALUE(REGEXEXTRACT(TO_TEXT($F1605), R$1 &amp; ""x(\d+)"")), """")"),"")</f>
        <v/>
      </c>
      <c r="S1605" s="9" t="str">
        <f ca="1">IFERROR(__xludf.DUMMYFUNCTION("IFERROR(VALUE(REGEXEXTRACT(TO_TEXT($F1605), S$1 &amp; ""x(\d+)"")), """")"),"")</f>
        <v/>
      </c>
      <c r="T1605" s="9" t="str">
        <f ca="1">IFERROR(__xludf.DUMMYFUNCTION("IFERROR(VALUE(REGEXEXTRACT(TO_TEXT($F1605), T$1 &amp; ""x(\d+)"")), """")"),"")</f>
        <v/>
      </c>
      <c r="U1605" s="9" t="str">
        <f ca="1">IFERROR(__xludf.DUMMYFUNCTION("IFERROR(VALUE(REGEXEXTRACT(TO_TEXT($F1605), U$1 &amp; ""x(\d+)"")), """")"),"")</f>
        <v/>
      </c>
      <c r="V1605" s="9" t="str">
        <f ca="1">IFERROR(__xludf.DUMMYFUNCTION("IFERROR(VALUE(REGEXEXTRACT(TO_TEXT($F1605), V$1 &amp; ""x(\d+)"")), """")"),"")</f>
        <v/>
      </c>
      <c r="W1605" s="9"/>
      <c r="X1605" s="9"/>
      <c r="Y1605" s="9"/>
      <c r="Z1605" s="9"/>
    </row>
    <row r="1606" spans="1:26" ht="15.75" customHeight="1">
      <c r="A1606" s="9" t="s">
        <v>2634</v>
      </c>
      <c r="B1606" s="9" t="s">
        <v>2635</v>
      </c>
      <c r="C1606" s="9" t="s">
        <v>2636</v>
      </c>
      <c r="D1606" s="9" t="s">
        <v>74</v>
      </c>
      <c r="E1606" s="9" t="s">
        <v>13</v>
      </c>
      <c r="F1606" s="9" t="s">
        <v>1233</v>
      </c>
      <c r="G1606" s="9">
        <v>40</v>
      </c>
      <c r="H1606" s="9">
        <v>3</v>
      </c>
      <c r="I1606" s="9">
        <v>1.0149999999999999</v>
      </c>
      <c r="J1606" s="9">
        <v>103</v>
      </c>
      <c r="K1606" s="9" t="s">
        <v>424</v>
      </c>
      <c r="L1606" s="9"/>
      <c r="M1606" s="9"/>
      <c r="N1606" s="9" t="str">
        <f ca="1">IFERROR(__xludf.DUMMYFUNCTION("IFERROR(VALUE(REGEXEXTRACT(TO_TEXT($F1606), N$1 &amp; ""x(\d+)"")), """")
"),"")</f>
        <v/>
      </c>
      <c r="O1606" s="9" t="str">
        <f ca="1">IFERROR(__xludf.DUMMYFUNCTION("IFERROR(VALUE(REGEXEXTRACT(TO_TEXT($F1606), O$1 &amp; ""x(\d+)"")), """")"),"")</f>
        <v/>
      </c>
      <c r="P1606" s="9" t="str">
        <f ca="1">IFERROR(__xludf.DUMMYFUNCTION("IFERROR(VALUE(REGEXEXTRACT(TO_TEXT($F1606), P$1 &amp; ""x(\d+)"")), """")"),"")</f>
        <v/>
      </c>
      <c r="Q1606" s="9">
        <f ca="1">IFERROR(__xludf.DUMMYFUNCTION("IFERROR(VALUE(REGEXEXTRACT(TO_TEXT($F1606), Q$1 &amp; ""x(\d+)"")), """")"),1)</f>
        <v>1</v>
      </c>
      <c r="R1606" s="9" t="str">
        <f ca="1">IFERROR(__xludf.DUMMYFUNCTION("IFERROR(VALUE(REGEXEXTRACT(TO_TEXT($F1606), R$1 &amp; ""x(\d+)"")), """")"),"")</f>
        <v/>
      </c>
      <c r="S1606" s="9" t="str">
        <f ca="1">IFERROR(__xludf.DUMMYFUNCTION("IFERROR(VALUE(REGEXEXTRACT(TO_TEXT($F1606), S$1 &amp; ""x(\d+)"")), """")"),"")</f>
        <v/>
      </c>
      <c r="T1606" s="9" t="str">
        <f ca="1">IFERROR(__xludf.DUMMYFUNCTION("IFERROR(VALUE(REGEXEXTRACT(TO_TEXT($F1606), T$1 &amp; ""x(\d+)"")), """")"),"")</f>
        <v/>
      </c>
      <c r="U1606" s="9" t="str">
        <f ca="1">IFERROR(__xludf.DUMMYFUNCTION("IFERROR(VALUE(REGEXEXTRACT(TO_TEXT($F1606), U$1 &amp; ""x(\d+)"")), """")"),"")</f>
        <v/>
      </c>
      <c r="V1606" s="9" t="str">
        <f ca="1">IFERROR(__xludf.DUMMYFUNCTION("IFERROR(VALUE(REGEXEXTRACT(TO_TEXT($F1606), V$1 &amp; ""x(\d+)"")), """")"),"")</f>
        <v/>
      </c>
      <c r="W1606" s="9"/>
      <c r="X1606" s="9"/>
      <c r="Y1606" s="9"/>
      <c r="Z1606" s="9"/>
    </row>
    <row r="1607" spans="1:26" ht="15.75" customHeight="1">
      <c r="A1607" s="9" t="s">
        <v>2637</v>
      </c>
      <c r="B1607" s="9" t="s">
        <v>2638</v>
      </c>
      <c r="C1607" s="9" t="s">
        <v>2639</v>
      </c>
      <c r="D1607" s="9" t="s">
        <v>40</v>
      </c>
      <c r="E1607" s="9" t="s">
        <v>11</v>
      </c>
      <c r="F1607" s="9" t="s">
        <v>2539</v>
      </c>
      <c r="G1607" s="9">
        <v>40</v>
      </c>
      <c r="H1607" s="9">
        <v>4</v>
      </c>
      <c r="I1607" s="9">
        <v>1.0149999999999999</v>
      </c>
      <c r="J1607" s="9">
        <v>410</v>
      </c>
      <c r="K1607" s="9" t="s">
        <v>442</v>
      </c>
      <c r="L1607" s="9"/>
      <c r="M1607" s="9"/>
      <c r="N1607" s="9" t="str">
        <f ca="1">IFERROR(__xludf.DUMMYFUNCTION("IFERROR(VALUE(REGEXEXTRACT(TO_TEXT($F1607), N$1 &amp; ""x(\d+)"")), """")
"),"")</f>
        <v/>
      </c>
      <c r="O1607" s="9" t="str">
        <f ca="1">IFERROR(__xludf.DUMMYFUNCTION("IFERROR(VALUE(REGEXEXTRACT(TO_TEXT($F1607), O$1 &amp; ""x(\d+)"")), """")"),"")</f>
        <v/>
      </c>
      <c r="P1607" s="9" t="str">
        <f ca="1">IFERROR(__xludf.DUMMYFUNCTION("IFERROR(VALUE(REGEXEXTRACT(TO_TEXT($F1607), P$1 &amp; ""x(\d+)"")), """")"),"")</f>
        <v/>
      </c>
      <c r="Q1607" s="9" t="str">
        <f ca="1">IFERROR(__xludf.DUMMYFUNCTION("IFERROR(VALUE(REGEXEXTRACT(TO_TEXT($F1607), Q$1 &amp; ""x(\d+)"")), """")"),"")</f>
        <v/>
      </c>
      <c r="R1607" s="9" t="str">
        <f ca="1">IFERROR(__xludf.DUMMYFUNCTION("IFERROR(VALUE(REGEXEXTRACT(TO_TEXT($F1607), R$1 &amp; ""x(\d+)"")), """")"),"")</f>
        <v/>
      </c>
      <c r="S1607" s="9" t="str">
        <f ca="1">IFERROR(__xludf.DUMMYFUNCTION("IFERROR(VALUE(REGEXEXTRACT(TO_TEXT($F1607), S$1 &amp; ""x(\d+)"")), """")"),"")</f>
        <v/>
      </c>
      <c r="T1607" s="9" t="str">
        <f ca="1">IFERROR(__xludf.DUMMYFUNCTION("IFERROR(VALUE(REGEXEXTRACT(TO_TEXT($F1607), T$1 &amp; ""x(\d+)"")), """")"),"")</f>
        <v/>
      </c>
      <c r="U1607" s="9" t="str">
        <f ca="1">IFERROR(__xludf.DUMMYFUNCTION("IFERROR(VALUE(REGEXEXTRACT(TO_TEXT($F1607), U$1 &amp; ""x(\d+)"")), """")"),"")</f>
        <v/>
      </c>
      <c r="V1607" s="9" t="str">
        <f ca="1">IFERROR(__xludf.DUMMYFUNCTION("IFERROR(VALUE(REGEXEXTRACT(TO_TEXT($F1607), V$1 &amp; ""x(\d+)"")), """")"),"")</f>
        <v/>
      </c>
      <c r="W1607" s="9"/>
      <c r="X1607" s="9"/>
      <c r="Y1607" s="9"/>
      <c r="Z1607" s="9"/>
    </row>
    <row r="1608" spans="1:26" ht="15.75" customHeight="1">
      <c r="A1608" s="9" t="s">
        <v>2637</v>
      </c>
      <c r="B1608" s="9" t="s">
        <v>2638</v>
      </c>
      <c r="C1608" s="9" t="s">
        <v>2639</v>
      </c>
      <c r="D1608" s="9" t="s">
        <v>40</v>
      </c>
      <c r="E1608" s="9" t="s">
        <v>12</v>
      </c>
      <c r="F1608" s="9" t="s">
        <v>1485</v>
      </c>
      <c r="G1608" s="9">
        <v>110</v>
      </c>
      <c r="H1608" s="9">
        <v>4</v>
      </c>
      <c r="I1608" s="9">
        <v>1.0149999999999999</v>
      </c>
      <c r="J1608" s="9">
        <v>410</v>
      </c>
      <c r="K1608" s="9" t="s">
        <v>442</v>
      </c>
      <c r="L1608" s="9" t="s">
        <v>1015</v>
      </c>
      <c r="M1608" s="9"/>
      <c r="N1608" s="9" t="str">
        <f ca="1">IFERROR(__xludf.DUMMYFUNCTION("IFERROR(VALUE(REGEXEXTRACT(TO_TEXT($F1608), N$1 &amp; ""x(\d+)"")), """")
"),"")</f>
        <v/>
      </c>
      <c r="O1608" s="9" t="str">
        <f ca="1">IFERROR(__xludf.DUMMYFUNCTION("IFERROR(VALUE(REGEXEXTRACT(TO_TEXT($F1608), O$1 &amp; ""x(\d+)"")), """")"),"")</f>
        <v/>
      </c>
      <c r="P1608" s="9" t="str">
        <f ca="1">IFERROR(__xludf.DUMMYFUNCTION("IFERROR(VALUE(REGEXEXTRACT(TO_TEXT($F1608), P$1 &amp; ""x(\d+)"")), """")"),"")</f>
        <v/>
      </c>
      <c r="Q1608" s="9" t="str">
        <f ca="1">IFERROR(__xludf.DUMMYFUNCTION("IFERROR(VALUE(REGEXEXTRACT(TO_TEXT($F1608), Q$1 &amp; ""x(\d+)"")), """")"),"")</f>
        <v/>
      </c>
      <c r="R1608" s="9" t="str">
        <f ca="1">IFERROR(__xludf.DUMMYFUNCTION("IFERROR(VALUE(REGEXEXTRACT(TO_TEXT($F1608), R$1 &amp; ""x(\d+)"")), """")"),"")</f>
        <v/>
      </c>
      <c r="S1608" s="9">
        <f ca="1">IFERROR(__xludf.DUMMYFUNCTION("IFERROR(VALUE(REGEXEXTRACT(TO_TEXT($F1608), S$1 &amp; ""x(\d+)"")), """")"),1)</f>
        <v>1</v>
      </c>
      <c r="T1608" s="9" t="str">
        <f ca="1">IFERROR(__xludf.DUMMYFUNCTION("IFERROR(VALUE(REGEXEXTRACT(TO_TEXT($F1608), T$1 &amp; ""x(\d+)"")), """")"),"")</f>
        <v/>
      </c>
      <c r="U1608" s="9" t="str">
        <f ca="1">IFERROR(__xludf.DUMMYFUNCTION("IFERROR(VALUE(REGEXEXTRACT(TO_TEXT($F1608), U$1 &amp; ""x(\d+)"")), """")"),"")</f>
        <v/>
      </c>
      <c r="V1608" s="9" t="str">
        <f ca="1">IFERROR(__xludf.DUMMYFUNCTION("IFERROR(VALUE(REGEXEXTRACT(TO_TEXT($F1608), V$1 &amp; ""x(\d+)"")), """")"),"")</f>
        <v/>
      </c>
      <c r="W1608" s="9"/>
      <c r="X1608" s="9"/>
      <c r="Y1608" s="9"/>
      <c r="Z1608" s="9"/>
    </row>
    <row r="1609" spans="1:26" ht="15.75" customHeight="1">
      <c r="A1609" s="9" t="s">
        <v>2637</v>
      </c>
      <c r="B1609" s="9" t="s">
        <v>2638</v>
      </c>
      <c r="C1609" s="9" t="s">
        <v>2639</v>
      </c>
      <c r="D1609" s="9" t="s">
        <v>40</v>
      </c>
      <c r="E1609" s="9" t="s">
        <v>13</v>
      </c>
      <c r="F1609" s="9" t="s">
        <v>1133</v>
      </c>
      <c r="G1609" s="9">
        <v>30</v>
      </c>
      <c r="H1609" s="9">
        <v>4</v>
      </c>
      <c r="I1609" s="9">
        <v>1.0149999999999999</v>
      </c>
      <c r="J1609" s="9">
        <v>410</v>
      </c>
      <c r="K1609" s="9" t="s">
        <v>442</v>
      </c>
      <c r="L1609" s="9"/>
      <c r="M1609" s="9"/>
      <c r="N1609" s="9" t="str">
        <f ca="1">IFERROR(__xludf.DUMMYFUNCTION("IFERROR(VALUE(REGEXEXTRACT(TO_TEXT($F1609), N$1 &amp; ""x(\d+)"")), """")
"),"")</f>
        <v/>
      </c>
      <c r="O1609" s="9" t="str">
        <f ca="1">IFERROR(__xludf.DUMMYFUNCTION("IFERROR(VALUE(REGEXEXTRACT(TO_TEXT($F1609), O$1 &amp; ""x(\d+)"")), """")"),"")</f>
        <v/>
      </c>
      <c r="P1609" s="9" t="str">
        <f ca="1">IFERROR(__xludf.DUMMYFUNCTION("IFERROR(VALUE(REGEXEXTRACT(TO_TEXT($F1609), P$1 &amp; ""x(\d+)"")), """")"),"")</f>
        <v/>
      </c>
      <c r="Q1609" s="9" t="str">
        <f ca="1">IFERROR(__xludf.DUMMYFUNCTION("IFERROR(VALUE(REGEXEXTRACT(TO_TEXT($F1609), Q$1 &amp; ""x(\d+)"")), """")"),"")</f>
        <v/>
      </c>
      <c r="R1609" s="9" t="str">
        <f ca="1">IFERROR(__xludf.DUMMYFUNCTION("IFERROR(VALUE(REGEXEXTRACT(TO_TEXT($F1609), R$1 &amp; ""x(\d+)"")), """")"),"")</f>
        <v/>
      </c>
      <c r="S1609" s="9">
        <f ca="1">IFERROR(__xludf.DUMMYFUNCTION("IFERROR(VALUE(REGEXEXTRACT(TO_TEXT($F1609), S$1 &amp; ""x(\d+)"")), """")"),1)</f>
        <v>1</v>
      </c>
      <c r="T1609" s="9" t="str">
        <f ca="1">IFERROR(__xludf.DUMMYFUNCTION("IFERROR(VALUE(REGEXEXTRACT(TO_TEXT($F1609), T$1 &amp; ""x(\d+)"")), """")"),"")</f>
        <v/>
      </c>
      <c r="U1609" s="9" t="str">
        <f ca="1">IFERROR(__xludf.DUMMYFUNCTION("IFERROR(VALUE(REGEXEXTRACT(TO_TEXT($F1609), U$1 &amp; ""x(\d+)"")), """")"),"")</f>
        <v/>
      </c>
      <c r="V1609" s="9" t="str">
        <f ca="1">IFERROR(__xludf.DUMMYFUNCTION("IFERROR(VALUE(REGEXEXTRACT(TO_TEXT($F1609), V$1 &amp; ""x(\d+)"")), """")"),"")</f>
        <v/>
      </c>
      <c r="W1609" s="9"/>
      <c r="X1609" s="9"/>
      <c r="Y1609" s="9"/>
      <c r="Z1609" s="9"/>
    </row>
    <row r="1610" spans="1:26" ht="15.75" customHeight="1">
      <c r="A1610" s="9" t="s">
        <v>2625</v>
      </c>
      <c r="B1610" s="9" t="s">
        <v>2626</v>
      </c>
      <c r="C1610" s="9" t="s">
        <v>2627</v>
      </c>
      <c r="D1610" s="9" t="s">
        <v>48</v>
      </c>
      <c r="E1610" s="9" t="s">
        <v>11</v>
      </c>
      <c r="F1610" s="9" t="s">
        <v>2640</v>
      </c>
      <c r="G1610" s="9">
        <v>70</v>
      </c>
      <c r="H1610" s="9">
        <v>4</v>
      </c>
      <c r="I1610" s="9">
        <v>1.0149999999999999</v>
      </c>
      <c r="J1610" s="9">
        <v>52</v>
      </c>
      <c r="K1610" s="9" t="s">
        <v>424</v>
      </c>
      <c r="L1610" s="9"/>
      <c r="M1610" s="9"/>
      <c r="N1610" s="9" t="str">
        <f ca="1">IFERROR(__xludf.DUMMYFUNCTION("IFERROR(VALUE(REGEXEXTRACT(TO_TEXT($F1610), N$1 &amp; ""x(\d+)"")), """")
"),"")</f>
        <v/>
      </c>
      <c r="O1610" s="9" t="str">
        <f ca="1">IFERROR(__xludf.DUMMYFUNCTION("IFERROR(VALUE(REGEXEXTRACT(TO_TEXT($F1610), O$1 &amp; ""x(\d+)"")), """")"),"")</f>
        <v/>
      </c>
      <c r="P1610" s="9" t="str">
        <f ca="1">IFERROR(__xludf.DUMMYFUNCTION("IFERROR(VALUE(REGEXEXTRACT(TO_TEXT($F1610), P$1 &amp; ""x(\d+)"")), """")"),"")</f>
        <v/>
      </c>
      <c r="Q1610" s="9" t="str">
        <f ca="1">IFERROR(__xludf.DUMMYFUNCTION("IFERROR(VALUE(REGEXEXTRACT(TO_TEXT($F1610), Q$1 &amp; ""x(\d+)"")), """")"),"")</f>
        <v/>
      </c>
      <c r="R1610" s="9" t="str">
        <f ca="1">IFERROR(__xludf.DUMMYFUNCTION("IFERROR(VALUE(REGEXEXTRACT(TO_TEXT($F1610), R$1 &amp; ""x(\d+)"")), """")"),"")</f>
        <v/>
      </c>
      <c r="S1610" s="9" t="str">
        <f ca="1">IFERROR(__xludf.DUMMYFUNCTION("IFERROR(VALUE(REGEXEXTRACT(TO_TEXT($F1610), S$1 &amp; ""x(\d+)"")), """")"),"")</f>
        <v/>
      </c>
      <c r="T1610" s="9" t="str">
        <f ca="1">IFERROR(__xludf.DUMMYFUNCTION("IFERROR(VALUE(REGEXEXTRACT(TO_TEXT($F1610), T$1 &amp; ""x(\d+)"")), """")"),"")</f>
        <v/>
      </c>
      <c r="U1610" s="9" t="str">
        <f ca="1">IFERROR(__xludf.DUMMYFUNCTION("IFERROR(VALUE(REGEXEXTRACT(TO_TEXT($F1610), U$1 &amp; ""x(\d+)"")), """")"),"")</f>
        <v/>
      </c>
      <c r="V1610" s="9" t="str">
        <f ca="1">IFERROR(__xludf.DUMMYFUNCTION("IFERROR(VALUE(REGEXEXTRACT(TO_TEXT($F1610), V$1 &amp; ""x(\d+)"")), """")"),"")</f>
        <v/>
      </c>
      <c r="W1610" s="9"/>
      <c r="X1610" s="9"/>
      <c r="Y1610" s="9"/>
      <c r="Z1610" s="9"/>
    </row>
    <row r="1611" spans="1:26" ht="15.75" customHeight="1">
      <c r="A1611" s="9" t="s">
        <v>2625</v>
      </c>
      <c r="B1611" s="9" t="s">
        <v>2626</v>
      </c>
      <c r="C1611" s="9" t="s">
        <v>2627</v>
      </c>
      <c r="D1611" s="9" t="s">
        <v>48</v>
      </c>
      <c r="E1611" s="9" t="s">
        <v>12</v>
      </c>
      <c r="F1611" s="9" t="s">
        <v>2138</v>
      </c>
      <c r="G1611" s="9">
        <v>145</v>
      </c>
      <c r="H1611" s="9">
        <v>4</v>
      </c>
      <c r="I1611" s="9">
        <v>1.0149999999999999</v>
      </c>
      <c r="J1611" s="9">
        <v>52</v>
      </c>
      <c r="K1611" s="9" t="s">
        <v>424</v>
      </c>
      <c r="L1611" s="9" t="s">
        <v>1015</v>
      </c>
      <c r="M1611" s="9"/>
      <c r="N1611" s="9" t="str">
        <f ca="1">IFERROR(__xludf.DUMMYFUNCTION("IFERROR(VALUE(REGEXEXTRACT(TO_TEXT($F1611), N$1 &amp; ""x(\d+)"")), """")
"),"")</f>
        <v/>
      </c>
      <c r="O1611" s="9" t="str">
        <f ca="1">IFERROR(__xludf.DUMMYFUNCTION("IFERROR(VALUE(REGEXEXTRACT(TO_TEXT($F1611), O$1 &amp; ""x(\d+)"")), """")"),"")</f>
        <v/>
      </c>
      <c r="P1611" s="9">
        <f ca="1">IFERROR(__xludf.DUMMYFUNCTION("IFERROR(VALUE(REGEXEXTRACT(TO_TEXT($F1611), P$1 &amp; ""x(\d+)"")), """")"),1)</f>
        <v>1</v>
      </c>
      <c r="Q1611" s="9" t="str">
        <f ca="1">IFERROR(__xludf.DUMMYFUNCTION("IFERROR(VALUE(REGEXEXTRACT(TO_TEXT($F1611), Q$1 &amp; ""x(\d+)"")), """")"),"")</f>
        <v/>
      </c>
      <c r="R1611" s="9">
        <f ca="1">IFERROR(__xludf.DUMMYFUNCTION("IFERROR(VALUE(REGEXEXTRACT(TO_TEXT($F1611), R$1 &amp; ""x(\d+)"")), """")"),1)</f>
        <v>1</v>
      </c>
      <c r="S1611" s="9" t="str">
        <f ca="1">IFERROR(__xludf.DUMMYFUNCTION("IFERROR(VALUE(REGEXEXTRACT(TO_TEXT($F1611), S$1 &amp; ""x(\d+)"")), """")"),"")</f>
        <v/>
      </c>
      <c r="T1611" s="9" t="str">
        <f ca="1">IFERROR(__xludf.DUMMYFUNCTION("IFERROR(VALUE(REGEXEXTRACT(TO_TEXT($F1611), T$1 &amp; ""x(\d+)"")), """")"),"")</f>
        <v/>
      </c>
      <c r="U1611" s="9" t="str">
        <f ca="1">IFERROR(__xludf.DUMMYFUNCTION("IFERROR(VALUE(REGEXEXTRACT(TO_TEXT($F1611), U$1 &amp; ""x(\d+)"")), """")"),"")</f>
        <v/>
      </c>
      <c r="V1611" s="9" t="str">
        <f ca="1">IFERROR(__xludf.DUMMYFUNCTION("IFERROR(VALUE(REGEXEXTRACT(TO_TEXT($F1611), V$1 &amp; ""x(\d+)"")), """")"),"")</f>
        <v/>
      </c>
      <c r="W1611" s="9"/>
      <c r="X1611" s="9"/>
      <c r="Y1611" s="9"/>
      <c r="Z1611" s="9"/>
    </row>
    <row r="1612" spans="1:26" ht="15.75" customHeight="1">
      <c r="A1612" s="9" t="s">
        <v>2625</v>
      </c>
      <c r="B1612" s="9" t="s">
        <v>2626</v>
      </c>
      <c r="C1612" s="9" t="s">
        <v>2627</v>
      </c>
      <c r="D1612" s="9" t="s">
        <v>48</v>
      </c>
      <c r="E1612" s="9" t="s">
        <v>13</v>
      </c>
      <c r="F1612" s="9" t="s">
        <v>1348</v>
      </c>
      <c r="G1612" s="9">
        <v>90</v>
      </c>
      <c r="H1612" s="9">
        <v>4</v>
      </c>
      <c r="I1612" s="9">
        <v>1.0149999999999999</v>
      </c>
      <c r="J1612" s="9">
        <v>52</v>
      </c>
      <c r="K1612" s="9" t="s">
        <v>424</v>
      </c>
      <c r="L1612" s="9"/>
      <c r="M1612" s="9"/>
      <c r="N1612" s="9" t="str">
        <f ca="1">IFERROR(__xludf.DUMMYFUNCTION("IFERROR(VALUE(REGEXEXTRACT(TO_TEXT($F1612), N$1 &amp; ""x(\d+)"")), """")
"),"")</f>
        <v/>
      </c>
      <c r="O1612" s="9" t="str">
        <f ca="1">IFERROR(__xludf.DUMMYFUNCTION("IFERROR(VALUE(REGEXEXTRACT(TO_TEXT($F1612), O$1 &amp; ""x(\d+)"")), """")"),"")</f>
        <v/>
      </c>
      <c r="P1612" s="9">
        <f ca="1">IFERROR(__xludf.DUMMYFUNCTION("IFERROR(VALUE(REGEXEXTRACT(TO_TEXT($F1612), P$1 &amp; ""x(\d+)"")), """")"),1)</f>
        <v>1</v>
      </c>
      <c r="Q1612" s="9" t="str">
        <f ca="1">IFERROR(__xludf.DUMMYFUNCTION("IFERROR(VALUE(REGEXEXTRACT(TO_TEXT($F1612), Q$1 &amp; ""x(\d+)"")), """")"),"")</f>
        <v/>
      </c>
      <c r="R1612" s="9">
        <f ca="1">IFERROR(__xludf.DUMMYFUNCTION("IFERROR(VALUE(REGEXEXTRACT(TO_TEXT($F1612), R$1 &amp; ""x(\d+)"")), """")"),1)</f>
        <v>1</v>
      </c>
      <c r="S1612" s="9" t="str">
        <f ca="1">IFERROR(__xludf.DUMMYFUNCTION("IFERROR(VALUE(REGEXEXTRACT(TO_TEXT($F1612), S$1 &amp; ""x(\d+)"")), """")"),"")</f>
        <v/>
      </c>
      <c r="T1612" s="9" t="str">
        <f ca="1">IFERROR(__xludf.DUMMYFUNCTION("IFERROR(VALUE(REGEXEXTRACT(TO_TEXT($F1612), T$1 &amp; ""x(\d+)"")), """")"),"")</f>
        <v/>
      </c>
      <c r="U1612" s="9" t="str">
        <f ca="1">IFERROR(__xludf.DUMMYFUNCTION("IFERROR(VALUE(REGEXEXTRACT(TO_TEXT($F1612), U$1 &amp; ""x(\d+)"")), """")"),"")</f>
        <v/>
      </c>
      <c r="V1612" s="9" t="str">
        <f ca="1">IFERROR(__xludf.DUMMYFUNCTION("IFERROR(VALUE(REGEXEXTRACT(TO_TEXT($F1612), V$1 &amp; ""x(\d+)"")), """")"),"")</f>
        <v/>
      </c>
      <c r="W1612" s="9"/>
      <c r="X1612" s="9"/>
      <c r="Y1612" s="9"/>
      <c r="Z1612" s="9"/>
    </row>
    <row r="1613" spans="1:26" ht="15.75" customHeight="1">
      <c r="A1613" s="9" t="s">
        <v>2641</v>
      </c>
      <c r="B1613" s="9" t="s">
        <v>2642</v>
      </c>
      <c r="C1613" s="9" t="s">
        <v>2643</v>
      </c>
      <c r="D1613" s="9" t="s">
        <v>33</v>
      </c>
      <c r="E1613" s="9" t="s">
        <v>11</v>
      </c>
      <c r="F1613" s="9" t="s">
        <v>2428</v>
      </c>
      <c r="G1613" s="9">
        <v>25</v>
      </c>
      <c r="H1613" s="9">
        <v>3</v>
      </c>
      <c r="I1613" s="9">
        <v>1.0149999999999999</v>
      </c>
      <c r="J1613" s="9">
        <v>110</v>
      </c>
      <c r="K1613" s="9" t="s">
        <v>442</v>
      </c>
      <c r="L1613" s="9"/>
      <c r="M1613" s="9"/>
      <c r="N1613" s="9" t="str">
        <f ca="1">IFERROR(__xludf.DUMMYFUNCTION("IFERROR(VALUE(REGEXEXTRACT(TO_TEXT($F1613), N$1 &amp; ""x(\d+)"")), """")
"),"")</f>
        <v/>
      </c>
      <c r="O1613" s="9" t="str">
        <f ca="1">IFERROR(__xludf.DUMMYFUNCTION("IFERROR(VALUE(REGEXEXTRACT(TO_TEXT($F1613), O$1 &amp; ""x(\d+)"")), """")"),"")</f>
        <v/>
      </c>
      <c r="P1613" s="9" t="str">
        <f ca="1">IFERROR(__xludf.DUMMYFUNCTION("IFERROR(VALUE(REGEXEXTRACT(TO_TEXT($F1613), P$1 &amp; ""x(\d+)"")), """")"),"")</f>
        <v/>
      </c>
      <c r="Q1613" s="9" t="str">
        <f ca="1">IFERROR(__xludf.DUMMYFUNCTION("IFERROR(VALUE(REGEXEXTRACT(TO_TEXT($F1613), Q$1 &amp; ""x(\d+)"")), """")"),"")</f>
        <v/>
      </c>
      <c r="R1613" s="9" t="str">
        <f ca="1">IFERROR(__xludf.DUMMYFUNCTION("IFERROR(VALUE(REGEXEXTRACT(TO_TEXT($F1613), R$1 &amp; ""x(\d+)"")), """")"),"")</f>
        <v/>
      </c>
      <c r="S1613" s="9" t="str">
        <f ca="1">IFERROR(__xludf.DUMMYFUNCTION("IFERROR(VALUE(REGEXEXTRACT(TO_TEXT($F1613), S$1 &amp; ""x(\d+)"")), """")"),"")</f>
        <v/>
      </c>
      <c r="T1613" s="9" t="str">
        <f ca="1">IFERROR(__xludf.DUMMYFUNCTION("IFERROR(VALUE(REGEXEXTRACT(TO_TEXT($F1613), T$1 &amp; ""x(\d+)"")), """")"),"")</f>
        <v/>
      </c>
      <c r="U1613" s="9" t="str">
        <f ca="1">IFERROR(__xludf.DUMMYFUNCTION("IFERROR(VALUE(REGEXEXTRACT(TO_TEXT($F1613), U$1 &amp; ""x(\d+)"")), """")"),"")</f>
        <v/>
      </c>
      <c r="V1613" s="9" t="str">
        <f ca="1">IFERROR(__xludf.DUMMYFUNCTION("IFERROR(VALUE(REGEXEXTRACT(TO_TEXT($F1613), V$1 &amp; ""x(\d+)"")), """")"),"")</f>
        <v/>
      </c>
      <c r="W1613" s="9"/>
      <c r="X1613" s="9"/>
      <c r="Y1613" s="9"/>
      <c r="Z1613" s="9"/>
    </row>
    <row r="1614" spans="1:26" ht="15.75" customHeight="1">
      <c r="A1614" s="9" t="s">
        <v>2641</v>
      </c>
      <c r="B1614" s="9" t="s">
        <v>2642</v>
      </c>
      <c r="C1614" s="9" t="s">
        <v>2643</v>
      </c>
      <c r="D1614" s="9" t="s">
        <v>33</v>
      </c>
      <c r="E1614" s="9" t="s">
        <v>12</v>
      </c>
      <c r="F1614" s="9" t="s">
        <v>2644</v>
      </c>
      <c r="G1614" s="9">
        <v>150</v>
      </c>
      <c r="H1614" s="9">
        <v>3</v>
      </c>
      <c r="I1614" s="9">
        <v>1.0149999999999999</v>
      </c>
      <c r="J1614" s="9">
        <v>110</v>
      </c>
      <c r="K1614" s="9" t="s">
        <v>442</v>
      </c>
      <c r="L1614" s="9"/>
      <c r="M1614" s="9"/>
      <c r="N1614" s="9">
        <f ca="1">IFERROR(__xludf.DUMMYFUNCTION("IFERROR(VALUE(REGEXEXTRACT(TO_TEXT($F1614), N$1 &amp; ""x(\d+)"")), """")
"),1)</f>
        <v>1</v>
      </c>
      <c r="O1614" s="9">
        <f ca="1">IFERROR(__xludf.DUMMYFUNCTION("IFERROR(VALUE(REGEXEXTRACT(TO_TEXT($F1614), O$1 &amp; ""x(\d+)"")), """")"),1)</f>
        <v>1</v>
      </c>
      <c r="P1614" s="9" t="str">
        <f ca="1">IFERROR(__xludf.DUMMYFUNCTION("IFERROR(VALUE(REGEXEXTRACT(TO_TEXT($F1614), P$1 &amp; ""x(\d+)"")), """")"),"")</f>
        <v/>
      </c>
      <c r="Q1614" s="9" t="str">
        <f ca="1">IFERROR(__xludf.DUMMYFUNCTION("IFERROR(VALUE(REGEXEXTRACT(TO_TEXT($F1614), Q$1 &amp; ""x(\d+)"")), """")"),"")</f>
        <v/>
      </c>
      <c r="R1614" s="9" t="str">
        <f ca="1">IFERROR(__xludf.DUMMYFUNCTION("IFERROR(VALUE(REGEXEXTRACT(TO_TEXT($F1614), R$1 &amp; ""x(\d+)"")), """")"),"")</f>
        <v/>
      </c>
      <c r="S1614" s="9" t="str">
        <f ca="1">IFERROR(__xludf.DUMMYFUNCTION("IFERROR(VALUE(REGEXEXTRACT(TO_TEXT($F1614), S$1 &amp; ""x(\d+)"")), """")"),"")</f>
        <v/>
      </c>
      <c r="T1614" s="9" t="str">
        <f ca="1">IFERROR(__xludf.DUMMYFUNCTION("IFERROR(VALUE(REGEXEXTRACT(TO_TEXT($F1614), T$1 &amp; ""x(\d+)"")), """")"),"")</f>
        <v/>
      </c>
      <c r="U1614" s="9" t="str">
        <f ca="1">IFERROR(__xludf.DUMMYFUNCTION("IFERROR(VALUE(REGEXEXTRACT(TO_TEXT($F1614), U$1 &amp; ""x(\d+)"")), """")"),"")</f>
        <v/>
      </c>
      <c r="V1614" s="9">
        <f ca="1">IFERROR(__xludf.DUMMYFUNCTION("IFERROR(VALUE(REGEXEXTRACT(TO_TEXT($F1614), V$1 &amp; ""x(\d+)"")), """")"),1)</f>
        <v>1</v>
      </c>
      <c r="W1614" s="9"/>
      <c r="X1614" s="9"/>
      <c r="Y1614" s="9"/>
      <c r="Z1614" s="9"/>
    </row>
    <row r="1615" spans="1:26" ht="15.75" customHeight="1">
      <c r="A1615" s="9" t="s">
        <v>2641</v>
      </c>
      <c r="B1615" s="9" t="s">
        <v>2642</v>
      </c>
      <c r="C1615" s="9" t="s">
        <v>2643</v>
      </c>
      <c r="D1615" s="9" t="s">
        <v>33</v>
      </c>
      <c r="E1615" s="9" t="s">
        <v>13</v>
      </c>
      <c r="F1615" s="9" t="s">
        <v>2645</v>
      </c>
      <c r="G1615" s="9">
        <v>30</v>
      </c>
      <c r="H1615" s="9">
        <v>3</v>
      </c>
      <c r="I1615" s="9">
        <v>1.0149999999999999</v>
      </c>
      <c r="J1615" s="9">
        <v>110</v>
      </c>
      <c r="K1615" s="9" t="s">
        <v>442</v>
      </c>
      <c r="L1615" s="9"/>
      <c r="M1615" s="9"/>
      <c r="N1615" s="9">
        <f ca="1">IFERROR(__xludf.DUMMYFUNCTION("IFERROR(VALUE(REGEXEXTRACT(TO_TEXT($F1615), N$1 &amp; ""x(\d+)"")), """")
"),1)</f>
        <v>1</v>
      </c>
      <c r="O1615" s="9">
        <f ca="1">IFERROR(__xludf.DUMMYFUNCTION("IFERROR(VALUE(REGEXEXTRACT(TO_TEXT($F1615), O$1 &amp; ""x(\d+)"")), """")"),1)</f>
        <v>1</v>
      </c>
      <c r="P1615" s="9" t="str">
        <f ca="1">IFERROR(__xludf.DUMMYFUNCTION("IFERROR(VALUE(REGEXEXTRACT(TO_TEXT($F1615), P$1 &amp; ""x(\d+)"")), """")"),"")</f>
        <v/>
      </c>
      <c r="Q1615" s="9" t="str">
        <f ca="1">IFERROR(__xludf.DUMMYFUNCTION("IFERROR(VALUE(REGEXEXTRACT(TO_TEXT($F1615), Q$1 &amp; ""x(\d+)"")), """")"),"")</f>
        <v/>
      </c>
      <c r="R1615" s="9" t="str">
        <f ca="1">IFERROR(__xludf.DUMMYFUNCTION("IFERROR(VALUE(REGEXEXTRACT(TO_TEXT($F1615), R$1 &amp; ""x(\d+)"")), """")"),"")</f>
        <v/>
      </c>
      <c r="S1615" s="9" t="str">
        <f ca="1">IFERROR(__xludf.DUMMYFUNCTION("IFERROR(VALUE(REGEXEXTRACT(TO_TEXT($F1615), S$1 &amp; ""x(\d+)"")), """")"),"")</f>
        <v/>
      </c>
      <c r="T1615" s="9" t="str">
        <f ca="1">IFERROR(__xludf.DUMMYFUNCTION("IFERROR(VALUE(REGEXEXTRACT(TO_TEXT($F1615), T$1 &amp; ""x(\d+)"")), """")"),"")</f>
        <v/>
      </c>
      <c r="U1615" s="9" t="str">
        <f ca="1">IFERROR(__xludf.DUMMYFUNCTION("IFERROR(VALUE(REGEXEXTRACT(TO_TEXT($F1615), U$1 &amp; ""x(\d+)"")), """")"),"")</f>
        <v/>
      </c>
      <c r="V1615" s="9">
        <f ca="1">IFERROR(__xludf.DUMMYFUNCTION("IFERROR(VALUE(REGEXEXTRACT(TO_TEXT($F1615), V$1 &amp; ""x(\d+)"")), """")"),1)</f>
        <v>1</v>
      </c>
      <c r="W1615" s="9"/>
      <c r="X1615" s="9"/>
      <c r="Y1615" s="9"/>
      <c r="Z1615" s="9"/>
    </row>
    <row r="1616" spans="1:26" ht="15.75" customHeight="1">
      <c r="A1616" s="9" t="s">
        <v>2646</v>
      </c>
      <c r="B1616" s="9" t="s">
        <v>2647</v>
      </c>
      <c r="C1616" s="9" t="s">
        <v>2648</v>
      </c>
      <c r="D1616" s="9" t="s">
        <v>33</v>
      </c>
      <c r="E1616" s="9" t="s">
        <v>11</v>
      </c>
      <c r="F1616" s="9" t="s">
        <v>2610</v>
      </c>
      <c r="G1616" s="9">
        <v>30</v>
      </c>
      <c r="H1616" s="9">
        <v>4</v>
      </c>
      <c r="I1616" s="9">
        <v>1.0149999999999999</v>
      </c>
      <c r="J1616" s="9">
        <v>110</v>
      </c>
      <c r="K1616" s="9" t="s">
        <v>442</v>
      </c>
      <c r="L1616" s="9"/>
      <c r="M1616" s="9"/>
      <c r="N1616" s="9" t="str">
        <f ca="1">IFERROR(__xludf.DUMMYFUNCTION("IFERROR(VALUE(REGEXEXTRACT(TO_TEXT($F1616), N$1 &amp; ""x(\d+)"")), """")
"),"")</f>
        <v/>
      </c>
      <c r="O1616" s="9" t="str">
        <f ca="1">IFERROR(__xludf.DUMMYFUNCTION("IFERROR(VALUE(REGEXEXTRACT(TO_TEXT($F1616), O$1 &amp; ""x(\d+)"")), """")"),"")</f>
        <v/>
      </c>
      <c r="P1616" s="9" t="str">
        <f ca="1">IFERROR(__xludf.DUMMYFUNCTION("IFERROR(VALUE(REGEXEXTRACT(TO_TEXT($F1616), P$1 &amp; ""x(\d+)"")), """")"),"")</f>
        <v/>
      </c>
      <c r="Q1616" s="9" t="str">
        <f ca="1">IFERROR(__xludf.DUMMYFUNCTION("IFERROR(VALUE(REGEXEXTRACT(TO_TEXT($F1616), Q$1 &amp; ""x(\d+)"")), """")"),"")</f>
        <v/>
      </c>
      <c r="R1616" s="9" t="str">
        <f ca="1">IFERROR(__xludf.DUMMYFUNCTION("IFERROR(VALUE(REGEXEXTRACT(TO_TEXT($F1616), R$1 &amp; ""x(\d+)"")), """")"),"")</f>
        <v/>
      </c>
      <c r="S1616" s="9" t="str">
        <f ca="1">IFERROR(__xludf.DUMMYFUNCTION("IFERROR(VALUE(REGEXEXTRACT(TO_TEXT($F1616), S$1 &amp; ""x(\d+)"")), """")"),"")</f>
        <v/>
      </c>
      <c r="T1616" s="9" t="str">
        <f ca="1">IFERROR(__xludf.DUMMYFUNCTION("IFERROR(VALUE(REGEXEXTRACT(TO_TEXT($F1616), T$1 &amp; ""x(\d+)"")), """")"),"")</f>
        <v/>
      </c>
      <c r="U1616" s="9" t="str">
        <f ca="1">IFERROR(__xludf.DUMMYFUNCTION("IFERROR(VALUE(REGEXEXTRACT(TO_TEXT($F1616), U$1 &amp; ""x(\d+)"")), """")"),"")</f>
        <v/>
      </c>
      <c r="V1616" s="9" t="str">
        <f ca="1">IFERROR(__xludf.DUMMYFUNCTION("IFERROR(VALUE(REGEXEXTRACT(TO_TEXT($F1616), V$1 &amp; ""x(\d+)"")), """")"),"")</f>
        <v/>
      </c>
      <c r="W1616" s="9"/>
      <c r="X1616" s="9"/>
      <c r="Y1616" s="9"/>
      <c r="Z1616" s="9"/>
    </row>
    <row r="1617" spans="1:26" ht="15.75" customHeight="1">
      <c r="A1617" s="9" t="s">
        <v>2646</v>
      </c>
      <c r="B1617" s="9" t="s">
        <v>2647</v>
      </c>
      <c r="C1617" s="9" t="s">
        <v>2648</v>
      </c>
      <c r="D1617" s="9" t="s">
        <v>33</v>
      </c>
      <c r="E1617" s="9" t="s">
        <v>12</v>
      </c>
      <c r="F1617" s="9" t="s">
        <v>1280</v>
      </c>
      <c r="G1617" s="9">
        <v>90</v>
      </c>
      <c r="H1617" s="9">
        <v>4</v>
      </c>
      <c r="I1617" s="9">
        <v>1.0149999999999999</v>
      </c>
      <c r="J1617" s="9">
        <v>110</v>
      </c>
      <c r="K1617" s="9" t="s">
        <v>442</v>
      </c>
      <c r="L1617" s="9"/>
      <c r="M1617" s="9"/>
      <c r="N1617" s="9" t="str">
        <f ca="1">IFERROR(__xludf.DUMMYFUNCTION("IFERROR(VALUE(REGEXEXTRACT(TO_TEXT($F1617), N$1 &amp; ""x(\d+)"")), """")
"),"")</f>
        <v/>
      </c>
      <c r="O1617" s="9">
        <f ca="1">IFERROR(__xludf.DUMMYFUNCTION("IFERROR(VALUE(REGEXEXTRACT(TO_TEXT($F1617), O$1 &amp; ""x(\d+)"")), """")"),1)</f>
        <v>1</v>
      </c>
      <c r="P1617" s="9" t="str">
        <f ca="1">IFERROR(__xludf.DUMMYFUNCTION("IFERROR(VALUE(REGEXEXTRACT(TO_TEXT($F1617), P$1 &amp; ""x(\d+)"")), """")"),"")</f>
        <v/>
      </c>
      <c r="Q1617" s="9" t="str">
        <f ca="1">IFERROR(__xludf.DUMMYFUNCTION("IFERROR(VALUE(REGEXEXTRACT(TO_TEXT($F1617), Q$1 &amp; ""x(\d+)"")), """")"),"")</f>
        <v/>
      </c>
      <c r="R1617" s="9" t="str">
        <f ca="1">IFERROR(__xludf.DUMMYFUNCTION("IFERROR(VALUE(REGEXEXTRACT(TO_TEXT($F1617), R$1 &amp; ""x(\d+)"")), """")"),"")</f>
        <v/>
      </c>
      <c r="S1617" s="9" t="str">
        <f ca="1">IFERROR(__xludf.DUMMYFUNCTION("IFERROR(VALUE(REGEXEXTRACT(TO_TEXT($F1617), S$1 &amp; ""x(\d+)"")), """")"),"")</f>
        <v/>
      </c>
      <c r="T1617" s="9" t="str">
        <f ca="1">IFERROR(__xludf.DUMMYFUNCTION("IFERROR(VALUE(REGEXEXTRACT(TO_TEXT($F1617), T$1 &amp; ""x(\d+)"")), """")"),"")</f>
        <v/>
      </c>
      <c r="U1617" s="9" t="str">
        <f ca="1">IFERROR(__xludf.DUMMYFUNCTION("IFERROR(VALUE(REGEXEXTRACT(TO_TEXT($F1617), U$1 &amp; ""x(\d+)"")), """")"),"")</f>
        <v/>
      </c>
      <c r="V1617" s="9" t="str">
        <f ca="1">IFERROR(__xludf.DUMMYFUNCTION("IFERROR(VALUE(REGEXEXTRACT(TO_TEXT($F1617), V$1 &amp; ""x(\d+)"")), """")"),"")</f>
        <v/>
      </c>
      <c r="W1617" s="9"/>
      <c r="X1617" s="9"/>
      <c r="Y1617" s="9"/>
      <c r="Z1617" s="9"/>
    </row>
    <row r="1618" spans="1:26" ht="15.75" customHeight="1">
      <c r="A1618" s="9" t="s">
        <v>2646</v>
      </c>
      <c r="B1618" s="9" t="s">
        <v>2647</v>
      </c>
      <c r="C1618" s="9" t="s">
        <v>2648</v>
      </c>
      <c r="D1618" s="9" t="s">
        <v>33</v>
      </c>
      <c r="E1618" s="9" t="s">
        <v>13</v>
      </c>
      <c r="F1618" s="9" t="s">
        <v>1058</v>
      </c>
      <c r="G1618" s="9">
        <v>15</v>
      </c>
      <c r="H1618" s="9">
        <v>4</v>
      </c>
      <c r="I1618" s="9">
        <v>1.0149999999999999</v>
      </c>
      <c r="J1618" s="9">
        <v>110</v>
      </c>
      <c r="K1618" s="9" t="s">
        <v>442</v>
      </c>
      <c r="L1618" s="9"/>
      <c r="M1618" s="9"/>
      <c r="N1618" s="9" t="str">
        <f ca="1">IFERROR(__xludf.DUMMYFUNCTION("IFERROR(VALUE(REGEXEXTRACT(TO_TEXT($F1618), N$1 &amp; ""x(\d+)"")), """")
"),"")</f>
        <v/>
      </c>
      <c r="O1618" s="9">
        <f ca="1">IFERROR(__xludf.DUMMYFUNCTION("IFERROR(VALUE(REGEXEXTRACT(TO_TEXT($F1618), O$1 &amp; ""x(\d+)"")), """")"),1)</f>
        <v>1</v>
      </c>
      <c r="P1618" s="9" t="str">
        <f ca="1">IFERROR(__xludf.DUMMYFUNCTION("IFERROR(VALUE(REGEXEXTRACT(TO_TEXT($F1618), P$1 &amp; ""x(\d+)"")), """")"),"")</f>
        <v/>
      </c>
      <c r="Q1618" s="9" t="str">
        <f ca="1">IFERROR(__xludf.DUMMYFUNCTION("IFERROR(VALUE(REGEXEXTRACT(TO_TEXT($F1618), Q$1 &amp; ""x(\d+)"")), """")"),"")</f>
        <v/>
      </c>
      <c r="R1618" s="9" t="str">
        <f ca="1">IFERROR(__xludf.DUMMYFUNCTION("IFERROR(VALUE(REGEXEXTRACT(TO_TEXT($F1618), R$1 &amp; ""x(\d+)"")), """")"),"")</f>
        <v/>
      </c>
      <c r="S1618" s="9" t="str">
        <f ca="1">IFERROR(__xludf.DUMMYFUNCTION("IFERROR(VALUE(REGEXEXTRACT(TO_TEXT($F1618), S$1 &amp; ""x(\d+)"")), """")"),"")</f>
        <v/>
      </c>
      <c r="T1618" s="9" t="str">
        <f ca="1">IFERROR(__xludf.DUMMYFUNCTION("IFERROR(VALUE(REGEXEXTRACT(TO_TEXT($F1618), T$1 &amp; ""x(\d+)"")), """")"),"")</f>
        <v/>
      </c>
      <c r="U1618" s="9" t="str">
        <f ca="1">IFERROR(__xludf.DUMMYFUNCTION("IFERROR(VALUE(REGEXEXTRACT(TO_TEXT($F1618), U$1 &amp; ""x(\d+)"")), """")"),"")</f>
        <v/>
      </c>
      <c r="V1618" s="9" t="str">
        <f ca="1">IFERROR(__xludf.DUMMYFUNCTION("IFERROR(VALUE(REGEXEXTRACT(TO_TEXT($F1618), V$1 &amp; ""x(\d+)"")), """")"),"")</f>
        <v/>
      </c>
      <c r="W1618" s="9"/>
      <c r="X1618" s="9"/>
      <c r="Y1618" s="9"/>
      <c r="Z1618" s="9"/>
    </row>
    <row r="1619" spans="1:26" ht="15.75" customHeight="1">
      <c r="A1619" s="9" t="s">
        <v>2649</v>
      </c>
      <c r="B1619" s="9" t="s">
        <v>2650</v>
      </c>
      <c r="C1619" s="9" t="s">
        <v>2651</v>
      </c>
      <c r="D1619" s="9" t="s">
        <v>48</v>
      </c>
      <c r="E1619" s="9" t="s">
        <v>11</v>
      </c>
      <c r="F1619" s="9" t="s">
        <v>2539</v>
      </c>
      <c r="G1619" s="9">
        <v>40</v>
      </c>
      <c r="H1619" s="9">
        <v>4</v>
      </c>
      <c r="I1619" s="9">
        <v>1.0149999999999999</v>
      </c>
      <c r="J1619" s="9">
        <v>52</v>
      </c>
      <c r="K1619" s="9" t="s">
        <v>424</v>
      </c>
      <c r="L1619" s="9"/>
      <c r="M1619" s="9"/>
      <c r="N1619" s="9" t="str">
        <f ca="1">IFERROR(__xludf.DUMMYFUNCTION("IFERROR(VALUE(REGEXEXTRACT(TO_TEXT($F1619), N$1 &amp; ""x(\d+)"")), """")
"),"")</f>
        <v/>
      </c>
      <c r="O1619" s="9" t="str">
        <f ca="1">IFERROR(__xludf.DUMMYFUNCTION("IFERROR(VALUE(REGEXEXTRACT(TO_TEXT($F1619), O$1 &amp; ""x(\d+)"")), """")"),"")</f>
        <v/>
      </c>
      <c r="P1619" s="9" t="str">
        <f ca="1">IFERROR(__xludf.DUMMYFUNCTION("IFERROR(VALUE(REGEXEXTRACT(TO_TEXT($F1619), P$1 &amp; ""x(\d+)"")), """")"),"")</f>
        <v/>
      </c>
      <c r="Q1619" s="9" t="str">
        <f ca="1">IFERROR(__xludf.DUMMYFUNCTION("IFERROR(VALUE(REGEXEXTRACT(TO_TEXT($F1619), Q$1 &amp; ""x(\d+)"")), """")"),"")</f>
        <v/>
      </c>
      <c r="R1619" s="9" t="str">
        <f ca="1">IFERROR(__xludf.DUMMYFUNCTION("IFERROR(VALUE(REGEXEXTRACT(TO_TEXT($F1619), R$1 &amp; ""x(\d+)"")), """")"),"")</f>
        <v/>
      </c>
      <c r="S1619" s="9" t="str">
        <f ca="1">IFERROR(__xludf.DUMMYFUNCTION("IFERROR(VALUE(REGEXEXTRACT(TO_TEXT($F1619), S$1 &amp; ""x(\d+)"")), """")"),"")</f>
        <v/>
      </c>
      <c r="T1619" s="9" t="str">
        <f ca="1">IFERROR(__xludf.DUMMYFUNCTION("IFERROR(VALUE(REGEXEXTRACT(TO_TEXT($F1619), T$1 &amp; ""x(\d+)"")), """")"),"")</f>
        <v/>
      </c>
      <c r="U1619" s="9" t="str">
        <f ca="1">IFERROR(__xludf.DUMMYFUNCTION("IFERROR(VALUE(REGEXEXTRACT(TO_TEXT($F1619), U$1 &amp; ""x(\d+)"")), """")"),"")</f>
        <v/>
      </c>
      <c r="V1619" s="9" t="str">
        <f ca="1">IFERROR(__xludf.DUMMYFUNCTION("IFERROR(VALUE(REGEXEXTRACT(TO_TEXT($F1619), V$1 &amp; ""x(\d+)"")), """")"),"")</f>
        <v/>
      </c>
      <c r="W1619" s="9"/>
      <c r="X1619" s="9"/>
      <c r="Y1619" s="9"/>
      <c r="Z1619" s="9"/>
    </row>
    <row r="1620" spans="1:26" ht="15.75" customHeight="1">
      <c r="A1620" s="9" t="s">
        <v>2649</v>
      </c>
      <c r="B1620" s="9" t="s">
        <v>2650</v>
      </c>
      <c r="C1620" s="9" t="s">
        <v>2651</v>
      </c>
      <c r="D1620" s="9" t="s">
        <v>48</v>
      </c>
      <c r="E1620" s="9" t="s">
        <v>12</v>
      </c>
      <c r="F1620" s="9" t="s">
        <v>2652</v>
      </c>
      <c r="G1620" s="9">
        <v>140</v>
      </c>
      <c r="H1620" s="9">
        <v>4</v>
      </c>
      <c r="I1620" s="9">
        <v>1.0149999999999999</v>
      </c>
      <c r="J1620" s="9">
        <v>52</v>
      </c>
      <c r="K1620" s="9" t="s">
        <v>424</v>
      </c>
      <c r="L1620" s="9" t="s">
        <v>1015</v>
      </c>
      <c r="M1620" s="9"/>
      <c r="N1620" s="9" t="str">
        <f ca="1">IFERROR(__xludf.DUMMYFUNCTION("IFERROR(VALUE(REGEXEXTRACT(TO_TEXT($F1620), N$1 &amp; ""x(\d+)"")), """")
"),"")</f>
        <v/>
      </c>
      <c r="O1620" s="9" t="str">
        <f ca="1">IFERROR(__xludf.DUMMYFUNCTION("IFERROR(VALUE(REGEXEXTRACT(TO_TEXT($F1620), O$1 &amp; ""x(\d+)"")), """")"),"")</f>
        <v/>
      </c>
      <c r="P1620" s="9">
        <f ca="1">IFERROR(__xludf.DUMMYFUNCTION("IFERROR(VALUE(REGEXEXTRACT(TO_TEXT($F1620), P$1 &amp; ""x(\d+)"")), """")"),1)</f>
        <v>1</v>
      </c>
      <c r="Q1620" s="9" t="str">
        <f ca="1">IFERROR(__xludf.DUMMYFUNCTION("IFERROR(VALUE(REGEXEXTRACT(TO_TEXT($F1620), Q$1 &amp; ""x(\d+)"")), """")"),"")</f>
        <v/>
      </c>
      <c r="R1620" s="9">
        <f ca="1">IFERROR(__xludf.DUMMYFUNCTION("IFERROR(VALUE(REGEXEXTRACT(TO_TEXT($F1620), R$1 &amp; ""x(\d+)"")), """")"),1)</f>
        <v>1</v>
      </c>
      <c r="S1620" s="9" t="str">
        <f ca="1">IFERROR(__xludf.DUMMYFUNCTION("IFERROR(VALUE(REGEXEXTRACT(TO_TEXT($F1620), S$1 &amp; ""x(\d+)"")), """")"),"")</f>
        <v/>
      </c>
      <c r="T1620" s="9" t="str">
        <f ca="1">IFERROR(__xludf.DUMMYFUNCTION("IFERROR(VALUE(REGEXEXTRACT(TO_TEXT($F1620), T$1 &amp; ""x(\d+)"")), """")"),"")</f>
        <v/>
      </c>
      <c r="U1620" s="9" t="str">
        <f ca="1">IFERROR(__xludf.DUMMYFUNCTION("IFERROR(VALUE(REGEXEXTRACT(TO_TEXT($F1620), U$1 &amp; ""x(\d+)"")), """")"),"")</f>
        <v/>
      </c>
      <c r="V1620" s="9" t="str">
        <f ca="1">IFERROR(__xludf.DUMMYFUNCTION("IFERROR(VALUE(REGEXEXTRACT(TO_TEXT($F1620), V$1 &amp; ""x(\d+)"")), """")"),"")</f>
        <v/>
      </c>
      <c r="W1620" s="9"/>
      <c r="X1620" s="9"/>
      <c r="Y1620" s="9"/>
      <c r="Z1620" s="9"/>
    </row>
    <row r="1621" spans="1:26" ht="15.75" customHeight="1">
      <c r="A1621" s="9" t="s">
        <v>2649</v>
      </c>
      <c r="B1621" s="9" t="s">
        <v>2650</v>
      </c>
      <c r="C1621" s="9" t="s">
        <v>2651</v>
      </c>
      <c r="D1621" s="9" t="s">
        <v>48</v>
      </c>
      <c r="E1621" s="9" t="s">
        <v>13</v>
      </c>
      <c r="F1621" s="9" t="s">
        <v>2653</v>
      </c>
      <c r="G1621" s="9">
        <v>30</v>
      </c>
      <c r="H1621" s="9">
        <v>4</v>
      </c>
      <c r="I1621" s="9">
        <v>1.0149999999999999</v>
      </c>
      <c r="J1621" s="9">
        <v>52</v>
      </c>
      <c r="K1621" s="9" t="s">
        <v>424</v>
      </c>
      <c r="L1621" s="9"/>
      <c r="M1621" s="9"/>
      <c r="N1621" s="9" t="str">
        <f ca="1">IFERROR(__xludf.DUMMYFUNCTION("IFERROR(VALUE(REGEXEXTRACT(TO_TEXT($F1621), N$1 &amp; ""x(\d+)"")), """")
"),"")</f>
        <v/>
      </c>
      <c r="O1621" s="9" t="str">
        <f ca="1">IFERROR(__xludf.DUMMYFUNCTION("IFERROR(VALUE(REGEXEXTRACT(TO_TEXT($F1621), O$1 &amp; ""x(\d+)"")), """")"),"")</f>
        <v/>
      </c>
      <c r="P1621" s="9">
        <f ca="1">IFERROR(__xludf.DUMMYFUNCTION("IFERROR(VALUE(REGEXEXTRACT(TO_TEXT($F1621), P$1 &amp; ""x(\d+)"")), """")"),1)</f>
        <v>1</v>
      </c>
      <c r="Q1621" s="9" t="str">
        <f ca="1">IFERROR(__xludf.DUMMYFUNCTION("IFERROR(VALUE(REGEXEXTRACT(TO_TEXT($F1621), Q$1 &amp; ""x(\d+)"")), """")"),"")</f>
        <v/>
      </c>
      <c r="R1621" s="9">
        <f ca="1">IFERROR(__xludf.DUMMYFUNCTION("IFERROR(VALUE(REGEXEXTRACT(TO_TEXT($F1621), R$1 &amp; ""x(\d+)"")), """")"),1)</f>
        <v>1</v>
      </c>
      <c r="S1621" s="9" t="str">
        <f ca="1">IFERROR(__xludf.DUMMYFUNCTION("IFERROR(VALUE(REGEXEXTRACT(TO_TEXT($F1621), S$1 &amp; ""x(\d+)"")), """")"),"")</f>
        <v/>
      </c>
      <c r="T1621" s="9" t="str">
        <f ca="1">IFERROR(__xludf.DUMMYFUNCTION("IFERROR(VALUE(REGEXEXTRACT(TO_TEXT($F1621), T$1 &amp; ""x(\d+)"")), """")"),"")</f>
        <v/>
      </c>
      <c r="U1621" s="9" t="str">
        <f ca="1">IFERROR(__xludf.DUMMYFUNCTION("IFERROR(VALUE(REGEXEXTRACT(TO_TEXT($F1621), U$1 &amp; ""x(\d+)"")), """")"),"")</f>
        <v/>
      </c>
      <c r="V1621" s="9" t="str">
        <f ca="1">IFERROR(__xludf.DUMMYFUNCTION("IFERROR(VALUE(REGEXEXTRACT(TO_TEXT($F1621), V$1 &amp; ""x(\d+)"")), """")"),"")</f>
        <v/>
      </c>
      <c r="W1621" s="9"/>
      <c r="X1621" s="9"/>
      <c r="Y1621" s="9"/>
      <c r="Z1621" s="9"/>
    </row>
    <row r="1622" spans="1:26" ht="15.75" customHeight="1">
      <c r="A1622" s="9" t="s">
        <v>2654</v>
      </c>
      <c r="B1622" s="9" t="s">
        <v>2655</v>
      </c>
      <c r="C1622" s="9" t="s">
        <v>2656</v>
      </c>
      <c r="D1622" s="9" t="s">
        <v>48</v>
      </c>
      <c r="E1622" s="9" t="s">
        <v>11</v>
      </c>
      <c r="F1622" s="9" t="s">
        <v>2657</v>
      </c>
      <c r="G1622" s="9">
        <v>100</v>
      </c>
      <c r="H1622" s="9">
        <v>3</v>
      </c>
      <c r="I1622" s="9">
        <v>1.0149999999999999</v>
      </c>
      <c r="J1622" s="9">
        <v>52</v>
      </c>
      <c r="K1622" s="9" t="s">
        <v>424</v>
      </c>
      <c r="L1622" s="9"/>
      <c r="M1622" s="9"/>
      <c r="N1622" s="9" t="str">
        <f ca="1">IFERROR(__xludf.DUMMYFUNCTION("IFERROR(VALUE(REGEXEXTRACT(TO_TEXT($F1622), N$1 &amp; ""x(\d+)"")), """")
"),"")</f>
        <v/>
      </c>
      <c r="O1622" s="9">
        <f ca="1">IFERROR(__xludf.DUMMYFUNCTION("IFERROR(VALUE(REGEXEXTRACT(TO_TEXT($F1622), O$1 &amp; ""x(\d+)"")), """")"),1)</f>
        <v>1</v>
      </c>
      <c r="P1622" s="9" t="str">
        <f ca="1">IFERROR(__xludf.DUMMYFUNCTION("IFERROR(VALUE(REGEXEXTRACT(TO_TEXT($F1622), P$1 &amp; ""x(\d+)"")), """")"),"")</f>
        <v/>
      </c>
      <c r="Q1622" s="9" t="str">
        <f ca="1">IFERROR(__xludf.DUMMYFUNCTION("IFERROR(VALUE(REGEXEXTRACT(TO_TEXT($F1622), Q$1 &amp; ""x(\d+)"")), """")"),"")</f>
        <v/>
      </c>
      <c r="R1622" s="9" t="str">
        <f ca="1">IFERROR(__xludf.DUMMYFUNCTION("IFERROR(VALUE(REGEXEXTRACT(TO_TEXT($F1622), R$1 &amp; ""x(\d+)"")), """")"),"")</f>
        <v/>
      </c>
      <c r="S1622" s="9" t="str">
        <f ca="1">IFERROR(__xludf.DUMMYFUNCTION("IFERROR(VALUE(REGEXEXTRACT(TO_TEXT($F1622), S$1 &amp; ""x(\d+)"")), """")"),"")</f>
        <v/>
      </c>
      <c r="T1622" s="9" t="str">
        <f ca="1">IFERROR(__xludf.DUMMYFUNCTION("IFERROR(VALUE(REGEXEXTRACT(TO_TEXT($F1622), T$1 &amp; ""x(\d+)"")), """")"),"")</f>
        <v/>
      </c>
      <c r="U1622" s="9" t="str">
        <f ca="1">IFERROR(__xludf.DUMMYFUNCTION("IFERROR(VALUE(REGEXEXTRACT(TO_TEXT($F1622), U$1 &amp; ""x(\d+)"")), """")"),"")</f>
        <v/>
      </c>
      <c r="V1622" s="9" t="str">
        <f ca="1">IFERROR(__xludf.DUMMYFUNCTION("IFERROR(VALUE(REGEXEXTRACT(TO_TEXT($F1622), V$1 &amp; ""x(\d+)"")), """")"),"")</f>
        <v/>
      </c>
      <c r="W1622" s="9"/>
      <c r="X1622" s="9"/>
      <c r="Y1622" s="9"/>
      <c r="Z1622" s="9"/>
    </row>
    <row r="1623" spans="1:26" ht="15.75" customHeight="1">
      <c r="A1623" s="9" t="s">
        <v>2654</v>
      </c>
      <c r="B1623" s="9" t="s">
        <v>2655</v>
      </c>
      <c r="C1623" s="9" t="s">
        <v>2656</v>
      </c>
      <c r="D1623" s="9" t="s">
        <v>48</v>
      </c>
      <c r="E1623" s="9" t="s">
        <v>12</v>
      </c>
      <c r="F1623" s="9" t="s">
        <v>2658</v>
      </c>
      <c r="G1623" s="9">
        <v>150</v>
      </c>
      <c r="H1623" s="9">
        <v>3</v>
      </c>
      <c r="I1623" s="9">
        <v>1.0149999999999999</v>
      </c>
      <c r="J1623" s="9">
        <v>52</v>
      </c>
      <c r="K1623" s="9" t="s">
        <v>424</v>
      </c>
      <c r="L1623" s="9" t="s">
        <v>1015</v>
      </c>
      <c r="M1623" s="9"/>
      <c r="N1623" s="9" t="str">
        <f ca="1">IFERROR(__xludf.DUMMYFUNCTION("IFERROR(VALUE(REGEXEXTRACT(TO_TEXT($F1623), N$1 &amp; ""x(\d+)"")), """")
"),"")</f>
        <v/>
      </c>
      <c r="O1623" s="9">
        <f ca="1">IFERROR(__xludf.DUMMYFUNCTION("IFERROR(VALUE(REGEXEXTRACT(TO_TEXT($F1623), O$1 &amp; ""x(\d+)"")), """")"),1)</f>
        <v>1</v>
      </c>
      <c r="P1623" s="9">
        <f ca="1">IFERROR(__xludf.DUMMYFUNCTION("IFERROR(VALUE(REGEXEXTRACT(TO_TEXT($F1623), P$1 &amp; ""x(\d+)"")), """")"),1)</f>
        <v>1</v>
      </c>
      <c r="Q1623" s="9" t="str">
        <f ca="1">IFERROR(__xludf.DUMMYFUNCTION("IFERROR(VALUE(REGEXEXTRACT(TO_TEXT($F1623), Q$1 &amp; ""x(\d+)"")), """")"),"")</f>
        <v/>
      </c>
      <c r="R1623" s="9" t="str">
        <f ca="1">IFERROR(__xludf.DUMMYFUNCTION("IFERROR(VALUE(REGEXEXTRACT(TO_TEXT($F1623), R$1 &amp; ""x(\d+)"")), """")"),"")</f>
        <v/>
      </c>
      <c r="S1623" s="9" t="str">
        <f ca="1">IFERROR(__xludf.DUMMYFUNCTION("IFERROR(VALUE(REGEXEXTRACT(TO_TEXT($F1623), S$1 &amp; ""x(\d+)"")), """")"),"")</f>
        <v/>
      </c>
      <c r="T1623" s="9" t="str">
        <f ca="1">IFERROR(__xludf.DUMMYFUNCTION("IFERROR(VALUE(REGEXEXTRACT(TO_TEXT($F1623), T$1 &amp; ""x(\d+)"")), """")"),"")</f>
        <v/>
      </c>
      <c r="U1623" s="9" t="str">
        <f ca="1">IFERROR(__xludf.DUMMYFUNCTION("IFERROR(VALUE(REGEXEXTRACT(TO_TEXT($F1623), U$1 &amp; ""x(\d+)"")), """")"),"")</f>
        <v/>
      </c>
      <c r="V1623" s="9" t="str">
        <f ca="1">IFERROR(__xludf.DUMMYFUNCTION("IFERROR(VALUE(REGEXEXTRACT(TO_TEXT($F1623), V$1 &amp; ""x(\d+)"")), """")"),"")</f>
        <v/>
      </c>
      <c r="W1623" s="9"/>
      <c r="X1623" s="9"/>
      <c r="Y1623" s="9"/>
      <c r="Z1623" s="9"/>
    </row>
    <row r="1624" spans="1:26" ht="15.75" customHeight="1">
      <c r="A1624" s="9" t="s">
        <v>2654</v>
      </c>
      <c r="B1624" s="9" t="s">
        <v>2655</v>
      </c>
      <c r="C1624" s="9" t="s">
        <v>2656</v>
      </c>
      <c r="D1624" s="9" t="s">
        <v>48</v>
      </c>
      <c r="E1624" s="9" t="s">
        <v>13</v>
      </c>
      <c r="F1624" s="9" t="s">
        <v>2659</v>
      </c>
      <c r="G1624" s="9">
        <v>30</v>
      </c>
      <c r="H1624" s="9">
        <v>3</v>
      </c>
      <c r="I1624" s="9">
        <v>1.0149999999999999</v>
      </c>
      <c r="J1624" s="9">
        <v>52</v>
      </c>
      <c r="K1624" s="9" t="s">
        <v>424</v>
      </c>
      <c r="L1624" s="9"/>
      <c r="M1624" s="9"/>
      <c r="N1624" s="9" t="str">
        <f ca="1">IFERROR(__xludf.DUMMYFUNCTION("IFERROR(VALUE(REGEXEXTRACT(TO_TEXT($F1624), N$1 &amp; ""x(\d+)"")), """")
"),"")</f>
        <v/>
      </c>
      <c r="O1624" s="9">
        <f ca="1">IFERROR(__xludf.DUMMYFUNCTION("IFERROR(VALUE(REGEXEXTRACT(TO_TEXT($F1624), O$1 &amp; ""x(\d+)"")), """")"),1)</f>
        <v>1</v>
      </c>
      <c r="P1624" s="9">
        <f ca="1">IFERROR(__xludf.DUMMYFUNCTION("IFERROR(VALUE(REGEXEXTRACT(TO_TEXT($F1624), P$1 &amp; ""x(\d+)"")), """")"),1)</f>
        <v>1</v>
      </c>
      <c r="Q1624" s="9" t="str">
        <f ca="1">IFERROR(__xludf.DUMMYFUNCTION("IFERROR(VALUE(REGEXEXTRACT(TO_TEXT($F1624), Q$1 &amp; ""x(\d+)"")), """")"),"")</f>
        <v/>
      </c>
      <c r="R1624" s="9" t="str">
        <f ca="1">IFERROR(__xludf.DUMMYFUNCTION("IFERROR(VALUE(REGEXEXTRACT(TO_TEXT($F1624), R$1 &amp; ""x(\d+)"")), """")"),"")</f>
        <v/>
      </c>
      <c r="S1624" s="9" t="str">
        <f ca="1">IFERROR(__xludf.DUMMYFUNCTION("IFERROR(VALUE(REGEXEXTRACT(TO_TEXT($F1624), S$1 &amp; ""x(\d+)"")), """")"),"")</f>
        <v/>
      </c>
      <c r="T1624" s="9" t="str">
        <f ca="1">IFERROR(__xludf.DUMMYFUNCTION("IFERROR(VALUE(REGEXEXTRACT(TO_TEXT($F1624), T$1 &amp; ""x(\d+)"")), """")"),"")</f>
        <v/>
      </c>
      <c r="U1624" s="9" t="str">
        <f ca="1">IFERROR(__xludf.DUMMYFUNCTION("IFERROR(VALUE(REGEXEXTRACT(TO_TEXT($F1624), U$1 &amp; ""x(\d+)"")), """")"),"")</f>
        <v/>
      </c>
      <c r="V1624" s="9" t="str">
        <f ca="1">IFERROR(__xludf.DUMMYFUNCTION("IFERROR(VALUE(REGEXEXTRACT(TO_TEXT($F1624), V$1 &amp; ""x(\d+)"")), """")"),"")</f>
        <v/>
      </c>
      <c r="W1624" s="9"/>
      <c r="X1624" s="9"/>
      <c r="Y1624" s="9"/>
      <c r="Z1624" s="9"/>
    </row>
    <row r="1625" spans="1:26" ht="15.75" customHeight="1">
      <c r="A1625" s="9" t="s">
        <v>2654</v>
      </c>
      <c r="B1625" s="9" t="s">
        <v>2655</v>
      </c>
      <c r="C1625" s="9" t="s">
        <v>2656</v>
      </c>
      <c r="D1625" s="9" t="s">
        <v>74</v>
      </c>
      <c r="E1625" s="9" t="s">
        <v>11</v>
      </c>
      <c r="F1625" s="9" t="s">
        <v>1368</v>
      </c>
      <c r="G1625" s="9">
        <v>135</v>
      </c>
      <c r="H1625" s="9">
        <v>2</v>
      </c>
      <c r="I1625" s="9">
        <v>1.0149999999999999</v>
      </c>
      <c r="J1625" s="9">
        <v>103</v>
      </c>
      <c r="K1625" s="9" t="s">
        <v>424</v>
      </c>
      <c r="L1625" s="9"/>
      <c r="M1625" s="9"/>
      <c r="N1625" s="9" t="str">
        <f ca="1">IFERROR(__xludf.DUMMYFUNCTION("IFERROR(VALUE(REGEXEXTRACT(TO_TEXT($F1625), N$1 &amp; ""x(\d+)"")), """")
"),"")</f>
        <v/>
      </c>
      <c r="O1625" s="9">
        <f ca="1">IFERROR(__xludf.DUMMYFUNCTION("IFERROR(VALUE(REGEXEXTRACT(TO_TEXT($F1625), O$1 &amp; ""x(\d+)"")), """")"),1)</f>
        <v>1</v>
      </c>
      <c r="P1625" s="9" t="str">
        <f ca="1">IFERROR(__xludf.DUMMYFUNCTION("IFERROR(VALUE(REGEXEXTRACT(TO_TEXT($F1625), P$1 &amp; ""x(\d+)"")), """")"),"")</f>
        <v/>
      </c>
      <c r="Q1625" s="9" t="str">
        <f ca="1">IFERROR(__xludf.DUMMYFUNCTION("IFERROR(VALUE(REGEXEXTRACT(TO_TEXT($F1625), Q$1 &amp; ""x(\d+)"")), """")"),"")</f>
        <v/>
      </c>
      <c r="R1625" s="9" t="str">
        <f ca="1">IFERROR(__xludf.DUMMYFUNCTION("IFERROR(VALUE(REGEXEXTRACT(TO_TEXT($F1625), R$1 &amp; ""x(\d+)"")), """")"),"")</f>
        <v/>
      </c>
      <c r="S1625" s="9" t="str">
        <f ca="1">IFERROR(__xludf.DUMMYFUNCTION("IFERROR(VALUE(REGEXEXTRACT(TO_TEXT($F1625), S$1 &amp; ""x(\d+)"")), """")"),"")</f>
        <v/>
      </c>
      <c r="T1625" s="9" t="str">
        <f ca="1">IFERROR(__xludf.DUMMYFUNCTION("IFERROR(VALUE(REGEXEXTRACT(TO_TEXT($F1625), T$1 &amp; ""x(\d+)"")), """")"),"")</f>
        <v/>
      </c>
      <c r="U1625" s="9" t="str">
        <f ca="1">IFERROR(__xludf.DUMMYFUNCTION("IFERROR(VALUE(REGEXEXTRACT(TO_TEXT($F1625), U$1 &amp; ""x(\d+)"")), """")"),"")</f>
        <v/>
      </c>
      <c r="V1625" s="9" t="str">
        <f ca="1">IFERROR(__xludf.DUMMYFUNCTION("IFERROR(VALUE(REGEXEXTRACT(TO_TEXT($F1625), V$1 &amp; ""x(\d+)"")), """")"),"")</f>
        <v/>
      </c>
      <c r="W1625" s="9"/>
      <c r="X1625" s="9"/>
      <c r="Y1625" s="9"/>
      <c r="Z1625" s="9"/>
    </row>
    <row r="1626" spans="1:26" ht="15.75" customHeight="1">
      <c r="A1626" s="9" t="s">
        <v>2654</v>
      </c>
      <c r="B1626" s="9" t="s">
        <v>2655</v>
      </c>
      <c r="C1626" s="9" t="s">
        <v>2656</v>
      </c>
      <c r="D1626" s="9" t="s">
        <v>74</v>
      </c>
      <c r="E1626" s="9" t="s">
        <v>12</v>
      </c>
      <c r="F1626" s="9" t="s">
        <v>1595</v>
      </c>
      <c r="G1626" s="9">
        <v>200</v>
      </c>
      <c r="H1626" s="9">
        <v>2</v>
      </c>
      <c r="I1626" s="9">
        <v>1.0149999999999999</v>
      </c>
      <c r="J1626" s="9">
        <v>103</v>
      </c>
      <c r="K1626" s="9" t="s">
        <v>424</v>
      </c>
      <c r="L1626" s="9" t="s">
        <v>1015</v>
      </c>
      <c r="M1626" s="9"/>
      <c r="N1626" s="9" t="str">
        <f ca="1">IFERROR(__xludf.DUMMYFUNCTION("IFERROR(VALUE(REGEXEXTRACT(TO_TEXT($F1626), N$1 &amp; ""x(\d+)"")), """")
"),"")</f>
        <v/>
      </c>
      <c r="O1626" s="9">
        <f ca="1">IFERROR(__xludf.DUMMYFUNCTION("IFERROR(VALUE(REGEXEXTRACT(TO_TEXT($F1626), O$1 &amp; ""x(\d+)"")), """")"),1)</f>
        <v>1</v>
      </c>
      <c r="P1626" s="9" t="str">
        <f ca="1">IFERROR(__xludf.DUMMYFUNCTION("IFERROR(VALUE(REGEXEXTRACT(TO_TEXT($F1626), P$1 &amp; ""x(\d+)"")), """")"),"")</f>
        <v/>
      </c>
      <c r="Q1626" s="9">
        <f ca="1">IFERROR(__xludf.DUMMYFUNCTION("IFERROR(VALUE(REGEXEXTRACT(TO_TEXT($F1626), Q$1 &amp; ""x(\d+)"")), """")"),1)</f>
        <v>1</v>
      </c>
      <c r="R1626" s="9" t="str">
        <f ca="1">IFERROR(__xludf.DUMMYFUNCTION("IFERROR(VALUE(REGEXEXTRACT(TO_TEXT($F1626), R$1 &amp; ""x(\d+)"")), """")"),"")</f>
        <v/>
      </c>
      <c r="S1626" s="9" t="str">
        <f ca="1">IFERROR(__xludf.DUMMYFUNCTION("IFERROR(VALUE(REGEXEXTRACT(TO_TEXT($F1626), S$1 &amp; ""x(\d+)"")), """")"),"")</f>
        <v/>
      </c>
      <c r="T1626" s="9" t="str">
        <f ca="1">IFERROR(__xludf.DUMMYFUNCTION("IFERROR(VALUE(REGEXEXTRACT(TO_TEXT($F1626), T$1 &amp; ""x(\d+)"")), """")"),"")</f>
        <v/>
      </c>
      <c r="U1626" s="9" t="str">
        <f ca="1">IFERROR(__xludf.DUMMYFUNCTION("IFERROR(VALUE(REGEXEXTRACT(TO_TEXT($F1626), U$1 &amp; ""x(\d+)"")), """")"),"")</f>
        <v/>
      </c>
      <c r="V1626" s="9" t="str">
        <f ca="1">IFERROR(__xludf.DUMMYFUNCTION("IFERROR(VALUE(REGEXEXTRACT(TO_TEXT($F1626), V$1 &amp; ""x(\d+)"")), """")"),"")</f>
        <v/>
      </c>
      <c r="W1626" s="9"/>
      <c r="X1626" s="9"/>
      <c r="Y1626" s="9"/>
      <c r="Z1626" s="9"/>
    </row>
    <row r="1627" spans="1:26" ht="15.75" customHeight="1">
      <c r="A1627" s="9" t="s">
        <v>2654</v>
      </c>
      <c r="B1627" s="9" t="s">
        <v>2655</v>
      </c>
      <c r="C1627" s="9" t="s">
        <v>2656</v>
      </c>
      <c r="D1627" s="9" t="s">
        <v>74</v>
      </c>
      <c r="E1627" s="9" t="s">
        <v>13</v>
      </c>
      <c r="F1627" s="9" t="s">
        <v>1596</v>
      </c>
      <c r="G1627" s="9">
        <v>40</v>
      </c>
      <c r="H1627" s="9">
        <v>2</v>
      </c>
      <c r="I1627" s="9">
        <v>1.0149999999999999</v>
      </c>
      <c r="J1627" s="9">
        <v>103</v>
      </c>
      <c r="K1627" s="9" t="s">
        <v>424</v>
      </c>
      <c r="L1627" s="9"/>
      <c r="M1627" s="9"/>
      <c r="N1627" s="9" t="str">
        <f ca="1">IFERROR(__xludf.DUMMYFUNCTION("IFERROR(VALUE(REGEXEXTRACT(TO_TEXT($F1627), N$1 &amp; ""x(\d+)"")), """")
"),"")</f>
        <v/>
      </c>
      <c r="O1627" s="9">
        <f ca="1">IFERROR(__xludf.DUMMYFUNCTION("IFERROR(VALUE(REGEXEXTRACT(TO_TEXT($F1627), O$1 &amp; ""x(\d+)"")), """")"),1)</f>
        <v>1</v>
      </c>
      <c r="P1627" s="9" t="str">
        <f ca="1">IFERROR(__xludf.DUMMYFUNCTION("IFERROR(VALUE(REGEXEXTRACT(TO_TEXT($F1627), P$1 &amp; ""x(\d+)"")), """")"),"")</f>
        <v/>
      </c>
      <c r="Q1627" s="9">
        <f ca="1">IFERROR(__xludf.DUMMYFUNCTION("IFERROR(VALUE(REGEXEXTRACT(TO_TEXT($F1627), Q$1 &amp; ""x(\d+)"")), """")"),1)</f>
        <v>1</v>
      </c>
      <c r="R1627" s="9" t="str">
        <f ca="1">IFERROR(__xludf.DUMMYFUNCTION("IFERROR(VALUE(REGEXEXTRACT(TO_TEXT($F1627), R$1 &amp; ""x(\d+)"")), """")"),"")</f>
        <v/>
      </c>
      <c r="S1627" s="9" t="str">
        <f ca="1">IFERROR(__xludf.DUMMYFUNCTION("IFERROR(VALUE(REGEXEXTRACT(TO_TEXT($F1627), S$1 &amp; ""x(\d+)"")), """")"),"")</f>
        <v/>
      </c>
      <c r="T1627" s="9" t="str">
        <f ca="1">IFERROR(__xludf.DUMMYFUNCTION("IFERROR(VALUE(REGEXEXTRACT(TO_TEXT($F1627), T$1 &amp; ""x(\d+)"")), """")"),"")</f>
        <v/>
      </c>
      <c r="U1627" s="9" t="str">
        <f ca="1">IFERROR(__xludf.DUMMYFUNCTION("IFERROR(VALUE(REGEXEXTRACT(TO_TEXT($F1627), U$1 &amp; ""x(\d+)"")), """")"),"")</f>
        <v/>
      </c>
      <c r="V1627" s="9" t="str">
        <f ca="1">IFERROR(__xludf.DUMMYFUNCTION("IFERROR(VALUE(REGEXEXTRACT(TO_TEXT($F1627), V$1 &amp; ""x(\d+)"")), """")"),"")</f>
        <v/>
      </c>
      <c r="W1627" s="9"/>
      <c r="X1627" s="9"/>
      <c r="Y1627" s="9"/>
      <c r="Z1627" s="9"/>
    </row>
    <row r="1628" spans="1:26" ht="15.75" customHeight="1">
      <c r="A1628" s="9" t="s">
        <v>2660</v>
      </c>
      <c r="B1628" s="9" t="s">
        <v>2661</v>
      </c>
      <c r="C1628" s="9" t="s">
        <v>697</v>
      </c>
      <c r="D1628" s="9" t="s">
        <v>40</v>
      </c>
      <c r="E1628" s="9" t="s">
        <v>11</v>
      </c>
      <c r="F1628" s="9" t="s">
        <v>2662</v>
      </c>
      <c r="G1628" s="9">
        <v>30</v>
      </c>
      <c r="H1628" s="9">
        <v>4</v>
      </c>
      <c r="I1628" s="9">
        <v>1.0149999999999999</v>
      </c>
      <c r="J1628" s="9">
        <v>400</v>
      </c>
      <c r="K1628" s="9" t="s">
        <v>442</v>
      </c>
      <c r="L1628" s="9"/>
      <c r="M1628" s="9"/>
      <c r="N1628" s="9" t="str">
        <f ca="1">IFERROR(__xludf.DUMMYFUNCTION("IFERROR(VALUE(REGEXEXTRACT(TO_TEXT($F1628), N$1 &amp; ""x(\d+)"")), """")
"),"")</f>
        <v/>
      </c>
      <c r="O1628" s="9" t="str">
        <f ca="1">IFERROR(__xludf.DUMMYFUNCTION("IFERROR(VALUE(REGEXEXTRACT(TO_TEXT($F1628), O$1 &amp; ""x(\d+)"")), """")"),"")</f>
        <v/>
      </c>
      <c r="P1628" s="9" t="str">
        <f ca="1">IFERROR(__xludf.DUMMYFUNCTION("IFERROR(VALUE(REGEXEXTRACT(TO_TEXT($F1628), P$1 &amp; ""x(\d+)"")), """")"),"")</f>
        <v/>
      </c>
      <c r="Q1628" s="9" t="str">
        <f ca="1">IFERROR(__xludf.DUMMYFUNCTION("IFERROR(VALUE(REGEXEXTRACT(TO_TEXT($F1628), Q$1 &amp; ""x(\d+)"")), """")"),"")</f>
        <v/>
      </c>
      <c r="R1628" s="9" t="str">
        <f ca="1">IFERROR(__xludf.DUMMYFUNCTION("IFERROR(VALUE(REGEXEXTRACT(TO_TEXT($F1628), R$1 &amp; ""x(\d+)"")), """")"),"")</f>
        <v/>
      </c>
      <c r="S1628" s="9" t="str">
        <f ca="1">IFERROR(__xludf.DUMMYFUNCTION("IFERROR(VALUE(REGEXEXTRACT(TO_TEXT($F1628), S$1 &amp; ""x(\d+)"")), """")"),"")</f>
        <v/>
      </c>
      <c r="T1628" s="9" t="str">
        <f ca="1">IFERROR(__xludf.DUMMYFUNCTION("IFERROR(VALUE(REGEXEXTRACT(TO_TEXT($F1628), T$1 &amp; ""x(\d+)"")), """")"),"")</f>
        <v/>
      </c>
      <c r="U1628" s="9" t="str">
        <f ca="1">IFERROR(__xludf.DUMMYFUNCTION("IFERROR(VALUE(REGEXEXTRACT(TO_TEXT($F1628), U$1 &amp; ""x(\d+)"")), """")"),"")</f>
        <v/>
      </c>
      <c r="V1628" s="9" t="str">
        <f ca="1">IFERROR(__xludf.DUMMYFUNCTION("IFERROR(VALUE(REGEXEXTRACT(TO_TEXT($F1628), V$1 &amp; ""x(\d+)"")), """")"),"")</f>
        <v/>
      </c>
      <c r="W1628" s="9"/>
      <c r="X1628" s="9"/>
      <c r="Y1628" s="9"/>
      <c r="Z1628" s="9"/>
    </row>
    <row r="1629" spans="1:26" ht="15.75" customHeight="1">
      <c r="A1629" s="9" t="s">
        <v>2660</v>
      </c>
      <c r="B1629" s="9" t="s">
        <v>2661</v>
      </c>
      <c r="C1629" s="9" t="s">
        <v>697</v>
      </c>
      <c r="D1629" s="9" t="s">
        <v>40</v>
      </c>
      <c r="E1629" s="9" t="s">
        <v>12</v>
      </c>
      <c r="F1629" s="9" t="s">
        <v>2663</v>
      </c>
      <c r="G1629" s="9">
        <v>120</v>
      </c>
      <c r="H1629" s="9">
        <v>4</v>
      </c>
      <c r="I1629" s="9">
        <v>1.0149999999999999</v>
      </c>
      <c r="J1629" s="9">
        <v>400</v>
      </c>
      <c r="K1629" s="9" t="s">
        <v>442</v>
      </c>
      <c r="L1629" s="9" t="s">
        <v>1035</v>
      </c>
      <c r="M1629" s="9"/>
      <c r="N1629" s="9">
        <f ca="1">IFERROR(__xludf.DUMMYFUNCTION("IFERROR(VALUE(REGEXEXTRACT(TO_TEXT($F1629), N$1 &amp; ""x(\d+)"")), """")
"),1)</f>
        <v>1</v>
      </c>
      <c r="O1629" s="9">
        <f ca="1">IFERROR(__xludf.DUMMYFUNCTION("IFERROR(VALUE(REGEXEXTRACT(TO_TEXT($F1629), O$1 &amp; ""x(\d+)"")), """")"),1)</f>
        <v>1</v>
      </c>
      <c r="P1629" s="9" t="str">
        <f ca="1">IFERROR(__xludf.DUMMYFUNCTION("IFERROR(VALUE(REGEXEXTRACT(TO_TEXT($F1629), P$1 &amp; ""x(\d+)"")), """")"),"")</f>
        <v/>
      </c>
      <c r="Q1629" s="9" t="str">
        <f ca="1">IFERROR(__xludf.DUMMYFUNCTION("IFERROR(VALUE(REGEXEXTRACT(TO_TEXT($F1629), Q$1 &amp; ""x(\d+)"")), """")"),"")</f>
        <v/>
      </c>
      <c r="R1629" s="9" t="str">
        <f ca="1">IFERROR(__xludf.DUMMYFUNCTION("IFERROR(VALUE(REGEXEXTRACT(TO_TEXT($F1629), R$1 &amp; ""x(\d+)"")), """")"),"")</f>
        <v/>
      </c>
      <c r="S1629" s="9">
        <f ca="1">IFERROR(__xludf.DUMMYFUNCTION("IFERROR(VALUE(REGEXEXTRACT(TO_TEXT($F1629), S$1 &amp; ""x(\d+)"")), """")"),1)</f>
        <v>1</v>
      </c>
      <c r="T1629" s="9" t="str">
        <f ca="1">IFERROR(__xludf.DUMMYFUNCTION("IFERROR(VALUE(REGEXEXTRACT(TO_TEXT($F1629), T$1 &amp; ""x(\d+)"")), """")"),"")</f>
        <v/>
      </c>
      <c r="U1629" s="9" t="str">
        <f ca="1">IFERROR(__xludf.DUMMYFUNCTION("IFERROR(VALUE(REGEXEXTRACT(TO_TEXT($F1629), U$1 &amp; ""x(\d+)"")), """")"),"")</f>
        <v/>
      </c>
      <c r="V1629" s="9" t="str">
        <f ca="1">IFERROR(__xludf.DUMMYFUNCTION("IFERROR(VALUE(REGEXEXTRACT(TO_TEXT($F1629), V$1 &amp; ""x(\d+)"")), """")"),"")</f>
        <v/>
      </c>
      <c r="W1629" s="9"/>
      <c r="X1629" s="9"/>
      <c r="Y1629" s="9"/>
      <c r="Z1629" s="9"/>
    </row>
    <row r="1630" spans="1:26" ht="15.75" customHeight="1">
      <c r="A1630" s="9" t="s">
        <v>2660</v>
      </c>
      <c r="B1630" s="9" t="s">
        <v>2661</v>
      </c>
      <c r="C1630" s="9" t="s">
        <v>697</v>
      </c>
      <c r="D1630" s="9" t="s">
        <v>40</v>
      </c>
      <c r="E1630" s="9" t="s">
        <v>13</v>
      </c>
      <c r="F1630" s="9" t="s">
        <v>2664</v>
      </c>
      <c r="G1630" s="9">
        <v>30</v>
      </c>
      <c r="H1630" s="9">
        <v>4</v>
      </c>
      <c r="I1630" s="9">
        <v>1.0149999999999999</v>
      </c>
      <c r="J1630" s="9">
        <v>400</v>
      </c>
      <c r="K1630" s="9" t="s">
        <v>442</v>
      </c>
      <c r="L1630" s="9"/>
      <c r="M1630" s="9"/>
      <c r="N1630" s="9">
        <f ca="1">IFERROR(__xludf.DUMMYFUNCTION("IFERROR(VALUE(REGEXEXTRACT(TO_TEXT($F1630), N$1 &amp; ""x(\d+)"")), """")
"),1)</f>
        <v>1</v>
      </c>
      <c r="O1630" s="9">
        <f ca="1">IFERROR(__xludf.DUMMYFUNCTION("IFERROR(VALUE(REGEXEXTRACT(TO_TEXT($F1630), O$1 &amp; ""x(\d+)"")), """")"),1)</f>
        <v>1</v>
      </c>
      <c r="P1630" s="9" t="str">
        <f ca="1">IFERROR(__xludf.DUMMYFUNCTION("IFERROR(VALUE(REGEXEXTRACT(TO_TEXT($F1630), P$1 &amp; ""x(\d+)"")), """")"),"")</f>
        <v/>
      </c>
      <c r="Q1630" s="9" t="str">
        <f ca="1">IFERROR(__xludf.DUMMYFUNCTION("IFERROR(VALUE(REGEXEXTRACT(TO_TEXT($F1630), Q$1 &amp; ""x(\d+)"")), """")"),"")</f>
        <v/>
      </c>
      <c r="R1630" s="9" t="str">
        <f ca="1">IFERROR(__xludf.DUMMYFUNCTION("IFERROR(VALUE(REGEXEXTRACT(TO_TEXT($F1630), R$1 &amp; ""x(\d+)"")), """")"),"")</f>
        <v/>
      </c>
      <c r="S1630" s="9">
        <f ca="1">IFERROR(__xludf.DUMMYFUNCTION("IFERROR(VALUE(REGEXEXTRACT(TO_TEXT($F1630), S$1 &amp; ""x(\d+)"")), """")"),1)</f>
        <v>1</v>
      </c>
      <c r="T1630" s="9" t="str">
        <f ca="1">IFERROR(__xludf.DUMMYFUNCTION("IFERROR(VALUE(REGEXEXTRACT(TO_TEXT($F1630), T$1 &amp; ""x(\d+)"")), """")"),"")</f>
        <v/>
      </c>
      <c r="U1630" s="9" t="str">
        <f ca="1">IFERROR(__xludf.DUMMYFUNCTION("IFERROR(VALUE(REGEXEXTRACT(TO_TEXT($F1630), U$1 &amp; ""x(\d+)"")), """")"),"")</f>
        <v/>
      </c>
      <c r="V1630" s="9" t="str">
        <f ca="1">IFERROR(__xludf.DUMMYFUNCTION("IFERROR(VALUE(REGEXEXTRACT(TO_TEXT($F1630), V$1 &amp; ""x(\d+)"")), """")"),"")</f>
        <v/>
      </c>
      <c r="W1630" s="9"/>
      <c r="X1630" s="9"/>
      <c r="Y1630" s="9"/>
      <c r="Z1630" s="9"/>
    </row>
    <row r="1631" spans="1:26" ht="15.75" customHeight="1">
      <c r="A1631" s="9" t="s">
        <v>2665</v>
      </c>
      <c r="B1631" s="9" t="s">
        <v>2666</v>
      </c>
      <c r="C1631" s="9" t="s">
        <v>703</v>
      </c>
      <c r="D1631" s="9" t="s">
        <v>48</v>
      </c>
      <c r="E1631" s="9" t="s">
        <v>11</v>
      </c>
      <c r="F1631" s="9" t="s">
        <v>1477</v>
      </c>
      <c r="G1631" s="9">
        <v>20</v>
      </c>
      <c r="H1631" s="9">
        <v>3</v>
      </c>
      <c r="I1631" s="9">
        <v>1.0149999999999999</v>
      </c>
      <c r="J1631" s="9">
        <v>52</v>
      </c>
      <c r="K1631" s="9" t="s">
        <v>424</v>
      </c>
      <c r="L1631" s="9"/>
      <c r="M1631" s="9"/>
      <c r="N1631" s="9" t="str">
        <f ca="1">IFERROR(__xludf.DUMMYFUNCTION("IFERROR(VALUE(REGEXEXTRACT(TO_TEXT($F1631), N$1 &amp; ""x(\d+)"")), """")
"),"")</f>
        <v/>
      </c>
      <c r="O1631" s="9" t="str">
        <f ca="1">IFERROR(__xludf.DUMMYFUNCTION("IFERROR(VALUE(REGEXEXTRACT(TO_TEXT($F1631), O$1 &amp; ""x(\d+)"")), """")"),"")</f>
        <v/>
      </c>
      <c r="P1631" s="9" t="str">
        <f ca="1">IFERROR(__xludf.DUMMYFUNCTION("IFERROR(VALUE(REGEXEXTRACT(TO_TEXT($F1631), P$1 &amp; ""x(\d+)"")), """")"),"")</f>
        <v/>
      </c>
      <c r="Q1631" s="9" t="str">
        <f ca="1">IFERROR(__xludf.DUMMYFUNCTION("IFERROR(VALUE(REGEXEXTRACT(TO_TEXT($F1631), Q$1 &amp; ""x(\d+)"")), """")"),"")</f>
        <v/>
      </c>
      <c r="R1631" s="9" t="str">
        <f ca="1">IFERROR(__xludf.DUMMYFUNCTION("IFERROR(VALUE(REGEXEXTRACT(TO_TEXT($F1631), R$1 &amp; ""x(\d+)"")), """")"),"")</f>
        <v/>
      </c>
      <c r="S1631" s="9" t="str">
        <f ca="1">IFERROR(__xludf.DUMMYFUNCTION("IFERROR(VALUE(REGEXEXTRACT(TO_TEXT($F1631), S$1 &amp; ""x(\d+)"")), """")"),"")</f>
        <v/>
      </c>
      <c r="T1631" s="9" t="str">
        <f ca="1">IFERROR(__xludf.DUMMYFUNCTION("IFERROR(VALUE(REGEXEXTRACT(TO_TEXT($F1631), T$1 &amp; ""x(\d+)"")), """")"),"")</f>
        <v/>
      </c>
      <c r="U1631" s="9" t="str">
        <f ca="1">IFERROR(__xludf.DUMMYFUNCTION("IFERROR(VALUE(REGEXEXTRACT(TO_TEXT($F1631), U$1 &amp; ""x(\d+)"")), """")"),"")</f>
        <v/>
      </c>
      <c r="V1631" s="9" t="str">
        <f ca="1">IFERROR(__xludf.DUMMYFUNCTION("IFERROR(VALUE(REGEXEXTRACT(TO_TEXT($F1631), V$1 &amp; ""x(\d+)"")), """")"),"")</f>
        <v/>
      </c>
      <c r="W1631" s="9"/>
      <c r="X1631" s="9"/>
      <c r="Y1631" s="9"/>
      <c r="Z1631" s="9"/>
    </row>
    <row r="1632" spans="1:26" ht="15.75" customHeight="1">
      <c r="A1632" s="9" t="s">
        <v>2665</v>
      </c>
      <c r="B1632" s="9" t="s">
        <v>2666</v>
      </c>
      <c r="C1632" s="9" t="s">
        <v>703</v>
      </c>
      <c r="D1632" s="9" t="s">
        <v>48</v>
      </c>
      <c r="E1632" s="9" t="s">
        <v>12</v>
      </c>
      <c r="F1632" s="9" t="s">
        <v>1478</v>
      </c>
      <c r="G1632" s="9">
        <v>140</v>
      </c>
      <c r="H1632" s="9">
        <v>3</v>
      </c>
      <c r="I1632" s="9">
        <v>1.0149999999999999</v>
      </c>
      <c r="J1632" s="9">
        <v>52</v>
      </c>
      <c r="K1632" s="9" t="s">
        <v>424</v>
      </c>
      <c r="L1632" s="9" t="s">
        <v>1062</v>
      </c>
      <c r="M1632" s="9"/>
      <c r="N1632" s="9" t="str">
        <f ca="1">IFERROR(__xludf.DUMMYFUNCTION("IFERROR(VALUE(REGEXEXTRACT(TO_TEXT($F1632), N$1 &amp; ""x(\d+)"")), """")
"),"")</f>
        <v/>
      </c>
      <c r="O1632" s="9" t="str">
        <f ca="1">IFERROR(__xludf.DUMMYFUNCTION("IFERROR(VALUE(REGEXEXTRACT(TO_TEXT($F1632), O$1 &amp; ""x(\d+)"")), """")"),"")</f>
        <v/>
      </c>
      <c r="P1632" s="9">
        <f ca="1">IFERROR(__xludf.DUMMYFUNCTION("IFERROR(VALUE(REGEXEXTRACT(TO_TEXT($F1632), P$1 &amp; ""x(\d+)"")), """")"),1)</f>
        <v>1</v>
      </c>
      <c r="Q1632" s="9" t="str">
        <f ca="1">IFERROR(__xludf.DUMMYFUNCTION("IFERROR(VALUE(REGEXEXTRACT(TO_TEXT($F1632), Q$1 &amp; ""x(\d+)"")), """")"),"")</f>
        <v/>
      </c>
      <c r="R1632" s="9" t="str">
        <f ca="1">IFERROR(__xludf.DUMMYFUNCTION("IFERROR(VALUE(REGEXEXTRACT(TO_TEXT($F1632), R$1 &amp; ""x(\d+)"")), """")"),"")</f>
        <v/>
      </c>
      <c r="S1632" s="9" t="str">
        <f ca="1">IFERROR(__xludf.DUMMYFUNCTION("IFERROR(VALUE(REGEXEXTRACT(TO_TEXT($F1632), S$1 &amp; ""x(\d+)"")), """")"),"")</f>
        <v/>
      </c>
      <c r="T1632" s="9" t="str">
        <f ca="1">IFERROR(__xludf.DUMMYFUNCTION("IFERROR(VALUE(REGEXEXTRACT(TO_TEXT($F1632), T$1 &amp; ""x(\d+)"")), """")"),"")</f>
        <v/>
      </c>
      <c r="U1632" s="9" t="str">
        <f ca="1">IFERROR(__xludf.DUMMYFUNCTION("IFERROR(VALUE(REGEXEXTRACT(TO_TEXT($F1632), U$1 &amp; ""x(\d+)"")), """")"),"")</f>
        <v/>
      </c>
      <c r="V1632" s="9" t="str">
        <f ca="1">IFERROR(__xludf.DUMMYFUNCTION("IFERROR(VALUE(REGEXEXTRACT(TO_TEXT($F1632), V$1 &amp; ""x(\d+)"")), """")"),"")</f>
        <v/>
      </c>
      <c r="W1632" s="9"/>
      <c r="X1632" s="9"/>
      <c r="Y1632" s="9"/>
      <c r="Z1632" s="9"/>
    </row>
    <row r="1633" spans="1:26" ht="15.75" customHeight="1">
      <c r="A1633" s="9" t="s">
        <v>2665</v>
      </c>
      <c r="B1633" s="9" t="s">
        <v>2666</v>
      </c>
      <c r="C1633" s="9" t="s">
        <v>703</v>
      </c>
      <c r="D1633" s="9" t="s">
        <v>48</v>
      </c>
      <c r="E1633" s="9" t="s">
        <v>13</v>
      </c>
      <c r="F1633" s="9" t="s">
        <v>1206</v>
      </c>
      <c r="G1633" s="9">
        <v>30</v>
      </c>
      <c r="H1633" s="9">
        <v>3</v>
      </c>
      <c r="I1633" s="9">
        <v>1.0149999999999999</v>
      </c>
      <c r="J1633" s="9">
        <v>52</v>
      </c>
      <c r="K1633" s="9" t="s">
        <v>424</v>
      </c>
      <c r="L1633" s="9"/>
      <c r="M1633" s="9"/>
      <c r="N1633" s="9" t="str">
        <f ca="1">IFERROR(__xludf.DUMMYFUNCTION("IFERROR(VALUE(REGEXEXTRACT(TO_TEXT($F1633), N$1 &amp; ""x(\d+)"")), """")
"),"")</f>
        <v/>
      </c>
      <c r="O1633" s="9" t="str">
        <f ca="1">IFERROR(__xludf.DUMMYFUNCTION("IFERROR(VALUE(REGEXEXTRACT(TO_TEXT($F1633), O$1 &amp; ""x(\d+)"")), """")"),"")</f>
        <v/>
      </c>
      <c r="P1633" s="9">
        <f ca="1">IFERROR(__xludf.DUMMYFUNCTION("IFERROR(VALUE(REGEXEXTRACT(TO_TEXT($F1633), P$1 &amp; ""x(\d+)"")), """")"),1)</f>
        <v>1</v>
      </c>
      <c r="Q1633" s="9" t="str">
        <f ca="1">IFERROR(__xludf.DUMMYFUNCTION("IFERROR(VALUE(REGEXEXTRACT(TO_TEXT($F1633), Q$1 &amp; ""x(\d+)"")), """")"),"")</f>
        <v/>
      </c>
      <c r="R1633" s="9" t="str">
        <f ca="1">IFERROR(__xludf.DUMMYFUNCTION("IFERROR(VALUE(REGEXEXTRACT(TO_TEXT($F1633), R$1 &amp; ""x(\d+)"")), """")"),"")</f>
        <v/>
      </c>
      <c r="S1633" s="9" t="str">
        <f ca="1">IFERROR(__xludf.DUMMYFUNCTION("IFERROR(VALUE(REGEXEXTRACT(TO_TEXT($F1633), S$1 &amp; ""x(\d+)"")), """")"),"")</f>
        <v/>
      </c>
      <c r="T1633" s="9" t="str">
        <f ca="1">IFERROR(__xludf.DUMMYFUNCTION("IFERROR(VALUE(REGEXEXTRACT(TO_TEXT($F1633), T$1 &amp; ""x(\d+)"")), """")"),"")</f>
        <v/>
      </c>
      <c r="U1633" s="9" t="str">
        <f ca="1">IFERROR(__xludf.DUMMYFUNCTION("IFERROR(VALUE(REGEXEXTRACT(TO_TEXT($F1633), U$1 &amp; ""x(\d+)"")), """")"),"")</f>
        <v/>
      </c>
      <c r="V1633" s="9" t="str">
        <f ca="1">IFERROR(__xludf.DUMMYFUNCTION("IFERROR(VALUE(REGEXEXTRACT(TO_TEXT($F1633), V$1 &amp; ""x(\d+)"")), """")"),"")</f>
        <v/>
      </c>
      <c r="W1633" s="9"/>
      <c r="X1633" s="9"/>
      <c r="Y1633" s="9"/>
      <c r="Z1633" s="9"/>
    </row>
    <row r="1634" spans="1:26" ht="15.75" customHeight="1">
      <c r="A1634" s="9" t="s">
        <v>2665</v>
      </c>
      <c r="B1634" s="9" t="s">
        <v>2666</v>
      </c>
      <c r="C1634" s="9" t="s">
        <v>703</v>
      </c>
      <c r="D1634" s="9" t="s">
        <v>74</v>
      </c>
      <c r="E1634" s="9" t="s">
        <v>11</v>
      </c>
      <c r="F1634" s="9" t="s">
        <v>1477</v>
      </c>
      <c r="G1634" s="9">
        <v>20</v>
      </c>
      <c r="H1634" s="9">
        <v>2</v>
      </c>
      <c r="I1634" s="9">
        <v>1.0149999999999999</v>
      </c>
      <c r="J1634" s="9">
        <v>103</v>
      </c>
      <c r="K1634" s="9" t="s">
        <v>424</v>
      </c>
      <c r="L1634" s="9"/>
      <c r="M1634" s="9"/>
      <c r="N1634" s="9" t="str">
        <f ca="1">IFERROR(__xludf.DUMMYFUNCTION("IFERROR(VALUE(REGEXEXTRACT(TO_TEXT($F1634), N$1 &amp; ""x(\d+)"")), """")
"),"")</f>
        <v/>
      </c>
      <c r="O1634" s="9" t="str">
        <f ca="1">IFERROR(__xludf.DUMMYFUNCTION("IFERROR(VALUE(REGEXEXTRACT(TO_TEXT($F1634), O$1 &amp; ""x(\d+)"")), """")"),"")</f>
        <v/>
      </c>
      <c r="P1634" s="9" t="str">
        <f ca="1">IFERROR(__xludf.DUMMYFUNCTION("IFERROR(VALUE(REGEXEXTRACT(TO_TEXT($F1634), P$1 &amp; ""x(\d+)"")), """")"),"")</f>
        <v/>
      </c>
      <c r="Q1634" s="9" t="str">
        <f ca="1">IFERROR(__xludf.DUMMYFUNCTION("IFERROR(VALUE(REGEXEXTRACT(TO_TEXT($F1634), Q$1 &amp; ""x(\d+)"")), """")"),"")</f>
        <v/>
      </c>
      <c r="R1634" s="9" t="str">
        <f ca="1">IFERROR(__xludf.DUMMYFUNCTION("IFERROR(VALUE(REGEXEXTRACT(TO_TEXT($F1634), R$1 &amp; ""x(\d+)"")), """")"),"")</f>
        <v/>
      </c>
      <c r="S1634" s="9" t="str">
        <f ca="1">IFERROR(__xludf.DUMMYFUNCTION("IFERROR(VALUE(REGEXEXTRACT(TO_TEXT($F1634), S$1 &amp; ""x(\d+)"")), """")"),"")</f>
        <v/>
      </c>
      <c r="T1634" s="9" t="str">
        <f ca="1">IFERROR(__xludf.DUMMYFUNCTION("IFERROR(VALUE(REGEXEXTRACT(TO_TEXT($F1634), T$1 &amp; ""x(\d+)"")), """")"),"")</f>
        <v/>
      </c>
      <c r="U1634" s="9" t="str">
        <f ca="1">IFERROR(__xludf.DUMMYFUNCTION("IFERROR(VALUE(REGEXEXTRACT(TO_TEXT($F1634), U$1 &amp; ""x(\d+)"")), """")"),"")</f>
        <v/>
      </c>
      <c r="V1634" s="9" t="str">
        <f ca="1">IFERROR(__xludf.DUMMYFUNCTION("IFERROR(VALUE(REGEXEXTRACT(TO_TEXT($F1634), V$1 &amp; ""x(\d+)"")), """")"),"")</f>
        <v/>
      </c>
      <c r="W1634" s="9"/>
      <c r="X1634" s="9"/>
      <c r="Y1634" s="9"/>
      <c r="Z1634" s="9"/>
    </row>
    <row r="1635" spans="1:26" ht="15.75" customHeight="1">
      <c r="A1635" s="9" t="s">
        <v>2665</v>
      </c>
      <c r="B1635" s="9" t="s">
        <v>2666</v>
      </c>
      <c r="C1635" s="9" t="s">
        <v>703</v>
      </c>
      <c r="D1635" s="9" t="s">
        <v>74</v>
      </c>
      <c r="E1635" s="9" t="s">
        <v>12</v>
      </c>
      <c r="F1635" s="9" t="s">
        <v>2667</v>
      </c>
      <c r="G1635" s="9">
        <v>170</v>
      </c>
      <c r="H1635" s="9">
        <v>2</v>
      </c>
      <c r="I1635" s="9">
        <v>1.0149999999999999</v>
      </c>
      <c r="J1635" s="9">
        <v>103</v>
      </c>
      <c r="K1635" s="9" t="s">
        <v>424</v>
      </c>
      <c r="L1635" s="9" t="s">
        <v>1062</v>
      </c>
      <c r="M1635" s="9"/>
      <c r="N1635" s="9" t="str">
        <f ca="1">IFERROR(__xludf.DUMMYFUNCTION("IFERROR(VALUE(REGEXEXTRACT(TO_TEXT($F1635), N$1 &amp; ""x(\d+)"")), """")
"),"")</f>
        <v/>
      </c>
      <c r="O1635" s="9" t="str">
        <f ca="1">IFERROR(__xludf.DUMMYFUNCTION("IFERROR(VALUE(REGEXEXTRACT(TO_TEXT($F1635), O$1 &amp; ""x(\d+)"")), """")"),"")</f>
        <v/>
      </c>
      <c r="P1635" s="9" t="str">
        <f ca="1">IFERROR(__xludf.DUMMYFUNCTION("IFERROR(VALUE(REGEXEXTRACT(TO_TEXT($F1635), P$1 &amp; ""x(\d+)"")), """")"),"")</f>
        <v/>
      </c>
      <c r="Q1635" s="9">
        <f ca="1">IFERROR(__xludf.DUMMYFUNCTION("IFERROR(VALUE(REGEXEXTRACT(TO_TEXT($F1635), Q$1 &amp; ""x(\d+)"")), """")"),1)</f>
        <v>1</v>
      </c>
      <c r="R1635" s="9">
        <f ca="1">IFERROR(__xludf.DUMMYFUNCTION("IFERROR(VALUE(REGEXEXTRACT(TO_TEXT($F1635), R$1 &amp; ""x(\d+)"")), """")"),1)</f>
        <v>1</v>
      </c>
      <c r="S1635" s="9" t="str">
        <f ca="1">IFERROR(__xludf.DUMMYFUNCTION("IFERROR(VALUE(REGEXEXTRACT(TO_TEXT($F1635), S$1 &amp; ""x(\d+)"")), """")"),"")</f>
        <v/>
      </c>
      <c r="T1635" s="9" t="str">
        <f ca="1">IFERROR(__xludf.DUMMYFUNCTION("IFERROR(VALUE(REGEXEXTRACT(TO_TEXT($F1635), T$1 &amp; ""x(\d+)"")), """")"),"")</f>
        <v/>
      </c>
      <c r="U1635" s="9" t="str">
        <f ca="1">IFERROR(__xludf.DUMMYFUNCTION("IFERROR(VALUE(REGEXEXTRACT(TO_TEXT($F1635), U$1 &amp; ""x(\d+)"")), """")"),"")</f>
        <v/>
      </c>
      <c r="V1635" s="9" t="str">
        <f ca="1">IFERROR(__xludf.DUMMYFUNCTION("IFERROR(VALUE(REGEXEXTRACT(TO_TEXT($F1635), V$1 &amp; ""x(\d+)"")), """")"),"")</f>
        <v/>
      </c>
      <c r="W1635" s="9"/>
      <c r="X1635" s="9"/>
      <c r="Y1635" s="9"/>
      <c r="Z1635" s="9"/>
    </row>
    <row r="1636" spans="1:26" ht="15.75" customHeight="1">
      <c r="A1636" s="9" t="s">
        <v>2665</v>
      </c>
      <c r="B1636" s="9" t="s">
        <v>2666</v>
      </c>
      <c r="C1636" s="9" t="s">
        <v>703</v>
      </c>
      <c r="D1636" s="9" t="s">
        <v>74</v>
      </c>
      <c r="E1636" s="9" t="s">
        <v>13</v>
      </c>
      <c r="F1636" s="9" t="s">
        <v>2668</v>
      </c>
      <c r="G1636" s="9">
        <v>30</v>
      </c>
      <c r="H1636" s="9">
        <v>2</v>
      </c>
      <c r="I1636" s="9">
        <v>1.0149999999999999</v>
      </c>
      <c r="J1636" s="9">
        <v>103</v>
      </c>
      <c r="K1636" s="9" t="s">
        <v>424</v>
      </c>
      <c r="L1636" s="9"/>
      <c r="M1636" s="9"/>
      <c r="N1636" s="9" t="str">
        <f ca="1">IFERROR(__xludf.DUMMYFUNCTION("IFERROR(VALUE(REGEXEXTRACT(TO_TEXT($F1636), N$1 &amp; ""x(\d+)"")), """")
"),"")</f>
        <v/>
      </c>
      <c r="O1636" s="9" t="str">
        <f ca="1">IFERROR(__xludf.DUMMYFUNCTION("IFERROR(VALUE(REGEXEXTRACT(TO_TEXT($F1636), O$1 &amp; ""x(\d+)"")), """")"),"")</f>
        <v/>
      </c>
      <c r="P1636" s="9" t="str">
        <f ca="1">IFERROR(__xludf.DUMMYFUNCTION("IFERROR(VALUE(REGEXEXTRACT(TO_TEXT($F1636), P$1 &amp; ""x(\d+)"")), """")"),"")</f>
        <v/>
      </c>
      <c r="Q1636" s="9">
        <f ca="1">IFERROR(__xludf.DUMMYFUNCTION("IFERROR(VALUE(REGEXEXTRACT(TO_TEXT($F1636), Q$1 &amp; ""x(\d+)"")), """")"),1)</f>
        <v>1</v>
      </c>
      <c r="R1636" s="9">
        <f ca="1">IFERROR(__xludf.DUMMYFUNCTION("IFERROR(VALUE(REGEXEXTRACT(TO_TEXT($F1636), R$1 &amp; ""x(\d+)"")), """")"),1)</f>
        <v>1</v>
      </c>
      <c r="S1636" s="9" t="str">
        <f ca="1">IFERROR(__xludf.DUMMYFUNCTION("IFERROR(VALUE(REGEXEXTRACT(TO_TEXT($F1636), S$1 &amp; ""x(\d+)"")), """")"),"")</f>
        <v/>
      </c>
      <c r="T1636" s="9" t="str">
        <f ca="1">IFERROR(__xludf.DUMMYFUNCTION("IFERROR(VALUE(REGEXEXTRACT(TO_TEXT($F1636), T$1 &amp; ""x(\d+)"")), """")"),"")</f>
        <v/>
      </c>
      <c r="U1636" s="9" t="str">
        <f ca="1">IFERROR(__xludf.DUMMYFUNCTION("IFERROR(VALUE(REGEXEXTRACT(TO_TEXT($F1636), U$1 &amp; ""x(\d+)"")), """")"),"")</f>
        <v/>
      </c>
      <c r="V1636" s="9" t="str">
        <f ca="1">IFERROR(__xludf.DUMMYFUNCTION("IFERROR(VALUE(REGEXEXTRACT(TO_TEXT($F1636), V$1 &amp; ""x(\d+)"")), """")"),"")</f>
        <v/>
      </c>
      <c r="W1636" s="9"/>
      <c r="X1636" s="9"/>
      <c r="Y1636" s="9"/>
      <c r="Z1636" s="9"/>
    </row>
    <row r="1637" spans="1:26" ht="15.75" customHeight="1">
      <c r="A1637" s="9" t="s">
        <v>2669</v>
      </c>
      <c r="B1637" s="9" t="s">
        <v>2670</v>
      </c>
      <c r="C1637" s="9" t="s">
        <v>693</v>
      </c>
      <c r="D1637" s="9" t="s">
        <v>48</v>
      </c>
      <c r="E1637" s="9" t="s">
        <v>11</v>
      </c>
      <c r="F1637" s="9" t="s">
        <v>1204</v>
      </c>
      <c r="G1637" s="9">
        <v>30</v>
      </c>
      <c r="H1637" s="9">
        <v>3</v>
      </c>
      <c r="I1637" s="9">
        <v>1.0149999999999999</v>
      </c>
      <c r="J1637" s="9">
        <v>52</v>
      </c>
      <c r="K1637" s="9" t="s">
        <v>424</v>
      </c>
      <c r="L1637" s="9"/>
      <c r="M1637" s="9"/>
      <c r="N1637" s="9" t="str">
        <f ca="1">IFERROR(__xludf.DUMMYFUNCTION("IFERROR(VALUE(REGEXEXTRACT(TO_TEXT($F1637), N$1 &amp; ""x(\d+)"")), """")
"),"")</f>
        <v/>
      </c>
      <c r="O1637" s="9" t="str">
        <f ca="1">IFERROR(__xludf.DUMMYFUNCTION("IFERROR(VALUE(REGEXEXTRACT(TO_TEXT($F1637), O$1 &amp; ""x(\d+)"")), """")"),"")</f>
        <v/>
      </c>
      <c r="P1637" s="9" t="str">
        <f ca="1">IFERROR(__xludf.DUMMYFUNCTION("IFERROR(VALUE(REGEXEXTRACT(TO_TEXT($F1637), P$1 &amp; ""x(\d+)"")), """")"),"")</f>
        <v/>
      </c>
      <c r="Q1637" s="9" t="str">
        <f ca="1">IFERROR(__xludf.DUMMYFUNCTION("IFERROR(VALUE(REGEXEXTRACT(TO_TEXT($F1637), Q$1 &amp; ""x(\d+)"")), """")"),"")</f>
        <v/>
      </c>
      <c r="R1637" s="9" t="str">
        <f ca="1">IFERROR(__xludf.DUMMYFUNCTION("IFERROR(VALUE(REGEXEXTRACT(TO_TEXT($F1637), R$1 &amp; ""x(\d+)"")), """")"),"")</f>
        <v/>
      </c>
      <c r="S1637" s="9" t="str">
        <f ca="1">IFERROR(__xludf.DUMMYFUNCTION("IFERROR(VALUE(REGEXEXTRACT(TO_TEXT($F1637), S$1 &amp; ""x(\d+)"")), """")"),"")</f>
        <v/>
      </c>
      <c r="T1637" s="9" t="str">
        <f ca="1">IFERROR(__xludf.DUMMYFUNCTION("IFERROR(VALUE(REGEXEXTRACT(TO_TEXT($F1637), T$1 &amp; ""x(\d+)"")), """")"),"")</f>
        <v/>
      </c>
      <c r="U1637" s="9" t="str">
        <f ca="1">IFERROR(__xludf.DUMMYFUNCTION("IFERROR(VALUE(REGEXEXTRACT(TO_TEXT($F1637), U$1 &amp; ""x(\d+)"")), """")"),"")</f>
        <v/>
      </c>
      <c r="V1637" s="9" t="str">
        <f ca="1">IFERROR(__xludf.DUMMYFUNCTION("IFERROR(VALUE(REGEXEXTRACT(TO_TEXT($F1637), V$1 &amp; ""x(\d+)"")), """")"),"")</f>
        <v/>
      </c>
      <c r="W1637" s="9"/>
      <c r="X1637" s="9"/>
      <c r="Y1637" s="9"/>
      <c r="Z1637" s="9"/>
    </row>
    <row r="1638" spans="1:26" ht="15.75" customHeight="1">
      <c r="A1638" s="9" t="s">
        <v>2669</v>
      </c>
      <c r="B1638" s="9" t="s">
        <v>2670</v>
      </c>
      <c r="C1638" s="9" t="s">
        <v>693</v>
      </c>
      <c r="D1638" s="9" t="s">
        <v>48</v>
      </c>
      <c r="E1638" s="9" t="s">
        <v>12</v>
      </c>
      <c r="F1638" s="9" t="s">
        <v>1478</v>
      </c>
      <c r="G1638" s="9">
        <v>140</v>
      </c>
      <c r="H1638" s="9">
        <v>3</v>
      </c>
      <c r="I1638" s="9">
        <v>1.0149999999999999</v>
      </c>
      <c r="J1638" s="9">
        <v>52</v>
      </c>
      <c r="K1638" s="9" t="s">
        <v>424</v>
      </c>
      <c r="L1638" s="9"/>
      <c r="M1638" s="9"/>
      <c r="N1638" s="9" t="str">
        <f ca="1">IFERROR(__xludf.DUMMYFUNCTION("IFERROR(VALUE(REGEXEXTRACT(TO_TEXT($F1638), N$1 &amp; ""x(\d+)"")), """")
"),"")</f>
        <v/>
      </c>
      <c r="O1638" s="9" t="str">
        <f ca="1">IFERROR(__xludf.DUMMYFUNCTION("IFERROR(VALUE(REGEXEXTRACT(TO_TEXT($F1638), O$1 &amp; ""x(\d+)"")), """")"),"")</f>
        <v/>
      </c>
      <c r="P1638" s="9">
        <f ca="1">IFERROR(__xludf.DUMMYFUNCTION("IFERROR(VALUE(REGEXEXTRACT(TO_TEXT($F1638), P$1 &amp; ""x(\d+)"")), """")"),1)</f>
        <v>1</v>
      </c>
      <c r="Q1638" s="9" t="str">
        <f ca="1">IFERROR(__xludf.DUMMYFUNCTION("IFERROR(VALUE(REGEXEXTRACT(TO_TEXT($F1638), Q$1 &amp; ""x(\d+)"")), """")"),"")</f>
        <v/>
      </c>
      <c r="R1638" s="9" t="str">
        <f ca="1">IFERROR(__xludf.DUMMYFUNCTION("IFERROR(VALUE(REGEXEXTRACT(TO_TEXT($F1638), R$1 &amp; ""x(\d+)"")), """")"),"")</f>
        <v/>
      </c>
      <c r="S1638" s="9" t="str">
        <f ca="1">IFERROR(__xludf.DUMMYFUNCTION("IFERROR(VALUE(REGEXEXTRACT(TO_TEXT($F1638), S$1 &amp; ""x(\d+)"")), """")"),"")</f>
        <v/>
      </c>
      <c r="T1638" s="9" t="str">
        <f ca="1">IFERROR(__xludf.DUMMYFUNCTION("IFERROR(VALUE(REGEXEXTRACT(TO_TEXT($F1638), T$1 &amp; ""x(\d+)"")), """")"),"")</f>
        <v/>
      </c>
      <c r="U1638" s="9" t="str">
        <f ca="1">IFERROR(__xludf.DUMMYFUNCTION("IFERROR(VALUE(REGEXEXTRACT(TO_TEXT($F1638), U$1 &amp; ""x(\d+)"")), """")"),"")</f>
        <v/>
      </c>
      <c r="V1638" s="9" t="str">
        <f ca="1">IFERROR(__xludf.DUMMYFUNCTION("IFERROR(VALUE(REGEXEXTRACT(TO_TEXT($F1638), V$1 &amp; ""x(\d+)"")), """")"),"")</f>
        <v/>
      </c>
      <c r="W1638" s="9"/>
      <c r="X1638" s="9"/>
      <c r="Y1638" s="9"/>
      <c r="Z1638" s="9"/>
    </row>
    <row r="1639" spans="1:26" ht="15.75" customHeight="1">
      <c r="A1639" s="9" t="s">
        <v>2669</v>
      </c>
      <c r="B1639" s="9" t="s">
        <v>2670</v>
      </c>
      <c r="C1639" s="9" t="s">
        <v>693</v>
      </c>
      <c r="D1639" s="9" t="s">
        <v>48</v>
      </c>
      <c r="E1639" s="9" t="s">
        <v>13</v>
      </c>
      <c r="F1639" s="9" t="s">
        <v>1206</v>
      </c>
      <c r="G1639" s="9">
        <v>30</v>
      </c>
      <c r="H1639" s="9">
        <v>3</v>
      </c>
      <c r="I1639" s="9">
        <v>1.0149999999999999</v>
      </c>
      <c r="J1639" s="9">
        <v>52</v>
      </c>
      <c r="K1639" s="9" t="s">
        <v>424</v>
      </c>
      <c r="L1639" s="9"/>
      <c r="M1639" s="9"/>
      <c r="N1639" s="9" t="str">
        <f ca="1">IFERROR(__xludf.DUMMYFUNCTION("IFERROR(VALUE(REGEXEXTRACT(TO_TEXT($F1639), N$1 &amp; ""x(\d+)"")), """")
"),"")</f>
        <v/>
      </c>
      <c r="O1639" s="9" t="str">
        <f ca="1">IFERROR(__xludf.DUMMYFUNCTION("IFERROR(VALUE(REGEXEXTRACT(TO_TEXT($F1639), O$1 &amp; ""x(\d+)"")), """")"),"")</f>
        <v/>
      </c>
      <c r="P1639" s="9">
        <f ca="1">IFERROR(__xludf.DUMMYFUNCTION("IFERROR(VALUE(REGEXEXTRACT(TO_TEXT($F1639), P$1 &amp; ""x(\d+)"")), """")"),1)</f>
        <v>1</v>
      </c>
      <c r="Q1639" s="9" t="str">
        <f ca="1">IFERROR(__xludf.DUMMYFUNCTION("IFERROR(VALUE(REGEXEXTRACT(TO_TEXT($F1639), Q$1 &amp; ""x(\d+)"")), """")"),"")</f>
        <v/>
      </c>
      <c r="R1639" s="9" t="str">
        <f ca="1">IFERROR(__xludf.DUMMYFUNCTION("IFERROR(VALUE(REGEXEXTRACT(TO_TEXT($F1639), R$1 &amp; ""x(\d+)"")), """")"),"")</f>
        <v/>
      </c>
      <c r="S1639" s="9" t="str">
        <f ca="1">IFERROR(__xludf.DUMMYFUNCTION("IFERROR(VALUE(REGEXEXTRACT(TO_TEXT($F1639), S$1 &amp; ""x(\d+)"")), """")"),"")</f>
        <v/>
      </c>
      <c r="T1639" s="9" t="str">
        <f ca="1">IFERROR(__xludf.DUMMYFUNCTION("IFERROR(VALUE(REGEXEXTRACT(TO_TEXT($F1639), T$1 &amp; ""x(\d+)"")), """")"),"")</f>
        <v/>
      </c>
      <c r="U1639" s="9" t="str">
        <f ca="1">IFERROR(__xludf.DUMMYFUNCTION("IFERROR(VALUE(REGEXEXTRACT(TO_TEXT($F1639), U$1 &amp; ""x(\d+)"")), """")"),"")</f>
        <v/>
      </c>
      <c r="V1639" s="9" t="str">
        <f ca="1">IFERROR(__xludf.DUMMYFUNCTION("IFERROR(VALUE(REGEXEXTRACT(TO_TEXT($F1639), V$1 &amp; ""x(\d+)"")), """")"),"")</f>
        <v/>
      </c>
      <c r="W1639" s="9"/>
      <c r="X1639" s="9"/>
      <c r="Y1639" s="9"/>
      <c r="Z1639" s="9"/>
    </row>
    <row r="1640" spans="1:26" ht="15.75" customHeight="1">
      <c r="A1640" s="9" t="s">
        <v>2669</v>
      </c>
      <c r="B1640" s="9" t="s">
        <v>2670</v>
      </c>
      <c r="C1640" s="9" t="s">
        <v>693</v>
      </c>
      <c r="D1640" s="9" t="s">
        <v>74</v>
      </c>
      <c r="E1640" s="9" t="s">
        <v>11</v>
      </c>
      <c r="F1640" s="9" t="s">
        <v>1204</v>
      </c>
      <c r="G1640" s="9">
        <v>30</v>
      </c>
      <c r="H1640" s="9">
        <v>2</v>
      </c>
      <c r="I1640" s="9">
        <v>1.0149999999999999</v>
      </c>
      <c r="J1640" s="9">
        <v>103</v>
      </c>
      <c r="K1640" s="9" t="s">
        <v>424</v>
      </c>
      <c r="L1640" s="9"/>
      <c r="M1640" s="9"/>
      <c r="N1640" s="9" t="str">
        <f ca="1">IFERROR(__xludf.DUMMYFUNCTION("IFERROR(VALUE(REGEXEXTRACT(TO_TEXT($F1640), N$1 &amp; ""x(\d+)"")), """")
"),"")</f>
        <v/>
      </c>
      <c r="O1640" s="9" t="str">
        <f ca="1">IFERROR(__xludf.DUMMYFUNCTION("IFERROR(VALUE(REGEXEXTRACT(TO_TEXT($F1640), O$1 &amp; ""x(\d+)"")), """")"),"")</f>
        <v/>
      </c>
      <c r="P1640" s="9" t="str">
        <f ca="1">IFERROR(__xludf.DUMMYFUNCTION("IFERROR(VALUE(REGEXEXTRACT(TO_TEXT($F1640), P$1 &amp; ""x(\d+)"")), """")"),"")</f>
        <v/>
      </c>
      <c r="Q1640" s="9" t="str">
        <f ca="1">IFERROR(__xludf.DUMMYFUNCTION("IFERROR(VALUE(REGEXEXTRACT(TO_TEXT($F1640), Q$1 &amp; ""x(\d+)"")), """")"),"")</f>
        <v/>
      </c>
      <c r="R1640" s="9" t="str">
        <f ca="1">IFERROR(__xludf.DUMMYFUNCTION("IFERROR(VALUE(REGEXEXTRACT(TO_TEXT($F1640), R$1 &amp; ""x(\d+)"")), """")"),"")</f>
        <v/>
      </c>
      <c r="S1640" s="9" t="str">
        <f ca="1">IFERROR(__xludf.DUMMYFUNCTION("IFERROR(VALUE(REGEXEXTRACT(TO_TEXT($F1640), S$1 &amp; ""x(\d+)"")), """")"),"")</f>
        <v/>
      </c>
      <c r="T1640" s="9" t="str">
        <f ca="1">IFERROR(__xludf.DUMMYFUNCTION("IFERROR(VALUE(REGEXEXTRACT(TO_TEXT($F1640), T$1 &amp; ""x(\d+)"")), """")"),"")</f>
        <v/>
      </c>
      <c r="U1640" s="9" t="str">
        <f ca="1">IFERROR(__xludf.DUMMYFUNCTION("IFERROR(VALUE(REGEXEXTRACT(TO_TEXT($F1640), U$1 &amp; ""x(\d+)"")), """")"),"")</f>
        <v/>
      </c>
      <c r="V1640" s="9" t="str">
        <f ca="1">IFERROR(__xludf.DUMMYFUNCTION("IFERROR(VALUE(REGEXEXTRACT(TO_TEXT($F1640), V$1 &amp; ""x(\d+)"")), """")"),"")</f>
        <v/>
      </c>
      <c r="W1640" s="9"/>
      <c r="X1640" s="9"/>
      <c r="Y1640" s="9"/>
      <c r="Z1640" s="9"/>
    </row>
    <row r="1641" spans="1:26" ht="15.75" customHeight="1">
      <c r="A1641" s="9" t="s">
        <v>2669</v>
      </c>
      <c r="B1641" s="9" t="s">
        <v>2670</v>
      </c>
      <c r="C1641" s="9" t="s">
        <v>693</v>
      </c>
      <c r="D1641" s="9" t="s">
        <v>74</v>
      </c>
      <c r="E1641" s="9" t="s">
        <v>12</v>
      </c>
      <c r="F1641" s="9" t="s">
        <v>2667</v>
      </c>
      <c r="G1641" s="9">
        <v>170</v>
      </c>
      <c r="H1641" s="9">
        <v>2</v>
      </c>
      <c r="I1641" s="9">
        <v>1.0149999999999999</v>
      </c>
      <c r="J1641" s="9">
        <v>103</v>
      </c>
      <c r="K1641" s="9" t="s">
        <v>424</v>
      </c>
      <c r="L1641" s="9" t="s">
        <v>1062</v>
      </c>
      <c r="M1641" s="9"/>
      <c r="N1641" s="9" t="str">
        <f ca="1">IFERROR(__xludf.DUMMYFUNCTION("IFERROR(VALUE(REGEXEXTRACT(TO_TEXT($F1641), N$1 &amp; ""x(\d+)"")), """")
"),"")</f>
        <v/>
      </c>
      <c r="O1641" s="9" t="str">
        <f ca="1">IFERROR(__xludf.DUMMYFUNCTION("IFERROR(VALUE(REGEXEXTRACT(TO_TEXT($F1641), O$1 &amp; ""x(\d+)"")), """")"),"")</f>
        <v/>
      </c>
      <c r="P1641" s="9" t="str">
        <f ca="1">IFERROR(__xludf.DUMMYFUNCTION("IFERROR(VALUE(REGEXEXTRACT(TO_TEXT($F1641), P$1 &amp; ""x(\d+)"")), """")"),"")</f>
        <v/>
      </c>
      <c r="Q1641" s="9">
        <f ca="1">IFERROR(__xludf.DUMMYFUNCTION("IFERROR(VALUE(REGEXEXTRACT(TO_TEXT($F1641), Q$1 &amp; ""x(\d+)"")), """")"),1)</f>
        <v>1</v>
      </c>
      <c r="R1641" s="9">
        <f ca="1">IFERROR(__xludf.DUMMYFUNCTION("IFERROR(VALUE(REGEXEXTRACT(TO_TEXT($F1641), R$1 &amp; ""x(\d+)"")), """")"),1)</f>
        <v>1</v>
      </c>
      <c r="S1641" s="9" t="str">
        <f ca="1">IFERROR(__xludf.DUMMYFUNCTION("IFERROR(VALUE(REGEXEXTRACT(TO_TEXT($F1641), S$1 &amp; ""x(\d+)"")), """")"),"")</f>
        <v/>
      </c>
      <c r="T1641" s="9" t="str">
        <f ca="1">IFERROR(__xludf.DUMMYFUNCTION("IFERROR(VALUE(REGEXEXTRACT(TO_TEXT($F1641), T$1 &amp; ""x(\d+)"")), """")"),"")</f>
        <v/>
      </c>
      <c r="U1641" s="9" t="str">
        <f ca="1">IFERROR(__xludf.DUMMYFUNCTION("IFERROR(VALUE(REGEXEXTRACT(TO_TEXT($F1641), U$1 &amp; ""x(\d+)"")), """")"),"")</f>
        <v/>
      </c>
      <c r="V1641" s="9" t="str">
        <f ca="1">IFERROR(__xludf.DUMMYFUNCTION("IFERROR(VALUE(REGEXEXTRACT(TO_TEXT($F1641), V$1 &amp; ""x(\d+)"")), """")"),"")</f>
        <v/>
      </c>
      <c r="W1641" s="9"/>
      <c r="X1641" s="9"/>
      <c r="Y1641" s="9"/>
      <c r="Z1641" s="9"/>
    </row>
    <row r="1642" spans="1:26" ht="15.75" customHeight="1">
      <c r="A1642" s="9" t="s">
        <v>2669</v>
      </c>
      <c r="B1642" s="9" t="s">
        <v>2670</v>
      </c>
      <c r="C1642" s="9" t="s">
        <v>693</v>
      </c>
      <c r="D1642" s="9" t="s">
        <v>74</v>
      </c>
      <c r="E1642" s="9" t="s">
        <v>13</v>
      </c>
      <c r="F1642" s="9" t="s">
        <v>2668</v>
      </c>
      <c r="G1642" s="9">
        <v>30</v>
      </c>
      <c r="H1642" s="9">
        <v>2</v>
      </c>
      <c r="I1642" s="9">
        <v>1.0149999999999999</v>
      </c>
      <c r="J1642" s="9">
        <v>103</v>
      </c>
      <c r="K1642" s="9" t="s">
        <v>424</v>
      </c>
      <c r="L1642" s="9"/>
      <c r="M1642" s="9"/>
      <c r="N1642" s="9" t="str">
        <f ca="1">IFERROR(__xludf.DUMMYFUNCTION("IFERROR(VALUE(REGEXEXTRACT(TO_TEXT($F1642), N$1 &amp; ""x(\d+)"")), """")
"),"")</f>
        <v/>
      </c>
      <c r="O1642" s="9" t="str">
        <f ca="1">IFERROR(__xludf.DUMMYFUNCTION("IFERROR(VALUE(REGEXEXTRACT(TO_TEXT($F1642), O$1 &amp; ""x(\d+)"")), """")"),"")</f>
        <v/>
      </c>
      <c r="P1642" s="9" t="str">
        <f ca="1">IFERROR(__xludf.DUMMYFUNCTION("IFERROR(VALUE(REGEXEXTRACT(TO_TEXT($F1642), P$1 &amp; ""x(\d+)"")), """")"),"")</f>
        <v/>
      </c>
      <c r="Q1642" s="9">
        <f ca="1">IFERROR(__xludf.DUMMYFUNCTION("IFERROR(VALUE(REGEXEXTRACT(TO_TEXT($F1642), Q$1 &amp; ""x(\d+)"")), """")"),1)</f>
        <v>1</v>
      </c>
      <c r="R1642" s="9">
        <f ca="1">IFERROR(__xludf.DUMMYFUNCTION("IFERROR(VALUE(REGEXEXTRACT(TO_TEXT($F1642), R$1 &amp; ""x(\d+)"")), """")"),1)</f>
        <v>1</v>
      </c>
      <c r="S1642" s="9" t="str">
        <f ca="1">IFERROR(__xludf.DUMMYFUNCTION("IFERROR(VALUE(REGEXEXTRACT(TO_TEXT($F1642), S$1 &amp; ""x(\d+)"")), """")"),"")</f>
        <v/>
      </c>
      <c r="T1642" s="9" t="str">
        <f ca="1">IFERROR(__xludf.DUMMYFUNCTION("IFERROR(VALUE(REGEXEXTRACT(TO_TEXT($F1642), T$1 &amp; ""x(\d+)"")), """")"),"")</f>
        <v/>
      </c>
      <c r="U1642" s="9" t="str">
        <f ca="1">IFERROR(__xludf.DUMMYFUNCTION("IFERROR(VALUE(REGEXEXTRACT(TO_TEXT($F1642), U$1 &amp; ""x(\d+)"")), """")"),"")</f>
        <v/>
      </c>
      <c r="V1642" s="9" t="str">
        <f ca="1">IFERROR(__xludf.DUMMYFUNCTION("IFERROR(VALUE(REGEXEXTRACT(TO_TEXT($F1642), V$1 &amp; ""x(\d+)"")), """")"),"")</f>
        <v/>
      </c>
      <c r="W1642" s="9"/>
      <c r="X1642" s="9"/>
      <c r="Y1642" s="9"/>
      <c r="Z1642" s="9"/>
    </row>
    <row r="1643" spans="1:26" ht="15.75" customHeight="1">
      <c r="A1643" s="9" t="s">
        <v>2671</v>
      </c>
      <c r="B1643" s="9" t="s">
        <v>2672</v>
      </c>
      <c r="C1643" s="9" t="s">
        <v>2673</v>
      </c>
      <c r="D1643" s="9" t="s">
        <v>48</v>
      </c>
      <c r="E1643" s="9" t="s">
        <v>11</v>
      </c>
      <c r="F1643" s="9" t="s">
        <v>1204</v>
      </c>
      <c r="G1643" s="9">
        <v>30</v>
      </c>
      <c r="H1643" s="9">
        <v>3</v>
      </c>
      <c r="I1643" s="9">
        <v>1.0149999999999999</v>
      </c>
      <c r="J1643" s="9">
        <v>52</v>
      </c>
      <c r="K1643" s="9" t="s">
        <v>424</v>
      </c>
      <c r="L1643" s="9"/>
      <c r="M1643" s="9"/>
      <c r="N1643" s="9" t="str">
        <f ca="1">IFERROR(__xludf.DUMMYFUNCTION("IFERROR(VALUE(REGEXEXTRACT(TO_TEXT($F1643), N$1 &amp; ""x(\d+)"")), """")
"),"")</f>
        <v/>
      </c>
      <c r="O1643" s="9" t="str">
        <f ca="1">IFERROR(__xludf.DUMMYFUNCTION("IFERROR(VALUE(REGEXEXTRACT(TO_TEXT($F1643), O$1 &amp; ""x(\d+)"")), """")"),"")</f>
        <v/>
      </c>
      <c r="P1643" s="9" t="str">
        <f ca="1">IFERROR(__xludf.DUMMYFUNCTION("IFERROR(VALUE(REGEXEXTRACT(TO_TEXT($F1643), P$1 &amp; ""x(\d+)"")), """")"),"")</f>
        <v/>
      </c>
      <c r="Q1643" s="9" t="str">
        <f ca="1">IFERROR(__xludf.DUMMYFUNCTION("IFERROR(VALUE(REGEXEXTRACT(TO_TEXT($F1643), Q$1 &amp; ""x(\d+)"")), """")"),"")</f>
        <v/>
      </c>
      <c r="R1643" s="9" t="str">
        <f ca="1">IFERROR(__xludf.DUMMYFUNCTION("IFERROR(VALUE(REGEXEXTRACT(TO_TEXT($F1643), R$1 &amp; ""x(\d+)"")), """")"),"")</f>
        <v/>
      </c>
      <c r="S1643" s="9" t="str">
        <f ca="1">IFERROR(__xludf.DUMMYFUNCTION("IFERROR(VALUE(REGEXEXTRACT(TO_TEXT($F1643), S$1 &amp; ""x(\d+)"")), """")"),"")</f>
        <v/>
      </c>
      <c r="T1643" s="9" t="str">
        <f ca="1">IFERROR(__xludf.DUMMYFUNCTION("IFERROR(VALUE(REGEXEXTRACT(TO_TEXT($F1643), T$1 &amp; ""x(\d+)"")), """")"),"")</f>
        <v/>
      </c>
      <c r="U1643" s="9" t="str">
        <f ca="1">IFERROR(__xludf.DUMMYFUNCTION("IFERROR(VALUE(REGEXEXTRACT(TO_TEXT($F1643), U$1 &amp; ""x(\d+)"")), """")"),"")</f>
        <v/>
      </c>
      <c r="V1643" s="9" t="str">
        <f ca="1">IFERROR(__xludf.DUMMYFUNCTION("IFERROR(VALUE(REGEXEXTRACT(TO_TEXT($F1643), V$1 &amp; ""x(\d+)"")), """")"),"")</f>
        <v/>
      </c>
      <c r="W1643" s="9"/>
      <c r="X1643" s="9"/>
      <c r="Y1643" s="9"/>
      <c r="Z1643" s="9"/>
    </row>
    <row r="1644" spans="1:26" ht="15.75" customHeight="1">
      <c r="A1644" s="9" t="s">
        <v>2671</v>
      </c>
      <c r="B1644" s="9" t="s">
        <v>2672</v>
      </c>
      <c r="C1644" s="9" t="s">
        <v>2673</v>
      </c>
      <c r="D1644" s="9" t="s">
        <v>48</v>
      </c>
      <c r="E1644" s="9" t="s">
        <v>12</v>
      </c>
      <c r="F1644" s="9" t="s">
        <v>1478</v>
      </c>
      <c r="G1644" s="9">
        <v>140</v>
      </c>
      <c r="H1644" s="9">
        <v>3</v>
      </c>
      <c r="I1644" s="9">
        <v>1.0149999999999999</v>
      </c>
      <c r="J1644" s="9">
        <v>52</v>
      </c>
      <c r="K1644" s="9" t="s">
        <v>424</v>
      </c>
      <c r="L1644" s="9"/>
      <c r="M1644" s="9"/>
      <c r="N1644" s="9" t="str">
        <f ca="1">IFERROR(__xludf.DUMMYFUNCTION("IFERROR(VALUE(REGEXEXTRACT(TO_TEXT($F1644), N$1 &amp; ""x(\d+)"")), """")
"),"")</f>
        <v/>
      </c>
      <c r="O1644" s="9" t="str">
        <f ca="1">IFERROR(__xludf.DUMMYFUNCTION("IFERROR(VALUE(REGEXEXTRACT(TO_TEXT($F1644), O$1 &amp; ""x(\d+)"")), """")"),"")</f>
        <v/>
      </c>
      <c r="P1644" s="9">
        <f ca="1">IFERROR(__xludf.DUMMYFUNCTION("IFERROR(VALUE(REGEXEXTRACT(TO_TEXT($F1644), P$1 &amp; ""x(\d+)"")), """")"),1)</f>
        <v>1</v>
      </c>
      <c r="Q1644" s="9" t="str">
        <f ca="1">IFERROR(__xludf.DUMMYFUNCTION("IFERROR(VALUE(REGEXEXTRACT(TO_TEXT($F1644), Q$1 &amp; ""x(\d+)"")), """")"),"")</f>
        <v/>
      </c>
      <c r="R1644" s="9" t="str">
        <f ca="1">IFERROR(__xludf.DUMMYFUNCTION("IFERROR(VALUE(REGEXEXTRACT(TO_TEXT($F1644), R$1 &amp; ""x(\d+)"")), """")"),"")</f>
        <v/>
      </c>
      <c r="S1644" s="9" t="str">
        <f ca="1">IFERROR(__xludf.DUMMYFUNCTION("IFERROR(VALUE(REGEXEXTRACT(TO_TEXT($F1644), S$1 &amp; ""x(\d+)"")), """")"),"")</f>
        <v/>
      </c>
      <c r="T1644" s="9" t="str">
        <f ca="1">IFERROR(__xludf.DUMMYFUNCTION("IFERROR(VALUE(REGEXEXTRACT(TO_TEXT($F1644), T$1 &amp; ""x(\d+)"")), """")"),"")</f>
        <v/>
      </c>
      <c r="U1644" s="9" t="str">
        <f ca="1">IFERROR(__xludf.DUMMYFUNCTION("IFERROR(VALUE(REGEXEXTRACT(TO_TEXT($F1644), U$1 &amp; ""x(\d+)"")), """")"),"")</f>
        <v/>
      </c>
      <c r="V1644" s="9" t="str">
        <f ca="1">IFERROR(__xludf.DUMMYFUNCTION("IFERROR(VALUE(REGEXEXTRACT(TO_TEXT($F1644), V$1 &amp; ""x(\d+)"")), """")"),"")</f>
        <v/>
      </c>
      <c r="W1644" s="9"/>
      <c r="X1644" s="9"/>
      <c r="Y1644" s="9"/>
      <c r="Z1644" s="9"/>
    </row>
    <row r="1645" spans="1:26" ht="15.75" customHeight="1">
      <c r="A1645" s="9" t="s">
        <v>2671</v>
      </c>
      <c r="B1645" s="9" t="s">
        <v>2672</v>
      </c>
      <c r="C1645" s="9" t="s">
        <v>2673</v>
      </c>
      <c r="D1645" s="9" t="s">
        <v>48</v>
      </c>
      <c r="E1645" s="9" t="s">
        <v>13</v>
      </c>
      <c r="F1645" s="9" t="s">
        <v>1206</v>
      </c>
      <c r="G1645" s="9">
        <v>30</v>
      </c>
      <c r="H1645" s="9">
        <v>3</v>
      </c>
      <c r="I1645" s="9">
        <v>1.0149999999999999</v>
      </c>
      <c r="J1645" s="9">
        <v>52</v>
      </c>
      <c r="K1645" s="9" t="s">
        <v>424</v>
      </c>
      <c r="L1645" s="9"/>
      <c r="M1645" s="9"/>
      <c r="N1645" s="9" t="str">
        <f ca="1">IFERROR(__xludf.DUMMYFUNCTION("IFERROR(VALUE(REGEXEXTRACT(TO_TEXT($F1645), N$1 &amp; ""x(\d+)"")), """")
"),"")</f>
        <v/>
      </c>
      <c r="O1645" s="9" t="str">
        <f ca="1">IFERROR(__xludf.DUMMYFUNCTION("IFERROR(VALUE(REGEXEXTRACT(TO_TEXT($F1645), O$1 &amp; ""x(\d+)"")), """")"),"")</f>
        <v/>
      </c>
      <c r="P1645" s="9">
        <f ca="1">IFERROR(__xludf.DUMMYFUNCTION("IFERROR(VALUE(REGEXEXTRACT(TO_TEXT($F1645), P$1 &amp; ""x(\d+)"")), """")"),1)</f>
        <v>1</v>
      </c>
      <c r="Q1645" s="9" t="str">
        <f ca="1">IFERROR(__xludf.DUMMYFUNCTION("IFERROR(VALUE(REGEXEXTRACT(TO_TEXT($F1645), Q$1 &amp; ""x(\d+)"")), """")"),"")</f>
        <v/>
      </c>
      <c r="R1645" s="9" t="str">
        <f ca="1">IFERROR(__xludf.DUMMYFUNCTION("IFERROR(VALUE(REGEXEXTRACT(TO_TEXT($F1645), R$1 &amp; ""x(\d+)"")), """")"),"")</f>
        <v/>
      </c>
      <c r="S1645" s="9" t="str">
        <f ca="1">IFERROR(__xludf.DUMMYFUNCTION("IFERROR(VALUE(REGEXEXTRACT(TO_TEXT($F1645), S$1 &amp; ""x(\d+)"")), """")"),"")</f>
        <v/>
      </c>
      <c r="T1645" s="9" t="str">
        <f ca="1">IFERROR(__xludf.DUMMYFUNCTION("IFERROR(VALUE(REGEXEXTRACT(TO_TEXT($F1645), T$1 &amp; ""x(\d+)"")), """")"),"")</f>
        <v/>
      </c>
      <c r="U1645" s="9" t="str">
        <f ca="1">IFERROR(__xludf.DUMMYFUNCTION("IFERROR(VALUE(REGEXEXTRACT(TO_TEXT($F1645), U$1 &amp; ""x(\d+)"")), """")"),"")</f>
        <v/>
      </c>
      <c r="V1645" s="9" t="str">
        <f ca="1">IFERROR(__xludf.DUMMYFUNCTION("IFERROR(VALUE(REGEXEXTRACT(TO_TEXT($F1645), V$1 &amp; ""x(\d+)"")), """")"),"")</f>
        <v/>
      </c>
      <c r="W1645" s="9"/>
      <c r="X1645" s="9"/>
      <c r="Y1645" s="9"/>
      <c r="Z1645" s="9"/>
    </row>
    <row r="1646" spans="1:26" ht="15.75" customHeight="1">
      <c r="A1646" s="9" t="s">
        <v>2671</v>
      </c>
      <c r="B1646" s="9" t="s">
        <v>2672</v>
      </c>
      <c r="C1646" s="9" t="s">
        <v>2673</v>
      </c>
      <c r="D1646" s="9" t="s">
        <v>74</v>
      </c>
      <c r="E1646" s="9" t="s">
        <v>11</v>
      </c>
      <c r="F1646" s="9" t="s">
        <v>1204</v>
      </c>
      <c r="G1646" s="9">
        <v>30</v>
      </c>
      <c r="H1646" s="9">
        <v>2</v>
      </c>
      <c r="I1646" s="9">
        <v>1.0149999999999999</v>
      </c>
      <c r="J1646" s="9">
        <v>103</v>
      </c>
      <c r="K1646" s="9" t="s">
        <v>424</v>
      </c>
      <c r="L1646" s="9"/>
      <c r="M1646" s="9"/>
      <c r="N1646" s="9" t="str">
        <f ca="1">IFERROR(__xludf.DUMMYFUNCTION("IFERROR(VALUE(REGEXEXTRACT(TO_TEXT($F1646), N$1 &amp; ""x(\d+)"")), """")
"),"")</f>
        <v/>
      </c>
      <c r="O1646" s="9" t="str">
        <f ca="1">IFERROR(__xludf.DUMMYFUNCTION("IFERROR(VALUE(REGEXEXTRACT(TO_TEXT($F1646), O$1 &amp; ""x(\d+)"")), """")"),"")</f>
        <v/>
      </c>
      <c r="P1646" s="9" t="str">
        <f ca="1">IFERROR(__xludf.DUMMYFUNCTION("IFERROR(VALUE(REGEXEXTRACT(TO_TEXT($F1646), P$1 &amp; ""x(\d+)"")), """")"),"")</f>
        <v/>
      </c>
      <c r="Q1646" s="9" t="str">
        <f ca="1">IFERROR(__xludf.DUMMYFUNCTION("IFERROR(VALUE(REGEXEXTRACT(TO_TEXT($F1646), Q$1 &amp; ""x(\d+)"")), """")"),"")</f>
        <v/>
      </c>
      <c r="R1646" s="9" t="str">
        <f ca="1">IFERROR(__xludf.DUMMYFUNCTION("IFERROR(VALUE(REGEXEXTRACT(TO_TEXT($F1646), R$1 &amp; ""x(\d+)"")), """")"),"")</f>
        <v/>
      </c>
      <c r="S1646" s="9" t="str">
        <f ca="1">IFERROR(__xludf.DUMMYFUNCTION("IFERROR(VALUE(REGEXEXTRACT(TO_TEXT($F1646), S$1 &amp; ""x(\d+)"")), """")"),"")</f>
        <v/>
      </c>
      <c r="T1646" s="9" t="str">
        <f ca="1">IFERROR(__xludf.DUMMYFUNCTION("IFERROR(VALUE(REGEXEXTRACT(TO_TEXT($F1646), T$1 &amp; ""x(\d+)"")), """")"),"")</f>
        <v/>
      </c>
      <c r="U1646" s="9" t="str">
        <f ca="1">IFERROR(__xludf.DUMMYFUNCTION("IFERROR(VALUE(REGEXEXTRACT(TO_TEXT($F1646), U$1 &amp; ""x(\d+)"")), """")"),"")</f>
        <v/>
      </c>
      <c r="V1646" s="9" t="str">
        <f ca="1">IFERROR(__xludf.DUMMYFUNCTION("IFERROR(VALUE(REGEXEXTRACT(TO_TEXT($F1646), V$1 &amp; ""x(\d+)"")), """")"),"")</f>
        <v/>
      </c>
      <c r="W1646" s="9"/>
      <c r="X1646" s="9"/>
      <c r="Y1646" s="9"/>
      <c r="Z1646" s="9"/>
    </row>
    <row r="1647" spans="1:26" ht="15.75" customHeight="1">
      <c r="A1647" s="9" t="s">
        <v>2671</v>
      </c>
      <c r="B1647" s="9" t="s">
        <v>2672</v>
      </c>
      <c r="C1647" s="9" t="s">
        <v>2673</v>
      </c>
      <c r="D1647" s="9" t="s">
        <v>74</v>
      </c>
      <c r="E1647" s="9" t="s">
        <v>12</v>
      </c>
      <c r="F1647" s="9" t="s">
        <v>2667</v>
      </c>
      <c r="G1647" s="9">
        <v>170</v>
      </c>
      <c r="H1647" s="9">
        <v>2</v>
      </c>
      <c r="I1647" s="9">
        <v>1.0149999999999999</v>
      </c>
      <c r="J1647" s="9">
        <v>103</v>
      </c>
      <c r="K1647" s="9" t="s">
        <v>424</v>
      </c>
      <c r="L1647" s="9" t="s">
        <v>1169</v>
      </c>
      <c r="M1647" s="9"/>
      <c r="N1647" s="9" t="str">
        <f ca="1">IFERROR(__xludf.DUMMYFUNCTION("IFERROR(VALUE(REGEXEXTRACT(TO_TEXT($F1647), N$1 &amp; ""x(\d+)"")), """")
"),"")</f>
        <v/>
      </c>
      <c r="O1647" s="9" t="str">
        <f ca="1">IFERROR(__xludf.DUMMYFUNCTION("IFERROR(VALUE(REGEXEXTRACT(TO_TEXT($F1647), O$1 &amp; ""x(\d+)"")), """")"),"")</f>
        <v/>
      </c>
      <c r="P1647" s="9" t="str">
        <f ca="1">IFERROR(__xludf.DUMMYFUNCTION("IFERROR(VALUE(REGEXEXTRACT(TO_TEXT($F1647), P$1 &amp; ""x(\d+)"")), """")"),"")</f>
        <v/>
      </c>
      <c r="Q1647" s="9">
        <f ca="1">IFERROR(__xludf.DUMMYFUNCTION("IFERROR(VALUE(REGEXEXTRACT(TO_TEXT($F1647), Q$1 &amp; ""x(\d+)"")), """")"),1)</f>
        <v>1</v>
      </c>
      <c r="R1647" s="9">
        <f ca="1">IFERROR(__xludf.DUMMYFUNCTION("IFERROR(VALUE(REGEXEXTRACT(TO_TEXT($F1647), R$1 &amp; ""x(\d+)"")), """")"),1)</f>
        <v>1</v>
      </c>
      <c r="S1647" s="9" t="str">
        <f ca="1">IFERROR(__xludf.DUMMYFUNCTION("IFERROR(VALUE(REGEXEXTRACT(TO_TEXT($F1647), S$1 &amp; ""x(\d+)"")), """")"),"")</f>
        <v/>
      </c>
      <c r="T1647" s="9" t="str">
        <f ca="1">IFERROR(__xludf.DUMMYFUNCTION("IFERROR(VALUE(REGEXEXTRACT(TO_TEXT($F1647), T$1 &amp; ""x(\d+)"")), """")"),"")</f>
        <v/>
      </c>
      <c r="U1647" s="9" t="str">
        <f ca="1">IFERROR(__xludf.DUMMYFUNCTION("IFERROR(VALUE(REGEXEXTRACT(TO_TEXT($F1647), U$1 &amp; ""x(\d+)"")), """")"),"")</f>
        <v/>
      </c>
      <c r="V1647" s="9" t="str">
        <f ca="1">IFERROR(__xludf.DUMMYFUNCTION("IFERROR(VALUE(REGEXEXTRACT(TO_TEXT($F1647), V$1 &amp; ""x(\d+)"")), """")"),"")</f>
        <v/>
      </c>
      <c r="W1647" s="9"/>
      <c r="X1647" s="9"/>
      <c r="Y1647" s="9"/>
      <c r="Z1647" s="9"/>
    </row>
    <row r="1648" spans="1:26" ht="15.75" customHeight="1">
      <c r="A1648" s="9" t="s">
        <v>2671</v>
      </c>
      <c r="B1648" s="9" t="s">
        <v>2672</v>
      </c>
      <c r="C1648" s="9" t="s">
        <v>2673</v>
      </c>
      <c r="D1648" s="9" t="s">
        <v>74</v>
      </c>
      <c r="E1648" s="9" t="s">
        <v>13</v>
      </c>
      <c r="F1648" s="9" t="s">
        <v>2668</v>
      </c>
      <c r="G1648" s="9">
        <v>30</v>
      </c>
      <c r="H1648" s="9">
        <v>2</v>
      </c>
      <c r="I1648" s="9">
        <v>1.0149999999999999</v>
      </c>
      <c r="J1648" s="9">
        <v>103</v>
      </c>
      <c r="K1648" s="9" t="s">
        <v>424</v>
      </c>
      <c r="L1648" s="9"/>
      <c r="M1648" s="9"/>
      <c r="N1648" s="9" t="str">
        <f ca="1">IFERROR(__xludf.DUMMYFUNCTION("IFERROR(VALUE(REGEXEXTRACT(TO_TEXT($F1648), N$1 &amp; ""x(\d+)"")), """")
"),"")</f>
        <v/>
      </c>
      <c r="O1648" s="9" t="str">
        <f ca="1">IFERROR(__xludf.DUMMYFUNCTION("IFERROR(VALUE(REGEXEXTRACT(TO_TEXT($F1648), O$1 &amp; ""x(\d+)"")), """")"),"")</f>
        <v/>
      </c>
      <c r="P1648" s="9" t="str">
        <f ca="1">IFERROR(__xludf.DUMMYFUNCTION("IFERROR(VALUE(REGEXEXTRACT(TO_TEXT($F1648), P$1 &amp; ""x(\d+)"")), """")"),"")</f>
        <v/>
      </c>
      <c r="Q1648" s="9">
        <f ca="1">IFERROR(__xludf.DUMMYFUNCTION("IFERROR(VALUE(REGEXEXTRACT(TO_TEXT($F1648), Q$1 &amp; ""x(\d+)"")), """")"),1)</f>
        <v>1</v>
      </c>
      <c r="R1648" s="9">
        <f ca="1">IFERROR(__xludf.DUMMYFUNCTION("IFERROR(VALUE(REGEXEXTRACT(TO_TEXT($F1648), R$1 &amp; ""x(\d+)"")), """")"),1)</f>
        <v>1</v>
      </c>
      <c r="S1648" s="9" t="str">
        <f ca="1">IFERROR(__xludf.DUMMYFUNCTION("IFERROR(VALUE(REGEXEXTRACT(TO_TEXT($F1648), S$1 &amp; ""x(\d+)"")), """")"),"")</f>
        <v/>
      </c>
      <c r="T1648" s="9" t="str">
        <f ca="1">IFERROR(__xludf.DUMMYFUNCTION("IFERROR(VALUE(REGEXEXTRACT(TO_TEXT($F1648), T$1 &amp; ""x(\d+)"")), """")"),"")</f>
        <v/>
      </c>
      <c r="U1648" s="9" t="str">
        <f ca="1">IFERROR(__xludf.DUMMYFUNCTION("IFERROR(VALUE(REGEXEXTRACT(TO_TEXT($F1648), U$1 &amp; ""x(\d+)"")), """")"),"")</f>
        <v/>
      </c>
      <c r="V1648" s="9" t="str">
        <f ca="1">IFERROR(__xludf.DUMMYFUNCTION("IFERROR(VALUE(REGEXEXTRACT(TO_TEXT($F1648), V$1 &amp; ""x(\d+)"")), """")"),"")</f>
        <v/>
      </c>
      <c r="W1648" s="9"/>
      <c r="X1648" s="9"/>
      <c r="Y1648" s="9"/>
      <c r="Z1648" s="9"/>
    </row>
    <row r="1649" spans="1:26" ht="15.75" customHeight="1">
      <c r="A1649" s="9" t="s">
        <v>2674</v>
      </c>
      <c r="B1649" s="9" t="s">
        <v>2675</v>
      </c>
      <c r="C1649" s="9" t="s">
        <v>2676</v>
      </c>
      <c r="D1649" s="9" t="s">
        <v>33</v>
      </c>
      <c r="E1649" s="9" t="s">
        <v>11</v>
      </c>
      <c r="F1649" s="9" t="s">
        <v>1263</v>
      </c>
      <c r="G1649" s="9">
        <v>35</v>
      </c>
      <c r="H1649" s="9">
        <v>4</v>
      </c>
      <c r="I1649" s="9">
        <v>1.0149999999999999</v>
      </c>
      <c r="J1649" s="9">
        <v>78</v>
      </c>
      <c r="K1649" s="9" t="s">
        <v>424</v>
      </c>
      <c r="L1649" s="9"/>
      <c r="M1649" s="9"/>
      <c r="N1649" s="9" t="str">
        <f ca="1">IFERROR(__xludf.DUMMYFUNCTION("IFERROR(VALUE(REGEXEXTRACT(TO_TEXT($F1649), N$1 &amp; ""x(\d+)"")), """")
"),"")</f>
        <v/>
      </c>
      <c r="O1649" s="9" t="str">
        <f ca="1">IFERROR(__xludf.DUMMYFUNCTION("IFERROR(VALUE(REGEXEXTRACT(TO_TEXT($F1649), O$1 &amp; ""x(\d+)"")), """")"),"")</f>
        <v/>
      </c>
      <c r="P1649" s="9" t="str">
        <f ca="1">IFERROR(__xludf.DUMMYFUNCTION("IFERROR(VALUE(REGEXEXTRACT(TO_TEXT($F1649), P$1 &amp; ""x(\d+)"")), """")"),"")</f>
        <v/>
      </c>
      <c r="Q1649" s="9" t="str">
        <f ca="1">IFERROR(__xludf.DUMMYFUNCTION("IFERROR(VALUE(REGEXEXTRACT(TO_TEXT($F1649), Q$1 &amp; ""x(\d+)"")), """")"),"")</f>
        <v/>
      </c>
      <c r="R1649" s="9" t="str">
        <f ca="1">IFERROR(__xludf.DUMMYFUNCTION("IFERROR(VALUE(REGEXEXTRACT(TO_TEXT($F1649), R$1 &amp; ""x(\d+)"")), """")"),"")</f>
        <v/>
      </c>
      <c r="S1649" s="9" t="str">
        <f ca="1">IFERROR(__xludf.DUMMYFUNCTION("IFERROR(VALUE(REGEXEXTRACT(TO_TEXT($F1649), S$1 &amp; ""x(\d+)"")), """")"),"")</f>
        <v/>
      </c>
      <c r="T1649" s="9" t="str">
        <f ca="1">IFERROR(__xludf.DUMMYFUNCTION("IFERROR(VALUE(REGEXEXTRACT(TO_TEXT($F1649), T$1 &amp; ""x(\d+)"")), """")"),"")</f>
        <v/>
      </c>
      <c r="U1649" s="9" t="str">
        <f ca="1">IFERROR(__xludf.DUMMYFUNCTION("IFERROR(VALUE(REGEXEXTRACT(TO_TEXT($F1649), U$1 &amp; ""x(\d+)"")), """")"),"")</f>
        <v/>
      </c>
      <c r="V1649" s="9" t="str">
        <f ca="1">IFERROR(__xludf.DUMMYFUNCTION("IFERROR(VALUE(REGEXEXTRACT(TO_TEXT($F1649), V$1 &amp; ""x(\d+)"")), """")"),"")</f>
        <v/>
      </c>
      <c r="W1649" s="9"/>
      <c r="X1649" s="9"/>
      <c r="Y1649" s="9"/>
      <c r="Z1649" s="9"/>
    </row>
    <row r="1650" spans="1:26" ht="15.75" customHeight="1">
      <c r="A1650" s="9" t="s">
        <v>2674</v>
      </c>
      <c r="B1650" s="9" t="s">
        <v>2675</v>
      </c>
      <c r="C1650" s="9" t="s">
        <v>2676</v>
      </c>
      <c r="D1650" s="9" t="s">
        <v>33</v>
      </c>
      <c r="E1650" s="9" t="s">
        <v>12</v>
      </c>
      <c r="F1650" s="9" t="s">
        <v>1264</v>
      </c>
      <c r="G1650" s="9">
        <v>125</v>
      </c>
      <c r="H1650" s="9">
        <v>4</v>
      </c>
      <c r="I1650" s="9">
        <v>1.0149999999999999</v>
      </c>
      <c r="J1650" s="9">
        <v>78</v>
      </c>
      <c r="K1650" s="9" t="s">
        <v>424</v>
      </c>
      <c r="L1650" s="9"/>
      <c r="M1650" s="9"/>
      <c r="N1650" s="9" t="str">
        <f ca="1">IFERROR(__xludf.DUMMYFUNCTION("IFERROR(VALUE(REGEXEXTRACT(TO_TEXT($F1650), N$1 &amp; ""x(\d+)"")), """")
"),"")</f>
        <v/>
      </c>
      <c r="O1650" s="9">
        <f ca="1">IFERROR(__xludf.DUMMYFUNCTION("IFERROR(VALUE(REGEXEXTRACT(TO_TEXT($F1650), O$1 &amp; ""x(\d+)"")), """")"),1)</f>
        <v>1</v>
      </c>
      <c r="P1650" s="9" t="str">
        <f ca="1">IFERROR(__xludf.DUMMYFUNCTION("IFERROR(VALUE(REGEXEXTRACT(TO_TEXT($F1650), P$1 &amp; ""x(\d+)"")), """")"),"")</f>
        <v/>
      </c>
      <c r="Q1650" s="9" t="str">
        <f ca="1">IFERROR(__xludf.DUMMYFUNCTION("IFERROR(VALUE(REGEXEXTRACT(TO_TEXT($F1650), Q$1 &amp; ""x(\d+)"")), """")"),"")</f>
        <v/>
      </c>
      <c r="R1650" s="9" t="str">
        <f ca="1">IFERROR(__xludf.DUMMYFUNCTION("IFERROR(VALUE(REGEXEXTRACT(TO_TEXT($F1650), R$1 &amp; ""x(\d+)"")), """")"),"")</f>
        <v/>
      </c>
      <c r="S1650" s="9" t="str">
        <f ca="1">IFERROR(__xludf.DUMMYFUNCTION("IFERROR(VALUE(REGEXEXTRACT(TO_TEXT($F1650), S$1 &amp; ""x(\d+)"")), """")"),"")</f>
        <v/>
      </c>
      <c r="T1650" s="9" t="str">
        <f ca="1">IFERROR(__xludf.DUMMYFUNCTION("IFERROR(VALUE(REGEXEXTRACT(TO_TEXT($F1650), T$1 &amp; ""x(\d+)"")), """")"),"")</f>
        <v/>
      </c>
      <c r="U1650" s="9" t="str">
        <f ca="1">IFERROR(__xludf.DUMMYFUNCTION("IFERROR(VALUE(REGEXEXTRACT(TO_TEXT($F1650), U$1 &amp; ""x(\d+)"")), """")"),"")</f>
        <v/>
      </c>
      <c r="V1650" s="9" t="str">
        <f ca="1">IFERROR(__xludf.DUMMYFUNCTION("IFERROR(VALUE(REGEXEXTRACT(TO_TEXT($F1650), V$1 &amp; ""x(\d+)"")), """")"),"")</f>
        <v/>
      </c>
      <c r="W1650" s="9"/>
      <c r="X1650" s="9"/>
      <c r="Y1650" s="9"/>
      <c r="Z1650" s="9"/>
    </row>
    <row r="1651" spans="1:26" ht="15.75" customHeight="1">
      <c r="A1651" s="9" t="s">
        <v>2674</v>
      </c>
      <c r="B1651" s="9" t="s">
        <v>2675</v>
      </c>
      <c r="C1651" s="9" t="s">
        <v>2676</v>
      </c>
      <c r="D1651" s="9" t="s">
        <v>33</v>
      </c>
      <c r="E1651" s="9" t="s">
        <v>13</v>
      </c>
      <c r="F1651" s="9" t="s">
        <v>1058</v>
      </c>
      <c r="G1651" s="9">
        <v>15</v>
      </c>
      <c r="H1651" s="9">
        <v>4</v>
      </c>
      <c r="I1651" s="9">
        <v>1.0149999999999999</v>
      </c>
      <c r="J1651" s="9">
        <v>78</v>
      </c>
      <c r="K1651" s="9" t="s">
        <v>424</v>
      </c>
      <c r="L1651" s="9"/>
      <c r="M1651" s="9"/>
      <c r="N1651" s="9" t="str">
        <f ca="1">IFERROR(__xludf.DUMMYFUNCTION("IFERROR(VALUE(REGEXEXTRACT(TO_TEXT($F1651), N$1 &amp; ""x(\d+)"")), """")
"),"")</f>
        <v/>
      </c>
      <c r="O1651" s="9">
        <f ca="1">IFERROR(__xludf.DUMMYFUNCTION("IFERROR(VALUE(REGEXEXTRACT(TO_TEXT($F1651), O$1 &amp; ""x(\d+)"")), """")"),1)</f>
        <v>1</v>
      </c>
      <c r="P1651" s="9" t="str">
        <f ca="1">IFERROR(__xludf.DUMMYFUNCTION("IFERROR(VALUE(REGEXEXTRACT(TO_TEXT($F1651), P$1 &amp; ""x(\d+)"")), """")"),"")</f>
        <v/>
      </c>
      <c r="Q1651" s="9" t="str">
        <f ca="1">IFERROR(__xludf.DUMMYFUNCTION("IFERROR(VALUE(REGEXEXTRACT(TO_TEXT($F1651), Q$1 &amp; ""x(\d+)"")), """")"),"")</f>
        <v/>
      </c>
      <c r="R1651" s="9" t="str">
        <f ca="1">IFERROR(__xludf.DUMMYFUNCTION("IFERROR(VALUE(REGEXEXTRACT(TO_TEXT($F1651), R$1 &amp; ""x(\d+)"")), """")"),"")</f>
        <v/>
      </c>
      <c r="S1651" s="9" t="str">
        <f ca="1">IFERROR(__xludf.DUMMYFUNCTION("IFERROR(VALUE(REGEXEXTRACT(TO_TEXT($F1651), S$1 &amp; ""x(\d+)"")), """")"),"")</f>
        <v/>
      </c>
      <c r="T1651" s="9" t="str">
        <f ca="1">IFERROR(__xludf.DUMMYFUNCTION("IFERROR(VALUE(REGEXEXTRACT(TO_TEXT($F1651), T$1 &amp; ""x(\d+)"")), """")"),"")</f>
        <v/>
      </c>
      <c r="U1651" s="9" t="str">
        <f ca="1">IFERROR(__xludf.DUMMYFUNCTION("IFERROR(VALUE(REGEXEXTRACT(TO_TEXT($F1651), U$1 &amp; ""x(\d+)"")), """")"),"")</f>
        <v/>
      </c>
      <c r="V1651" s="9" t="str">
        <f ca="1">IFERROR(__xludf.DUMMYFUNCTION("IFERROR(VALUE(REGEXEXTRACT(TO_TEXT($F1651), V$1 &amp; ""x(\d+)"")), """")"),"")</f>
        <v/>
      </c>
      <c r="W1651" s="9"/>
      <c r="X1651" s="9"/>
      <c r="Y1651" s="9"/>
      <c r="Z1651" s="9"/>
    </row>
    <row r="1652" spans="1:26" ht="15.75" customHeight="1">
      <c r="A1652" s="9" t="s">
        <v>2677</v>
      </c>
      <c r="B1652" s="9" t="s">
        <v>2678</v>
      </c>
      <c r="C1652" s="9" t="s">
        <v>2679</v>
      </c>
      <c r="D1652" s="9" t="s">
        <v>48</v>
      </c>
      <c r="E1652" s="9" t="s">
        <v>11</v>
      </c>
      <c r="F1652" s="9" t="s">
        <v>1451</v>
      </c>
      <c r="G1652" s="9">
        <v>60</v>
      </c>
      <c r="H1652" s="9">
        <v>3</v>
      </c>
      <c r="I1652" s="9">
        <v>1.0149999999999999</v>
      </c>
      <c r="J1652" s="9">
        <v>51.5</v>
      </c>
      <c r="K1652" s="9" t="s">
        <v>424</v>
      </c>
      <c r="L1652" s="9"/>
      <c r="M1652" s="9"/>
      <c r="N1652" s="9">
        <f ca="1">IFERROR(__xludf.DUMMYFUNCTION("IFERROR(VALUE(REGEXEXTRACT(TO_TEXT($F1652), N$1 &amp; ""x(\d+)"")), """")
"),1)</f>
        <v>1</v>
      </c>
      <c r="O1652" s="9">
        <f ca="1">IFERROR(__xludf.DUMMYFUNCTION("IFERROR(VALUE(REGEXEXTRACT(TO_TEXT($F1652), O$1 &amp; ""x(\d+)"")), """")"),1)</f>
        <v>1</v>
      </c>
      <c r="P1652" s="9" t="str">
        <f ca="1">IFERROR(__xludf.DUMMYFUNCTION("IFERROR(VALUE(REGEXEXTRACT(TO_TEXT($F1652), P$1 &amp; ""x(\d+)"")), """")"),"")</f>
        <v/>
      </c>
      <c r="Q1652" s="9" t="str">
        <f ca="1">IFERROR(__xludf.DUMMYFUNCTION("IFERROR(VALUE(REGEXEXTRACT(TO_TEXT($F1652), Q$1 &amp; ""x(\d+)"")), """")"),"")</f>
        <v/>
      </c>
      <c r="R1652" s="9" t="str">
        <f ca="1">IFERROR(__xludf.DUMMYFUNCTION("IFERROR(VALUE(REGEXEXTRACT(TO_TEXT($F1652), R$1 &amp; ""x(\d+)"")), """")"),"")</f>
        <v/>
      </c>
      <c r="S1652" s="9" t="str">
        <f ca="1">IFERROR(__xludf.DUMMYFUNCTION("IFERROR(VALUE(REGEXEXTRACT(TO_TEXT($F1652), S$1 &amp; ""x(\d+)"")), """")"),"")</f>
        <v/>
      </c>
      <c r="T1652" s="9" t="str">
        <f ca="1">IFERROR(__xludf.DUMMYFUNCTION("IFERROR(VALUE(REGEXEXTRACT(TO_TEXT($F1652), T$1 &amp; ""x(\d+)"")), """")"),"")</f>
        <v/>
      </c>
      <c r="U1652" s="9" t="str">
        <f ca="1">IFERROR(__xludf.DUMMYFUNCTION("IFERROR(VALUE(REGEXEXTRACT(TO_TEXT($F1652), U$1 &amp; ""x(\d+)"")), """")"),"")</f>
        <v/>
      </c>
      <c r="V1652" s="9" t="str">
        <f ca="1">IFERROR(__xludf.DUMMYFUNCTION("IFERROR(VALUE(REGEXEXTRACT(TO_TEXT($F1652), V$1 &amp; ""x(\d+)"")), """")"),"")</f>
        <v/>
      </c>
      <c r="W1652" s="9"/>
      <c r="X1652" s="9"/>
      <c r="Y1652" s="9"/>
      <c r="Z1652" s="9"/>
    </row>
    <row r="1653" spans="1:26" ht="15.75" customHeight="1">
      <c r="A1653" s="9" t="s">
        <v>2677</v>
      </c>
      <c r="B1653" s="9" t="s">
        <v>2678</v>
      </c>
      <c r="C1653" s="9" t="s">
        <v>2679</v>
      </c>
      <c r="D1653" s="9" t="s">
        <v>48</v>
      </c>
      <c r="E1653" s="9" t="s">
        <v>12</v>
      </c>
      <c r="F1653" s="9" t="s">
        <v>1452</v>
      </c>
      <c r="G1653" s="9">
        <v>125</v>
      </c>
      <c r="H1653" s="9">
        <v>3</v>
      </c>
      <c r="I1653" s="9">
        <v>1.0149999999999999</v>
      </c>
      <c r="J1653" s="9">
        <v>51.5</v>
      </c>
      <c r="K1653" s="9" t="s">
        <v>424</v>
      </c>
      <c r="L1653" s="9" t="s">
        <v>1062</v>
      </c>
      <c r="M1653" s="9"/>
      <c r="N1653" s="9" t="str">
        <f ca="1">IFERROR(__xludf.DUMMYFUNCTION("IFERROR(VALUE(REGEXEXTRACT(TO_TEXT($F1653), N$1 &amp; ""x(\d+)"")), """")
"),"")</f>
        <v/>
      </c>
      <c r="O1653" s="9">
        <f ca="1">IFERROR(__xludf.DUMMYFUNCTION("IFERROR(VALUE(REGEXEXTRACT(TO_TEXT($F1653), O$1 &amp; ""x(\d+)"")), """")"),1)</f>
        <v>1</v>
      </c>
      <c r="P1653" s="9">
        <f ca="1">IFERROR(__xludf.DUMMYFUNCTION("IFERROR(VALUE(REGEXEXTRACT(TO_TEXT($F1653), P$1 &amp; ""x(\d+)"")), """")"),1)</f>
        <v>1</v>
      </c>
      <c r="Q1653" s="9" t="str">
        <f ca="1">IFERROR(__xludf.DUMMYFUNCTION("IFERROR(VALUE(REGEXEXTRACT(TO_TEXT($F1653), Q$1 &amp; ""x(\d+)"")), """")"),"")</f>
        <v/>
      </c>
      <c r="R1653" s="9" t="str">
        <f ca="1">IFERROR(__xludf.DUMMYFUNCTION("IFERROR(VALUE(REGEXEXTRACT(TO_TEXT($F1653), R$1 &amp; ""x(\d+)"")), """")"),"")</f>
        <v/>
      </c>
      <c r="S1653" s="9" t="str">
        <f ca="1">IFERROR(__xludf.DUMMYFUNCTION("IFERROR(VALUE(REGEXEXTRACT(TO_TEXT($F1653), S$1 &amp; ""x(\d+)"")), """")"),"")</f>
        <v/>
      </c>
      <c r="T1653" s="9" t="str">
        <f ca="1">IFERROR(__xludf.DUMMYFUNCTION("IFERROR(VALUE(REGEXEXTRACT(TO_TEXT($F1653), T$1 &amp; ""x(\d+)"")), """")"),"")</f>
        <v/>
      </c>
      <c r="U1653" s="9" t="str">
        <f ca="1">IFERROR(__xludf.DUMMYFUNCTION("IFERROR(VALUE(REGEXEXTRACT(TO_TEXT($F1653), U$1 &amp; ""x(\d+)"")), """")"),"")</f>
        <v/>
      </c>
      <c r="V1653" s="9" t="str">
        <f ca="1">IFERROR(__xludf.DUMMYFUNCTION("IFERROR(VALUE(REGEXEXTRACT(TO_TEXT($F1653), V$1 &amp; ""x(\d+)"")), """")"),"")</f>
        <v/>
      </c>
      <c r="W1653" s="9"/>
      <c r="X1653" s="9"/>
      <c r="Y1653" s="9"/>
      <c r="Z1653" s="9"/>
    </row>
    <row r="1654" spans="1:26" ht="15.75" customHeight="1">
      <c r="A1654" s="9" t="s">
        <v>2677</v>
      </c>
      <c r="B1654" s="9" t="s">
        <v>2678</v>
      </c>
      <c r="C1654" s="9" t="s">
        <v>2679</v>
      </c>
      <c r="D1654" s="9" t="s">
        <v>48</v>
      </c>
      <c r="E1654" s="9" t="s">
        <v>13</v>
      </c>
      <c r="F1654" s="9" t="s">
        <v>1063</v>
      </c>
      <c r="G1654" s="9">
        <v>90</v>
      </c>
      <c r="H1654" s="9">
        <v>3</v>
      </c>
      <c r="I1654" s="9">
        <v>1.0149999999999999</v>
      </c>
      <c r="J1654" s="9">
        <v>51.5</v>
      </c>
      <c r="K1654" s="9" t="s">
        <v>424</v>
      </c>
      <c r="L1654" s="9"/>
      <c r="M1654" s="9"/>
      <c r="N1654" s="9" t="str">
        <f ca="1">IFERROR(__xludf.DUMMYFUNCTION("IFERROR(VALUE(REGEXEXTRACT(TO_TEXT($F1654), N$1 &amp; ""x(\d+)"")), """")
"),"")</f>
        <v/>
      </c>
      <c r="O1654" s="9">
        <f ca="1">IFERROR(__xludf.DUMMYFUNCTION("IFERROR(VALUE(REGEXEXTRACT(TO_TEXT($F1654), O$1 &amp; ""x(\d+)"")), """")"),1)</f>
        <v>1</v>
      </c>
      <c r="P1654" s="9">
        <f ca="1">IFERROR(__xludf.DUMMYFUNCTION("IFERROR(VALUE(REGEXEXTRACT(TO_TEXT($F1654), P$1 &amp; ""x(\d+)"")), """")"),1)</f>
        <v>1</v>
      </c>
      <c r="Q1654" s="9" t="str">
        <f ca="1">IFERROR(__xludf.DUMMYFUNCTION("IFERROR(VALUE(REGEXEXTRACT(TO_TEXT($F1654), Q$1 &amp; ""x(\d+)"")), """")"),"")</f>
        <v/>
      </c>
      <c r="R1654" s="9" t="str">
        <f ca="1">IFERROR(__xludf.DUMMYFUNCTION("IFERROR(VALUE(REGEXEXTRACT(TO_TEXT($F1654), R$1 &amp; ""x(\d+)"")), """")"),"")</f>
        <v/>
      </c>
      <c r="S1654" s="9" t="str">
        <f ca="1">IFERROR(__xludf.DUMMYFUNCTION("IFERROR(VALUE(REGEXEXTRACT(TO_TEXT($F1654), S$1 &amp; ""x(\d+)"")), """")"),"")</f>
        <v/>
      </c>
      <c r="T1654" s="9" t="str">
        <f ca="1">IFERROR(__xludf.DUMMYFUNCTION("IFERROR(VALUE(REGEXEXTRACT(TO_TEXT($F1654), T$1 &amp; ""x(\d+)"")), """")"),"")</f>
        <v/>
      </c>
      <c r="U1654" s="9" t="str">
        <f ca="1">IFERROR(__xludf.DUMMYFUNCTION("IFERROR(VALUE(REGEXEXTRACT(TO_TEXT($F1654), U$1 &amp; ""x(\d+)"")), """")"),"")</f>
        <v/>
      </c>
      <c r="V1654" s="9" t="str">
        <f ca="1">IFERROR(__xludf.DUMMYFUNCTION("IFERROR(VALUE(REGEXEXTRACT(TO_TEXT($F1654), V$1 &amp; ""x(\d+)"")), """")"),"")</f>
        <v/>
      </c>
      <c r="W1654" s="9"/>
      <c r="X1654" s="9"/>
      <c r="Y1654" s="9"/>
      <c r="Z1654" s="9"/>
    </row>
    <row r="1655" spans="1:26" ht="15.75" customHeight="1">
      <c r="A1655" s="9" t="s">
        <v>2680</v>
      </c>
      <c r="B1655" s="9" t="s">
        <v>2681</v>
      </c>
      <c r="C1655" s="9" t="s">
        <v>2682</v>
      </c>
      <c r="D1655" s="9" t="s">
        <v>48</v>
      </c>
      <c r="E1655" s="9" t="s">
        <v>11</v>
      </c>
      <c r="F1655" s="9" t="s">
        <v>1455</v>
      </c>
      <c r="G1655" s="9">
        <v>70</v>
      </c>
      <c r="H1655" s="9">
        <v>3</v>
      </c>
      <c r="I1655" s="9">
        <v>1.0149999999999999</v>
      </c>
      <c r="J1655" s="9">
        <v>51.5</v>
      </c>
      <c r="K1655" s="9" t="s">
        <v>424</v>
      </c>
      <c r="L1655" s="9"/>
      <c r="M1655" s="9"/>
      <c r="N1655" s="9">
        <f ca="1">IFERROR(__xludf.DUMMYFUNCTION("IFERROR(VALUE(REGEXEXTRACT(TO_TEXT($F1655), N$1 &amp; ""x(\d+)"")), """")
"),1)</f>
        <v>1</v>
      </c>
      <c r="O1655" s="9">
        <f ca="1">IFERROR(__xludf.DUMMYFUNCTION("IFERROR(VALUE(REGEXEXTRACT(TO_TEXT($F1655), O$1 &amp; ""x(\d+)"")), """")"),1)</f>
        <v>1</v>
      </c>
      <c r="P1655" s="9" t="str">
        <f ca="1">IFERROR(__xludf.DUMMYFUNCTION("IFERROR(VALUE(REGEXEXTRACT(TO_TEXT($F1655), P$1 &amp; ""x(\d+)"")), """")"),"")</f>
        <v/>
      </c>
      <c r="Q1655" s="9" t="str">
        <f ca="1">IFERROR(__xludf.DUMMYFUNCTION("IFERROR(VALUE(REGEXEXTRACT(TO_TEXT($F1655), Q$1 &amp; ""x(\d+)"")), """")"),"")</f>
        <v/>
      </c>
      <c r="R1655" s="9" t="str">
        <f ca="1">IFERROR(__xludf.DUMMYFUNCTION("IFERROR(VALUE(REGEXEXTRACT(TO_TEXT($F1655), R$1 &amp; ""x(\d+)"")), """")"),"")</f>
        <v/>
      </c>
      <c r="S1655" s="9" t="str">
        <f ca="1">IFERROR(__xludf.DUMMYFUNCTION("IFERROR(VALUE(REGEXEXTRACT(TO_TEXT($F1655), S$1 &amp; ""x(\d+)"")), """")"),"")</f>
        <v/>
      </c>
      <c r="T1655" s="9" t="str">
        <f ca="1">IFERROR(__xludf.DUMMYFUNCTION("IFERROR(VALUE(REGEXEXTRACT(TO_TEXT($F1655), T$1 &amp; ""x(\d+)"")), """")"),"")</f>
        <v/>
      </c>
      <c r="U1655" s="9" t="str">
        <f ca="1">IFERROR(__xludf.DUMMYFUNCTION("IFERROR(VALUE(REGEXEXTRACT(TO_TEXT($F1655), U$1 &amp; ""x(\d+)"")), """")"),"")</f>
        <v/>
      </c>
      <c r="V1655" s="9">
        <f ca="1">IFERROR(__xludf.DUMMYFUNCTION("IFERROR(VALUE(REGEXEXTRACT(TO_TEXT($F1655), V$1 &amp; ""x(\d+)"")), """")"),1)</f>
        <v>1</v>
      </c>
      <c r="W1655" s="9"/>
      <c r="X1655" s="9"/>
      <c r="Y1655" s="9"/>
      <c r="Z1655" s="9"/>
    </row>
    <row r="1656" spans="1:26" ht="15.75" customHeight="1">
      <c r="A1656" s="9" t="s">
        <v>2680</v>
      </c>
      <c r="B1656" s="9" t="s">
        <v>2681</v>
      </c>
      <c r="C1656" s="9" t="s">
        <v>2682</v>
      </c>
      <c r="D1656" s="9" t="s">
        <v>48</v>
      </c>
      <c r="E1656" s="9" t="s">
        <v>12</v>
      </c>
      <c r="F1656" s="9" t="s">
        <v>1456</v>
      </c>
      <c r="G1656" s="9">
        <v>150</v>
      </c>
      <c r="H1656" s="9">
        <v>3</v>
      </c>
      <c r="I1656" s="9">
        <v>1.0149999999999999</v>
      </c>
      <c r="J1656" s="9">
        <v>51.5</v>
      </c>
      <c r="K1656" s="9" t="s">
        <v>424</v>
      </c>
      <c r="L1656" s="9" t="s">
        <v>1062</v>
      </c>
      <c r="M1656" s="9"/>
      <c r="N1656" s="9" t="str">
        <f ca="1">IFERROR(__xludf.DUMMYFUNCTION("IFERROR(VALUE(REGEXEXTRACT(TO_TEXT($F1656), N$1 &amp; ""x(\d+)"")), """")
"),"")</f>
        <v/>
      </c>
      <c r="O1656" s="9">
        <f ca="1">IFERROR(__xludf.DUMMYFUNCTION("IFERROR(VALUE(REGEXEXTRACT(TO_TEXT($F1656), O$1 &amp; ""x(\d+)"")), """")"),1)</f>
        <v>1</v>
      </c>
      <c r="P1656" s="9">
        <f ca="1">IFERROR(__xludf.DUMMYFUNCTION("IFERROR(VALUE(REGEXEXTRACT(TO_TEXT($F1656), P$1 &amp; ""x(\d+)"")), """")"),1)</f>
        <v>1</v>
      </c>
      <c r="Q1656" s="9" t="str">
        <f ca="1">IFERROR(__xludf.DUMMYFUNCTION("IFERROR(VALUE(REGEXEXTRACT(TO_TEXT($F1656), Q$1 &amp; ""x(\d+)"")), """")"),"")</f>
        <v/>
      </c>
      <c r="R1656" s="9" t="str">
        <f ca="1">IFERROR(__xludf.DUMMYFUNCTION("IFERROR(VALUE(REGEXEXTRACT(TO_TEXT($F1656), R$1 &amp; ""x(\d+)"")), """")"),"")</f>
        <v/>
      </c>
      <c r="S1656" s="9" t="str">
        <f ca="1">IFERROR(__xludf.DUMMYFUNCTION("IFERROR(VALUE(REGEXEXTRACT(TO_TEXT($F1656), S$1 &amp; ""x(\d+)"")), """")"),"")</f>
        <v/>
      </c>
      <c r="T1656" s="9" t="str">
        <f ca="1">IFERROR(__xludf.DUMMYFUNCTION("IFERROR(VALUE(REGEXEXTRACT(TO_TEXT($F1656), T$1 &amp; ""x(\d+)"")), """")"),"")</f>
        <v/>
      </c>
      <c r="U1656" s="9" t="str">
        <f ca="1">IFERROR(__xludf.DUMMYFUNCTION("IFERROR(VALUE(REGEXEXTRACT(TO_TEXT($F1656), U$1 &amp; ""x(\d+)"")), """")"),"")</f>
        <v/>
      </c>
      <c r="V1656" s="9" t="str">
        <f ca="1">IFERROR(__xludf.DUMMYFUNCTION("IFERROR(VALUE(REGEXEXTRACT(TO_TEXT($F1656), V$1 &amp; ""x(\d+)"")), """")"),"")</f>
        <v/>
      </c>
      <c r="W1656" s="9"/>
      <c r="X1656" s="9"/>
      <c r="Y1656" s="9"/>
      <c r="Z1656" s="9"/>
    </row>
    <row r="1657" spans="1:26" ht="15.75" customHeight="1">
      <c r="A1657" s="9" t="s">
        <v>2680</v>
      </c>
      <c r="B1657" s="9" t="s">
        <v>2681</v>
      </c>
      <c r="C1657" s="9" t="s">
        <v>2682</v>
      </c>
      <c r="D1657" s="9" t="s">
        <v>48</v>
      </c>
      <c r="E1657" s="9" t="s">
        <v>13</v>
      </c>
      <c r="F1657" s="9" t="s">
        <v>1063</v>
      </c>
      <c r="G1657" s="9">
        <v>90</v>
      </c>
      <c r="H1657" s="9">
        <v>3</v>
      </c>
      <c r="I1657" s="9">
        <v>1.0149999999999999</v>
      </c>
      <c r="J1657" s="9">
        <v>51.5</v>
      </c>
      <c r="K1657" s="9" t="s">
        <v>424</v>
      </c>
      <c r="L1657" s="9"/>
      <c r="M1657" s="9"/>
      <c r="N1657" s="9" t="str">
        <f ca="1">IFERROR(__xludf.DUMMYFUNCTION("IFERROR(VALUE(REGEXEXTRACT(TO_TEXT($F1657), N$1 &amp; ""x(\d+)"")), """")
"),"")</f>
        <v/>
      </c>
      <c r="O1657" s="9">
        <f ca="1">IFERROR(__xludf.DUMMYFUNCTION("IFERROR(VALUE(REGEXEXTRACT(TO_TEXT($F1657), O$1 &amp; ""x(\d+)"")), """")"),1)</f>
        <v>1</v>
      </c>
      <c r="P1657" s="9">
        <f ca="1">IFERROR(__xludf.DUMMYFUNCTION("IFERROR(VALUE(REGEXEXTRACT(TO_TEXT($F1657), P$1 &amp; ""x(\d+)"")), """")"),1)</f>
        <v>1</v>
      </c>
      <c r="Q1657" s="9" t="str">
        <f ca="1">IFERROR(__xludf.DUMMYFUNCTION("IFERROR(VALUE(REGEXEXTRACT(TO_TEXT($F1657), Q$1 &amp; ""x(\d+)"")), """")"),"")</f>
        <v/>
      </c>
      <c r="R1657" s="9" t="str">
        <f ca="1">IFERROR(__xludf.DUMMYFUNCTION("IFERROR(VALUE(REGEXEXTRACT(TO_TEXT($F1657), R$1 &amp; ""x(\d+)"")), """")"),"")</f>
        <v/>
      </c>
      <c r="S1657" s="9" t="str">
        <f ca="1">IFERROR(__xludf.DUMMYFUNCTION("IFERROR(VALUE(REGEXEXTRACT(TO_TEXT($F1657), S$1 &amp; ""x(\d+)"")), """")"),"")</f>
        <v/>
      </c>
      <c r="T1657" s="9" t="str">
        <f ca="1">IFERROR(__xludf.DUMMYFUNCTION("IFERROR(VALUE(REGEXEXTRACT(TO_TEXT($F1657), T$1 &amp; ""x(\d+)"")), """")"),"")</f>
        <v/>
      </c>
      <c r="U1657" s="9" t="str">
        <f ca="1">IFERROR(__xludf.DUMMYFUNCTION("IFERROR(VALUE(REGEXEXTRACT(TO_TEXT($F1657), U$1 &amp; ""x(\d+)"")), """")"),"")</f>
        <v/>
      </c>
      <c r="V1657" s="9" t="str">
        <f ca="1">IFERROR(__xludf.DUMMYFUNCTION("IFERROR(VALUE(REGEXEXTRACT(TO_TEXT($F1657), V$1 &amp; ""x(\d+)"")), """")"),"")</f>
        <v/>
      </c>
      <c r="W1657" s="9"/>
      <c r="X1657" s="9"/>
      <c r="Y1657" s="9"/>
      <c r="Z1657" s="9"/>
    </row>
    <row r="1658" spans="1:26" ht="15.75" customHeight="1">
      <c r="A1658" s="9" t="s">
        <v>2683</v>
      </c>
      <c r="B1658" s="9" t="s">
        <v>2684</v>
      </c>
      <c r="C1658" s="9" t="s">
        <v>2685</v>
      </c>
      <c r="D1658" s="9" t="s">
        <v>33</v>
      </c>
      <c r="E1658" s="9" t="s">
        <v>11</v>
      </c>
      <c r="F1658" s="9" t="s">
        <v>1981</v>
      </c>
      <c r="G1658" s="9">
        <v>90</v>
      </c>
      <c r="H1658" s="9">
        <v>5</v>
      </c>
      <c r="I1658" s="9">
        <v>1.0149999999999999</v>
      </c>
      <c r="J1658" s="9">
        <v>105</v>
      </c>
      <c r="K1658" s="9" t="s">
        <v>442</v>
      </c>
      <c r="L1658" s="9"/>
      <c r="M1658" s="9"/>
      <c r="N1658" s="9" t="str">
        <f ca="1">IFERROR(__xludf.DUMMYFUNCTION("IFERROR(VALUE(REGEXEXTRACT(TO_TEXT($F1658), N$1 &amp; ""x(\d+)"")), """")
"),"")</f>
        <v/>
      </c>
      <c r="O1658" s="9">
        <f ca="1">IFERROR(__xludf.DUMMYFUNCTION("IFERROR(VALUE(REGEXEXTRACT(TO_TEXT($F1658), O$1 &amp; ""x(\d+)"")), """")"),1)</f>
        <v>1</v>
      </c>
      <c r="P1658" s="9" t="str">
        <f ca="1">IFERROR(__xludf.DUMMYFUNCTION("IFERROR(VALUE(REGEXEXTRACT(TO_TEXT($F1658), P$1 &amp; ""x(\d+)"")), """")"),"")</f>
        <v/>
      </c>
      <c r="Q1658" s="9" t="str">
        <f ca="1">IFERROR(__xludf.DUMMYFUNCTION("IFERROR(VALUE(REGEXEXTRACT(TO_TEXT($F1658), Q$1 &amp; ""x(\d+)"")), """")"),"")</f>
        <v/>
      </c>
      <c r="R1658" s="9" t="str">
        <f ca="1">IFERROR(__xludf.DUMMYFUNCTION("IFERROR(VALUE(REGEXEXTRACT(TO_TEXT($F1658), R$1 &amp; ""x(\d+)"")), """")"),"")</f>
        <v/>
      </c>
      <c r="S1658" s="9" t="str">
        <f ca="1">IFERROR(__xludf.DUMMYFUNCTION("IFERROR(VALUE(REGEXEXTRACT(TO_TEXT($F1658), S$1 &amp; ""x(\d+)"")), """")"),"")</f>
        <v/>
      </c>
      <c r="T1658" s="9" t="str">
        <f ca="1">IFERROR(__xludf.DUMMYFUNCTION("IFERROR(VALUE(REGEXEXTRACT(TO_TEXT($F1658), T$1 &amp; ""x(\d+)"")), """")"),"")</f>
        <v/>
      </c>
      <c r="U1658" s="9" t="str">
        <f ca="1">IFERROR(__xludf.DUMMYFUNCTION("IFERROR(VALUE(REGEXEXTRACT(TO_TEXT($F1658), U$1 &amp; ""x(\d+)"")), """")"),"")</f>
        <v/>
      </c>
      <c r="V1658" s="9" t="str">
        <f ca="1">IFERROR(__xludf.DUMMYFUNCTION("IFERROR(VALUE(REGEXEXTRACT(TO_TEXT($F1658), V$1 &amp; ""x(\d+)"")), """")"),"")</f>
        <v/>
      </c>
      <c r="W1658" s="9"/>
      <c r="X1658" s="9"/>
      <c r="Y1658" s="9"/>
      <c r="Z1658" s="9"/>
    </row>
    <row r="1659" spans="1:26" ht="15.75" customHeight="1">
      <c r="A1659" s="9" t="s">
        <v>2683</v>
      </c>
      <c r="B1659" s="9" t="s">
        <v>2684</v>
      </c>
      <c r="C1659" s="9" t="s">
        <v>2685</v>
      </c>
      <c r="D1659" s="9" t="s">
        <v>33</v>
      </c>
      <c r="E1659" s="9" t="s">
        <v>12</v>
      </c>
      <c r="F1659" s="9" t="s">
        <v>1982</v>
      </c>
      <c r="G1659" s="9">
        <v>35</v>
      </c>
      <c r="H1659" s="9">
        <v>5</v>
      </c>
      <c r="I1659" s="9">
        <v>1.0149999999999999</v>
      </c>
      <c r="J1659" s="9">
        <v>105</v>
      </c>
      <c r="K1659" s="9" t="s">
        <v>442</v>
      </c>
      <c r="L1659" s="9" t="s">
        <v>1243</v>
      </c>
      <c r="M1659" s="9"/>
      <c r="N1659" s="9" t="str">
        <f ca="1">IFERROR(__xludf.DUMMYFUNCTION("IFERROR(VALUE(REGEXEXTRACT(TO_TEXT($F1659), N$1 &amp; ""x(\d+)"")), """")
"),"")</f>
        <v/>
      </c>
      <c r="O1659" s="9">
        <f ca="1">IFERROR(__xludf.DUMMYFUNCTION("IFERROR(VALUE(REGEXEXTRACT(TO_TEXT($F1659), O$1 &amp; ""x(\d+)"")), """")"),1)</f>
        <v>1</v>
      </c>
      <c r="P1659" s="9" t="str">
        <f ca="1">IFERROR(__xludf.DUMMYFUNCTION("IFERROR(VALUE(REGEXEXTRACT(TO_TEXT($F1659), P$1 &amp; ""x(\d+)"")), """")"),"")</f>
        <v/>
      </c>
      <c r="Q1659" s="9" t="str">
        <f ca="1">IFERROR(__xludf.DUMMYFUNCTION("IFERROR(VALUE(REGEXEXTRACT(TO_TEXT($F1659), Q$1 &amp; ""x(\d+)"")), """")"),"")</f>
        <v/>
      </c>
      <c r="R1659" s="9" t="str">
        <f ca="1">IFERROR(__xludf.DUMMYFUNCTION("IFERROR(VALUE(REGEXEXTRACT(TO_TEXT($F1659), R$1 &amp; ""x(\d+)"")), """")"),"")</f>
        <v/>
      </c>
      <c r="S1659" s="9" t="str">
        <f ca="1">IFERROR(__xludf.DUMMYFUNCTION("IFERROR(VALUE(REGEXEXTRACT(TO_TEXT($F1659), S$1 &amp; ""x(\d+)"")), """")"),"")</f>
        <v/>
      </c>
      <c r="T1659" s="9" t="str">
        <f ca="1">IFERROR(__xludf.DUMMYFUNCTION("IFERROR(VALUE(REGEXEXTRACT(TO_TEXT($F1659), T$1 &amp; ""x(\d+)"")), """")"),"")</f>
        <v/>
      </c>
      <c r="U1659" s="9" t="str">
        <f ca="1">IFERROR(__xludf.DUMMYFUNCTION("IFERROR(VALUE(REGEXEXTRACT(TO_TEXT($F1659), U$1 &amp; ""x(\d+)"")), """")"),"")</f>
        <v/>
      </c>
      <c r="V1659" s="9" t="str">
        <f ca="1">IFERROR(__xludf.DUMMYFUNCTION("IFERROR(VALUE(REGEXEXTRACT(TO_TEXT($F1659), V$1 &amp; ""x(\d+)"")), """")"),"")</f>
        <v/>
      </c>
      <c r="W1659" s="9"/>
      <c r="X1659" s="9"/>
      <c r="Y1659" s="9"/>
      <c r="Z1659" s="9"/>
    </row>
    <row r="1660" spans="1:26" ht="15.75" customHeight="1">
      <c r="A1660" s="9" t="s">
        <v>2683</v>
      </c>
      <c r="B1660" s="9" t="s">
        <v>2684</v>
      </c>
      <c r="C1660" s="9" t="s">
        <v>2685</v>
      </c>
      <c r="D1660" s="9" t="s">
        <v>33</v>
      </c>
      <c r="E1660" s="9" t="s">
        <v>13</v>
      </c>
      <c r="F1660" s="9" t="s">
        <v>1983</v>
      </c>
      <c r="G1660" s="9">
        <v>10</v>
      </c>
      <c r="H1660" s="9">
        <v>5</v>
      </c>
      <c r="I1660" s="9">
        <v>1.0149999999999999</v>
      </c>
      <c r="J1660" s="9">
        <v>105</v>
      </c>
      <c r="K1660" s="9" t="s">
        <v>442</v>
      </c>
      <c r="L1660" s="9"/>
      <c r="M1660" s="9"/>
      <c r="N1660" s="9" t="str">
        <f ca="1">IFERROR(__xludf.DUMMYFUNCTION("IFERROR(VALUE(REGEXEXTRACT(TO_TEXT($F1660), N$1 &amp; ""x(\d+)"")), """")
"),"")</f>
        <v/>
      </c>
      <c r="O1660" s="9">
        <f ca="1">IFERROR(__xludf.DUMMYFUNCTION("IFERROR(VALUE(REGEXEXTRACT(TO_TEXT($F1660), O$1 &amp; ""x(\d+)"")), """")"),1)</f>
        <v>1</v>
      </c>
      <c r="P1660" s="9" t="str">
        <f ca="1">IFERROR(__xludf.DUMMYFUNCTION("IFERROR(VALUE(REGEXEXTRACT(TO_TEXT($F1660), P$1 &amp; ""x(\d+)"")), """")"),"")</f>
        <v/>
      </c>
      <c r="Q1660" s="9" t="str">
        <f ca="1">IFERROR(__xludf.DUMMYFUNCTION("IFERROR(VALUE(REGEXEXTRACT(TO_TEXT($F1660), Q$1 &amp; ""x(\d+)"")), """")"),"")</f>
        <v/>
      </c>
      <c r="R1660" s="9" t="str">
        <f ca="1">IFERROR(__xludf.DUMMYFUNCTION("IFERROR(VALUE(REGEXEXTRACT(TO_TEXT($F1660), R$1 &amp; ""x(\d+)"")), """")"),"")</f>
        <v/>
      </c>
      <c r="S1660" s="9" t="str">
        <f ca="1">IFERROR(__xludf.DUMMYFUNCTION("IFERROR(VALUE(REGEXEXTRACT(TO_TEXT($F1660), S$1 &amp; ""x(\d+)"")), """")"),"")</f>
        <v/>
      </c>
      <c r="T1660" s="9" t="str">
        <f ca="1">IFERROR(__xludf.DUMMYFUNCTION("IFERROR(VALUE(REGEXEXTRACT(TO_TEXT($F1660), T$1 &amp; ""x(\d+)"")), """")"),"")</f>
        <v/>
      </c>
      <c r="U1660" s="9" t="str">
        <f ca="1">IFERROR(__xludf.DUMMYFUNCTION("IFERROR(VALUE(REGEXEXTRACT(TO_TEXT($F1660), U$1 &amp; ""x(\d+)"")), """")"),"")</f>
        <v/>
      </c>
      <c r="V1660" s="9" t="str">
        <f ca="1">IFERROR(__xludf.DUMMYFUNCTION("IFERROR(VALUE(REGEXEXTRACT(TO_TEXT($F1660), V$1 &amp; ""x(\d+)"")), """")"),"")</f>
        <v/>
      </c>
      <c r="W1660" s="9"/>
      <c r="X1660" s="9"/>
      <c r="Y1660" s="9"/>
      <c r="Z1660" s="9"/>
    </row>
    <row r="1661" spans="1:26" ht="15.75" customHeight="1">
      <c r="A1661" s="9" t="s">
        <v>2686</v>
      </c>
      <c r="B1661" s="9" t="s">
        <v>2687</v>
      </c>
      <c r="C1661" s="9" t="s">
        <v>2688</v>
      </c>
      <c r="D1661" s="9" t="s">
        <v>48</v>
      </c>
      <c r="E1661" s="9" t="s">
        <v>11</v>
      </c>
      <c r="F1661" s="9" t="s">
        <v>2112</v>
      </c>
      <c r="G1661" s="9">
        <v>50</v>
      </c>
      <c r="H1661" s="9">
        <v>3</v>
      </c>
      <c r="I1661" s="9">
        <v>1.0149999999999999</v>
      </c>
      <c r="J1661" s="9">
        <v>52</v>
      </c>
      <c r="K1661" s="9" t="s">
        <v>424</v>
      </c>
      <c r="L1661" s="9"/>
      <c r="M1661" s="9"/>
      <c r="N1661" s="9" t="str">
        <f ca="1">IFERROR(__xludf.DUMMYFUNCTION("IFERROR(VALUE(REGEXEXTRACT(TO_TEXT($F1661), N$1 &amp; ""x(\d+)"")), """")
"),"")</f>
        <v/>
      </c>
      <c r="O1661" s="9">
        <f ca="1">IFERROR(__xludf.DUMMYFUNCTION("IFERROR(VALUE(REGEXEXTRACT(TO_TEXT($F1661), O$1 &amp; ""x(\d+)"")), """")"),1)</f>
        <v>1</v>
      </c>
      <c r="P1661" s="9" t="str">
        <f ca="1">IFERROR(__xludf.DUMMYFUNCTION("IFERROR(VALUE(REGEXEXTRACT(TO_TEXT($F1661), P$1 &amp; ""x(\d+)"")), """")"),"")</f>
        <v/>
      </c>
      <c r="Q1661" s="9" t="str">
        <f ca="1">IFERROR(__xludf.DUMMYFUNCTION("IFERROR(VALUE(REGEXEXTRACT(TO_TEXT($F1661), Q$1 &amp; ""x(\d+)"")), """")"),"")</f>
        <v/>
      </c>
      <c r="R1661" s="9" t="str">
        <f ca="1">IFERROR(__xludf.DUMMYFUNCTION("IFERROR(VALUE(REGEXEXTRACT(TO_TEXT($F1661), R$1 &amp; ""x(\d+)"")), """")"),"")</f>
        <v/>
      </c>
      <c r="S1661" s="9" t="str">
        <f ca="1">IFERROR(__xludf.DUMMYFUNCTION("IFERROR(VALUE(REGEXEXTRACT(TO_TEXT($F1661), S$1 &amp; ""x(\d+)"")), """")"),"")</f>
        <v/>
      </c>
      <c r="T1661" s="9" t="str">
        <f ca="1">IFERROR(__xludf.DUMMYFUNCTION("IFERROR(VALUE(REGEXEXTRACT(TO_TEXT($F1661), T$1 &amp; ""x(\d+)"")), """")"),"")</f>
        <v/>
      </c>
      <c r="U1661" s="9" t="str">
        <f ca="1">IFERROR(__xludf.DUMMYFUNCTION("IFERROR(VALUE(REGEXEXTRACT(TO_TEXT($F1661), U$1 &amp; ""x(\d+)"")), """")"),"")</f>
        <v/>
      </c>
      <c r="V1661" s="9" t="str">
        <f ca="1">IFERROR(__xludf.DUMMYFUNCTION("IFERROR(VALUE(REGEXEXTRACT(TO_TEXT($F1661), V$1 &amp; ""x(\d+)"")), """")"),"")</f>
        <v/>
      </c>
      <c r="W1661" s="9"/>
      <c r="X1661" s="9"/>
      <c r="Y1661" s="9"/>
      <c r="Z1661" s="9"/>
    </row>
    <row r="1662" spans="1:26" ht="15.75" customHeight="1">
      <c r="A1662" s="9" t="s">
        <v>2686</v>
      </c>
      <c r="B1662" s="9" t="s">
        <v>2687</v>
      </c>
      <c r="C1662" s="9" t="s">
        <v>2688</v>
      </c>
      <c r="D1662" s="9" t="s">
        <v>48</v>
      </c>
      <c r="E1662" s="9" t="s">
        <v>12</v>
      </c>
      <c r="F1662" s="9" t="s">
        <v>2689</v>
      </c>
      <c r="G1662" s="9">
        <v>170</v>
      </c>
      <c r="H1662" s="9">
        <v>3</v>
      </c>
      <c r="I1662" s="9">
        <v>1.0149999999999999</v>
      </c>
      <c r="J1662" s="9">
        <v>52</v>
      </c>
      <c r="K1662" s="9" t="s">
        <v>424</v>
      </c>
      <c r="L1662" s="9" t="s">
        <v>1015</v>
      </c>
      <c r="M1662" s="9"/>
      <c r="N1662" s="9" t="str">
        <f ca="1">IFERROR(__xludf.DUMMYFUNCTION("IFERROR(VALUE(REGEXEXTRACT(TO_TEXT($F1662), N$1 &amp; ""x(\d+)"")), """")
"),"")</f>
        <v/>
      </c>
      <c r="O1662" s="9">
        <f ca="1">IFERROR(__xludf.DUMMYFUNCTION("IFERROR(VALUE(REGEXEXTRACT(TO_TEXT($F1662), O$1 &amp; ""x(\d+)"")), """")"),1)</f>
        <v>1</v>
      </c>
      <c r="P1662" s="9">
        <f ca="1">IFERROR(__xludf.DUMMYFUNCTION("IFERROR(VALUE(REGEXEXTRACT(TO_TEXT($F1662), P$1 &amp; ""x(\d+)"")), """")"),1)</f>
        <v>1</v>
      </c>
      <c r="Q1662" s="9" t="str">
        <f ca="1">IFERROR(__xludf.DUMMYFUNCTION("IFERROR(VALUE(REGEXEXTRACT(TO_TEXT($F1662), Q$1 &amp; ""x(\d+)"")), """")"),"")</f>
        <v/>
      </c>
      <c r="R1662" s="9" t="str">
        <f ca="1">IFERROR(__xludf.DUMMYFUNCTION("IFERROR(VALUE(REGEXEXTRACT(TO_TEXT($F1662), R$1 &amp; ""x(\d+)"")), """")"),"")</f>
        <v/>
      </c>
      <c r="S1662" s="9" t="str">
        <f ca="1">IFERROR(__xludf.DUMMYFUNCTION("IFERROR(VALUE(REGEXEXTRACT(TO_TEXT($F1662), S$1 &amp; ""x(\d+)"")), """")"),"")</f>
        <v/>
      </c>
      <c r="T1662" s="9" t="str">
        <f ca="1">IFERROR(__xludf.DUMMYFUNCTION("IFERROR(VALUE(REGEXEXTRACT(TO_TEXT($F1662), T$1 &amp; ""x(\d+)"")), """")"),"")</f>
        <v/>
      </c>
      <c r="U1662" s="9" t="str">
        <f ca="1">IFERROR(__xludf.DUMMYFUNCTION("IFERROR(VALUE(REGEXEXTRACT(TO_TEXT($F1662), U$1 &amp; ""x(\d+)"")), """")"),"")</f>
        <v/>
      </c>
      <c r="V1662" s="9" t="str">
        <f ca="1">IFERROR(__xludf.DUMMYFUNCTION("IFERROR(VALUE(REGEXEXTRACT(TO_TEXT($F1662), V$1 &amp; ""x(\d+)"")), """")"),"")</f>
        <v/>
      </c>
      <c r="W1662" s="9"/>
      <c r="X1662" s="9"/>
      <c r="Y1662" s="9"/>
      <c r="Z1662" s="9"/>
    </row>
    <row r="1663" spans="1:26" ht="15.75" customHeight="1">
      <c r="A1663" s="9" t="s">
        <v>2686</v>
      </c>
      <c r="B1663" s="9" t="s">
        <v>2687</v>
      </c>
      <c r="C1663" s="9" t="s">
        <v>2688</v>
      </c>
      <c r="D1663" s="9" t="s">
        <v>48</v>
      </c>
      <c r="E1663" s="9" t="s">
        <v>13</v>
      </c>
      <c r="F1663" s="9" t="s">
        <v>1593</v>
      </c>
      <c r="G1663" s="9">
        <v>30</v>
      </c>
      <c r="H1663" s="9">
        <v>3</v>
      </c>
      <c r="I1663" s="9">
        <v>1.0149999999999999</v>
      </c>
      <c r="J1663" s="9">
        <v>52</v>
      </c>
      <c r="K1663" s="9" t="s">
        <v>424</v>
      </c>
      <c r="L1663" s="9"/>
      <c r="M1663" s="9"/>
      <c r="N1663" s="9" t="str">
        <f ca="1">IFERROR(__xludf.DUMMYFUNCTION("IFERROR(VALUE(REGEXEXTRACT(TO_TEXT($F1663), N$1 &amp; ""x(\d+)"")), """")
"),"")</f>
        <v/>
      </c>
      <c r="O1663" s="9">
        <f ca="1">IFERROR(__xludf.DUMMYFUNCTION("IFERROR(VALUE(REGEXEXTRACT(TO_TEXT($F1663), O$1 &amp; ""x(\d+)"")), """")"),1)</f>
        <v>1</v>
      </c>
      <c r="P1663" s="9">
        <f ca="1">IFERROR(__xludf.DUMMYFUNCTION("IFERROR(VALUE(REGEXEXTRACT(TO_TEXT($F1663), P$1 &amp; ""x(\d+)"")), """")"),1)</f>
        <v>1</v>
      </c>
      <c r="Q1663" s="9" t="str">
        <f ca="1">IFERROR(__xludf.DUMMYFUNCTION("IFERROR(VALUE(REGEXEXTRACT(TO_TEXT($F1663), Q$1 &amp; ""x(\d+)"")), """")"),"")</f>
        <v/>
      </c>
      <c r="R1663" s="9" t="str">
        <f ca="1">IFERROR(__xludf.DUMMYFUNCTION("IFERROR(VALUE(REGEXEXTRACT(TO_TEXT($F1663), R$1 &amp; ""x(\d+)"")), """")"),"")</f>
        <v/>
      </c>
      <c r="S1663" s="9" t="str">
        <f ca="1">IFERROR(__xludf.DUMMYFUNCTION("IFERROR(VALUE(REGEXEXTRACT(TO_TEXT($F1663), S$1 &amp; ""x(\d+)"")), """")"),"")</f>
        <v/>
      </c>
      <c r="T1663" s="9" t="str">
        <f ca="1">IFERROR(__xludf.DUMMYFUNCTION("IFERROR(VALUE(REGEXEXTRACT(TO_TEXT($F1663), T$1 &amp; ""x(\d+)"")), """")"),"")</f>
        <v/>
      </c>
      <c r="U1663" s="9" t="str">
        <f ca="1">IFERROR(__xludf.DUMMYFUNCTION("IFERROR(VALUE(REGEXEXTRACT(TO_TEXT($F1663), U$1 &amp; ""x(\d+)"")), """")"),"")</f>
        <v/>
      </c>
      <c r="V1663" s="9" t="str">
        <f ca="1">IFERROR(__xludf.DUMMYFUNCTION("IFERROR(VALUE(REGEXEXTRACT(TO_TEXT($F1663), V$1 &amp; ""x(\d+)"")), """")"),"")</f>
        <v/>
      </c>
      <c r="W1663" s="9"/>
      <c r="X1663" s="9"/>
      <c r="Y1663" s="9"/>
      <c r="Z1663" s="9"/>
    </row>
    <row r="1664" spans="1:26" ht="15.75" customHeight="1">
      <c r="A1664" s="9" t="s">
        <v>2686</v>
      </c>
      <c r="B1664" s="9" t="s">
        <v>2687</v>
      </c>
      <c r="C1664" s="9" t="s">
        <v>2688</v>
      </c>
      <c r="D1664" s="9" t="s">
        <v>74</v>
      </c>
      <c r="E1664" s="9" t="s">
        <v>11</v>
      </c>
      <c r="F1664" s="9" t="s">
        <v>2112</v>
      </c>
      <c r="G1664" s="9">
        <v>50</v>
      </c>
      <c r="H1664" s="9">
        <v>3</v>
      </c>
      <c r="I1664" s="9">
        <v>1.0149999999999999</v>
      </c>
      <c r="J1664" s="9">
        <v>103</v>
      </c>
      <c r="K1664" s="9" t="s">
        <v>424</v>
      </c>
      <c r="L1664" s="9"/>
      <c r="M1664" s="9"/>
      <c r="N1664" s="9" t="str">
        <f ca="1">IFERROR(__xludf.DUMMYFUNCTION("IFERROR(VALUE(REGEXEXTRACT(TO_TEXT($F1664), N$1 &amp; ""x(\d+)"")), """")
"),"")</f>
        <v/>
      </c>
      <c r="O1664" s="9">
        <f ca="1">IFERROR(__xludf.DUMMYFUNCTION("IFERROR(VALUE(REGEXEXTRACT(TO_TEXT($F1664), O$1 &amp; ""x(\d+)"")), """")"),1)</f>
        <v>1</v>
      </c>
      <c r="P1664" s="9" t="str">
        <f ca="1">IFERROR(__xludf.DUMMYFUNCTION("IFERROR(VALUE(REGEXEXTRACT(TO_TEXT($F1664), P$1 &amp; ""x(\d+)"")), """")"),"")</f>
        <v/>
      </c>
      <c r="Q1664" s="9" t="str">
        <f ca="1">IFERROR(__xludf.DUMMYFUNCTION("IFERROR(VALUE(REGEXEXTRACT(TO_TEXT($F1664), Q$1 &amp; ""x(\d+)"")), """")"),"")</f>
        <v/>
      </c>
      <c r="R1664" s="9" t="str">
        <f ca="1">IFERROR(__xludf.DUMMYFUNCTION("IFERROR(VALUE(REGEXEXTRACT(TO_TEXT($F1664), R$1 &amp; ""x(\d+)"")), """")"),"")</f>
        <v/>
      </c>
      <c r="S1664" s="9" t="str">
        <f ca="1">IFERROR(__xludf.DUMMYFUNCTION("IFERROR(VALUE(REGEXEXTRACT(TO_TEXT($F1664), S$1 &amp; ""x(\d+)"")), """")"),"")</f>
        <v/>
      </c>
      <c r="T1664" s="9" t="str">
        <f ca="1">IFERROR(__xludf.DUMMYFUNCTION("IFERROR(VALUE(REGEXEXTRACT(TO_TEXT($F1664), T$1 &amp; ""x(\d+)"")), """")"),"")</f>
        <v/>
      </c>
      <c r="U1664" s="9" t="str">
        <f ca="1">IFERROR(__xludf.DUMMYFUNCTION("IFERROR(VALUE(REGEXEXTRACT(TO_TEXT($F1664), U$1 &amp; ""x(\d+)"")), """")"),"")</f>
        <v/>
      </c>
      <c r="V1664" s="9" t="str">
        <f ca="1">IFERROR(__xludf.DUMMYFUNCTION("IFERROR(VALUE(REGEXEXTRACT(TO_TEXT($F1664), V$1 &amp; ""x(\d+)"")), """")"),"")</f>
        <v/>
      </c>
      <c r="W1664" s="9"/>
      <c r="X1664" s="9"/>
      <c r="Y1664" s="9"/>
      <c r="Z1664" s="9"/>
    </row>
    <row r="1665" spans="1:26" ht="15.75" customHeight="1">
      <c r="A1665" s="9" t="s">
        <v>2686</v>
      </c>
      <c r="B1665" s="9" t="s">
        <v>2687</v>
      </c>
      <c r="C1665" s="9" t="s">
        <v>2688</v>
      </c>
      <c r="D1665" s="9" t="s">
        <v>74</v>
      </c>
      <c r="E1665" s="9" t="s">
        <v>12</v>
      </c>
      <c r="F1665" s="9" t="s">
        <v>2690</v>
      </c>
      <c r="G1665" s="9">
        <v>170</v>
      </c>
      <c r="H1665" s="9">
        <v>3</v>
      </c>
      <c r="I1665" s="9">
        <v>1.0149999999999999</v>
      </c>
      <c r="J1665" s="9">
        <v>103</v>
      </c>
      <c r="K1665" s="9" t="s">
        <v>424</v>
      </c>
      <c r="L1665" s="9" t="s">
        <v>1015</v>
      </c>
      <c r="M1665" s="9"/>
      <c r="N1665" s="9" t="str">
        <f ca="1">IFERROR(__xludf.DUMMYFUNCTION("IFERROR(VALUE(REGEXEXTRACT(TO_TEXT($F1665), N$1 &amp; ""x(\d+)"")), """")
"),"")</f>
        <v/>
      </c>
      <c r="O1665" s="9">
        <f ca="1">IFERROR(__xludf.DUMMYFUNCTION("IFERROR(VALUE(REGEXEXTRACT(TO_TEXT($F1665), O$1 &amp; ""x(\d+)"")), """")"),1)</f>
        <v>1</v>
      </c>
      <c r="P1665" s="9" t="str">
        <f ca="1">IFERROR(__xludf.DUMMYFUNCTION("IFERROR(VALUE(REGEXEXTRACT(TO_TEXT($F1665), P$1 &amp; ""x(\d+)"")), """")"),"")</f>
        <v/>
      </c>
      <c r="Q1665" s="9">
        <f ca="1">IFERROR(__xludf.DUMMYFUNCTION("IFERROR(VALUE(REGEXEXTRACT(TO_TEXT($F1665), Q$1 &amp; ""x(\d+)"")), """")"),1)</f>
        <v>1</v>
      </c>
      <c r="R1665" s="9" t="str">
        <f ca="1">IFERROR(__xludf.DUMMYFUNCTION("IFERROR(VALUE(REGEXEXTRACT(TO_TEXT($F1665), R$1 &amp; ""x(\d+)"")), """")"),"")</f>
        <v/>
      </c>
      <c r="S1665" s="9" t="str">
        <f ca="1">IFERROR(__xludf.DUMMYFUNCTION("IFERROR(VALUE(REGEXEXTRACT(TO_TEXT($F1665), S$1 &amp; ""x(\d+)"")), """")"),"")</f>
        <v/>
      </c>
      <c r="T1665" s="9" t="str">
        <f ca="1">IFERROR(__xludf.DUMMYFUNCTION("IFERROR(VALUE(REGEXEXTRACT(TO_TEXT($F1665), T$1 &amp; ""x(\d+)"")), """")"),"")</f>
        <v/>
      </c>
      <c r="U1665" s="9" t="str">
        <f ca="1">IFERROR(__xludf.DUMMYFUNCTION("IFERROR(VALUE(REGEXEXTRACT(TO_TEXT($F1665), U$1 &amp; ""x(\d+)"")), """")"),"")</f>
        <v/>
      </c>
      <c r="V1665" s="9" t="str">
        <f ca="1">IFERROR(__xludf.DUMMYFUNCTION("IFERROR(VALUE(REGEXEXTRACT(TO_TEXT($F1665), V$1 &amp; ""x(\d+)"")), """")"),"")</f>
        <v/>
      </c>
      <c r="W1665" s="9"/>
      <c r="X1665" s="9"/>
      <c r="Y1665" s="9"/>
      <c r="Z1665" s="9"/>
    </row>
    <row r="1666" spans="1:26" ht="15.75" customHeight="1">
      <c r="A1666" s="9" t="s">
        <v>2686</v>
      </c>
      <c r="B1666" s="9" t="s">
        <v>2687</v>
      </c>
      <c r="C1666" s="9" t="s">
        <v>2688</v>
      </c>
      <c r="D1666" s="9" t="s">
        <v>74</v>
      </c>
      <c r="E1666" s="9" t="s">
        <v>13</v>
      </c>
      <c r="F1666" s="9" t="s">
        <v>2691</v>
      </c>
      <c r="G1666" s="9">
        <v>30</v>
      </c>
      <c r="H1666" s="9">
        <v>3</v>
      </c>
      <c r="I1666" s="9">
        <v>1.0149999999999999</v>
      </c>
      <c r="J1666" s="9">
        <v>103</v>
      </c>
      <c r="K1666" s="9" t="s">
        <v>424</v>
      </c>
      <c r="L1666" s="9"/>
      <c r="M1666" s="9"/>
      <c r="N1666" s="9" t="str">
        <f ca="1">IFERROR(__xludf.DUMMYFUNCTION("IFERROR(VALUE(REGEXEXTRACT(TO_TEXT($F1666), N$1 &amp; ""x(\d+)"")), """")
"),"")</f>
        <v/>
      </c>
      <c r="O1666" s="9">
        <f ca="1">IFERROR(__xludf.DUMMYFUNCTION("IFERROR(VALUE(REGEXEXTRACT(TO_TEXT($F1666), O$1 &amp; ""x(\d+)"")), """")"),1)</f>
        <v>1</v>
      </c>
      <c r="P1666" s="9" t="str">
        <f ca="1">IFERROR(__xludf.DUMMYFUNCTION("IFERROR(VALUE(REGEXEXTRACT(TO_TEXT($F1666), P$1 &amp; ""x(\d+)"")), """")"),"")</f>
        <v/>
      </c>
      <c r="Q1666" s="9">
        <f ca="1">IFERROR(__xludf.DUMMYFUNCTION("IFERROR(VALUE(REGEXEXTRACT(TO_TEXT($F1666), Q$1 &amp; ""x(\d+)"")), """")"),1)</f>
        <v>1</v>
      </c>
      <c r="R1666" s="9" t="str">
        <f ca="1">IFERROR(__xludf.DUMMYFUNCTION("IFERROR(VALUE(REGEXEXTRACT(TO_TEXT($F1666), R$1 &amp; ""x(\d+)"")), """")"),"")</f>
        <v/>
      </c>
      <c r="S1666" s="9" t="str">
        <f ca="1">IFERROR(__xludf.DUMMYFUNCTION("IFERROR(VALUE(REGEXEXTRACT(TO_TEXT($F1666), S$1 &amp; ""x(\d+)"")), """")"),"")</f>
        <v/>
      </c>
      <c r="T1666" s="9" t="str">
        <f ca="1">IFERROR(__xludf.DUMMYFUNCTION("IFERROR(VALUE(REGEXEXTRACT(TO_TEXT($F1666), T$1 &amp; ""x(\d+)"")), """")"),"")</f>
        <v/>
      </c>
      <c r="U1666" s="9" t="str">
        <f ca="1">IFERROR(__xludf.DUMMYFUNCTION("IFERROR(VALUE(REGEXEXTRACT(TO_TEXT($F1666), U$1 &amp; ""x(\d+)"")), """")"),"")</f>
        <v/>
      </c>
      <c r="V1666" s="9" t="str">
        <f ca="1">IFERROR(__xludf.DUMMYFUNCTION("IFERROR(VALUE(REGEXEXTRACT(TO_TEXT($F1666), V$1 &amp; ""x(\d+)"")), """")"),"")</f>
        <v/>
      </c>
      <c r="W1666" s="9"/>
      <c r="X1666" s="9"/>
      <c r="Y1666" s="9"/>
      <c r="Z1666" s="9"/>
    </row>
    <row r="1667" spans="1:26" ht="15.75" customHeight="1">
      <c r="A1667" s="9" t="s">
        <v>2692</v>
      </c>
      <c r="B1667" s="9" t="s">
        <v>2693</v>
      </c>
      <c r="C1667" s="9" t="s">
        <v>2694</v>
      </c>
      <c r="D1667" s="9" t="s">
        <v>48</v>
      </c>
      <c r="E1667" s="9" t="s">
        <v>11</v>
      </c>
      <c r="F1667" s="9" t="s">
        <v>1224</v>
      </c>
      <c r="G1667" s="9">
        <v>25</v>
      </c>
      <c r="H1667" s="9">
        <v>3</v>
      </c>
      <c r="I1667" s="9">
        <v>1.0149999999999999</v>
      </c>
      <c r="J1667" s="9">
        <v>52</v>
      </c>
      <c r="K1667" s="9" t="s">
        <v>424</v>
      </c>
      <c r="L1667" s="9"/>
      <c r="M1667" s="9"/>
      <c r="N1667" s="9" t="str">
        <f ca="1">IFERROR(__xludf.DUMMYFUNCTION("IFERROR(VALUE(REGEXEXTRACT(TO_TEXT($F1667), N$1 &amp; ""x(\d+)"")), """")
"),"")</f>
        <v/>
      </c>
      <c r="O1667" s="9" t="str">
        <f ca="1">IFERROR(__xludf.DUMMYFUNCTION("IFERROR(VALUE(REGEXEXTRACT(TO_TEXT($F1667), O$1 &amp; ""x(\d+)"")), """")"),"")</f>
        <v/>
      </c>
      <c r="P1667" s="9" t="str">
        <f ca="1">IFERROR(__xludf.DUMMYFUNCTION("IFERROR(VALUE(REGEXEXTRACT(TO_TEXT($F1667), P$1 &amp; ""x(\d+)"")), """")"),"")</f>
        <v/>
      </c>
      <c r="Q1667" s="9" t="str">
        <f ca="1">IFERROR(__xludf.DUMMYFUNCTION("IFERROR(VALUE(REGEXEXTRACT(TO_TEXT($F1667), Q$1 &amp; ""x(\d+)"")), """")"),"")</f>
        <v/>
      </c>
      <c r="R1667" s="9" t="str">
        <f ca="1">IFERROR(__xludf.DUMMYFUNCTION("IFERROR(VALUE(REGEXEXTRACT(TO_TEXT($F1667), R$1 &amp; ""x(\d+)"")), """")"),"")</f>
        <v/>
      </c>
      <c r="S1667" s="9" t="str">
        <f ca="1">IFERROR(__xludf.DUMMYFUNCTION("IFERROR(VALUE(REGEXEXTRACT(TO_TEXT($F1667), S$1 &amp; ""x(\d+)"")), """")"),"")</f>
        <v/>
      </c>
      <c r="T1667" s="9" t="str">
        <f ca="1">IFERROR(__xludf.DUMMYFUNCTION("IFERROR(VALUE(REGEXEXTRACT(TO_TEXT($F1667), T$1 &amp; ""x(\d+)"")), """")"),"")</f>
        <v/>
      </c>
      <c r="U1667" s="9" t="str">
        <f ca="1">IFERROR(__xludf.DUMMYFUNCTION("IFERROR(VALUE(REGEXEXTRACT(TO_TEXT($F1667), U$1 &amp; ""x(\d+)"")), """")"),"")</f>
        <v/>
      </c>
      <c r="V1667" s="9" t="str">
        <f ca="1">IFERROR(__xludf.DUMMYFUNCTION("IFERROR(VALUE(REGEXEXTRACT(TO_TEXT($F1667), V$1 &amp; ""x(\d+)"")), """")"),"")</f>
        <v/>
      </c>
      <c r="W1667" s="9"/>
      <c r="X1667" s="9"/>
      <c r="Y1667" s="9"/>
      <c r="Z1667" s="9"/>
    </row>
    <row r="1668" spans="1:26" ht="15.75" customHeight="1">
      <c r="A1668" s="9" t="s">
        <v>2692</v>
      </c>
      <c r="B1668" s="9" t="s">
        <v>2693</v>
      </c>
      <c r="C1668" s="9" t="s">
        <v>2694</v>
      </c>
      <c r="D1668" s="9" t="s">
        <v>48</v>
      </c>
      <c r="E1668" s="9" t="s">
        <v>12</v>
      </c>
      <c r="F1668" s="9" t="s">
        <v>2695</v>
      </c>
      <c r="G1668" s="9">
        <v>150</v>
      </c>
      <c r="H1668" s="9">
        <v>3</v>
      </c>
      <c r="I1668" s="9">
        <v>1.0149999999999999</v>
      </c>
      <c r="J1668" s="9">
        <v>52</v>
      </c>
      <c r="K1668" s="9" t="s">
        <v>424</v>
      </c>
      <c r="L1668" s="9" t="s">
        <v>1015</v>
      </c>
      <c r="M1668" s="9"/>
      <c r="N1668" s="9" t="str">
        <f ca="1">IFERROR(__xludf.DUMMYFUNCTION("IFERROR(VALUE(REGEXEXTRACT(TO_TEXT($F1668), N$1 &amp; ""x(\d+)"")), """")
"),"")</f>
        <v/>
      </c>
      <c r="O1668" s="9" t="str">
        <f ca="1">IFERROR(__xludf.DUMMYFUNCTION("IFERROR(VALUE(REGEXEXTRACT(TO_TEXT($F1668), O$1 &amp; ""x(\d+)"")), """")"),"")</f>
        <v/>
      </c>
      <c r="P1668" s="9">
        <f ca="1">IFERROR(__xludf.DUMMYFUNCTION("IFERROR(VALUE(REGEXEXTRACT(TO_TEXT($F1668), P$1 &amp; ""x(\d+)"")), """")"),1)</f>
        <v>1</v>
      </c>
      <c r="Q1668" s="9" t="str">
        <f ca="1">IFERROR(__xludf.DUMMYFUNCTION("IFERROR(VALUE(REGEXEXTRACT(TO_TEXT($F1668), Q$1 &amp; ""x(\d+)"")), """")"),"")</f>
        <v/>
      </c>
      <c r="R1668" s="9" t="str">
        <f ca="1">IFERROR(__xludf.DUMMYFUNCTION("IFERROR(VALUE(REGEXEXTRACT(TO_TEXT($F1668), R$1 &amp; ""x(\d+)"")), """")"),"")</f>
        <v/>
      </c>
      <c r="S1668" s="9" t="str">
        <f ca="1">IFERROR(__xludf.DUMMYFUNCTION("IFERROR(VALUE(REGEXEXTRACT(TO_TEXT($F1668), S$1 &amp; ""x(\d+)"")), """")"),"")</f>
        <v/>
      </c>
      <c r="T1668" s="9" t="str">
        <f ca="1">IFERROR(__xludf.DUMMYFUNCTION("IFERROR(VALUE(REGEXEXTRACT(TO_TEXT($F1668), T$1 &amp; ""x(\d+)"")), """")"),"")</f>
        <v/>
      </c>
      <c r="U1668" s="9" t="str">
        <f ca="1">IFERROR(__xludf.DUMMYFUNCTION("IFERROR(VALUE(REGEXEXTRACT(TO_TEXT($F1668), U$1 &amp; ""x(\d+)"")), """")"),"")</f>
        <v/>
      </c>
      <c r="V1668" s="9" t="str">
        <f ca="1">IFERROR(__xludf.DUMMYFUNCTION("IFERROR(VALUE(REGEXEXTRACT(TO_TEXT($F1668), V$1 &amp; ""x(\d+)"")), """")"),"")</f>
        <v/>
      </c>
      <c r="W1668" s="9"/>
      <c r="X1668" s="9"/>
      <c r="Y1668" s="9"/>
      <c r="Z1668" s="9"/>
    </row>
    <row r="1669" spans="1:26" ht="15.75" customHeight="1">
      <c r="A1669" s="9" t="s">
        <v>2692</v>
      </c>
      <c r="B1669" s="9" t="s">
        <v>2693</v>
      </c>
      <c r="C1669" s="9" t="s">
        <v>2694</v>
      </c>
      <c r="D1669" s="9" t="s">
        <v>48</v>
      </c>
      <c r="E1669" s="9" t="s">
        <v>13</v>
      </c>
      <c r="F1669" s="9" t="s">
        <v>1694</v>
      </c>
      <c r="G1669" s="9">
        <v>30</v>
      </c>
      <c r="H1669" s="9">
        <v>3</v>
      </c>
      <c r="I1669" s="9">
        <v>1.0149999999999999</v>
      </c>
      <c r="J1669" s="9">
        <v>52</v>
      </c>
      <c r="K1669" s="9" t="s">
        <v>424</v>
      </c>
      <c r="L1669" s="9"/>
      <c r="M1669" s="9"/>
      <c r="N1669" s="9" t="str">
        <f ca="1">IFERROR(__xludf.DUMMYFUNCTION("IFERROR(VALUE(REGEXEXTRACT(TO_TEXT($F1669), N$1 &amp; ""x(\d+)"")), """")
"),"")</f>
        <v/>
      </c>
      <c r="O1669" s="9" t="str">
        <f ca="1">IFERROR(__xludf.DUMMYFUNCTION("IFERROR(VALUE(REGEXEXTRACT(TO_TEXT($F1669), O$1 &amp; ""x(\d+)"")), """")"),"")</f>
        <v/>
      </c>
      <c r="P1669" s="9">
        <f ca="1">IFERROR(__xludf.DUMMYFUNCTION("IFERROR(VALUE(REGEXEXTRACT(TO_TEXT($F1669), P$1 &amp; ""x(\d+)"")), """")"),1)</f>
        <v>1</v>
      </c>
      <c r="Q1669" s="9" t="str">
        <f ca="1">IFERROR(__xludf.DUMMYFUNCTION("IFERROR(VALUE(REGEXEXTRACT(TO_TEXT($F1669), Q$1 &amp; ""x(\d+)"")), """")"),"")</f>
        <v/>
      </c>
      <c r="R1669" s="9" t="str">
        <f ca="1">IFERROR(__xludf.DUMMYFUNCTION("IFERROR(VALUE(REGEXEXTRACT(TO_TEXT($F1669), R$1 &amp; ""x(\d+)"")), """")"),"")</f>
        <v/>
      </c>
      <c r="S1669" s="9" t="str">
        <f ca="1">IFERROR(__xludf.DUMMYFUNCTION("IFERROR(VALUE(REGEXEXTRACT(TO_TEXT($F1669), S$1 &amp; ""x(\d+)"")), """")"),"")</f>
        <v/>
      </c>
      <c r="T1669" s="9" t="str">
        <f ca="1">IFERROR(__xludf.DUMMYFUNCTION("IFERROR(VALUE(REGEXEXTRACT(TO_TEXT($F1669), T$1 &amp; ""x(\d+)"")), """")"),"")</f>
        <v/>
      </c>
      <c r="U1669" s="9" t="str">
        <f ca="1">IFERROR(__xludf.DUMMYFUNCTION("IFERROR(VALUE(REGEXEXTRACT(TO_TEXT($F1669), U$1 &amp; ""x(\d+)"")), """")"),"")</f>
        <v/>
      </c>
      <c r="V1669" s="9" t="str">
        <f ca="1">IFERROR(__xludf.DUMMYFUNCTION("IFERROR(VALUE(REGEXEXTRACT(TO_TEXT($F1669), V$1 &amp; ""x(\d+)"")), """")"),"")</f>
        <v/>
      </c>
      <c r="W1669" s="9"/>
      <c r="X1669" s="9"/>
      <c r="Y1669" s="9"/>
      <c r="Z1669" s="9"/>
    </row>
    <row r="1670" spans="1:26" ht="15.75" customHeight="1">
      <c r="A1670" s="9" t="s">
        <v>2692</v>
      </c>
      <c r="B1670" s="9" t="s">
        <v>2693</v>
      </c>
      <c r="C1670" s="9" t="s">
        <v>2694</v>
      </c>
      <c r="D1670" s="9" t="s">
        <v>74</v>
      </c>
      <c r="E1670" s="9" t="s">
        <v>11</v>
      </c>
      <c r="F1670" s="9" t="s">
        <v>1224</v>
      </c>
      <c r="G1670" s="9">
        <v>25</v>
      </c>
      <c r="H1670" s="9">
        <v>3</v>
      </c>
      <c r="I1670" s="9">
        <v>1.0149999999999999</v>
      </c>
      <c r="J1670" s="9">
        <v>103</v>
      </c>
      <c r="K1670" s="9" t="s">
        <v>424</v>
      </c>
      <c r="L1670" s="9"/>
      <c r="M1670" s="9"/>
      <c r="N1670" s="9" t="str">
        <f ca="1">IFERROR(__xludf.DUMMYFUNCTION("IFERROR(VALUE(REGEXEXTRACT(TO_TEXT($F1670), N$1 &amp; ""x(\d+)"")), """")
"),"")</f>
        <v/>
      </c>
      <c r="O1670" s="9" t="str">
        <f ca="1">IFERROR(__xludf.DUMMYFUNCTION("IFERROR(VALUE(REGEXEXTRACT(TO_TEXT($F1670), O$1 &amp; ""x(\d+)"")), """")"),"")</f>
        <v/>
      </c>
      <c r="P1670" s="9" t="str">
        <f ca="1">IFERROR(__xludf.DUMMYFUNCTION("IFERROR(VALUE(REGEXEXTRACT(TO_TEXT($F1670), P$1 &amp; ""x(\d+)"")), """")"),"")</f>
        <v/>
      </c>
      <c r="Q1670" s="9" t="str">
        <f ca="1">IFERROR(__xludf.DUMMYFUNCTION("IFERROR(VALUE(REGEXEXTRACT(TO_TEXT($F1670), Q$1 &amp; ""x(\d+)"")), """")"),"")</f>
        <v/>
      </c>
      <c r="R1670" s="9" t="str">
        <f ca="1">IFERROR(__xludf.DUMMYFUNCTION("IFERROR(VALUE(REGEXEXTRACT(TO_TEXT($F1670), R$1 &amp; ""x(\d+)"")), """")"),"")</f>
        <v/>
      </c>
      <c r="S1670" s="9" t="str">
        <f ca="1">IFERROR(__xludf.DUMMYFUNCTION("IFERROR(VALUE(REGEXEXTRACT(TO_TEXT($F1670), S$1 &amp; ""x(\d+)"")), """")"),"")</f>
        <v/>
      </c>
      <c r="T1670" s="9" t="str">
        <f ca="1">IFERROR(__xludf.DUMMYFUNCTION("IFERROR(VALUE(REGEXEXTRACT(TO_TEXT($F1670), T$1 &amp; ""x(\d+)"")), """")"),"")</f>
        <v/>
      </c>
      <c r="U1670" s="9" t="str">
        <f ca="1">IFERROR(__xludf.DUMMYFUNCTION("IFERROR(VALUE(REGEXEXTRACT(TO_TEXT($F1670), U$1 &amp; ""x(\d+)"")), """")"),"")</f>
        <v/>
      </c>
      <c r="V1670" s="9" t="str">
        <f ca="1">IFERROR(__xludf.DUMMYFUNCTION("IFERROR(VALUE(REGEXEXTRACT(TO_TEXT($F1670), V$1 &amp; ""x(\d+)"")), """")"),"")</f>
        <v/>
      </c>
      <c r="W1670" s="9"/>
      <c r="X1670" s="9"/>
      <c r="Y1670" s="9"/>
      <c r="Z1670" s="9"/>
    </row>
    <row r="1671" spans="1:26" ht="15.75" customHeight="1">
      <c r="A1671" s="9" t="s">
        <v>2692</v>
      </c>
      <c r="B1671" s="9" t="s">
        <v>2693</v>
      </c>
      <c r="C1671" s="9" t="s">
        <v>2694</v>
      </c>
      <c r="D1671" s="9" t="s">
        <v>74</v>
      </c>
      <c r="E1671" s="9" t="s">
        <v>12</v>
      </c>
      <c r="F1671" s="9" t="s">
        <v>2696</v>
      </c>
      <c r="G1671" s="9">
        <v>170</v>
      </c>
      <c r="H1671" s="9">
        <v>3</v>
      </c>
      <c r="I1671" s="9">
        <v>1.0149999999999999</v>
      </c>
      <c r="J1671" s="9">
        <v>103</v>
      </c>
      <c r="K1671" s="9" t="s">
        <v>424</v>
      </c>
      <c r="L1671" s="9" t="s">
        <v>1015</v>
      </c>
      <c r="M1671" s="9"/>
      <c r="N1671" s="9" t="str">
        <f ca="1">IFERROR(__xludf.DUMMYFUNCTION("IFERROR(VALUE(REGEXEXTRACT(TO_TEXT($F1671), N$1 &amp; ""x(\d+)"")), """")
"),"")</f>
        <v/>
      </c>
      <c r="O1671" s="9" t="str">
        <f ca="1">IFERROR(__xludf.DUMMYFUNCTION("IFERROR(VALUE(REGEXEXTRACT(TO_TEXT($F1671), O$1 &amp; ""x(\d+)"")), """")"),"")</f>
        <v/>
      </c>
      <c r="P1671" s="9" t="str">
        <f ca="1">IFERROR(__xludf.DUMMYFUNCTION("IFERROR(VALUE(REGEXEXTRACT(TO_TEXT($F1671), P$1 &amp; ""x(\d+)"")), """")"),"")</f>
        <v/>
      </c>
      <c r="Q1671" s="9">
        <f ca="1">IFERROR(__xludf.DUMMYFUNCTION("IFERROR(VALUE(REGEXEXTRACT(TO_TEXT($F1671), Q$1 &amp; ""x(\d+)"")), """")"),1)</f>
        <v>1</v>
      </c>
      <c r="R1671" s="9" t="str">
        <f ca="1">IFERROR(__xludf.DUMMYFUNCTION("IFERROR(VALUE(REGEXEXTRACT(TO_TEXT($F1671), R$1 &amp; ""x(\d+)"")), """")"),"")</f>
        <v/>
      </c>
      <c r="S1671" s="9" t="str">
        <f ca="1">IFERROR(__xludf.DUMMYFUNCTION("IFERROR(VALUE(REGEXEXTRACT(TO_TEXT($F1671), S$1 &amp; ""x(\d+)"")), """")"),"")</f>
        <v/>
      </c>
      <c r="T1671" s="9" t="str">
        <f ca="1">IFERROR(__xludf.DUMMYFUNCTION("IFERROR(VALUE(REGEXEXTRACT(TO_TEXT($F1671), T$1 &amp; ""x(\d+)"")), """")"),"")</f>
        <v/>
      </c>
      <c r="U1671" s="9" t="str">
        <f ca="1">IFERROR(__xludf.DUMMYFUNCTION("IFERROR(VALUE(REGEXEXTRACT(TO_TEXT($F1671), U$1 &amp; ""x(\d+)"")), """")"),"")</f>
        <v/>
      </c>
      <c r="V1671" s="9" t="str">
        <f ca="1">IFERROR(__xludf.DUMMYFUNCTION("IFERROR(VALUE(REGEXEXTRACT(TO_TEXT($F1671), V$1 &amp; ""x(\d+)"")), """")"),"")</f>
        <v/>
      </c>
      <c r="W1671" s="9"/>
      <c r="X1671" s="9"/>
      <c r="Y1671" s="9"/>
      <c r="Z1671" s="9"/>
    </row>
    <row r="1672" spans="1:26" ht="15.75" customHeight="1">
      <c r="A1672" s="9" t="s">
        <v>2692</v>
      </c>
      <c r="B1672" s="9" t="s">
        <v>2693</v>
      </c>
      <c r="C1672" s="9" t="s">
        <v>2694</v>
      </c>
      <c r="D1672" s="9" t="s">
        <v>74</v>
      </c>
      <c r="E1672" s="9" t="s">
        <v>13</v>
      </c>
      <c r="F1672" s="9" t="s">
        <v>1343</v>
      </c>
      <c r="G1672" s="9">
        <v>30</v>
      </c>
      <c r="H1672" s="9">
        <v>3</v>
      </c>
      <c r="I1672" s="9">
        <v>1.0149999999999999</v>
      </c>
      <c r="J1672" s="9">
        <v>103</v>
      </c>
      <c r="K1672" s="9" t="s">
        <v>424</v>
      </c>
      <c r="L1672" s="9"/>
      <c r="M1672" s="9"/>
      <c r="N1672" s="9" t="str">
        <f ca="1">IFERROR(__xludf.DUMMYFUNCTION("IFERROR(VALUE(REGEXEXTRACT(TO_TEXT($F1672), N$1 &amp; ""x(\d+)"")), """")
"),"")</f>
        <v/>
      </c>
      <c r="O1672" s="9" t="str">
        <f ca="1">IFERROR(__xludf.DUMMYFUNCTION("IFERROR(VALUE(REGEXEXTRACT(TO_TEXT($F1672), O$1 &amp; ""x(\d+)"")), """")"),"")</f>
        <v/>
      </c>
      <c r="P1672" s="9" t="str">
        <f ca="1">IFERROR(__xludf.DUMMYFUNCTION("IFERROR(VALUE(REGEXEXTRACT(TO_TEXT($F1672), P$1 &amp; ""x(\d+)"")), """")"),"")</f>
        <v/>
      </c>
      <c r="Q1672" s="9">
        <f ca="1">IFERROR(__xludf.DUMMYFUNCTION("IFERROR(VALUE(REGEXEXTRACT(TO_TEXT($F1672), Q$1 &amp; ""x(\d+)"")), """")"),1)</f>
        <v>1</v>
      </c>
      <c r="R1672" s="9" t="str">
        <f ca="1">IFERROR(__xludf.DUMMYFUNCTION("IFERROR(VALUE(REGEXEXTRACT(TO_TEXT($F1672), R$1 &amp; ""x(\d+)"")), """")"),"")</f>
        <v/>
      </c>
      <c r="S1672" s="9" t="str">
        <f ca="1">IFERROR(__xludf.DUMMYFUNCTION("IFERROR(VALUE(REGEXEXTRACT(TO_TEXT($F1672), S$1 &amp; ""x(\d+)"")), """")"),"")</f>
        <v/>
      </c>
      <c r="T1672" s="9" t="str">
        <f ca="1">IFERROR(__xludf.DUMMYFUNCTION("IFERROR(VALUE(REGEXEXTRACT(TO_TEXT($F1672), T$1 &amp; ""x(\d+)"")), """")"),"")</f>
        <v/>
      </c>
      <c r="U1672" s="9" t="str">
        <f ca="1">IFERROR(__xludf.DUMMYFUNCTION("IFERROR(VALUE(REGEXEXTRACT(TO_TEXT($F1672), U$1 &amp; ""x(\d+)"")), """")"),"")</f>
        <v/>
      </c>
      <c r="V1672" s="9" t="str">
        <f ca="1">IFERROR(__xludf.DUMMYFUNCTION("IFERROR(VALUE(REGEXEXTRACT(TO_TEXT($F1672), V$1 &amp; ""x(\d+)"")), """")"),"")</f>
        <v/>
      </c>
      <c r="W1672" s="9"/>
      <c r="X1672" s="9"/>
      <c r="Y1672" s="9"/>
      <c r="Z1672" s="9"/>
    </row>
    <row r="1673" spans="1:26" ht="15.75" customHeight="1">
      <c r="A1673" s="9" t="s">
        <v>2697</v>
      </c>
      <c r="B1673" s="9" t="s">
        <v>2698</v>
      </c>
      <c r="C1673" s="9" t="s">
        <v>2699</v>
      </c>
      <c r="D1673" s="9" t="s">
        <v>48</v>
      </c>
      <c r="E1673" s="9" t="s">
        <v>11</v>
      </c>
      <c r="F1673" s="9" t="s">
        <v>1224</v>
      </c>
      <c r="G1673" s="9">
        <v>25</v>
      </c>
      <c r="H1673" s="9">
        <v>3</v>
      </c>
      <c r="I1673" s="9">
        <v>1.0149999999999999</v>
      </c>
      <c r="J1673" s="9">
        <v>52</v>
      </c>
      <c r="K1673" s="9" t="s">
        <v>424</v>
      </c>
      <c r="L1673" s="9"/>
      <c r="M1673" s="9"/>
      <c r="N1673" s="9" t="str">
        <f ca="1">IFERROR(__xludf.DUMMYFUNCTION("IFERROR(VALUE(REGEXEXTRACT(TO_TEXT($F1673), N$1 &amp; ""x(\d+)"")), """")
"),"")</f>
        <v/>
      </c>
      <c r="O1673" s="9" t="str">
        <f ca="1">IFERROR(__xludf.DUMMYFUNCTION("IFERROR(VALUE(REGEXEXTRACT(TO_TEXT($F1673), O$1 &amp; ""x(\d+)"")), """")"),"")</f>
        <v/>
      </c>
      <c r="P1673" s="9" t="str">
        <f ca="1">IFERROR(__xludf.DUMMYFUNCTION("IFERROR(VALUE(REGEXEXTRACT(TO_TEXT($F1673), P$1 &amp; ""x(\d+)"")), """")"),"")</f>
        <v/>
      </c>
      <c r="Q1673" s="9" t="str">
        <f ca="1">IFERROR(__xludf.DUMMYFUNCTION("IFERROR(VALUE(REGEXEXTRACT(TO_TEXT($F1673), Q$1 &amp; ""x(\d+)"")), """")"),"")</f>
        <v/>
      </c>
      <c r="R1673" s="9" t="str">
        <f ca="1">IFERROR(__xludf.DUMMYFUNCTION("IFERROR(VALUE(REGEXEXTRACT(TO_TEXT($F1673), R$1 &amp; ""x(\d+)"")), """")"),"")</f>
        <v/>
      </c>
      <c r="S1673" s="9" t="str">
        <f ca="1">IFERROR(__xludf.DUMMYFUNCTION("IFERROR(VALUE(REGEXEXTRACT(TO_TEXT($F1673), S$1 &amp; ""x(\d+)"")), """")"),"")</f>
        <v/>
      </c>
      <c r="T1673" s="9" t="str">
        <f ca="1">IFERROR(__xludf.DUMMYFUNCTION("IFERROR(VALUE(REGEXEXTRACT(TO_TEXT($F1673), T$1 &amp; ""x(\d+)"")), """")"),"")</f>
        <v/>
      </c>
      <c r="U1673" s="9" t="str">
        <f ca="1">IFERROR(__xludf.DUMMYFUNCTION("IFERROR(VALUE(REGEXEXTRACT(TO_TEXT($F1673), U$1 &amp; ""x(\d+)"")), """")"),"")</f>
        <v/>
      </c>
      <c r="V1673" s="9" t="str">
        <f ca="1">IFERROR(__xludf.DUMMYFUNCTION("IFERROR(VALUE(REGEXEXTRACT(TO_TEXT($F1673), V$1 &amp; ""x(\d+)"")), """")"),"")</f>
        <v/>
      </c>
      <c r="W1673" s="9"/>
      <c r="X1673" s="9"/>
      <c r="Y1673" s="9"/>
      <c r="Z1673" s="9"/>
    </row>
    <row r="1674" spans="1:26" ht="15.75" customHeight="1">
      <c r="A1674" s="9" t="s">
        <v>2697</v>
      </c>
      <c r="B1674" s="9" t="s">
        <v>2698</v>
      </c>
      <c r="C1674" s="9" t="s">
        <v>2699</v>
      </c>
      <c r="D1674" s="9" t="s">
        <v>48</v>
      </c>
      <c r="E1674" s="9" t="s">
        <v>12</v>
      </c>
      <c r="F1674" s="9" t="s">
        <v>2695</v>
      </c>
      <c r="G1674" s="9">
        <v>150</v>
      </c>
      <c r="H1674" s="9">
        <v>3</v>
      </c>
      <c r="I1674" s="9">
        <v>1.0149999999999999</v>
      </c>
      <c r="J1674" s="9">
        <v>52</v>
      </c>
      <c r="K1674" s="9" t="s">
        <v>424</v>
      </c>
      <c r="L1674" s="9" t="s">
        <v>1015</v>
      </c>
      <c r="M1674" s="9"/>
      <c r="N1674" s="9" t="str">
        <f ca="1">IFERROR(__xludf.DUMMYFUNCTION("IFERROR(VALUE(REGEXEXTRACT(TO_TEXT($F1674), N$1 &amp; ""x(\d+)"")), """")
"),"")</f>
        <v/>
      </c>
      <c r="O1674" s="9" t="str">
        <f ca="1">IFERROR(__xludf.DUMMYFUNCTION("IFERROR(VALUE(REGEXEXTRACT(TO_TEXT($F1674), O$1 &amp; ""x(\d+)"")), """")"),"")</f>
        <v/>
      </c>
      <c r="P1674" s="9">
        <f ca="1">IFERROR(__xludf.DUMMYFUNCTION("IFERROR(VALUE(REGEXEXTRACT(TO_TEXT($F1674), P$1 &amp; ""x(\d+)"")), """")"),1)</f>
        <v>1</v>
      </c>
      <c r="Q1674" s="9" t="str">
        <f ca="1">IFERROR(__xludf.DUMMYFUNCTION("IFERROR(VALUE(REGEXEXTRACT(TO_TEXT($F1674), Q$1 &amp; ""x(\d+)"")), """")"),"")</f>
        <v/>
      </c>
      <c r="R1674" s="9" t="str">
        <f ca="1">IFERROR(__xludf.DUMMYFUNCTION("IFERROR(VALUE(REGEXEXTRACT(TO_TEXT($F1674), R$1 &amp; ""x(\d+)"")), """")"),"")</f>
        <v/>
      </c>
      <c r="S1674" s="9" t="str">
        <f ca="1">IFERROR(__xludf.DUMMYFUNCTION("IFERROR(VALUE(REGEXEXTRACT(TO_TEXT($F1674), S$1 &amp; ""x(\d+)"")), """")"),"")</f>
        <v/>
      </c>
      <c r="T1674" s="9" t="str">
        <f ca="1">IFERROR(__xludf.DUMMYFUNCTION("IFERROR(VALUE(REGEXEXTRACT(TO_TEXT($F1674), T$1 &amp; ""x(\d+)"")), """")"),"")</f>
        <v/>
      </c>
      <c r="U1674" s="9" t="str">
        <f ca="1">IFERROR(__xludf.DUMMYFUNCTION("IFERROR(VALUE(REGEXEXTRACT(TO_TEXT($F1674), U$1 &amp; ""x(\d+)"")), """")"),"")</f>
        <v/>
      </c>
      <c r="V1674" s="9" t="str">
        <f ca="1">IFERROR(__xludf.DUMMYFUNCTION("IFERROR(VALUE(REGEXEXTRACT(TO_TEXT($F1674), V$1 &amp; ""x(\d+)"")), """")"),"")</f>
        <v/>
      </c>
      <c r="W1674" s="9"/>
      <c r="X1674" s="9"/>
      <c r="Y1674" s="9"/>
      <c r="Z1674" s="9"/>
    </row>
    <row r="1675" spans="1:26" ht="15.75" customHeight="1">
      <c r="A1675" s="9" t="s">
        <v>2697</v>
      </c>
      <c r="B1675" s="9" t="s">
        <v>2698</v>
      </c>
      <c r="C1675" s="9" t="s">
        <v>2699</v>
      </c>
      <c r="D1675" s="9" t="s">
        <v>48</v>
      </c>
      <c r="E1675" s="9" t="s">
        <v>13</v>
      </c>
      <c r="F1675" s="9" t="s">
        <v>1694</v>
      </c>
      <c r="G1675" s="9">
        <v>30</v>
      </c>
      <c r="H1675" s="9">
        <v>3</v>
      </c>
      <c r="I1675" s="9">
        <v>1.0149999999999999</v>
      </c>
      <c r="J1675" s="9">
        <v>52</v>
      </c>
      <c r="K1675" s="9" t="s">
        <v>424</v>
      </c>
      <c r="L1675" s="9"/>
      <c r="M1675" s="9"/>
      <c r="N1675" s="9" t="str">
        <f ca="1">IFERROR(__xludf.DUMMYFUNCTION("IFERROR(VALUE(REGEXEXTRACT(TO_TEXT($F1675), N$1 &amp; ""x(\d+)"")), """")
"),"")</f>
        <v/>
      </c>
      <c r="O1675" s="9" t="str">
        <f ca="1">IFERROR(__xludf.DUMMYFUNCTION("IFERROR(VALUE(REGEXEXTRACT(TO_TEXT($F1675), O$1 &amp; ""x(\d+)"")), """")"),"")</f>
        <v/>
      </c>
      <c r="P1675" s="9">
        <f ca="1">IFERROR(__xludf.DUMMYFUNCTION("IFERROR(VALUE(REGEXEXTRACT(TO_TEXT($F1675), P$1 &amp; ""x(\d+)"")), """")"),1)</f>
        <v>1</v>
      </c>
      <c r="Q1675" s="9" t="str">
        <f ca="1">IFERROR(__xludf.DUMMYFUNCTION("IFERROR(VALUE(REGEXEXTRACT(TO_TEXT($F1675), Q$1 &amp; ""x(\d+)"")), """")"),"")</f>
        <v/>
      </c>
      <c r="R1675" s="9" t="str">
        <f ca="1">IFERROR(__xludf.DUMMYFUNCTION("IFERROR(VALUE(REGEXEXTRACT(TO_TEXT($F1675), R$1 &amp; ""x(\d+)"")), """")"),"")</f>
        <v/>
      </c>
      <c r="S1675" s="9" t="str">
        <f ca="1">IFERROR(__xludf.DUMMYFUNCTION("IFERROR(VALUE(REGEXEXTRACT(TO_TEXT($F1675), S$1 &amp; ""x(\d+)"")), """")"),"")</f>
        <v/>
      </c>
      <c r="T1675" s="9" t="str">
        <f ca="1">IFERROR(__xludf.DUMMYFUNCTION("IFERROR(VALUE(REGEXEXTRACT(TO_TEXT($F1675), T$1 &amp; ""x(\d+)"")), """")"),"")</f>
        <v/>
      </c>
      <c r="U1675" s="9" t="str">
        <f ca="1">IFERROR(__xludf.DUMMYFUNCTION("IFERROR(VALUE(REGEXEXTRACT(TO_TEXT($F1675), U$1 &amp; ""x(\d+)"")), """")"),"")</f>
        <v/>
      </c>
      <c r="V1675" s="9" t="str">
        <f ca="1">IFERROR(__xludf.DUMMYFUNCTION("IFERROR(VALUE(REGEXEXTRACT(TO_TEXT($F1675), V$1 &amp; ""x(\d+)"")), """")"),"")</f>
        <v/>
      </c>
      <c r="W1675" s="9"/>
      <c r="X1675" s="9"/>
      <c r="Y1675" s="9"/>
      <c r="Z1675" s="9"/>
    </row>
    <row r="1676" spans="1:26" ht="15.75" customHeight="1">
      <c r="A1676" s="9" t="s">
        <v>2697</v>
      </c>
      <c r="B1676" s="9" t="s">
        <v>2698</v>
      </c>
      <c r="C1676" s="9" t="s">
        <v>2699</v>
      </c>
      <c r="D1676" s="9" t="s">
        <v>74</v>
      </c>
      <c r="E1676" s="9" t="s">
        <v>11</v>
      </c>
      <c r="F1676" s="9" t="s">
        <v>1224</v>
      </c>
      <c r="G1676" s="9">
        <v>25</v>
      </c>
      <c r="H1676" s="9">
        <v>3</v>
      </c>
      <c r="I1676" s="9">
        <v>1.0149999999999999</v>
      </c>
      <c r="J1676" s="9">
        <v>103</v>
      </c>
      <c r="K1676" s="9" t="s">
        <v>424</v>
      </c>
      <c r="L1676" s="9"/>
      <c r="M1676" s="9"/>
      <c r="N1676" s="9" t="str">
        <f ca="1">IFERROR(__xludf.DUMMYFUNCTION("IFERROR(VALUE(REGEXEXTRACT(TO_TEXT($F1676), N$1 &amp; ""x(\d+)"")), """")
"),"")</f>
        <v/>
      </c>
      <c r="O1676" s="9" t="str">
        <f ca="1">IFERROR(__xludf.DUMMYFUNCTION("IFERROR(VALUE(REGEXEXTRACT(TO_TEXT($F1676), O$1 &amp; ""x(\d+)"")), """")"),"")</f>
        <v/>
      </c>
      <c r="P1676" s="9" t="str">
        <f ca="1">IFERROR(__xludf.DUMMYFUNCTION("IFERROR(VALUE(REGEXEXTRACT(TO_TEXT($F1676), P$1 &amp; ""x(\d+)"")), """")"),"")</f>
        <v/>
      </c>
      <c r="Q1676" s="9" t="str">
        <f ca="1">IFERROR(__xludf.DUMMYFUNCTION("IFERROR(VALUE(REGEXEXTRACT(TO_TEXT($F1676), Q$1 &amp; ""x(\d+)"")), """")"),"")</f>
        <v/>
      </c>
      <c r="R1676" s="9" t="str">
        <f ca="1">IFERROR(__xludf.DUMMYFUNCTION("IFERROR(VALUE(REGEXEXTRACT(TO_TEXT($F1676), R$1 &amp; ""x(\d+)"")), """")"),"")</f>
        <v/>
      </c>
      <c r="S1676" s="9" t="str">
        <f ca="1">IFERROR(__xludf.DUMMYFUNCTION("IFERROR(VALUE(REGEXEXTRACT(TO_TEXT($F1676), S$1 &amp; ""x(\d+)"")), """")"),"")</f>
        <v/>
      </c>
      <c r="T1676" s="9" t="str">
        <f ca="1">IFERROR(__xludf.DUMMYFUNCTION("IFERROR(VALUE(REGEXEXTRACT(TO_TEXT($F1676), T$1 &amp; ""x(\d+)"")), """")"),"")</f>
        <v/>
      </c>
      <c r="U1676" s="9" t="str">
        <f ca="1">IFERROR(__xludf.DUMMYFUNCTION("IFERROR(VALUE(REGEXEXTRACT(TO_TEXT($F1676), U$1 &amp; ""x(\d+)"")), """")"),"")</f>
        <v/>
      </c>
      <c r="V1676" s="9" t="str">
        <f ca="1">IFERROR(__xludf.DUMMYFUNCTION("IFERROR(VALUE(REGEXEXTRACT(TO_TEXT($F1676), V$1 &amp; ""x(\d+)"")), """")"),"")</f>
        <v/>
      </c>
      <c r="W1676" s="9"/>
      <c r="X1676" s="9"/>
      <c r="Y1676" s="9"/>
      <c r="Z1676" s="9"/>
    </row>
    <row r="1677" spans="1:26" ht="15.75" customHeight="1">
      <c r="A1677" s="9" t="s">
        <v>2697</v>
      </c>
      <c r="B1677" s="9" t="s">
        <v>2698</v>
      </c>
      <c r="C1677" s="9" t="s">
        <v>2699</v>
      </c>
      <c r="D1677" s="9" t="s">
        <v>74</v>
      </c>
      <c r="E1677" s="9" t="s">
        <v>12</v>
      </c>
      <c r="F1677" s="9" t="s">
        <v>2696</v>
      </c>
      <c r="G1677" s="9">
        <v>170</v>
      </c>
      <c r="H1677" s="9">
        <v>3</v>
      </c>
      <c r="I1677" s="9">
        <v>1.0149999999999999</v>
      </c>
      <c r="J1677" s="9">
        <v>103</v>
      </c>
      <c r="K1677" s="9" t="s">
        <v>424</v>
      </c>
      <c r="L1677" s="9" t="s">
        <v>1015</v>
      </c>
      <c r="M1677" s="9"/>
      <c r="N1677" s="9" t="str">
        <f ca="1">IFERROR(__xludf.DUMMYFUNCTION("IFERROR(VALUE(REGEXEXTRACT(TO_TEXT($F1677), N$1 &amp; ""x(\d+)"")), """")
"),"")</f>
        <v/>
      </c>
      <c r="O1677" s="9" t="str">
        <f ca="1">IFERROR(__xludf.DUMMYFUNCTION("IFERROR(VALUE(REGEXEXTRACT(TO_TEXT($F1677), O$1 &amp; ""x(\d+)"")), """")"),"")</f>
        <v/>
      </c>
      <c r="P1677" s="9" t="str">
        <f ca="1">IFERROR(__xludf.DUMMYFUNCTION("IFERROR(VALUE(REGEXEXTRACT(TO_TEXT($F1677), P$1 &amp; ""x(\d+)"")), """")"),"")</f>
        <v/>
      </c>
      <c r="Q1677" s="9">
        <f ca="1">IFERROR(__xludf.DUMMYFUNCTION("IFERROR(VALUE(REGEXEXTRACT(TO_TEXT($F1677), Q$1 &amp; ""x(\d+)"")), """")"),1)</f>
        <v>1</v>
      </c>
      <c r="R1677" s="9" t="str">
        <f ca="1">IFERROR(__xludf.DUMMYFUNCTION("IFERROR(VALUE(REGEXEXTRACT(TO_TEXT($F1677), R$1 &amp; ""x(\d+)"")), """")"),"")</f>
        <v/>
      </c>
      <c r="S1677" s="9" t="str">
        <f ca="1">IFERROR(__xludf.DUMMYFUNCTION("IFERROR(VALUE(REGEXEXTRACT(TO_TEXT($F1677), S$1 &amp; ""x(\d+)"")), """")"),"")</f>
        <v/>
      </c>
      <c r="T1677" s="9" t="str">
        <f ca="1">IFERROR(__xludf.DUMMYFUNCTION("IFERROR(VALUE(REGEXEXTRACT(TO_TEXT($F1677), T$1 &amp; ""x(\d+)"")), """")"),"")</f>
        <v/>
      </c>
      <c r="U1677" s="9" t="str">
        <f ca="1">IFERROR(__xludf.DUMMYFUNCTION("IFERROR(VALUE(REGEXEXTRACT(TO_TEXT($F1677), U$1 &amp; ""x(\d+)"")), """")"),"")</f>
        <v/>
      </c>
      <c r="V1677" s="9" t="str">
        <f ca="1">IFERROR(__xludf.DUMMYFUNCTION("IFERROR(VALUE(REGEXEXTRACT(TO_TEXT($F1677), V$1 &amp; ""x(\d+)"")), """")"),"")</f>
        <v/>
      </c>
      <c r="W1677" s="9"/>
      <c r="X1677" s="9"/>
      <c r="Y1677" s="9"/>
      <c r="Z1677" s="9"/>
    </row>
    <row r="1678" spans="1:26" ht="15.75" customHeight="1">
      <c r="A1678" s="9" t="s">
        <v>2697</v>
      </c>
      <c r="B1678" s="9" t="s">
        <v>2698</v>
      </c>
      <c r="C1678" s="9" t="s">
        <v>2699</v>
      </c>
      <c r="D1678" s="9" t="s">
        <v>74</v>
      </c>
      <c r="E1678" s="9" t="s">
        <v>13</v>
      </c>
      <c r="F1678" s="9" t="s">
        <v>1343</v>
      </c>
      <c r="G1678" s="9">
        <v>30</v>
      </c>
      <c r="H1678" s="9">
        <v>3</v>
      </c>
      <c r="I1678" s="9">
        <v>1.0149999999999999</v>
      </c>
      <c r="J1678" s="9">
        <v>103</v>
      </c>
      <c r="K1678" s="9" t="s">
        <v>424</v>
      </c>
      <c r="L1678" s="9"/>
      <c r="M1678" s="9"/>
      <c r="N1678" s="9" t="str">
        <f ca="1">IFERROR(__xludf.DUMMYFUNCTION("IFERROR(VALUE(REGEXEXTRACT(TO_TEXT($F1678), N$1 &amp; ""x(\d+)"")), """")
"),"")</f>
        <v/>
      </c>
      <c r="O1678" s="9" t="str">
        <f ca="1">IFERROR(__xludf.DUMMYFUNCTION("IFERROR(VALUE(REGEXEXTRACT(TO_TEXT($F1678), O$1 &amp; ""x(\d+)"")), """")"),"")</f>
        <v/>
      </c>
      <c r="P1678" s="9" t="str">
        <f ca="1">IFERROR(__xludf.DUMMYFUNCTION("IFERROR(VALUE(REGEXEXTRACT(TO_TEXT($F1678), P$1 &amp; ""x(\d+)"")), """")"),"")</f>
        <v/>
      </c>
      <c r="Q1678" s="9">
        <f ca="1">IFERROR(__xludf.DUMMYFUNCTION("IFERROR(VALUE(REGEXEXTRACT(TO_TEXT($F1678), Q$1 &amp; ""x(\d+)"")), """")"),1)</f>
        <v>1</v>
      </c>
      <c r="R1678" s="9" t="str">
        <f ca="1">IFERROR(__xludf.DUMMYFUNCTION("IFERROR(VALUE(REGEXEXTRACT(TO_TEXT($F1678), R$1 &amp; ""x(\d+)"")), """")"),"")</f>
        <v/>
      </c>
      <c r="S1678" s="9" t="str">
        <f ca="1">IFERROR(__xludf.DUMMYFUNCTION("IFERROR(VALUE(REGEXEXTRACT(TO_TEXT($F1678), S$1 &amp; ""x(\d+)"")), """")"),"")</f>
        <v/>
      </c>
      <c r="T1678" s="9" t="str">
        <f ca="1">IFERROR(__xludf.DUMMYFUNCTION("IFERROR(VALUE(REGEXEXTRACT(TO_TEXT($F1678), T$1 &amp; ""x(\d+)"")), """")"),"")</f>
        <v/>
      </c>
      <c r="U1678" s="9" t="str">
        <f ca="1">IFERROR(__xludf.DUMMYFUNCTION("IFERROR(VALUE(REGEXEXTRACT(TO_TEXT($F1678), U$1 &amp; ""x(\d+)"")), """")"),"")</f>
        <v/>
      </c>
      <c r="V1678" s="9" t="str">
        <f ca="1">IFERROR(__xludf.DUMMYFUNCTION("IFERROR(VALUE(REGEXEXTRACT(TO_TEXT($F1678), V$1 &amp; ""x(\d+)"")), """")"),"")</f>
        <v/>
      </c>
      <c r="W1678" s="9"/>
      <c r="X1678" s="9"/>
      <c r="Y1678" s="9"/>
      <c r="Z1678" s="9"/>
    </row>
    <row r="1679" spans="1:26" ht="15.75" customHeight="1">
      <c r="A1679" s="9" t="s">
        <v>2700</v>
      </c>
      <c r="B1679" s="9" t="s">
        <v>2701</v>
      </c>
      <c r="C1679" s="9" t="s">
        <v>2702</v>
      </c>
      <c r="D1679" s="9" t="s">
        <v>48</v>
      </c>
      <c r="E1679" s="9" t="s">
        <v>11</v>
      </c>
      <c r="F1679" s="9" t="s">
        <v>1123</v>
      </c>
      <c r="G1679" s="9">
        <v>45</v>
      </c>
      <c r="H1679" s="9">
        <v>3</v>
      </c>
      <c r="I1679" s="9">
        <v>1.0149999999999999</v>
      </c>
      <c r="J1679" s="9">
        <v>52</v>
      </c>
      <c r="K1679" s="9" t="s">
        <v>424</v>
      </c>
      <c r="L1679" s="9"/>
      <c r="M1679" s="9"/>
      <c r="N1679" s="9" t="str">
        <f ca="1">IFERROR(__xludf.DUMMYFUNCTION("IFERROR(VALUE(REGEXEXTRACT(TO_TEXT($F1679), N$1 &amp; ""x(\d+)"")), """")
"),"")</f>
        <v/>
      </c>
      <c r="O1679" s="9" t="str">
        <f ca="1">IFERROR(__xludf.DUMMYFUNCTION("IFERROR(VALUE(REGEXEXTRACT(TO_TEXT($F1679), O$1 &amp; ""x(\d+)"")), """")"),"")</f>
        <v/>
      </c>
      <c r="P1679" s="9" t="str">
        <f ca="1">IFERROR(__xludf.DUMMYFUNCTION("IFERROR(VALUE(REGEXEXTRACT(TO_TEXT($F1679), P$1 &amp; ""x(\d+)"")), """")"),"")</f>
        <v/>
      </c>
      <c r="Q1679" s="9" t="str">
        <f ca="1">IFERROR(__xludf.DUMMYFUNCTION("IFERROR(VALUE(REGEXEXTRACT(TO_TEXT($F1679), Q$1 &amp; ""x(\d+)"")), """")"),"")</f>
        <v/>
      </c>
      <c r="R1679" s="9" t="str">
        <f ca="1">IFERROR(__xludf.DUMMYFUNCTION("IFERROR(VALUE(REGEXEXTRACT(TO_TEXT($F1679), R$1 &amp; ""x(\d+)"")), """")"),"")</f>
        <v/>
      </c>
      <c r="S1679" s="9" t="str">
        <f ca="1">IFERROR(__xludf.DUMMYFUNCTION("IFERROR(VALUE(REGEXEXTRACT(TO_TEXT($F1679), S$1 &amp; ""x(\d+)"")), """")"),"")</f>
        <v/>
      </c>
      <c r="T1679" s="9" t="str">
        <f ca="1">IFERROR(__xludf.DUMMYFUNCTION("IFERROR(VALUE(REGEXEXTRACT(TO_TEXT($F1679), T$1 &amp; ""x(\d+)"")), """")"),"")</f>
        <v/>
      </c>
      <c r="U1679" s="9" t="str">
        <f ca="1">IFERROR(__xludf.DUMMYFUNCTION("IFERROR(VALUE(REGEXEXTRACT(TO_TEXT($F1679), U$1 &amp; ""x(\d+)"")), """")"),"")</f>
        <v/>
      </c>
      <c r="V1679" s="9" t="str">
        <f ca="1">IFERROR(__xludf.DUMMYFUNCTION("IFERROR(VALUE(REGEXEXTRACT(TO_TEXT($F1679), V$1 &amp; ""x(\d+)"")), """")"),"")</f>
        <v/>
      </c>
      <c r="W1679" s="9"/>
      <c r="X1679" s="9"/>
      <c r="Y1679" s="9"/>
      <c r="Z1679" s="9"/>
    </row>
    <row r="1680" spans="1:26" ht="15.75" customHeight="1">
      <c r="A1680" s="9" t="s">
        <v>2700</v>
      </c>
      <c r="B1680" s="9" t="s">
        <v>2701</v>
      </c>
      <c r="C1680" s="9" t="s">
        <v>2702</v>
      </c>
      <c r="D1680" s="9" t="s">
        <v>48</v>
      </c>
      <c r="E1680" s="9" t="s">
        <v>12</v>
      </c>
      <c r="F1680" s="9" t="s">
        <v>2703</v>
      </c>
      <c r="G1680" s="9">
        <v>130</v>
      </c>
      <c r="H1680" s="9">
        <v>3</v>
      </c>
      <c r="I1680" s="9">
        <v>1.0149999999999999</v>
      </c>
      <c r="J1680" s="9">
        <v>52</v>
      </c>
      <c r="K1680" s="9" t="s">
        <v>424</v>
      </c>
      <c r="L1680" s="9" t="s">
        <v>1015</v>
      </c>
      <c r="M1680" s="9"/>
      <c r="N1680" s="9" t="str">
        <f ca="1">IFERROR(__xludf.DUMMYFUNCTION("IFERROR(VALUE(REGEXEXTRACT(TO_TEXT($F1680), N$1 &amp; ""x(\d+)"")), """")
"),"")</f>
        <v/>
      </c>
      <c r="O1680" s="9" t="str">
        <f ca="1">IFERROR(__xludf.DUMMYFUNCTION("IFERROR(VALUE(REGEXEXTRACT(TO_TEXT($F1680), O$1 &amp; ""x(\d+)"")), """")"),"")</f>
        <v/>
      </c>
      <c r="P1680" s="9">
        <f ca="1">IFERROR(__xludf.DUMMYFUNCTION("IFERROR(VALUE(REGEXEXTRACT(TO_TEXT($F1680), P$1 &amp; ""x(\d+)"")), """")"),1)</f>
        <v>1</v>
      </c>
      <c r="Q1680" s="9" t="str">
        <f ca="1">IFERROR(__xludf.DUMMYFUNCTION("IFERROR(VALUE(REGEXEXTRACT(TO_TEXT($F1680), Q$1 &amp; ""x(\d+)"")), """")"),"")</f>
        <v/>
      </c>
      <c r="R1680" s="9" t="str">
        <f ca="1">IFERROR(__xludf.DUMMYFUNCTION("IFERROR(VALUE(REGEXEXTRACT(TO_TEXT($F1680), R$1 &amp; ""x(\d+)"")), """")"),"")</f>
        <v/>
      </c>
      <c r="S1680" s="9" t="str">
        <f ca="1">IFERROR(__xludf.DUMMYFUNCTION("IFERROR(VALUE(REGEXEXTRACT(TO_TEXT($F1680), S$1 &amp; ""x(\d+)"")), """")"),"")</f>
        <v/>
      </c>
      <c r="T1680" s="9" t="str">
        <f ca="1">IFERROR(__xludf.DUMMYFUNCTION("IFERROR(VALUE(REGEXEXTRACT(TO_TEXT($F1680), T$1 &amp; ""x(\d+)"")), """")"),"")</f>
        <v/>
      </c>
      <c r="U1680" s="9" t="str">
        <f ca="1">IFERROR(__xludf.DUMMYFUNCTION("IFERROR(VALUE(REGEXEXTRACT(TO_TEXT($F1680), U$1 &amp; ""x(\d+)"")), """")"),"")</f>
        <v/>
      </c>
      <c r="V1680" s="9" t="str">
        <f ca="1">IFERROR(__xludf.DUMMYFUNCTION("IFERROR(VALUE(REGEXEXTRACT(TO_TEXT($F1680), V$1 &amp; ""x(\d+)"")), """")"),"")</f>
        <v/>
      </c>
      <c r="W1680" s="9"/>
      <c r="X1680" s="9"/>
      <c r="Y1680" s="9"/>
      <c r="Z1680" s="9"/>
    </row>
    <row r="1681" spans="1:26" ht="15.75" customHeight="1">
      <c r="A1681" s="9" t="s">
        <v>2700</v>
      </c>
      <c r="B1681" s="9" t="s">
        <v>2701</v>
      </c>
      <c r="C1681" s="9" t="s">
        <v>2702</v>
      </c>
      <c r="D1681" s="9" t="s">
        <v>48</v>
      </c>
      <c r="E1681" s="9" t="s">
        <v>13</v>
      </c>
      <c r="F1681" s="9" t="s">
        <v>1694</v>
      </c>
      <c r="G1681" s="9">
        <v>30</v>
      </c>
      <c r="H1681" s="9">
        <v>3</v>
      </c>
      <c r="I1681" s="9">
        <v>1.0149999999999999</v>
      </c>
      <c r="J1681" s="9">
        <v>52</v>
      </c>
      <c r="K1681" s="9" t="s">
        <v>424</v>
      </c>
      <c r="L1681" s="9"/>
      <c r="M1681" s="9"/>
      <c r="N1681" s="9" t="str">
        <f ca="1">IFERROR(__xludf.DUMMYFUNCTION("IFERROR(VALUE(REGEXEXTRACT(TO_TEXT($F1681), N$1 &amp; ""x(\d+)"")), """")
"),"")</f>
        <v/>
      </c>
      <c r="O1681" s="9" t="str">
        <f ca="1">IFERROR(__xludf.DUMMYFUNCTION("IFERROR(VALUE(REGEXEXTRACT(TO_TEXT($F1681), O$1 &amp; ""x(\d+)"")), """")"),"")</f>
        <v/>
      </c>
      <c r="P1681" s="9">
        <f ca="1">IFERROR(__xludf.DUMMYFUNCTION("IFERROR(VALUE(REGEXEXTRACT(TO_TEXT($F1681), P$1 &amp; ""x(\d+)"")), """")"),1)</f>
        <v>1</v>
      </c>
      <c r="Q1681" s="9" t="str">
        <f ca="1">IFERROR(__xludf.DUMMYFUNCTION("IFERROR(VALUE(REGEXEXTRACT(TO_TEXT($F1681), Q$1 &amp; ""x(\d+)"")), """")"),"")</f>
        <v/>
      </c>
      <c r="R1681" s="9" t="str">
        <f ca="1">IFERROR(__xludf.DUMMYFUNCTION("IFERROR(VALUE(REGEXEXTRACT(TO_TEXT($F1681), R$1 &amp; ""x(\d+)"")), """")"),"")</f>
        <v/>
      </c>
      <c r="S1681" s="9" t="str">
        <f ca="1">IFERROR(__xludf.DUMMYFUNCTION("IFERROR(VALUE(REGEXEXTRACT(TO_TEXT($F1681), S$1 &amp; ""x(\d+)"")), """")"),"")</f>
        <v/>
      </c>
      <c r="T1681" s="9" t="str">
        <f ca="1">IFERROR(__xludf.DUMMYFUNCTION("IFERROR(VALUE(REGEXEXTRACT(TO_TEXT($F1681), T$1 &amp; ""x(\d+)"")), """")"),"")</f>
        <v/>
      </c>
      <c r="U1681" s="9" t="str">
        <f ca="1">IFERROR(__xludf.DUMMYFUNCTION("IFERROR(VALUE(REGEXEXTRACT(TO_TEXT($F1681), U$1 &amp; ""x(\d+)"")), """")"),"")</f>
        <v/>
      </c>
      <c r="V1681" s="9" t="str">
        <f ca="1">IFERROR(__xludf.DUMMYFUNCTION("IFERROR(VALUE(REGEXEXTRACT(TO_TEXT($F1681), V$1 &amp; ""x(\d+)"")), """")"),"")</f>
        <v/>
      </c>
      <c r="W1681" s="9"/>
      <c r="X1681" s="9"/>
      <c r="Y1681" s="9"/>
      <c r="Z1681" s="9"/>
    </row>
    <row r="1682" spans="1:26" ht="15.75" customHeight="1">
      <c r="A1682" s="9" t="s">
        <v>2700</v>
      </c>
      <c r="B1682" s="9" t="s">
        <v>2701</v>
      </c>
      <c r="C1682" s="9" t="s">
        <v>2702</v>
      </c>
      <c r="D1682" s="9" t="s">
        <v>74</v>
      </c>
      <c r="E1682" s="9" t="s">
        <v>11</v>
      </c>
      <c r="F1682" s="9" t="s">
        <v>1123</v>
      </c>
      <c r="G1682" s="9">
        <v>45</v>
      </c>
      <c r="H1682" s="9">
        <v>3</v>
      </c>
      <c r="I1682" s="9">
        <v>1.0149999999999999</v>
      </c>
      <c r="J1682" s="9">
        <v>102</v>
      </c>
      <c r="K1682" s="9" t="s">
        <v>424</v>
      </c>
      <c r="L1682" s="9"/>
      <c r="M1682" s="9"/>
      <c r="N1682" s="9" t="str">
        <f ca="1">IFERROR(__xludf.DUMMYFUNCTION("IFERROR(VALUE(REGEXEXTRACT(TO_TEXT($F1682), N$1 &amp; ""x(\d+)"")), """")
"),"")</f>
        <v/>
      </c>
      <c r="O1682" s="9" t="str">
        <f ca="1">IFERROR(__xludf.DUMMYFUNCTION("IFERROR(VALUE(REGEXEXTRACT(TO_TEXT($F1682), O$1 &amp; ""x(\d+)"")), """")"),"")</f>
        <v/>
      </c>
      <c r="P1682" s="9" t="str">
        <f ca="1">IFERROR(__xludf.DUMMYFUNCTION("IFERROR(VALUE(REGEXEXTRACT(TO_TEXT($F1682), P$1 &amp; ""x(\d+)"")), """")"),"")</f>
        <v/>
      </c>
      <c r="Q1682" s="9" t="str">
        <f ca="1">IFERROR(__xludf.DUMMYFUNCTION("IFERROR(VALUE(REGEXEXTRACT(TO_TEXT($F1682), Q$1 &amp; ""x(\d+)"")), """")"),"")</f>
        <v/>
      </c>
      <c r="R1682" s="9" t="str">
        <f ca="1">IFERROR(__xludf.DUMMYFUNCTION("IFERROR(VALUE(REGEXEXTRACT(TO_TEXT($F1682), R$1 &amp; ""x(\d+)"")), """")"),"")</f>
        <v/>
      </c>
      <c r="S1682" s="9" t="str">
        <f ca="1">IFERROR(__xludf.DUMMYFUNCTION("IFERROR(VALUE(REGEXEXTRACT(TO_TEXT($F1682), S$1 &amp; ""x(\d+)"")), """")"),"")</f>
        <v/>
      </c>
      <c r="T1682" s="9" t="str">
        <f ca="1">IFERROR(__xludf.DUMMYFUNCTION("IFERROR(VALUE(REGEXEXTRACT(TO_TEXT($F1682), T$1 &amp; ""x(\d+)"")), """")"),"")</f>
        <v/>
      </c>
      <c r="U1682" s="9" t="str">
        <f ca="1">IFERROR(__xludf.DUMMYFUNCTION("IFERROR(VALUE(REGEXEXTRACT(TO_TEXT($F1682), U$1 &amp; ""x(\d+)"")), """")"),"")</f>
        <v/>
      </c>
      <c r="V1682" s="9" t="str">
        <f ca="1">IFERROR(__xludf.DUMMYFUNCTION("IFERROR(VALUE(REGEXEXTRACT(TO_TEXT($F1682), V$1 &amp; ""x(\d+)"")), """")"),"")</f>
        <v/>
      </c>
      <c r="W1682" s="9"/>
      <c r="X1682" s="9"/>
      <c r="Y1682" s="9"/>
      <c r="Z1682" s="9"/>
    </row>
    <row r="1683" spans="1:26" ht="15.75" customHeight="1">
      <c r="A1683" s="9" t="s">
        <v>2700</v>
      </c>
      <c r="B1683" s="9" t="s">
        <v>2701</v>
      </c>
      <c r="C1683" s="9" t="s">
        <v>2702</v>
      </c>
      <c r="D1683" s="9" t="s">
        <v>74</v>
      </c>
      <c r="E1683" s="9" t="s">
        <v>12</v>
      </c>
      <c r="F1683" s="9" t="s">
        <v>2704</v>
      </c>
      <c r="G1683" s="9">
        <v>150</v>
      </c>
      <c r="H1683" s="9">
        <v>3</v>
      </c>
      <c r="I1683" s="9">
        <v>1.0149999999999999</v>
      </c>
      <c r="J1683" s="9">
        <v>102</v>
      </c>
      <c r="K1683" s="9" t="s">
        <v>424</v>
      </c>
      <c r="L1683" s="9" t="s">
        <v>1015</v>
      </c>
      <c r="M1683" s="9"/>
      <c r="N1683" s="9" t="str">
        <f ca="1">IFERROR(__xludf.DUMMYFUNCTION("IFERROR(VALUE(REGEXEXTRACT(TO_TEXT($F1683), N$1 &amp; ""x(\d+)"")), """")
"),"")</f>
        <v/>
      </c>
      <c r="O1683" s="9" t="str">
        <f ca="1">IFERROR(__xludf.DUMMYFUNCTION("IFERROR(VALUE(REGEXEXTRACT(TO_TEXT($F1683), O$1 &amp; ""x(\d+)"")), """")"),"")</f>
        <v/>
      </c>
      <c r="P1683" s="9" t="str">
        <f ca="1">IFERROR(__xludf.DUMMYFUNCTION("IFERROR(VALUE(REGEXEXTRACT(TO_TEXT($F1683), P$1 &amp; ""x(\d+)"")), """")"),"")</f>
        <v/>
      </c>
      <c r="Q1683" s="9">
        <f ca="1">IFERROR(__xludf.DUMMYFUNCTION("IFERROR(VALUE(REGEXEXTRACT(TO_TEXT($F1683), Q$1 &amp; ""x(\d+)"")), """")"),1)</f>
        <v>1</v>
      </c>
      <c r="R1683" s="9" t="str">
        <f ca="1">IFERROR(__xludf.DUMMYFUNCTION("IFERROR(VALUE(REGEXEXTRACT(TO_TEXT($F1683), R$1 &amp; ""x(\d+)"")), """")"),"")</f>
        <v/>
      </c>
      <c r="S1683" s="9" t="str">
        <f ca="1">IFERROR(__xludf.DUMMYFUNCTION("IFERROR(VALUE(REGEXEXTRACT(TO_TEXT($F1683), S$1 &amp; ""x(\d+)"")), """")"),"")</f>
        <v/>
      </c>
      <c r="T1683" s="9" t="str">
        <f ca="1">IFERROR(__xludf.DUMMYFUNCTION("IFERROR(VALUE(REGEXEXTRACT(TO_TEXT($F1683), T$1 &amp; ""x(\d+)"")), """")"),"")</f>
        <v/>
      </c>
      <c r="U1683" s="9" t="str">
        <f ca="1">IFERROR(__xludf.DUMMYFUNCTION("IFERROR(VALUE(REGEXEXTRACT(TO_TEXT($F1683), U$1 &amp; ""x(\d+)"")), """")"),"")</f>
        <v/>
      </c>
      <c r="V1683" s="9" t="str">
        <f ca="1">IFERROR(__xludf.DUMMYFUNCTION("IFERROR(VALUE(REGEXEXTRACT(TO_TEXT($F1683), V$1 &amp; ""x(\d+)"")), """")"),"")</f>
        <v/>
      </c>
      <c r="W1683" s="9"/>
      <c r="X1683" s="9"/>
      <c r="Y1683" s="9"/>
      <c r="Z1683" s="9"/>
    </row>
    <row r="1684" spans="1:26" ht="15.75" customHeight="1">
      <c r="A1684" s="9" t="s">
        <v>2700</v>
      </c>
      <c r="B1684" s="9" t="s">
        <v>2701</v>
      </c>
      <c r="C1684" s="9" t="s">
        <v>2702</v>
      </c>
      <c r="D1684" s="9" t="s">
        <v>74</v>
      </c>
      <c r="E1684" s="9" t="s">
        <v>13</v>
      </c>
      <c r="F1684" s="9" t="s">
        <v>1343</v>
      </c>
      <c r="G1684" s="9">
        <v>30</v>
      </c>
      <c r="H1684" s="9">
        <v>3</v>
      </c>
      <c r="I1684" s="9">
        <v>1.0149999999999999</v>
      </c>
      <c r="J1684" s="9">
        <v>102</v>
      </c>
      <c r="K1684" s="9" t="s">
        <v>424</v>
      </c>
      <c r="L1684" s="9"/>
      <c r="M1684" s="9"/>
      <c r="N1684" s="9" t="str">
        <f ca="1">IFERROR(__xludf.DUMMYFUNCTION("IFERROR(VALUE(REGEXEXTRACT(TO_TEXT($F1684), N$1 &amp; ""x(\d+)"")), """")
"),"")</f>
        <v/>
      </c>
      <c r="O1684" s="9" t="str">
        <f ca="1">IFERROR(__xludf.DUMMYFUNCTION("IFERROR(VALUE(REGEXEXTRACT(TO_TEXT($F1684), O$1 &amp; ""x(\d+)"")), """")"),"")</f>
        <v/>
      </c>
      <c r="P1684" s="9" t="str">
        <f ca="1">IFERROR(__xludf.DUMMYFUNCTION("IFERROR(VALUE(REGEXEXTRACT(TO_TEXT($F1684), P$1 &amp; ""x(\d+)"")), """")"),"")</f>
        <v/>
      </c>
      <c r="Q1684" s="9">
        <f ca="1">IFERROR(__xludf.DUMMYFUNCTION("IFERROR(VALUE(REGEXEXTRACT(TO_TEXT($F1684), Q$1 &amp; ""x(\d+)"")), """")"),1)</f>
        <v>1</v>
      </c>
      <c r="R1684" s="9" t="str">
        <f ca="1">IFERROR(__xludf.DUMMYFUNCTION("IFERROR(VALUE(REGEXEXTRACT(TO_TEXT($F1684), R$1 &amp; ""x(\d+)"")), """")"),"")</f>
        <v/>
      </c>
      <c r="S1684" s="9" t="str">
        <f ca="1">IFERROR(__xludf.DUMMYFUNCTION("IFERROR(VALUE(REGEXEXTRACT(TO_TEXT($F1684), S$1 &amp; ""x(\d+)"")), """")"),"")</f>
        <v/>
      </c>
      <c r="T1684" s="9" t="str">
        <f ca="1">IFERROR(__xludf.DUMMYFUNCTION("IFERROR(VALUE(REGEXEXTRACT(TO_TEXT($F1684), T$1 &amp; ""x(\d+)"")), """")"),"")</f>
        <v/>
      </c>
      <c r="U1684" s="9" t="str">
        <f ca="1">IFERROR(__xludf.DUMMYFUNCTION("IFERROR(VALUE(REGEXEXTRACT(TO_TEXT($F1684), U$1 &amp; ""x(\d+)"")), """")"),"")</f>
        <v/>
      </c>
      <c r="V1684" s="9" t="str">
        <f ca="1">IFERROR(__xludf.DUMMYFUNCTION("IFERROR(VALUE(REGEXEXTRACT(TO_TEXT($F1684), V$1 &amp; ""x(\d+)"")), """")"),"")</f>
        <v/>
      </c>
      <c r="W1684" s="9"/>
      <c r="X1684" s="9"/>
      <c r="Y1684" s="9"/>
      <c r="Z1684" s="9"/>
    </row>
    <row r="1685" spans="1:26" ht="15.75" customHeight="1">
      <c r="A1685" s="9" t="s">
        <v>2705</v>
      </c>
      <c r="B1685" s="9" t="s">
        <v>2706</v>
      </c>
      <c r="C1685" s="9" t="s">
        <v>2707</v>
      </c>
      <c r="D1685" s="9" t="s">
        <v>33</v>
      </c>
      <c r="E1685" s="9" t="s">
        <v>12</v>
      </c>
      <c r="F1685" s="9" t="s">
        <v>1094</v>
      </c>
      <c r="G1685" s="9">
        <v>55</v>
      </c>
      <c r="H1685" s="9">
        <v>4</v>
      </c>
      <c r="I1685" s="9">
        <v>1.0149999999999999</v>
      </c>
      <c r="J1685" s="9">
        <v>100</v>
      </c>
      <c r="K1685" s="9" t="s">
        <v>442</v>
      </c>
      <c r="L1685" s="9"/>
      <c r="M1685" s="9"/>
      <c r="N1685" s="9" t="str">
        <f ca="1">IFERROR(__xludf.DUMMYFUNCTION("IFERROR(VALUE(REGEXEXTRACT(TO_TEXT($F1685), N$1 &amp; ""x(\d+)"")), """")
"),"")</f>
        <v/>
      </c>
      <c r="O1685" s="9">
        <f ca="1">IFERROR(__xludf.DUMMYFUNCTION("IFERROR(VALUE(REGEXEXTRACT(TO_TEXT($F1685), O$1 &amp; ""x(\d+)"")), """")"),1)</f>
        <v>1</v>
      </c>
      <c r="P1685" s="9" t="str">
        <f ca="1">IFERROR(__xludf.DUMMYFUNCTION("IFERROR(VALUE(REGEXEXTRACT(TO_TEXT($F1685), P$1 &amp; ""x(\d+)"")), """")"),"")</f>
        <v/>
      </c>
      <c r="Q1685" s="9" t="str">
        <f ca="1">IFERROR(__xludf.DUMMYFUNCTION("IFERROR(VALUE(REGEXEXTRACT(TO_TEXT($F1685), Q$1 &amp; ""x(\d+)"")), """")"),"")</f>
        <v/>
      </c>
      <c r="R1685" s="9" t="str">
        <f ca="1">IFERROR(__xludf.DUMMYFUNCTION("IFERROR(VALUE(REGEXEXTRACT(TO_TEXT($F1685), R$1 &amp; ""x(\d+)"")), """")"),"")</f>
        <v/>
      </c>
      <c r="S1685" s="9" t="str">
        <f ca="1">IFERROR(__xludf.DUMMYFUNCTION("IFERROR(VALUE(REGEXEXTRACT(TO_TEXT($F1685), S$1 &amp; ""x(\d+)"")), """")"),"")</f>
        <v/>
      </c>
      <c r="T1685" s="9" t="str">
        <f ca="1">IFERROR(__xludf.DUMMYFUNCTION("IFERROR(VALUE(REGEXEXTRACT(TO_TEXT($F1685), T$1 &amp; ""x(\d+)"")), """")"),"")</f>
        <v/>
      </c>
      <c r="U1685" s="9" t="str">
        <f ca="1">IFERROR(__xludf.DUMMYFUNCTION("IFERROR(VALUE(REGEXEXTRACT(TO_TEXT($F1685), U$1 &amp; ""x(\d+)"")), """")"),"")</f>
        <v/>
      </c>
      <c r="V1685" s="9" t="str">
        <f ca="1">IFERROR(__xludf.DUMMYFUNCTION("IFERROR(VALUE(REGEXEXTRACT(TO_TEXT($F1685), V$1 &amp; ""x(\d+)"")), """")"),"")</f>
        <v/>
      </c>
      <c r="W1685" s="9"/>
      <c r="X1685" s="9"/>
      <c r="Y1685" s="9"/>
      <c r="Z1685" s="9"/>
    </row>
    <row r="1686" spans="1:26" ht="15.75" customHeight="1">
      <c r="A1686" s="9" t="s">
        <v>2705</v>
      </c>
      <c r="B1686" s="9" t="s">
        <v>2706</v>
      </c>
      <c r="C1686" s="9" t="s">
        <v>2707</v>
      </c>
      <c r="D1686" s="9" t="s">
        <v>33</v>
      </c>
      <c r="E1686" s="9" t="s">
        <v>13</v>
      </c>
      <c r="F1686" s="9" t="s">
        <v>1095</v>
      </c>
      <c r="G1686" s="9">
        <v>10</v>
      </c>
      <c r="H1686" s="9">
        <v>4</v>
      </c>
      <c r="I1686" s="9">
        <v>1.0149999999999999</v>
      </c>
      <c r="J1686" s="9">
        <v>100</v>
      </c>
      <c r="K1686" s="9" t="s">
        <v>442</v>
      </c>
      <c r="L1686" s="9"/>
      <c r="M1686" s="9"/>
      <c r="N1686" s="9" t="str">
        <f ca="1">IFERROR(__xludf.DUMMYFUNCTION("IFERROR(VALUE(REGEXEXTRACT(TO_TEXT($F1686), N$1 &amp; ""x(\d+)"")), """")
"),"")</f>
        <v/>
      </c>
      <c r="O1686" s="9">
        <f ca="1">IFERROR(__xludf.DUMMYFUNCTION("IFERROR(VALUE(REGEXEXTRACT(TO_TEXT($F1686), O$1 &amp; ""x(\d+)"")), """")"),1)</f>
        <v>1</v>
      </c>
      <c r="P1686" s="9" t="str">
        <f ca="1">IFERROR(__xludf.DUMMYFUNCTION("IFERROR(VALUE(REGEXEXTRACT(TO_TEXT($F1686), P$1 &amp; ""x(\d+)"")), """")"),"")</f>
        <v/>
      </c>
      <c r="Q1686" s="9" t="str">
        <f ca="1">IFERROR(__xludf.DUMMYFUNCTION("IFERROR(VALUE(REGEXEXTRACT(TO_TEXT($F1686), Q$1 &amp; ""x(\d+)"")), """")"),"")</f>
        <v/>
      </c>
      <c r="R1686" s="9" t="str">
        <f ca="1">IFERROR(__xludf.DUMMYFUNCTION("IFERROR(VALUE(REGEXEXTRACT(TO_TEXT($F1686), R$1 &amp; ""x(\d+)"")), """")"),"")</f>
        <v/>
      </c>
      <c r="S1686" s="9" t="str">
        <f ca="1">IFERROR(__xludf.DUMMYFUNCTION("IFERROR(VALUE(REGEXEXTRACT(TO_TEXT($F1686), S$1 &amp; ""x(\d+)"")), """")"),"")</f>
        <v/>
      </c>
      <c r="T1686" s="9" t="str">
        <f ca="1">IFERROR(__xludf.DUMMYFUNCTION("IFERROR(VALUE(REGEXEXTRACT(TO_TEXT($F1686), T$1 &amp; ""x(\d+)"")), """")"),"")</f>
        <v/>
      </c>
      <c r="U1686" s="9" t="str">
        <f ca="1">IFERROR(__xludf.DUMMYFUNCTION("IFERROR(VALUE(REGEXEXTRACT(TO_TEXT($F1686), U$1 &amp; ""x(\d+)"")), """")"),"")</f>
        <v/>
      </c>
      <c r="V1686" s="9" t="str">
        <f ca="1">IFERROR(__xludf.DUMMYFUNCTION("IFERROR(VALUE(REGEXEXTRACT(TO_TEXT($F1686), V$1 &amp; ""x(\d+)"")), """")"),"")</f>
        <v/>
      </c>
      <c r="W1686" s="9"/>
      <c r="X1686" s="9"/>
      <c r="Y1686" s="9"/>
      <c r="Z1686" s="9"/>
    </row>
    <row r="1687" spans="1:26" ht="15.75" customHeight="1">
      <c r="A1687" s="9" t="s">
        <v>2708</v>
      </c>
      <c r="B1687" s="9" t="s">
        <v>2709</v>
      </c>
      <c r="C1687" s="9" t="s">
        <v>803</v>
      </c>
      <c r="D1687" s="9" t="s">
        <v>33</v>
      </c>
      <c r="E1687" s="9" t="s">
        <v>11</v>
      </c>
      <c r="F1687" s="9" t="s">
        <v>1477</v>
      </c>
      <c r="G1687" s="9">
        <v>20</v>
      </c>
      <c r="H1687" s="9">
        <v>8</v>
      </c>
      <c r="I1687" s="9">
        <v>1.0149999999999999</v>
      </c>
      <c r="J1687" s="9">
        <v>105</v>
      </c>
      <c r="K1687" s="9" t="s">
        <v>442</v>
      </c>
      <c r="L1687" s="9"/>
      <c r="M1687" s="9"/>
      <c r="N1687" s="9" t="str">
        <f ca="1">IFERROR(__xludf.DUMMYFUNCTION("IFERROR(VALUE(REGEXEXTRACT(TO_TEXT($F1687), N$1 &amp; ""x(\d+)"")), """")
"),"")</f>
        <v/>
      </c>
      <c r="O1687" s="9" t="str">
        <f ca="1">IFERROR(__xludf.DUMMYFUNCTION("IFERROR(VALUE(REGEXEXTRACT(TO_TEXT($F1687), O$1 &amp; ""x(\d+)"")), """")"),"")</f>
        <v/>
      </c>
      <c r="P1687" s="9" t="str">
        <f ca="1">IFERROR(__xludf.DUMMYFUNCTION("IFERROR(VALUE(REGEXEXTRACT(TO_TEXT($F1687), P$1 &amp; ""x(\d+)"")), """")"),"")</f>
        <v/>
      </c>
      <c r="Q1687" s="9" t="str">
        <f ca="1">IFERROR(__xludf.DUMMYFUNCTION("IFERROR(VALUE(REGEXEXTRACT(TO_TEXT($F1687), Q$1 &amp; ""x(\d+)"")), """")"),"")</f>
        <v/>
      </c>
      <c r="R1687" s="9" t="str">
        <f ca="1">IFERROR(__xludf.DUMMYFUNCTION("IFERROR(VALUE(REGEXEXTRACT(TO_TEXT($F1687), R$1 &amp; ""x(\d+)"")), """")"),"")</f>
        <v/>
      </c>
      <c r="S1687" s="9" t="str">
        <f ca="1">IFERROR(__xludf.DUMMYFUNCTION("IFERROR(VALUE(REGEXEXTRACT(TO_TEXT($F1687), S$1 &amp; ""x(\d+)"")), """")"),"")</f>
        <v/>
      </c>
      <c r="T1687" s="9" t="str">
        <f ca="1">IFERROR(__xludf.DUMMYFUNCTION("IFERROR(VALUE(REGEXEXTRACT(TO_TEXT($F1687), T$1 &amp; ""x(\d+)"")), """")"),"")</f>
        <v/>
      </c>
      <c r="U1687" s="9" t="str">
        <f ca="1">IFERROR(__xludf.DUMMYFUNCTION("IFERROR(VALUE(REGEXEXTRACT(TO_TEXT($F1687), U$1 &amp; ""x(\d+)"")), """")"),"")</f>
        <v/>
      </c>
      <c r="V1687" s="9" t="str">
        <f ca="1">IFERROR(__xludf.DUMMYFUNCTION("IFERROR(VALUE(REGEXEXTRACT(TO_TEXT($F1687), V$1 &amp; ""x(\d+)"")), """")"),"")</f>
        <v/>
      </c>
      <c r="W1687" s="9"/>
      <c r="X1687" s="9"/>
      <c r="Y1687" s="9"/>
      <c r="Z1687" s="9"/>
    </row>
    <row r="1688" spans="1:26" ht="15.75" customHeight="1">
      <c r="A1688" s="9" t="s">
        <v>2708</v>
      </c>
      <c r="B1688" s="9" t="s">
        <v>2709</v>
      </c>
      <c r="C1688" s="9" t="s">
        <v>803</v>
      </c>
      <c r="D1688" s="9" t="s">
        <v>33</v>
      </c>
      <c r="E1688" s="9" t="s">
        <v>12</v>
      </c>
      <c r="F1688" s="9" t="s">
        <v>1116</v>
      </c>
      <c r="G1688" s="9">
        <v>55</v>
      </c>
      <c r="H1688" s="9">
        <v>8</v>
      </c>
      <c r="I1688" s="9">
        <v>1.0149999999999999</v>
      </c>
      <c r="J1688" s="9">
        <v>105</v>
      </c>
      <c r="K1688" s="9" t="s">
        <v>442</v>
      </c>
      <c r="L1688" s="9"/>
      <c r="M1688" s="9"/>
      <c r="N1688" s="9" t="str">
        <f ca="1">IFERROR(__xludf.DUMMYFUNCTION("IFERROR(VALUE(REGEXEXTRACT(TO_TEXT($F1688), N$1 &amp; ""x(\d+)"")), """")
"),"")</f>
        <v/>
      </c>
      <c r="O1688" s="9">
        <f ca="1">IFERROR(__xludf.DUMMYFUNCTION("IFERROR(VALUE(REGEXEXTRACT(TO_TEXT($F1688), O$1 &amp; ""x(\d+)"")), """")"),1)</f>
        <v>1</v>
      </c>
      <c r="P1688" s="9" t="str">
        <f ca="1">IFERROR(__xludf.DUMMYFUNCTION("IFERROR(VALUE(REGEXEXTRACT(TO_TEXT($F1688), P$1 &amp; ""x(\d+)"")), """")"),"")</f>
        <v/>
      </c>
      <c r="Q1688" s="9" t="str">
        <f ca="1">IFERROR(__xludf.DUMMYFUNCTION("IFERROR(VALUE(REGEXEXTRACT(TO_TEXT($F1688), Q$1 &amp; ""x(\d+)"")), """")"),"")</f>
        <v/>
      </c>
      <c r="R1688" s="9" t="str">
        <f ca="1">IFERROR(__xludf.DUMMYFUNCTION("IFERROR(VALUE(REGEXEXTRACT(TO_TEXT($F1688), R$1 &amp; ""x(\d+)"")), """")"),"")</f>
        <v/>
      </c>
      <c r="S1688" s="9" t="str">
        <f ca="1">IFERROR(__xludf.DUMMYFUNCTION("IFERROR(VALUE(REGEXEXTRACT(TO_TEXT($F1688), S$1 &amp; ""x(\d+)"")), """")"),"")</f>
        <v/>
      </c>
      <c r="T1688" s="9" t="str">
        <f ca="1">IFERROR(__xludf.DUMMYFUNCTION("IFERROR(VALUE(REGEXEXTRACT(TO_TEXT($F1688), T$1 &amp; ""x(\d+)"")), """")"),"")</f>
        <v/>
      </c>
      <c r="U1688" s="9" t="str">
        <f ca="1">IFERROR(__xludf.DUMMYFUNCTION("IFERROR(VALUE(REGEXEXTRACT(TO_TEXT($F1688), U$1 &amp; ""x(\d+)"")), """")"),"")</f>
        <v/>
      </c>
      <c r="V1688" s="9" t="str">
        <f ca="1">IFERROR(__xludf.DUMMYFUNCTION("IFERROR(VALUE(REGEXEXTRACT(TO_TEXT($F1688), V$1 &amp; ""x(\d+)"")), """")"),"")</f>
        <v/>
      </c>
      <c r="W1688" s="9"/>
      <c r="X1688" s="9"/>
      <c r="Y1688" s="9"/>
      <c r="Z1688" s="9"/>
    </row>
    <row r="1689" spans="1:26" ht="15.75" customHeight="1">
      <c r="A1689" s="9" t="s">
        <v>2708</v>
      </c>
      <c r="B1689" s="9" t="s">
        <v>2709</v>
      </c>
      <c r="C1689" s="9" t="s">
        <v>803</v>
      </c>
      <c r="D1689" s="9" t="s">
        <v>33</v>
      </c>
      <c r="E1689" s="9" t="s">
        <v>13</v>
      </c>
      <c r="F1689" s="9" t="s">
        <v>1071</v>
      </c>
      <c r="G1689" s="9">
        <v>15</v>
      </c>
      <c r="H1689" s="9">
        <v>8</v>
      </c>
      <c r="I1689" s="9">
        <v>1.0149999999999999</v>
      </c>
      <c r="J1689" s="9">
        <v>105</v>
      </c>
      <c r="K1689" s="9" t="s">
        <v>442</v>
      </c>
      <c r="L1689" s="9"/>
      <c r="M1689" s="9"/>
      <c r="N1689" s="9" t="str">
        <f ca="1">IFERROR(__xludf.DUMMYFUNCTION("IFERROR(VALUE(REGEXEXTRACT(TO_TEXT($F1689), N$1 &amp; ""x(\d+)"")), """")
"),"")</f>
        <v/>
      </c>
      <c r="O1689" s="9">
        <f ca="1">IFERROR(__xludf.DUMMYFUNCTION("IFERROR(VALUE(REGEXEXTRACT(TO_TEXT($F1689), O$1 &amp; ""x(\d+)"")), """")"),1)</f>
        <v>1</v>
      </c>
      <c r="P1689" s="9" t="str">
        <f ca="1">IFERROR(__xludf.DUMMYFUNCTION("IFERROR(VALUE(REGEXEXTRACT(TO_TEXT($F1689), P$1 &amp; ""x(\d+)"")), """")"),"")</f>
        <v/>
      </c>
      <c r="Q1689" s="9" t="str">
        <f ca="1">IFERROR(__xludf.DUMMYFUNCTION("IFERROR(VALUE(REGEXEXTRACT(TO_TEXT($F1689), Q$1 &amp; ""x(\d+)"")), """")"),"")</f>
        <v/>
      </c>
      <c r="R1689" s="9" t="str">
        <f ca="1">IFERROR(__xludf.DUMMYFUNCTION("IFERROR(VALUE(REGEXEXTRACT(TO_TEXT($F1689), R$1 &amp; ""x(\d+)"")), """")"),"")</f>
        <v/>
      </c>
      <c r="S1689" s="9" t="str">
        <f ca="1">IFERROR(__xludf.DUMMYFUNCTION("IFERROR(VALUE(REGEXEXTRACT(TO_TEXT($F1689), S$1 &amp; ""x(\d+)"")), """")"),"")</f>
        <v/>
      </c>
      <c r="T1689" s="9" t="str">
        <f ca="1">IFERROR(__xludf.DUMMYFUNCTION("IFERROR(VALUE(REGEXEXTRACT(TO_TEXT($F1689), T$1 &amp; ""x(\d+)"")), """")"),"")</f>
        <v/>
      </c>
      <c r="U1689" s="9" t="str">
        <f ca="1">IFERROR(__xludf.DUMMYFUNCTION("IFERROR(VALUE(REGEXEXTRACT(TO_TEXT($F1689), U$1 &amp; ""x(\d+)"")), """")"),"")</f>
        <v/>
      </c>
      <c r="V1689" s="9" t="str">
        <f ca="1">IFERROR(__xludf.DUMMYFUNCTION("IFERROR(VALUE(REGEXEXTRACT(TO_TEXT($F1689), V$1 &amp; ""x(\d+)"")), """")"),"")</f>
        <v/>
      </c>
      <c r="W1689" s="9"/>
      <c r="X1689" s="9"/>
      <c r="Y1689" s="9"/>
      <c r="Z1689" s="9"/>
    </row>
    <row r="1690" spans="1:26" ht="15.75" customHeight="1">
      <c r="A1690" s="9" t="s">
        <v>2708</v>
      </c>
      <c r="B1690" s="9" t="s">
        <v>2709</v>
      </c>
      <c r="C1690" s="9" t="s">
        <v>803</v>
      </c>
      <c r="D1690" s="9" t="s">
        <v>40</v>
      </c>
      <c r="E1690" s="9" t="s">
        <v>11</v>
      </c>
      <c r="F1690" s="9" t="s">
        <v>1477</v>
      </c>
      <c r="G1690" s="9">
        <v>20</v>
      </c>
      <c r="H1690" s="9">
        <v>3</v>
      </c>
      <c r="I1690" s="9">
        <v>1.0149999999999999</v>
      </c>
      <c r="J1690" s="9">
        <v>410</v>
      </c>
      <c r="K1690" s="9" t="s">
        <v>442</v>
      </c>
      <c r="L1690" s="9"/>
      <c r="M1690" s="9"/>
      <c r="N1690" s="9" t="str">
        <f ca="1">IFERROR(__xludf.DUMMYFUNCTION("IFERROR(VALUE(REGEXEXTRACT(TO_TEXT($F1690), N$1 &amp; ""x(\d+)"")), """")
"),"")</f>
        <v/>
      </c>
      <c r="O1690" s="9" t="str">
        <f ca="1">IFERROR(__xludf.DUMMYFUNCTION("IFERROR(VALUE(REGEXEXTRACT(TO_TEXT($F1690), O$1 &amp; ""x(\d+)"")), """")"),"")</f>
        <v/>
      </c>
      <c r="P1690" s="9" t="str">
        <f ca="1">IFERROR(__xludf.DUMMYFUNCTION("IFERROR(VALUE(REGEXEXTRACT(TO_TEXT($F1690), P$1 &amp; ""x(\d+)"")), """")"),"")</f>
        <v/>
      </c>
      <c r="Q1690" s="9" t="str">
        <f ca="1">IFERROR(__xludf.DUMMYFUNCTION("IFERROR(VALUE(REGEXEXTRACT(TO_TEXT($F1690), Q$1 &amp; ""x(\d+)"")), """")"),"")</f>
        <v/>
      </c>
      <c r="R1690" s="9" t="str">
        <f ca="1">IFERROR(__xludf.DUMMYFUNCTION("IFERROR(VALUE(REGEXEXTRACT(TO_TEXT($F1690), R$1 &amp; ""x(\d+)"")), """")"),"")</f>
        <v/>
      </c>
      <c r="S1690" s="9" t="str">
        <f ca="1">IFERROR(__xludf.DUMMYFUNCTION("IFERROR(VALUE(REGEXEXTRACT(TO_TEXT($F1690), S$1 &amp; ""x(\d+)"")), """")"),"")</f>
        <v/>
      </c>
      <c r="T1690" s="9" t="str">
        <f ca="1">IFERROR(__xludf.DUMMYFUNCTION("IFERROR(VALUE(REGEXEXTRACT(TO_TEXT($F1690), T$1 &amp; ""x(\d+)"")), """")"),"")</f>
        <v/>
      </c>
      <c r="U1690" s="9" t="str">
        <f ca="1">IFERROR(__xludf.DUMMYFUNCTION("IFERROR(VALUE(REGEXEXTRACT(TO_TEXT($F1690), U$1 &amp; ""x(\d+)"")), """")"),"")</f>
        <v/>
      </c>
      <c r="V1690" s="9" t="str">
        <f ca="1">IFERROR(__xludf.DUMMYFUNCTION("IFERROR(VALUE(REGEXEXTRACT(TO_TEXT($F1690), V$1 &amp; ""x(\d+)"")), """")"),"")</f>
        <v/>
      </c>
      <c r="W1690" s="9"/>
      <c r="X1690" s="9"/>
      <c r="Y1690" s="9"/>
      <c r="Z1690" s="9"/>
    </row>
    <row r="1691" spans="1:26" ht="15.75" customHeight="1">
      <c r="A1691" s="9" t="s">
        <v>2708</v>
      </c>
      <c r="B1691" s="9" t="s">
        <v>2709</v>
      </c>
      <c r="C1691" s="9" t="s">
        <v>803</v>
      </c>
      <c r="D1691" s="9" t="s">
        <v>40</v>
      </c>
      <c r="E1691" s="9" t="s">
        <v>12</v>
      </c>
      <c r="F1691" s="9" t="s">
        <v>1847</v>
      </c>
      <c r="G1691" s="9">
        <v>80</v>
      </c>
      <c r="H1691" s="9">
        <v>3</v>
      </c>
      <c r="I1691" s="9">
        <v>1.0149999999999999</v>
      </c>
      <c r="J1691" s="9">
        <v>410</v>
      </c>
      <c r="K1691" s="9" t="s">
        <v>442</v>
      </c>
      <c r="L1691" s="9"/>
      <c r="M1691" s="9"/>
      <c r="N1691" s="9" t="str">
        <f ca="1">IFERROR(__xludf.DUMMYFUNCTION("IFERROR(VALUE(REGEXEXTRACT(TO_TEXT($F1691), N$1 &amp; ""x(\d+)"")), """")
"),"")</f>
        <v/>
      </c>
      <c r="O1691" s="9" t="str">
        <f ca="1">IFERROR(__xludf.DUMMYFUNCTION("IFERROR(VALUE(REGEXEXTRACT(TO_TEXT($F1691), O$1 &amp; ""x(\d+)"")), """")"),"")</f>
        <v/>
      </c>
      <c r="P1691" s="9" t="str">
        <f ca="1">IFERROR(__xludf.DUMMYFUNCTION("IFERROR(VALUE(REGEXEXTRACT(TO_TEXT($F1691), P$1 &amp; ""x(\d+)"")), """")"),"")</f>
        <v/>
      </c>
      <c r="Q1691" s="9" t="str">
        <f ca="1">IFERROR(__xludf.DUMMYFUNCTION("IFERROR(VALUE(REGEXEXTRACT(TO_TEXT($F1691), Q$1 &amp; ""x(\d+)"")), """")"),"")</f>
        <v/>
      </c>
      <c r="R1691" s="9" t="str">
        <f ca="1">IFERROR(__xludf.DUMMYFUNCTION("IFERROR(VALUE(REGEXEXTRACT(TO_TEXT($F1691), R$1 &amp; ""x(\d+)"")), """")"),"")</f>
        <v/>
      </c>
      <c r="S1691" s="9">
        <f ca="1">IFERROR(__xludf.DUMMYFUNCTION("IFERROR(VALUE(REGEXEXTRACT(TO_TEXT($F1691), S$1 &amp; ""x(\d+)"")), """")"),1)</f>
        <v>1</v>
      </c>
      <c r="T1691" s="9" t="str">
        <f ca="1">IFERROR(__xludf.DUMMYFUNCTION("IFERROR(VALUE(REGEXEXTRACT(TO_TEXT($F1691), T$1 &amp; ""x(\d+)"")), """")"),"")</f>
        <v/>
      </c>
      <c r="U1691" s="9" t="str">
        <f ca="1">IFERROR(__xludf.DUMMYFUNCTION("IFERROR(VALUE(REGEXEXTRACT(TO_TEXT($F1691), U$1 &amp; ""x(\d+)"")), """")"),"")</f>
        <v/>
      </c>
      <c r="V1691" s="9" t="str">
        <f ca="1">IFERROR(__xludf.DUMMYFUNCTION("IFERROR(VALUE(REGEXEXTRACT(TO_TEXT($F1691), V$1 &amp; ""x(\d+)"")), """")"),"")</f>
        <v/>
      </c>
      <c r="W1691" s="9"/>
      <c r="X1691" s="9"/>
      <c r="Y1691" s="9"/>
      <c r="Z1691" s="9"/>
    </row>
    <row r="1692" spans="1:26" ht="15.75" customHeight="1">
      <c r="A1692" s="9" t="s">
        <v>2708</v>
      </c>
      <c r="B1692" s="9" t="s">
        <v>2709</v>
      </c>
      <c r="C1692" s="9" t="s">
        <v>803</v>
      </c>
      <c r="D1692" s="9" t="s">
        <v>40</v>
      </c>
      <c r="E1692" s="9" t="s">
        <v>13</v>
      </c>
      <c r="F1692" s="9" t="s">
        <v>1111</v>
      </c>
      <c r="G1692" s="9">
        <v>30</v>
      </c>
      <c r="H1692" s="9">
        <v>3</v>
      </c>
      <c r="I1692" s="9">
        <v>1.0149999999999999</v>
      </c>
      <c r="J1692" s="9">
        <v>410</v>
      </c>
      <c r="K1692" s="9" t="s">
        <v>442</v>
      </c>
      <c r="L1692" s="9"/>
      <c r="M1692" s="9"/>
      <c r="N1692" s="9" t="str">
        <f ca="1">IFERROR(__xludf.DUMMYFUNCTION("IFERROR(VALUE(REGEXEXTRACT(TO_TEXT($F1692), N$1 &amp; ""x(\d+)"")), """")
"),"")</f>
        <v/>
      </c>
      <c r="O1692" s="9" t="str">
        <f ca="1">IFERROR(__xludf.DUMMYFUNCTION("IFERROR(VALUE(REGEXEXTRACT(TO_TEXT($F1692), O$1 &amp; ""x(\d+)"")), """")"),"")</f>
        <v/>
      </c>
      <c r="P1692" s="9" t="str">
        <f ca="1">IFERROR(__xludf.DUMMYFUNCTION("IFERROR(VALUE(REGEXEXTRACT(TO_TEXT($F1692), P$1 &amp; ""x(\d+)"")), """")"),"")</f>
        <v/>
      </c>
      <c r="Q1692" s="9" t="str">
        <f ca="1">IFERROR(__xludf.DUMMYFUNCTION("IFERROR(VALUE(REGEXEXTRACT(TO_TEXT($F1692), Q$1 &amp; ""x(\d+)"")), """")"),"")</f>
        <v/>
      </c>
      <c r="R1692" s="9" t="str">
        <f ca="1">IFERROR(__xludf.DUMMYFUNCTION("IFERROR(VALUE(REGEXEXTRACT(TO_TEXT($F1692), R$1 &amp; ""x(\d+)"")), """")"),"")</f>
        <v/>
      </c>
      <c r="S1692" s="9">
        <f ca="1">IFERROR(__xludf.DUMMYFUNCTION("IFERROR(VALUE(REGEXEXTRACT(TO_TEXT($F1692), S$1 &amp; ""x(\d+)"")), """")"),1)</f>
        <v>1</v>
      </c>
      <c r="T1692" s="9" t="str">
        <f ca="1">IFERROR(__xludf.DUMMYFUNCTION("IFERROR(VALUE(REGEXEXTRACT(TO_TEXT($F1692), T$1 &amp; ""x(\d+)"")), """")"),"")</f>
        <v/>
      </c>
      <c r="U1692" s="9" t="str">
        <f ca="1">IFERROR(__xludf.DUMMYFUNCTION("IFERROR(VALUE(REGEXEXTRACT(TO_TEXT($F1692), U$1 &amp; ""x(\d+)"")), """")"),"")</f>
        <v/>
      </c>
      <c r="V1692" s="9" t="str">
        <f ca="1">IFERROR(__xludf.DUMMYFUNCTION("IFERROR(VALUE(REGEXEXTRACT(TO_TEXT($F1692), V$1 &amp; ""x(\d+)"")), """")"),"")</f>
        <v/>
      </c>
      <c r="W1692" s="9"/>
      <c r="X1692" s="9"/>
      <c r="Y1692" s="9"/>
      <c r="Z1692" s="9"/>
    </row>
    <row r="1693" spans="1:26" ht="15.75" customHeight="1">
      <c r="A1693" s="9" t="s">
        <v>2710</v>
      </c>
      <c r="B1693" s="9" t="s">
        <v>2711</v>
      </c>
      <c r="C1693" s="9" t="s">
        <v>2712</v>
      </c>
      <c r="D1693" s="9" t="s">
        <v>48</v>
      </c>
      <c r="E1693" s="9" t="s">
        <v>11</v>
      </c>
      <c r="F1693" s="9" t="s">
        <v>2713</v>
      </c>
      <c r="G1693" s="9">
        <v>40</v>
      </c>
      <c r="H1693" s="9">
        <v>3</v>
      </c>
      <c r="I1693" s="9">
        <v>1.0149999999999999</v>
      </c>
      <c r="J1693" s="9">
        <v>52</v>
      </c>
      <c r="K1693" s="9" t="s">
        <v>424</v>
      </c>
      <c r="L1693" s="9"/>
      <c r="M1693" s="9"/>
      <c r="N1693" s="9" t="str">
        <f ca="1">IFERROR(__xludf.DUMMYFUNCTION("IFERROR(VALUE(REGEXEXTRACT(TO_TEXT($F1693), N$1 &amp; ""x(\d+)"")), """")
"),"")</f>
        <v/>
      </c>
      <c r="O1693" s="9" t="str">
        <f ca="1">IFERROR(__xludf.DUMMYFUNCTION("IFERROR(VALUE(REGEXEXTRACT(TO_TEXT($F1693), O$1 &amp; ""x(\d+)"")), """")"),"")</f>
        <v/>
      </c>
      <c r="P1693" s="9" t="str">
        <f ca="1">IFERROR(__xludf.DUMMYFUNCTION("IFERROR(VALUE(REGEXEXTRACT(TO_TEXT($F1693), P$1 &amp; ""x(\d+)"")), """")"),"")</f>
        <v/>
      </c>
      <c r="Q1693" s="9" t="str">
        <f ca="1">IFERROR(__xludf.DUMMYFUNCTION("IFERROR(VALUE(REGEXEXTRACT(TO_TEXT($F1693), Q$1 &amp; ""x(\d+)"")), """")"),"")</f>
        <v/>
      </c>
      <c r="R1693" s="9" t="str">
        <f ca="1">IFERROR(__xludf.DUMMYFUNCTION("IFERROR(VALUE(REGEXEXTRACT(TO_TEXT($F1693), R$1 &amp; ""x(\d+)"")), """")"),"")</f>
        <v/>
      </c>
      <c r="S1693" s="9" t="str">
        <f ca="1">IFERROR(__xludf.DUMMYFUNCTION("IFERROR(VALUE(REGEXEXTRACT(TO_TEXT($F1693), S$1 &amp; ""x(\d+)"")), """")"),"")</f>
        <v/>
      </c>
      <c r="T1693" s="9" t="str">
        <f ca="1">IFERROR(__xludf.DUMMYFUNCTION("IFERROR(VALUE(REGEXEXTRACT(TO_TEXT($F1693), T$1 &amp; ""x(\d+)"")), """")"),"")</f>
        <v/>
      </c>
      <c r="U1693" s="9" t="str">
        <f ca="1">IFERROR(__xludf.DUMMYFUNCTION("IFERROR(VALUE(REGEXEXTRACT(TO_TEXT($F1693), U$1 &amp; ""x(\d+)"")), """")"),"")</f>
        <v/>
      </c>
      <c r="V1693" s="9" t="str">
        <f ca="1">IFERROR(__xludf.DUMMYFUNCTION("IFERROR(VALUE(REGEXEXTRACT(TO_TEXT($F1693), V$1 &amp; ""x(\d+)"")), """")"),"")</f>
        <v/>
      </c>
      <c r="W1693" s="9"/>
      <c r="X1693" s="9"/>
      <c r="Y1693" s="9"/>
      <c r="Z1693" s="9"/>
    </row>
    <row r="1694" spans="1:26" ht="15.75" customHeight="1">
      <c r="A1694" s="9" t="s">
        <v>2710</v>
      </c>
      <c r="B1694" s="9" t="s">
        <v>2711</v>
      </c>
      <c r="C1694" s="9" t="s">
        <v>2712</v>
      </c>
      <c r="D1694" s="9" t="s">
        <v>48</v>
      </c>
      <c r="E1694" s="9" t="s">
        <v>12</v>
      </c>
      <c r="F1694" s="9" t="s">
        <v>2714</v>
      </c>
      <c r="G1694" s="9">
        <v>140</v>
      </c>
      <c r="H1694" s="9">
        <v>3</v>
      </c>
      <c r="I1694" s="9">
        <v>1.0149999999999999</v>
      </c>
      <c r="J1694" s="9">
        <v>52</v>
      </c>
      <c r="K1694" s="9" t="s">
        <v>424</v>
      </c>
      <c r="L1694" s="9" t="s">
        <v>1015</v>
      </c>
      <c r="M1694" s="9"/>
      <c r="N1694" s="9" t="str">
        <f ca="1">IFERROR(__xludf.DUMMYFUNCTION("IFERROR(VALUE(REGEXEXTRACT(TO_TEXT($F1694), N$1 &amp; ""x(\d+)"")), """")
"),"")</f>
        <v/>
      </c>
      <c r="O1694" s="9" t="str">
        <f ca="1">IFERROR(__xludf.DUMMYFUNCTION("IFERROR(VALUE(REGEXEXTRACT(TO_TEXT($F1694), O$1 &amp; ""x(\d+)"")), """")"),"")</f>
        <v/>
      </c>
      <c r="P1694" s="9">
        <f ca="1">IFERROR(__xludf.DUMMYFUNCTION("IFERROR(VALUE(REGEXEXTRACT(TO_TEXT($F1694), P$1 &amp; ""x(\d+)"")), """")"),1)</f>
        <v>1</v>
      </c>
      <c r="Q1694" s="9" t="str">
        <f ca="1">IFERROR(__xludf.DUMMYFUNCTION("IFERROR(VALUE(REGEXEXTRACT(TO_TEXT($F1694), Q$1 &amp; ""x(\d+)"")), """")"),"")</f>
        <v/>
      </c>
      <c r="R1694" s="9" t="str">
        <f ca="1">IFERROR(__xludf.DUMMYFUNCTION("IFERROR(VALUE(REGEXEXTRACT(TO_TEXT($F1694), R$1 &amp; ""x(\d+)"")), """")"),"")</f>
        <v/>
      </c>
      <c r="S1694" s="9" t="str">
        <f ca="1">IFERROR(__xludf.DUMMYFUNCTION("IFERROR(VALUE(REGEXEXTRACT(TO_TEXT($F1694), S$1 &amp; ""x(\d+)"")), """")"),"")</f>
        <v/>
      </c>
      <c r="T1694" s="9" t="str">
        <f ca="1">IFERROR(__xludf.DUMMYFUNCTION("IFERROR(VALUE(REGEXEXTRACT(TO_TEXT($F1694), T$1 &amp; ""x(\d+)"")), """")"),"")</f>
        <v/>
      </c>
      <c r="U1694" s="9" t="str">
        <f ca="1">IFERROR(__xludf.DUMMYFUNCTION("IFERROR(VALUE(REGEXEXTRACT(TO_TEXT($F1694), U$1 &amp; ""x(\d+)"")), """")"),"")</f>
        <v/>
      </c>
      <c r="V1694" s="9" t="str">
        <f ca="1">IFERROR(__xludf.DUMMYFUNCTION("IFERROR(VALUE(REGEXEXTRACT(TO_TEXT($F1694), V$1 &amp; ""x(\d+)"")), """")"),"")</f>
        <v/>
      </c>
      <c r="W1694" s="9"/>
      <c r="X1694" s="9"/>
      <c r="Y1694" s="9"/>
      <c r="Z1694" s="9"/>
    </row>
    <row r="1695" spans="1:26" ht="15.75" customHeight="1">
      <c r="A1695" s="9" t="s">
        <v>2710</v>
      </c>
      <c r="B1695" s="9" t="s">
        <v>2711</v>
      </c>
      <c r="C1695" s="9" t="s">
        <v>2712</v>
      </c>
      <c r="D1695" s="9" t="s">
        <v>48</v>
      </c>
      <c r="E1695" s="9" t="s">
        <v>13</v>
      </c>
      <c r="F1695" s="9" t="s">
        <v>1694</v>
      </c>
      <c r="G1695" s="9">
        <v>30</v>
      </c>
      <c r="H1695" s="9">
        <v>3</v>
      </c>
      <c r="I1695" s="9">
        <v>1.0149999999999999</v>
      </c>
      <c r="J1695" s="9">
        <v>52</v>
      </c>
      <c r="K1695" s="9" t="s">
        <v>424</v>
      </c>
      <c r="L1695" s="9"/>
      <c r="M1695" s="9"/>
      <c r="N1695" s="9" t="str">
        <f ca="1">IFERROR(__xludf.DUMMYFUNCTION("IFERROR(VALUE(REGEXEXTRACT(TO_TEXT($F1695), N$1 &amp; ""x(\d+)"")), """")
"),"")</f>
        <v/>
      </c>
      <c r="O1695" s="9" t="str">
        <f ca="1">IFERROR(__xludf.DUMMYFUNCTION("IFERROR(VALUE(REGEXEXTRACT(TO_TEXT($F1695), O$1 &amp; ""x(\d+)"")), """")"),"")</f>
        <v/>
      </c>
      <c r="P1695" s="9">
        <f ca="1">IFERROR(__xludf.DUMMYFUNCTION("IFERROR(VALUE(REGEXEXTRACT(TO_TEXT($F1695), P$1 &amp; ""x(\d+)"")), """")"),1)</f>
        <v>1</v>
      </c>
      <c r="Q1695" s="9" t="str">
        <f ca="1">IFERROR(__xludf.DUMMYFUNCTION("IFERROR(VALUE(REGEXEXTRACT(TO_TEXT($F1695), Q$1 &amp; ""x(\d+)"")), """")"),"")</f>
        <v/>
      </c>
      <c r="R1695" s="9" t="str">
        <f ca="1">IFERROR(__xludf.DUMMYFUNCTION("IFERROR(VALUE(REGEXEXTRACT(TO_TEXT($F1695), R$1 &amp; ""x(\d+)"")), """")"),"")</f>
        <v/>
      </c>
      <c r="S1695" s="9" t="str">
        <f ca="1">IFERROR(__xludf.DUMMYFUNCTION("IFERROR(VALUE(REGEXEXTRACT(TO_TEXT($F1695), S$1 &amp; ""x(\d+)"")), """")"),"")</f>
        <v/>
      </c>
      <c r="T1695" s="9" t="str">
        <f ca="1">IFERROR(__xludf.DUMMYFUNCTION("IFERROR(VALUE(REGEXEXTRACT(TO_TEXT($F1695), T$1 &amp; ""x(\d+)"")), """")"),"")</f>
        <v/>
      </c>
      <c r="U1695" s="9" t="str">
        <f ca="1">IFERROR(__xludf.DUMMYFUNCTION("IFERROR(VALUE(REGEXEXTRACT(TO_TEXT($F1695), U$1 &amp; ""x(\d+)"")), """")"),"")</f>
        <v/>
      </c>
      <c r="V1695" s="9" t="str">
        <f ca="1">IFERROR(__xludf.DUMMYFUNCTION("IFERROR(VALUE(REGEXEXTRACT(TO_TEXT($F1695), V$1 &amp; ""x(\d+)"")), """")"),"")</f>
        <v/>
      </c>
      <c r="W1695" s="9"/>
      <c r="X1695" s="9"/>
      <c r="Y1695" s="9"/>
      <c r="Z1695" s="9"/>
    </row>
    <row r="1696" spans="1:26" ht="15.75" customHeight="1">
      <c r="A1696" s="9" t="s">
        <v>2710</v>
      </c>
      <c r="B1696" s="9" t="s">
        <v>2711</v>
      </c>
      <c r="C1696" s="9" t="s">
        <v>2712</v>
      </c>
      <c r="D1696" s="9" t="s">
        <v>74</v>
      </c>
      <c r="E1696" s="9" t="s">
        <v>11</v>
      </c>
      <c r="F1696" s="9" t="s">
        <v>2713</v>
      </c>
      <c r="G1696" s="9">
        <v>40</v>
      </c>
      <c r="H1696" s="9">
        <v>3</v>
      </c>
      <c r="I1696" s="9">
        <v>1.0149999999999999</v>
      </c>
      <c r="J1696" s="9">
        <v>103</v>
      </c>
      <c r="K1696" s="9" t="s">
        <v>424</v>
      </c>
      <c r="L1696" s="9"/>
      <c r="M1696" s="9"/>
      <c r="N1696" s="9" t="str">
        <f ca="1">IFERROR(__xludf.DUMMYFUNCTION("IFERROR(VALUE(REGEXEXTRACT(TO_TEXT($F1696), N$1 &amp; ""x(\d+)"")), """")
"),"")</f>
        <v/>
      </c>
      <c r="O1696" s="9" t="str">
        <f ca="1">IFERROR(__xludf.DUMMYFUNCTION("IFERROR(VALUE(REGEXEXTRACT(TO_TEXT($F1696), O$1 &amp; ""x(\d+)"")), """")"),"")</f>
        <v/>
      </c>
      <c r="P1696" s="9" t="str">
        <f ca="1">IFERROR(__xludf.DUMMYFUNCTION("IFERROR(VALUE(REGEXEXTRACT(TO_TEXT($F1696), P$1 &amp; ""x(\d+)"")), """")"),"")</f>
        <v/>
      </c>
      <c r="Q1696" s="9" t="str">
        <f ca="1">IFERROR(__xludf.DUMMYFUNCTION("IFERROR(VALUE(REGEXEXTRACT(TO_TEXT($F1696), Q$1 &amp; ""x(\d+)"")), """")"),"")</f>
        <v/>
      </c>
      <c r="R1696" s="9" t="str">
        <f ca="1">IFERROR(__xludf.DUMMYFUNCTION("IFERROR(VALUE(REGEXEXTRACT(TO_TEXT($F1696), R$1 &amp; ""x(\d+)"")), """")"),"")</f>
        <v/>
      </c>
      <c r="S1696" s="9" t="str">
        <f ca="1">IFERROR(__xludf.DUMMYFUNCTION("IFERROR(VALUE(REGEXEXTRACT(TO_TEXT($F1696), S$1 &amp; ""x(\d+)"")), """")"),"")</f>
        <v/>
      </c>
      <c r="T1696" s="9" t="str">
        <f ca="1">IFERROR(__xludf.DUMMYFUNCTION("IFERROR(VALUE(REGEXEXTRACT(TO_TEXT($F1696), T$1 &amp; ""x(\d+)"")), """")"),"")</f>
        <v/>
      </c>
      <c r="U1696" s="9" t="str">
        <f ca="1">IFERROR(__xludf.DUMMYFUNCTION("IFERROR(VALUE(REGEXEXTRACT(TO_TEXT($F1696), U$1 &amp; ""x(\d+)"")), """")"),"")</f>
        <v/>
      </c>
      <c r="V1696" s="9" t="str">
        <f ca="1">IFERROR(__xludf.DUMMYFUNCTION("IFERROR(VALUE(REGEXEXTRACT(TO_TEXT($F1696), V$1 &amp; ""x(\d+)"")), """")"),"")</f>
        <v/>
      </c>
      <c r="W1696" s="9"/>
      <c r="X1696" s="9"/>
      <c r="Y1696" s="9"/>
      <c r="Z1696" s="9"/>
    </row>
    <row r="1697" spans="1:26" ht="15.75" customHeight="1">
      <c r="A1697" s="9" t="s">
        <v>2710</v>
      </c>
      <c r="B1697" s="9" t="s">
        <v>2711</v>
      </c>
      <c r="C1697" s="9" t="s">
        <v>2712</v>
      </c>
      <c r="D1697" s="9" t="s">
        <v>74</v>
      </c>
      <c r="E1697" s="9" t="s">
        <v>12</v>
      </c>
      <c r="F1697" s="9" t="s">
        <v>2696</v>
      </c>
      <c r="G1697" s="9">
        <v>170</v>
      </c>
      <c r="H1697" s="9">
        <v>3</v>
      </c>
      <c r="I1697" s="9">
        <v>1.0149999999999999</v>
      </c>
      <c r="J1697" s="9">
        <v>103</v>
      </c>
      <c r="K1697" s="9" t="s">
        <v>424</v>
      </c>
      <c r="L1697" s="9" t="s">
        <v>1015</v>
      </c>
      <c r="M1697" s="9"/>
      <c r="N1697" s="9" t="str">
        <f ca="1">IFERROR(__xludf.DUMMYFUNCTION("IFERROR(VALUE(REGEXEXTRACT(TO_TEXT($F1697), N$1 &amp; ""x(\d+)"")), """")
"),"")</f>
        <v/>
      </c>
      <c r="O1697" s="9" t="str">
        <f ca="1">IFERROR(__xludf.DUMMYFUNCTION("IFERROR(VALUE(REGEXEXTRACT(TO_TEXT($F1697), O$1 &amp; ""x(\d+)"")), """")"),"")</f>
        <v/>
      </c>
      <c r="P1697" s="9" t="str">
        <f ca="1">IFERROR(__xludf.DUMMYFUNCTION("IFERROR(VALUE(REGEXEXTRACT(TO_TEXT($F1697), P$1 &amp; ""x(\d+)"")), """")"),"")</f>
        <v/>
      </c>
      <c r="Q1697" s="9">
        <f ca="1">IFERROR(__xludf.DUMMYFUNCTION("IFERROR(VALUE(REGEXEXTRACT(TO_TEXT($F1697), Q$1 &amp; ""x(\d+)"")), """")"),1)</f>
        <v>1</v>
      </c>
      <c r="R1697" s="9" t="str">
        <f ca="1">IFERROR(__xludf.DUMMYFUNCTION("IFERROR(VALUE(REGEXEXTRACT(TO_TEXT($F1697), R$1 &amp; ""x(\d+)"")), """")"),"")</f>
        <v/>
      </c>
      <c r="S1697" s="9" t="str">
        <f ca="1">IFERROR(__xludf.DUMMYFUNCTION("IFERROR(VALUE(REGEXEXTRACT(TO_TEXT($F1697), S$1 &amp; ""x(\d+)"")), """")"),"")</f>
        <v/>
      </c>
      <c r="T1697" s="9" t="str">
        <f ca="1">IFERROR(__xludf.DUMMYFUNCTION("IFERROR(VALUE(REGEXEXTRACT(TO_TEXT($F1697), T$1 &amp; ""x(\d+)"")), """")"),"")</f>
        <v/>
      </c>
      <c r="U1697" s="9" t="str">
        <f ca="1">IFERROR(__xludf.DUMMYFUNCTION("IFERROR(VALUE(REGEXEXTRACT(TO_TEXT($F1697), U$1 &amp; ""x(\d+)"")), """")"),"")</f>
        <v/>
      </c>
      <c r="V1697" s="9" t="str">
        <f ca="1">IFERROR(__xludf.DUMMYFUNCTION("IFERROR(VALUE(REGEXEXTRACT(TO_TEXT($F1697), V$1 &amp; ""x(\d+)"")), """")"),"")</f>
        <v/>
      </c>
      <c r="W1697" s="9"/>
      <c r="X1697" s="9"/>
      <c r="Y1697" s="9"/>
      <c r="Z1697" s="9"/>
    </row>
    <row r="1698" spans="1:26" ht="15.75" customHeight="1">
      <c r="A1698" s="9" t="s">
        <v>2710</v>
      </c>
      <c r="B1698" s="9" t="s">
        <v>2711</v>
      </c>
      <c r="C1698" s="9" t="s">
        <v>2712</v>
      </c>
      <c r="D1698" s="9" t="s">
        <v>74</v>
      </c>
      <c r="E1698" s="9" t="s">
        <v>13</v>
      </c>
      <c r="F1698" s="9" t="s">
        <v>1343</v>
      </c>
      <c r="G1698" s="9">
        <v>30</v>
      </c>
      <c r="H1698" s="9">
        <v>3</v>
      </c>
      <c r="I1698" s="9">
        <v>1.0149999999999999</v>
      </c>
      <c r="J1698" s="9">
        <v>103</v>
      </c>
      <c r="K1698" s="9" t="s">
        <v>424</v>
      </c>
      <c r="L1698" s="9"/>
      <c r="M1698" s="9"/>
      <c r="N1698" s="9" t="str">
        <f ca="1">IFERROR(__xludf.DUMMYFUNCTION("IFERROR(VALUE(REGEXEXTRACT(TO_TEXT($F1698), N$1 &amp; ""x(\d+)"")), """")
"),"")</f>
        <v/>
      </c>
      <c r="O1698" s="9" t="str">
        <f ca="1">IFERROR(__xludf.DUMMYFUNCTION("IFERROR(VALUE(REGEXEXTRACT(TO_TEXT($F1698), O$1 &amp; ""x(\d+)"")), """")"),"")</f>
        <v/>
      </c>
      <c r="P1698" s="9" t="str">
        <f ca="1">IFERROR(__xludf.DUMMYFUNCTION("IFERROR(VALUE(REGEXEXTRACT(TO_TEXT($F1698), P$1 &amp; ""x(\d+)"")), """")"),"")</f>
        <v/>
      </c>
      <c r="Q1698" s="9">
        <f ca="1">IFERROR(__xludf.DUMMYFUNCTION("IFERROR(VALUE(REGEXEXTRACT(TO_TEXT($F1698), Q$1 &amp; ""x(\d+)"")), """")"),1)</f>
        <v>1</v>
      </c>
      <c r="R1698" s="9" t="str">
        <f ca="1">IFERROR(__xludf.DUMMYFUNCTION("IFERROR(VALUE(REGEXEXTRACT(TO_TEXT($F1698), R$1 &amp; ""x(\d+)"")), """")"),"")</f>
        <v/>
      </c>
      <c r="S1698" s="9" t="str">
        <f ca="1">IFERROR(__xludf.DUMMYFUNCTION("IFERROR(VALUE(REGEXEXTRACT(TO_TEXT($F1698), S$1 &amp; ""x(\d+)"")), """")"),"")</f>
        <v/>
      </c>
      <c r="T1698" s="9" t="str">
        <f ca="1">IFERROR(__xludf.DUMMYFUNCTION("IFERROR(VALUE(REGEXEXTRACT(TO_TEXT($F1698), T$1 &amp; ""x(\d+)"")), """")"),"")</f>
        <v/>
      </c>
      <c r="U1698" s="9" t="str">
        <f ca="1">IFERROR(__xludf.DUMMYFUNCTION("IFERROR(VALUE(REGEXEXTRACT(TO_TEXT($F1698), U$1 &amp; ""x(\d+)"")), """")"),"")</f>
        <v/>
      </c>
      <c r="V1698" s="9" t="str">
        <f ca="1">IFERROR(__xludf.DUMMYFUNCTION("IFERROR(VALUE(REGEXEXTRACT(TO_TEXT($F1698), V$1 &amp; ""x(\d+)"")), """")"),"")</f>
        <v/>
      </c>
      <c r="W1698" s="9"/>
      <c r="X1698" s="9"/>
      <c r="Y1698" s="9"/>
      <c r="Z1698" s="9"/>
    </row>
    <row r="1699" spans="1:26" ht="15.75" customHeight="1">
      <c r="A1699" s="9"/>
      <c r="B1699" s="9" t="s">
        <v>2715</v>
      </c>
      <c r="C1699" s="9" t="s">
        <v>2396</v>
      </c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 t="str">
        <f ca="1">IFERROR(__xludf.DUMMYFUNCTION("IFERROR(VALUE(REGEXEXTRACT(TO_TEXT($F1699), N$1 &amp; ""x(\d+)"")), """")
"),"")</f>
        <v/>
      </c>
      <c r="O1699" s="9" t="str">
        <f ca="1">IFERROR(__xludf.DUMMYFUNCTION("IFERROR(VALUE(REGEXEXTRACT(TO_TEXT($F1699), O$1 &amp; ""x(\d+)"")), """")"),"")</f>
        <v/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spans="1:26" ht="15.75" customHeight="1">
      <c r="A1700" s="9"/>
      <c r="B1700" s="9" t="s">
        <v>2715</v>
      </c>
      <c r="C1700" s="9" t="s">
        <v>2396</v>
      </c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 t="str">
        <f ca="1">IFERROR(__xludf.DUMMYFUNCTION("IFERROR(VALUE(REGEXEXTRACT(TO_TEXT($F1700), N$1 &amp; ""x(\d+)"")), """")
"),"")</f>
        <v/>
      </c>
      <c r="O1700" s="9" t="str">
        <f ca="1">IFERROR(__xludf.DUMMYFUNCTION("IFERROR(VALUE(REGEXEXTRACT(TO_TEXT($F1700), O$1 &amp; ""x(\d+)"")), """")"),"")</f>
        <v/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spans="1:26" ht="15.75" customHeight="1">
      <c r="A1701" s="9"/>
      <c r="B1701" s="9" t="s">
        <v>2715</v>
      </c>
      <c r="C1701" s="9" t="s">
        <v>2396</v>
      </c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 t="str">
        <f ca="1">IFERROR(__xludf.DUMMYFUNCTION("IFERROR(VALUE(REGEXEXTRACT(TO_TEXT($F1701), N$1 &amp; ""x(\d+)"")), """")
"),"")</f>
        <v/>
      </c>
      <c r="O1701" s="9" t="str">
        <f ca="1">IFERROR(__xludf.DUMMYFUNCTION("IFERROR(VALUE(REGEXEXTRACT(TO_TEXT($F1701), O$1 &amp; ""x(\d+)"")), """")"),"")</f>
        <v/>
      </c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spans="1:26" ht="15.75" customHeight="1">
      <c r="A1702" s="9"/>
      <c r="B1702" s="9" t="s">
        <v>2715</v>
      </c>
      <c r="C1702" s="9" t="s">
        <v>2396</v>
      </c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 t="str">
        <f ca="1">IFERROR(__xludf.DUMMYFUNCTION("IFERROR(VALUE(REGEXEXTRACT(TO_TEXT($F1702), N$1 &amp; ""x(\d+)"")), """")
"),"")</f>
        <v/>
      </c>
      <c r="O1702" s="9" t="str">
        <f ca="1">IFERROR(__xludf.DUMMYFUNCTION("IFERROR(VALUE(REGEXEXTRACT(TO_TEXT($F1702), O$1 &amp; ""x(\d+)"")), """")"),"")</f>
        <v/>
      </c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spans="1:26" ht="15.75" customHeight="1">
      <c r="A1703" s="9"/>
      <c r="B1703" s="9" t="s">
        <v>2715</v>
      </c>
      <c r="C1703" s="9" t="s">
        <v>2396</v>
      </c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 t="str">
        <f ca="1">IFERROR(__xludf.DUMMYFUNCTION("IFERROR(VALUE(REGEXEXTRACT(TO_TEXT($F1703), N$1 &amp; ""x(\d+)"")), """")
"),"")</f>
        <v/>
      </c>
      <c r="O1703" s="9" t="str">
        <f ca="1">IFERROR(__xludf.DUMMYFUNCTION("IFERROR(VALUE(REGEXEXTRACT(TO_TEXT($F1703), O$1 &amp; ""x(\d+)"")), """")"),"")</f>
        <v/>
      </c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spans="1:26" ht="15.75" customHeight="1">
      <c r="A1704" s="9"/>
      <c r="B1704" s="9" t="s">
        <v>2715</v>
      </c>
      <c r="C1704" s="9" t="s">
        <v>2396</v>
      </c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 t="str">
        <f ca="1">IFERROR(__xludf.DUMMYFUNCTION("IFERROR(VALUE(REGEXEXTRACT(TO_TEXT($F1704), N$1 &amp; ""x(\d+)"")), """")
"),"")</f>
        <v/>
      </c>
      <c r="O1704" s="9" t="str">
        <f ca="1">IFERROR(__xludf.DUMMYFUNCTION("IFERROR(VALUE(REGEXEXTRACT(TO_TEXT($F1704), O$1 &amp; ""x(\d+)"")), """")"),"")</f>
        <v/>
      </c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spans="1:26" ht="15.75" customHeight="1">
      <c r="A1705" s="9"/>
      <c r="B1705" s="9" t="s">
        <v>2715</v>
      </c>
      <c r="C1705" s="9" t="s">
        <v>2396</v>
      </c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 t="str">
        <f ca="1">IFERROR(__xludf.DUMMYFUNCTION("IFERROR(VALUE(REGEXEXTRACT(TO_TEXT($F1705), N$1 &amp; ""x(\d+)"")), """")
"),"")</f>
        <v/>
      </c>
      <c r="O1705" s="9" t="str">
        <f ca="1">IFERROR(__xludf.DUMMYFUNCTION("IFERROR(VALUE(REGEXEXTRACT(TO_TEXT($F1705), O$1 &amp; ""x(\d+)"")), """")"),"")</f>
        <v/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spans="1:26" ht="15.75" customHeight="1">
      <c r="A1706" s="9"/>
      <c r="B1706" s="9" t="s">
        <v>2715</v>
      </c>
      <c r="C1706" s="9" t="s">
        <v>2396</v>
      </c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 t="str">
        <f ca="1">IFERROR(__xludf.DUMMYFUNCTION("IFERROR(VALUE(REGEXEXTRACT(TO_TEXT($F1706), N$1 &amp; ""x(\d+)"")), """")
"),"")</f>
        <v/>
      </c>
      <c r="O1706" s="9" t="str">
        <f ca="1">IFERROR(__xludf.DUMMYFUNCTION("IFERROR(VALUE(REGEXEXTRACT(TO_TEXT($F1706), O$1 &amp; ""x(\d+)"")), """")"),"")</f>
        <v/>
      </c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spans="1:26" ht="15.75" customHeight="1">
      <c r="A1707" s="9"/>
      <c r="B1707" s="9" t="s">
        <v>2715</v>
      </c>
      <c r="C1707" s="9" t="s">
        <v>2396</v>
      </c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 t="str">
        <f ca="1">IFERROR(__xludf.DUMMYFUNCTION("IFERROR(VALUE(REGEXEXTRACT(TO_TEXT($F1707), N$1 &amp; ""x(\d+)"")), """")
"),"")</f>
        <v/>
      </c>
      <c r="O1707" s="9" t="str">
        <f ca="1">IFERROR(__xludf.DUMMYFUNCTION("IFERROR(VALUE(REGEXEXTRACT(TO_TEXT($F1707), O$1 &amp; ""x(\d+)"")), """")"),"")</f>
        <v/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spans="1:26" ht="15.75" customHeight="1">
      <c r="A1708" s="9"/>
      <c r="B1708" s="9" t="s">
        <v>2715</v>
      </c>
      <c r="C1708" s="9" t="s">
        <v>2396</v>
      </c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 t="str">
        <f ca="1">IFERROR(__xludf.DUMMYFUNCTION("IFERROR(VALUE(REGEXEXTRACT(TO_TEXT($F1708), N$1 &amp; ""x(\d+)"")), """")
"),"")</f>
        <v/>
      </c>
      <c r="O1708" s="9" t="str">
        <f ca="1">IFERROR(__xludf.DUMMYFUNCTION("IFERROR(VALUE(REGEXEXTRACT(TO_TEXT($F1708), O$1 &amp; ""x(\d+)"")), """")"),"")</f>
        <v/>
      </c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spans="1:26" ht="15.75" customHeight="1">
      <c r="A1709" s="9"/>
      <c r="B1709" s="9" t="s">
        <v>2715</v>
      </c>
      <c r="C1709" s="9" t="s">
        <v>2396</v>
      </c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 t="str">
        <f ca="1">IFERROR(__xludf.DUMMYFUNCTION("IFERROR(VALUE(REGEXEXTRACT(TO_TEXT($F1709), N$1 &amp; ""x(\d+)"")), """")
"),"")</f>
        <v/>
      </c>
      <c r="O1709" s="9" t="str">
        <f ca="1">IFERROR(__xludf.DUMMYFUNCTION("IFERROR(VALUE(REGEXEXTRACT(TO_TEXT($F1709), O$1 &amp; ""x(\d+)"")), """")"),"")</f>
        <v/>
      </c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spans="1:26" ht="15.75" customHeight="1">
      <c r="A1710" s="9"/>
      <c r="B1710" s="9" t="s">
        <v>2715</v>
      </c>
      <c r="C1710" s="9" t="s">
        <v>2396</v>
      </c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 t="str">
        <f ca="1">IFERROR(__xludf.DUMMYFUNCTION("IFERROR(VALUE(REGEXEXTRACT(TO_TEXT($F1710), N$1 &amp; ""x(\d+)"")), """")
"),"")</f>
        <v/>
      </c>
      <c r="O1710" s="9" t="str">
        <f ca="1">IFERROR(__xludf.DUMMYFUNCTION("IFERROR(VALUE(REGEXEXTRACT(TO_TEXT($F1710), O$1 &amp; ""x(\d+)"")), """")"),"")</f>
        <v/>
      </c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spans="1:26" ht="15.75" customHeight="1">
      <c r="A1711" s="9"/>
      <c r="B1711" s="9" t="s">
        <v>2715</v>
      </c>
      <c r="C1711" s="9" t="s">
        <v>2396</v>
      </c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 t="str">
        <f ca="1">IFERROR(__xludf.DUMMYFUNCTION("IFERROR(VALUE(REGEXEXTRACT(TO_TEXT($F1711), N$1 &amp; ""x(\d+)"")), """")
"),"")</f>
        <v/>
      </c>
      <c r="O1711" s="9" t="str">
        <f ca="1">IFERROR(__xludf.DUMMYFUNCTION("IFERROR(VALUE(REGEXEXTRACT(TO_TEXT($F1711), O$1 &amp; ""x(\d+)"")), """")"),"")</f>
        <v/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spans="1:26" ht="15.75" customHeight="1">
      <c r="A1712" s="9"/>
      <c r="B1712" s="9" t="s">
        <v>2715</v>
      </c>
      <c r="C1712" s="9" t="s">
        <v>2396</v>
      </c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 t="str">
        <f ca="1">IFERROR(__xludf.DUMMYFUNCTION("IFERROR(VALUE(REGEXEXTRACT(TO_TEXT($F1712), N$1 &amp; ""x(\d+)"")), """")
"),"")</f>
        <v/>
      </c>
      <c r="O1712" s="9" t="str">
        <f ca="1">IFERROR(__xludf.DUMMYFUNCTION("IFERROR(VALUE(REGEXEXTRACT(TO_TEXT($F1712), O$1 &amp; ""x(\d+)"")), """")"),"")</f>
        <v/>
      </c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spans="1:26" ht="15.75" customHeight="1">
      <c r="A1713" s="9"/>
      <c r="B1713" s="9" t="s">
        <v>2715</v>
      </c>
      <c r="C1713" s="9" t="s">
        <v>2396</v>
      </c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 t="str">
        <f ca="1">IFERROR(__xludf.DUMMYFUNCTION("IFERROR(VALUE(REGEXEXTRACT(TO_TEXT($F1713), N$1 &amp; ""x(\d+)"")), """")
"),"")</f>
        <v/>
      </c>
      <c r="O1713" s="9" t="str">
        <f ca="1">IFERROR(__xludf.DUMMYFUNCTION("IFERROR(VALUE(REGEXEXTRACT(TO_TEXT($F1713), O$1 &amp; ""x(\d+)"")), """")"),"")</f>
        <v/>
      </c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spans="1:26" ht="15.75" customHeight="1">
      <c r="A1714" s="9"/>
      <c r="B1714" s="9" t="s">
        <v>2715</v>
      </c>
      <c r="C1714" s="9" t="s">
        <v>2396</v>
      </c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 t="str">
        <f ca="1">IFERROR(__xludf.DUMMYFUNCTION("IFERROR(VALUE(REGEXEXTRACT(TO_TEXT($F1714), N$1 &amp; ""x(\d+)"")), """")
"),"")</f>
        <v/>
      </c>
      <c r="O1714" s="9" t="str">
        <f ca="1">IFERROR(__xludf.DUMMYFUNCTION("IFERROR(VALUE(REGEXEXTRACT(TO_TEXT($F1714), O$1 &amp; ""x(\d+)"")), """")"),"")</f>
        <v/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spans="1:26" ht="15.75" customHeight="1">
      <c r="A1715" s="9"/>
      <c r="B1715" s="9" t="s">
        <v>2715</v>
      </c>
      <c r="C1715" s="9" t="s">
        <v>2396</v>
      </c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 t="str">
        <f ca="1">IFERROR(__xludf.DUMMYFUNCTION("IFERROR(VALUE(REGEXEXTRACT(TO_TEXT($F1715), N$1 &amp; ""x(\d+)"")), """")
"),"")</f>
        <v/>
      </c>
      <c r="O1715" s="9" t="str">
        <f ca="1">IFERROR(__xludf.DUMMYFUNCTION("IFERROR(VALUE(REGEXEXTRACT(TO_TEXT($F1715), O$1 &amp; ""x(\d+)"")), """")"),"")</f>
        <v/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spans="1:26" ht="15.75" customHeight="1">
      <c r="A1716" s="9"/>
      <c r="B1716" s="9" t="s">
        <v>2715</v>
      </c>
      <c r="C1716" s="9" t="s">
        <v>2396</v>
      </c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 t="str">
        <f ca="1">IFERROR(__xludf.DUMMYFUNCTION("IFERROR(VALUE(REGEXEXTRACT(TO_TEXT($F1716), N$1 &amp; ""x(\d+)"")), """")
"),"")</f>
        <v/>
      </c>
      <c r="O1716" s="9" t="str">
        <f ca="1">IFERROR(__xludf.DUMMYFUNCTION("IFERROR(VALUE(REGEXEXTRACT(TO_TEXT($F1716), O$1 &amp; ""x(\d+)"")), """")"),"")</f>
        <v/>
      </c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spans="1:26" ht="15.75" customHeight="1">
      <c r="A1717" s="9"/>
      <c r="B1717" s="9" t="s">
        <v>2715</v>
      </c>
      <c r="C1717" s="9" t="s">
        <v>2396</v>
      </c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 t="str">
        <f ca="1">IFERROR(__xludf.DUMMYFUNCTION("IFERROR(VALUE(REGEXEXTRACT(TO_TEXT($F1717), N$1 &amp; ""x(\d+)"")), """")
"),"")</f>
        <v/>
      </c>
      <c r="O1717" s="9" t="str">
        <f ca="1">IFERROR(__xludf.DUMMYFUNCTION("IFERROR(VALUE(REGEXEXTRACT(TO_TEXT($F1717), O$1 &amp; ""x(\d+)"")), """")"),"")</f>
        <v/>
      </c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spans="1:26" ht="15.75" customHeight="1">
      <c r="A1718" s="9"/>
      <c r="B1718" s="9" t="s">
        <v>2715</v>
      </c>
      <c r="C1718" s="9" t="s">
        <v>2396</v>
      </c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 t="str">
        <f ca="1">IFERROR(__xludf.DUMMYFUNCTION("IFERROR(VALUE(REGEXEXTRACT(TO_TEXT($F1718), N$1 &amp; ""x(\d+)"")), """")
"),"")</f>
        <v/>
      </c>
      <c r="O1718" s="9" t="str">
        <f ca="1">IFERROR(__xludf.DUMMYFUNCTION("IFERROR(VALUE(REGEXEXTRACT(TO_TEXT($F1718), O$1 &amp; ""x(\d+)"")), """")"),"")</f>
        <v/>
      </c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spans="1:26" ht="15.75" customHeight="1">
      <c r="A1719" s="9"/>
      <c r="B1719" s="9" t="s">
        <v>2715</v>
      </c>
      <c r="C1719" s="9" t="s">
        <v>2396</v>
      </c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 t="str">
        <f ca="1">IFERROR(__xludf.DUMMYFUNCTION("IFERROR(VALUE(REGEXEXTRACT(TO_TEXT($F1719), N$1 &amp; ""x(\d+)"")), """")
"),"")</f>
        <v/>
      </c>
      <c r="O1719" s="9" t="str">
        <f ca="1">IFERROR(__xludf.DUMMYFUNCTION("IFERROR(VALUE(REGEXEXTRACT(TO_TEXT($F1719), O$1 &amp; ""x(\d+)"")), """")"),"")</f>
        <v/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spans="1:26" ht="15.75" customHeight="1">
      <c r="A1720" s="9"/>
      <c r="B1720" s="9" t="s">
        <v>2715</v>
      </c>
      <c r="C1720" s="9" t="s">
        <v>2396</v>
      </c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 t="str">
        <f ca="1">IFERROR(__xludf.DUMMYFUNCTION("IFERROR(VALUE(REGEXEXTRACT(TO_TEXT($F1720), N$1 &amp; ""x(\d+)"")), """")
"),"")</f>
        <v/>
      </c>
      <c r="O1720" s="9" t="str">
        <f ca="1">IFERROR(__xludf.DUMMYFUNCTION("IFERROR(VALUE(REGEXEXTRACT(TO_TEXT($F1720), O$1 &amp; ""x(\d+)"")), """")"),"")</f>
        <v/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spans="1:26" ht="15.75" customHeight="1">
      <c r="A1721" s="9"/>
      <c r="B1721" s="9" t="s">
        <v>2715</v>
      </c>
      <c r="C1721" s="9" t="s">
        <v>2396</v>
      </c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 t="str">
        <f ca="1">IFERROR(__xludf.DUMMYFUNCTION("IFERROR(VALUE(REGEXEXTRACT(TO_TEXT($F1721), N$1 &amp; ""x(\d+)"")), """")
"),"")</f>
        <v/>
      </c>
      <c r="O1721" s="9" t="str">
        <f ca="1">IFERROR(__xludf.DUMMYFUNCTION("IFERROR(VALUE(REGEXEXTRACT(TO_TEXT($F1721), O$1 &amp; ""x(\d+)"")), """")"),"")</f>
        <v/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spans="1:26" ht="15.75" customHeight="1">
      <c r="A1722" s="9"/>
      <c r="B1722" s="9" t="s">
        <v>2715</v>
      </c>
      <c r="C1722" s="9" t="s">
        <v>2396</v>
      </c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 t="str">
        <f ca="1">IFERROR(__xludf.DUMMYFUNCTION("IFERROR(VALUE(REGEXEXTRACT(TO_TEXT($F1722), N$1 &amp; ""x(\d+)"")), """")
"),"")</f>
        <v/>
      </c>
      <c r="O1722" s="9" t="str">
        <f ca="1">IFERROR(__xludf.DUMMYFUNCTION("IFERROR(VALUE(REGEXEXTRACT(TO_TEXT($F1722), O$1 &amp; ""x(\d+)"")), """")"),"")</f>
        <v/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spans="1:26" ht="15.75" customHeight="1">
      <c r="A1723" s="9"/>
      <c r="B1723" s="9" t="s">
        <v>2715</v>
      </c>
      <c r="C1723" s="9" t="s">
        <v>2396</v>
      </c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 t="str">
        <f ca="1">IFERROR(__xludf.DUMMYFUNCTION("IFERROR(VALUE(REGEXEXTRACT(TO_TEXT($F1723), N$1 &amp; ""x(\d+)"")), """")
"),"")</f>
        <v/>
      </c>
      <c r="O1723" s="9" t="str">
        <f ca="1">IFERROR(__xludf.DUMMYFUNCTION("IFERROR(VALUE(REGEXEXTRACT(TO_TEXT($F1723), O$1 &amp; ""x(\d+)"")), """")"),"")</f>
        <v/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spans="1:26" ht="15.75" customHeight="1">
      <c r="A1724" s="9"/>
      <c r="B1724" s="9" t="s">
        <v>2715</v>
      </c>
      <c r="C1724" s="9" t="s">
        <v>2396</v>
      </c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 t="str">
        <f ca="1">IFERROR(__xludf.DUMMYFUNCTION("IFERROR(VALUE(REGEXEXTRACT(TO_TEXT($F1724), N$1 &amp; ""x(\d+)"")), """")
"),"")</f>
        <v/>
      </c>
      <c r="O1724" s="9" t="str">
        <f ca="1">IFERROR(__xludf.DUMMYFUNCTION("IFERROR(VALUE(REGEXEXTRACT(TO_TEXT($F1724), O$1 &amp; ""x(\d+)"")), """")"),"")</f>
        <v/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spans="1:26" ht="15.75" customHeight="1">
      <c r="A1725" s="9"/>
      <c r="B1725" s="9" t="s">
        <v>2715</v>
      </c>
      <c r="C1725" s="9" t="s">
        <v>2396</v>
      </c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 t="str">
        <f ca="1">IFERROR(__xludf.DUMMYFUNCTION("IFERROR(VALUE(REGEXEXTRACT(TO_TEXT($F1725), N$1 &amp; ""x(\d+)"")), """")
"),"")</f>
        <v/>
      </c>
      <c r="O1725" s="9" t="str">
        <f ca="1">IFERROR(__xludf.DUMMYFUNCTION("IFERROR(VALUE(REGEXEXTRACT(TO_TEXT($F1725), O$1 &amp; ""x(\d+)"")), """")"),"")</f>
        <v/>
      </c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spans="1:26" ht="15.75" customHeight="1">
      <c r="A1726" s="9"/>
      <c r="B1726" s="9" t="s">
        <v>2715</v>
      </c>
      <c r="C1726" s="9" t="s">
        <v>2396</v>
      </c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 t="str">
        <f ca="1">IFERROR(__xludf.DUMMYFUNCTION("IFERROR(VALUE(REGEXEXTRACT(TO_TEXT($F1726), N$1 &amp; ""x(\d+)"")), """")
"),"")</f>
        <v/>
      </c>
      <c r="O1726" s="9" t="str">
        <f ca="1">IFERROR(__xludf.DUMMYFUNCTION("IFERROR(VALUE(REGEXEXTRACT(TO_TEXT($F1726), O$1 &amp; ""x(\d+)"")), """")"),"")</f>
        <v/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spans="1:26" ht="15.75" customHeight="1">
      <c r="A1727" s="9"/>
      <c r="B1727" s="9" t="s">
        <v>2715</v>
      </c>
      <c r="C1727" s="9" t="s">
        <v>2396</v>
      </c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 t="str">
        <f ca="1">IFERROR(__xludf.DUMMYFUNCTION("IFERROR(VALUE(REGEXEXTRACT(TO_TEXT($F1727), N$1 &amp; ""x(\d+)"")), """")
"),"")</f>
        <v/>
      </c>
      <c r="O1727" s="9" t="str">
        <f ca="1">IFERROR(__xludf.DUMMYFUNCTION("IFERROR(VALUE(REGEXEXTRACT(TO_TEXT($F1727), O$1 &amp; ""x(\d+)"")), """")"),"")</f>
        <v/>
      </c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spans="1:26" ht="15.75" customHeight="1">
      <c r="A1728" s="9"/>
      <c r="B1728" s="9" t="s">
        <v>2715</v>
      </c>
      <c r="C1728" s="9" t="s">
        <v>2396</v>
      </c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 t="str">
        <f ca="1">IFERROR(__xludf.DUMMYFUNCTION("IFERROR(VALUE(REGEXEXTRACT(TO_TEXT($F1728), N$1 &amp; ""x(\d+)"")), """")
"),"")</f>
        <v/>
      </c>
      <c r="O1728" s="9" t="str">
        <f ca="1">IFERROR(__xludf.DUMMYFUNCTION("IFERROR(VALUE(REGEXEXTRACT(TO_TEXT($F1728), O$1 &amp; ""x(\d+)"")), """")"),"")</f>
        <v/>
      </c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spans="1:26" ht="15.75" customHeight="1">
      <c r="A1729" s="9"/>
      <c r="B1729" s="9" t="s">
        <v>2715</v>
      </c>
      <c r="C1729" s="9" t="s">
        <v>2396</v>
      </c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 t="str">
        <f ca="1">IFERROR(__xludf.DUMMYFUNCTION("IFERROR(VALUE(REGEXEXTRACT(TO_TEXT($F1729), N$1 &amp; ""x(\d+)"")), """")
"),"")</f>
        <v/>
      </c>
      <c r="O1729" s="9" t="str">
        <f ca="1">IFERROR(__xludf.DUMMYFUNCTION("IFERROR(VALUE(REGEXEXTRACT(TO_TEXT($F1729), O$1 &amp; ""x(\d+)"")), """")"),"")</f>
        <v/>
      </c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spans="1:26" ht="15.75" customHeight="1">
      <c r="A1730" s="9"/>
      <c r="B1730" s="9" t="s">
        <v>2715</v>
      </c>
      <c r="C1730" s="9" t="s">
        <v>2396</v>
      </c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 t="str">
        <f ca="1">IFERROR(__xludf.DUMMYFUNCTION("IFERROR(VALUE(REGEXEXTRACT(TO_TEXT($F1730), N$1 &amp; ""x(\d+)"")), """")
"),"")</f>
        <v/>
      </c>
      <c r="O1730" s="9" t="str">
        <f ca="1">IFERROR(__xludf.DUMMYFUNCTION("IFERROR(VALUE(REGEXEXTRACT(TO_TEXT($F1730), O$1 &amp; ""x(\d+)"")), """")"),"")</f>
        <v/>
      </c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spans="1:26" ht="15.75" customHeight="1">
      <c r="A1731" s="9"/>
      <c r="B1731" s="9" t="s">
        <v>2715</v>
      </c>
      <c r="C1731" s="9" t="s">
        <v>2396</v>
      </c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 t="str">
        <f ca="1">IFERROR(__xludf.DUMMYFUNCTION("IFERROR(VALUE(REGEXEXTRACT(TO_TEXT($F1731), N$1 &amp; ""x(\d+)"")), """")
"),"")</f>
        <v/>
      </c>
      <c r="O1731" s="9" t="str">
        <f ca="1">IFERROR(__xludf.DUMMYFUNCTION("IFERROR(VALUE(REGEXEXTRACT(TO_TEXT($F1731), O$1 &amp; ""x(\d+)"")), """")"),"")</f>
        <v/>
      </c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spans="1:26" ht="15.75" customHeight="1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spans="1:26" ht="15.75" customHeight="1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spans="1:26" ht="15.75" customHeight="1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spans="1:26" ht="15.75" customHeight="1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spans="1:26" ht="15.75" customHeight="1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spans="1:26" ht="15.75" customHeight="1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spans="1:26" ht="15.75" customHeight="1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spans="1:26" ht="15.75" customHeight="1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spans="1:26" ht="15.75" customHeight="1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spans="1:26" ht="15.75" customHeight="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spans="1:26" ht="15.75" customHeight="1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spans="1:26" ht="15.75" customHeight="1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spans="1:26" ht="15.75" customHeight="1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spans="1:26" ht="15.75" customHeight="1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spans="1:26" ht="15.75" customHeight="1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spans="1:26" ht="15.75" customHeight="1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spans="1:26" ht="15.75" customHeight="1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spans="1:26" ht="15.75" customHeight="1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spans="1:26" ht="15.75" customHeight="1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spans="1:26" ht="15.75" customHeight="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spans="1:26" ht="15.75" customHeight="1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spans="1:26" ht="15.75" customHeight="1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spans="1:26" ht="15.75" customHeight="1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spans="1:26" ht="15.75" customHeight="1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ht="15.75" customHeight="1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spans="1:26" ht="15.75" customHeight="1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spans="1:26" ht="15.75" customHeight="1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spans="1:26" ht="15.75" customHeight="1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spans="1:26" ht="15.75" customHeight="1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spans="1:26" ht="15.75" customHeight="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spans="1:26" ht="15.75" customHeight="1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spans="1:26" ht="15.75" customHeight="1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spans="1:26" ht="15.75" customHeight="1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spans="1:26" ht="15.75" customHeight="1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spans="1:26" ht="15.75" customHeight="1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spans="1:26" ht="15.75" customHeight="1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spans="1:26" ht="15.75" customHeight="1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spans="1:26" ht="15.75" customHeight="1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spans="1:26" ht="15.75" customHeight="1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spans="1:26" ht="15.75" customHeight="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spans="1:26" ht="15.75" customHeight="1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spans="1:26" ht="15.75" customHeight="1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spans="1:26" ht="15.75" customHeight="1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spans="1:26" ht="15.75" customHeight="1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spans="1:26" ht="15.75" customHeight="1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spans="1:26" ht="15.75" customHeight="1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spans="1:26" ht="15.75" customHeight="1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spans="1:26" ht="15.75" customHeight="1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spans="1:26" ht="15.75" customHeight="1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spans="1:26" ht="15.75" customHeight="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ht="15.75" customHeight="1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spans="1:26" ht="15.75" customHeight="1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spans="1:26" ht="15.75" customHeight="1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spans="1:26" ht="15.75" customHeight="1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spans="1:26" ht="15.75" customHeight="1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spans="1:26" ht="15.75" customHeight="1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spans="1:26" ht="15.75" customHeight="1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spans="1:26" ht="15.75" customHeight="1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spans="1:26" ht="15.75" customHeight="1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spans="1:26" ht="15.75" customHeight="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spans="1:26" ht="15.75" customHeight="1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spans="1:26" ht="15.75" customHeight="1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spans="1:26" ht="15.75" customHeight="1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spans="1:26" ht="15.75" customHeight="1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spans="1:26" ht="15.75" customHeight="1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spans="1:26" ht="15.75" customHeight="1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spans="1:26" ht="15.75" customHeight="1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spans="1:26" ht="15.75" customHeight="1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spans="1:26" ht="15.75" customHeight="1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spans="1:26" ht="15.75" customHeight="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spans="1:26" ht="15.75" customHeight="1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spans="1:26" ht="15.75" customHeight="1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spans="1:26" ht="15.75" customHeight="1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spans="1:26" ht="15.75" customHeight="1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spans="1:26" ht="15.75" customHeight="1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spans="1:26" ht="15.75" customHeight="1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spans="1:26" ht="15.75" customHeight="1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spans="1:26" ht="15.75" customHeight="1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spans="1:26" ht="15.75" customHeight="1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spans="1:26" ht="15.75" customHeight="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spans="1:26" ht="15.75" customHeight="1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spans="1:26" ht="15.75" customHeight="1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spans="1:26" ht="15.75" customHeight="1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spans="1:26" ht="15.75" customHeight="1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spans="1:26" ht="15.75" customHeight="1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spans="1:26" ht="15.75" customHeight="1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spans="1:26" ht="15.75" customHeight="1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spans="1:26" ht="15.75" customHeight="1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spans="1:26" ht="15.75" customHeight="1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spans="1:26" ht="15.75" customHeight="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spans="1:26" ht="15.75" customHeight="1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spans="1:26" ht="15.75" customHeight="1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spans="1:26" ht="15.75" customHeight="1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spans="1:26" ht="15.75" customHeight="1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spans="1:26" ht="15.75" customHeight="1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spans="1:26" ht="15.75" customHeight="1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spans="1:26" ht="15.75" customHeight="1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spans="1:26" ht="15.75" customHeight="1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spans="1:26" ht="15.75" customHeight="1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spans="1:26" ht="15.75" customHeight="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spans="1:26" ht="15.75" customHeight="1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spans="1:26" ht="15.75" customHeight="1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spans="1:26" ht="15.75" customHeight="1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spans="1:26" ht="15.75" customHeight="1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spans="1:26" ht="15.75" customHeight="1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spans="1:26" ht="15.75" customHeight="1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spans="1:26" ht="15.75" customHeight="1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spans="1:26" ht="15.75" customHeight="1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spans="1:26" ht="15.75" customHeight="1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spans="1:26" ht="15.75" customHeight="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spans="1:26" ht="15.75" customHeight="1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spans="1:26" ht="15.75" customHeight="1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spans="1:26" ht="15.75" customHeight="1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spans="1:26" ht="15.75" customHeight="1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spans="1:26" ht="15.75" customHeight="1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spans="1:26" ht="15.75" customHeight="1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spans="1:26" ht="15.75" customHeight="1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spans="1:26" ht="15.75" customHeight="1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spans="1:26" ht="15.75" customHeight="1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spans="1:26" ht="15.75" customHeight="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spans="1:26" ht="15.75" customHeight="1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spans="1:26" ht="15.75" customHeight="1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spans="1:26" ht="15.75" customHeight="1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spans="1:26" ht="15.75" customHeight="1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spans="1:26" ht="15.75" customHeight="1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spans="1:26" ht="15.75" customHeight="1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spans="1:26" ht="15.75" customHeight="1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spans="1:26" ht="15.75" customHeight="1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spans="1:26" ht="15.75" customHeight="1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spans="1:26" ht="15.75" customHeight="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spans="1:26" ht="15.75" customHeight="1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spans="1:26" ht="15.75" customHeight="1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spans="1:26" ht="15.75" customHeight="1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spans="1:26" ht="15.75" customHeight="1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spans="1:26" ht="15.75" customHeight="1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spans="1:26" ht="15.75" customHeight="1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spans="1:26" ht="15.75" customHeight="1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spans="1:26" ht="15.75" customHeight="1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spans="1:26" ht="15.75" customHeight="1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spans="1:26" ht="15.75" customHeight="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spans="1:26" ht="15.75" customHeight="1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spans="1:26" ht="15.75" customHeight="1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spans="1:26" ht="15.75" customHeight="1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spans="1:26" ht="15.75" customHeight="1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spans="1:26" ht="15.75" customHeight="1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spans="1:26" ht="15.75" customHeight="1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spans="1:26" ht="15.75" customHeight="1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spans="1:26" ht="15.75" customHeight="1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spans="1:26" ht="15.75" customHeight="1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spans="1:26" ht="15.75" customHeight="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spans="1:26" ht="15.75" customHeight="1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spans="1:26" ht="15.75" customHeight="1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spans="1:26" ht="15.75" customHeight="1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spans="1:26" ht="15.75" customHeight="1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spans="1:26" ht="15.75" customHeight="1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spans="1:26" ht="15.75" customHeight="1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spans="1:26" ht="15.75" customHeight="1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spans="1:26" ht="15.75" customHeight="1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spans="1:26" ht="15.75" customHeight="1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spans="1:26" ht="15.75" customHeight="1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spans="1:26" ht="15.75" customHeight="1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spans="1:26" ht="15.75" customHeight="1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spans="1:26" ht="15.75" customHeight="1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spans="1:26" ht="15.75" customHeight="1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spans="1:26" ht="15.75" customHeight="1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spans="1:26" ht="15.75" customHeight="1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spans="1:26" ht="15.75" customHeight="1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spans="1:26" ht="15.75" customHeight="1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spans="1:26" ht="15.75" customHeight="1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spans="1:26" ht="15.75" customHeight="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spans="1:26" ht="15.75" customHeight="1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spans="1:26" ht="15.75" customHeight="1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spans="1:26" ht="15.75" customHeight="1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spans="1:26" ht="15.75" customHeight="1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spans="1:26" ht="15.75" customHeight="1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spans="1:26" ht="15.75" customHeight="1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spans="1:26" ht="15.75" customHeight="1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spans="1:26" ht="15.75" customHeight="1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spans="1:26" ht="15.75" customHeight="1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spans="1:26" ht="15.75" customHeight="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spans="1:26" ht="15.75" customHeight="1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spans="1:26" ht="15.75" customHeight="1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spans="1:26" ht="15.75" customHeight="1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spans="1:26" ht="15.75" customHeight="1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spans="1:26" ht="15.75" customHeight="1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spans="1:26" ht="15.75" customHeight="1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spans="1:26" ht="15.75" customHeight="1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spans="1:26" ht="15.75" customHeight="1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spans="1:26" ht="15.75" customHeight="1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spans="1:26" ht="15.75" customHeight="1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spans="1:26" ht="15.75" customHeight="1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spans="1:26" ht="15.75" customHeight="1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spans="1:26" ht="15.75" customHeight="1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spans="1:26" ht="15.75" customHeight="1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spans="1:26" ht="15.75" customHeight="1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spans="1:26" ht="15.75" customHeight="1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spans="1:26" ht="15.75" customHeight="1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spans="1:26" ht="15.75" customHeight="1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spans="1:26" ht="15.75" customHeight="1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spans="1:26" ht="15.75" customHeight="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</sheetData>
  <autoFilter ref="A1:Z1068" xr:uid="{00000000-0009-0000-0000-000006000000}">
    <filterColumn colId="3">
      <filters>
        <filter val="精"/>
      </filters>
    </filterColumn>
  </autoFilter>
  <phoneticPr fontId="42" type="noConversion"/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/>
  </sheetViews>
  <sheetFormatPr defaultColWidth="12.61328125" defaultRowHeight="15" customHeight="1"/>
  <cols>
    <col min="1" max="1" width="19.61328125" customWidth="1"/>
    <col min="2" max="2" width="12.61328125" customWidth="1"/>
    <col min="3" max="3" width="37.61328125" customWidth="1"/>
    <col min="4" max="6" width="12.61328125" customWidth="1"/>
  </cols>
  <sheetData>
    <row r="1" spans="1:7" ht="15.75" customHeight="1">
      <c r="A1" s="56" t="s">
        <v>0</v>
      </c>
      <c r="B1" s="56" t="s">
        <v>1</v>
      </c>
      <c r="C1" s="57" t="s">
        <v>2</v>
      </c>
      <c r="D1" s="57" t="s">
        <v>3</v>
      </c>
      <c r="E1" s="56" t="s">
        <v>4</v>
      </c>
      <c r="F1" s="57" t="s">
        <v>5</v>
      </c>
      <c r="G1" s="57" t="s">
        <v>6</v>
      </c>
    </row>
    <row r="2" spans="1:7" ht="15.75" customHeight="1">
      <c r="A2" s="9" t="s">
        <v>2716</v>
      </c>
      <c r="B2" s="9" t="s">
        <v>1992</v>
      </c>
      <c r="C2" s="9" t="s">
        <v>649</v>
      </c>
      <c r="D2" s="58">
        <v>4000</v>
      </c>
      <c r="E2" s="59">
        <v>45748</v>
      </c>
      <c r="F2" s="59">
        <v>45702</v>
      </c>
      <c r="G2" s="59">
        <v>45733</v>
      </c>
    </row>
    <row r="3" spans="1:7" ht="15.75" customHeight="1">
      <c r="A3" s="9" t="s">
        <v>2717</v>
      </c>
      <c r="B3" s="9" t="s">
        <v>1207</v>
      </c>
      <c r="C3" s="9" t="s">
        <v>799</v>
      </c>
      <c r="D3" s="9">
        <v>970</v>
      </c>
      <c r="E3" s="59">
        <v>45761</v>
      </c>
      <c r="F3" s="59">
        <v>45702</v>
      </c>
      <c r="G3" s="59">
        <v>45723</v>
      </c>
    </row>
    <row r="4" spans="1:7" ht="15.75" customHeight="1">
      <c r="A4" s="9" t="s">
        <v>2718</v>
      </c>
      <c r="B4" s="9" t="s">
        <v>2719</v>
      </c>
      <c r="C4" s="9" t="s">
        <v>2720</v>
      </c>
      <c r="D4" s="9">
        <v>1980</v>
      </c>
      <c r="E4" s="59">
        <v>45761</v>
      </c>
      <c r="F4" s="59">
        <v>45715</v>
      </c>
      <c r="G4" s="59">
        <v>45723</v>
      </c>
    </row>
    <row r="5" spans="1:7" ht="15.75" customHeight="1">
      <c r="A5" s="9" t="s">
        <v>2721</v>
      </c>
      <c r="B5" s="9" t="s">
        <v>2722</v>
      </c>
      <c r="C5" s="9" t="s">
        <v>2723</v>
      </c>
      <c r="D5" s="9">
        <v>22.2</v>
      </c>
      <c r="E5" s="59">
        <v>45761</v>
      </c>
      <c r="F5" s="59">
        <v>45715</v>
      </c>
      <c r="G5" s="9" t="s">
        <v>2724</v>
      </c>
    </row>
    <row r="6" spans="1:7" ht="15.75" customHeight="1">
      <c r="A6" s="9" t="s">
        <v>2725</v>
      </c>
      <c r="B6" s="9" t="s">
        <v>1087</v>
      </c>
      <c r="C6" s="9" t="s">
        <v>925</v>
      </c>
      <c r="D6" s="9">
        <v>3000</v>
      </c>
      <c r="E6" s="59">
        <v>45756</v>
      </c>
      <c r="F6" s="59">
        <v>45666</v>
      </c>
      <c r="G6" s="59">
        <v>45646</v>
      </c>
    </row>
    <row r="7" spans="1:7" ht="15.75" customHeight="1">
      <c r="A7" s="9" t="s">
        <v>2726</v>
      </c>
      <c r="B7" s="9" t="s">
        <v>2727</v>
      </c>
      <c r="C7" s="9" t="s">
        <v>2728</v>
      </c>
      <c r="D7" s="58">
        <v>8000</v>
      </c>
      <c r="E7" s="59">
        <v>45754</v>
      </c>
      <c r="F7" s="59">
        <v>45698</v>
      </c>
      <c r="G7" s="59">
        <v>45733</v>
      </c>
    </row>
    <row r="8" spans="1:7" ht="15.75" customHeight="1">
      <c r="A8" s="9" t="s">
        <v>2729</v>
      </c>
      <c r="B8" s="9" t="s">
        <v>192</v>
      </c>
      <c r="C8" s="9" t="s">
        <v>193</v>
      </c>
      <c r="D8" s="9">
        <v>10000</v>
      </c>
      <c r="E8" s="59">
        <v>45758</v>
      </c>
      <c r="F8" s="59">
        <v>45700</v>
      </c>
      <c r="G8" s="59">
        <v>45730</v>
      </c>
    </row>
    <row r="9" spans="1:7" ht="15.75" customHeight="1">
      <c r="A9" s="9" t="s">
        <v>2730</v>
      </c>
      <c r="B9" s="9" t="s">
        <v>1747</v>
      </c>
      <c r="C9" s="9" t="s">
        <v>625</v>
      </c>
      <c r="D9" s="9">
        <v>750</v>
      </c>
      <c r="E9" s="59">
        <v>45754</v>
      </c>
      <c r="F9" s="59">
        <v>45727</v>
      </c>
      <c r="G9" s="59">
        <v>45737</v>
      </c>
    </row>
    <row r="10" spans="1:7" ht="15.75" customHeight="1">
      <c r="A10" s="9" t="s">
        <v>2731</v>
      </c>
      <c r="B10" s="9" t="s">
        <v>227</v>
      </c>
      <c r="C10" s="9" t="s">
        <v>228</v>
      </c>
      <c r="D10" s="9">
        <v>3750</v>
      </c>
      <c r="E10" s="59">
        <v>45757</v>
      </c>
      <c r="F10" s="59">
        <v>45730</v>
      </c>
      <c r="G10" s="59">
        <v>45730</v>
      </c>
    </row>
    <row r="11" spans="1:7" ht="15.75" customHeight="1">
      <c r="A11" s="9" t="s">
        <v>2732</v>
      </c>
      <c r="B11" s="9" t="s">
        <v>1985</v>
      </c>
      <c r="C11" s="9" t="s">
        <v>635</v>
      </c>
      <c r="D11" s="9">
        <v>50</v>
      </c>
      <c r="E11" s="59">
        <v>45758</v>
      </c>
      <c r="F11" s="59">
        <v>45723</v>
      </c>
      <c r="G11" s="59">
        <v>45733</v>
      </c>
    </row>
    <row r="12" spans="1:7" ht="15.75" customHeight="1">
      <c r="A12" s="9" t="s">
        <v>2733</v>
      </c>
      <c r="B12" s="9" t="s">
        <v>1997</v>
      </c>
      <c r="C12" s="9" t="s">
        <v>631</v>
      </c>
      <c r="D12" s="9">
        <v>30</v>
      </c>
      <c r="E12" s="59">
        <v>45758</v>
      </c>
      <c r="F12" s="59">
        <v>45723</v>
      </c>
      <c r="G12" s="59">
        <v>45740</v>
      </c>
    </row>
    <row r="13" spans="1:7" ht="15.75" customHeight="1">
      <c r="A13" s="9" t="s">
        <v>2734</v>
      </c>
      <c r="B13" s="9" t="s">
        <v>1999</v>
      </c>
      <c r="C13" s="9" t="s">
        <v>633</v>
      </c>
      <c r="D13" s="9">
        <v>30</v>
      </c>
      <c r="E13" s="59">
        <v>45758</v>
      </c>
      <c r="F13" s="59">
        <v>45723</v>
      </c>
      <c r="G13" s="59">
        <v>45740</v>
      </c>
    </row>
    <row r="14" spans="1:7" ht="15.75" customHeight="1">
      <c r="A14" s="9" t="s">
        <v>2735</v>
      </c>
      <c r="B14" s="9" t="s">
        <v>50</v>
      </c>
      <c r="C14" s="9" t="s">
        <v>51</v>
      </c>
      <c r="D14" s="9">
        <v>4051</v>
      </c>
      <c r="E14" s="59">
        <v>45757</v>
      </c>
      <c r="F14" s="59">
        <v>45726</v>
      </c>
      <c r="G14" s="59">
        <v>45737</v>
      </c>
    </row>
    <row r="15" spans="1:7" ht="15.75" customHeight="1">
      <c r="A15" s="9" t="s">
        <v>2736</v>
      </c>
      <c r="B15" s="9" t="s">
        <v>1610</v>
      </c>
      <c r="C15" s="9" t="s">
        <v>822</v>
      </c>
      <c r="D15" s="9">
        <v>5000</v>
      </c>
      <c r="E15" s="59">
        <v>45757</v>
      </c>
      <c r="F15" s="59">
        <v>45706</v>
      </c>
      <c r="G15" s="59">
        <v>45637</v>
      </c>
    </row>
    <row r="16" spans="1:7" ht="15.75" customHeight="1">
      <c r="A16" s="9" t="s">
        <v>2737</v>
      </c>
      <c r="B16" s="9" t="s">
        <v>2738</v>
      </c>
      <c r="C16" s="9" t="s">
        <v>2739</v>
      </c>
      <c r="D16" s="9">
        <v>3000</v>
      </c>
      <c r="E16" s="59">
        <v>45779</v>
      </c>
      <c r="F16" s="59">
        <v>45636</v>
      </c>
      <c r="G16" s="59">
        <v>45651</v>
      </c>
    </row>
    <row r="17" spans="1:7" ht="15.75" customHeight="1">
      <c r="A17" s="9" t="s">
        <v>2740</v>
      </c>
      <c r="B17" s="9" t="s">
        <v>234</v>
      </c>
      <c r="C17" s="9" t="s">
        <v>235</v>
      </c>
      <c r="D17" s="9">
        <v>10000</v>
      </c>
      <c r="E17" s="59">
        <v>45758</v>
      </c>
      <c r="F17" s="59">
        <v>45665</v>
      </c>
      <c r="G17" s="59">
        <v>45741</v>
      </c>
    </row>
    <row r="18" spans="1:7" ht="15.75" customHeight="1">
      <c r="A18" s="9" t="s">
        <v>2741</v>
      </c>
      <c r="B18" s="9" t="s">
        <v>2742</v>
      </c>
      <c r="C18" s="9" t="s">
        <v>639</v>
      </c>
      <c r="D18" s="58">
        <v>6000</v>
      </c>
      <c r="E18" s="59">
        <v>45762</v>
      </c>
      <c r="F18" s="59">
        <v>45693</v>
      </c>
      <c r="G18" s="59">
        <v>45734</v>
      </c>
    </row>
    <row r="19" spans="1:7" ht="15.75" customHeight="1">
      <c r="A19" s="9" t="s">
        <v>2743</v>
      </c>
      <c r="B19" s="9" t="s">
        <v>1331</v>
      </c>
      <c r="C19" s="9" t="s">
        <v>578</v>
      </c>
      <c r="D19" s="9">
        <v>3000</v>
      </c>
      <c r="E19" s="59">
        <v>45763</v>
      </c>
      <c r="F19" s="59">
        <v>45722</v>
      </c>
      <c r="G19" s="59">
        <v>45744</v>
      </c>
    </row>
    <row r="20" spans="1:7" ht="15.75" customHeight="1">
      <c r="A20" s="9" t="s">
        <v>2744</v>
      </c>
      <c r="B20" s="9" t="s">
        <v>132</v>
      </c>
      <c r="C20" s="9" t="s">
        <v>133</v>
      </c>
      <c r="D20" s="9">
        <v>10000</v>
      </c>
      <c r="E20" s="59">
        <v>45762</v>
      </c>
      <c r="F20" s="59">
        <v>45721</v>
      </c>
      <c r="G20" s="59">
        <v>45699</v>
      </c>
    </row>
    <row r="21" spans="1:7" ht="15.75" customHeight="1">
      <c r="A21" s="9" t="s">
        <v>2745</v>
      </c>
      <c r="B21" s="9" t="s">
        <v>1237</v>
      </c>
      <c r="C21" s="9" t="s">
        <v>462</v>
      </c>
      <c r="D21" s="9">
        <v>3000</v>
      </c>
      <c r="E21" s="59">
        <v>45758</v>
      </c>
      <c r="F21" s="59">
        <v>45715</v>
      </c>
      <c r="G21" s="59">
        <v>45729</v>
      </c>
    </row>
    <row r="22" spans="1:7" ht="15.75" customHeight="1">
      <c r="A22" s="9" t="s">
        <v>2746</v>
      </c>
      <c r="B22" s="9" t="s">
        <v>1864</v>
      </c>
      <c r="C22" s="9" t="s">
        <v>982</v>
      </c>
      <c r="D22" s="9">
        <v>1000</v>
      </c>
      <c r="E22" s="59">
        <v>45758</v>
      </c>
      <c r="F22" s="59">
        <v>45723</v>
      </c>
      <c r="G22" s="59">
        <v>45747</v>
      </c>
    </row>
    <row r="23" spans="1:7" ht="15.75" customHeight="1">
      <c r="A23" s="9" t="s">
        <v>2747</v>
      </c>
      <c r="B23" s="9" t="s">
        <v>2748</v>
      </c>
      <c r="C23" s="9" t="s">
        <v>2749</v>
      </c>
      <c r="D23" s="9">
        <v>32000</v>
      </c>
      <c r="E23" s="59">
        <v>45782</v>
      </c>
      <c r="F23" s="59">
        <v>45723</v>
      </c>
      <c r="G23" s="59">
        <v>45723</v>
      </c>
    </row>
    <row r="24" spans="1:7" ht="15.75" customHeight="1">
      <c r="A24" s="9" t="s">
        <v>2750</v>
      </c>
      <c r="B24" s="9" t="s">
        <v>2122</v>
      </c>
      <c r="C24" s="9" t="s">
        <v>490</v>
      </c>
      <c r="D24" s="9">
        <v>5000</v>
      </c>
      <c r="E24" s="59">
        <v>45776</v>
      </c>
      <c r="F24" s="59">
        <v>45719</v>
      </c>
      <c r="G24" s="59">
        <v>45740</v>
      </c>
    </row>
    <row r="25" spans="1:7" ht="15.75" customHeight="1">
      <c r="A25" s="9" t="s">
        <v>2751</v>
      </c>
      <c r="B25" s="9" t="s">
        <v>1890</v>
      </c>
      <c r="C25" s="9" t="s">
        <v>944</v>
      </c>
      <c r="D25" s="9">
        <v>3000</v>
      </c>
      <c r="E25" s="59">
        <v>45765</v>
      </c>
      <c r="F25" s="59">
        <v>45715</v>
      </c>
      <c r="G25" s="59">
        <v>45741</v>
      </c>
    </row>
    <row r="26" spans="1:7" ht="15.75" customHeight="1">
      <c r="A26" s="9" t="s">
        <v>2752</v>
      </c>
      <c r="B26" s="9" t="s">
        <v>43</v>
      </c>
      <c r="C26" s="9" t="s">
        <v>44</v>
      </c>
      <c r="D26" s="9">
        <v>6000</v>
      </c>
      <c r="E26" s="59">
        <v>45765</v>
      </c>
      <c r="F26" s="59">
        <v>45723</v>
      </c>
      <c r="G26" s="59">
        <v>45719</v>
      </c>
    </row>
    <row r="27" spans="1:7" ht="15.75" customHeight="1">
      <c r="A27" s="9" t="s">
        <v>2753</v>
      </c>
      <c r="B27" s="9" t="s">
        <v>1335</v>
      </c>
      <c r="C27" s="9" t="s">
        <v>887</v>
      </c>
      <c r="D27" s="9">
        <v>5000</v>
      </c>
      <c r="E27" s="59">
        <v>45765</v>
      </c>
      <c r="F27" s="59">
        <v>45730</v>
      </c>
      <c r="G27" s="59">
        <v>45747</v>
      </c>
    </row>
    <row r="28" spans="1:7" ht="15.75" customHeight="1">
      <c r="A28" s="9" t="s">
        <v>2754</v>
      </c>
      <c r="B28" s="9" t="s">
        <v>111</v>
      </c>
      <c r="C28" s="9" t="s">
        <v>112</v>
      </c>
      <c r="D28" s="9">
        <v>5000</v>
      </c>
      <c r="E28" s="59">
        <v>45770</v>
      </c>
      <c r="F28" s="59">
        <v>45719</v>
      </c>
      <c r="G28" s="59">
        <v>45754</v>
      </c>
    </row>
    <row r="29" spans="1:7" ht="15.75" customHeight="1">
      <c r="A29" s="9" t="s">
        <v>2755</v>
      </c>
      <c r="B29" s="9" t="s">
        <v>2026</v>
      </c>
      <c r="C29" s="9" t="s">
        <v>481</v>
      </c>
      <c r="D29" s="9">
        <v>10000</v>
      </c>
      <c r="E29" s="59">
        <v>45772</v>
      </c>
      <c r="F29" s="59">
        <v>45748</v>
      </c>
      <c r="G29" s="59">
        <v>45734</v>
      </c>
    </row>
    <row r="30" spans="1:7" ht="15.75" customHeight="1">
      <c r="A30" s="9" t="s">
        <v>2756</v>
      </c>
      <c r="B30" s="9" t="s">
        <v>316</v>
      </c>
      <c r="C30" s="9" t="s">
        <v>317</v>
      </c>
      <c r="D30" s="9">
        <v>3000</v>
      </c>
      <c r="E30" s="59">
        <v>45772</v>
      </c>
      <c r="F30" s="59">
        <v>45722</v>
      </c>
      <c r="G30" s="59">
        <v>45708</v>
      </c>
    </row>
    <row r="31" spans="1:7" ht="15.75" customHeight="1">
      <c r="A31" s="9" t="s">
        <v>2757</v>
      </c>
      <c r="B31" s="9" t="s">
        <v>2032</v>
      </c>
      <c r="C31" s="9" t="s">
        <v>477</v>
      </c>
      <c r="D31" s="9">
        <v>9500</v>
      </c>
      <c r="E31" s="59">
        <v>45772</v>
      </c>
      <c r="F31" s="59">
        <v>45748</v>
      </c>
      <c r="G31" s="59">
        <v>45733</v>
      </c>
    </row>
    <row r="32" spans="1:7" ht="15.75" customHeight="1">
      <c r="A32" s="9" t="s">
        <v>2758</v>
      </c>
      <c r="B32" s="9" t="s">
        <v>117</v>
      </c>
      <c r="C32" s="9" t="s">
        <v>118</v>
      </c>
      <c r="D32" s="9">
        <v>3000</v>
      </c>
      <c r="E32" s="59">
        <v>45772</v>
      </c>
      <c r="F32" s="59">
        <v>45748</v>
      </c>
      <c r="G32" s="59">
        <v>45734</v>
      </c>
    </row>
    <row r="33" spans="1:7" ht="15.75" customHeight="1">
      <c r="A33" s="9" t="s">
        <v>2759</v>
      </c>
      <c r="B33" s="9" t="s">
        <v>2760</v>
      </c>
      <c r="C33" s="9" t="s">
        <v>2761</v>
      </c>
      <c r="D33" s="9">
        <v>3000</v>
      </c>
      <c r="E33" s="59">
        <v>45772</v>
      </c>
      <c r="F33" s="59">
        <v>45723</v>
      </c>
      <c r="G33" s="59">
        <v>45737</v>
      </c>
    </row>
    <row r="34" spans="1:7" ht="15.75" customHeight="1">
      <c r="A34" s="9" t="s">
        <v>2762</v>
      </c>
      <c r="B34" s="9" t="s">
        <v>2763</v>
      </c>
      <c r="C34" s="9" t="s">
        <v>2764</v>
      </c>
      <c r="D34" s="9">
        <v>15.6</v>
      </c>
      <c r="E34" s="59">
        <v>45772</v>
      </c>
      <c r="F34" s="59">
        <v>45723</v>
      </c>
      <c r="G34" s="9" t="s">
        <v>2724</v>
      </c>
    </row>
    <row r="35" spans="1:7" ht="15.75" customHeight="1">
      <c r="A35" s="9" t="s">
        <v>2765</v>
      </c>
      <c r="B35" s="9" t="s">
        <v>1992</v>
      </c>
      <c r="C35" s="9" t="s">
        <v>649</v>
      </c>
      <c r="D35" s="9">
        <v>4000</v>
      </c>
      <c r="E35" s="59">
        <v>45782</v>
      </c>
      <c r="F35" s="59">
        <v>45702</v>
      </c>
      <c r="G35" s="59">
        <v>45733</v>
      </c>
    </row>
    <row r="36" spans="1:7" ht="15.75" customHeight="1">
      <c r="A36" s="9" t="s">
        <v>2766</v>
      </c>
      <c r="B36" s="9" t="s">
        <v>1892</v>
      </c>
      <c r="C36" s="9" t="s">
        <v>1894</v>
      </c>
      <c r="D36" s="9">
        <v>5000</v>
      </c>
      <c r="E36" s="59">
        <v>45772</v>
      </c>
      <c r="F36" s="59">
        <v>45708</v>
      </c>
      <c r="G36" s="59">
        <v>45754</v>
      </c>
    </row>
    <row r="37" spans="1:7" ht="15.75" customHeight="1">
      <c r="A37" s="9" t="s">
        <v>2767</v>
      </c>
      <c r="B37" s="9" t="s">
        <v>2768</v>
      </c>
      <c r="C37" s="9" t="s">
        <v>2769</v>
      </c>
      <c r="D37" s="9">
        <v>18800</v>
      </c>
      <c r="E37" s="59">
        <v>45782</v>
      </c>
      <c r="F37" s="59">
        <v>45734</v>
      </c>
      <c r="G37" s="59">
        <v>45734</v>
      </c>
    </row>
    <row r="38" spans="1:7" ht="15.75" customHeight="1">
      <c r="A38" s="9" t="s">
        <v>2770</v>
      </c>
      <c r="B38" s="9" t="s">
        <v>1985</v>
      </c>
      <c r="C38" s="9" t="s">
        <v>635</v>
      </c>
      <c r="D38" s="9">
        <v>30000</v>
      </c>
      <c r="E38" s="59">
        <v>45789</v>
      </c>
      <c r="F38" s="59">
        <v>45734</v>
      </c>
      <c r="G38" s="59">
        <v>45743</v>
      </c>
    </row>
    <row r="39" spans="1:7" ht="15.75" customHeight="1">
      <c r="A39" s="9" t="s">
        <v>2771</v>
      </c>
      <c r="B39" s="9" t="s">
        <v>1145</v>
      </c>
      <c r="C39" s="9" t="s">
        <v>812</v>
      </c>
      <c r="D39" s="9">
        <v>1000</v>
      </c>
      <c r="E39" s="59">
        <v>45777</v>
      </c>
      <c r="F39" s="59">
        <v>45744</v>
      </c>
      <c r="G39" s="59">
        <v>45757</v>
      </c>
    </row>
    <row r="40" spans="1:7" ht="15.75" customHeight="1">
      <c r="A40" s="9" t="s">
        <v>2772</v>
      </c>
      <c r="B40" s="9" t="s">
        <v>1150</v>
      </c>
      <c r="C40" s="9" t="s">
        <v>621</v>
      </c>
      <c r="D40" s="9">
        <v>1000</v>
      </c>
      <c r="E40" s="59">
        <v>45777</v>
      </c>
      <c r="F40" s="59">
        <v>45744</v>
      </c>
      <c r="G40" s="59">
        <v>45757</v>
      </c>
    </row>
    <row r="41" spans="1:7" ht="15.75" customHeight="1">
      <c r="A41" s="9" t="s">
        <v>2773</v>
      </c>
      <c r="B41" s="9" t="s">
        <v>1155</v>
      </c>
      <c r="C41" s="9" t="s">
        <v>629</v>
      </c>
      <c r="D41" s="9">
        <v>1000</v>
      </c>
      <c r="E41" s="59">
        <v>45777</v>
      </c>
      <c r="F41" s="59">
        <v>45744</v>
      </c>
      <c r="G41" s="59">
        <v>45757</v>
      </c>
    </row>
    <row r="42" spans="1:7" ht="15.75" customHeight="1">
      <c r="A42" s="9" t="s">
        <v>2774</v>
      </c>
      <c r="B42" s="9" t="s">
        <v>1167</v>
      </c>
      <c r="C42" s="9" t="s">
        <v>713</v>
      </c>
      <c r="D42" s="9">
        <v>1000</v>
      </c>
      <c r="E42" s="59">
        <v>45777</v>
      </c>
      <c r="F42" s="59">
        <v>45744</v>
      </c>
      <c r="G42" s="59">
        <v>45757</v>
      </c>
    </row>
    <row r="43" spans="1:7" ht="15.75" customHeight="1">
      <c r="A43" s="9" t="s">
        <v>2775</v>
      </c>
      <c r="B43" s="9" t="s">
        <v>1845</v>
      </c>
      <c r="C43" s="9" t="s">
        <v>745</v>
      </c>
      <c r="D43" s="9">
        <v>695</v>
      </c>
      <c r="E43" s="59">
        <v>45777</v>
      </c>
      <c r="F43" s="59">
        <v>45754</v>
      </c>
      <c r="G43" s="59">
        <v>45737</v>
      </c>
    </row>
    <row r="44" spans="1:7" ht="15.75" customHeight="1">
      <c r="A44" s="9" t="s">
        <v>2776</v>
      </c>
      <c r="B44" s="9" t="s">
        <v>1843</v>
      </c>
      <c r="C44" s="9" t="s">
        <v>803</v>
      </c>
      <c r="D44" s="9">
        <v>400</v>
      </c>
      <c r="E44" s="59">
        <v>45777</v>
      </c>
      <c r="F44" s="59">
        <v>45762</v>
      </c>
      <c r="G44" s="59">
        <v>45761</v>
      </c>
    </row>
    <row r="45" spans="1:7" ht="15.75" customHeight="1">
      <c r="A45" s="9" t="s">
        <v>2777</v>
      </c>
      <c r="B45" s="9" t="s">
        <v>1836</v>
      </c>
      <c r="C45" s="9" t="s">
        <v>743</v>
      </c>
      <c r="D45" s="9">
        <v>599</v>
      </c>
      <c r="E45" s="59">
        <v>45777</v>
      </c>
      <c r="F45" s="59">
        <v>45735</v>
      </c>
      <c r="G45" s="59">
        <v>45737</v>
      </c>
    </row>
    <row r="46" spans="1:7" ht="15.75" customHeight="1">
      <c r="A46" s="9" t="s">
        <v>2778</v>
      </c>
      <c r="B46" s="9" t="s">
        <v>1838</v>
      </c>
      <c r="C46" s="9" t="s">
        <v>741</v>
      </c>
      <c r="D46" s="9">
        <v>500</v>
      </c>
      <c r="E46" s="59">
        <v>45777</v>
      </c>
      <c r="F46" s="59">
        <v>45761</v>
      </c>
      <c r="G46" s="59">
        <v>45736</v>
      </c>
    </row>
    <row r="47" spans="1:7" ht="15.75" customHeight="1">
      <c r="A47" s="9" t="s">
        <v>2779</v>
      </c>
      <c r="B47" s="9" t="s">
        <v>1997</v>
      </c>
      <c r="C47" s="9" t="s">
        <v>631</v>
      </c>
      <c r="D47" s="9">
        <v>30000</v>
      </c>
      <c r="E47" s="59">
        <v>45782</v>
      </c>
      <c r="F47" s="59">
        <v>45723</v>
      </c>
      <c r="G47" s="59">
        <v>45740</v>
      </c>
    </row>
    <row r="48" spans="1:7" ht="15.75" customHeight="1">
      <c r="A48" s="9" t="s">
        <v>2780</v>
      </c>
      <c r="B48" s="9" t="s">
        <v>1962</v>
      </c>
      <c r="C48" s="9" t="s">
        <v>665</v>
      </c>
      <c r="D48" s="58">
        <v>24000</v>
      </c>
      <c r="E48" s="59">
        <v>45782</v>
      </c>
      <c r="F48" s="59">
        <v>45702</v>
      </c>
      <c r="G48" s="59">
        <v>45730</v>
      </c>
    </row>
    <row r="49" spans="1:7" ht="15.75" customHeight="1">
      <c r="A49" s="9" t="s">
        <v>2781</v>
      </c>
      <c r="B49" s="9" t="s">
        <v>1966</v>
      </c>
      <c r="C49" s="9" t="s">
        <v>663</v>
      </c>
      <c r="D49" s="58">
        <v>20000</v>
      </c>
      <c r="E49" s="59">
        <v>45782</v>
      </c>
      <c r="F49" s="59">
        <v>45723</v>
      </c>
      <c r="G49" s="59">
        <v>45734</v>
      </c>
    </row>
    <row r="50" spans="1:7" ht="15.75" customHeight="1">
      <c r="A50" s="9" t="s">
        <v>2782</v>
      </c>
      <c r="B50" s="9" t="s">
        <v>2783</v>
      </c>
      <c r="C50" s="9" t="s">
        <v>2784</v>
      </c>
      <c r="D50" s="58">
        <v>5000</v>
      </c>
      <c r="E50" s="59">
        <v>45783</v>
      </c>
      <c r="F50" s="59">
        <v>45729</v>
      </c>
      <c r="G50" s="59">
        <v>45733</v>
      </c>
    </row>
    <row r="51" spans="1:7" ht="15.75" customHeight="1">
      <c r="A51" s="9" t="s">
        <v>2785</v>
      </c>
      <c r="B51" s="9" t="s">
        <v>181</v>
      </c>
      <c r="C51" s="9" t="s">
        <v>182</v>
      </c>
      <c r="D51" s="9">
        <v>5000</v>
      </c>
      <c r="E51" s="59">
        <v>45782</v>
      </c>
      <c r="F51" s="59">
        <v>45729</v>
      </c>
      <c r="G51" s="59">
        <v>45726</v>
      </c>
    </row>
    <row r="52" spans="1:7" ht="15.75" customHeight="1">
      <c r="A52" s="9" t="s">
        <v>2786</v>
      </c>
      <c r="B52" s="9" t="s">
        <v>1801</v>
      </c>
      <c r="C52" s="9" t="s">
        <v>959</v>
      </c>
      <c r="D52" s="9">
        <v>5000</v>
      </c>
      <c r="E52" s="59">
        <v>45782</v>
      </c>
      <c r="F52" s="59">
        <v>45729</v>
      </c>
      <c r="G52" s="59">
        <v>45743</v>
      </c>
    </row>
    <row r="53" spans="1:7" ht="15.75" customHeight="1">
      <c r="A53" s="9" t="s">
        <v>2787</v>
      </c>
      <c r="B53" s="9" t="s">
        <v>50</v>
      </c>
      <c r="C53" s="9" t="s">
        <v>51</v>
      </c>
      <c r="D53" s="9">
        <v>3680</v>
      </c>
      <c r="E53" s="59">
        <v>45783</v>
      </c>
      <c r="F53" s="59">
        <v>45726</v>
      </c>
      <c r="G53" s="59">
        <v>45737</v>
      </c>
    </row>
    <row r="54" spans="1:7" ht="15.75" customHeight="1">
      <c r="A54" s="9" t="s">
        <v>2788</v>
      </c>
      <c r="B54" s="9" t="s">
        <v>279</v>
      </c>
      <c r="C54" s="9" t="s">
        <v>280</v>
      </c>
      <c r="D54" s="9">
        <v>1680</v>
      </c>
      <c r="E54" s="59">
        <v>45783</v>
      </c>
      <c r="F54" s="59">
        <v>45726</v>
      </c>
      <c r="G54" s="59">
        <v>45749</v>
      </c>
    </row>
    <row r="55" spans="1:7" ht="15.75" customHeight="1">
      <c r="A55" s="9" t="s">
        <v>2789</v>
      </c>
      <c r="B55" s="9" t="s">
        <v>123</v>
      </c>
      <c r="C55" s="9" t="s">
        <v>124</v>
      </c>
      <c r="D55" s="9">
        <v>5000</v>
      </c>
      <c r="E55" s="59">
        <v>45783</v>
      </c>
      <c r="F55" s="59">
        <v>45757</v>
      </c>
      <c r="G55" s="59">
        <v>45757</v>
      </c>
    </row>
    <row r="56" spans="1:7" ht="15.75" customHeight="1">
      <c r="A56" s="9" t="s">
        <v>2790</v>
      </c>
      <c r="B56" s="9" t="s">
        <v>173</v>
      </c>
      <c r="C56" s="9" t="s">
        <v>174</v>
      </c>
      <c r="D56" s="9">
        <v>1373</v>
      </c>
      <c r="E56" s="59">
        <v>45783</v>
      </c>
      <c r="F56" s="59">
        <v>45734</v>
      </c>
      <c r="G56" s="59">
        <v>45708</v>
      </c>
    </row>
    <row r="57" spans="1:7" ht="15.75" customHeight="1">
      <c r="A57" s="9" t="s">
        <v>2791</v>
      </c>
      <c r="B57" s="9" t="s">
        <v>1768</v>
      </c>
      <c r="C57" s="9" t="s">
        <v>613</v>
      </c>
      <c r="D57" s="9">
        <v>1500</v>
      </c>
      <c r="E57" s="59">
        <v>45779</v>
      </c>
      <c r="F57" s="59">
        <v>45734</v>
      </c>
      <c r="G57" s="59">
        <v>45757</v>
      </c>
    </row>
    <row r="58" spans="1:7" ht="15.75" customHeight="1">
      <c r="A58" s="9" t="s">
        <v>2792</v>
      </c>
      <c r="B58" s="9" t="s">
        <v>1589</v>
      </c>
      <c r="C58" s="9" t="s">
        <v>826</v>
      </c>
      <c r="D58" s="9">
        <v>5000</v>
      </c>
      <c r="E58" s="59">
        <v>45782</v>
      </c>
      <c r="F58" s="59">
        <v>45749</v>
      </c>
      <c r="G58" s="59">
        <v>45761</v>
      </c>
    </row>
    <row r="59" spans="1:7" ht="15.75" customHeight="1">
      <c r="A59" s="9" t="s">
        <v>2793</v>
      </c>
      <c r="B59" s="9" t="s">
        <v>1597</v>
      </c>
      <c r="C59" s="9" t="s">
        <v>750</v>
      </c>
      <c r="D59" s="9">
        <v>5000</v>
      </c>
      <c r="E59" s="59">
        <v>45782</v>
      </c>
      <c r="F59" s="59">
        <v>45733</v>
      </c>
      <c r="G59" s="59">
        <v>45769</v>
      </c>
    </row>
    <row r="60" spans="1:7" ht="15.75" customHeight="1">
      <c r="A60" s="9" t="s">
        <v>2794</v>
      </c>
      <c r="B60" s="9" t="s">
        <v>1702</v>
      </c>
      <c r="C60" s="9" t="s">
        <v>530</v>
      </c>
      <c r="D60" s="9">
        <v>1062</v>
      </c>
      <c r="E60" s="59">
        <v>45777</v>
      </c>
      <c r="F60" s="59">
        <v>45729</v>
      </c>
      <c r="G60" s="59">
        <v>45722</v>
      </c>
    </row>
    <row r="61" spans="1:7" ht="15.75" customHeight="1">
      <c r="A61" s="9" t="s">
        <v>2795</v>
      </c>
      <c r="B61" s="9" t="s">
        <v>1165</v>
      </c>
      <c r="C61" s="9" t="s">
        <v>627</v>
      </c>
      <c r="D61" s="9">
        <v>1000</v>
      </c>
      <c r="E61" s="59">
        <v>45783</v>
      </c>
      <c r="F61" s="59">
        <v>45768</v>
      </c>
      <c r="G61" s="59">
        <v>45757</v>
      </c>
    </row>
    <row r="62" spans="1:7" ht="15.75" customHeight="1">
      <c r="A62" s="9" t="s">
        <v>2796</v>
      </c>
      <c r="B62" s="9" t="s">
        <v>1158</v>
      </c>
      <c r="C62" s="9" t="s">
        <v>667</v>
      </c>
      <c r="D62" s="9">
        <v>1000</v>
      </c>
      <c r="E62" s="59">
        <v>45783</v>
      </c>
      <c r="F62" s="59">
        <v>45744</v>
      </c>
      <c r="G62" s="59">
        <v>45757</v>
      </c>
    </row>
    <row r="63" spans="1:7" ht="15.75" customHeight="1">
      <c r="A63" s="9" t="s">
        <v>2797</v>
      </c>
      <c r="B63" s="9" t="s">
        <v>1160</v>
      </c>
      <c r="C63" s="9" t="s">
        <v>831</v>
      </c>
      <c r="D63" s="9">
        <v>1000</v>
      </c>
      <c r="E63" s="59">
        <v>45783</v>
      </c>
      <c r="F63" s="59">
        <v>45751</v>
      </c>
      <c r="G63" s="59">
        <v>45757</v>
      </c>
    </row>
    <row r="64" spans="1:7" ht="15.75" customHeight="1">
      <c r="A64" s="9" t="s">
        <v>2798</v>
      </c>
      <c r="B64" s="9" t="s">
        <v>1317</v>
      </c>
      <c r="C64" s="9" t="s">
        <v>883</v>
      </c>
      <c r="D64" s="9">
        <v>3000</v>
      </c>
      <c r="E64" s="59">
        <v>45779</v>
      </c>
      <c r="F64" s="59">
        <v>45762</v>
      </c>
      <c r="G64" s="59">
        <v>45740</v>
      </c>
    </row>
    <row r="65" spans="1:7" ht="15.75" customHeight="1">
      <c r="A65" s="9" t="s">
        <v>2799</v>
      </c>
      <c r="B65" s="9" t="s">
        <v>1656</v>
      </c>
      <c r="C65" s="9" t="s">
        <v>851</v>
      </c>
      <c r="D65" s="9">
        <v>1000</v>
      </c>
      <c r="E65" s="59">
        <v>45785</v>
      </c>
      <c r="F65" s="59">
        <v>45734</v>
      </c>
      <c r="G65" s="59">
        <v>45754</v>
      </c>
    </row>
    <row r="66" spans="1:7" ht="15.75" customHeight="1">
      <c r="A66" s="9" t="s">
        <v>2800</v>
      </c>
      <c r="B66" s="9" t="s">
        <v>237</v>
      </c>
      <c r="C66" s="9" t="s">
        <v>238</v>
      </c>
      <c r="D66" s="9">
        <v>6000</v>
      </c>
      <c r="E66" s="59">
        <v>45785</v>
      </c>
      <c r="F66" s="59">
        <v>45709</v>
      </c>
      <c r="G66" s="59">
        <v>45740</v>
      </c>
    </row>
    <row r="67" spans="1:7" ht="15.75" customHeight="1">
      <c r="A67" s="9" t="s">
        <v>2801</v>
      </c>
      <c r="B67" s="9" t="s">
        <v>2126</v>
      </c>
      <c r="C67" s="9" t="s">
        <v>460</v>
      </c>
      <c r="D67" s="9">
        <v>6000</v>
      </c>
      <c r="E67" s="59">
        <v>45785</v>
      </c>
      <c r="F67" s="59">
        <v>45715</v>
      </c>
      <c r="G67" s="59">
        <v>45734</v>
      </c>
    </row>
    <row r="68" spans="1:7" ht="15.75" customHeight="1">
      <c r="A68" s="9" t="s">
        <v>2802</v>
      </c>
      <c r="B68" s="9" t="s">
        <v>1684</v>
      </c>
      <c r="C68" s="9" t="s">
        <v>523</v>
      </c>
      <c r="D68" s="9">
        <v>3000</v>
      </c>
      <c r="E68" s="59">
        <v>45785</v>
      </c>
      <c r="F68" s="59">
        <v>45765</v>
      </c>
      <c r="G68" s="59">
        <v>45772</v>
      </c>
    </row>
    <row r="69" spans="1:7" ht="15.75" customHeight="1">
      <c r="A69" s="9" t="s">
        <v>2803</v>
      </c>
      <c r="B69" s="9" t="s">
        <v>2804</v>
      </c>
      <c r="C69" s="9" t="s">
        <v>2805</v>
      </c>
      <c r="D69" s="9">
        <v>200</v>
      </c>
      <c r="E69" s="59">
        <v>45786</v>
      </c>
      <c r="F69" s="59">
        <v>45768</v>
      </c>
      <c r="G69" s="59">
        <v>45762</v>
      </c>
    </row>
    <row r="70" spans="1:7" ht="15.75" customHeight="1">
      <c r="A70" s="9" t="s">
        <v>2806</v>
      </c>
      <c r="B70" s="9" t="s">
        <v>79</v>
      </c>
      <c r="C70" s="9" t="s">
        <v>80</v>
      </c>
      <c r="D70" s="9">
        <v>2500</v>
      </c>
      <c r="E70" s="59">
        <v>45786</v>
      </c>
      <c r="F70" s="59">
        <v>45740</v>
      </c>
      <c r="G70" s="59">
        <v>45726</v>
      </c>
    </row>
    <row r="71" spans="1:7" ht="15.75" customHeight="1">
      <c r="A71" s="9" t="s">
        <v>2807</v>
      </c>
      <c r="B71" s="9" t="s">
        <v>2141</v>
      </c>
      <c r="C71" s="9" t="s">
        <v>2142</v>
      </c>
      <c r="D71" s="9">
        <v>11000</v>
      </c>
      <c r="E71" s="59">
        <v>45786</v>
      </c>
      <c r="F71" s="59">
        <v>45740</v>
      </c>
      <c r="G71" s="59">
        <v>45765</v>
      </c>
    </row>
    <row r="72" spans="1:7" ht="15.75" customHeight="1">
      <c r="A72" s="9" t="s">
        <v>2808</v>
      </c>
      <c r="B72" s="9" t="s">
        <v>1957</v>
      </c>
      <c r="C72" s="9" t="s">
        <v>724</v>
      </c>
      <c r="D72" s="9">
        <v>5000</v>
      </c>
      <c r="E72" s="59">
        <v>45786</v>
      </c>
      <c r="F72" s="59">
        <v>45744</v>
      </c>
      <c r="G72" s="59">
        <v>45755</v>
      </c>
    </row>
    <row r="73" spans="1:7" ht="15.75" customHeight="1">
      <c r="A73" s="9" t="s">
        <v>2809</v>
      </c>
      <c r="B73" s="9" t="s">
        <v>1117</v>
      </c>
      <c r="C73" s="9" t="s">
        <v>774</v>
      </c>
      <c r="D73" s="9">
        <v>200</v>
      </c>
      <c r="E73" s="59">
        <v>45786</v>
      </c>
      <c r="F73" s="59">
        <v>45768</v>
      </c>
      <c r="G73" s="59">
        <v>45762</v>
      </c>
    </row>
    <row r="74" spans="1:7" ht="15.75" customHeight="1">
      <c r="A74" s="9" t="s">
        <v>2810</v>
      </c>
      <c r="B74" s="9" t="s">
        <v>1092</v>
      </c>
      <c r="C74" s="9" t="s">
        <v>763</v>
      </c>
      <c r="D74" s="9">
        <v>2500</v>
      </c>
      <c r="E74" s="59">
        <v>45786</v>
      </c>
      <c r="F74" s="59">
        <v>45695</v>
      </c>
      <c r="G74" s="59">
        <v>45695</v>
      </c>
    </row>
    <row r="75" spans="1:7" ht="15.75" customHeight="1">
      <c r="A75" s="9" t="s">
        <v>2811</v>
      </c>
      <c r="B75" s="9" t="s">
        <v>1675</v>
      </c>
      <c r="C75" s="9" t="s">
        <v>814</v>
      </c>
      <c r="D75" s="9">
        <v>3000</v>
      </c>
      <c r="E75" s="59">
        <v>45786</v>
      </c>
      <c r="F75" s="59">
        <v>45765</v>
      </c>
      <c r="G75" s="59">
        <v>45761</v>
      </c>
    </row>
    <row r="76" spans="1:7" ht="15.75" customHeight="1">
      <c r="A76" s="9" t="s">
        <v>2812</v>
      </c>
      <c r="B76" s="9" t="s">
        <v>1326</v>
      </c>
      <c r="C76" s="9" t="s">
        <v>966</v>
      </c>
      <c r="D76" s="9">
        <v>3000</v>
      </c>
      <c r="E76" s="59">
        <v>45789</v>
      </c>
      <c r="F76" s="59">
        <v>45729</v>
      </c>
      <c r="G76" s="59">
        <v>45757</v>
      </c>
    </row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2" type="noConversion"/>
  <conditionalFormatting sqref="A1">
    <cfRule type="notContainsBlanks" dxfId="0" priority="1">
      <formula>LEN(TRIM(A1))&gt;0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I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61" ht="15.7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</row>
    <row r="2" spans="1:61" ht="15.75" customHeight="1">
      <c r="A2" s="60" t="s">
        <v>0</v>
      </c>
      <c r="B2" s="60" t="s">
        <v>2813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60" t="s">
        <v>0</v>
      </c>
      <c r="N2" s="60" t="s">
        <v>2813</v>
      </c>
      <c r="O2" s="12"/>
      <c r="P2" s="12"/>
      <c r="Q2" s="12"/>
      <c r="R2" s="12"/>
      <c r="S2" s="12"/>
      <c r="T2" s="12"/>
      <c r="U2" s="60" t="s">
        <v>0</v>
      </c>
      <c r="V2" s="60" t="s">
        <v>2813</v>
      </c>
      <c r="W2" s="12"/>
      <c r="X2" s="12"/>
      <c r="Y2" s="12"/>
      <c r="Z2" s="12"/>
      <c r="AA2" s="12"/>
      <c r="AB2" s="60" t="s">
        <v>0</v>
      </c>
      <c r="AC2" s="60" t="s">
        <v>2813</v>
      </c>
      <c r="AD2" s="12"/>
      <c r="AE2" s="12"/>
      <c r="AF2" s="12"/>
      <c r="AG2" s="12"/>
      <c r="AH2" s="12"/>
      <c r="AI2" s="12"/>
      <c r="AJ2" s="60" t="s">
        <v>0</v>
      </c>
      <c r="AK2" s="60" t="s">
        <v>2813</v>
      </c>
      <c r="AL2" s="12"/>
      <c r="AM2" s="12"/>
      <c r="AN2" s="12"/>
      <c r="AO2" s="12"/>
      <c r="AP2" s="12"/>
      <c r="AQ2" s="12"/>
      <c r="AR2" s="60" t="s">
        <v>0</v>
      </c>
      <c r="AS2" s="60" t="s">
        <v>2813</v>
      </c>
      <c r="AT2" s="12"/>
      <c r="AU2" s="12"/>
      <c r="AV2" s="12"/>
      <c r="AW2" s="12"/>
      <c r="AX2" s="12"/>
      <c r="AY2" s="61" t="s">
        <v>2814</v>
      </c>
      <c r="AZ2" s="62" t="s">
        <v>2815</v>
      </c>
      <c r="BA2" s="62"/>
      <c r="BB2" s="140" t="s">
        <v>2816</v>
      </c>
      <c r="BC2" s="141"/>
      <c r="BD2" s="61"/>
      <c r="BE2" s="61"/>
      <c r="BF2" s="61"/>
      <c r="BG2" s="61"/>
      <c r="BH2" s="12"/>
      <c r="BI2" s="12"/>
    </row>
    <row r="3" spans="1:61" ht="15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61" t="s">
        <v>2817</v>
      </c>
      <c r="AZ3" s="61" t="s">
        <v>368</v>
      </c>
      <c r="BA3" s="61" t="s">
        <v>2818</v>
      </c>
      <c r="BB3" s="63" t="s">
        <v>368</v>
      </c>
      <c r="BC3" s="61" t="s">
        <v>2818</v>
      </c>
      <c r="BD3" s="61" t="s">
        <v>2819</v>
      </c>
      <c r="BE3" s="61" t="s">
        <v>2820</v>
      </c>
      <c r="BF3" s="61" t="s">
        <v>2821</v>
      </c>
      <c r="BG3" s="61" t="s">
        <v>2822</v>
      </c>
      <c r="BH3" s="12"/>
      <c r="BI3" s="12"/>
    </row>
    <row r="4" spans="1:61" ht="15.75" customHeight="1">
      <c r="A4" s="142" t="s">
        <v>2823</v>
      </c>
      <c r="B4" s="141"/>
      <c r="C4" s="64" t="s">
        <v>2824</v>
      </c>
      <c r="D4" s="64"/>
      <c r="E4" s="64"/>
      <c r="F4" s="64"/>
      <c r="G4" s="12"/>
      <c r="H4" s="12"/>
      <c r="I4" s="12"/>
      <c r="J4" s="12"/>
      <c r="K4" s="12"/>
      <c r="L4" s="12"/>
      <c r="M4" s="142" t="s">
        <v>2823</v>
      </c>
      <c r="N4" s="141"/>
      <c r="O4" s="64" t="s">
        <v>2824</v>
      </c>
      <c r="P4" s="64"/>
      <c r="Q4" s="12"/>
      <c r="R4" s="12"/>
      <c r="S4" s="12"/>
      <c r="T4" s="12"/>
      <c r="U4" s="142" t="s">
        <v>2823</v>
      </c>
      <c r="V4" s="141"/>
      <c r="W4" s="64" t="s">
        <v>2824</v>
      </c>
      <c r="X4" s="64"/>
      <c r="Y4" s="12"/>
      <c r="Z4" s="12"/>
      <c r="AA4" s="12"/>
      <c r="AB4" s="142" t="s">
        <v>2823</v>
      </c>
      <c r="AC4" s="141"/>
      <c r="AD4" s="64" t="s">
        <v>2824</v>
      </c>
      <c r="AE4" s="64"/>
      <c r="AF4" s="12"/>
      <c r="AG4" s="12"/>
      <c r="AH4" s="12"/>
      <c r="AI4" s="12"/>
      <c r="AJ4" s="142" t="s">
        <v>2823</v>
      </c>
      <c r="AK4" s="141"/>
      <c r="AL4" s="64" t="s">
        <v>2824</v>
      </c>
      <c r="AM4" s="64"/>
      <c r="AN4" s="12"/>
      <c r="AO4" s="12"/>
      <c r="AP4" s="12"/>
      <c r="AQ4" s="12"/>
      <c r="AR4" s="142" t="s">
        <v>2823</v>
      </c>
      <c r="AS4" s="141"/>
      <c r="AT4" s="64" t="s">
        <v>2824</v>
      </c>
      <c r="AU4" s="64"/>
      <c r="AV4" s="12"/>
      <c r="AW4" s="12"/>
      <c r="AX4" s="12"/>
      <c r="AY4" s="65" t="s">
        <v>2825</v>
      </c>
      <c r="AZ4" s="65">
        <v>55</v>
      </c>
      <c r="BA4" s="66">
        <v>1273</v>
      </c>
      <c r="BB4" s="65">
        <v>330</v>
      </c>
      <c r="BC4" s="66">
        <v>5111</v>
      </c>
      <c r="BD4" s="67">
        <f t="shared" ref="BD4:BD118" si="0">BB4-AZ4</f>
        <v>275</v>
      </c>
      <c r="BE4" s="68">
        <f t="shared" ref="BE4:BE118" si="1">BD4/AZ4</f>
        <v>5</v>
      </c>
      <c r="BF4" s="69">
        <f t="shared" ref="BF4:BF118" si="2">BC4-BA4</f>
        <v>3838</v>
      </c>
      <c r="BG4" s="68">
        <f t="shared" ref="BG4:BG118" si="3">BF4/BA4</f>
        <v>3.0149253731343282</v>
      </c>
      <c r="BH4" s="21" t="s">
        <v>2826</v>
      </c>
      <c r="BI4" s="12"/>
    </row>
    <row r="5" spans="1:61" ht="15.75" customHeight="1">
      <c r="A5" s="70" t="s">
        <v>2827</v>
      </c>
      <c r="B5" s="70" t="s">
        <v>358</v>
      </c>
      <c r="C5" s="71" t="s">
        <v>12</v>
      </c>
      <c r="D5" s="71" t="s">
        <v>13</v>
      </c>
      <c r="E5" s="71" t="s">
        <v>11</v>
      </c>
      <c r="F5" s="70" t="s">
        <v>2828</v>
      </c>
      <c r="G5" s="12" t="s">
        <v>2829</v>
      </c>
      <c r="H5" s="12" t="s">
        <v>2830</v>
      </c>
      <c r="I5" s="12"/>
      <c r="J5" s="12"/>
      <c r="K5" s="12"/>
      <c r="L5" s="12"/>
      <c r="M5" s="70" t="s">
        <v>2827</v>
      </c>
      <c r="N5" s="70" t="s">
        <v>358</v>
      </c>
      <c r="O5" s="71" t="s">
        <v>368</v>
      </c>
      <c r="P5" s="70" t="s">
        <v>2828</v>
      </c>
      <c r="Q5" s="12" t="s">
        <v>2831</v>
      </c>
      <c r="R5" s="12" t="s">
        <v>2832</v>
      </c>
      <c r="S5" s="12"/>
      <c r="T5" s="12"/>
      <c r="U5" s="70" t="s">
        <v>2827</v>
      </c>
      <c r="V5" s="70" t="s">
        <v>358</v>
      </c>
      <c r="W5" s="71" t="s">
        <v>484</v>
      </c>
      <c r="X5" s="70" t="s">
        <v>2828</v>
      </c>
      <c r="Y5" s="12" t="s">
        <v>2829</v>
      </c>
      <c r="Z5" s="12" t="s">
        <v>2833</v>
      </c>
      <c r="AA5" s="12"/>
      <c r="AB5" s="70" t="s">
        <v>2827</v>
      </c>
      <c r="AC5" s="70" t="s">
        <v>358</v>
      </c>
      <c r="AD5" s="71" t="s">
        <v>439</v>
      </c>
      <c r="AE5" s="70" t="s">
        <v>2828</v>
      </c>
      <c r="AF5" s="12" t="s">
        <v>2829</v>
      </c>
      <c r="AG5" s="138" t="s">
        <v>2833</v>
      </c>
      <c r="AH5" s="139"/>
      <c r="AI5" s="139"/>
      <c r="AJ5" s="70" t="s">
        <v>2827</v>
      </c>
      <c r="AK5" s="70" t="s">
        <v>358</v>
      </c>
      <c r="AL5" s="71" t="s">
        <v>559</v>
      </c>
      <c r="AM5" s="70" t="s">
        <v>2828</v>
      </c>
      <c r="AN5" s="12" t="s">
        <v>2829</v>
      </c>
      <c r="AO5" s="138" t="s">
        <v>2833</v>
      </c>
      <c r="AP5" s="139"/>
      <c r="AQ5" s="139"/>
      <c r="AR5" s="70" t="s">
        <v>2827</v>
      </c>
      <c r="AS5" s="70" t="s">
        <v>358</v>
      </c>
      <c r="AT5" s="71" t="s">
        <v>526</v>
      </c>
      <c r="AU5" s="70" t="s">
        <v>2828</v>
      </c>
      <c r="AV5" s="12" t="s">
        <v>2829</v>
      </c>
      <c r="AW5" s="12" t="s">
        <v>2833</v>
      </c>
      <c r="AX5" s="12"/>
      <c r="AY5" s="65" t="s">
        <v>2834</v>
      </c>
      <c r="AZ5" s="65">
        <v>320</v>
      </c>
      <c r="BA5" s="66">
        <v>2000</v>
      </c>
      <c r="BB5" s="66">
        <v>1650</v>
      </c>
      <c r="BC5" s="66">
        <v>10007</v>
      </c>
      <c r="BD5" s="72">
        <f t="shared" si="0"/>
        <v>1330</v>
      </c>
      <c r="BE5" s="68">
        <f t="shared" si="1"/>
        <v>4.15625</v>
      </c>
      <c r="BF5" s="69">
        <f t="shared" si="2"/>
        <v>8007</v>
      </c>
      <c r="BG5" s="68">
        <f t="shared" si="3"/>
        <v>4.0034999999999998</v>
      </c>
      <c r="BH5" s="21" t="s">
        <v>2835</v>
      </c>
      <c r="BI5" s="12"/>
    </row>
    <row r="6" spans="1:61" ht="15.75" customHeight="1">
      <c r="A6" s="73" t="s">
        <v>2836</v>
      </c>
      <c r="B6" s="11" t="s">
        <v>2837</v>
      </c>
      <c r="C6" s="12"/>
      <c r="D6" s="12"/>
      <c r="E6" s="11">
        <v>19.8</v>
      </c>
      <c r="F6" s="11">
        <v>19.8</v>
      </c>
      <c r="G6" s="11">
        <v>0.33</v>
      </c>
      <c r="H6" s="11">
        <v>0</v>
      </c>
      <c r="I6" s="12"/>
      <c r="J6" s="12"/>
      <c r="K6" s="12"/>
      <c r="L6" s="12"/>
      <c r="M6" s="73" t="s">
        <v>2838</v>
      </c>
      <c r="N6" s="74">
        <v>44693</v>
      </c>
      <c r="O6" s="11">
        <v>690</v>
      </c>
      <c r="P6" s="11">
        <v>690</v>
      </c>
      <c r="Q6" s="12">
        <v>11.5</v>
      </c>
      <c r="R6" s="12">
        <v>3.5</v>
      </c>
      <c r="S6" s="12"/>
      <c r="T6" s="12"/>
      <c r="U6" s="73" t="s">
        <v>2838</v>
      </c>
      <c r="V6" s="74">
        <v>45114</v>
      </c>
      <c r="W6" s="11">
        <v>45</v>
      </c>
      <c r="X6" s="11">
        <v>45</v>
      </c>
      <c r="Y6" s="11">
        <v>0.75</v>
      </c>
      <c r="Z6" s="11">
        <v>0</v>
      </c>
      <c r="AA6" s="12"/>
      <c r="AB6" s="73" t="s">
        <v>2838</v>
      </c>
      <c r="AC6" s="74">
        <v>44573</v>
      </c>
      <c r="AD6" s="11">
        <v>600</v>
      </c>
      <c r="AE6" s="11">
        <v>600</v>
      </c>
      <c r="AF6" s="11">
        <v>10</v>
      </c>
      <c r="AG6" s="11">
        <v>2</v>
      </c>
      <c r="AH6" s="12"/>
      <c r="AI6" s="12"/>
      <c r="AJ6" s="73" t="s">
        <v>2838</v>
      </c>
      <c r="AK6" s="11" t="s">
        <v>2839</v>
      </c>
      <c r="AL6" s="11">
        <v>60</v>
      </c>
      <c r="AM6" s="11">
        <v>60</v>
      </c>
      <c r="AN6" s="11">
        <v>1</v>
      </c>
      <c r="AO6" s="11">
        <v>0</v>
      </c>
      <c r="AP6" s="12"/>
      <c r="AQ6" s="12"/>
      <c r="AR6" s="73" t="s">
        <v>2838</v>
      </c>
      <c r="AS6" s="74">
        <v>45174</v>
      </c>
      <c r="AT6" s="11">
        <v>150</v>
      </c>
      <c r="AU6" s="11">
        <v>150</v>
      </c>
      <c r="AV6" s="11">
        <v>2.5</v>
      </c>
      <c r="AW6" s="11">
        <v>0</v>
      </c>
      <c r="AX6" s="11"/>
      <c r="AY6" s="65" t="s">
        <v>2840</v>
      </c>
      <c r="AZ6" s="65">
        <v>225</v>
      </c>
      <c r="BA6" s="66">
        <v>1250</v>
      </c>
      <c r="BB6" s="65">
        <v>900</v>
      </c>
      <c r="BC6" s="66">
        <v>4962</v>
      </c>
      <c r="BD6" s="67">
        <f t="shared" si="0"/>
        <v>675</v>
      </c>
      <c r="BE6" s="68">
        <f t="shared" si="1"/>
        <v>3</v>
      </c>
      <c r="BF6" s="69">
        <f t="shared" si="2"/>
        <v>3712</v>
      </c>
      <c r="BG6" s="68">
        <f t="shared" si="3"/>
        <v>2.9695999999999998</v>
      </c>
      <c r="BH6" s="21" t="s">
        <v>2841</v>
      </c>
      <c r="BI6" s="11"/>
    </row>
    <row r="7" spans="1:61" ht="15.75" customHeight="1">
      <c r="A7" s="73" t="s">
        <v>2836</v>
      </c>
      <c r="B7" s="11" t="s">
        <v>2842</v>
      </c>
      <c r="C7" s="11">
        <v>70.2</v>
      </c>
      <c r="D7" s="11">
        <v>15</v>
      </c>
      <c r="E7" s="12"/>
      <c r="F7" s="11">
        <v>85.2</v>
      </c>
      <c r="G7" s="11">
        <v>1.42</v>
      </c>
      <c r="H7" s="11">
        <v>0</v>
      </c>
      <c r="I7" s="12"/>
      <c r="J7" s="12"/>
      <c r="K7" s="12"/>
      <c r="L7" s="12"/>
      <c r="M7" s="73" t="s">
        <v>2838</v>
      </c>
      <c r="N7" s="74">
        <v>45018</v>
      </c>
      <c r="O7" s="11">
        <v>180</v>
      </c>
      <c r="P7" s="11">
        <v>180</v>
      </c>
      <c r="Q7" s="12">
        <v>3</v>
      </c>
      <c r="R7" s="12" t="s">
        <v>435</v>
      </c>
      <c r="S7" s="12"/>
      <c r="T7" s="12"/>
      <c r="U7" s="73" t="s">
        <v>2838</v>
      </c>
      <c r="V7" s="74">
        <v>45206</v>
      </c>
      <c r="W7" s="11">
        <v>150</v>
      </c>
      <c r="X7" s="11">
        <v>150</v>
      </c>
      <c r="Y7" s="11">
        <v>2.5</v>
      </c>
      <c r="Z7" s="11">
        <v>0</v>
      </c>
      <c r="AA7" s="12"/>
      <c r="AB7" s="73" t="s">
        <v>2838</v>
      </c>
      <c r="AC7" s="74">
        <v>44604</v>
      </c>
      <c r="AD7" s="11">
        <v>240</v>
      </c>
      <c r="AE7" s="11">
        <v>240</v>
      </c>
      <c r="AF7" s="11">
        <v>4</v>
      </c>
      <c r="AG7" s="11">
        <v>0</v>
      </c>
      <c r="AH7" s="12"/>
      <c r="AI7" s="12"/>
      <c r="AJ7" s="73" t="s">
        <v>2838</v>
      </c>
      <c r="AK7" s="11" t="s">
        <v>2843</v>
      </c>
      <c r="AL7" s="11">
        <v>420</v>
      </c>
      <c r="AM7" s="11">
        <v>420</v>
      </c>
      <c r="AN7" s="11">
        <v>7</v>
      </c>
      <c r="AO7" s="11">
        <v>0</v>
      </c>
      <c r="AP7" s="12"/>
      <c r="AQ7" s="12"/>
      <c r="AR7" s="73" t="s">
        <v>2838</v>
      </c>
      <c r="AS7" s="74">
        <v>45204</v>
      </c>
      <c r="AT7" s="11">
        <v>255</v>
      </c>
      <c r="AU7" s="11">
        <v>255</v>
      </c>
      <c r="AV7" s="11">
        <v>4.25</v>
      </c>
      <c r="AW7" s="11">
        <v>0</v>
      </c>
      <c r="AX7" s="11"/>
      <c r="AY7" s="61" t="s">
        <v>2844</v>
      </c>
      <c r="AZ7" s="61">
        <v>20</v>
      </c>
      <c r="BA7" s="61">
        <v>50</v>
      </c>
      <c r="BB7" s="61">
        <v>60</v>
      </c>
      <c r="BC7" s="61">
        <v>52</v>
      </c>
      <c r="BD7" s="61">
        <f t="shared" si="0"/>
        <v>40</v>
      </c>
      <c r="BE7" s="75">
        <f t="shared" si="1"/>
        <v>2</v>
      </c>
      <c r="BF7" s="76">
        <f t="shared" si="2"/>
        <v>2</v>
      </c>
      <c r="BG7" s="75">
        <f t="shared" si="3"/>
        <v>0.04</v>
      </c>
      <c r="BH7" s="11"/>
      <c r="BI7" s="11"/>
    </row>
    <row r="8" spans="1:61" ht="15.75" customHeight="1">
      <c r="A8" s="73" t="s">
        <v>2836</v>
      </c>
      <c r="B8" s="77">
        <v>44986</v>
      </c>
      <c r="C8" s="11">
        <v>100.2</v>
      </c>
      <c r="D8" s="11">
        <v>30</v>
      </c>
      <c r="E8" s="12"/>
      <c r="F8" s="11">
        <v>130.19999999999999</v>
      </c>
      <c r="G8" s="11">
        <v>2.17</v>
      </c>
      <c r="H8" s="11">
        <v>0</v>
      </c>
      <c r="I8" s="12"/>
      <c r="J8" s="12"/>
      <c r="K8" s="12"/>
      <c r="L8" s="12"/>
      <c r="M8" s="73" t="s">
        <v>2838</v>
      </c>
      <c r="N8" s="74">
        <v>45079</v>
      </c>
      <c r="O8" s="11">
        <v>330</v>
      </c>
      <c r="P8" s="11">
        <v>330</v>
      </c>
      <c r="Q8" s="12">
        <v>5.5</v>
      </c>
      <c r="R8" s="12" t="s">
        <v>435</v>
      </c>
      <c r="S8" s="12"/>
      <c r="T8" s="12"/>
      <c r="U8" s="78" t="s">
        <v>2838</v>
      </c>
      <c r="V8" s="74">
        <v>45237</v>
      </c>
      <c r="W8" s="11">
        <v>270</v>
      </c>
      <c r="X8" s="11">
        <v>270</v>
      </c>
      <c r="Y8" s="11">
        <v>4.5</v>
      </c>
      <c r="Z8" s="11">
        <v>0</v>
      </c>
      <c r="AA8" s="12"/>
      <c r="AB8" s="73" t="s">
        <v>2838</v>
      </c>
      <c r="AC8" s="74">
        <v>44987</v>
      </c>
      <c r="AD8" s="11">
        <v>120</v>
      </c>
      <c r="AE8" s="11">
        <v>120</v>
      </c>
      <c r="AF8" s="11">
        <v>2</v>
      </c>
      <c r="AG8" s="11">
        <v>0</v>
      </c>
      <c r="AH8" s="12"/>
      <c r="AI8" s="12"/>
      <c r="AJ8" s="73" t="s">
        <v>2838</v>
      </c>
      <c r="AK8" s="11" t="s">
        <v>2845</v>
      </c>
      <c r="AL8" s="11">
        <v>270</v>
      </c>
      <c r="AM8" s="11">
        <v>270</v>
      </c>
      <c r="AN8" s="11">
        <v>4.5</v>
      </c>
      <c r="AO8" s="11">
        <v>0</v>
      </c>
      <c r="AP8" s="12"/>
      <c r="AQ8" s="12"/>
      <c r="AR8" s="73" t="s">
        <v>2838</v>
      </c>
      <c r="AS8" s="74">
        <v>45235</v>
      </c>
      <c r="AT8" s="11">
        <v>300</v>
      </c>
      <c r="AU8" s="11">
        <v>300</v>
      </c>
      <c r="AV8" s="11">
        <v>5</v>
      </c>
      <c r="AW8" s="11">
        <v>0</v>
      </c>
      <c r="AX8" s="11"/>
      <c r="AY8" s="61" t="s">
        <v>2846</v>
      </c>
      <c r="AZ8" s="61">
        <v>600</v>
      </c>
      <c r="BA8" s="79">
        <v>5000</v>
      </c>
      <c r="BB8" s="79">
        <v>1230</v>
      </c>
      <c r="BC8" s="79">
        <v>5003</v>
      </c>
      <c r="BD8" s="79">
        <f t="shared" si="0"/>
        <v>630</v>
      </c>
      <c r="BE8" s="75">
        <f t="shared" si="1"/>
        <v>1.05</v>
      </c>
      <c r="BF8" s="80">
        <f t="shared" si="2"/>
        <v>3</v>
      </c>
      <c r="BG8" s="75">
        <f t="shared" si="3"/>
        <v>5.9999999999999995E-4</v>
      </c>
      <c r="BH8" s="11"/>
      <c r="BI8" s="11"/>
    </row>
    <row r="9" spans="1:61" ht="15.75" customHeight="1">
      <c r="A9" s="73" t="s">
        <v>2836</v>
      </c>
      <c r="B9" s="77">
        <v>44987</v>
      </c>
      <c r="C9" s="12"/>
      <c r="D9" s="12"/>
      <c r="E9" s="11">
        <v>145.19999999999999</v>
      </c>
      <c r="F9" s="11">
        <v>145.19999999999999</v>
      </c>
      <c r="G9" s="11">
        <v>2.42</v>
      </c>
      <c r="H9" s="11">
        <v>0</v>
      </c>
      <c r="I9" s="12"/>
      <c r="J9" s="12"/>
      <c r="K9" s="12"/>
      <c r="L9" s="12"/>
      <c r="M9" s="73" t="s">
        <v>2838</v>
      </c>
      <c r="N9" s="74">
        <v>45109</v>
      </c>
      <c r="O9" s="11">
        <v>480</v>
      </c>
      <c r="P9" s="11">
        <v>480</v>
      </c>
      <c r="Q9" s="12">
        <v>8</v>
      </c>
      <c r="R9" s="12" t="s">
        <v>435</v>
      </c>
      <c r="S9" s="12"/>
      <c r="T9" s="12"/>
      <c r="U9" s="81" t="s">
        <v>2828</v>
      </c>
      <c r="V9" s="81"/>
      <c r="W9" s="82">
        <v>465</v>
      </c>
      <c r="X9" s="82">
        <v>465</v>
      </c>
      <c r="Y9" s="11">
        <v>7.75</v>
      </c>
      <c r="Z9" s="11">
        <v>0</v>
      </c>
      <c r="AA9" s="12"/>
      <c r="AB9" s="73" t="s">
        <v>2838</v>
      </c>
      <c r="AC9" s="74">
        <v>45018</v>
      </c>
      <c r="AD9" s="11">
        <v>600</v>
      </c>
      <c r="AE9" s="11">
        <v>600</v>
      </c>
      <c r="AF9" s="11">
        <v>10</v>
      </c>
      <c r="AG9" s="11">
        <v>2</v>
      </c>
      <c r="AH9" s="12"/>
      <c r="AI9" s="12"/>
      <c r="AJ9" s="73" t="s">
        <v>2838</v>
      </c>
      <c r="AK9" s="74">
        <v>45111</v>
      </c>
      <c r="AL9" s="11">
        <v>150</v>
      </c>
      <c r="AM9" s="11">
        <v>150</v>
      </c>
      <c r="AN9" s="11">
        <v>2.5</v>
      </c>
      <c r="AO9" s="11">
        <v>0</v>
      </c>
      <c r="AP9" s="12"/>
      <c r="AQ9" s="12"/>
      <c r="AR9" s="73" t="s">
        <v>2838</v>
      </c>
      <c r="AS9" s="74">
        <v>45265</v>
      </c>
      <c r="AT9" s="11">
        <v>300</v>
      </c>
      <c r="AU9" s="11">
        <v>300</v>
      </c>
      <c r="AV9" s="11">
        <v>5</v>
      </c>
      <c r="AW9" s="11">
        <v>0</v>
      </c>
      <c r="AX9" s="11"/>
      <c r="AY9" s="61" t="s">
        <v>2847</v>
      </c>
      <c r="AZ9" s="79">
        <v>3280</v>
      </c>
      <c r="BA9" s="79">
        <v>30000</v>
      </c>
      <c r="BB9" s="79">
        <v>6510</v>
      </c>
      <c r="BC9" s="79">
        <v>30232</v>
      </c>
      <c r="BD9" s="79">
        <f t="shared" si="0"/>
        <v>3230</v>
      </c>
      <c r="BE9" s="75">
        <f t="shared" si="1"/>
        <v>0.9847560975609756</v>
      </c>
      <c r="BF9" s="80">
        <f t="shared" si="2"/>
        <v>232</v>
      </c>
      <c r="BG9" s="75">
        <f t="shared" si="3"/>
        <v>7.7333333333333334E-3</v>
      </c>
      <c r="BH9" s="11"/>
      <c r="BI9" s="11"/>
    </row>
    <row r="10" spans="1:61" ht="15.75" customHeight="1">
      <c r="A10" s="73" t="s">
        <v>2836</v>
      </c>
      <c r="B10" s="77">
        <v>45018</v>
      </c>
      <c r="C10" s="11">
        <v>375</v>
      </c>
      <c r="D10" s="11">
        <v>60</v>
      </c>
      <c r="E10" s="12"/>
      <c r="F10" s="11">
        <v>435</v>
      </c>
      <c r="G10" s="11">
        <v>7.25</v>
      </c>
      <c r="H10" s="11">
        <v>0</v>
      </c>
      <c r="I10" s="12"/>
      <c r="J10" s="12"/>
      <c r="K10" s="12"/>
      <c r="L10" s="12"/>
      <c r="M10" s="73" t="s">
        <v>2838</v>
      </c>
      <c r="N10" s="74">
        <v>45171</v>
      </c>
      <c r="O10" s="11">
        <v>450</v>
      </c>
      <c r="P10" s="11">
        <v>450</v>
      </c>
      <c r="Q10" s="12">
        <v>7.5</v>
      </c>
      <c r="R10" s="12" t="s">
        <v>435</v>
      </c>
      <c r="S10" s="12"/>
      <c r="T10" s="12"/>
      <c r="U10" s="12"/>
      <c r="V10" s="12"/>
      <c r="W10" s="12"/>
      <c r="X10" s="12"/>
      <c r="Y10" s="12"/>
      <c r="Z10" s="12"/>
      <c r="AA10" s="12"/>
      <c r="AB10" s="73" t="s">
        <v>2838</v>
      </c>
      <c r="AC10" s="74">
        <v>45079</v>
      </c>
      <c r="AD10" s="11">
        <v>0</v>
      </c>
      <c r="AE10" s="11">
        <v>0</v>
      </c>
      <c r="AF10" s="11">
        <v>0</v>
      </c>
      <c r="AG10" s="11">
        <v>0</v>
      </c>
      <c r="AH10" s="12"/>
      <c r="AI10" s="12"/>
      <c r="AJ10" s="73" t="s">
        <v>2838</v>
      </c>
      <c r="AK10" s="74">
        <v>45203</v>
      </c>
      <c r="AL10" s="11">
        <v>180</v>
      </c>
      <c r="AM10" s="11">
        <v>180</v>
      </c>
      <c r="AN10" s="11">
        <v>3</v>
      </c>
      <c r="AO10" s="11">
        <v>0</v>
      </c>
      <c r="AP10" s="12"/>
      <c r="AQ10" s="12"/>
      <c r="AR10" s="78" t="s">
        <v>2838</v>
      </c>
      <c r="AS10" s="11" t="s">
        <v>2848</v>
      </c>
      <c r="AT10" s="11">
        <v>210</v>
      </c>
      <c r="AU10" s="11">
        <v>210</v>
      </c>
      <c r="AV10" s="11">
        <v>3.5</v>
      </c>
      <c r="AW10" s="11">
        <v>0</v>
      </c>
      <c r="AX10" s="11"/>
      <c r="AY10" s="61" t="s">
        <v>2849</v>
      </c>
      <c r="AZ10" s="61">
        <v>375</v>
      </c>
      <c r="BA10" s="79">
        <v>1000</v>
      </c>
      <c r="BB10" s="61">
        <v>720</v>
      </c>
      <c r="BC10" s="79">
        <v>1003</v>
      </c>
      <c r="BD10" s="61">
        <f t="shared" si="0"/>
        <v>345</v>
      </c>
      <c r="BE10" s="75">
        <f t="shared" si="1"/>
        <v>0.92</v>
      </c>
      <c r="BF10" s="80">
        <f t="shared" si="2"/>
        <v>3</v>
      </c>
      <c r="BG10" s="75">
        <f t="shared" si="3"/>
        <v>3.0000000000000001E-3</v>
      </c>
      <c r="BH10" s="11"/>
      <c r="BI10" s="11"/>
    </row>
    <row r="11" spans="1:61" ht="15.75" customHeight="1">
      <c r="A11" s="73" t="s">
        <v>2836</v>
      </c>
      <c r="B11" s="77">
        <v>45079</v>
      </c>
      <c r="C11" s="12"/>
      <c r="D11" s="12"/>
      <c r="E11" s="11">
        <v>19.8</v>
      </c>
      <c r="F11" s="11">
        <v>19.8</v>
      </c>
      <c r="G11" s="11">
        <v>0.33</v>
      </c>
      <c r="H11" s="11">
        <v>0</v>
      </c>
      <c r="I11" s="12"/>
      <c r="J11" s="12"/>
      <c r="K11" s="12"/>
      <c r="L11" s="12"/>
      <c r="M11" s="73" t="s">
        <v>2838</v>
      </c>
      <c r="N11" s="74">
        <v>45201</v>
      </c>
      <c r="O11" s="11">
        <v>292.5</v>
      </c>
      <c r="P11" s="11">
        <v>292.5</v>
      </c>
      <c r="Q11" s="12">
        <v>4.88</v>
      </c>
      <c r="R11" s="12" t="s">
        <v>435</v>
      </c>
      <c r="S11" s="12"/>
      <c r="T11" s="12"/>
      <c r="U11" s="12"/>
      <c r="V11" s="12"/>
      <c r="W11" s="12"/>
      <c r="X11" s="12"/>
      <c r="Y11" s="12"/>
      <c r="Z11" s="12"/>
      <c r="AA11" s="12"/>
      <c r="AB11" s="73" t="s">
        <v>2838</v>
      </c>
      <c r="AC11" s="74">
        <v>45109</v>
      </c>
      <c r="AD11" s="11">
        <v>0</v>
      </c>
      <c r="AE11" s="11">
        <v>0</v>
      </c>
      <c r="AF11" s="11">
        <v>0</v>
      </c>
      <c r="AG11" s="11">
        <v>0</v>
      </c>
      <c r="AH11" s="12"/>
      <c r="AI11" s="12"/>
      <c r="AJ11" s="73" t="s">
        <v>2838</v>
      </c>
      <c r="AK11" s="74">
        <v>45234</v>
      </c>
      <c r="AL11" s="11">
        <v>225</v>
      </c>
      <c r="AM11" s="11">
        <v>225</v>
      </c>
      <c r="AN11" s="11">
        <v>3.75</v>
      </c>
      <c r="AO11" s="11">
        <v>0</v>
      </c>
      <c r="AP11" s="12"/>
      <c r="AQ11" s="12"/>
      <c r="AR11" s="81" t="s">
        <v>2828</v>
      </c>
      <c r="AS11" s="81"/>
      <c r="AT11" s="82">
        <v>1215</v>
      </c>
      <c r="AU11" s="82">
        <v>1215</v>
      </c>
      <c r="AV11" s="12"/>
      <c r="AW11" s="12"/>
      <c r="AX11" s="12"/>
      <c r="AY11" s="61" t="s">
        <v>2850</v>
      </c>
      <c r="AZ11" s="61">
        <v>600</v>
      </c>
      <c r="BA11" s="79">
        <v>5000</v>
      </c>
      <c r="BB11" s="79">
        <v>1140</v>
      </c>
      <c r="BC11" s="79">
        <v>5007</v>
      </c>
      <c r="BD11" s="79">
        <f t="shared" si="0"/>
        <v>540</v>
      </c>
      <c r="BE11" s="75">
        <f t="shared" si="1"/>
        <v>0.9</v>
      </c>
      <c r="BF11" s="80">
        <f t="shared" si="2"/>
        <v>7</v>
      </c>
      <c r="BG11" s="75">
        <f t="shared" si="3"/>
        <v>1.4E-3</v>
      </c>
      <c r="BH11" s="12"/>
      <c r="BI11" s="12"/>
    </row>
    <row r="12" spans="1:61" ht="15.75" customHeight="1">
      <c r="A12" s="73" t="s">
        <v>2836</v>
      </c>
      <c r="B12" s="77">
        <v>45109</v>
      </c>
      <c r="C12" s="11">
        <v>370.2</v>
      </c>
      <c r="D12" s="11">
        <v>49.8</v>
      </c>
      <c r="E12" s="11">
        <v>19.8</v>
      </c>
      <c r="F12" s="11">
        <v>439.8</v>
      </c>
      <c r="G12" s="11">
        <v>7.33</v>
      </c>
      <c r="H12" s="11">
        <v>0</v>
      </c>
      <c r="I12" s="12"/>
      <c r="J12" s="12"/>
      <c r="K12" s="12"/>
      <c r="L12" s="12"/>
      <c r="M12" s="73" t="s">
        <v>2838</v>
      </c>
      <c r="N12" s="11" t="s">
        <v>2851</v>
      </c>
      <c r="O12" s="11">
        <v>150</v>
      </c>
      <c r="P12" s="11">
        <v>150</v>
      </c>
      <c r="Q12" s="12">
        <v>2.5</v>
      </c>
      <c r="R12" s="12" t="s">
        <v>435</v>
      </c>
      <c r="S12" s="12"/>
      <c r="T12" s="12"/>
      <c r="U12" s="12"/>
      <c r="V12" s="12"/>
      <c r="W12" s="12"/>
      <c r="X12" s="12"/>
      <c r="Y12" s="12"/>
      <c r="Z12" s="12"/>
      <c r="AA12" s="12"/>
      <c r="AB12" s="73" t="s">
        <v>2838</v>
      </c>
      <c r="AC12" s="74">
        <v>45201</v>
      </c>
      <c r="AD12" s="11">
        <v>0</v>
      </c>
      <c r="AE12" s="11">
        <v>0</v>
      </c>
      <c r="AF12" s="11">
        <v>0</v>
      </c>
      <c r="AG12" s="11">
        <v>0</v>
      </c>
      <c r="AH12" s="12"/>
      <c r="AI12" s="12"/>
      <c r="AJ12" s="73" t="s">
        <v>2838</v>
      </c>
      <c r="AK12" s="74">
        <v>45264</v>
      </c>
      <c r="AL12" s="11">
        <v>360</v>
      </c>
      <c r="AM12" s="11">
        <v>360</v>
      </c>
      <c r="AN12" s="11">
        <v>6</v>
      </c>
      <c r="AO12" s="11">
        <v>0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61" t="s">
        <v>2852</v>
      </c>
      <c r="AZ12" s="61">
        <v>720</v>
      </c>
      <c r="BA12" s="79">
        <v>5000</v>
      </c>
      <c r="BB12" s="79">
        <v>1350</v>
      </c>
      <c r="BC12" s="79">
        <v>5002</v>
      </c>
      <c r="BD12" s="79">
        <f t="shared" si="0"/>
        <v>630</v>
      </c>
      <c r="BE12" s="75">
        <f t="shared" si="1"/>
        <v>0.875</v>
      </c>
      <c r="BF12" s="80">
        <f t="shared" si="2"/>
        <v>2</v>
      </c>
      <c r="BG12" s="75">
        <f t="shared" si="3"/>
        <v>4.0000000000000002E-4</v>
      </c>
      <c r="BH12" s="12"/>
      <c r="BI12" s="12"/>
    </row>
    <row r="13" spans="1:61" ht="15.75" customHeight="1">
      <c r="A13" s="73" t="s">
        <v>2836</v>
      </c>
      <c r="B13" s="77">
        <v>45140</v>
      </c>
      <c r="C13" s="11">
        <v>325.2</v>
      </c>
      <c r="D13" s="11">
        <v>49.8</v>
      </c>
      <c r="E13" s="11">
        <v>19.8</v>
      </c>
      <c r="F13" s="11">
        <v>394.8</v>
      </c>
      <c r="G13" s="11">
        <v>6.58</v>
      </c>
      <c r="H13" s="11">
        <v>0</v>
      </c>
      <c r="I13" s="12"/>
      <c r="J13" s="12"/>
      <c r="K13" s="12"/>
      <c r="L13" s="12"/>
      <c r="M13" s="73" t="s">
        <v>2838</v>
      </c>
      <c r="N13" s="11" t="s">
        <v>2853</v>
      </c>
      <c r="O13" s="11">
        <v>495</v>
      </c>
      <c r="P13" s="11">
        <v>495</v>
      </c>
      <c r="Q13" s="12">
        <v>8.25</v>
      </c>
      <c r="R13" s="12">
        <v>0.25</v>
      </c>
      <c r="S13" s="12"/>
      <c r="T13" s="12"/>
      <c r="U13" s="12"/>
      <c r="V13" s="12"/>
      <c r="W13" s="12"/>
      <c r="X13" s="12"/>
      <c r="Y13" s="12"/>
      <c r="Z13" s="12"/>
      <c r="AA13" s="12"/>
      <c r="AB13" s="73" t="s">
        <v>2838</v>
      </c>
      <c r="AC13" s="11" t="s">
        <v>2851</v>
      </c>
      <c r="AD13" s="11">
        <v>120</v>
      </c>
      <c r="AE13" s="11">
        <v>120</v>
      </c>
      <c r="AF13" s="11">
        <v>2</v>
      </c>
      <c r="AG13" s="11">
        <v>0</v>
      </c>
      <c r="AH13" s="12"/>
      <c r="AI13" s="12"/>
      <c r="AJ13" s="73" t="s">
        <v>2838</v>
      </c>
      <c r="AK13" s="11" t="s">
        <v>2854</v>
      </c>
      <c r="AL13" s="11">
        <v>120</v>
      </c>
      <c r="AM13" s="11">
        <v>120</v>
      </c>
      <c r="AN13" s="11">
        <v>2</v>
      </c>
      <c r="AO13" s="11">
        <v>0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61" t="s">
        <v>2855</v>
      </c>
      <c r="AZ13" s="61">
        <v>240</v>
      </c>
      <c r="BA13" s="61">
        <v>640</v>
      </c>
      <c r="BB13" s="61">
        <v>450</v>
      </c>
      <c r="BC13" s="61">
        <v>653</v>
      </c>
      <c r="BD13" s="61">
        <f t="shared" si="0"/>
        <v>210</v>
      </c>
      <c r="BE13" s="75">
        <f t="shared" si="1"/>
        <v>0.875</v>
      </c>
      <c r="BF13" s="76">
        <f t="shared" si="2"/>
        <v>13</v>
      </c>
      <c r="BG13" s="75">
        <f t="shared" si="3"/>
        <v>2.0312500000000001E-2</v>
      </c>
      <c r="BH13" s="12"/>
      <c r="BI13" s="12"/>
    </row>
    <row r="14" spans="1:61" ht="15.75" customHeight="1">
      <c r="A14" s="73" t="s">
        <v>2836</v>
      </c>
      <c r="B14" s="77">
        <v>45171</v>
      </c>
      <c r="C14" s="11">
        <v>300</v>
      </c>
      <c r="D14" s="11">
        <v>49.8</v>
      </c>
      <c r="E14" s="12"/>
      <c r="F14" s="11">
        <v>349.8</v>
      </c>
      <c r="G14" s="11">
        <v>5.83</v>
      </c>
      <c r="H14" s="11">
        <v>0</v>
      </c>
      <c r="I14" s="12"/>
      <c r="J14" s="12"/>
      <c r="K14" s="12"/>
      <c r="L14" s="12"/>
      <c r="M14" s="73" t="s">
        <v>2838</v>
      </c>
      <c r="N14" s="11" t="s">
        <v>2856</v>
      </c>
      <c r="O14" s="11">
        <v>480</v>
      </c>
      <c r="P14" s="11">
        <v>480</v>
      </c>
      <c r="Q14" s="12">
        <v>8</v>
      </c>
      <c r="R14" s="12" t="s">
        <v>435</v>
      </c>
      <c r="S14" s="12"/>
      <c r="T14" s="12"/>
      <c r="U14" s="12"/>
      <c r="V14" s="12"/>
      <c r="W14" s="12"/>
      <c r="X14" s="12"/>
      <c r="Y14" s="12"/>
      <c r="Z14" s="12"/>
      <c r="AA14" s="12"/>
      <c r="AB14" s="73" t="s">
        <v>2838</v>
      </c>
      <c r="AC14" s="11" t="s">
        <v>2857</v>
      </c>
      <c r="AD14" s="11">
        <v>840</v>
      </c>
      <c r="AE14" s="11">
        <v>840</v>
      </c>
      <c r="AF14" s="11">
        <v>14</v>
      </c>
      <c r="AG14" s="11">
        <v>6</v>
      </c>
      <c r="AH14" s="12"/>
      <c r="AI14" s="12"/>
      <c r="AJ14" s="73" t="s">
        <v>2838</v>
      </c>
      <c r="AK14" s="11" t="s">
        <v>2858</v>
      </c>
      <c r="AL14" s="11">
        <v>0</v>
      </c>
      <c r="AM14" s="11">
        <v>0</v>
      </c>
      <c r="AN14" s="11">
        <v>0</v>
      </c>
      <c r="AO14" s="11"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61" t="s">
        <v>2859</v>
      </c>
      <c r="AZ14" s="61">
        <v>400</v>
      </c>
      <c r="BA14" s="79">
        <v>3000</v>
      </c>
      <c r="BB14" s="61">
        <v>720</v>
      </c>
      <c r="BC14" s="79">
        <v>3005</v>
      </c>
      <c r="BD14" s="61">
        <f t="shared" si="0"/>
        <v>320</v>
      </c>
      <c r="BE14" s="75">
        <f t="shared" si="1"/>
        <v>0.8</v>
      </c>
      <c r="BF14" s="80">
        <f t="shared" si="2"/>
        <v>5</v>
      </c>
      <c r="BG14" s="75">
        <f t="shared" si="3"/>
        <v>1.6666666666666668E-3</v>
      </c>
      <c r="BH14" s="12"/>
      <c r="BI14" s="12"/>
    </row>
    <row r="15" spans="1:61" ht="15.75" customHeight="1">
      <c r="A15" s="73" t="s">
        <v>2836</v>
      </c>
      <c r="B15" s="11" t="s">
        <v>2860</v>
      </c>
      <c r="C15" s="12"/>
      <c r="D15" s="12"/>
      <c r="E15" s="11">
        <v>15</v>
      </c>
      <c r="F15" s="11">
        <v>15</v>
      </c>
      <c r="G15" s="11">
        <v>0.25</v>
      </c>
      <c r="H15" s="11">
        <v>0</v>
      </c>
      <c r="I15" s="12"/>
      <c r="J15" s="12"/>
      <c r="K15" s="12"/>
      <c r="L15" s="12"/>
      <c r="M15" s="73" t="s">
        <v>2838</v>
      </c>
      <c r="N15" s="11" t="s">
        <v>2861</v>
      </c>
      <c r="O15" s="11">
        <v>367.5</v>
      </c>
      <c r="P15" s="11">
        <v>367.5</v>
      </c>
      <c r="Q15" s="12">
        <v>6.13</v>
      </c>
      <c r="R15" s="12" t="s">
        <v>435</v>
      </c>
      <c r="S15" s="12"/>
      <c r="T15" s="12"/>
      <c r="U15" s="12"/>
      <c r="V15" s="12"/>
      <c r="W15" s="12"/>
      <c r="X15" s="12"/>
      <c r="Y15" s="12"/>
      <c r="Z15" s="12"/>
      <c r="AA15" s="12"/>
      <c r="AB15" s="73" t="s">
        <v>2838</v>
      </c>
      <c r="AC15" s="11" t="s">
        <v>2853</v>
      </c>
      <c r="AD15" s="11">
        <v>480</v>
      </c>
      <c r="AE15" s="11">
        <v>480</v>
      </c>
      <c r="AF15" s="11">
        <v>8</v>
      </c>
      <c r="AG15" s="11">
        <v>0</v>
      </c>
      <c r="AH15" s="12"/>
      <c r="AI15" s="12"/>
      <c r="AJ15" s="73" t="s">
        <v>2838</v>
      </c>
      <c r="AK15" s="11" t="s">
        <v>2862</v>
      </c>
      <c r="AL15" s="11">
        <v>0</v>
      </c>
      <c r="AM15" s="11">
        <v>0</v>
      </c>
      <c r="AN15" s="11">
        <v>0</v>
      </c>
      <c r="AO15" s="11"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61" t="s">
        <v>2863</v>
      </c>
      <c r="AZ15" s="61">
        <v>375</v>
      </c>
      <c r="BA15" s="79">
        <v>1500</v>
      </c>
      <c r="BB15" s="61">
        <v>660</v>
      </c>
      <c r="BC15" s="79">
        <v>1506</v>
      </c>
      <c r="BD15" s="61">
        <f t="shared" si="0"/>
        <v>285</v>
      </c>
      <c r="BE15" s="75">
        <f t="shared" si="1"/>
        <v>0.76</v>
      </c>
      <c r="BF15" s="80">
        <f t="shared" si="2"/>
        <v>6</v>
      </c>
      <c r="BG15" s="75">
        <f t="shared" si="3"/>
        <v>4.0000000000000001E-3</v>
      </c>
      <c r="BH15" s="12"/>
      <c r="BI15" s="12"/>
    </row>
    <row r="16" spans="1:61" ht="15.75" customHeight="1">
      <c r="A16" s="73" t="s">
        <v>2836</v>
      </c>
      <c r="B16" s="11" t="s">
        <v>2857</v>
      </c>
      <c r="C16" s="11">
        <v>90</v>
      </c>
      <c r="D16" s="11">
        <v>15</v>
      </c>
      <c r="E16" s="12"/>
      <c r="F16" s="11">
        <v>105</v>
      </c>
      <c r="G16" s="11">
        <v>1.75</v>
      </c>
      <c r="H16" s="11">
        <v>0</v>
      </c>
      <c r="I16" s="12"/>
      <c r="J16" s="12"/>
      <c r="K16" s="12"/>
      <c r="L16" s="12"/>
      <c r="M16" s="73" t="s">
        <v>2838</v>
      </c>
      <c r="N16" s="11" t="s">
        <v>2864</v>
      </c>
      <c r="O16" s="11">
        <v>360</v>
      </c>
      <c r="P16" s="11">
        <v>360</v>
      </c>
      <c r="Q16" s="12">
        <v>6</v>
      </c>
      <c r="R16" s="12" t="s">
        <v>435</v>
      </c>
      <c r="S16" s="12"/>
      <c r="T16" s="12"/>
      <c r="U16" s="12"/>
      <c r="V16" s="12"/>
      <c r="W16" s="12"/>
      <c r="X16" s="12"/>
      <c r="Y16" s="12"/>
      <c r="Z16" s="12"/>
      <c r="AA16" s="12"/>
      <c r="AB16" s="73" t="s">
        <v>2838</v>
      </c>
      <c r="AC16" s="11" t="s">
        <v>2856</v>
      </c>
      <c r="AD16" s="11">
        <v>0</v>
      </c>
      <c r="AE16" s="11">
        <v>0</v>
      </c>
      <c r="AF16" s="11">
        <v>0</v>
      </c>
      <c r="AG16" s="11">
        <v>0</v>
      </c>
      <c r="AH16" s="12"/>
      <c r="AI16" s="12"/>
      <c r="AJ16" s="73" t="s">
        <v>2838</v>
      </c>
      <c r="AK16" s="11" t="s">
        <v>2865</v>
      </c>
      <c r="AL16" s="11">
        <v>0</v>
      </c>
      <c r="AM16" s="11">
        <v>0</v>
      </c>
      <c r="AN16" s="11">
        <v>0</v>
      </c>
      <c r="AO16" s="11">
        <v>0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61" t="s">
        <v>2866</v>
      </c>
      <c r="AZ16" s="61">
        <v>570</v>
      </c>
      <c r="BA16" s="79">
        <v>5000</v>
      </c>
      <c r="BB16" s="61">
        <v>990</v>
      </c>
      <c r="BC16" s="79">
        <v>5003</v>
      </c>
      <c r="BD16" s="61">
        <f t="shared" si="0"/>
        <v>420</v>
      </c>
      <c r="BE16" s="75">
        <f t="shared" si="1"/>
        <v>0.73684210526315785</v>
      </c>
      <c r="BF16" s="80">
        <f t="shared" si="2"/>
        <v>3</v>
      </c>
      <c r="BG16" s="75">
        <f t="shared" si="3"/>
        <v>5.9999999999999995E-4</v>
      </c>
      <c r="BH16" s="12"/>
      <c r="BI16" s="12"/>
    </row>
    <row r="17" spans="1:61" ht="15.75" customHeight="1">
      <c r="A17" s="73" t="s">
        <v>2836</v>
      </c>
      <c r="B17" s="11" t="s">
        <v>2861</v>
      </c>
      <c r="C17" s="11">
        <v>120</v>
      </c>
      <c r="D17" s="12"/>
      <c r="E17" s="12"/>
      <c r="F17" s="11">
        <v>120</v>
      </c>
      <c r="G17" s="11">
        <v>2</v>
      </c>
      <c r="H17" s="11">
        <v>0</v>
      </c>
      <c r="I17" s="12"/>
      <c r="J17" s="12"/>
      <c r="K17" s="12"/>
      <c r="L17" s="12"/>
      <c r="M17" s="73" t="s">
        <v>2838</v>
      </c>
      <c r="N17" s="74">
        <v>45080</v>
      </c>
      <c r="O17" s="11">
        <v>0</v>
      </c>
      <c r="P17" s="11">
        <v>0</v>
      </c>
      <c r="Q17" s="12" t="s">
        <v>435</v>
      </c>
      <c r="R17" s="12" t="s">
        <v>435</v>
      </c>
      <c r="S17" s="12"/>
      <c r="T17" s="12"/>
      <c r="U17" s="12"/>
      <c r="V17" s="12"/>
      <c r="W17" s="12"/>
      <c r="X17" s="12"/>
      <c r="Y17" s="12"/>
      <c r="Z17" s="12"/>
      <c r="AA17" s="12"/>
      <c r="AB17" s="73" t="s">
        <v>2838</v>
      </c>
      <c r="AC17" s="74">
        <v>44960</v>
      </c>
      <c r="AD17" s="11">
        <v>0</v>
      </c>
      <c r="AE17" s="11">
        <v>0</v>
      </c>
      <c r="AF17" s="11">
        <v>0</v>
      </c>
      <c r="AG17" s="11">
        <v>0</v>
      </c>
      <c r="AH17" s="12"/>
      <c r="AI17" s="12"/>
      <c r="AJ17" s="78" t="s">
        <v>2838</v>
      </c>
      <c r="AK17" s="11" t="s">
        <v>2867</v>
      </c>
      <c r="AL17" s="11">
        <v>90</v>
      </c>
      <c r="AM17" s="11">
        <v>90</v>
      </c>
      <c r="AN17" s="11">
        <v>1.5</v>
      </c>
      <c r="AO17" s="11">
        <v>0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61" t="s">
        <v>2868</v>
      </c>
      <c r="AZ17" s="61">
        <v>160</v>
      </c>
      <c r="BA17" s="61">
        <v>620</v>
      </c>
      <c r="BB17" s="61">
        <v>270</v>
      </c>
      <c r="BC17" s="61">
        <v>616</v>
      </c>
      <c r="BD17" s="61">
        <f t="shared" si="0"/>
        <v>110</v>
      </c>
      <c r="BE17" s="75">
        <f t="shared" si="1"/>
        <v>0.6875</v>
      </c>
      <c r="BF17" s="76">
        <f t="shared" si="2"/>
        <v>-4</v>
      </c>
      <c r="BG17" s="75">
        <f t="shared" si="3"/>
        <v>-6.4516129032258064E-3</v>
      </c>
      <c r="BH17" s="12"/>
      <c r="BI17" s="12"/>
    </row>
    <row r="18" spans="1:61" ht="15.75" customHeight="1">
      <c r="A18" s="73" t="s">
        <v>2836</v>
      </c>
      <c r="B18" s="77">
        <v>45141</v>
      </c>
      <c r="C18" s="11">
        <v>115.2</v>
      </c>
      <c r="D18" s="11">
        <v>10.199999999999999</v>
      </c>
      <c r="E18" s="11">
        <v>10.199999999999999</v>
      </c>
      <c r="F18" s="11">
        <v>135.6</v>
      </c>
      <c r="G18" s="11">
        <v>2.2599999999999998</v>
      </c>
      <c r="H18" s="11">
        <v>0</v>
      </c>
      <c r="I18" s="12"/>
      <c r="J18" s="12"/>
      <c r="K18" s="12"/>
      <c r="L18" s="12"/>
      <c r="M18" s="73" t="s">
        <v>2838</v>
      </c>
      <c r="N18" s="11" t="s">
        <v>2869</v>
      </c>
      <c r="O18" s="11">
        <v>225</v>
      </c>
      <c r="P18" s="11">
        <v>225</v>
      </c>
      <c r="Q18" s="12">
        <v>3.75</v>
      </c>
      <c r="R18" s="12" t="s">
        <v>435</v>
      </c>
      <c r="S18" s="12"/>
      <c r="T18" s="12"/>
      <c r="U18" s="12"/>
      <c r="V18" s="12"/>
      <c r="W18" s="12"/>
      <c r="X18" s="12"/>
      <c r="Y18" s="12"/>
      <c r="Z18" s="12"/>
      <c r="AA18" s="12"/>
      <c r="AB18" s="73" t="s">
        <v>2838</v>
      </c>
      <c r="AC18" s="74">
        <v>44988</v>
      </c>
      <c r="AD18" s="11">
        <v>60</v>
      </c>
      <c r="AE18" s="11">
        <v>60</v>
      </c>
      <c r="AF18" s="11">
        <v>1</v>
      </c>
      <c r="AG18" s="11">
        <v>0</v>
      </c>
      <c r="AH18" s="12"/>
      <c r="AI18" s="12"/>
      <c r="AJ18" s="81" t="s">
        <v>2828</v>
      </c>
      <c r="AK18" s="81"/>
      <c r="AL18" s="82">
        <v>1875</v>
      </c>
      <c r="AM18" s="82">
        <v>1875</v>
      </c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61" t="s">
        <v>2870</v>
      </c>
      <c r="AZ18" s="79">
        <v>2700</v>
      </c>
      <c r="BA18" s="79">
        <v>10000</v>
      </c>
      <c r="BB18" s="79">
        <v>4455</v>
      </c>
      <c r="BC18" s="79">
        <v>10032</v>
      </c>
      <c r="BD18" s="79">
        <f t="shared" si="0"/>
        <v>1755</v>
      </c>
      <c r="BE18" s="75">
        <f t="shared" si="1"/>
        <v>0.65</v>
      </c>
      <c r="BF18" s="80">
        <f t="shared" si="2"/>
        <v>32</v>
      </c>
      <c r="BG18" s="75">
        <f t="shared" si="3"/>
        <v>3.2000000000000002E-3</v>
      </c>
      <c r="BH18" s="12"/>
      <c r="BI18" s="12"/>
    </row>
    <row r="19" spans="1:61" ht="15.75" customHeight="1">
      <c r="A19" s="73" t="s">
        <v>2836</v>
      </c>
      <c r="B19" s="77">
        <v>45172</v>
      </c>
      <c r="C19" s="12"/>
      <c r="D19" s="12"/>
      <c r="E19" s="11">
        <v>60</v>
      </c>
      <c r="F19" s="11">
        <v>60</v>
      </c>
      <c r="G19" s="11">
        <v>1</v>
      </c>
      <c r="H19" s="11">
        <v>0</v>
      </c>
      <c r="I19" s="12"/>
      <c r="J19" s="12"/>
      <c r="K19" s="12"/>
      <c r="L19" s="12"/>
      <c r="M19" s="73" t="s">
        <v>2838</v>
      </c>
      <c r="N19" s="11" t="s">
        <v>2839</v>
      </c>
      <c r="O19" s="11">
        <v>360</v>
      </c>
      <c r="P19" s="11">
        <v>360</v>
      </c>
      <c r="Q19" s="12">
        <v>6</v>
      </c>
      <c r="R19" s="12" t="s">
        <v>435</v>
      </c>
      <c r="S19" s="12"/>
      <c r="T19" s="12"/>
      <c r="U19" s="12"/>
      <c r="V19" s="12"/>
      <c r="W19" s="12"/>
      <c r="X19" s="12"/>
      <c r="Y19" s="12"/>
      <c r="Z19" s="12"/>
      <c r="AA19" s="12"/>
      <c r="AB19" s="73" t="s">
        <v>2838</v>
      </c>
      <c r="AC19" s="11" t="s">
        <v>2871</v>
      </c>
      <c r="AD19" s="11">
        <v>15</v>
      </c>
      <c r="AE19" s="11">
        <v>15</v>
      </c>
      <c r="AF19" s="11">
        <v>0.25</v>
      </c>
      <c r="AG19" s="11">
        <v>0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61" t="s">
        <v>2872</v>
      </c>
      <c r="AZ19" s="61">
        <v>140</v>
      </c>
      <c r="BA19" s="61">
        <v>200</v>
      </c>
      <c r="BB19" s="61">
        <v>225</v>
      </c>
      <c r="BC19" s="61">
        <v>204</v>
      </c>
      <c r="BD19" s="61">
        <f t="shared" si="0"/>
        <v>85</v>
      </c>
      <c r="BE19" s="75">
        <f t="shared" si="1"/>
        <v>0.6071428571428571</v>
      </c>
      <c r="BF19" s="76">
        <f t="shared" si="2"/>
        <v>4</v>
      </c>
      <c r="BG19" s="75">
        <f t="shared" si="3"/>
        <v>0.02</v>
      </c>
      <c r="BH19" s="12"/>
      <c r="BI19" s="12"/>
    </row>
    <row r="20" spans="1:61" ht="15.75" customHeight="1">
      <c r="A20" s="73" t="s">
        <v>2836</v>
      </c>
      <c r="B20" s="77">
        <v>45202</v>
      </c>
      <c r="C20" s="11">
        <v>166.8</v>
      </c>
      <c r="D20" s="11">
        <v>31.8</v>
      </c>
      <c r="E20" s="11">
        <v>60</v>
      </c>
      <c r="F20" s="11">
        <v>258.60000000000002</v>
      </c>
      <c r="G20" s="11">
        <v>4.3099999999999996</v>
      </c>
      <c r="H20" s="11">
        <v>0</v>
      </c>
      <c r="I20" s="12"/>
      <c r="J20" s="12"/>
      <c r="K20" s="12"/>
      <c r="L20" s="12"/>
      <c r="M20" s="73" t="s">
        <v>2838</v>
      </c>
      <c r="N20" s="11" t="s">
        <v>2843</v>
      </c>
      <c r="O20" s="11">
        <v>180</v>
      </c>
      <c r="P20" s="11">
        <v>180</v>
      </c>
      <c r="Q20" s="12">
        <v>3</v>
      </c>
      <c r="R20" s="12" t="s">
        <v>435</v>
      </c>
      <c r="S20" s="12"/>
      <c r="T20" s="12"/>
      <c r="U20" s="12"/>
      <c r="V20" s="12"/>
      <c r="W20" s="12"/>
      <c r="X20" s="12"/>
      <c r="Y20" s="12"/>
      <c r="Z20" s="12"/>
      <c r="AA20" s="12"/>
      <c r="AB20" s="73" t="s">
        <v>2838</v>
      </c>
      <c r="AC20" s="11" t="s">
        <v>2873</v>
      </c>
      <c r="AD20" s="11">
        <v>345</v>
      </c>
      <c r="AE20" s="11">
        <v>345</v>
      </c>
      <c r="AF20" s="11">
        <v>5.75</v>
      </c>
      <c r="AG20" s="11">
        <v>0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61" t="s">
        <v>2874</v>
      </c>
      <c r="AZ20" s="79">
        <v>1600</v>
      </c>
      <c r="BA20" s="79">
        <v>10000</v>
      </c>
      <c r="BB20" s="79">
        <v>2490</v>
      </c>
      <c r="BC20" s="79">
        <v>10025</v>
      </c>
      <c r="BD20" s="79">
        <f t="shared" si="0"/>
        <v>890</v>
      </c>
      <c r="BE20" s="75">
        <f t="shared" si="1"/>
        <v>0.55625000000000002</v>
      </c>
      <c r="BF20" s="80">
        <f t="shared" si="2"/>
        <v>25</v>
      </c>
      <c r="BG20" s="75">
        <f t="shared" si="3"/>
        <v>2.5000000000000001E-3</v>
      </c>
      <c r="BH20" s="12"/>
      <c r="BI20" s="12"/>
    </row>
    <row r="21" spans="1:61" ht="15.75" customHeight="1">
      <c r="A21" s="73" t="s">
        <v>2836</v>
      </c>
      <c r="B21" s="11" t="s">
        <v>2871</v>
      </c>
      <c r="C21" s="11">
        <v>390</v>
      </c>
      <c r="D21" s="12"/>
      <c r="E21" s="11">
        <v>190.2</v>
      </c>
      <c r="F21" s="11">
        <v>580.20000000000005</v>
      </c>
      <c r="G21" s="11">
        <v>9.67</v>
      </c>
      <c r="H21" s="11">
        <v>0</v>
      </c>
      <c r="I21" s="12"/>
      <c r="J21" s="12"/>
      <c r="K21" s="12"/>
      <c r="L21" s="12"/>
      <c r="M21" s="73" t="s">
        <v>2838</v>
      </c>
      <c r="N21" s="11" t="s">
        <v>2875</v>
      </c>
      <c r="O21" s="11">
        <v>360</v>
      </c>
      <c r="P21" s="11">
        <v>360</v>
      </c>
      <c r="Q21" s="12">
        <v>6</v>
      </c>
      <c r="R21" s="12" t="s">
        <v>435</v>
      </c>
      <c r="S21" s="12"/>
      <c r="T21" s="12"/>
      <c r="U21" s="12"/>
      <c r="V21" s="12"/>
      <c r="W21" s="12"/>
      <c r="X21" s="12"/>
      <c r="Y21" s="12"/>
      <c r="Z21" s="12"/>
      <c r="AA21" s="12"/>
      <c r="AB21" s="73" t="s">
        <v>2838</v>
      </c>
      <c r="AC21" s="11" t="s">
        <v>2869</v>
      </c>
      <c r="AD21" s="11">
        <v>480</v>
      </c>
      <c r="AE21" s="11">
        <v>480</v>
      </c>
      <c r="AF21" s="11">
        <v>8</v>
      </c>
      <c r="AG21" s="11">
        <v>0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61" t="s">
        <v>2876</v>
      </c>
      <c r="AZ21" s="79">
        <v>1600</v>
      </c>
      <c r="BA21" s="79">
        <v>10000</v>
      </c>
      <c r="BB21" s="79">
        <v>2475</v>
      </c>
      <c r="BC21" s="79">
        <v>10024</v>
      </c>
      <c r="BD21" s="79">
        <f t="shared" si="0"/>
        <v>875</v>
      </c>
      <c r="BE21" s="75">
        <f t="shared" si="1"/>
        <v>0.546875</v>
      </c>
      <c r="BF21" s="80">
        <f t="shared" si="2"/>
        <v>24</v>
      </c>
      <c r="BG21" s="75">
        <f t="shared" si="3"/>
        <v>2.3999999999999998E-3</v>
      </c>
      <c r="BH21" s="12"/>
      <c r="BI21" s="12"/>
    </row>
    <row r="22" spans="1:61" ht="15.75" customHeight="1">
      <c r="A22" s="73" t="s">
        <v>2836</v>
      </c>
      <c r="B22" s="11" t="s">
        <v>2877</v>
      </c>
      <c r="C22" s="11">
        <v>520.79999999999995</v>
      </c>
      <c r="D22" s="11">
        <v>76.8</v>
      </c>
      <c r="E22" s="12"/>
      <c r="F22" s="11">
        <v>597.6</v>
      </c>
      <c r="G22" s="11">
        <v>9.9600000000000009</v>
      </c>
      <c r="H22" s="11">
        <v>0</v>
      </c>
      <c r="I22" s="12"/>
      <c r="J22" s="12"/>
      <c r="K22" s="12"/>
      <c r="L22" s="12"/>
      <c r="M22" s="73" t="s">
        <v>2838</v>
      </c>
      <c r="N22" s="11" t="s">
        <v>2878</v>
      </c>
      <c r="O22" s="11">
        <v>180</v>
      </c>
      <c r="P22" s="11">
        <v>180</v>
      </c>
      <c r="Q22" s="12">
        <v>3</v>
      </c>
      <c r="R22" s="12" t="s">
        <v>435</v>
      </c>
      <c r="S22" s="12"/>
      <c r="T22" s="12"/>
      <c r="U22" s="12"/>
      <c r="V22" s="12"/>
      <c r="W22" s="12"/>
      <c r="X22" s="12"/>
      <c r="Y22" s="12"/>
      <c r="Z22" s="12"/>
      <c r="AA22" s="12"/>
      <c r="AB22" s="73" t="s">
        <v>2838</v>
      </c>
      <c r="AC22" s="11" t="s">
        <v>2839</v>
      </c>
      <c r="AD22" s="11">
        <v>180</v>
      </c>
      <c r="AE22" s="11">
        <v>180</v>
      </c>
      <c r="AF22" s="11">
        <v>3</v>
      </c>
      <c r="AG22" s="11">
        <v>0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61" t="s">
        <v>2879</v>
      </c>
      <c r="AZ22" s="61">
        <v>525</v>
      </c>
      <c r="BA22" s="79">
        <v>2500</v>
      </c>
      <c r="BB22" s="61">
        <v>810</v>
      </c>
      <c r="BC22" s="79">
        <v>2500</v>
      </c>
      <c r="BD22" s="61">
        <f t="shared" si="0"/>
        <v>285</v>
      </c>
      <c r="BE22" s="75">
        <f t="shared" si="1"/>
        <v>0.54285714285714282</v>
      </c>
      <c r="BF22" s="80">
        <f t="shared" si="2"/>
        <v>0</v>
      </c>
      <c r="BG22" s="75">
        <f t="shared" si="3"/>
        <v>0</v>
      </c>
      <c r="BH22" s="12"/>
      <c r="BI22" s="12"/>
    </row>
    <row r="23" spans="1:61" ht="15.75" customHeight="1">
      <c r="A23" s="73" t="s">
        <v>2836</v>
      </c>
      <c r="B23" s="11" t="s">
        <v>2869</v>
      </c>
      <c r="C23" s="12"/>
      <c r="D23" s="12"/>
      <c r="E23" s="11">
        <v>25.2</v>
      </c>
      <c r="F23" s="11">
        <v>25.2</v>
      </c>
      <c r="G23" s="11">
        <v>0.42</v>
      </c>
      <c r="H23" s="11">
        <v>0</v>
      </c>
      <c r="I23" s="12"/>
      <c r="J23" s="12"/>
      <c r="K23" s="12"/>
      <c r="L23" s="12"/>
      <c r="M23" s="73" t="s">
        <v>2838</v>
      </c>
      <c r="N23" s="11" t="s">
        <v>2845</v>
      </c>
      <c r="O23" s="11">
        <v>180</v>
      </c>
      <c r="P23" s="11">
        <v>180</v>
      </c>
      <c r="Q23" s="12">
        <v>3</v>
      </c>
      <c r="R23" s="12" t="s">
        <v>435</v>
      </c>
      <c r="S23" s="12"/>
      <c r="T23" s="12"/>
      <c r="U23" s="12"/>
      <c r="V23" s="12"/>
      <c r="W23" s="12"/>
      <c r="X23" s="12"/>
      <c r="Y23" s="12"/>
      <c r="Z23" s="12"/>
      <c r="AA23" s="12"/>
      <c r="AB23" s="73" t="s">
        <v>2838</v>
      </c>
      <c r="AC23" s="11" t="s">
        <v>2843</v>
      </c>
      <c r="AD23" s="11">
        <v>60</v>
      </c>
      <c r="AE23" s="11">
        <v>60</v>
      </c>
      <c r="AF23" s="11">
        <v>1</v>
      </c>
      <c r="AG23" s="11">
        <v>0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61" t="s">
        <v>2880</v>
      </c>
      <c r="AZ23" s="61">
        <v>60</v>
      </c>
      <c r="BA23" s="61">
        <v>70</v>
      </c>
      <c r="BB23" s="61">
        <v>90</v>
      </c>
      <c r="BC23" s="61">
        <v>73</v>
      </c>
      <c r="BD23" s="61">
        <f t="shared" si="0"/>
        <v>30</v>
      </c>
      <c r="BE23" s="75">
        <f t="shared" si="1"/>
        <v>0.5</v>
      </c>
      <c r="BF23" s="76">
        <f t="shared" si="2"/>
        <v>3</v>
      </c>
      <c r="BG23" s="75">
        <f t="shared" si="3"/>
        <v>4.2857142857142858E-2</v>
      </c>
      <c r="BH23" s="12"/>
      <c r="BI23" s="12"/>
    </row>
    <row r="24" spans="1:61" ht="15.75" customHeight="1">
      <c r="A24" s="73" t="s">
        <v>2836</v>
      </c>
      <c r="B24" s="11" t="s">
        <v>2839</v>
      </c>
      <c r="C24" s="11">
        <v>175.2</v>
      </c>
      <c r="D24" s="12"/>
      <c r="E24" s="11">
        <v>25.2</v>
      </c>
      <c r="F24" s="11">
        <v>200.4</v>
      </c>
      <c r="G24" s="11">
        <v>3.34</v>
      </c>
      <c r="H24" s="11">
        <v>0</v>
      </c>
      <c r="I24" s="12"/>
      <c r="J24" s="12"/>
      <c r="K24" s="12"/>
      <c r="L24" s="12"/>
      <c r="M24" s="73" t="s">
        <v>2838</v>
      </c>
      <c r="N24" s="11" t="s">
        <v>2881</v>
      </c>
      <c r="O24" s="11">
        <v>1080</v>
      </c>
      <c r="P24" s="11">
        <v>1080</v>
      </c>
      <c r="Q24" s="12">
        <v>18</v>
      </c>
      <c r="R24" s="12">
        <v>10</v>
      </c>
      <c r="S24" s="12"/>
      <c r="T24" s="12"/>
      <c r="U24" s="12"/>
      <c r="V24" s="12"/>
      <c r="W24" s="12"/>
      <c r="X24" s="12"/>
      <c r="Y24" s="12"/>
      <c r="Z24" s="12"/>
      <c r="AA24" s="12"/>
      <c r="AB24" s="73" t="s">
        <v>2838</v>
      </c>
      <c r="AC24" s="11" t="s">
        <v>2882</v>
      </c>
      <c r="AD24" s="11">
        <v>300</v>
      </c>
      <c r="AE24" s="11">
        <v>300</v>
      </c>
      <c r="AF24" s="11">
        <v>5</v>
      </c>
      <c r="AG24" s="11">
        <v>0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61" t="s">
        <v>2883</v>
      </c>
      <c r="AZ24" s="61">
        <v>40</v>
      </c>
      <c r="BA24" s="61">
        <v>40</v>
      </c>
      <c r="BB24" s="61">
        <v>60</v>
      </c>
      <c r="BC24" s="61">
        <v>42</v>
      </c>
      <c r="BD24" s="61">
        <f t="shared" si="0"/>
        <v>20</v>
      </c>
      <c r="BE24" s="75">
        <f t="shared" si="1"/>
        <v>0.5</v>
      </c>
      <c r="BF24" s="76">
        <f t="shared" si="2"/>
        <v>2</v>
      </c>
      <c r="BG24" s="75">
        <f t="shared" si="3"/>
        <v>0.05</v>
      </c>
      <c r="BH24" s="12"/>
      <c r="BI24" s="12"/>
    </row>
    <row r="25" spans="1:61" ht="15.75" customHeight="1">
      <c r="A25" s="73" t="s">
        <v>2836</v>
      </c>
      <c r="B25" s="11" t="s">
        <v>2843</v>
      </c>
      <c r="C25" s="11">
        <v>210</v>
      </c>
      <c r="D25" s="11">
        <v>30</v>
      </c>
      <c r="E25" s="12"/>
      <c r="F25" s="11">
        <v>240</v>
      </c>
      <c r="G25" s="11">
        <v>4</v>
      </c>
      <c r="H25" s="11">
        <v>0</v>
      </c>
      <c r="I25" s="12"/>
      <c r="J25" s="12"/>
      <c r="K25" s="12"/>
      <c r="L25" s="12"/>
      <c r="M25" s="73" t="s">
        <v>2838</v>
      </c>
      <c r="N25" s="11" t="s">
        <v>2884</v>
      </c>
      <c r="O25" s="11">
        <v>1060</v>
      </c>
      <c r="P25" s="11">
        <v>1060</v>
      </c>
      <c r="Q25" s="12">
        <v>17.670000000000002</v>
      </c>
      <c r="R25" s="12">
        <v>9.67</v>
      </c>
      <c r="S25" s="12"/>
      <c r="T25" s="12"/>
      <c r="U25" s="12"/>
      <c r="V25" s="12"/>
      <c r="W25" s="12"/>
      <c r="X25" s="12"/>
      <c r="Y25" s="12"/>
      <c r="Z25" s="12"/>
      <c r="AA25" s="12"/>
      <c r="AB25" s="73" t="s">
        <v>2838</v>
      </c>
      <c r="AC25" s="11" t="s">
        <v>2885</v>
      </c>
      <c r="AD25" s="11">
        <v>270</v>
      </c>
      <c r="AE25" s="11">
        <v>270</v>
      </c>
      <c r="AF25" s="11">
        <v>4.5</v>
      </c>
      <c r="AG25" s="11">
        <v>0</v>
      </c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61" t="s">
        <v>2886</v>
      </c>
      <c r="AZ25" s="61">
        <v>220</v>
      </c>
      <c r="BA25" s="79">
        <v>1000</v>
      </c>
      <c r="BB25" s="61">
        <v>330</v>
      </c>
      <c r="BC25" s="79">
        <v>1002</v>
      </c>
      <c r="BD25" s="61">
        <f t="shared" si="0"/>
        <v>110</v>
      </c>
      <c r="BE25" s="75">
        <f t="shared" si="1"/>
        <v>0.5</v>
      </c>
      <c r="BF25" s="80">
        <f t="shared" si="2"/>
        <v>2</v>
      </c>
      <c r="BG25" s="75">
        <f t="shared" si="3"/>
        <v>2E-3</v>
      </c>
      <c r="BH25" s="12"/>
      <c r="BI25" s="12"/>
    </row>
    <row r="26" spans="1:61" ht="15.75" customHeight="1">
      <c r="A26" s="73" t="s">
        <v>2836</v>
      </c>
      <c r="B26" s="11" t="s">
        <v>2875</v>
      </c>
      <c r="C26" s="12"/>
      <c r="D26" s="12"/>
      <c r="E26" s="11">
        <v>124.8</v>
      </c>
      <c r="F26" s="11">
        <v>124.8</v>
      </c>
      <c r="G26" s="11">
        <v>2.08</v>
      </c>
      <c r="H26" s="11">
        <v>0</v>
      </c>
      <c r="I26" s="12"/>
      <c r="J26" s="12"/>
      <c r="K26" s="12"/>
      <c r="L26" s="12"/>
      <c r="M26" s="73" t="s">
        <v>2838</v>
      </c>
      <c r="N26" s="74">
        <v>45081</v>
      </c>
      <c r="O26" s="11">
        <v>750</v>
      </c>
      <c r="P26" s="11">
        <v>750</v>
      </c>
      <c r="Q26" s="12">
        <v>12.5</v>
      </c>
      <c r="R26" s="12">
        <v>4.5</v>
      </c>
      <c r="S26" s="12"/>
      <c r="T26" s="12"/>
      <c r="U26" s="12"/>
      <c r="V26" s="12"/>
      <c r="W26" s="12"/>
      <c r="X26" s="12"/>
      <c r="Y26" s="12"/>
      <c r="Z26" s="12"/>
      <c r="AA26" s="12"/>
      <c r="AB26" s="73" t="s">
        <v>2838</v>
      </c>
      <c r="AC26" s="11" t="s">
        <v>2887</v>
      </c>
      <c r="AD26" s="11">
        <v>420</v>
      </c>
      <c r="AE26" s="11">
        <v>420</v>
      </c>
      <c r="AF26" s="11">
        <v>7</v>
      </c>
      <c r="AG26" s="11">
        <v>0</v>
      </c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61" t="s">
        <v>2888</v>
      </c>
      <c r="AZ26" s="61">
        <v>60</v>
      </c>
      <c r="BA26" s="61">
        <v>70</v>
      </c>
      <c r="BB26" s="61">
        <v>90</v>
      </c>
      <c r="BC26" s="61">
        <v>71</v>
      </c>
      <c r="BD26" s="61">
        <f t="shared" si="0"/>
        <v>30</v>
      </c>
      <c r="BE26" s="75">
        <f t="shared" si="1"/>
        <v>0.5</v>
      </c>
      <c r="BF26" s="76">
        <f t="shared" si="2"/>
        <v>1</v>
      </c>
      <c r="BG26" s="75">
        <f t="shared" si="3"/>
        <v>1.4285714285714285E-2</v>
      </c>
      <c r="BH26" s="12"/>
      <c r="BI26" s="12"/>
    </row>
    <row r="27" spans="1:61" ht="15.75" customHeight="1">
      <c r="A27" s="73" t="s">
        <v>2836</v>
      </c>
      <c r="B27" s="11" t="s">
        <v>2878</v>
      </c>
      <c r="C27" s="11">
        <v>211.8</v>
      </c>
      <c r="D27" s="11">
        <v>30</v>
      </c>
      <c r="E27" s="11">
        <v>105</v>
      </c>
      <c r="F27" s="11">
        <v>346.8</v>
      </c>
      <c r="G27" s="11">
        <v>5.78</v>
      </c>
      <c r="H27" s="11">
        <v>0</v>
      </c>
      <c r="I27" s="12"/>
      <c r="J27" s="12"/>
      <c r="K27" s="12"/>
      <c r="L27" s="12"/>
      <c r="M27" s="73" t="s">
        <v>2838</v>
      </c>
      <c r="N27" s="74">
        <v>45111</v>
      </c>
      <c r="O27" s="11">
        <v>555</v>
      </c>
      <c r="P27" s="11">
        <v>555</v>
      </c>
      <c r="Q27" s="12">
        <v>9.25</v>
      </c>
      <c r="R27" s="12">
        <v>1.25</v>
      </c>
      <c r="S27" s="12"/>
      <c r="T27" s="12"/>
      <c r="U27" s="12"/>
      <c r="V27" s="12"/>
      <c r="W27" s="12"/>
      <c r="X27" s="12"/>
      <c r="Y27" s="12"/>
      <c r="Z27" s="12"/>
      <c r="AA27" s="12"/>
      <c r="AB27" s="73" t="s">
        <v>2838</v>
      </c>
      <c r="AC27" s="11" t="s">
        <v>2889</v>
      </c>
      <c r="AD27" s="11">
        <v>420</v>
      </c>
      <c r="AE27" s="11">
        <v>420</v>
      </c>
      <c r="AF27" s="11">
        <v>7</v>
      </c>
      <c r="AG27" s="11">
        <v>0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61" t="s">
        <v>2890</v>
      </c>
      <c r="AZ27" s="61">
        <v>360</v>
      </c>
      <c r="BA27" s="79">
        <v>1460</v>
      </c>
      <c r="BB27" s="61">
        <v>510</v>
      </c>
      <c r="BC27" s="79">
        <v>1437</v>
      </c>
      <c r="BD27" s="61">
        <f t="shared" si="0"/>
        <v>150</v>
      </c>
      <c r="BE27" s="75">
        <f t="shared" si="1"/>
        <v>0.41666666666666669</v>
      </c>
      <c r="BF27" s="80">
        <f t="shared" si="2"/>
        <v>-23</v>
      </c>
      <c r="BG27" s="75">
        <f t="shared" si="3"/>
        <v>-1.5753424657534248E-2</v>
      </c>
      <c r="BH27" s="12"/>
      <c r="BI27" s="12"/>
    </row>
    <row r="28" spans="1:61" ht="15.75" customHeight="1">
      <c r="A28" s="73" t="s">
        <v>2836</v>
      </c>
      <c r="B28" s="11" t="s">
        <v>2885</v>
      </c>
      <c r="C28" s="11">
        <v>481.2</v>
      </c>
      <c r="D28" s="11">
        <v>30</v>
      </c>
      <c r="E28" s="11">
        <v>105</v>
      </c>
      <c r="F28" s="11">
        <v>616.20000000000005</v>
      </c>
      <c r="G28" s="11">
        <v>10.27</v>
      </c>
      <c r="H28" s="11">
        <v>0</v>
      </c>
      <c r="I28" s="12"/>
      <c r="J28" s="12"/>
      <c r="K28" s="12"/>
      <c r="L28" s="12"/>
      <c r="M28" s="73" t="s">
        <v>2838</v>
      </c>
      <c r="N28" s="74">
        <v>45203</v>
      </c>
      <c r="O28" s="11">
        <v>435</v>
      </c>
      <c r="P28" s="11">
        <v>435</v>
      </c>
      <c r="Q28" s="12">
        <v>7.25</v>
      </c>
      <c r="R28" s="12" t="s">
        <v>435</v>
      </c>
      <c r="S28" s="12"/>
      <c r="T28" s="12"/>
      <c r="U28" s="12"/>
      <c r="V28" s="12"/>
      <c r="W28" s="12"/>
      <c r="X28" s="12"/>
      <c r="Y28" s="12"/>
      <c r="Z28" s="12"/>
      <c r="AA28" s="12"/>
      <c r="AB28" s="73" t="s">
        <v>2838</v>
      </c>
      <c r="AC28" s="11" t="s">
        <v>2845</v>
      </c>
      <c r="AD28" s="11">
        <v>210</v>
      </c>
      <c r="AE28" s="11">
        <v>210</v>
      </c>
      <c r="AF28" s="11">
        <v>3.5</v>
      </c>
      <c r="AG28" s="11">
        <v>0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61" t="s">
        <v>2891</v>
      </c>
      <c r="AZ28" s="61">
        <v>480</v>
      </c>
      <c r="BA28" s="79">
        <v>2000</v>
      </c>
      <c r="BB28" s="61">
        <v>675</v>
      </c>
      <c r="BC28" s="79">
        <v>2017</v>
      </c>
      <c r="BD28" s="61">
        <f t="shared" si="0"/>
        <v>195</v>
      </c>
      <c r="BE28" s="75">
        <f t="shared" si="1"/>
        <v>0.40625</v>
      </c>
      <c r="BF28" s="80">
        <f t="shared" si="2"/>
        <v>17</v>
      </c>
      <c r="BG28" s="75">
        <f t="shared" si="3"/>
        <v>8.5000000000000006E-3</v>
      </c>
      <c r="BH28" s="12"/>
      <c r="BI28" s="12"/>
    </row>
    <row r="29" spans="1:61" ht="15.75" customHeight="1">
      <c r="A29" s="73" t="s">
        <v>2836</v>
      </c>
      <c r="B29" s="11" t="s">
        <v>2887</v>
      </c>
      <c r="C29" s="11">
        <v>258</v>
      </c>
      <c r="D29" s="11">
        <v>15</v>
      </c>
      <c r="E29" s="11">
        <v>105</v>
      </c>
      <c r="F29" s="11">
        <v>378</v>
      </c>
      <c r="G29" s="11">
        <v>6.3</v>
      </c>
      <c r="H29" s="11">
        <v>0</v>
      </c>
      <c r="I29" s="12"/>
      <c r="J29" s="12"/>
      <c r="K29" s="12"/>
      <c r="L29" s="12"/>
      <c r="M29" s="73" t="s">
        <v>2838</v>
      </c>
      <c r="N29" s="74">
        <v>45234</v>
      </c>
      <c r="O29" s="11">
        <v>405</v>
      </c>
      <c r="P29" s="11">
        <v>405</v>
      </c>
      <c r="Q29" s="12">
        <v>6.75</v>
      </c>
      <c r="R29" s="12" t="s">
        <v>435</v>
      </c>
      <c r="S29" s="12"/>
      <c r="T29" s="12"/>
      <c r="U29" s="12"/>
      <c r="V29" s="12"/>
      <c r="W29" s="12"/>
      <c r="X29" s="12"/>
      <c r="Y29" s="12"/>
      <c r="Z29" s="12"/>
      <c r="AA29" s="12"/>
      <c r="AB29" s="73" t="s">
        <v>2838</v>
      </c>
      <c r="AC29" s="74">
        <v>45203</v>
      </c>
      <c r="AD29" s="11">
        <v>180</v>
      </c>
      <c r="AE29" s="11">
        <v>180</v>
      </c>
      <c r="AF29" s="11">
        <v>3</v>
      </c>
      <c r="AG29" s="11">
        <v>0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61" t="s">
        <v>2892</v>
      </c>
      <c r="AZ29" s="61">
        <v>940</v>
      </c>
      <c r="BA29" s="79">
        <v>3000</v>
      </c>
      <c r="BB29" s="79">
        <v>1320</v>
      </c>
      <c r="BC29" s="79">
        <v>3462</v>
      </c>
      <c r="BD29" s="79">
        <f t="shared" si="0"/>
        <v>380</v>
      </c>
      <c r="BE29" s="75">
        <f t="shared" si="1"/>
        <v>0.40425531914893614</v>
      </c>
      <c r="BF29" s="80">
        <f t="shared" si="2"/>
        <v>462</v>
      </c>
      <c r="BG29" s="75">
        <f t="shared" si="3"/>
        <v>0.154</v>
      </c>
      <c r="BH29" s="12"/>
      <c r="BI29" s="12"/>
    </row>
    <row r="30" spans="1:61" ht="15.75" customHeight="1">
      <c r="A30" s="73" t="s">
        <v>2836</v>
      </c>
      <c r="B30" s="11" t="s">
        <v>2889</v>
      </c>
      <c r="C30" s="11">
        <v>234</v>
      </c>
      <c r="D30" s="11">
        <v>15</v>
      </c>
      <c r="E30" s="11">
        <v>150</v>
      </c>
      <c r="F30" s="11">
        <v>399</v>
      </c>
      <c r="G30" s="11">
        <v>6.65</v>
      </c>
      <c r="H30" s="11">
        <v>0</v>
      </c>
      <c r="I30" s="12"/>
      <c r="J30" s="12"/>
      <c r="K30" s="12"/>
      <c r="L30" s="12"/>
      <c r="M30" s="73" t="s">
        <v>2838</v>
      </c>
      <c r="N30" s="74">
        <v>45264</v>
      </c>
      <c r="O30" s="11">
        <v>0</v>
      </c>
      <c r="P30" s="11">
        <v>0</v>
      </c>
      <c r="Q30" s="12" t="s">
        <v>435</v>
      </c>
      <c r="R30" s="12" t="s">
        <v>435</v>
      </c>
      <c r="S30" s="12"/>
      <c r="T30" s="12"/>
      <c r="U30" s="12"/>
      <c r="V30" s="12"/>
      <c r="W30" s="12"/>
      <c r="X30" s="12"/>
      <c r="Y30" s="12"/>
      <c r="Z30" s="12"/>
      <c r="AA30" s="12"/>
      <c r="AB30" s="73" t="s">
        <v>2838</v>
      </c>
      <c r="AC30" s="74">
        <v>45234</v>
      </c>
      <c r="AD30" s="11">
        <v>75</v>
      </c>
      <c r="AE30" s="11">
        <v>75</v>
      </c>
      <c r="AF30" s="11">
        <v>1.25</v>
      </c>
      <c r="AG30" s="11">
        <v>0</v>
      </c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61" t="s">
        <v>2893</v>
      </c>
      <c r="AZ30" s="61">
        <v>900</v>
      </c>
      <c r="BA30" s="79">
        <v>2500</v>
      </c>
      <c r="BB30" s="79">
        <v>1260</v>
      </c>
      <c r="BC30" s="79">
        <v>2503</v>
      </c>
      <c r="BD30" s="79">
        <f t="shared" si="0"/>
        <v>360</v>
      </c>
      <c r="BE30" s="75">
        <f t="shared" si="1"/>
        <v>0.4</v>
      </c>
      <c r="BF30" s="80">
        <f t="shared" si="2"/>
        <v>3</v>
      </c>
      <c r="BG30" s="75">
        <f t="shared" si="3"/>
        <v>1.1999999999999999E-3</v>
      </c>
      <c r="BH30" s="12"/>
      <c r="BI30" s="12"/>
    </row>
    <row r="31" spans="1:61" ht="15.75" customHeight="1">
      <c r="A31" s="73" t="s">
        <v>2836</v>
      </c>
      <c r="B31" s="11" t="s">
        <v>2845</v>
      </c>
      <c r="C31" s="11">
        <v>625.20000000000005</v>
      </c>
      <c r="D31" s="11">
        <v>30</v>
      </c>
      <c r="E31" s="11">
        <v>120</v>
      </c>
      <c r="F31" s="11">
        <v>775.2</v>
      </c>
      <c r="G31" s="11">
        <v>12.92</v>
      </c>
      <c r="H31" s="11">
        <v>0</v>
      </c>
      <c r="I31" s="12"/>
      <c r="J31" s="12"/>
      <c r="K31" s="12"/>
      <c r="L31" s="12"/>
      <c r="M31" s="73" t="s">
        <v>2838</v>
      </c>
      <c r="N31" s="11" t="s">
        <v>2854</v>
      </c>
      <c r="O31" s="11">
        <v>195</v>
      </c>
      <c r="P31" s="11">
        <v>195</v>
      </c>
      <c r="Q31" s="12">
        <v>3.25</v>
      </c>
      <c r="R31" s="12" t="s">
        <v>435</v>
      </c>
      <c r="S31" s="12"/>
      <c r="T31" s="12"/>
      <c r="U31" s="12"/>
      <c r="V31" s="12"/>
      <c r="W31" s="12"/>
      <c r="X31" s="12"/>
      <c r="Y31" s="12"/>
      <c r="Z31" s="12"/>
      <c r="AA31" s="12"/>
      <c r="AB31" s="73" t="s">
        <v>2838</v>
      </c>
      <c r="AC31" s="74">
        <v>45264</v>
      </c>
      <c r="AD31" s="11">
        <v>165</v>
      </c>
      <c r="AE31" s="11">
        <v>165</v>
      </c>
      <c r="AF31" s="11">
        <v>2.75</v>
      </c>
      <c r="AG31" s="11">
        <v>0</v>
      </c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61" t="s">
        <v>2894</v>
      </c>
      <c r="AZ31" s="79">
        <v>1720</v>
      </c>
      <c r="BA31" s="79">
        <v>5000</v>
      </c>
      <c r="BB31" s="79">
        <v>2400</v>
      </c>
      <c r="BC31" s="79">
        <v>5021</v>
      </c>
      <c r="BD31" s="79">
        <f t="shared" si="0"/>
        <v>680</v>
      </c>
      <c r="BE31" s="75">
        <f t="shared" si="1"/>
        <v>0.39534883720930231</v>
      </c>
      <c r="BF31" s="80">
        <f t="shared" si="2"/>
        <v>21</v>
      </c>
      <c r="BG31" s="75">
        <f t="shared" si="3"/>
        <v>4.1999999999999997E-3</v>
      </c>
      <c r="BH31" s="12"/>
      <c r="BI31" s="12"/>
    </row>
    <row r="32" spans="1:61" ht="15.75" customHeight="1">
      <c r="A32" s="73" t="s">
        <v>2836</v>
      </c>
      <c r="B32" s="11" t="s">
        <v>2881</v>
      </c>
      <c r="C32" s="11">
        <v>550.20000000000005</v>
      </c>
      <c r="D32" s="11">
        <v>60</v>
      </c>
      <c r="E32" s="11">
        <v>30</v>
      </c>
      <c r="F32" s="11">
        <v>640.20000000000005</v>
      </c>
      <c r="G32" s="11">
        <v>10.67</v>
      </c>
      <c r="H32" s="11">
        <v>0</v>
      </c>
      <c r="I32" s="12"/>
      <c r="J32" s="12"/>
      <c r="K32" s="12"/>
      <c r="L32" s="12"/>
      <c r="M32" s="73" t="s">
        <v>2838</v>
      </c>
      <c r="N32" s="11" t="s">
        <v>2895</v>
      </c>
      <c r="O32" s="11">
        <v>216</v>
      </c>
      <c r="P32" s="11">
        <v>216</v>
      </c>
      <c r="Q32" s="12">
        <v>3.6</v>
      </c>
      <c r="R32" s="12" t="s">
        <v>435</v>
      </c>
      <c r="S32" s="12"/>
      <c r="T32" s="12"/>
      <c r="U32" s="12"/>
      <c r="V32" s="12"/>
      <c r="W32" s="12"/>
      <c r="X32" s="12"/>
      <c r="Y32" s="12"/>
      <c r="Z32" s="12"/>
      <c r="AA32" s="12"/>
      <c r="AB32" s="73" t="s">
        <v>2838</v>
      </c>
      <c r="AC32" s="11" t="s">
        <v>2854</v>
      </c>
      <c r="AD32" s="11">
        <v>180</v>
      </c>
      <c r="AE32" s="11">
        <v>180</v>
      </c>
      <c r="AF32" s="11">
        <v>3</v>
      </c>
      <c r="AG32" s="11">
        <v>0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61" t="s">
        <v>2896</v>
      </c>
      <c r="AZ32" s="61">
        <v>440</v>
      </c>
      <c r="BA32" s="79">
        <v>1000</v>
      </c>
      <c r="BB32" s="61">
        <v>600</v>
      </c>
      <c r="BC32" s="79">
        <v>1006</v>
      </c>
      <c r="BD32" s="61">
        <f t="shared" si="0"/>
        <v>160</v>
      </c>
      <c r="BE32" s="75">
        <f t="shared" si="1"/>
        <v>0.36363636363636365</v>
      </c>
      <c r="BF32" s="80">
        <f t="shared" si="2"/>
        <v>6</v>
      </c>
      <c r="BG32" s="75">
        <f t="shared" si="3"/>
        <v>6.0000000000000001E-3</v>
      </c>
      <c r="BH32" s="12"/>
      <c r="BI32" s="12"/>
    </row>
    <row r="33" spans="1:61" ht="15.75" customHeight="1">
      <c r="A33" s="73" t="s">
        <v>2836</v>
      </c>
      <c r="B33" s="11" t="s">
        <v>2884</v>
      </c>
      <c r="C33" s="11">
        <v>364.8</v>
      </c>
      <c r="D33" s="12"/>
      <c r="E33" s="11">
        <v>30</v>
      </c>
      <c r="F33" s="11">
        <v>394.8</v>
      </c>
      <c r="G33" s="11">
        <v>6.58</v>
      </c>
      <c r="H33" s="11">
        <v>0</v>
      </c>
      <c r="I33" s="12"/>
      <c r="J33" s="12"/>
      <c r="K33" s="12"/>
      <c r="L33" s="12"/>
      <c r="M33" s="73" t="s">
        <v>2838</v>
      </c>
      <c r="N33" s="11" t="s">
        <v>2897</v>
      </c>
      <c r="O33" s="11">
        <v>240</v>
      </c>
      <c r="P33" s="11">
        <v>240</v>
      </c>
      <c r="Q33" s="12">
        <v>4</v>
      </c>
      <c r="R33" s="12" t="s">
        <v>435</v>
      </c>
      <c r="S33" s="12"/>
      <c r="T33" s="12"/>
      <c r="U33" s="12"/>
      <c r="V33" s="12"/>
      <c r="W33" s="12"/>
      <c r="X33" s="12"/>
      <c r="Y33" s="12"/>
      <c r="Z33" s="12"/>
      <c r="AA33" s="12"/>
      <c r="AB33" s="73" t="s">
        <v>2838</v>
      </c>
      <c r="AC33" s="11" t="s">
        <v>2898</v>
      </c>
      <c r="AD33" s="11">
        <v>150</v>
      </c>
      <c r="AE33" s="11">
        <v>150</v>
      </c>
      <c r="AF33" s="11">
        <v>2.5</v>
      </c>
      <c r="AG33" s="11">
        <v>0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61" t="s">
        <v>2899</v>
      </c>
      <c r="AZ33" s="61">
        <v>800</v>
      </c>
      <c r="BA33" s="79">
        <v>3000</v>
      </c>
      <c r="BB33" s="79">
        <v>1080</v>
      </c>
      <c r="BC33" s="79">
        <v>3012</v>
      </c>
      <c r="BD33" s="79">
        <f t="shared" si="0"/>
        <v>280</v>
      </c>
      <c r="BE33" s="75">
        <f t="shared" si="1"/>
        <v>0.35</v>
      </c>
      <c r="BF33" s="80">
        <f t="shared" si="2"/>
        <v>12</v>
      </c>
      <c r="BG33" s="75">
        <f t="shared" si="3"/>
        <v>4.0000000000000001E-3</v>
      </c>
      <c r="BH33" s="12"/>
      <c r="BI33" s="12"/>
    </row>
    <row r="34" spans="1:61" ht="15.75" customHeight="1">
      <c r="A34" s="73" t="s">
        <v>2836</v>
      </c>
      <c r="B34" s="77">
        <v>45081</v>
      </c>
      <c r="C34" s="11">
        <v>430.2</v>
      </c>
      <c r="D34" s="12"/>
      <c r="E34" s="11">
        <v>30</v>
      </c>
      <c r="F34" s="11">
        <v>460.2</v>
      </c>
      <c r="G34" s="11">
        <v>7.67</v>
      </c>
      <c r="H34" s="11">
        <v>0</v>
      </c>
      <c r="I34" s="12"/>
      <c r="J34" s="12"/>
      <c r="K34" s="12"/>
      <c r="L34" s="12"/>
      <c r="M34" s="73" t="s">
        <v>2838</v>
      </c>
      <c r="N34" s="11" t="s">
        <v>2858</v>
      </c>
      <c r="O34" s="11">
        <v>907.5</v>
      </c>
      <c r="P34" s="11">
        <v>907.5</v>
      </c>
      <c r="Q34" s="12">
        <v>15.13</v>
      </c>
      <c r="R34" s="12">
        <v>7.13</v>
      </c>
      <c r="S34" s="12"/>
      <c r="T34" s="12"/>
      <c r="U34" s="12"/>
      <c r="V34" s="12"/>
      <c r="W34" s="12"/>
      <c r="X34" s="12"/>
      <c r="Y34" s="12"/>
      <c r="Z34" s="12"/>
      <c r="AA34" s="12"/>
      <c r="AB34" s="73" t="s">
        <v>2838</v>
      </c>
      <c r="AC34" s="11" t="s">
        <v>2897</v>
      </c>
      <c r="AD34" s="11">
        <v>735</v>
      </c>
      <c r="AE34" s="11">
        <v>735</v>
      </c>
      <c r="AF34" s="11">
        <v>12.25</v>
      </c>
      <c r="AG34" s="11">
        <v>4.25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61" t="s">
        <v>2900</v>
      </c>
      <c r="AZ34" s="79">
        <v>2200</v>
      </c>
      <c r="BA34" s="79">
        <v>10000</v>
      </c>
      <c r="BB34" s="79">
        <v>2970</v>
      </c>
      <c r="BC34" s="79">
        <v>10000</v>
      </c>
      <c r="BD34" s="79">
        <f t="shared" si="0"/>
        <v>770</v>
      </c>
      <c r="BE34" s="75">
        <f t="shared" si="1"/>
        <v>0.35</v>
      </c>
      <c r="BF34" s="80">
        <f t="shared" si="2"/>
        <v>0</v>
      </c>
      <c r="BG34" s="75">
        <f t="shared" si="3"/>
        <v>0</v>
      </c>
      <c r="BH34" s="12"/>
      <c r="BI34" s="12"/>
    </row>
    <row r="35" spans="1:61" ht="15.75" customHeight="1">
      <c r="A35" s="73" t="s">
        <v>2836</v>
      </c>
      <c r="B35" s="77">
        <v>45111</v>
      </c>
      <c r="C35" s="11">
        <v>310.2</v>
      </c>
      <c r="D35" s="11">
        <v>30</v>
      </c>
      <c r="E35" s="11">
        <v>150</v>
      </c>
      <c r="F35" s="11">
        <v>490.2</v>
      </c>
      <c r="G35" s="11">
        <v>8.17</v>
      </c>
      <c r="H35" s="11">
        <v>0</v>
      </c>
      <c r="I35" s="12"/>
      <c r="J35" s="12"/>
      <c r="K35" s="12"/>
      <c r="L35" s="12"/>
      <c r="M35" s="73" t="s">
        <v>2838</v>
      </c>
      <c r="N35" s="11" t="s">
        <v>2901</v>
      </c>
      <c r="O35" s="11">
        <v>525</v>
      </c>
      <c r="P35" s="11">
        <v>525</v>
      </c>
      <c r="Q35" s="12">
        <v>8.75</v>
      </c>
      <c r="R35" s="12">
        <v>0.75</v>
      </c>
      <c r="S35" s="12"/>
      <c r="T35" s="12"/>
      <c r="U35" s="12"/>
      <c r="V35" s="12"/>
      <c r="W35" s="12"/>
      <c r="X35" s="12"/>
      <c r="Y35" s="12"/>
      <c r="Z35" s="12"/>
      <c r="AA35" s="12"/>
      <c r="AB35" s="73" t="s">
        <v>2838</v>
      </c>
      <c r="AC35" s="11" t="s">
        <v>2858</v>
      </c>
      <c r="AD35" s="11">
        <v>240</v>
      </c>
      <c r="AE35" s="11">
        <v>240</v>
      </c>
      <c r="AF35" s="11">
        <v>4</v>
      </c>
      <c r="AG35" s="11">
        <v>0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61" t="s">
        <v>2902</v>
      </c>
      <c r="AZ35" s="79">
        <v>1440</v>
      </c>
      <c r="BA35" s="79">
        <v>4000</v>
      </c>
      <c r="BB35" s="79">
        <v>1920</v>
      </c>
      <c r="BC35" s="79">
        <v>4008</v>
      </c>
      <c r="BD35" s="79">
        <f t="shared" si="0"/>
        <v>480</v>
      </c>
      <c r="BE35" s="75">
        <f t="shared" si="1"/>
        <v>0.33333333333333331</v>
      </c>
      <c r="BF35" s="80">
        <f t="shared" si="2"/>
        <v>8</v>
      </c>
      <c r="BG35" s="75">
        <f t="shared" si="3"/>
        <v>2E-3</v>
      </c>
      <c r="BH35" s="12"/>
      <c r="BI35" s="12"/>
    </row>
    <row r="36" spans="1:61" ht="15.75" customHeight="1">
      <c r="A36" s="73" t="s">
        <v>2836</v>
      </c>
      <c r="B36" s="77">
        <v>45203</v>
      </c>
      <c r="C36" s="11">
        <v>349.8</v>
      </c>
      <c r="D36" s="11">
        <v>90</v>
      </c>
      <c r="E36" s="11">
        <v>120</v>
      </c>
      <c r="F36" s="11">
        <v>559.79999999999995</v>
      </c>
      <c r="G36" s="11">
        <v>9.33</v>
      </c>
      <c r="H36" s="11">
        <v>0</v>
      </c>
      <c r="I36" s="12"/>
      <c r="J36" s="12"/>
      <c r="K36" s="12"/>
      <c r="L36" s="12"/>
      <c r="M36" s="73" t="s">
        <v>2838</v>
      </c>
      <c r="N36" s="11" t="s">
        <v>2903</v>
      </c>
      <c r="O36" s="11">
        <v>360</v>
      </c>
      <c r="P36" s="11">
        <v>360</v>
      </c>
      <c r="Q36" s="12">
        <v>6</v>
      </c>
      <c r="R36" s="12" t="s">
        <v>435</v>
      </c>
      <c r="S36" s="12"/>
      <c r="T36" s="12"/>
      <c r="U36" s="12"/>
      <c r="V36" s="12"/>
      <c r="W36" s="12"/>
      <c r="X36" s="12"/>
      <c r="Y36" s="12"/>
      <c r="Z36" s="12"/>
      <c r="AA36" s="12"/>
      <c r="AB36" s="73" t="s">
        <v>2838</v>
      </c>
      <c r="AC36" s="11" t="s">
        <v>2901</v>
      </c>
      <c r="AD36" s="11">
        <v>150</v>
      </c>
      <c r="AE36" s="11">
        <v>150</v>
      </c>
      <c r="AF36" s="11">
        <v>2.5</v>
      </c>
      <c r="AG36" s="11">
        <v>0</v>
      </c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61" t="s">
        <v>2904</v>
      </c>
      <c r="AZ36" s="61">
        <v>360</v>
      </c>
      <c r="BA36" s="79">
        <v>1000</v>
      </c>
      <c r="BB36" s="61">
        <v>480</v>
      </c>
      <c r="BC36" s="61">
        <v>997</v>
      </c>
      <c r="BD36" s="61">
        <f t="shared" si="0"/>
        <v>120</v>
      </c>
      <c r="BE36" s="75">
        <f t="shared" si="1"/>
        <v>0.33333333333333331</v>
      </c>
      <c r="BF36" s="80">
        <f t="shared" si="2"/>
        <v>-3</v>
      </c>
      <c r="BG36" s="75">
        <f t="shared" si="3"/>
        <v>-3.0000000000000001E-3</v>
      </c>
      <c r="BH36" s="12"/>
      <c r="BI36" s="12"/>
    </row>
    <row r="37" spans="1:61" ht="15.75" customHeight="1">
      <c r="A37" s="73" t="s">
        <v>2836</v>
      </c>
      <c r="B37" s="77">
        <v>45234</v>
      </c>
      <c r="C37" s="11">
        <v>379.8</v>
      </c>
      <c r="D37" s="11">
        <v>60</v>
      </c>
      <c r="E37" s="11">
        <v>150</v>
      </c>
      <c r="F37" s="11">
        <v>589.79999999999995</v>
      </c>
      <c r="G37" s="11">
        <v>9.83</v>
      </c>
      <c r="H37" s="11">
        <v>0</v>
      </c>
      <c r="I37" s="12"/>
      <c r="J37" s="12"/>
      <c r="K37" s="12"/>
      <c r="L37" s="12"/>
      <c r="M37" s="73" t="s">
        <v>2838</v>
      </c>
      <c r="N37" s="11" t="s">
        <v>2905</v>
      </c>
      <c r="O37" s="11">
        <v>615</v>
      </c>
      <c r="P37" s="11">
        <v>615</v>
      </c>
      <c r="Q37" s="12">
        <v>10.25</v>
      </c>
      <c r="R37" s="12">
        <v>2.25</v>
      </c>
      <c r="S37" s="12"/>
      <c r="T37" s="12"/>
      <c r="U37" s="12"/>
      <c r="V37" s="12"/>
      <c r="W37" s="12"/>
      <c r="X37" s="12"/>
      <c r="Y37" s="12"/>
      <c r="Z37" s="12"/>
      <c r="AA37" s="12"/>
      <c r="AB37" s="73" t="s">
        <v>2838</v>
      </c>
      <c r="AC37" s="11" t="s">
        <v>2903</v>
      </c>
      <c r="AD37" s="11">
        <v>150</v>
      </c>
      <c r="AE37" s="11">
        <v>150</v>
      </c>
      <c r="AF37" s="11">
        <v>2.5</v>
      </c>
      <c r="AG37" s="11">
        <v>0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61" t="s">
        <v>2906</v>
      </c>
      <c r="AZ37" s="61">
        <v>270</v>
      </c>
      <c r="BA37" s="79">
        <v>1000</v>
      </c>
      <c r="BB37" s="61">
        <v>360</v>
      </c>
      <c r="BC37" s="61">
        <v>909</v>
      </c>
      <c r="BD37" s="61">
        <f t="shared" si="0"/>
        <v>90</v>
      </c>
      <c r="BE37" s="75">
        <f t="shared" si="1"/>
        <v>0.33333333333333331</v>
      </c>
      <c r="BF37" s="80">
        <f t="shared" si="2"/>
        <v>-91</v>
      </c>
      <c r="BG37" s="75">
        <f t="shared" si="3"/>
        <v>-9.0999999999999998E-2</v>
      </c>
      <c r="BH37" s="12"/>
      <c r="BI37" s="12"/>
    </row>
    <row r="38" spans="1:61" ht="15.75" customHeight="1">
      <c r="A38" s="73" t="s">
        <v>2836</v>
      </c>
      <c r="B38" s="77">
        <v>45264</v>
      </c>
      <c r="C38" s="11">
        <v>340.2</v>
      </c>
      <c r="D38" s="11">
        <v>73.2</v>
      </c>
      <c r="E38" s="11">
        <v>52.2</v>
      </c>
      <c r="F38" s="11">
        <v>465.6</v>
      </c>
      <c r="G38" s="11">
        <v>7.76</v>
      </c>
      <c r="H38" s="11">
        <v>0</v>
      </c>
      <c r="I38" s="12"/>
      <c r="J38" s="12"/>
      <c r="K38" s="12"/>
      <c r="L38" s="12"/>
      <c r="M38" s="73" t="s">
        <v>2838</v>
      </c>
      <c r="N38" s="11" t="s">
        <v>2907</v>
      </c>
      <c r="O38" s="11">
        <v>731.25</v>
      </c>
      <c r="P38" s="11">
        <v>731.25</v>
      </c>
      <c r="Q38" s="12">
        <v>12.19</v>
      </c>
      <c r="R38" s="12">
        <v>4.1900000000000004</v>
      </c>
      <c r="S38" s="12"/>
      <c r="T38" s="12"/>
      <c r="U38" s="12"/>
      <c r="V38" s="12"/>
      <c r="W38" s="12"/>
      <c r="X38" s="12"/>
      <c r="Y38" s="12"/>
      <c r="Z38" s="12"/>
      <c r="AA38" s="12"/>
      <c r="AB38" s="73" t="s">
        <v>2838</v>
      </c>
      <c r="AC38" s="11" t="s">
        <v>2905</v>
      </c>
      <c r="AD38" s="11">
        <v>0</v>
      </c>
      <c r="AE38" s="11">
        <v>0</v>
      </c>
      <c r="AF38" s="11">
        <v>0</v>
      </c>
      <c r="AG38" s="11">
        <v>0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61" t="s">
        <v>2908</v>
      </c>
      <c r="AZ38" s="79">
        <v>3840</v>
      </c>
      <c r="BA38" s="79">
        <v>10000</v>
      </c>
      <c r="BB38" s="79">
        <v>5085</v>
      </c>
      <c r="BC38" s="79">
        <v>9901</v>
      </c>
      <c r="BD38" s="79">
        <f t="shared" si="0"/>
        <v>1245</v>
      </c>
      <c r="BE38" s="75">
        <f t="shared" si="1"/>
        <v>0.32421875</v>
      </c>
      <c r="BF38" s="80">
        <f t="shared" si="2"/>
        <v>-99</v>
      </c>
      <c r="BG38" s="75">
        <f t="shared" si="3"/>
        <v>-9.9000000000000008E-3</v>
      </c>
      <c r="BH38" s="12"/>
      <c r="BI38" s="12"/>
    </row>
    <row r="39" spans="1:61" ht="15.75" customHeight="1">
      <c r="A39" s="73" t="s">
        <v>2836</v>
      </c>
      <c r="B39" s="11" t="s">
        <v>2854</v>
      </c>
      <c r="C39" s="11">
        <v>127.8</v>
      </c>
      <c r="D39" s="11">
        <v>33</v>
      </c>
      <c r="E39" s="11">
        <v>49.8</v>
      </c>
      <c r="F39" s="11">
        <v>210.6</v>
      </c>
      <c r="G39" s="11">
        <v>3.51</v>
      </c>
      <c r="H39" s="11">
        <v>0</v>
      </c>
      <c r="I39" s="12"/>
      <c r="J39" s="12"/>
      <c r="K39" s="12"/>
      <c r="L39" s="12"/>
      <c r="M39" s="73" t="s">
        <v>2838</v>
      </c>
      <c r="N39" s="11" t="s">
        <v>2862</v>
      </c>
      <c r="O39" s="11">
        <v>712.5</v>
      </c>
      <c r="P39" s="11">
        <v>712.5</v>
      </c>
      <c r="Q39" s="12">
        <v>11.88</v>
      </c>
      <c r="R39" s="12">
        <v>3.88</v>
      </c>
      <c r="S39" s="12"/>
      <c r="T39" s="12"/>
      <c r="U39" s="12"/>
      <c r="V39" s="12"/>
      <c r="W39" s="12"/>
      <c r="X39" s="12"/>
      <c r="Y39" s="12"/>
      <c r="Z39" s="12"/>
      <c r="AA39" s="12"/>
      <c r="AB39" s="73" t="s">
        <v>2838</v>
      </c>
      <c r="AC39" s="11" t="s">
        <v>2907</v>
      </c>
      <c r="AD39" s="11">
        <v>570</v>
      </c>
      <c r="AE39" s="11">
        <v>570</v>
      </c>
      <c r="AF39" s="11">
        <v>9.5</v>
      </c>
      <c r="AG39" s="11">
        <v>1.5</v>
      </c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61" t="s">
        <v>2909</v>
      </c>
      <c r="AZ39" s="79">
        <v>3000</v>
      </c>
      <c r="BA39" s="79">
        <v>10184</v>
      </c>
      <c r="BB39" s="79">
        <v>3960</v>
      </c>
      <c r="BC39" s="79">
        <v>10032</v>
      </c>
      <c r="BD39" s="79">
        <f t="shared" si="0"/>
        <v>960</v>
      </c>
      <c r="BE39" s="75">
        <f t="shared" si="1"/>
        <v>0.32</v>
      </c>
      <c r="BF39" s="80">
        <f t="shared" si="2"/>
        <v>-152</v>
      </c>
      <c r="BG39" s="75">
        <f t="shared" si="3"/>
        <v>-1.4925373134328358E-2</v>
      </c>
      <c r="BH39" s="12"/>
      <c r="BI39" s="12"/>
    </row>
    <row r="40" spans="1:61" ht="15.75" customHeight="1">
      <c r="A40" s="73" t="s">
        <v>2836</v>
      </c>
      <c r="B40" s="11" t="s">
        <v>2910</v>
      </c>
      <c r="C40" s="11">
        <v>85.2</v>
      </c>
      <c r="D40" s="11">
        <v>37.799999999999997</v>
      </c>
      <c r="E40" s="11">
        <v>151.80000000000001</v>
      </c>
      <c r="F40" s="11">
        <v>274.8</v>
      </c>
      <c r="G40" s="11">
        <v>4.58</v>
      </c>
      <c r="H40" s="11">
        <v>0</v>
      </c>
      <c r="I40" s="12"/>
      <c r="J40" s="12"/>
      <c r="K40" s="12"/>
      <c r="L40" s="12"/>
      <c r="M40" s="73" t="s">
        <v>2838</v>
      </c>
      <c r="N40" s="11" t="s">
        <v>2865</v>
      </c>
      <c r="O40" s="11">
        <v>787.5</v>
      </c>
      <c r="P40" s="11">
        <v>787.5</v>
      </c>
      <c r="Q40" s="12">
        <v>13.13</v>
      </c>
      <c r="R40" s="12">
        <v>5.13</v>
      </c>
      <c r="S40" s="12"/>
      <c r="T40" s="12"/>
      <c r="U40" s="12"/>
      <c r="V40" s="12"/>
      <c r="W40" s="12"/>
      <c r="X40" s="12"/>
      <c r="Y40" s="12"/>
      <c r="Z40" s="12"/>
      <c r="AA40" s="12"/>
      <c r="AB40" s="73" t="s">
        <v>2838</v>
      </c>
      <c r="AC40" s="11" t="s">
        <v>2862</v>
      </c>
      <c r="AD40" s="11">
        <v>180</v>
      </c>
      <c r="AE40" s="11">
        <v>180</v>
      </c>
      <c r="AF40" s="11">
        <v>3</v>
      </c>
      <c r="AG40" s="11">
        <v>0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61" t="s">
        <v>2911</v>
      </c>
      <c r="AZ40" s="79">
        <v>2240</v>
      </c>
      <c r="BA40" s="79">
        <v>4478</v>
      </c>
      <c r="BB40" s="79">
        <v>2940</v>
      </c>
      <c r="BC40" s="79">
        <v>4526</v>
      </c>
      <c r="BD40" s="79">
        <f t="shared" si="0"/>
        <v>700</v>
      </c>
      <c r="BE40" s="75">
        <f t="shared" si="1"/>
        <v>0.3125</v>
      </c>
      <c r="BF40" s="80">
        <f t="shared" si="2"/>
        <v>48</v>
      </c>
      <c r="BG40" s="75">
        <f t="shared" si="3"/>
        <v>1.0719071013845467E-2</v>
      </c>
      <c r="BH40" s="12"/>
      <c r="BI40" s="12"/>
    </row>
    <row r="41" spans="1:61" ht="15.75" customHeight="1">
      <c r="A41" s="73" t="s">
        <v>2836</v>
      </c>
      <c r="B41" s="11" t="s">
        <v>2898</v>
      </c>
      <c r="C41" s="11">
        <v>700.8</v>
      </c>
      <c r="D41" s="11">
        <v>10.199999999999999</v>
      </c>
      <c r="E41" s="11">
        <v>91.8</v>
      </c>
      <c r="F41" s="11">
        <v>802.8</v>
      </c>
      <c r="G41" s="11">
        <v>13.38</v>
      </c>
      <c r="H41" s="11">
        <v>0</v>
      </c>
      <c r="I41" s="12"/>
      <c r="J41" s="12"/>
      <c r="K41" s="12"/>
      <c r="L41" s="12"/>
      <c r="M41" s="73" t="s">
        <v>2838</v>
      </c>
      <c r="N41" s="74">
        <v>44962</v>
      </c>
      <c r="O41" s="11">
        <v>573.75</v>
      </c>
      <c r="P41" s="11">
        <v>573.75</v>
      </c>
      <c r="Q41" s="12">
        <v>9.56</v>
      </c>
      <c r="R41" s="12">
        <v>1.56</v>
      </c>
      <c r="S41" s="12"/>
      <c r="T41" s="12"/>
      <c r="U41" s="12"/>
      <c r="V41" s="12"/>
      <c r="W41" s="12"/>
      <c r="X41" s="12"/>
      <c r="Y41" s="12"/>
      <c r="Z41" s="12"/>
      <c r="AA41" s="12"/>
      <c r="AB41" s="73" t="s">
        <v>2838</v>
      </c>
      <c r="AC41" s="11" t="s">
        <v>2865</v>
      </c>
      <c r="AD41" s="11">
        <v>319.8</v>
      </c>
      <c r="AE41" s="11">
        <v>319.8</v>
      </c>
      <c r="AF41" s="11">
        <v>5.33</v>
      </c>
      <c r="AG41" s="11">
        <v>0</v>
      </c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61" t="s">
        <v>2912</v>
      </c>
      <c r="AZ41" s="61">
        <v>760</v>
      </c>
      <c r="BA41" s="79">
        <v>3100</v>
      </c>
      <c r="BB41" s="61">
        <v>990</v>
      </c>
      <c r="BC41" s="79">
        <v>3132</v>
      </c>
      <c r="BD41" s="61">
        <f t="shared" si="0"/>
        <v>230</v>
      </c>
      <c r="BE41" s="75">
        <f t="shared" si="1"/>
        <v>0.30263157894736842</v>
      </c>
      <c r="BF41" s="80">
        <f t="shared" si="2"/>
        <v>32</v>
      </c>
      <c r="BG41" s="75">
        <f t="shared" si="3"/>
        <v>1.032258064516129E-2</v>
      </c>
      <c r="BH41" s="12"/>
      <c r="BI41" s="12"/>
    </row>
    <row r="42" spans="1:61" ht="15.75" customHeight="1">
      <c r="A42" s="73" t="s">
        <v>2836</v>
      </c>
      <c r="B42" s="11" t="s">
        <v>2895</v>
      </c>
      <c r="C42" s="11">
        <v>735</v>
      </c>
      <c r="D42" s="11">
        <v>30</v>
      </c>
      <c r="E42" s="11">
        <v>81</v>
      </c>
      <c r="F42" s="11">
        <v>846</v>
      </c>
      <c r="G42" s="11">
        <v>14.1</v>
      </c>
      <c r="H42" s="11">
        <v>0</v>
      </c>
      <c r="I42" s="12"/>
      <c r="J42" s="12"/>
      <c r="K42" s="12"/>
      <c r="L42" s="12"/>
      <c r="M42" s="73" t="s">
        <v>2838</v>
      </c>
      <c r="N42" s="74">
        <v>44990</v>
      </c>
      <c r="O42" s="11">
        <v>837.5</v>
      </c>
      <c r="P42" s="11">
        <v>837.5</v>
      </c>
      <c r="Q42" s="12">
        <v>13.96</v>
      </c>
      <c r="R42" s="12">
        <v>5.96</v>
      </c>
      <c r="S42" s="12"/>
      <c r="T42" s="12"/>
      <c r="U42" s="12"/>
      <c r="V42" s="12"/>
      <c r="W42" s="12"/>
      <c r="X42" s="12"/>
      <c r="Y42" s="12"/>
      <c r="Z42" s="12"/>
      <c r="AA42" s="12"/>
      <c r="AB42" s="73" t="s">
        <v>2838</v>
      </c>
      <c r="AC42" s="74">
        <v>44962</v>
      </c>
      <c r="AD42" s="11">
        <v>180</v>
      </c>
      <c r="AE42" s="11">
        <v>180</v>
      </c>
      <c r="AF42" s="11">
        <v>3</v>
      </c>
      <c r="AG42" s="11">
        <v>0</v>
      </c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61" t="s">
        <v>2913</v>
      </c>
      <c r="AZ42" s="61">
        <v>450</v>
      </c>
      <c r="BA42" s="79">
        <v>2000</v>
      </c>
      <c r="BB42" s="61">
        <v>585</v>
      </c>
      <c r="BC42" s="79">
        <v>1968</v>
      </c>
      <c r="BD42" s="61">
        <f t="shared" si="0"/>
        <v>135</v>
      </c>
      <c r="BE42" s="75">
        <f t="shared" si="1"/>
        <v>0.3</v>
      </c>
      <c r="BF42" s="80">
        <f t="shared" si="2"/>
        <v>-32</v>
      </c>
      <c r="BG42" s="75">
        <f t="shared" si="3"/>
        <v>-1.6E-2</v>
      </c>
      <c r="BH42" s="12"/>
      <c r="BI42" s="12"/>
    </row>
    <row r="43" spans="1:61" ht="15.75" customHeight="1">
      <c r="A43" s="73" t="s">
        <v>2836</v>
      </c>
      <c r="B43" s="11" t="s">
        <v>2897</v>
      </c>
      <c r="C43" s="11">
        <v>495</v>
      </c>
      <c r="D43" s="11">
        <v>30</v>
      </c>
      <c r="E43" s="11">
        <v>213</v>
      </c>
      <c r="F43" s="11">
        <v>738</v>
      </c>
      <c r="G43" s="11">
        <v>12.3</v>
      </c>
      <c r="H43" s="11">
        <v>0</v>
      </c>
      <c r="I43" s="12"/>
      <c r="J43" s="12"/>
      <c r="K43" s="12"/>
      <c r="L43" s="12"/>
      <c r="M43" s="73" t="s">
        <v>2838</v>
      </c>
      <c r="N43" s="74">
        <v>45021</v>
      </c>
      <c r="O43" s="11">
        <v>525</v>
      </c>
      <c r="P43" s="11">
        <v>525</v>
      </c>
      <c r="Q43" s="12">
        <v>8.75</v>
      </c>
      <c r="R43" s="12">
        <v>0.75</v>
      </c>
      <c r="S43" s="12"/>
      <c r="T43" s="12"/>
      <c r="U43" s="12"/>
      <c r="V43" s="12"/>
      <c r="W43" s="12"/>
      <c r="X43" s="12"/>
      <c r="Y43" s="12"/>
      <c r="Z43" s="12"/>
      <c r="AA43" s="12"/>
      <c r="AB43" s="73" t="s">
        <v>2838</v>
      </c>
      <c r="AC43" s="74">
        <v>44990</v>
      </c>
      <c r="AD43" s="11">
        <v>360</v>
      </c>
      <c r="AE43" s="11">
        <v>360</v>
      </c>
      <c r="AF43" s="11">
        <v>6</v>
      </c>
      <c r="AG43" s="11">
        <v>0</v>
      </c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61" t="s">
        <v>2914</v>
      </c>
      <c r="AZ43" s="61">
        <v>600</v>
      </c>
      <c r="BA43" s="79">
        <v>2500</v>
      </c>
      <c r="BB43" s="61">
        <v>765</v>
      </c>
      <c r="BC43" s="79">
        <v>2512</v>
      </c>
      <c r="BD43" s="61">
        <f t="shared" si="0"/>
        <v>165</v>
      </c>
      <c r="BE43" s="75">
        <f t="shared" si="1"/>
        <v>0.27500000000000002</v>
      </c>
      <c r="BF43" s="80">
        <f t="shared" si="2"/>
        <v>12</v>
      </c>
      <c r="BG43" s="75">
        <f t="shared" si="3"/>
        <v>4.7999999999999996E-3</v>
      </c>
      <c r="BH43" s="12"/>
      <c r="BI43" s="12"/>
    </row>
    <row r="44" spans="1:61" ht="15.75" customHeight="1">
      <c r="A44" s="73" t="s">
        <v>2836</v>
      </c>
      <c r="B44" s="11" t="s">
        <v>2858</v>
      </c>
      <c r="C44" s="11">
        <v>769.8</v>
      </c>
      <c r="D44" s="11">
        <v>105</v>
      </c>
      <c r="E44" s="11">
        <v>69</v>
      </c>
      <c r="F44" s="11">
        <v>943.8</v>
      </c>
      <c r="G44" s="11">
        <v>15.73</v>
      </c>
      <c r="H44" s="11">
        <v>0</v>
      </c>
      <c r="I44" s="12"/>
      <c r="J44" s="12"/>
      <c r="K44" s="12"/>
      <c r="L44" s="12"/>
      <c r="M44" s="73" t="s">
        <v>2838</v>
      </c>
      <c r="N44" s="74">
        <v>45051</v>
      </c>
      <c r="O44" s="11">
        <v>795</v>
      </c>
      <c r="P44" s="11">
        <v>795</v>
      </c>
      <c r="Q44" s="12">
        <v>13.25</v>
      </c>
      <c r="R44" s="12">
        <v>5.25</v>
      </c>
      <c r="S44" s="12"/>
      <c r="T44" s="12"/>
      <c r="U44" s="12"/>
      <c r="V44" s="12"/>
      <c r="W44" s="12"/>
      <c r="X44" s="12"/>
      <c r="Y44" s="12"/>
      <c r="Z44" s="12"/>
      <c r="AA44" s="12"/>
      <c r="AB44" s="73" t="s">
        <v>2838</v>
      </c>
      <c r="AC44" s="74">
        <v>45021</v>
      </c>
      <c r="AD44" s="11">
        <v>330</v>
      </c>
      <c r="AE44" s="11">
        <v>330</v>
      </c>
      <c r="AF44" s="11">
        <v>5.5</v>
      </c>
      <c r="AG44" s="11">
        <v>0</v>
      </c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61" t="s">
        <v>2915</v>
      </c>
      <c r="AZ44" s="79">
        <v>2400</v>
      </c>
      <c r="BA44" s="79">
        <v>10000</v>
      </c>
      <c r="BB44" s="79">
        <v>3060</v>
      </c>
      <c r="BC44" s="79">
        <v>10085</v>
      </c>
      <c r="BD44" s="79">
        <f t="shared" si="0"/>
        <v>660</v>
      </c>
      <c r="BE44" s="75">
        <f t="shared" si="1"/>
        <v>0.27500000000000002</v>
      </c>
      <c r="BF44" s="80">
        <f t="shared" si="2"/>
        <v>85</v>
      </c>
      <c r="BG44" s="75">
        <f t="shared" si="3"/>
        <v>8.5000000000000006E-3</v>
      </c>
      <c r="BH44" s="12"/>
      <c r="BI44" s="12"/>
    </row>
    <row r="45" spans="1:61" ht="15.75" customHeight="1">
      <c r="A45" s="73" t="s">
        <v>2836</v>
      </c>
      <c r="B45" s="11" t="s">
        <v>2901</v>
      </c>
      <c r="C45" s="11">
        <v>628.20000000000005</v>
      </c>
      <c r="D45" s="11">
        <v>89.4</v>
      </c>
      <c r="E45" s="11">
        <v>102</v>
      </c>
      <c r="F45" s="11">
        <v>819.6</v>
      </c>
      <c r="G45" s="11">
        <v>13.66</v>
      </c>
      <c r="H45" s="11">
        <v>0</v>
      </c>
      <c r="I45" s="12"/>
      <c r="J45" s="12"/>
      <c r="K45" s="12"/>
      <c r="L45" s="12"/>
      <c r="M45" s="73" t="s">
        <v>2838</v>
      </c>
      <c r="N45" s="74">
        <v>45143</v>
      </c>
      <c r="O45" s="11">
        <v>810</v>
      </c>
      <c r="P45" s="11">
        <v>810</v>
      </c>
      <c r="Q45" s="12">
        <v>13.5</v>
      </c>
      <c r="R45" s="12">
        <v>5.5</v>
      </c>
      <c r="S45" s="12"/>
      <c r="T45" s="12"/>
      <c r="U45" s="12"/>
      <c r="V45" s="12"/>
      <c r="W45" s="12"/>
      <c r="X45" s="12"/>
      <c r="Y45" s="12"/>
      <c r="Z45" s="12"/>
      <c r="AA45" s="12"/>
      <c r="AB45" s="73" t="s">
        <v>2838</v>
      </c>
      <c r="AC45" s="74">
        <v>45051</v>
      </c>
      <c r="AD45" s="11">
        <v>60</v>
      </c>
      <c r="AE45" s="11">
        <v>60</v>
      </c>
      <c r="AF45" s="11">
        <v>1</v>
      </c>
      <c r="AG45" s="11">
        <v>0</v>
      </c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61" t="s">
        <v>2916</v>
      </c>
      <c r="AZ45" s="79">
        <v>1440</v>
      </c>
      <c r="BA45" s="79">
        <v>4000</v>
      </c>
      <c r="BB45" s="79">
        <v>1815</v>
      </c>
      <c r="BC45" s="79">
        <v>4028</v>
      </c>
      <c r="BD45" s="79">
        <f t="shared" si="0"/>
        <v>375</v>
      </c>
      <c r="BE45" s="75">
        <f t="shared" si="1"/>
        <v>0.26041666666666669</v>
      </c>
      <c r="BF45" s="80">
        <f t="shared" si="2"/>
        <v>28</v>
      </c>
      <c r="BG45" s="75">
        <f t="shared" si="3"/>
        <v>7.0000000000000001E-3</v>
      </c>
      <c r="BH45" s="12"/>
      <c r="BI45" s="12"/>
    </row>
    <row r="46" spans="1:61" ht="15.75" customHeight="1">
      <c r="A46" s="73" t="s">
        <v>2836</v>
      </c>
      <c r="B46" s="11" t="s">
        <v>2903</v>
      </c>
      <c r="C46" s="11">
        <v>658.8</v>
      </c>
      <c r="D46" s="11">
        <v>45</v>
      </c>
      <c r="E46" s="11">
        <v>145.19999999999999</v>
      </c>
      <c r="F46" s="11">
        <v>849</v>
      </c>
      <c r="G46" s="11">
        <v>14.15</v>
      </c>
      <c r="H46" s="11">
        <v>0</v>
      </c>
      <c r="I46" s="12"/>
      <c r="J46" s="12"/>
      <c r="K46" s="12"/>
      <c r="L46" s="12"/>
      <c r="M46" s="73" t="s">
        <v>2838</v>
      </c>
      <c r="N46" s="74">
        <v>45174</v>
      </c>
      <c r="O46" s="11">
        <v>1140</v>
      </c>
      <c r="P46" s="11">
        <v>1140</v>
      </c>
      <c r="Q46" s="12">
        <v>19</v>
      </c>
      <c r="R46" s="12">
        <v>11</v>
      </c>
      <c r="S46" s="12"/>
      <c r="T46" s="12"/>
      <c r="U46" s="12"/>
      <c r="V46" s="12"/>
      <c r="W46" s="12"/>
      <c r="X46" s="12"/>
      <c r="Y46" s="12"/>
      <c r="Z46" s="12"/>
      <c r="AA46" s="12"/>
      <c r="AB46" s="73" t="s">
        <v>2838</v>
      </c>
      <c r="AC46" s="74">
        <v>45143</v>
      </c>
      <c r="AD46" s="11">
        <v>660</v>
      </c>
      <c r="AE46" s="11">
        <v>660</v>
      </c>
      <c r="AF46" s="11">
        <v>11</v>
      </c>
      <c r="AG46" s="11">
        <v>3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61" t="s">
        <v>2917</v>
      </c>
      <c r="AZ46" s="61">
        <v>800</v>
      </c>
      <c r="BA46" s="79">
        <v>2500</v>
      </c>
      <c r="BB46" s="79">
        <v>1000</v>
      </c>
      <c r="BC46" s="79">
        <v>2506</v>
      </c>
      <c r="BD46" s="79">
        <f t="shared" si="0"/>
        <v>200</v>
      </c>
      <c r="BE46" s="75">
        <f t="shared" si="1"/>
        <v>0.25</v>
      </c>
      <c r="BF46" s="80">
        <f t="shared" si="2"/>
        <v>6</v>
      </c>
      <c r="BG46" s="75">
        <f t="shared" si="3"/>
        <v>2.3999999999999998E-3</v>
      </c>
      <c r="BH46" s="12"/>
      <c r="BI46" s="12"/>
    </row>
    <row r="47" spans="1:61" ht="15.75" customHeight="1">
      <c r="A47" s="73" t="s">
        <v>2836</v>
      </c>
      <c r="B47" s="11" t="s">
        <v>2905</v>
      </c>
      <c r="C47" s="11">
        <v>694.8</v>
      </c>
      <c r="D47" s="11">
        <v>30</v>
      </c>
      <c r="E47" s="11">
        <v>136.19999999999999</v>
      </c>
      <c r="F47" s="11">
        <v>861</v>
      </c>
      <c r="G47" s="11">
        <v>14.35</v>
      </c>
      <c r="H47" s="11">
        <v>0</v>
      </c>
      <c r="I47" s="12"/>
      <c r="J47" s="12"/>
      <c r="K47" s="12"/>
      <c r="L47" s="12"/>
      <c r="M47" s="73" t="s">
        <v>2838</v>
      </c>
      <c r="N47" s="74">
        <v>45204</v>
      </c>
      <c r="O47" s="11">
        <v>1136.25</v>
      </c>
      <c r="P47" s="11">
        <v>1136.25</v>
      </c>
      <c r="Q47" s="12">
        <v>18.940000000000001</v>
      </c>
      <c r="R47" s="12">
        <v>10.94</v>
      </c>
      <c r="S47" s="12"/>
      <c r="T47" s="12"/>
      <c r="U47" s="12"/>
      <c r="V47" s="12"/>
      <c r="W47" s="12"/>
      <c r="X47" s="12"/>
      <c r="Y47" s="12"/>
      <c r="Z47" s="12"/>
      <c r="AA47" s="12"/>
      <c r="AB47" s="73" t="s">
        <v>2838</v>
      </c>
      <c r="AC47" s="74">
        <v>45174</v>
      </c>
      <c r="AD47" s="11">
        <v>330</v>
      </c>
      <c r="AE47" s="11">
        <v>330</v>
      </c>
      <c r="AF47" s="11">
        <v>5.5</v>
      </c>
      <c r="AG47" s="11">
        <v>0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61" t="s">
        <v>2918</v>
      </c>
      <c r="AZ47" s="61">
        <v>480</v>
      </c>
      <c r="BA47" s="79">
        <v>1660</v>
      </c>
      <c r="BB47" s="61">
        <v>600</v>
      </c>
      <c r="BC47" s="79">
        <v>1666</v>
      </c>
      <c r="BD47" s="61">
        <f t="shared" si="0"/>
        <v>120</v>
      </c>
      <c r="BE47" s="75">
        <f t="shared" si="1"/>
        <v>0.25</v>
      </c>
      <c r="BF47" s="80">
        <f t="shared" si="2"/>
        <v>6</v>
      </c>
      <c r="BG47" s="75">
        <f t="shared" si="3"/>
        <v>3.6144578313253013E-3</v>
      </c>
      <c r="BH47" s="12"/>
      <c r="BI47" s="12"/>
    </row>
    <row r="48" spans="1:61" ht="15.75" customHeight="1">
      <c r="A48" s="73" t="s">
        <v>2836</v>
      </c>
      <c r="B48" s="11" t="s">
        <v>2907</v>
      </c>
      <c r="C48" s="11">
        <v>790.2</v>
      </c>
      <c r="D48" s="11">
        <v>70.2</v>
      </c>
      <c r="E48" s="12"/>
      <c r="F48" s="11">
        <v>860.4</v>
      </c>
      <c r="G48" s="11">
        <v>14.34</v>
      </c>
      <c r="H48" s="11">
        <v>0</v>
      </c>
      <c r="I48" s="12"/>
      <c r="J48" s="12"/>
      <c r="K48" s="12"/>
      <c r="L48" s="12"/>
      <c r="M48" s="73" t="s">
        <v>2838</v>
      </c>
      <c r="N48" s="74">
        <v>45235</v>
      </c>
      <c r="O48" s="11">
        <v>1080</v>
      </c>
      <c r="P48" s="11">
        <v>1080</v>
      </c>
      <c r="Q48" s="12">
        <v>18</v>
      </c>
      <c r="R48" s="12">
        <v>10</v>
      </c>
      <c r="S48" s="12"/>
      <c r="T48" s="12"/>
      <c r="U48" s="12"/>
      <c r="V48" s="12"/>
      <c r="W48" s="12"/>
      <c r="X48" s="12"/>
      <c r="Y48" s="12"/>
      <c r="Z48" s="12"/>
      <c r="AA48" s="12"/>
      <c r="AB48" s="73" t="s">
        <v>2838</v>
      </c>
      <c r="AC48" s="74">
        <v>45204</v>
      </c>
      <c r="AD48" s="11">
        <v>150</v>
      </c>
      <c r="AE48" s="11">
        <v>150</v>
      </c>
      <c r="AF48" s="11">
        <v>2.5</v>
      </c>
      <c r="AG48" s="11">
        <v>0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61" t="s">
        <v>2919</v>
      </c>
      <c r="AZ48" s="79">
        <v>2400</v>
      </c>
      <c r="BA48" s="79">
        <v>10000</v>
      </c>
      <c r="BB48" s="79">
        <v>2970</v>
      </c>
      <c r="BC48" s="79">
        <v>9895</v>
      </c>
      <c r="BD48" s="79">
        <f t="shared" si="0"/>
        <v>570</v>
      </c>
      <c r="BE48" s="75">
        <f t="shared" si="1"/>
        <v>0.23749999999999999</v>
      </c>
      <c r="BF48" s="80">
        <f t="shared" si="2"/>
        <v>-105</v>
      </c>
      <c r="BG48" s="75">
        <f t="shared" si="3"/>
        <v>-1.0500000000000001E-2</v>
      </c>
      <c r="BH48" s="12"/>
      <c r="BI48" s="12"/>
    </row>
    <row r="49" spans="1:61" ht="15.75" customHeight="1">
      <c r="A49" s="73" t="s">
        <v>2836</v>
      </c>
      <c r="B49" s="11" t="s">
        <v>2862</v>
      </c>
      <c r="C49" s="11">
        <v>190.2</v>
      </c>
      <c r="D49" s="11">
        <v>30</v>
      </c>
      <c r="E49" s="11">
        <v>79.8</v>
      </c>
      <c r="F49" s="11">
        <v>300</v>
      </c>
      <c r="G49" s="11">
        <v>5</v>
      </c>
      <c r="H49" s="11">
        <v>0</v>
      </c>
      <c r="I49" s="12"/>
      <c r="J49" s="12"/>
      <c r="K49" s="12"/>
      <c r="L49" s="12"/>
      <c r="M49" s="73" t="s">
        <v>2838</v>
      </c>
      <c r="N49" s="74">
        <v>45265</v>
      </c>
      <c r="O49" s="11">
        <v>1330</v>
      </c>
      <c r="P49" s="11">
        <v>1330</v>
      </c>
      <c r="Q49" s="12">
        <v>22.17</v>
      </c>
      <c r="R49" s="12">
        <v>14.17</v>
      </c>
      <c r="S49" s="12"/>
      <c r="T49" s="12"/>
      <c r="U49" s="12"/>
      <c r="V49" s="12"/>
      <c r="W49" s="12"/>
      <c r="X49" s="12"/>
      <c r="Y49" s="12"/>
      <c r="Z49" s="12"/>
      <c r="AA49" s="12"/>
      <c r="AB49" s="73" t="s">
        <v>2838</v>
      </c>
      <c r="AC49" s="11" t="s">
        <v>2848</v>
      </c>
      <c r="AD49" s="11">
        <v>420</v>
      </c>
      <c r="AE49" s="11">
        <v>420</v>
      </c>
      <c r="AF49" s="11">
        <v>7</v>
      </c>
      <c r="AG49" s="11">
        <v>0</v>
      </c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61" t="s">
        <v>2920</v>
      </c>
      <c r="AZ49" s="61">
        <v>800</v>
      </c>
      <c r="BA49" s="79">
        <v>2000</v>
      </c>
      <c r="BB49" s="61">
        <v>990</v>
      </c>
      <c r="BC49" s="79">
        <v>2017</v>
      </c>
      <c r="BD49" s="61">
        <f t="shared" si="0"/>
        <v>190</v>
      </c>
      <c r="BE49" s="75">
        <f t="shared" si="1"/>
        <v>0.23749999999999999</v>
      </c>
      <c r="BF49" s="80">
        <f t="shared" si="2"/>
        <v>17</v>
      </c>
      <c r="BG49" s="75">
        <f t="shared" si="3"/>
        <v>8.5000000000000006E-3</v>
      </c>
      <c r="BH49" s="12"/>
      <c r="BI49" s="12"/>
    </row>
    <row r="50" spans="1:61" ht="15.75" customHeight="1">
      <c r="A50" s="73" t="s">
        <v>2836</v>
      </c>
      <c r="B50" s="11" t="s">
        <v>2865</v>
      </c>
      <c r="C50" s="11">
        <v>440.4</v>
      </c>
      <c r="D50" s="11">
        <v>10.199999999999999</v>
      </c>
      <c r="E50" s="11">
        <v>25.2</v>
      </c>
      <c r="F50" s="11">
        <v>475.8</v>
      </c>
      <c r="G50" s="11">
        <v>7.93</v>
      </c>
      <c r="H50" s="11">
        <v>0</v>
      </c>
      <c r="I50" s="12"/>
      <c r="J50" s="12"/>
      <c r="K50" s="12"/>
      <c r="L50" s="12"/>
      <c r="M50" s="73" t="s">
        <v>2838</v>
      </c>
      <c r="N50" s="11" t="s">
        <v>2848</v>
      </c>
      <c r="O50" s="11">
        <v>960</v>
      </c>
      <c r="P50" s="11">
        <v>960</v>
      </c>
      <c r="Q50" s="12">
        <v>16</v>
      </c>
      <c r="R50" s="12">
        <v>8</v>
      </c>
      <c r="S50" s="12"/>
      <c r="T50" s="12"/>
      <c r="U50" s="12"/>
      <c r="V50" s="12"/>
      <c r="W50" s="12"/>
      <c r="X50" s="12"/>
      <c r="Y50" s="12"/>
      <c r="Z50" s="12"/>
      <c r="AA50" s="12"/>
      <c r="AB50" s="73" t="s">
        <v>2838</v>
      </c>
      <c r="AC50" s="11" t="s">
        <v>2921</v>
      </c>
      <c r="AD50" s="11">
        <v>870</v>
      </c>
      <c r="AE50" s="11">
        <v>870</v>
      </c>
      <c r="AF50" s="11">
        <v>14.5</v>
      </c>
      <c r="AG50" s="11">
        <v>6.5</v>
      </c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61" t="s">
        <v>2922</v>
      </c>
      <c r="AZ50" s="61">
        <v>680</v>
      </c>
      <c r="BA50" s="79">
        <v>2544</v>
      </c>
      <c r="BB50" s="61">
        <v>840</v>
      </c>
      <c r="BC50" s="79">
        <v>2546</v>
      </c>
      <c r="BD50" s="61">
        <f t="shared" si="0"/>
        <v>160</v>
      </c>
      <c r="BE50" s="75">
        <f t="shared" si="1"/>
        <v>0.23529411764705882</v>
      </c>
      <c r="BF50" s="80">
        <f t="shared" si="2"/>
        <v>2</v>
      </c>
      <c r="BG50" s="75">
        <f t="shared" si="3"/>
        <v>7.8616352201257866E-4</v>
      </c>
      <c r="BH50" s="12"/>
      <c r="BI50" s="12"/>
    </row>
    <row r="51" spans="1:61" ht="15.75" customHeight="1">
      <c r="A51" s="73" t="s">
        <v>2836</v>
      </c>
      <c r="B51" s="77">
        <v>44962</v>
      </c>
      <c r="C51" s="11">
        <v>360</v>
      </c>
      <c r="D51" s="12"/>
      <c r="E51" s="11">
        <v>30</v>
      </c>
      <c r="F51" s="11">
        <v>390</v>
      </c>
      <c r="G51" s="11">
        <v>6.5</v>
      </c>
      <c r="H51" s="11">
        <v>0</v>
      </c>
      <c r="I51" s="12"/>
      <c r="J51" s="12"/>
      <c r="K51" s="12"/>
      <c r="L51" s="12"/>
      <c r="M51" s="73" t="s">
        <v>2838</v>
      </c>
      <c r="N51" s="11" t="s">
        <v>2921</v>
      </c>
      <c r="O51" s="11">
        <v>330</v>
      </c>
      <c r="P51" s="11">
        <v>330</v>
      </c>
      <c r="Q51" s="12">
        <v>5.5</v>
      </c>
      <c r="R51" s="12" t="s">
        <v>435</v>
      </c>
      <c r="S51" s="12"/>
      <c r="T51" s="12"/>
      <c r="U51" s="12"/>
      <c r="V51" s="12"/>
      <c r="W51" s="12"/>
      <c r="X51" s="12"/>
      <c r="Y51" s="12"/>
      <c r="Z51" s="12"/>
      <c r="AA51" s="12"/>
      <c r="AB51" s="73" t="s">
        <v>2838</v>
      </c>
      <c r="AC51" s="11" t="s">
        <v>2923</v>
      </c>
      <c r="AD51" s="11">
        <v>120</v>
      </c>
      <c r="AE51" s="11">
        <v>120</v>
      </c>
      <c r="AF51" s="11">
        <v>2</v>
      </c>
      <c r="AG51" s="11">
        <v>0</v>
      </c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61" t="s">
        <v>2924</v>
      </c>
      <c r="AZ51" s="79">
        <v>1100</v>
      </c>
      <c r="BA51" s="79">
        <v>5000</v>
      </c>
      <c r="BB51" s="79">
        <v>1350</v>
      </c>
      <c r="BC51" s="79">
        <v>5027</v>
      </c>
      <c r="BD51" s="79">
        <f t="shared" si="0"/>
        <v>250</v>
      </c>
      <c r="BE51" s="75">
        <f t="shared" si="1"/>
        <v>0.22727272727272727</v>
      </c>
      <c r="BF51" s="80">
        <f t="shared" si="2"/>
        <v>27</v>
      </c>
      <c r="BG51" s="75">
        <f t="shared" si="3"/>
        <v>5.4000000000000003E-3</v>
      </c>
      <c r="BH51" s="12"/>
      <c r="BI51" s="12"/>
    </row>
    <row r="52" spans="1:61" ht="15.75" customHeight="1">
      <c r="A52" s="73" t="s">
        <v>2836</v>
      </c>
      <c r="B52" s="77">
        <v>44990</v>
      </c>
      <c r="C52" s="11">
        <v>390</v>
      </c>
      <c r="D52" s="11">
        <v>30</v>
      </c>
      <c r="E52" s="11">
        <v>199.8</v>
      </c>
      <c r="F52" s="11">
        <v>619.79999999999995</v>
      </c>
      <c r="G52" s="11">
        <v>10.33</v>
      </c>
      <c r="H52" s="11">
        <v>0</v>
      </c>
      <c r="I52" s="12"/>
      <c r="J52" s="12"/>
      <c r="K52" s="12"/>
      <c r="L52" s="12"/>
      <c r="M52" s="73" t="s">
        <v>2838</v>
      </c>
      <c r="N52" s="11" t="s">
        <v>2923</v>
      </c>
      <c r="O52" s="11">
        <v>1042.5</v>
      </c>
      <c r="P52" s="11">
        <v>1042.5</v>
      </c>
      <c r="Q52" s="12">
        <v>17.38</v>
      </c>
      <c r="R52" s="12">
        <v>9.3800000000000008</v>
      </c>
      <c r="S52" s="12"/>
      <c r="T52" s="12"/>
      <c r="U52" s="12"/>
      <c r="V52" s="12"/>
      <c r="W52" s="12"/>
      <c r="X52" s="12"/>
      <c r="Y52" s="12"/>
      <c r="Z52" s="12"/>
      <c r="AA52" s="12"/>
      <c r="AB52" s="73" t="s">
        <v>2838</v>
      </c>
      <c r="AC52" s="11" t="s">
        <v>2925</v>
      </c>
      <c r="AD52" s="11">
        <v>600</v>
      </c>
      <c r="AE52" s="11">
        <v>600</v>
      </c>
      <c r="AF52" s="11">
        <v>10</v>
      </c>
      <c r="AG52" s="11">
        <v>2</v>
      </c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61" t="s">
        <v>2926</v>
      </c>
      <c r="AZ52" s="61">
        <v>600</v>
      </c>
      <c r="BA52" s="79">
        <v>3000</v>
      </c>
      <c r="BB52" s="61">
        <v>720</v>
      </c>
      <c r="BC52" s="79">
        <v>3004</v>
      </c>
      <c r="BD52" s="61">
        <f t="shared" si="0"/>
        <v>120</v>
      </c>
      <c r="BE52" s="75">
        <f t="shared" si="1"/>
        <v>0.2</v>
      </c>
      <c r="BF52" s="80">
        <f t="shared" si="2"/>
        <v>4</v>
      </c>
      <c r="BG52" s="75">
        <f t="shared" si="3"/>
        <v>1.3333333333333333E-3</v>
      </c>
      <c r="BH52" s="12"/>
      <c r="BI52" s="12"/>
    </row>
    <row r="53" spans="1:61" ht="15.75" customHeight="1">
      <c r="A53" s="73" t="s">
        <v>2836</v>
      </c>
      <c r="B53" s="77">
        <v>45021</v>
      </c>
      <c r="C53" s="11">
        <v>390</v>
      </c>
      <c r="D53" s="12"/>
      <c r="E53" s="11">
        <v>150</v>
      </c>
      <c r="F53" s="11">
        <v>540</v>
      </c>
      <c r="G53" s="11">
        <v>9</v>
      </c>
      <c r="H53" s="11">
        <v>0</v>
      </c>
      <c r="I53" s="12"/>
      <c r="J53" s="12"/>
      <c r="K53" s="12"/>
      <c r="L53" s="12"/>
      <c r="M53" s="73" t="s">
        <v>2838</v>
      </c>
      <c r="N53" s="11" t="s">
        <v>2925</v>
      </c>
      <c r="O53" s="11">
        <v>652.5</v>
      </c>
      <c r="P53" s="11">
        <v>652.5</v>
      </c>
      <c r="Q53" s="12">
        <v>10.88</v>
      </c>
      <c r="R53" s="12">
        <v>2.88</v>
      </c>
      <c r="S53" s="12"/>
      <c r="T53" s="12"/>
      <c r="U53" s="12"/>
      <c r="V53" s="12"/>
      <c r="W53" s="12"/>
      <c r="X53" s="12"/>
      <c r="Y53" s="12"/>
      <c r="Z53" s="12"/>
      <c r="AA53" s="12"/>
      <c r="AB53" s="73" t="s">
        <v>2838</v>
      </c>
      <c r="AC53" s="11" t="s">
        <v>2927</v>
      </c>
      <c r="AD53" s="11">
        <v>270</v>
      </c>
      <c r="AE53" s="11">
        <v>270</v>
      </c>
      <c r="AF53" s="11">
        <v>4.5</v>
      </c>
      <c r="AG53" s="11">
        <v>0</v>
      </c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61" t="s">
        <v>2928</v>
      </c>
      <c r="AZ53" s="61">
        <v>525</v>
      </c>
      <c r="BA53" s="79">
        <v>2000</v>
      </c>
      <c r="BB53" s="61">
        <v>630</v>
      </c>
      <c r="BC53" s="79">
        <v>2012</v>
      </c>
      <c r="BD53" s="61">
        <f t="shared" si="0"/>
        <v>105</v>
      </c>
      <c r="BE53" s="75">
        <f t="shared" si="1"/>
        <v>0.2</v>
      </c>
      <c r="BF53" s="80">
        <f t="shared" si="2"/>
        <v>12</v>
      </c>
      <c r="BG53" s="75">
        <f t="shared" si="3"/>
        <v>6.0000000000000001E-3</v>
      </c>
      <c r="BH53" s="12"/>
      <c r="BI53" s="12"/>
    </row>
    <row r="54" spans="1:61" ht="15.75" customHeight="1">
      <c r="A54" s="73" t="s">
        <v>2836</v>
      </c>
      <c r="B54" s="77">
        <v>45051</v>
      </c>
      <c r="C54" s="11">
        <v>510</v>
      </c>
      <c r="D54" s="12"/>
      <c r="E54" s="11">
        <v>70.2</v>
      </c>
      <c r="F54" s="11">
        <v>580.20000000000005</v>
      </c>
      <c r="G54" s="11">
        <v>9.67</v>
      </c>
      <c r="H54" s="11">
        <v>0</v>
      </c>
      <c r="I54" s="12"/>
      <c r="J54" s="12"/>
      <c r="K54" s="12"/>
      <c r="L54" s="12"/>
      <c r="M54" s="73" t="s">
        <v>2838</v>
      </c>
      <c r="N54" s="11" t="s">
        <v>2927</v>
      </c>
      <c r="O54" s="11">
        <v>292.5</v>
      </c>
      <c r="P54" s="11">
        <v>292.5</v>
      </c>
      <c r="Q54" s="12">
        <v>4.88</v>
      </c>
      <c r="R54" s="12" t="s">
        <v>435</v>
      </c>
      <c r="S54" s="12"/>
      <c r="T54" s="12"/>
      <c r="U54" s="12"/>
      <c r="V54" s="12"/>
      <c r="W54" s="12"/>
      <c r="X54" s="12"/>
      <c r="Y54" s="12"/>
      <c r="Z54" s="12"/>
      <c r="AA54" s="12"/>
      <c r="AB54" s="73" t="s">
        <v>2838</v>
      </c>
      <c r="AC54" s="11" t="s">
        <v>2929</v>
      </c>
      <c r="AD54" s="11">
        <v>330</v>
      </c>
      <c r="AE54" s="11">
        <v>330</v>
      </c>
      <c r="AF54" s="11">
        <v>5.5</v>
      </c>
      <c r="AG54" s="11">
        <v>0</v>
      </c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61" t="s">
        <v>2930</v>
      </c>
      <c r="AZ54" s="61">
        <v>200</v>
      </c>
      <c r="BA54" s="61">
        <v>640</v>
      </c>
      <c r="BB54" s="61">
        <v>240</v>
      </c>
      <c r="BC54" s="61">
        <v>647</v>
      </c>
      <c r="BD54" s="61">
        <f t="shared" si="0"/>
        <v>40</v>
      </c>
      <c r="BE54" s="75">
        <f t="shared" si="1"/>
        <v>0.2</v>
      </c>
      <c r="BF54" s="76">
        <f t="shared" si="2"/>
        <v>7</v>
      </c>
      <c r="BG54" s="75">
        <f t="shared" si="3"/>
        <v>1.0937499999999999E-2</v>
      </c>
      <c r="BH54" s="12"/>
      <c r="BI54" s="12"/>
    </row>
    <row r="55" spans="1:61" ht="15.75" customHeight="1">
      <c r="A55" s="73" t="s">
        <v>2836</v>
      </c>
      <c r="B55" s="77">
        <v>45143</v>
      </c>
      <c r="C55" s="11">
        <v>180</v>
      </c>
      <c r="D55" s="11">
        <v>90</v>
      </c>
      <c r="E55" s="11">
        <v>280.2</v>
      </c>
      <c r="F55" s="11">
        <v>550.20000000000005</v>
      </c>
      <c r="G55" s="11">
        <v>9.17</v>
      </c>
      <c r="H55" s="11">
        <v>0</v>
      </c>
      <c r="I55" s="12"/>
      <c r="J55" s="12"/>
      <c r="K55" s="12"/>
      <c r="L55" s="12"/>
      <c r="M55" s="73" t="s">
        <v>2838</v>
      </c>
      <c r="N55" s="11" t="s">
        <v>2929</v>
      </c>
      <c r="O55" s="11">
        <v>506.25</v>
      </c>
      <c r="P55" s="11">
        <v>506.25</v>
      </c>
      <c r="Q55" s="12">
        <v>8.44</v>
      </c>
      <c r="R55" s="12">
        <v>0.44</v>
      </c>
      <c r="S55" s="12"/>
      <c r="T55" s="12"/>
      <c r="U55" s="12"/>
      <c r="V55" s="12"/>
      <c r="W55" s="12"/>
      <c r="X55" s="12"/>
      <c r="Y55" s="12"/>
      <c r="Z55" s="12"/>
      <c r="AA55" s="12"/>
      <c r="AB55" s="73" t="s">
        <v>2838</v>
      </c>
      <c r="AC55" s="11" t="s">
        <v>2931</v>
      </c>
      <c r="AD55" s="11">
        <v>195</v>
      </c>
      <c r="AE55" s="11">
        <v>195</v>
      </c>
      <c r="AF55" s="11">
        <v>3.25</v>
      </c>
      <c r="AG55" s="11">
        <v>0</v>
      </c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61" t="s">
        <v>2932</v>
      </c>
      <c r="AZ55" s="79">
        <v>3380</v>
      </c>
      <c r="BA55" s="79">
        <v>11921</v>
      </c>
      <c r="BB55" s="79">
        <v>4020</v>
      </c>
      <c r="BC55" s="79">
        <v>11908</v>
      </c>
      <c r="BD55" s="79">
        <f t="shared" si="0"/>
        <v>640</v>
      </c>
      <c r="BE55" s="75">
        <f t="shared" si="1"/>
        <v>0.1893491124260355</v>
      </c>
      <c r="BF55" s="80">
        <f t="shared" si="2"/>
        <v>-13</v>
      </c>
      <c r="BG55" s="75">
        <f t="shared" si="3"/>
        <v>-1.0905125408942203E-3</v>
      </c>
      <c r="BH55" s="12"/>
      <c r="BI55" s="12"/>
    </row>
    <row r="56" spans="1:61" ht="15.75" customHeight="1">
      <c r="A56" s="73" t="s">
        <v>2836</v>
      </c>
      <c r="B56" s="77">
        <v>45174</v>
      </c>
      <c r="C56" s="11">
        <v>552</v>
      </c>
      <c r="D56" s="11">
        <v>70.8</v>
      </c>
      <c r="E56" s="11">
        <v>205.2</v>
      </c>
      <c r="F56" s="11">
        <v>828</v>
      </c>
      <c r="G56" s="11">
        <v>13.8</v>
      </c>
      <c r="H56" s="11">
        <v>0</v>
      </c>
      <c r="I56" s="12"/>
      <c r="J56" s="12"/>
      <c r="K56" s="12"/>
      <c r="L56" s="12"/>
      <c r="M56" s="73" t="s">
        <v>2838</v>
      </c>
      <c r="N56" s="11" t="s">
        <v>2931</v>
      </c>
      <c r="O56" s="11">
        <v>510</v>
      </c>
      <c r="P56" s="11">
        <v>510</v>
      </c>
      <c r="Q56" s="12">
        <v>8.5</v>
      </c>
      <c r="R56" s="12">
        <v>0.5</v>
      </c>
      <c r="S56" s="12"/>
      <c r="T56" s="12"/>
      <c r="U56" s="12"/>
      <c r="V56" s="12"/>
      <c r="W56" s="12"/>
      <c r="X56" s="12"/>
      <c r="Y56" s="12"/>
      <c r="Z56" s="12"/>
      <c r="AA56" s="12"/>
      <c r="AB56" s="73" t="s">
        <v>2838</v>
      </c>
      <c r="AC56" s="11" t="s">
        <v>2933</v>
      </c>
      <c r="AD56" s="11">
        <v>465</v>
      </c>
      <c r="AE56" s="11">
        <v>465</v>
      </c>
      <c r="AF56" s="11">
        <v>7.75</v>
      </c>
      <c r="AG56" s="11">
        <v>0</v>
      </c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61" t="s">
        <v>2934</v>
      </c>
      <c r="AZ56" s="79">
        <v>2200</v>
      </c>
      <c r="BA56" s="79">
        <v>10000</v>
      </c>
      <c r="BB56" s="79">
        <v>2610</v>
      </c>
      <c r="BC56" s="79">
        <v>10488</v>
      </c>
      <c r="BD56" s="79">
        <f t="shared" si="0"/>
        <v>410</v>
      </c>
      <c r="BE56" s="75">
        <f t="shared" si="1"/>
        <v>0.18636363636363637</v>
      </c>
      <c r="BF56" s="80">
        <f t="shared" si="2"/>
        <v>488</v>
      </c>
      <c r="BG56" s="75">
        <f t="shared" si="3"/>
        <v>4.8800000000000003E-2</v>
      </c>
      <c r="BH56" s="12"/>
      <c r="BI56" s="12"/>
    </row>
    <row r="57" spans="1:61" ht="15.75" customHeight="1">
      <c r="A57" s="73" t="s">
        <v>2836</v>
      </c>
      <c r="B57" s="77">
        <v>45204</v>
      </c>
      <c r="C57" s="11">
        <v>355.2</v>
      </c>
      <c r="D57" s="11">
        <v>60</v>
      </c>
      <c r="E57" s="11">
        <v>180</v>
      </c>
      <c r="F57" s="11">
        <v>595.20000000000005</v>
      </c>
      <c r="G57" s="11">
        <v>9.92</v>
      </c>
      <c r="H57" s="11">
        <v>0</v>
      </c>
      <c r="I57" s="12"/>
      <c r="J57" s="12"/>
      <c r="K57" s="12"/>
      <c r="L57" s="12"/>
      <c r="M57" s="73" t="s">
        <v>2838</v>
      </c>
      <c r="N57" s="11" t="s">
        <v>2933</v>
      </c>
      <c r="O57" s="11">
        <v>731.25</v>
      </c>
      <c r="P57" s="11">
        <v>731.25</v>
      </c>
      <c r="Q57" s="12">
        <v>12.19</v>
      </c>
      <c r="R57" s="12">
        <v>4.1900000000000004</v>
      </c>
      <c r="S57" s="12"/>
      <c r="T57" s="12"/>
      <c r="U57" s="12"/>
      <c r="V57" s="12"/>
      <c r="W57" s="12"/>
      <c r="X57" s="12"/>
      <c r="Y57" s="12"/>
      <c r="Z57" s="12"/>
      <c r="AA57" s="12"/>
      <c r="AB57" s="73" t="s">
        <v>2838</v>
      </c>
      <c r="AC57" s="11" t="s">
        <v>2935</v>
      </c>
      <c r="AD57" s="11">
        <v>240</v>
      </c>
      <c r="AE57" s="11">
        <v>240</v>
      </c>
      <c r="AF57" s="11">
        <v>4</v>
      </c>
      <c r="AG57" s="11">
        <v>0</v>
      </c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61" t="s">
        <v>2936</v>
      </c>
      <c r="AZ57" s="79">
        <v>3375</v>
      </c>
      <c r="BA57" s="79">
        <v>15000</v>
      </c>
      <c r="BB57" s="79">
        <v>3960</v>
      </c>
      <c r="BC57" s="79">
        <v>15064</v>
      </c>
      <c r="BD57" s="79">
        <f t="shared" si="0"/>
        <v>585</v>
      </c>
      <c r="BE57" s="75">
        <f t="shared" si="1"/>
        <v>0.17333333333333334</v>
      </c>
      <c r="BF57" s="80">
        <f t="shared" si="2"/>
        <v>64</v>
      </c>
      <c r="BG57" s="75">
        <f t="shared" si="3"/>
        <v>4.2666666666666669E-3</v>
      </c>
      <c r="BH57" s="12"/>
      <c r="BI57" s="12"/>
    </row>
    <row r="58" spans="1:61" ht="15.75" customHeight="1">
      <c r="A58" s="73" t="s">
        <v>2836</v>
      </c>
      <c r="B58" s="77">
        <v>45235</v>
      </c>
      <c r="C58" s="11">
        <v>690</v>
      </c>
      <c r="D58" s="11">
        <v>45</v>
      </c>
      <c r="E58" s="11">
        <v>30</v>
      </c>
      <c r="F58" s="11">
        <v>765</v>
      </c>
      <c r="G58" s="11">
        <v>12.75</v>
      </c>
      <c r="H58" s="11">
        <v>0</v>
      </c>
      <c r="I58" s="12"/>
      <c r="J58" s="12"/>
      <c r="K58" s="12"/>
      <c r="L58" s="12"/>
      <c r="M58" s="73" t="s">
        <v>2838</v>
      </c>
      <c r="N58" s="11" t="s">
        <v>2935</v>
      </c>
      <c r="O58" s="11">
        <v>405</v>
      </c>
      <c r="P58" s="11">
        <v>405</v>
      </c>
      <c r="Q58" s="12">
        <v>6.75</v>
      </c>
      <c r="R58" s="12" t="s">
        <v>435</v>
      </c>
      <c r="S58" s="12"/>
      <c r="T58" s="12"/>
      <c r="U58" s="12"/>
      <c r="V58" s="12"/>
      <c r="W58" s="12"/>
      <c r="X58" s="12"/>
      <c r="Y58" s="12"/>
      <c r="Z58" s="12"/>
      <c r="AA58" s="12"/>
      <c r="AB58" s="73" t="s">
        <v>2838</v>
      </c>
      <c r="AC58" s="11" t="s">
        <v>2937</v>
      </c>
      <c r="AD58" s="11">
        <v>45</v>
      </c>
      <c r="AE58" s="11">
        <v>45</v>
      </c>
      <c r="AF58" s="11">
        <v>0.75</v>
      </c>
      <c r="AG58" s="11">
        <v>0</v>
      </c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61" t="s">
        <v>2938</v>
      </c>
      <c r="AZ58" s="79">
        <v>2200</v>
      </c>
      <c r="BA58" s="79">
        <v>10000</v>
      </c>
      <c r="BB58" s="79">
        <v>2580</v>
      </c>
      <c r="BC58" s="79">
        <v>10242</v>
      </c>
      <c r="BD58" s="79">
        <f t="shared" si="0"/>
        <v>380</v>
      </c>
      <c r="BE58" s="75">
        <f t="shared" si="1"/>
        <v>0.17272727272727273</v>
      </c>
      <c r="BF58" s="80">
        <f t="shared" si="2"/>
        <v>242</v>
      </c>
      <c r="BG58" s="75">
        <f t="shared" si="3"/>
        <v>2.4199999999999999E-2</v>
      </c>
      <c r="BH58" s="12"/>
      <c r="BI58" s="12"/>
    </row>
    <row r="59" spans="1:61" ht="15.75" customHeight="1">
      <c r="A59" s="73" t="s">
        <v>2836</v>
      </c>
      <c r="B59" s="77">
        <v>45265</v>
      </c>
      <c r="C59" s="11">
        <v>610.20000000000005</v>
      </c>
      <c r="D59" s="11">
        <v>30</v>
      </c>
      <c r="E59" s="11">
        <v>150</v>
      </c>
      <c r="F59" s="11">
        <v>790.2</v>
      </c>
      <c r="G59" s="11">
        <v>13.17</v>
      </c>
      <c r="H59" s="11">
        <v>0</v>
      </c>
      <c r="I59" s="12"/>
      <c r="J59" s="12"/>
      <c r="K59" s="12"/>
      <c r="L59" s="12"/>
      <c r="M59" s="73" t="s">
        <v>2838</v>
      </c>
      <c r="N59" s="11" t="s">
        <v>2937</v>
      </c>
      <c r="O59" s="11">
        <v>791.25</v>
      </c>
      <c r="P59" s="11">
        <v>791.25</v>
      </c>
      <c r="Q59" s="12">
        <v>13.19</v>
      </c>
      <c r="R59" s="12">
        <v>5.19</v>
      </c>
      <c r="S59" s="12"/>
      <c r="T59" s="12"/>
      <c r="U59" s="12"/>
      <c r="V59" s="12"/>
      <c r="W59" s="12"/>
      <c r="X59" s="12"/>
      <c r="Y59" s="12"/>
      <c r="Z59" s="12"/>
      <c r="AA59" s="12"/>
      <c r="AB59" s="73" t="s">
        <v>2838</v>
      </c>
      <c r="AC59" s="11" t="s">
        <v>2939</v>
      </c>
      <c r="AD59" s="11">
        <v>390</v>
      </c>
      <c r="AE59" s="11">
        <v>390</v>
      </c>
      <c r="AF59" s="11">
        <v>6.5</v>
      </c>
      <c r="AG59" s="11">
        <v>0</v>
      </c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61" t="s">
        <v>2940</v>
      </c>
      <c r="AZ59" s="79">
        <v>3270</v>
      </c>
      <c r="BA59" s="79">
        <v>7790</v>
      </c>
      <c r="BB59" s="79">
        <v>3810</v>
      </c>
      <c r="BC59" s="79">
        <v>8773</v>
      </c>
      <c r="BD59" s="79">
        <f t="shared" si="0"/>
        <v>540</v>
      </c>
      <c r="BE59" s="75">
        <f t="shared" si="1"/>
        <v>0.16513761467889909</v>
      </c>
      <c r="BF59" s="80">
        <f t="shared" si="2"/>
        <v>983</v>
      </c>
      <c r="BG59" s="75">
        <f t="shared" si="3"/>
        <v>0.12618741976893452</v>
      </c>
      <c r="BH59" s="12"/>
      <c r="BI59" s="12"/>
    </row>
    <row r="60" spans="1:61" ht="15.75" customHeight="1">
      <c r="A60" s="73" t="s">
        <v>2836</v>
      </c>
      <c r="B60" s="11" t="s">
        <v>2848</v>
      </c>
      <c r="C60" s="11">
        <v>550.20000000000005</v>
      </c>
      <c r="D60" s="11">
        <v>70.2</v>
      </c>
      <c r="E60" s="11">
        <v>144.6</v>
      </c>
      <c r="F60" s="11">
        <v>765</v>
      </c>
      <c r="G60" s="11">
        <v>12.75</v>
      </c>
      <c r="H60" s="11">
        <v>0</v>
      </c>
      <c r="I60" s="12"/>
      <c r="J60" s="12"/>
      <c r="K60" s="12"/>
      <c r="L60" s="12"/>
      <c r="M60" s="73" t="s">
        <v>2838</v>
      </c>
      <c r="N60" s="11" t="s">
        <v>2939</v>
      </c>
      <c r="O60" s="11">
        <v>723.75</v>
      </c>
      <c r="P60" s="11">
        <v>723.75</v>
      </c>
      <c r="Q60" s="12">
        <v>12.06</v>
      </c>
      <c r="R60" s="12">
        <v>4.0599999999999996</v>
      </c>
      <c r="S60" s="12"/>
      <c r="T60" s="12"/>
      <c r="U60" s="12"/>
      <c r="V60" s="12"/>
      <c r="W60" s="12"/>
      <c r="X60" s="12"/>
      <c r="Y60" s="12"/>
      <c r="Z60" s="12"/>
      <c r="AA60" s="12"/>
      <c r="AB60" s="73" t="s">
        <v>2838</v>
      </c>
      <c r="AC60" s="74">
        <v>44932</v>
      </c>
      <c r="AD60" s="11">
        <v>195</v>
      </c>
      <c r="AE60" s="11">
        <v>195</v>
      </c>
      <c r="AF60" s="11">
        <v>3.25</v>
      </c>
      <c r="AG60" s="11">
        <v>0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61" t="s">
        <v>2941</v>
      </c>
      <c r="AZ60" s="61">
        <v>480</v>
      </c>
      <c r="BA60" s="79">
        <v>1660</v>
      </c>
      <c r="BB60" s="61">
        <v>555</v>
      </c>
      <c r="BC60" s="79">
        <v>1665</v>
      </c>
      <c r="BD60" s="61">
        <f t="shared" si="0"/>
        <v>75</v>
      </c>
      <c r="BE60" s="75">
        <f t="shared" si="1"/>
        <v>0.15625</v>
      </c>
      <c r="BF60" s="80">
        <f t="shared" si="2"/>
        <v>5</v>
      </c>
      <c r="BG60" s="75">
        <f t="shared" si="3"/>
        <v>3.0120481927710845E-3</v>
      </c>
      <c r="BH60" s="12"/>
      <c r="BI60" s="12"/>
    </row>
    <row r="61" spans="1:61" ht="15.75" customHeight="1">
      <c r="A61" s="73" t="s">
        <v>2836</v>
      </c>
      <c r="B61" s="11" t="s">
        <v>2921</v>
      </c>
      <c r="C61" s="11">
        <v>690</v>
      </c>
      <c r="D61" s="11">
        <v>60</v>
      </c>
      <c r="E61" s="11">
        <v>139.80000000000001</v>
      </c>
      <c r="F61" s="11">
        <v>889.8</v>
      </c>
      <c r="G61" s="11">
        <v>14.83</v>
      </c>
      <c r="H61" s="11">
        <v>0</v>
      </c>
      <c r="I61" s="12"/>
      <c r="J61" s="12"/>
      <c r="K61" s="12"/>
      <c r="L61" s="12"/>
      <c r="M61" s="73" t="s">
        <v>2838</v>
      </c>
      <c r="N61" s="11" t="s">
        <v>2942</v>
      </c>
      <c r="O61" s="11">
        <v>825</v>
      </c>
      <c r="P61" s="11">
        <v>825</v>
      </c>
      <c r="Q61" s="12">
        <v>13.75</v>
      </c>
      <c r="R61" s="12">
        <v>5.75</v>
      </c>
      <c r="S61" s="12"/>
      <c r="T61" s="12"/>
      <c r="U61" s="12"/>
      <c r="V61" s="12"/>
      <c r="W61" s="12"/>
      <c r="X61" s="12"/>
      <c r="Y61" s="12"/>
      <c r="Z61" s="12"/>
      <c r="AA61" s="12"/>
      <c r="AB61" s="73" t="s">
        <v>2838</v>
      </c>
      <c r="AC61" s="74">
        <v>44963</v>
      </c>
      <c r="AD61" s="11">
        <v>615</v>
      </c>
      <c r="AE61" s="11">
        <v>615</v>
      </c>
      <c r="AF61" s="11">
        <v>10.25</v>
      </c>
      <c r="AG61" s="11">
        <v>2.25</v>
      </c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61" t="s">
        <v>2943</v>
      </c>
      <c r="AZ61" s="79">
        <v>2000</v>
      </c>
      <c r="BA61" s="79">
        <v>10000</v>
      </c>
      <c r="BB61" s="79">
        <v>2310</v>
      </c>
      <c r="BC61" s="79">
        <v>10023</v>
      </c>
      <c r="BD61" s="79">
        <f t="shared" si="0"/>
        <v>310</v>
      </c>
      <c r="BE61" s="75">
        <f t="shared" si="1"/>
        <v>0.155</v>
      </c>
      <c r="BF61" s="80">
        <f t="shared" si="2"/>
        <v>23</v>
      </c>
      <c r="BG61" s="75">
        <f t="shared" si="3"/>
        <v>2.3E-3</v>
      </c>
      <c r="BH61" s="12"/>
      <c r="BI61" s="12"/>
    </row>
    <row r="62" spans="1:61" ht="15.75" customHeight="1">
      <c r="A62" s="73" t="s">
        <v>2836</v>
      </c>
      <c r="B62" s="11" t="s">
        <v>2923</v>
      </c>
      <c r="C62" s="11">
        <v>690</v>
      </c>
      <c r="D62" s="11">
        <v>135</v>
      </c>
      <c r="E62" s="11">
        <v>70.2</v>
      </c>
      <c r="F62" s="11">
        <v>895.2</v>
      </c>
      <c r="G62" s="11">
        <v>14.92</v>
      </c>
      <c r="H62" s="11">
        <v>0</v>
      </c>
      <c r="I62" s="12"/>
      <c r="J62" s="12"/>
      <c r="K62" s="12"/>
      <c r="L62" s="12"/>
      <c r="M62" s="73" t="s">
        <v>2838</v>
      </c>
      <c r="N62" s="74">
        <v>44932</v>
      </c>
      <c r="O62" s="11">
        <v>840</v>
      </c>
      <c r="P62" s="11">
        <v>840</v>
      </c>
      <c r="Q62" s="12">
        <v>14</v>
      </c>
      <c r="R62" s="12">
        <v>6</v>
      </c>
      <c r="S62" s="12"/>
      <c r="T62" s="12"/>
      <c r="U62" s="12"/>
      <c r="V62" s="12"/>
      <c r="W62" s="12"/>
      <c r="X62" s="12"/>
      <c r="Y62" s="12"/>
      <c r="Z62" s="12"/>
      <c r="AA62" s="12"/>
      <c r="AB62" s="73" t="s">
        <v>2838</v>
      </c>
      <c r="AC62" s="74">
        <v>45052</v>
      </c>
      <c r="AD62" s="11">
        <v>165</v>
      </c>
      <c r="AE62" s="11">
        <v>165</v>
      </c>
      <c r="AF62" s="11">
        <v>2.75</v>
      </c>
      <c r="AG62" s="11">
        <v>0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61" t="s">
        <v>2944</v>
      </c>
      <c r="AZ62" s="61">
        <v>520</v>
      </c>
      <c r="BA62" s="79">
        <v>2000</v>
      </c>
      <c r="BB62" s="61">
        <v>600</v>
      </c>
      <c r="BC62" s="79">
        <v>2009</v>
      </c>
      <c r="BD62" s="61">
        <f t="shared" si="0"/>
        <v>80</v>
      </c>
      <c r="BE62" s="75">
        <f t="shared" si="1"/>
        <v>0.15384615384615385</v>
      </c>
      <c r="BF62" s="80">
        <f t="shared" si="2"/>
        <v>9</v>
      </c>
      <c r="BG62" s="75">
        <f t="shared" si="3"/>
        <v>4.4999999999999997E-3</v>
      </c>
      <c r="BH62" s="12"/>
      <c r="BI62" s="12"/>
    </row>
    <row r="63" spans="1:61" ht="15.75" customHeight="1">
      <c r="A63" s="73" t="s">
        <v>2836</v>
      </c>
      <c r="B63" s="11" t="s">
        <v>2925</v>
      </c>
      <c r="C63" s="11">
        <v>495</v>
      </c>
      <c r="D63" s="11">
        <v>75</v>
      </c>
      <c r="E63" s="11">
        <v>415.2</v>
      </c>
      <c r="F63" s="11">
        <v>985.2</v>
      </c>
      <c r="G63" s="11">
        <v>16.420000000000002</v>
      </c>
      <c r="H63" s="11">
        <v>0.42</v>
      </c>
      <c r="I63" s="12"/>
      <c r="J63" s="12"/>
      <c r="K63" s="12"/>
      <c r="L63" s="12"/>
      <c r="M63" s="73" t="s">
        <v>2838</v>
      </c>
      <c r="N63" s="74">
        <v>44963</v>
      </c>
      <c r="O63" s="11">
        <v>867.5</v>
      </c>
      <c r="P63" s="11">
        <v>867.5</v>
      </c>
      <c r="Q63" s="12">
        <v>14.46</v>
      </c>
      <c r="R63" s="12">
        <v>6.46</v>
      </c>
      <c r="S63" s="12"/>
      <c r="T63" s="12"/>
      <c r="U63" s="12"/>
      <c r="V63" s="12"/>
      <c r="W63" s="12"/>
      <c r="X63" s="12"/>
      <c r="Y63" s="12"/>
      <c r="Z63" s="12"/>
      <c r="AA63" s="12"/>
      <c r="AB63" s="73" t="s">
        <v>2838</v>
      </c>
      <c r="AC63" s="74">
        <v>45083</v>
      </c>
      <c r="AD63" s="11">
        <v>540</v>
      </c>
      <c r="AE63" s="11">
        <v>540</v>
      </c>
      <c r="AF63" s="11">
        <v>9</v>
      </c>
      <c r="AG63" s="11">
        <v>1</v>
      </c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61" t="s">
        <v>2945</v>
      </c>
      <c r="AZ63" s="79">
        <v>2400</v>
      </c>
      <c r="BA63" s="79">
        <v>10000</v>
      </c>
      <c r="BB63" s="79">
        <v>2760</v>
      </c>
      <c r="BC63" s="79">
        <v>10363</v>
      </c>
      <c r="BD63" s="79">
        <f t="shared" si="0"/>
        <v>360</v>
      </c>
      <c r="BE63" s="75">
        <f t="shared" si="1"/>
        <v>0.15</v>
      </c>
      <c r="BF63" s="80">
        <f t="shared" si="2"/>
        <v>363</v>
      </c>
      <c r="BG63" s="75">
        <f t="shared" si="3"/>
        <v>3.6299999999999999E-2</v>
      </c>
      <c r="BH63" s="12"/>
      <c r="BI63" s="12"/>
    </row>
    <row r="64" spans="1:61" ht="15.75" customHeight="1">
      <c r="A64" s="73" t="s">
        <v>2836</v>
      </c>
      <c r="B64" s="11" t="s">
        <v>2927</v>
      </c>
      <c r="C64" s="11">
        <v>510</v>
      </c>
      <c r="D64" s="11">
        <v>160.19999999999999</v>
      </c>
      <c r="E64" s="11">
        <v>125.4</v>
      </c>
      <c r="F64" s="11">
        <v>795.6</v>
      </c>
      <c r="G64" s="11">
        <v>13.26</v>
      </c>
      <c r="H64" s="11">
        <v>0</v>
      </c>
      <c r="I64" s="12"/>
      <c r="J64" s="12"/>
      <c r="K64" s="12"/>
      <c r="L64" s="12"/>
      <c r="M64" s="73" t="s">
        <v>2838</v>
      </c>
      <c r="N64" s="74">
        <v>45052</v>
      </c>
      <c r="O64" s="11">
        <v>615</v>
      </c>
      <c r="P64" s="11">
        <v>615</v>
      </c>
      <c r="Q64" s="12">
        <v>10.25</v>
      </c>
      <c r="R64" s="12">
        <v>2.25</v>
      </c>
      <c r="S64" s="12"/>
      <c r="T64" s="12"/>
      <c r="U64" s="12"/>
      <c r="V64" s="12"/>
      <c r="W64" s="12"/>
      <c r="X64" s="12"/>
      <c r="Y64" s="12"/>
      <c r="Z64" s="12"/>
      <c r="AA64" s="12"/>
      <c r="AB64" s="73" t="s">
        <v>2838</v>
      </c>
      <c r="AC64" s="74">
        <v>45113</v>
      </c>
      <c r="AD64" s="11">
        <v>480</v>
      </c>
      <c r="AE64" s="11">
        <v>480</v>
      </c>
      <c r="AF64" s="11">
        <v>8</v>
      </c>
      <c r="AG64" s="11">
        <v>0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61" t="s">
        <v>2946</v>
      </c>
      <c r="AZ64" s="61">
        <v>645</v>
      </c>
      <c r="BA64" s="79">
        <v>3000</v>
      </c>
      <c r="BB64" s="61">
        <v>735</v>
      </c>
      <c r="BC64" s="79">
        <v>3005</v>
      </c>
      <c r="BD64" s="61">
        <f t="shared" si="0"/>
        <v>90</v>
      </c>
      <c r="BE64" s="75">
        <f t="shared" si="1"/>
        <v>0.13953488372093023</v>
      </c>
      <c r="BF64" s="80">
        <f t="shared" si="2"/>
        <v>5</v>
      </c>
      <c r="BG64" s="75">
        <f t="shared" si="3"/>
        <v>1.6666666666666668E-3</v>
      </c>
      <c r="BH64" s="12"/>
      <c r="BI64" s="12"/>
    </row>
    <row r="65" spans="1:61" ht="15.75" customHeight="1">
      <c r="A65" s="73" t="s">
        <v>2836</v>
      </c>
      <c r="B65" s="11" t="s">
        <v>2929</v>
      </c>
      <c r="C65" s="11">
        <v>690</v>
      </c>
      <c r="D65" s="11">
        <v>109.8</v>
      </c>
      <c r="E65" s="11">
        <v>25.2</v>
      </c>
      <c r="F65" s="11">
        <v>825</v>
      </c>
      <c r="G65" s="11">
        <v>13.75</v>
      </c>
      <c r="H65" s="11">
        <v>0</v>
      </c>
      <c r="I65" s="12"/>
      <c r="J65" s="12"/>
      <c r="K65" s="12"/>
      <c r="L65" s="12"/>
      <c r="M65" s="73" t="s">
        <v>2838</v>
      </c>
      <c r="N65" s="74">
        <v>45083</v>
      </c>
      <c r="O65" s="11">
        <v>550</v>
      </c>
      <c r="P65" s="11">
        <v>550</v>
      </c>
      <c r="Q65" s="12">
        <v>9.17</v>
      </c>
      <c r="R65" s="12">
        <v>1.17</v>
      </c>
      <c r="S65" s="12"/>
      <c r="T65" s="12"/>
      <c r="U65" s="12"/>
      <c r="V65" s="12"/>
      <c r="W65" s="12"/>
      <c r="X65" s="12"/>
      <c r="Y65" s="12"/>
      <c r="Z65" s="12"/>
      <c r="AA65" s="12"/>
      <c r="AB65" s="73" t="s">
        <v>2838</v>
      </c>
      <c r="AC65" s="74">
        <v>45144</v>
      </c>
      <c r="AD65" s="11">
        <v>630</v>
      </c>
      <c r="AE65" s="11">
        <v>630</v>
      </c>
      <c r="AF65" s="11">
        <v>10.5</v>
      </c>
      <c r="AG65" s="11">
        <v>2.5</v>
      </c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61" t="s">
        <v>2947</v>
      </c>
      <c r="AZ65" s="61">
        <v>860</v>
      </c>
      <c r="BA65" s="79">
        <v>3000</v>
      </c>
      <c r="BB65" s="61">
        <v>980</v>
      </c>
      <c r="BC65" s="79">
        <v>3005</v>
      </c>
      <c r="BD65" s="61">
        <f t="shared" si="0"/>
        <v>120</v>
      </c>
      <c r="BE65" s="75">
        <f t="shared" si="1"/>
        <v>0.13953488372093023</v>
      </c>
      <c r="BF65" s="80">
        <f t="shared" si="2"/>
        <v>5</v>
      </c>
      <c r="BG65" s="75">
        <f t="shared" si="3"/>
        <v>1.6666666666666668E-3</v>
      </c>
      <c r="BH65" s="12"/>
      <c r="BI65" s="12"/>
    </row>
    <row r="66" spans="1:61" ht="15.75" customHeight="1">
      <c r="A66" s="73" t="s">
        <v>2836</v>
      </c>
      <c r="B66" s="11" t="s">
        <v>2931</v>
      </c>
      <c r="C66" s="11">
        <v>225</v>
      </c>
      <c r="D66" s="11">
        <v>19.8</v>
      </c>
      <c r="E66" s="11">
        <v>75</v>
      </c>
      <c r="F66" s="11">
        <v>319.8</v>
      </c>
      <c r="G66" s="11">
        <v>5.33</v>
      </c>
      <c r="H66" s="11">
        <v>0</v>
      </c>
      <c r="I66" s="12"/>
      <c r="J66" s="12"/>
      <c r="K66" s="12"/>
      <c r="L66" s="12"/>
      <c r="M66" s="73" t="s">
        <v>2838</v>
      </c>
      <c r="N66" s="74">
        <v>45113</v>
      </c>
      <c r="O66" s="11">
        <v>880</v>
      </c>
      <c r="P66" s="11">
        <v>880</v>
      </c>
      <c r="Q66" s="12">
        <v>14.67</v>
      </c>
      <c r="R66" s="12">
        <v>6.67</v>
      </c>
      <c r="S66" s="12"/>
      <c r="T66" s="12"/>
      <c r="U66" s="12"/>
      <c r="V66" s="12"/>
      <c r="W66" s="12"/>
      <c r="X66" s="12"/>
      <c r="Y66" s="12"/>
      <c r="Z66" s="12"/>
      <c r="AA66" s="12"/>
      <c r="AB66" s="73" t="s">
        <v>2838</v>
      </c>
      <c r="AC66" s="74">
        <v>45175</v>
      </c>
      <c r="AD66" s="11">
        <v>630</v>
      </c>
      <c r="AE66" s="11">
        <v>630</v>
      </c>
      <c r="AF66" s="11">
        <v>10.5</v>
      </c>
      <c r="AG66" s="11">
        <v>2.5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61" t="s">
        <v>2948</v>
      </c>
      <c r="AZ66" s="79">
        <v>1240</v>
      </c>
      <c r="BA66" s="79">
        <v>5000</v>
      </c>
      <c r="BB66" s="79">
        <v>1410</v>
      </c>
      <c r="BC66" s="79">
        <v>5009</v>
      </c>
      <c r="BD66" s="79">
        <f t="shared" si="0"/>
        <v>170</v>
      </c>
      <c r="BE66" s="75">
        <f t="shared" si="1"/>
        <v>0.13709677419354838</v>
      </c>
      <c r="BF66" s="80">
        <f t="shared" si="2"/>
        <v>9</v>
      </c>
      <c r="BG66" s="75">
        <f t="shared" si="3"/>
        <v>1.8E-3</v>
      </c>
      <c r="BH66" s="12"/>
      <c r="BI66" s="12"/>
    </row>
    <row r="67" spans="1:61" ht="15.75" customHeight="1">
      <c r="A67" s="73" t="s">
        <v>2836</v>
      </c>
      <c r="B67" s="11" t="s">
        <v>2933</v>
      </c>
      <c r="C67" s="11">
        <v>420</v>
      </c>
      <c r="D67" s="12"/>
      <c r="E67" s="11">
        <v>30</v>
      </c>
      <c r="F67" s="11">
        <v>450</v>
      </c>
      <c r="G67" s="11">
        <v>7.5</v>
      </c>
      <c r="H67" s="11">
        <v>0</v>
      </c>
      <c r="I67" s="12"/>
      <c r="J67" s="12"/>
      <c r="K67" s="12"/>
      <c r="L67" s="12"/>
      <c r="M67" s="73" t="s">
        <v>2838</v>
      </c>
      <c r="N67" s="74">
        <v>45144</v>
      </c>
      <c r="O67" s="11">
        <v>640</v>
      </c>
      <c r="P67" s="11">
        <v>640</v>
      </c>
      <c r="Q67" s="12">
        <v>10.67</v>
      </c>
      <c r="R67" s="12">
        <v>2.67</v>
      </c>
      <c r="S67" s="12"/>
      <c r="T67" s="12"/>
      <c r="U67" s="12"/>
      <c r="V67" s="12"/>
      <c r="W67" s="12"/>
      <c r="X67" s="12"/>
      <c r="Y67" s="12"/>
      <c r="Z67" s="12"/>
      <c r="AA67" s="12"/>
      <c r="AB67" s="73" t="s">
        <v>2838</v>
      </c>
      <c r="AC67" s="74">
        <v>45266</v>
      </c>
      <c r="AD67" s="11">
        <v>285</v>
      </c>
      <c r="AE67" s="11">
        <v>285</v>
      </c>
      <c r="AF67" s="11">
        <v>4.75</v>
      </c>
      <c r="AG67" s="11">
        <v>0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61" t="s">
        <v>2949</v>
      </c>
      <c r="AZ67" s="79">
        <v>2610</v>
      </c>
      <c r="BA67" s="79">
        <v>10000</v>
      </c>
      <c r="BB67" s="79">
        <v>2940</v>
      </c>
      <c r="BC67" s="79">
        <v>10020</v>
      </c>
      <c r="BD67" s="79">
        <f t="shared" si="0"/>
        <v>330</v>
      </c>
      <c r="BE67" s="75">
        <f t="shared" si="1"/>
        <v>0.12643678160919541</v>
      </c>
      <c r="BF67" s="80">
        <f t="shared" si="2"/>
        <v>20</v>
      </c>
      <c r="BG67" s="75">
        <f t="shared" si="3"/>
        <v>2E-3</v>
      </c>
      <c r="BH67" s="12"/>
      <c r="BI67" s="12"/>
    </row>
    <row r="68" spans="1:61" ht="15.75" customHeight="1">
      <c r="A68" s="73" t="s">
        <v>2836</v>
      </c>
      <c r="B68" s="11" t="s">
        <v>2935</v>
      </c>
      <c r="C68" s="11">
        <v>135</v>
      </c>
      <c r="D68" s="11">
        <v>40.200000000000003</v>
      </c>
      <c r="E68" s="11">
        <v>60</v>
      </c>
      <c r="F68" s="11">
        <v>235.2</v>
      </c>
      <c r="G68" s="11">
        <v>3.92</v>
      </c>
      <c r="H68" s="11">
        <v>0</v>
      </c>
      <c r="I68" s="12"/>
      <c r="J68" s="12"/>
      <c r="K68" s="12"/>
      <c r="L68" s="12"/>
      <c r="M68" s="73" t="s">
        <v>2838</v>
      </c>
      <c r="N68" s="74">
        <v>45175</v>
      </c>
      <c r="O68" s="11">
        <v>632.5</v>
      </c>
      <c r="P68" s="11">
        <v>632.5</v>
      </c>
      <c r="Q68" s="12">
        <v>10.54</v>
      </c>
      <c r="R68" s="12">
        <v>2.54</v>
      </c>
      <c r="S68" s="12"/>
      <c r="T68" s="12"/>
      <c r="U68" s="12"/>
      <c r="V68" s="12"/>
      <c r="W68" s="12"/>
      <c r="X68" s="12"/>
      <c r="Y68" s="12"/>
      <c r="Z68" s="12"/>
      <c r="AA68" s="12"/>
      <c r="AB68" s="73" t="s">
        <v>2838</v>
      </c>
      <c r="AC68" s="11" t="s">
        <v>2950</v>
      </c>
      <c r="AD68" s="11">
        <v>210</v>
      </c>
      <c r="AE68" s="11">
        <v>210</v>
      </c>
      <c r="AF68" s="11">
        <v>3.5</v>
      </c>
      <c r="AG68" s="11">
        <v>0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61" t="s">
        <v>2951</v>
      </c>
      <c r="AZ68" s="79">
        <v>2400</v>
      </c>
      <c r="BA68" s="79">
        <v>10000</v>
      </c>
      <c r="BB68" s="79">
        <v>2700</v>
      </c>
      <c r="BC68" s="79">
        <v>10098</v>
      </c>
      <c r="BD68" s="79">
        <f t="shared" si="0"/>
        <v>300</v>
      </c>
      <c r="BE68" s="75">
        <f t="shared" si="1"/>
        <v>0.125</v>
      </c>
      <c r="BF68" s="80">
        <f t="shared" si="2"/>
        <v>98</v>
      </c>
      <c r="BG68" s="75">
        <f t="shared" si="3"/>
        <v>9.7999999999999997E-3</v>
      </c>
      <c r="BH68" s="12"/>
      <c r="BI68" s="12"/>
    </row>
    <row r="69" spans="1:61" ht="15.75" customHeight="1">
      <c r="A69" s="73" t="s">
        <v>2836</v>
      </c>
      <c r="B69" s="11" t="s">
        <v>2937</v>
      </c>
      <c r="C69" s="11">
        <v>259.8</v>
      </c>
      <c r="D69" s="11">
        <v>30</v>
      </c>
      <c r="E69" s="12"/>
      <c r="F69" s="11">
        <v>289.8</v>
      </c>
      <c r="G69" s="11">
        <v>4.83</v>
      </c>
      <c r="H69" s="11">
        <v>0</v>
      </c>
      <c r="I69" s="12"/>
      <c r="J69" s="12"/>
      <c r="K69" s="12"/>
      <c r="L69" s="12"/>
      <c r="M69" s="73" t="s">
        <v>2838</v>
      </c>
      <c r="N69" s="74">
        <v>45266</v>
      </c>
      <c r="O69" s="11">
        <v>712.5</v>
      </c>
      <c r="P69" s="11">
        <v>712.5</v>
      </c>
      <c r="Q69" s="12">
        <v>11.88</v>
      </c>
      <c r="R69" s="12">
        <v>3.88</v>
      </c>
      <c r="S69" s="12"/>
      <c r="T69" s="12"/>
      <c r="U69" s="12"/>
      <c r="V69" s="12"/>
      <c r="W69" s="12"/>
      <c r="X69" s="12"/>
      <c r="Y69" s="12"/>
      <c r="Z69" s="12"/>
      <c r="AA69" s="12"/>
      <c r="AB69" s="73" t="s">
        <v>2838</v>
      </c>
      <c r="AC69" s="11" t="s">
        <v>2952</v>
      </c>
      <c r="AD69" s="11">
        <v>420</v>
      </c>
      <c r="AE69" s="11">
        <v>420</v>
      </c>
      <c r="AF69" s="11">
        <v>7</v>
      </c>
      <c r="AG69" s="11">
        <v>0</v>
      </c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61" t="s">
        <v>2953</v>
      </c>
      <c r="AZ69" s="61">
        <v>640</v>
      </c>
      <c r="BA69" s="79">
        <v>2385</v>
      </c>
      <c r="BB69" s="61">
        <v>720</v>
      </c>
      <c r="BC69" s="79">
        <v>2387</v>
      </c>
      <c r="BD69" s="61">
        <f t="shared" si="0"/>
        <v>80</v>
      </c>
      <c r="BE69" s="75">
        <f t="shared" si="1"/>
        <v>0.125</v>
      </c>
      <c r="BF69" s="80">
        <f t="shared" si="2"/>
        <v>2</v>
      </c>
      <c r="BG69" s="75">
        <f t="shared" si="3"/>
        <v>8.3857442348008382E-4</v>
      </c>
      <c r="BH69" s="12"/>
      <c r="BI69" s="12"/>
    </row>
    <row r="70" spans="1:61" ht="15.75" customHeight="1">
      <c r="A70" s="73" t="s">
        <v>2836</v>
      </c>
      <c r="B70" s="11" t="s">
        <v>2939</v>
      </c>
      <c r="C70" s="11">
        <v>315</v>
      </c>
      <c r="D70" s="12"/>
      <c r="E70" s="11">
        <v>199.8</v>
      </c>
      <c r="F70" s="11">
        <v>514.79999999999995</v>
      </c>
      <c r="G70" s="11">
        <v>8.58</v>
      </c>
      <c r="H70" s="11">
        <v>0</v>
      </c>
      <c r="I70" s="12"/>
      <c r="J70" s="12"/>
      <c r="K70" s="12"/>
      <c r="L70" s="12"/>
      <c r="M70" s="73" t="s">
        <v>2838</v>
      </c>
      <c r="N70" s="11" t="s">
        <v>2950</v>
      </c>
      <c r="O70" s="11">
        <v>525</v>
      </c>
      <c r="P70" s="11">
        <v>525</v>
      </c>
      <c r="Q70" s="12">
        <v>8.75</v>
      </c>
      <c r="R70" s="12">
        <v>0.75</v>
      </c>
      <c r="S70" s="12"/>
      <c r="T70" s="12"/>
      <c r="U70" s="12"/>
      <c r="V70" s="12"/>
      <c r="W70" s="12"/>
      <c r="X70" s="12"/>
      <c r="Y70" s="12"/>
      <c r="Z70" s="12"/>
      <c r="AA70" s="12"/>
      <c r="AB70" s="73" t="s">
        <v>2838</v>
      </c>
      <c r="AC70" s="11" t="s">
        <v>2954</v>
      </c>
      <c r="AD70" s="11">
        <v>240</v>
      </c>
      <c r="AE70" s="11">
        <v>240</v>
      </c>
      <c r="AF70" s="11">
        <v>4</v>
      </c>
      <c r="AG70" s="11">
        <v>0</v>
      </c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61" t="s">
        <v>2955</v>
      </c>
      <c r="AZ70" s="79">
        <v>4800</v>
      </c>
      <c r="BA70" s="79">
        <v>20000</v>
      </c>
      <c r="BB70" s="79">
        <v>5400</v>
      </c>
      <c r="BC70" s="79">
        <v>20271</v>
      </c>
      <c r="BD70" s="79">
        <f t="shared" si="0"/>
        <v>600</v>
      </c>
      <c r="BE70" s="75">
        <f t="shared" si="1"/>
        <v>0.125</v>
      </c>
      <c r="BF70" s="80">
        <f t="shared" si="2"/>
        <v>271</v>
      </c>
      <c r="BG70" s="75">
        <f t="shared" si="3"/>
        <v>1.355E-2</v>
      </c>
      <c r="BH70" s="12"/>
      <c r="BI70" s="12"/>
    </row>
    <row r="71" spans="1:61" ht="15.75" customHeight="1">
      <c r="A71" s="73" t="s">
        <v>2836</v>
      </c>
      <c r="B71" s="11" t="s">
        <v>2942</v>
      </c>
      <c r="C71" s="11">
        <v>649.79999999999995</v>
      </c>
      <c r="D71" s="11">
        <v>48</v>
      </c>
      <c r="E71" s="11">
        <v>205.2</v>
      </c>
      <c r="F71" s="11">
        <v>903</v>
      </c>
      <c r="G71" s="11">
        <v>15.05</v>
      </c>
      <c r="H71" s="11">
        <v>0</v>
      </c>
      <c r="I71" s="12"/>
      <c r="J71" s="12"/>
      <c r="K71" s="12"/>
      <c r="L71" s="12"/>
      <c r="M71" s="73" t="s">
        <v>2838</v>
      </c>
      <c r="N71" s="11" t="s">
        <v>2952</v>
      </c>
      <c r="O71" s="11">
        <v>270</v>
      </c>
      <c r="P71" s="11">
        <v>270</v>
      </c>
      <c r="Q71" s="12">
        <v>4.5</v>
      </c>
      <c r="R71" s="12" t="s">
        <v>435</v>
      </c>
      <c r="S71" s="12"/>
      <c r="T71" s="12"/>
      <c r="U71" s="12"/>
      <c r="V71" s="12"/>
      <c r="W71" s="12"/>
      <c r="X71" s="12"/>
      <c r="Y71" s="12"/>
      <c r="Z71" s="12"/>
      <c r="AA71" s="12"/>
      <c r="AB71" s="73" t="s">
        <v>2838</v>
      </c>
      <c r="AC71" s="11" t="s">
        <v>2956</v>
      </c>
      <c r="AD71" s="11">
        <v>180</v>
      </c>
      <c r="AE71" s="11">
        <v>180</v>
      </c>
      <c r="AF71" s="11">
        <v>3</v>
      </c>
      <c r="AG71" s="11">
        <v>0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61" t="s">
        <v>2957</v>
      </c>
      <c r="AZ71" s="79">
        <v>2000</v>
      </c>
      <c r="BA71" s="79">
        <v>10000</v>
      </c>
      <c r="BB71" s="79">
        <v>2250</v>
      </c>
      <c r="BC71" s="79">
        <v>10072</v>
      </c>
      <c r="BD71" s="79">
        <f t="shared" si="0"/>
        <v>250</v>
      </c>
      <c r="BE71" s="75">
        <f t="shared" si="1"/>
        <v>0.125</v>
      </c>
      <c r="BF71" s="80">
        <f t="shared" si="2"/>
        <v>72</v>
      </c>
      <c r="BG71" s="75">
        <f t="shared" si="3"/>
        <v>7.1999999999999998E-3</v>
      </c>
      <c r="BH71" s="12"/>
      <c r="BI71" s="12"/>
    </row>
    <row r="72" spans="1:61" ht="15.75" customHeight="1">
      <c r="A72" s="73" t="s">
        <v>2836</v>
      </c>
      <c r="B72" s="77">
        <v>44932</v>
      </c>
      <c r="C72" s="11">
        <v>340.2</v>
      </c>
      <c r="D72" s="11">
        <v>45</v>
      </c>
      <c r="E72" s="11">
        <v>394.8</v>
      </c>
      <c r="F72" s="11">
        <v>780</v>
      </c>
      <c r="G72" s="11">
        <v>13</v>
      </c>
      <c r="H72" s="11">
        <v>0</v>
      </c>
      <c r="I72" s="12"/>
      <c r="J72" s="12"/>
      <c r="K72" s="12"/>
      <c r="L72" s="12"/>
      <c r="M72" s="73" t="s">
        <v>2838</v>
      </c>
      <c r="N72" s="11" t="s">
        <v>2954</v>
      </c>
      <c r="O72" s="11">
        <v>577.5</v>
      </c>
      <c r="P72" s="11">
        <v>577.5</v>
      </c>
      <c r="Q72" s="12">
        <v>9.6300000000000008</v>
      </c>
      <c r="R72" s="12">
        <v>1.63</v>
      </c>
      <c r="S72" s="12"/>
      <c r="T72" s="12"/>
      <c r="U72" s="12"/>
      <c r="V72" s="12"/>
      <c r="W72" s="12"/>
      <c r="X72" s="12"/>
      <c r="Y72" s="12"/>
      <c r="Z72" s="12"/>
      <c r="AA72" s="12"/>
      <c r="AB72" s="73" t="s">
        <v>2838</v>
      </c>
      <c r="AC72" s="11" t="s">
        <v>2958</v>
      </c>
      <c r="AD72" s="11">
        <v>45</v>
      </c>
      <c r="AE72" s="11">
        <v>45</v>
      </c>
      <c r="AF72" s="11">
        <v>0.75</v>
      </c>
      <c r="AG72" s="11">
        <v>0</v>
      </c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61" t="s">
        <v>2959</v>
      </c>
      <c r="AZ72" s="61">
        <v>800</v>
      </c>
      <c r="BA72" s="79">
        <v>3000</v>
      </c>
      <c r="BB72" s="61">
        <v>900</v>
      </c>
      <c r="BC72" s="79">
        <v>3027</v>
      </c>
      <c r="BD72" s="61">
        <f t="shared" si="0"/>
        <v>100</v>
      </c>
      <c r="BE72" s="75">
        <f t="shared" si="1"/>
        <v>0.125</v>
      </c>
      <c r="BF72" s="80">
        <f t="shared" si="2"/>
        <v>27</v>
      </c>
      <c r="BG72" s="75">
        <f t="shared" si="3"/>
        <v>8.9999999999999993E-3</v>
      </c>
      <c r="BH72" s="12"/>
      <c r="BI72" s="12"/>
    </row>
    <row r="73" spans="1:61" ht="15.75" customHeight="1">
      <c r="A73" s="73" t="s">
        <v>2836</v>
      </c>
      <c r="B73" s="77">
        <v>44963</v>
      </c>
      <c r="C73" s="11">
        <v>630</v>
      </c>
      <c r="D73" s="11">
        <v>60</v>
      </c>
      <c r="E73" s="11">
        <v>120</v>
      </c>
      <c r="F73" s="11">
        <v>810</v>
      </c>
      <c r="G73" s="11">
        <v>13.5</v>
      </c>
      <c r="H73" s="11">
        <v>0</v>
      </c>
      <c r="I73" s="12"/>
      <c r="J73" s="12"/>
      <c r="K73" s="12"/>
      <c r="L73" s="12"/>
      <c r="M73" s="73" t="s">
        <v>2838</v>
      </c>
      <c r="N73" s="11" t="s">
        <v>2956</v>
      </c>
      <c r="O73" s="11">
        <v>665</v>
      </c>
      <c r="P73" s="11">
        <v>665</v>
      </c>
      <c r="Q73" s="12">
        <v>11.08</v>
      </c>
      <c r="R73" s="12">
        <v>3.08</v>
      </c>
      <c r="S73" s="12"/>
      <c r="T73" s="12"/>
      <c r="U73" s="12"/>
      <c r="V73" s="12"/>
      <c r="W73" s="12"/>
      <c r="X73" s="12"/>
      <c r="Y73" s="12"/>
      <c r="Z73" s="12"/>
      <c r="AA73" s="12"/>
      <c r="AB73" s="73" t="s">
        <v>2838</v>
      </c>
      <c r="AC73" s="11" t="s">
        <v>2960</v>
      </c>
      <c r="AD73" s="11">
        <v>450</v>
      </c>
      <c r="AE73" s="11">
        <v>450</v>
      </c>
      <c r="AF73" s="11">
        <v>7.5</v>
      </c>
      <c r="AG73" s="11">
        <v>0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61" t="s">
        <v>2961</v>
      </c>
      <c r="AZ73" s="61">
        <v>240</v>
      </c>
      <c r="BA73" s="79">
        <v>1100</v>
      </c>
      <c r="BB73" s="61">
        <v>270</v>
      </c>
      <c r="BC73" s="79">
        <v>1102</v>
      </c>
      <c r="BD73" s="61">
        <f t="shared" si="0"/>
        <v>30</v>
      </c>
      <c r="BE73" s="75">
        <f t="shared" si="1"/>
        <v>0.125</v>
      </c>
      <c r="BF73" s="80">
        <f t="shared" si="2"/>
        <v>2</v>
      </c>
      <c r="BG73" s="75">
        <f t="shared" si="3"/>
        <v>1.8181818181818182E-3</v>
      </c>
      <c r="BH73" s="12"/>
      <c r="BI73" s="12"/>
    </row>
    <row r="74" spans="1:61" ht="15.75" customHeight="1">
      <c r="A74" s="73" t="s">
        <v>2836</v>
      </c>
      <c r="B74" s="77">
        <v>45052</v>
      </c>
      <c r="C74" s="11">
        <v>375</v>
      </c>
      <c r="D74" s="11">
        <v>30</v>
      </c>
      <c r="E74" s="12"/>
      <c r="F74" s="11">
        <v>405</v>
      </c>
      <c r="G74" s="11">
        <v>6.75</v>
      </c>
      <c r="H74" s="11">
        <v>0</v>
      </c>
      <c r="I74" s="12"/>
      <c r="J74" s="12"/>
      <c r="K74" s="12"/>
      <c r="L74" s="12"/>
      <c r="M74" s="73" t="s">
        <v>2838</v>
      </c>
      <c r="N74" s="11" t="s">
        <v>2958</v>
      </c>
      <c r="O74" s="11">
        <v>510</v>
      </c>
      <c r="P74" s="11">
        <v>510</v>
      </c>
      <c r="Q74" s="12">
        <v>8.5</v>
      </c>
      <c r="R74" s="12">
        <v>0.5</v>
      </c>
      <c r="S74" s="12"/>
      <c r="T74" s="12"/>
      <c r="U74" s="12"/>
      <c r="V74" s="12"/>
      <c r="W74" s="12"/>
      <c r="X74" s="12"/>
      <c r="Y74" s="12"/>
      <c r="Z74" s="12"/>
      <c r="AA74" s="12"/>
      <c r="AB74" s="73" t="s">
        <v>2838</v>
      </c>
      <c r="AC74" s="11" t="s">
        <v>2962</v>
      </c>
      <c r="AD74" s="11">
        <v>259.8</v>
      </c>
      <c r="AE74" s="11">
        <v>259.8</v>
      </c>
      <c r="AF74" s="11">
        <v>4.33</v>
      </c>
      <c r="AG74" s="11">
        <v>0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61" t="s">
        <v>2963</v>
      </c>
      <c r="AZ74" s="61">
        <v>540</v>
      </c>
      <c r="BA74" s="79">
        <v>1700</v>
      </c>
      <c r="BB74" s="61">
        <v>600</v>
      </c>
      <c r="BC74" s="79">
        <v>1699</v>
      </c>
      <c r="BD74" s="61">
        <f t="shared" si="0"/>
        <v>60</v>
      </c>
      <c r="BE74" s="75">
        <f t="shared" si="1"/>
        <v>0.1111111111111111</v>
      </c>
      <c r="BF74" s="80">
        <f t="shared" si="2"/>
        <v>-1</v>
      </c>
      <c r="BG74" s="75">
        <f t="shared" si="3"/>
        <v>-5.8823529411764701E-4</v>
      </c>
      <c r="BH74" s="12"/>
      <c r="BI74" s="12"/>
    </row>
    <row r="75" spans="1:61" ht="15.75" customHeight="1">
      <c r="A75" s="73" t="s">
        <v>2836</v>
      </c>
      <c r="B75" s="77">
        <v>45083</v>
      </c>
      <c r="C75" s="11">
        <v>315</v>
      </c>
      <c r="D75" s="11">
        <v>30</v>
      </c>
      <c r="E75" s="11">
        <v>30</v>
      </c>
      <c r="F75" s="11">
        <v>375</v>
      </c>
      <c r="G75" s="11">
        <v>6.25</v>
      </c>
      <c r="H75" s="11">
        <v>0</v>
      </c>
      <c r="I75" s="12"/>
      <c r="J75" s="12"/>
      <c r="K75" s="12"/>
      <c r="L75" s="12"/>
      <c r="M75" s="73" t="s">
        <v>2838</v>
      </c>
      <c r="N75" s="11" t="s">
        <v>2964</v>
      </c>
      <c r="O75" s="11">
        <v>150</v>
      </c>
      <c r="P75" s="11">
        <v>150</v>
      </c>
      <c r="Q75" s="12">
        <v>2.5</v>
      </c>
      <c r="R75" s="12" t="s">
        <v>435</v>
      </c>
      <c r="S75" s="12"/>
      <c r="T75" s="12"/>
      <c r="U75" s="12"/>
      <c r="V75" s="12"/>
      <c r="W75" s="12"/>
      <c r="X75" s="12"/>
      <c r="Y75" s="12"/>
      <c r="Z75" s="12"/>
      <c r="AA75" s="12"/>
      <c r="AB75" s="73" t="s">
        <v>2838</v>
      </c>
      <c r="AC75" s="11" t="s">
        <v>2965</v>
      </c>
      <c r="AD75" s="11">
        <v>360</v>
      </c>
      <c r="AE75" s="11">
        <v>360</v>
      </c>
      <c r="AF75" s="11">
        <v>6</v>
      </c>
      <c r="AG75" s="11">
        <v>0</v>
      </c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61" t="s">
        <v>2966</v>
      </c>
      <c r="AZ75" s="79">
        <v>3700</v>
      </c>
      <c r="BA75" s="79">
        <v>10000</v>
      </c>
      <c r="BB75" s="79">
        <v>4095</v>
      </c>
      <c r="BC75" s="79">
        <v>10064</v>
      </c>
      <c r="BD75" s="79">
        <f t="shared" si="0"/>
        <v>395</v>
      </c>
      <c r="BE75" s="75">
        <f t="shared" si="1"/>
        <v>0.10675675675675676</v>
      </c>
      <c r="BF75" s="80">
        <f t="shared" si="2"/>
        <v>64</v>
      </c>
      <c r="BG75" s="75">
        <f t="shared" si="3"/>
        <v>6.4000000000000003E-3</v>
      </c>
      <c r="BH75" s="12"/>
      <c r="BI75" s="12"/>
    </row>
    <row r="76" spans="1:61" ht="15.75" customHeight="1">
      <c r="A76" s="73" t="s">
        <v>2836</v>
      </c>
      <c r="B76" s="77">
        <v>45113</v>
      </c>
      <c r="C76" s="11">
        <v>390</v>
      </c>
      <c r="D76" s="12"/>
      <c r="E76" s="11">
        <v>25.2</v>
      </c>
      <c r="F76" s="11">
        <v>415.2</v>
      </c>
      <c r="G76" s="11">
        <v>6.92</v>
      </c>
      <c r="H76" s="11">
        <v>0</v>
      </c>
      <c r="I76" s="12"/>
      <c r="J76" s="12"/>
      <c r="K76" s="12"/>
      <c r="L76" s="12"/>
      <c r="M76" s="73" t="s">
        <v>2838</v>
      </c>
      <c r="N76" s="11" t="s">
        <v>2960</v>
      </c>
      <c r="O76" s="11">
        <v>0</v>
      </c>
      <c r="P76" s="11">
        <v>0</v>
      </c>
      <c r="Q76" s="12" t="s">
        <v>435</v>
      </c>
      <c r="R76" s="12" t="s">
        <v>435</v>
      </c>
      <c r="S76" s="12"/>
      <c r="T76" s="12"/>
      <c r="U76" s="12"/>
      <c r="V76" s="12"/>
      <c r="W76" s="12"/>
      <c r="X76" s="12"/>
      <c r="Y76" s="12"/>
      <c r="Z76" s="12"/>
      <c r="AA76" s="12"/>
      <c r="AB76" s="73" t="s">
        <v>2838</v>
      </c>
      <c r="AC76" s="11" t="s">
        <v>2967</v>
      </c>
      <c r="AD76" s="11">
        <v>0</v>
      </c>
      <c r="AE76" s="11">
        <v>0</v>
      </c>
      <c r="AF76" s="11">
        <v>0</v>
      </c>
      <c r="AG76" s="11">
        <v>0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61" t="s">
        <v>2968</v>
      </c>
      <c r="AZ76" s="61">
        <v>900</v>
      </c>
      <c r="BA76" s="79">
        <v>2500</v>
      </c>
      <c r="BB76" s="61">
        <v>990</v>
      </c>
      <c r="BC76" s="79">
        <v>2495</v>
      </c>
      <c r="BD76" s="61">
        <f t="shared" si="0"/>
        <v>90</v>
      </c>
      <c r="BE76" s="75">
        <f t="shared" si="1"/>
        <v>0.1</v>
      </c>
      <c r="BF76" s="80">
        <f t="shared" si="2"/>
        <v>-5</v>
      </c>
      <c r="BG76" s="75">
        <f t="shared" si="3"/>
        <v>-2E-3</v>
      </c>
      <c r="BH76" s="12"/>
      <c r="BI76" s="12"/>
    </row>
    <row r="77" spans="1:61" ht="15.75" customHeight="1">
      <c r="A77" s="73" t="s">
        <v>2836</v>
      </c>
      <c r="B77" s="77">
        <v>45144</v>
      </c>
      <c r="C77" s="11">
        <v>390</v>
      </c>
      <c r="D77" s="12"/>
      <c r="E77" s="11">
        <v>75</v>
      </c>
      <c r="F77" s="11">
        <v>465</v>
      </c>
      <c r="G77" s="11">
        <v>7.75</v>
      </c>
      <c r="H77" s="11">
        <v>0</v>
      </c>
      <c r="I77" s="12"/>
      <c r="J77" s="12"/>
      <c r="K77" s="12"/>
      <c r="L77" s="12"/>
      <c r="M77" s="73" t="s">
        <v>2838</v>
      </c>
      <c r="N77" s="11" t="s">
        <v>2962</v>
      </c>
      <c r="O77" s="11">
        <v>555</v>
      </c>
      <c r="P77" s="11">
        <v>555</v>
      </c>
      <c r="Q77" s="12">
        <v>9.25</v>
      </c>
      <c r="R77" s="12">
        <v>1.25</v>
      </c>
      <c r="S77" s="12"/>
      <c r="T77" s="12"/>
      <c r="U77" s="12"/>
      <c r="V77" s="12"/>
      <c r="W77" s="12"/>
      <c r="X77" s="12"/>
      <c r="Y77" s="12"/>
      <c r="Z77" s="12"/>
      <c r="AA77" s="12"/>
      <c r="AB77" s="73" t="s">
        <v>2838</v>
      </c>
      <c r="AC77" s="11" t="s">
        <v>2969</v>
      </c>
      <c r="AD77" s="11">
        <v>45</v>
      </c>
      <c r="AE77" s="11">
        <v>45</v>
      </c>
      <c r="AF77" s="11">
        <v>0.75</v>
      </c>
      <c r="AG77" s="11">
        <v>0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61" t="s">
        <v>2970</v>
      </c>
      <c r="AZ77" s="79">
        <v>1230</v>
      </c>
      <c r="BA77" s="79">
        <v>3000</v>
      </c>
      <c r="BB77" s="79">
        <v>1350</v>
      </c>
      <c r="BC77" s="79">
        <v>2945</v>
      </c>
      <c r="BD77" s="79">
        <f t="shared" si="0"/>
        <v>120</v>
      </c>
      <c r="BE77" s="75">
        <f t="shared" si="1"/>
        <v>9.7560975609756101E-2</v>
      </c>
      <c r="BF77" s="80">
        <f t="shared" si="2"/>
        <v>-55</v>
      </c>
      <c r="BG77" s="75">
        <f t="shared" si="3"/>
        <v>-1.8333333333333333E-2</v>
      </c>
      <c r="BH77" s="12"/>
      <c r="BI77" s="12"/>
    </row>
    <row r="78" spans="1:61" ht="15.75" customHeight="1">
      <c r="A78" s="73" t="s">
        <v>2836</v>
      </c>
      <c r="B78" s="77">
        <v>45175</v>
      </c>
      <c r="C78" s="11">
        <v>450</v>
      </c>
      <c r="D78" s="11">
        <v>60</v>
      </c>
      <c r="E78" s="11">
        <v>139.80000000000001</v>
      </c>
      <c r="F78" s="11">
        <v>649.79999999999995</v>
      </c>
      <c r="G78" s="11">
        <v>10.83</v>
      </c>
      <c r="H78" s="11">
        <v>0</v>
      </c>
      <c r="I78" s="12"/>
      <c r="J78" s="12"/>
      <c r="K78" s="12"/>
      <c r="L78" s="12"/>
      <c r="M78" s="73" t="s">
        <v>2838</v>
      </c>
      <c r="N78" s="11" t="s">
        <v>2965</v>
      </c>
      <c r="O78" s="11">
        <v>540</v>
      </c>
      <c r="P78" s="11">
        <v>540</v>
      </c>
      <c r="Q78" s="12">
        <v>9</v>
      </c>
      <c r="R78" s="12">
        <v>1</v>
      </c>
      <c r="S78" s="12"/>
      <c r="T78" s="12"/>
      <c r="U78" s="12"/>
      <c r="V78" s="12"/>
      <c r="W78" s="12"/>
      <c r="X78" s="12"/>
      <c r="Y78" s="12"/>
      <c r="Z78" s="12"/>
      <c r="AA78" s="12"/>
      <c r="AB78" s="73" t="s">
        <v>2838</v>
      </c>
      <c r="AC78" s="74">
        <v>44992</v>
      </c>
      <c r="AD78" s="11">
        <v>150</v>
      </c>
      <c r="AE78" s="11">
        <v>150</v>
      </c>
      <c r="AF78" s="11">
        <v>2.5</v>
      </c>
      <c r="AG78" s="11">
        <v>0</v>
      </c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61" t="s">
        <v>2971</v>
      </c>
      <c r="AZ78" s="79">
        <v>2000</v>
      </c>
      <c r="BA78" s="79">
        <v>10000</v>
      </c>
      <c r="BB78" s="79">
        <v>2190</v>
      </c>
      <c r="BC78" s="79">
        <v>10021</v>
      </c>
      <c r="BD78" s="79">
        <f t="shared" si="0"/>
        <v>190</v>
      </c>
      <c r="BE78" s="75">
        <f t="shared" si="1"/>
        <v>9.5000000000000001E-2</v>
      </c>
      <c r="BF78" s="80">
        <f t="shared" si="2"/>
        <v>21</v>
      </c>
      <c r="BG78" s="75">
        <f t="shared" si="3"/>
        <v>2.0999999999999999E-3</v>
      </c>
      <c r="BH78" s="12"/>
      <c r="BI78" s="12"/>
    </row>
    <row r="79" spans="1:61" ht="15.75" customHeight="1">
      <c r="A79" s="73" t="s">
        <v>2836</v>
      </c>
      <c r="B79" s="77">
        <v>45266</v>
      </c>
      <c r="C79" s="11">
        <v>280.2</v>
      </c>
      <c r="D79" s="11">
        <v>30</v>
      </c>
      <c r="E79" s="11">
        <v>64.8</v>
      </c>
      <c r="F79" s="11">
        <v>375</v>
      </c>
      <c r="G79" s="11">
        <v>6.25</v>
      </c>
      <c r="H79" s="11">
        <v>0</v>
      </c>
      <c r="I79" s="12"/>
      <c r="J79" s="12"/>
      <c r="K79" s="12"/>
      <c r="L79" s="12"/>
      <c r="M79" s="73" t="s">
        <v>2838</v>
      </c>
      <c r="N79" s="11" t="s">
        <v>2967</v>
      </c>
      <c r="O79" s="11">
        <v>712.5</v>
      </c>
      <c r="P79" s="11">
        <v>712.5</v>
      </c>
      <c r="Q79" s="12">
        <v>11.88</v>
      </c>
      <c r="R79" s="12">
        <v>3.88</v>
      </c>
      <c r="S79" s="12"/>
      <c r="T79" s="12"/>
      <c r="U79" s="12"/>
      <c r="V79" s="12"/>
      <c r="W79" s="12"/>
      <c r="X79" s="12"/>
      <c r="Y79" s="12"/>
      <c r="Z79" s="12"/>
      <c r="AA79" s="12"/>
      <c r="AB79" s="73" t="s">
        <v>2838</v>
      </c>
      <c r="AC79" s="74">
        <v>45023</v>
      </c>
      <c r="AD79" s="11">
        <v>454.8</v>
      </c>
      <c r="AE79" s="11">
        <v>454.8</v>
      </c>
      <c r="AF79" s="11">
        <v>7.58</v>
      </c>
      <c r="AG79" s="11">
        <v>0</v>
      </c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61" t="s">
        <v>2972</v>
      </c>
      <c r="AZ79" s="79">
        <v>1000</v>
      </c>
      <c r="BA79" s="79">
        <v>2000</v>
      </c>
      <c r="BB79" s="79">
        <v>1080</v>
      </c>
      <c r="BC79" s="79">
        <v>2004</v>
      </c>
      <c r="BD79" s="79">
        <f t="shared" si="0"/>
        <v>80</v>
      </c>
      <c r="BE79" s="75">
        <f t="shared" si="1"/>
        <v>0.08</v>
      </c>
      <c r="BF79" s="80">
        <f t="shared" si="2"/>
        <v>4</v>
      </c>
      <c r="BG79" s="75">
        <f t="shared" si="3"/>
        <v>2E-3</v>
      </c>
      <c r="BH79" s="12"/>
      <c r="BI79" s="12"/>
    </row>
    <row r="80" spans="1:61" ht="15.75" customHeight="1">
      <c r="A80" s="73" t="s">
        <v>2836</v>
      </c>
      <c r="B80" s="11" t="s">
        <v>2950</v>
      </c>
      <c r="C80" s="11">
        <v>97.8</v>
      </c>
      <c r="D80" s="11">
        <v>40.200000000000003</v>
      </c>
      <c r="E80" s="11">
        <v>210</v>
      </c>
      <c r="F80" s="11">
        <v>348</v>
      </c>
      <c r="G80" s="11">
        <v>5.8</v>
      </c>
      <c r="H80" s="11">
        <v>0</v>
      </c>
      <c r="I80" s="12"/>
      <c r="J80" s="12"/>
      <c r="K80" s="12"/>
      <c r="L80" s="12"/>
      <c r="M80" s="73" t="s">
        <v>2838</v>
      </c>
      <c r="N80" s="11" t="s">
        <v>2969</v>
      </c>
      <c r="O80" s="11">
        <v>480</v>
      </c>
      <c r="P80" s="11">
        <v>480</v>
      </c>
      <c r="Q80" s="12">
        <v>8</v>
      </c>
      <c r="R80" s="12" t="s">
        <v>435</v>
      </c>
      <c r="S80" s="12"/>
      <c r="T80" s="12"/>
      <c r="U80" s="12"/>
      <c r="V80" s="12"/>
      <c r="W80" s="12"/>
      <c r="X80" s="12"/>
      <c r="Y80" s="12"/>
      <c r="Z80" s="12"/>
      <c r="AA80" s="12"/>
      <c r="AB80" s="73" t="s">
        <v>2838</v>
      </c>
      <c r="AC80" s="74">
        <v>45053</v>
      </c>
      <c r="AD80" s="11">
        <v>304.8</v>
      </c>
      <c r="AE80" s="11">
        <v>304.8</v>
      </c>
      <c r="AF80" s="11">
        <v>5.08</v>
      </c>
      <c r="AG80" s="11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61" t="s">
        <v>2973</v>
      </c>
      <c r="AZ80" s="79">
        <v>2000</v>
      </c>
      <c r="BA80" s="79">
        <v>10000</v>
      </c>
      <c r="BB80" s="79">
        <v>2160</v>
      </c>
      <c r="BC80" s="79">
        <v>10011</v>
      </c>
      <c r="BD80" s="79">
        <f t="shared" si="0"/>
        <v>160</v>
      </c>
      <c r="BE80" s="75">
        <f t="shared" si="1"/>
        <v>0.08</v>
      </c>
      <c r="BF80" s="80">
        <f t="shared" si="2"/>
        <v>11</v>
      </c>
      <c r="BG80" s="75">
        <f t="shared" si="3"/>
        <v>1.1000000000000001E-3</v>
      </c>
      <c r="BH80" s="12"/>
      <c r="BI80" s="12"/>
    </row>
    <row r="81" spans="1:61" ht="15.75" customHeight="1">
      <c r="A81" s="73" t="s">
        <v>2836</v>
      </c>
      <c r="B81" s="11" t="s">
        <v>2952</v>
      </c>
      <c r="C81" s="11">
        <v>270</v>
      </c>
      <c r="D81" s="11">
        <v>90</v>
      </c>
      <c r="E81" s="11">
        <v>60</v>
      </c>
      <c r="F81" s="11">
        <v>420</v>
      </c>
      <c r="G81" s="11">
        <v>7</v>
      </c>
      <c r="H81" s="11">
        <v>0</v>
      </c>
      <c r="I81" s="12"/>
      <c r="J81" s="12"/>
      <c r="K81" s="12"/>
      <c r="L81" s="12"/>
      <c r="M81" s="73" t="s">
        <v>2838</v>
      </c>
      <c r="N81" s="11" t="s">
        <v>2974</v>
      </c>
      <c r="O81" s="11">
        <v>420</v>
      </c>
      <c r="P81" s="11">
        <v>420</v>
      </c>
      <c r="Q81" s="12">
        <v>7</v>
      </c>
      <c r="R81" s="12" t="s">
        <v>435</v>
      </c>
      <c r="S81" s="12"/>
      <c r="T81" s="12"/>
      <c r="U81" s="12"/>
      <c r="V81" s="12"/>
      <c r="W81" s="12"/>
      <c r="X81" s="12"/>
      <c r="Y81" s="12"/>
      <c r="Z81" s="12"/>
      <c r="AA81" s="12"/>
      <c r="AB81" s="73" t="s">
        <v>2838</v>
      </c>
      <c r="AC81" s="74">
        <v>45084</v>
      </c>
      <c r="AD81" s="11">
        <v>0</v>
      </c>
      <c r="AE81" s="11">
        <v>0</v>
      </c>
      <c r="AF81" s="11">
        <v>0</v>
      </c>
      <c r="AG81" s="11">
        <v>0</v>
      </c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61" t="s">
        <v>2975</v>
      </c>
      <c r="AZ81" s="61">
        <v>780</v>
      </c>
      <c r="BA81" s="79">
        <v>3000</v>
      </c>
      <c r="BB81" s="61">
        <v>840</v>
      </c>
      <c r="BC81" s="79">
        <v>3006</v>
      </c>
      <c r="BD81" s="61">
        <f t="shared" si="0"/>
        <v>60</v>
      </c>
      <c r="BE81" s="75">
        <f t="shared" si="1"/>
        <v>7.6923076923076927E-2</v>
      </c>
      <c r="BF81" s="80">
        <f t="shared" si="2"/>
        <v>6</v>
      </c>
      <c r="BG81" s="75">
        <f t="shared" si="3"/>
        <v>2E-3</v>
      </c>
      <c r="BH81" s="12"/>
      <c r="BI81" s="12"/>
    </row>
    <row r="82" spans="1:61" ht="15.75" customHeight="1">
      <c r="A82" s="73" t="s">
        <v>2836</v>
      </c>
      <c r="B82" s="11" t="s">
        <v>2954</v>
      </c>
      <c r="C82" s="11">
        <v>42</v>
      </c>
      <c r="D82" s="11">
        <v>7.8</v>
      </c>
      <c r="E82" s="11">
        <v>70.2</v>
      </c>
      <c r="F82" s="11">
        <v>120</v>
      </c>
      <c r="G82" s="11">
        <v>2</v>
      </c>
      <c r="H82" s="11">
        <v>0</v>
      </c>
      <c r="I82" s="12"/>
      <c r="J82" s="12"/>
      <c r="K82" s="12"/>
      <c r="L82" s="12"/>
      <c r="M82" s="73" t="s">
        <v>2838</v>
      </c>
      <c r="N82" s="11" t="s">
        <v>2976</v>
      </c>
      <c r="O82" s="11">
        <v>138.75</v>
      </c>
      <c r="P82" s="11">
        <v>138.75</v>
      </c>
      <c r="Q82" s="12">
        <v>2.31</v>
      </c>
      <c r="R82" s="12" t="s">
        <v>435</v>
      </c>
      <c r="S82" s="12"/>
      <c r="T82" s="12"/>
      <c r="U82" s="12"/>
      <c r="V82" s="12"/>
      <c r="W82" s="12"/>
      <c r="X82" s="12"/>
      <c r="Y82" s="12"/>
      <c r="Z82" s="12"/>
      <c r="AA82" s="12"/>
      <c r="AB82" s="73" t="s">
        <v>2838</v>
      </c>
      <c r="AC82" s="74">
        <v>45206</v>
      </c>
      <c r="AD82" s="11">
        <v>330</v>
      </c>
      <c r="AE82" s="11">
        <v>330</v>
      </c>
      <c r="AF82" s="11">
        <v>5.5</v>
      </c>
      <c r="AG82" s="11">
        <v>0</v>
      </c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61" t="s">
        <v>2977</v>
      </c>
      <c r="AZ82" s="61">
        <v>280</v>
      </c>
      <c r="BA82" s="79">
        <v>1000</v>
      </c>
      <c r="BB82" s="61">
        <v>300</v>
      </c>
      <c r="BC82" s="79">
        <v>1000</v>
      </c>
      <c r="BD82" s="61">
        <f t="shared" si="0"/>
        <v>20</v>
      </c>
      <c r="BE82" s="75">
        <f t="shared" si="1"/>
        <v>7.1428571428571425E-2</v>
      </c>
      <c r="BF82" s="80">
        <f t="shared" si="2"/>
        <v>0</v>
      </c>
      <c r="BG82" s="75">
        <f t="shared" si="3"/>
        <v>0</v>
      </c>
      <c r="BH82" s="12"/>
      <c r="BI82" s="12"/>
    </row>
    <row r="83" spans="1:61" ht="15.75" customHeight="1">
      <c r="A83" s="73" t="s">
        <v>2836</v>
      </c>
      <c r="B83" s="11" t="s">
        <v>2956</v>
      </c>
      <c r="C83" s="11">
        <v>220.2</v>
      </c>
      <c r="D83" s="11">
        <v>15</v>
      </c>
      <c r="E83" s="11">
        <v>84.6</v>
      </c>
      <c r="F83" s="11">
        <v>319.8</v>
      </c>
      <c r="G83" s="11">
        <v>5.33</v>
      </c>
      <c r="H83" s="11">
        <v>0</v>
      </c>
      <c r="I83" s="12"/>
      <c r="J83" s="12"/>
      <c r="K83" s="12"/>
      <c r="L83" s="12"/>
      <c r="M83" s="73" t="s">
        <v>2838</v>
      </c>
      <c r="N83" s="74">
        <v>45023</v>
      </c>
      <c r="O83" s="11">
        <v>82.5</v>
      </c>
      <c r="P83" s="11">
        <v>82.5</v>
      </c>
      <c r="Q83" s="12">
        <v>1.38</v>
      </c>
      <c r="R83" s="12" t="s">
        <v>435</v>
      </c>
      <c r="S83" s="12"/>
      <c r="T83" s="12"/>
      <c r="U83" s="12"/>
      <c r="V83" s="12"/>
      <c r="W83" s="12"/>
      <c r="X83" s="12"/>
      <c r="Y83" s="12"/>
      <c r="Z83" s="12"/>
      <c r="AA83" s="12"/>
      <c r="AB83" s="73" t="s">
        <v>2838</v>
      </c>
      <c r="AC83" s="74">
        <v>45237</v>
      </c>
      <c r="AD83" s="11">
        <v>469.8</v>
      </c>
      <c r="AE83" s="11">
        <v>469.8</v>
      </c>
      <c r="AF83" s="11">
        <v>7.83</v>
      </c>
      <c r="AG83" s="11">
        <v>0</v>
      </c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61" t="s">
        <v>2978</v>
      </c>
      <c r="AZ83" s="79">
        <v>1500</v>
      </c>
      <c r="BA83" s="79">
        <v>10000</v>
      </c>
      <c r="BB83" s="79">
        <v>1605</v>
      </c>
      <c r="BC83" s="79">
        <v>10217</v>
      </c>
      <c r="BD83" s="79">
        <f t="shared" si="0"/>
        <v>105</v>
      </c>
      <c r="BE83" s="75">
        <f t="shared" si="1"/>
        <v>7.0000000000000007E-2</v>
      </c>
      <c r="BF83" s="80">
        <f t="shared" si="2"/>
        <v>217</v>
      </c>
      <c r="BG83" s="75">
        <f t="shared" si="3"/>
        <v>2.1700000000000001E-2</v>
      </c>
      <c r="BH83" s="12"/>
      <c r="BI83" s="12"/>
    </row>
    <row r="84" spans="1:61" ht="15.75" customHeight="1">
      <c r="A84" s="73" t="s">
        <v>2836</v>
      </c>
      <c r="B84" s="11" t="s">
        <v>2958</v>
      </c>
      <c r="C84" s="11">
        <v>312.60000000000002</v>
      </c>
      <c r="D84" s="11">
        <v>27</v>
      </c>
      <c r="E84" s="11">
        <v>160.19999999999999</v>
      </c>
      <c r="F84" s="11">
        <v>499.8</v>
      </c>
      <c r="G84" s="11">
        <v>8.33</v>
      </c>
      <c r="H84" s="11">
        <v>0</v>
      </c>
      <c r="I84" s="12"/>
      <c r="J84" s="12"/>
      <c r="K84" s="12"/>
      <c r="L84" s="12"/>
      <c r="M84" s="73" t="s">
        <v>2838</v>
      </c>
      <c r="N84" s="74">
        <v>45053</v>
      </c>
      <c r="O84" s="11">
        <v>225</v>
      </c>
      <c r="P84" s="11">
        <v>225</v>
      </c>
      <c r="Q84" s="12">
        <v>3.75</v>
      </c>
      <c r="R84" s="12" t="s">
        <v>435</v>
      </c>
      <c r="S84" s="12"/>
      <c r="T84" s="12"/>
      <c r="U84" s="12"/>
      <c r="V84" s="12"/>
      <c r="W84" s="12"/>
      <c r="X84" s="12"/>
      <c r="Y84" s="12"/>
      <c r="Z84" s="12"/>
      <c r="AA84" s="12"/>
      <c r="AB84" s="73" t="s">
        <v>2838</v>
      </c>
      <c r="AC84" s="74">
        <v>45267</v>
      </c>
      <c r="AD84" s="11">
        <v>240</v>
      </c>
      <c r="AE84" s="11">
        <v>240</v>
      </c>
      <c r="AF84" s="11">
        <v>4</v>
      </c>
      <c r="AG84" s="11">
        <v>0</v>
      </c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61" t="s">
        <v>2979</v>
      </c>
      <c r="AZ84" s="61">
        <v>645</v>
      </c>
      <c r="BA84" s="79">
        <v>2500</v>
      </c>
      <c r="BB84" s="61">
        <v>690</v>
      </c>
      <c r="BC84" s="79">
        <v>2505</v>
      </c>
      <c r="BD84" s="61">
        <f t="shared" si="0"/>
        <v>45</v>
      </c>
      <c r="BE84" s="75">
        <f t="shared" si="1"/>
        <v>6.9767441860465115E-2</v>
      </c>
      <c r="BF84" s="80">
        <f t="shared" si="2"/>
        <v>5</v>
      </c>
      <c r="BG84" s="75">
        <f t="shared" si="3"/>
        <v>2E-3</v>
      </c>
      <c r="BH84" s="12"/>
      <c r="BI84" s="12"/>
    </row>
    <row r="85" spans="1:61" ht="15.75" customHeight="1">
      <c r="A85" s="73" t="s">
        <v>2836</v>
      </c>
      <c r="B85" s="11" t="s">
        <v>2964</v>
      </c>
      <c r="C85" s="11">
        <v>244.8</v>
      </c>
      <c r="D85" s="11">
        <v>19.8</v>
      </c>
      <c r="E85" s="11">
        <v>100.2</v>
      </c>
      <c r="F85" s="11">
        <v>364.8</v>
      </c>
      <c r="G85" s="11">
        <v>6.08</v>
      </c>
      <c r="H85" s="11">
        <v>0</v>
      </c>
      <c r="I85" s="12"/>
      <c r="J85" s="12"/>
      <c r="K85" s="12"/>
      <c r="L85" s="12"/>
      <c r="M85" s="73" t="s">
        <v>2838</v>
      </c>
      <c r="N85" s="74">
        <v>45084</v>
      </c>
      <c r="O85" s="11">
        <v>645</v>
      </c>
      <c r="P85" s="11">
        <v>645</v>
      </c>
      <c r="Q85" s="12">
        <v>10.75</v>
      </c>
      <c r="R85" s="12">
        <v>2.75</v>
      </c>
      <c r="S85" s="12"/>
      <c r="T85" s="12"/>
      <c r="U85" s="12"/>
      <c r="V85" s="12"/>
      <c r="W85" s="12"/>
      <c r="X85" s="12"/>
      <c r="Y85" s="12"/>
      <c r="Z85" s="12"/>
      <c r="AA85" s="12"/>
      <c r="AB85" s="73" t="s">
        <v>2838</v>
      </c>
      <c r="AC85" s="11" t="s">
        <v>2980</v>
      </c>
      <c r="AD85" s="11">
        <v>450</v>
      </c>
      <c r="AE85" s="11">
        <v>450</v>
      </c>
      <c r="AF85" s="11">
        <v>7.5</v>
      </c>
      <c r="AG85" s="11">
        <v>0</v>
      </c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61" t="s">
        <v>2981</v>
      </c>
      <c r="AZ85" s="79">
        <v>1100</v>
      </c>
      <c r="BA85" s="79">
        <v>5000</v>
      </c>
      <c r="BB85" s="79">
        <v>1170</v>
      </c>
      <c r="BC85" s="79">
        <v>5049</v>
      </c>
      <c r="BD85" s="79">
        <f t="shared" si="0"/>
        <v>70</v>
      </c>
      <c r="BE85" s="75">
        <f t="shared" si="1"/>
        <v>6.363636363636363E-2</v>
      </c>
      <c r="BF85" s="80">
        <f t="shared" si="2"/>
        <v>49</v>
      </c>
      <c r="BG85" s="75">
        <f t="shared" si="3"/>
        <v>9.7999999999999997E-3</v>
      </c>
      <c r="BH85" s="12"/>
      <c r="BI85" s="12"/>
    </row>
    <row r="86" spans="1:61" ht="15.75" customHeight="1">
      <c r="A86" s="73" t="s">
        <v>2836</v>
      </c>
      <c r="B86" s="11" t="s">
        <v>2960</v>
      </c>
      <c r="C86" s="11">
        <v>360</v>
      </c>
      <c r="D86" s="11">
        <v>60</v>
      </c>
      <c r="E86" s="11">
        <v>120</v>
      </c>
      <c r="F86" s="11">
        <v>540</v>
      </c>
      <c r="G86" s="11">
        <v>9</v>
      </c>
      <c r="H86" s="11">
        <v>0</v>
      </c>
      <c r="I86" s="12"/>
      <c r="J86" s="12"/>
      <c r="K86" s="12"/>
      <c r="L86" s="12"/>
      <c r="M86" s="73" t="s">
        <v>2838</v>
      </c>
      <c r="N86" s="74">
        <v>45114</v>
      </c>
      <c r="O86" s="11">
        <v>350</v>
      </c>
      <c r="P86" s="11">
        <v>350</v>
      </c>
      <c r="Q86" s="12">
        <v>5.83</v>
      </c>
      <c r="R86" s="12" t="s">
        <v>435</v>
      </c>
      <c r="S86" s="12"/>
      <c r="T86" s="12"/>
      <c r="U86" s="12"/>
      <c r="V86" s="12"/>
      <c r="W86" s="12"/>
      <c r="X86" s="12"/>
      <c r="Y86" s="12"/>
      <c r="Z86" s="12"/>
      <c r="AA86" s="12"/>
      <c r="AB86" s="73" t="s">
        <v>2838</v>
      </c>
      <c r="AC86" s="11" t="s">
        <v>2982</v>
      </c>
      <c r="AD86" s="11">
        <v>195</v>
      </c>
      <c r="AE86" s="11">
        <v>195</v>
      </c>
      <c r="AF86" s="11">
        <v>3.25</v>
      </c>
      <c r="AG86" s="11">
        <v>0</v>
      </c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61" t="s">
        <v>2983</v>
      </c>
      <c r="AZ86" s="79">
        <v>2940</v>
      </c>
      <c r="BA86" s="79">
        <v>10000</v>
      </c>
      <c r="BB86" s="79">
        <v>3120</v>
      </c>
      <c r="BC86" s="79">
        <v>10013</v>
      </c>
      <c r="BD86" s="79">
        <f t="shared" si="0"/>
        <v>180</v>
      </c>
      <c r="BE86" s="75">
        <f t="shared" si="1"/>
        <v>6.1224489795918366E-2</v>
      </c>
      <c r="BF86" s="80">
        <f t="shared" si="2"/>
        <v>13</v>
      </c>
      <c r="BG86" s="75">
        <f t="shared" si="3"/>
        <v>1.2999999999999999E-3</v>
      </c>
      <c r="BH86" s="12"/>
      <c r="BI86" s="12"/>
    </row>
    <row r="87" spans="1:61" ht="15.75" customHeight="1">
      <c r="A87" s="73" t="s">
        <v>2836</v>
      </c>
      <c r="B87" s="11" t="s">
        <v>2962</v>
      </c>
      <c r="C87" s="11">
        <v>240</v>
      </c>
      <c r="D87" s="11">
        <v>19.8</v>
      </c>
      <c r="E87" s="11">
        <v>240</v>
      </c>
      <c r="F87" s="11">
        <v>499.8</v>
      </c>
      <c r="G87" s="11">
        <v>8.33</v>
      </c>
      <c r="H87" s="11">
        <v>0</v>
      </c>
      <c r="I87" s="12"/>
      <c r="J87" s="12"/>
      <c r="K87" s="12"/>
      <c r="L87" s="12"/>
      <c r="M87" s="73" t="s">
        <v>2838</v>
      </c>
      <c r="N87" s="74">
        <v>45206</v>
      </c>
      <c r="O87" s="11">
        <v>375</v>
      </c>
      <c r="P87" s="11">
        <v>375</v>
      </c>
      <c r="Q87" s="12">
        <v>6.25</v>
      </c>
      <c r="R87" s="12" t="s">
        <v>435</v>
      </c>
      <c r="S87" s="12"/>
      <c r="T87" s="12"/>
      <c r="U87" s="12"/>
      <c r="V87" s="12"/>
      <c r="W87" s="12"/>
      <c r="X87" s="12"/>
      <c r="Y87" s="12"/>
      <c r="Z87" s="12"/>
      <c r="AA87" s="12"/>
      <c r="AB87" s="73" t="s">
        <v>2838</v>
      </c>
      <c r="AC87" s="11" t="s">
        <v>2984</v>
      </c>
      <c r="AD87" s="11">
        <v>15</v>
      </c>
      <c r="AE87" s="11">
        <v>15</v>
      </c>
      <c r="AF87" s="11">
        <v>0.25</v>
      </c>
      <c r="AG87" s="11">
        <v>0</v>
      </c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61" t="s">
        <v>2985</v>
      </c>
      <c r="AZ87" s="61">
        <v>680</v>
      </c>
      <c r="BA87" s="79">
        <v>2544</v>
      </c>
      <c r="BB87" s="61">
        <v>720</v>
      </c>
      <c r="BC87" s="79">
        <v>2561</v>
      </c>
      <c r="BD87" s="61">
        <f t="shared" si="0"/>
        <v>40</v>
      </c>
      <c r="BE87" s="75">
        <f t="shared" si="1"/>
        <v>5.8823529411764705E-2</v>
      </c>
      <c r="BF87" s="80">
        <f t="shared" si="2"/>
        <v>17</v>
      </c>
      <c r="BG87" s="75">
        <f t="shared" si="3"/>
        <v>6.6823899371069185E-3</v>
      </c>
      <c r="BH87" s="12"/>
      <c r="BI87" s="12"/>
    </row>
    <row r="88" spans="1:61" ht="15.75" customHeight="1">
      <c r="A88" s="73" t="s">
        <v>2836</v>
      </c>
      <c r="B88" s="11" t="s">
        <v>2965</v>
      </c>
      <c r="C88" s="11">
        <v>480</v>
      </c>
      <c r="D88" s="11">
        <v>120</v>
      </c>
      <c r="E88" s="11">
        <v>115.2</v>
      </c>
      <c r="F88" s="11">
        <v>715.2</v>
      </c>
      <c r="G88" s="11">
        <v>11.92</v>
      </c>
      <c r="H88" s="11">
        <v>0</v>
      </c>
      <c r="I88" s="12"/>
      <c r="J88" s="12"/>
      <c r="K88" s="12"/>
      <c r="L88" s="12"/>
      <c r="M88" s="73" t="s">
        <v>2838</v>
      </c>
      <c r="N88" s="74">
        <v>45237</v>
      </c>
      <c r="O88" s="11">
        <v>600</v>
      </c>
      <c r="P88" s="11">
        <v>600</v>
      </c>
      <c r="Q88" s="12">
        <v>10</v>
      </c>
      <c r="R88" s="12">
        <v>2</v>
      </c>
      <c r="S88" s="12"/>
      <c r="T88" s="12"/>
      <c r="U88" s="12"/>
      <c r="V88" s="12"/>
      <c r="W88" s="12"/>
      <c r="X88" s="12"/>
      <c r="Y88" s="12"/>
      <c r="Z88" s="12"/>
      <c r="AA88" s="12"/>
      <c r="AB88" s="73" t="s">
        <v>2838</v>
      </c>
      <c r="AC88" s="11" t="s">
        <v>2986</v>
      </c>
      <c r="AD88" s="11">
        <v>60</v>
      </c>
      <c r="AE88" s="11">
        <v>60</v>
      </c>
      <c r="AF88" s="11">
        <v>1</v>
      </c>
      <c r="AG88" s="11">
        <v>0</v>
      </c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61" t="s">
        <v>2987</v>
      </c>
      <c r="AZ88" s="61">
        <v>800</v>
      </c>
      <c r="BA88" s="79">
        <v>2500</v>
      </c>
      <c r="BB88" s="61">
        <v>840</v>
      </c>
      <c r="BC88" s="79">
        <v>2509</v>
      </c>
      <c r="BD88" s="61">
        <f t="shared" si="0"/>
        <v>40</v>
      </c>
      <c r="BE88" s="75">
        <f t="shared" si="1"/>
        <v>0.05</v>
      </c>
      <c r="BF88" s="80">
        <f t="shared" si="2"/>
        <v>9</v>
      </c>
      <c r="BG88" s="75">
        <f t="shared" si="3"/>
        <v>3.5999999999999999E-3</v>
      </c>
      <c r="BH88" s="12"/>
      <c r="BI88" s="12"/>
    </row>
    <row r="89" spans="1:61" ht="15.75" customHeight="1">
      <c r="A89" s="73" t="s">
        <v>2836</v>
      </c>
      <c r="B89" s="11" t="s">
        <v>2967</v>
      </c>
      <c r="C89" s="11">
        <v>295.2</v>
      </c>
      <c r="D89" s="11">
        <v>34.799999999999997</v>
      </c>
      <c r="E89" s="11">
        <v>55.2</v>
      </c>
      <c r="F89" s="11">
        <v>385.2</v>
      </c>
      <c r="G89" s="11">
        <v>6.42</v>
      </c>
      <c r="H89" s="11">
        <v>0</v>
      </c>
      <c r="I89" s="12"/>
      <c r="J89" s="12"/>
      <c r="K89" s="12"/>
      <c r="L89" s="12"/>
      <c r="M89" s="73" t="s">
        <v>2838</v>
      </c>
      <c r="N89" s="74">
        <v>45267</v>
      </c>
      <c r="O89" s="11">
        <v>465</v>
      </c>
      <c r="P89" s="11">
        <v>465</v>
      </c>
      <c r="Q89" s="12">
        <v>7.75</v>
      </c>
      <c r="R89" s="12" t="s">
        <v>435</v>
      </c>
      <c r="S89" s="12"/>
      <c r="T89" s="12"/>
      <c r="U89" s="12"/>
      <c r="V89" s="12"/>
      <c r="W89" s="12"/>
      <c r="X89" s="12"/>
      <c r="Y89" s="12"/>
      <c r="Z89" s="12"/>
      <c r="AA89" s="12"/>
      <c r="AB89" s="73" t="s">
        <v>2838</v>
      </c>
      <c r="AC89" s="11" t="s">
        <v>2988</v>
      </c>
      <c r="AD89" s="11">
        <v>330</v>
      </c>
      <c r="AE89" s="11">
        <v>330</v>
      </c>
      <c r="AF89" s="11">
        <v>5.5</v>
      </c>
      <c r="AG89" s="11">
        <v>0</v>
      </c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61" t="s">
        <v>2989</v>
      </c>
      <c r="AZ89" s="79">
        <v>1635</v>
      </c>
      <c r="BA89" s="79">
        <v>3783</v>
      </c>
      <c r="BB89" s="79">
        <v>1710</v>
      </c>
      <c r="BC89" s="79">
        <v>3676</v>
      </c>
      <c r="BD89" s="79">
        <f t="shared" si="0"/>
        <v>75</v>
      </c>
      <c r="BE89" s="75">
        <f t="shared" si="1"/>
        <v>4.5871559633027525E-2</v>
      </c>
      <c r="BF89" s="80">
        <f t="shared" si="2"/>
        <v>-107</v>
      </c>
      <c r="BG89" s="75">
        <f t="shared" si="3"/>
        <v>-2.8284430346286017E-2</v>
      </c>
      <c r="BH89" s="12"/>
      <c r="BI89" s="12"/>
    </row>
    <row r="90" spans="1:61" ht="15.75" customHeight="1">
      <c r="A90" s="73" t="s">
        <v>2836</v>
      </c>
      <c r="B90" s="11" t="s">
        <v>2969</v>
      </c>
      <c r="C90" s="11">
        <v>100.2</v>
      </c>
      <c r="D90" s="11">
        <v>60</v>
      </c>
      <c r="E90" s="11">
        <v>160.19999999999999</v>
      </c>
      <c r="F90" s="11">
        <v>320.39999999999998</v>
      </c>
      <c r="G90" s="11">
        <v>5.34</v>
      </c>
      <c r="H90" s="11">
        <v>0</v>
      </c>
      <c r="I90" s="12"/>
      <c r="J90" s="12"/>
      <c r="K90" s="12"/>
      <c r="L90" s="12"/>
      <c r="M90" s="73" t="s">
        <v>2838</v>
      </c>
      <c r="N90" s="11" t="s">
        <v>2980</v>
      </c>
      <c r="O90" s="11">
        <v>480</v>
      </c>
      <c r="P90" s="11">
        <v>480</v>
      </c>
      <c r="Q90" s="12">
        <v>8</v>
      </c>
      <c r="R90" s="12" t="s">
        <v>435</v>
      </c>
      <c r="S90" s="12"/>
      <c r="T90" s="12"/>
      <c r="U90" s="12"/>
      <c r="V90" s="12"/>
      <c r="W90" s="12"/>
      <c r="X90" s="12"/>
      <c r="Y90" s="12"/>
      <c r="Z90" s="12"/>
      <c r="AA90" s="12"/>
      <c r="AB90" s="73" t="s">
        <v>2838</v>
      </c>
      <c r="AC90" s="11" t="s">
        <v>2990</v>
      </c>
      <c r="AD90" s="11">
        <v>420</v>
      </c>
      <c r="AE90" s="11">
        <v>420</v>
      </c>
      <c r="AF90" s="11">
        <v>7</v>
      </c>
      <c r="AG90" s="11">
        <v>0</v>
      </c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61" t="s">
        <v>2991</v>
      </c>
      <c r="AZ90" s="79">
        <v>7500</v>
      </c>
      <c r="BA90" s="79">
        <v>25000</v>
      </c>
      <c r="BB90" s="79">
        <v>7815</v>
      </c>
      <c r="BC90" s="79">
        <v>25089</v>
      </c>
      <c r="BD90" s="79">
        <f t="shared" si="0"/>
        <v>315</v>
      </c>
      <c r="BE90" s="75">
        <f t="shared" si="1"/>
        <v>4.2000000000000003E-2</v>
      </c>
      <c r="BF90" s="80">
        <f t="shared" si="2"/>
        <v>89</v>
      </c>
      <c r="BG90" s="75">
        <f t="shared" si="3"/>
        <v>3.5599999999999998E-3</v>
      </c>
      <c r="BH90" s="12"/>
      <c r="BI90" s="12"/>
    </row>
    <row r="91" spans="1:61" ht="15.75" customHeight="1">
      <c r="A91" s="73" t="s">
        <v>2836</v>
      </c>
      <c r="B91" s="11" t="s">
        <v>2974</v>
      </c>
      <c r="C91" s="11">
        <v>150</v>
      </c>
      <c r="D91" s="11">
        <v>60</v>
      </c>
      <c r="E91" s="11">
        <v>30</v>
      </c>
      <c r="F91" s="11">
        <v>240</v>
      </c>
      <c r="G91" s="11">
        <v>4</v>
      </c>
      <c r="H91" s="11">
        <v>0</v>
      </c>
      <c r="I91" s="12"/>
      <c r="J91" s="12"/>
      <c r="K91" s="12"/>
      <c r="L91" s="12"/>
      <c r="M91" s="73" t="s">
        <v>2838</v>
      </c>
      <c r="N91" s="11" t="s">
        <v>2982</v>
      </c>
      <c r="O91" s="11">
        <v>345</v>
      </c>
      <c r="P91" s="11">
        <v>345</v>
      </c>
      <c r="Q91" s="12">
        <v>5.75</v>
      </c>
      <c r="R91" s="12" t="s">
        <v>435</v>
      </c>
      <c r="S91" s="12"/>
      <c r="T91" s="12"/>
      <c r="U91" s="12"/>
      <c r="V91" s="12"/>
      <c r="W91" s="12"/>
      <c r="X91" s="12"/>
      <c r="Y91" s="12"/>
      <c r="Z91" s="12"/>
      <c r="AA91" s="12"/>
      <c r="AB91" s="73" t="s">
        <v>2838</v>
      </c>
      <c r="AC91" s="11" t="s">
        <v>2992</v>
      </c>
      <c r="AD91" s="11">
        <v>240</v>
      </c>
      <c r="AE91" s="11">
        <v>240</v>
      </c>
      <c r="AF91" s="11">
        <v>4</v>
      </c>
      <c r="AG91" s="11">
        <v>0</v>
      </c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61" t="s">
        <v>2993</v>
      </c>
      <c r="AZ91" s="79">
        <v>1800</v>
      </c>
      <c r="BA91" s="79">
        <v>7000</v>
      </c>
      <c r="BB91" s="79">
        <v>1860</v>
      </c>
      <c r="BC91" s="79">
        <v>7098</v>
      </c>
      <c r="BD91" s="79">
        <f t="shared" si="0"/>
        <v>60</v>
      </c>
      <c r="BE91" s="75">
        <f t="shared" si="1"/>
        <v>3.3333333333333333E-2</v>
      </c>
      <c r="BF91" s="80">
        <f t="shared" si="2"/>
        <v>98</v>
      </c>
      <c r="BG91" s="75">
        <f t="shared" si="3"/>
        <v>1.4E-2</v>
      </c>
      <c r="BH91" s="12"/>
      <c r="BI91" s="12"/>
    </row>
    <row r="92" spans="1:61" ht="15.75" customHeight="1">
      <c r="A92" s="73" t="s">
        <v>2836</v>
      </c>
      <c r="B92" s="11" t="s">
        <v>2976</v>
      </c>
      <c r="C92" s="11">
        <v>90</v>
      </c>
      <c r="D92" s="11">
        <v>30</v>
      </c>
      <c r="E92" s="11">
        <v>210</v>
      </c>
      <c r="F92" s="11">
        <v>330</v>
      </c>
      <c r="G92" s="11">
        <v>5.5</v>
      </c>
      <c r="H92" s="11">
        <v>0</v>
      </c>
      <c r="I92" s="12"/>
      <c r="J92" s="12"/>
      <c r="K92" s="12"/>
      <c r="L92" s="12"/>
      <c r="M92" s="73" t="s">
        <v>2838</v>
      </c>
      <c r="N92" s="11" t="s">
        <v>2984</v>
      </c>
      <c r="O92" s="11">
        <v>120</v>
      </c>
      <c r="P92" s="11">
        <v>120</v>
      </c>
      <c r="Q92" s="12">
        <v>2</v>
      </c>
      <c r="R92" s="12" t="s">
        <v>435</v>
      </c>
      <c r="S92" s="12"/>
      <c r="T92" s="12"/>
      <c r="U92" s="12"/>
      <c r="V92" s="12"/>
      <c r="W92" s="12"/>
      <c r="X92" s="12"/>
      <c r="Y92" s="12"/>
      <c r="Z92" s="12"/>
      <c r="AA92" s="12"/>
      <c r="AB92" s="73" t="s">
        <v>2838</v>
      </c>
      <c r="AC92" s="11" t="s">
        <v>2994</v>
      </c>
      <c r="AD92" s="11">
        <v>510</v>
      </c>
      <c r="AE92" s="11">
        <v>510</v>
      </c>
      <c r="AF92" s="11">
        <v>8.5</v>
      </c>
      <c r="AG92" s="11">
        <v>0.5</v>
      </c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61" t="s">
        <v>2995</v>
      </c>
      <c r="AZ92" s="61">
        <v>960</v>
      </c>
      <c r="BA92" s="79">
        <v>2504</v>
      </c>
      <c r="BB92" s="61">
        <v>990</v>
      </c>
      <c r="BC92" s="79">
        <v>2528</v>
      </c>
      <c r="BD92" s="61">
        <f t="shared" si="0"/>
        <v>30</v>
      </c>
      <c r="BE92" s="75">
        <f t="shared" si="1"/>
        <v>3.125E-2</v>
      </c>
      <c r="BF92" s="80">
        <f t="shared" si="2"/>
        <v>24</v>
      </c>
      <c r="BG92" s="75">
        <f t="shared" si="3"/>
        <v>9.5846645367412137E-3</v>
      </c>
      <c r="BH92" s="12"/>
      <c r="BI92" s="12"/>
    </row>
    <row r="93" spans="1:61" ht="15.75" customHeight="1">
      <c r="A93" s="73" t="s">
        <v>2836</v>
      </c>
      <c r="B93" s="77">
        <v>44992</v>
      </c>
      <c r="C93" s="11">
        <v>259.8</v>
      </c>
      <c r="D93" s="11">
        <v>90</v>
      </c>
      <c r="E93" s="11">
        <v>60</v>
      </c>
      <c r="F93" s="11">
        <v>409.8</v>
      </c>
      <c r="G93" s="11">
        <v>6.83</v>
      </c>
      <c r="H93" s="11">
        <v>0</v>
      </c>
      <c r="I93" s="12"/>
      <c r="J93" s="12"/>
      <c r="K93" s="12"/>
      <c r="L93" s="12"/>
      <c r="M93" s="73" t="s">
        <v>2838</v>
      </c>
      <c r="N93" s="11" t="s">
        <v>2986</v>
      </c>
      <c r="O93" s="11">
        <v>450</v>
      </c>
      <c r="P93" s="11">
        <v>450</v>
      </c>
      <c r="Q93" s="12">
        <v>7.5</v>
      </c>
      <c r="R93" s="12" t="s">
        <v>435</v>
      </c>
      <c r="S93" s="12"/>
      <c r="T93" s="12"/>
      <c r="U93" s="12"/>
      <c r="V93" s="12"/>
      <c r="W93" s="12"/>
      <c r="X93" s="12"/>
      <c r="Y93" s="12"/>
      <c r="Z93" s="12"/>
      <c r="AA93" s="12"/>
      <c r="AB93" s="73" t="s">
        <v>2838</v>
      </c>
      <c r="AC93" s="11" t="s">
        <v>2996</v>
      </c>
      <c r="AD93" s="11">
        <v>390</v>
      </c>
      <c r="AE93" s="11">
        <v>390</v>
      </c>
      <c r="AF93" s="11">
        <v>6.5</v>
      </c>
      <c r="AG93" s="11">
        <v>0</v>
      </c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61" t="s">
        <v>2997</v>
      </c>
      <c r="AZ93" s="61">
        <v>480</v>
      </c>
      <c r="BA93" s="79">
        <v>1000</v>
      </c>
      <c r="BB93" s="61">
        <v>495</v>
      </c>
      <c r="BC93" s="79">
        <v>1008</v>
      </c>
      <c r="BD93" s="61">
        <f t="shared" si="0"/>
        <v>15</v>
      </c>
      <c r="BE93" s="75">
        <f t="shared" si="1"/>
        <v>3.125E-2</v>
      </c>
      <c r="BF93" s="80">
        <f t="shared" si="2"/>
        <v>8</v>
      </c>
      <c r="BG93" s="75">
        <f t="shared" si="3"/>
        <v>8.0000000000000002E-3</v>
      </c>
      <c r="BH93" s="12"/>
      <c r="BI93" s="12"/>
    </row>
    <row r="94" spans="1:61" ht="15.75" customHeight="1">
      <c r="A94" s="73" t="s">
        <v>2836</v>
      </c>
      <c r="B94" s="77">
        <v>45023</v>
      </c>
      <c r="C94" s="11">
        <v>420</v>
      </c>
      <c r="D94" s="12"/>
      <c r="E94" s="12"/>
      <c r="F94" s="11">
        <v>420</v>
      </c>
      <c r="G94" s="11">
        <v>7</v>
      </c>
      <c r="H94" s="11">
        <v>0</v>
      </c>
      <c r="I94" s="12"/>
      <c r="J94" s="12"/>
      <c r="K94" s="12"/>
      <c r="L94" s="12"/>
      <c r="M94" s="73" t="s">
        <v>2838</v>
      </c>
      <c r="N94" s="11" t="s">
        <v>2988</v>
      </c>
      <c r="O94" s="11">
        <v>303.75</v>
      </c>
      <c r="P94" s="11">
        <v>303.75</v>
      </c>
      <c r="Q94" s="12">
        <v>5.0599999999999996</v>
      </c>
      <c r="R94" s="12" t="s">
        <v>435</v>
      </c>
      <c r="S94" s="12"/>
      <c r="T94" s="12"/>
      <c r="U94" s="12"/>
      <c r="V94" s="12"/>
      <c r="W94" s="12"/>
      <c r="X94" s="12"/>
      <c r="Y94" s="12"/>
      <c r="Z94" s="12"/>
      <c r="AA94" s="12"/>
      <c r="AB94" s="73" t="s">
        <v>2838</v>
      </c>
      <c r="AC94" s="11" t="s">
        <v>2998</v>
      </c>
      <c r="AD94" s="11">
        <v>499.8</v>
      </c>
      <c r="AE94" s="11">
        <v>499.8</v>
      </c>
      <c r="AF94" s="11">
        <v>8.33</v>
      </c>
      <c r="AG94" s="11">
        <v>0.33</v>
      </c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61" t="s">
        <v>2999</v>
      </c>
      <c r="AZ94" s="79">
        <v>2400</v>
      </c>
      <c r="BA94" s="79">
        <v>10000</v>
      </c>
      <c r="BB94" s="79">
        <v>2460</v>
      </c>
      <c r="BC94" s="79">
        <v>10004</v>
      </c>
      <c r="BD94" s="79">
        <f t="shared" si="0"/>
        <v>60</v>
      </c>
      <c r="BE94" s="75">
        <f t="shared" si="1"/>
        <v>2.5000000000000001E-2</v>
      </c>
      <c r="BF94" s="80">
        <f t="shared" si="2"/>
        <v>4</v>
      </c>
      <c r="BG94" s="75">
        <f t="shared" si="3"/>
        <v>4.0000000000000002E-4</v>
      </c>
      <c r="BH94" s="12"/>
      <c r="BI94" s="12"/>
    </row>
    <row r="95" spans="1:61" ht="15.75" customHeight="1">
      <c r="A95" s="73" t="s">
        <v>2836</v>
      </c>
      <c r="B95" s="77">
        <v>45053</v>
      </c>
      <c r="C95" s="12"/>
      <c r="D95" s="12"/>
      <c r="E95" s="11">
        <v>180</v>
      </c>
      <c r="F95" s="11">
        <v>180</v>
      </c>
      <c r="G95" s="11">
        <v>3</v>
      </c>
      <c r="H95" s="11">
        <v>0</v>
      </c>
      <c r="I95" s="12"/>
      <c r="J95" s="12"/>
      <c r="K95" s="12"/>
      <c r="L95" s="12"/>
      <c r="M95" s="73" t="s">
        <v>2838</v>
      </c>
      <c r="N95" s="11" t="s">
        <v>2990</v>
      </c>
      <c r="O95" s="11">
        <v>580</v>
      </c>
      <c r="P95" s="11">
        <v>580</v>
      </c>
      <c r="Q95" s="12">
        <v>9.67</v>
      </c>
      <c r="R95" s="12">
        <v>1.67</v>
      </c>
      <c r="S95" s="12"/>
      <c r="T95" s="12"/>
      <c r="U95" s="12"/>
      <c r="V95" s="12"/>
      <c r="W95" s="12"/>
      <c r="X95" s="12"/>
      <c r="Y95" s="12"/>
      <c r="Z95" s="12"/>
      <c r="AA95" s="12"/>
      <c r="AB95" s="73" t="s">
        <v>2838</v>
      </c>
      <c r="AC95" s="11" t="s">
        <v>3000</v>
      </c>
      <c r="AD95" s="11">
        <v>120</v>
      </c>
      <c r="AE95" s="11">
        <v>120</v>
      </c>
      <c r="AF95" s="11">
        <v>2</v>
      </c>
      <c r="AG95" s="11">
        <v>0</v>
      </c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61" t="s">
        <v>3001</v>
      </c>
      <c r="AZ95" s="79">
        <v>2400</v>
      </c>
      <c r="BA95" s="79">
        <v>10000</v>
      </c>
      <c r="BB95" s="79">
        <v>2460</v>
      </c>
      <c r="BC95" s="79">
        <v>10127</v>
      </c>
      <c r="BD95" s="79">
        <f t="shared" si="0"/>
        <v>60</v>
      </c>
      <c r="BE95" s="75">
        <f t="shared" si="1"/>
        <v>2.5000000000000001E-2</v>
      </c>
      <c r="BF95" s="80">
        <f t="shared" si="2"/>
        <v>127</v>
      </c>
      <c r="BG95" s="75">
        <f t="shared" si="3"/>
        <v>1.2699999999999999E-2</v>
      </c>
      <c r="BH95" s="12"/>
      <c r="BI95" s="12"/>
    </row>
    <row r="96" spans="1:61" ht="15.75" customHeight="1">
      <c r="A96" s="73" t="s">
        <v>2836</v>
      </c>
      <c r="B96" s="77">
        <v>45084</v>
      </c>
      <c r="C96" s="11">
        <v>735</v>
      </c>
      <c r="D96" s="11">
        <v>70.2</v>
      </c>
      <c r="E96" s="11">
        <v>135</v>
      </c>
      <c r="F96" s="11">
        <v>940.2</v>
      </c>
      <c r="G96" s="11">
        <v>15.67</v>
      </c>
      <c r="H96" s="11">
        <v>0</v>
      </c>
      <c r="I96" s="12"/>
      <c r="J96" s="12"/>
      <c r="K96" s="12"/>
      <c r="L96" s="12"/>
      <c r="M96" s="73" t="s">
        <v>2838</v>
      </c>
      <c r="N96" s="11" t="s">
        <v>2992</v>
      </c>
      <c r="O96" s="11">
        <v>372.5</v>
      </c>
      <c r="P96" s="11">
        <v>372.5</v>
      </c>
      <c r="Q96" s="12">
        <v>6.21</v>
      </c>
      <c r="R96" s="12" t="s">
        <v>435</v>
      </c>
      <c r="S96" s="12"/>
      <c r="T96" s="12"/>
      <c r="U96" s="12"/>
      <c r="V96" s="12"/>
      <c r="W96" s="12"/>
      <c r="X96" s="12"/>
      <c r="Y96" s="12"/>
      <c r="Z96" s="12"/>
      <c r="AA96" s="12"/>
      <c r="AB96" s="73" t="s">
        <v>2838</v>
      </c>
      <c r="AC96" s="11" t="s">
        <v>3002</v>
      </c>
      <c r="AD96" s="11">
        <v>120</v>
      </c>
      <c r="AE96" s="11">
        <v>120</v>
      </c>
      <c r="AF96" s="11">
        <v>2</v>
      </c>
      <c r="AG96" s="11">
        <v>0</v>
      </c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61" t="s">
        <v>3003</v>
      </c>
      <c r="AZ96" s="61">
        <v>440</v>
      </c>
      <c r="BA96" s="79">
        <v>1500</v>
      </c>
      <c r="BB96" s="61">
        <v>450</v>
      </c>
      <c r="BC96" s="79">
        <v>1504</v>
      </c>
      <c r="BD96" s="61">
        <f t="shared" si="0"/>
        <v>10</v>
      </c>
      <c r="BE96" s="75">
        <f t="shared" si="1"/>
        <v>2.2727272727272728E-2</v>
      </c>
      <c r="BF96" s="80">
        <f t="shared" si="2"/>
        <v>4</v>
      </c>
      <c r="BG96" s="75">
        <f t="shared" si="3"/>
        <v>2.6666666666666666E-3</v>
      </c>
      <c r="BH96" s="12"/>
      <c r="BI96" s="12"/>
    </row>
    <row r="97" spans="1:61" ht="15.75" customHeight="1">
      <c r="A97" s="73" t="s">
        <v>2836</v>
      </c>
      <c r="B97" s="77">
        <v>45114</v>
      </c>
      <c r="C97" s="11">
        <v>315</v>
      </c>
      <c r="D97" s="11">
        <v>30</v>
      </c>
      <c r="E97" s="11">
        <v>195</v>
      </c>
      <c r="F97" s="11">
        <v>540</v>
      </c>
      <c r="G97" s="11">
        <v>9</v>
      </c>
      <c r="H97" s="11">
        <v>0</v>
      </c>
      <c r="I97" s="12"/>
      <c r="J97" s="12"/>
      <c r="K97" s="12"/>
      <c r="L97" s="12"/>
      <c r="M97" s="73" t="s">
        <v>2838</v>
      </c>
      <c r="N97" s="11" t="s">
        <v>2996</v>
      </c>
      <c r="O97" s="11">
        <v>438.75</v>
      </c>
      <c r="P97" s="11">
        <v>438.75</v>
      </c>
      <c r="Q97" s="12">
        <v>7.31</v>
      </c>
      <c r="R97" s="12" t="s">
        <v>435</v>
      </c>
      <c r="S97" s="12"/>
      <c r="T97" s="12"/>
      <c r="U97" s="12"/>
      <c r="V97" s="12"/>
      <c r="W97" s="12"/>
      <c r="X97" s="12"/>
      <c r="Y97" s="12"/>
      <c r="Z97" s="12"/>
      <c r="AA97" s="12"/>
      <c r="AB97" s="73" t="s">
        <v>2838</v>
      </c>
      <c r="AC97" s="11" t="s">
        <v>2867</v>
      </c>
      <c r="AD97" s="11">
        <v>60</v>
      </c>
      <c r="AE97" s="11">
        <v>60</v>
      </c>
      <c r="AF97" s="11">
        <v>1</v>
      </c>
      <c r="AG97" s="11">
        <v>0</v>
      </c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61" t="s">
        <v>3004</v>
      </c>
      <c r="AZ97" s="61">
        <v>60</v>
      </c>
      <c r="BA97" s="61">
        <v>70</v>
      </c>
      <c r="BB97" s="61">
        <v>60</v>
      </c>
      <c r="BC97" s="61">
        <v>74</v>
      </c>
      <c r="BD97" s="61">
        <f t="shared" si="0"/>
        <v>0</v>
      </c>
      <c r="BE97" s="75">
        <f t="shared" si="1"/>
        <v>0</v>
      </c>
      <c r="BF97" s="76">
        <f t="shared" si="2"/>
        <v>4</v>
      </c>
      <c r="BG97" s="75">
        <f t="shared" si="3"/>
        <v>5.7142857142857141E-2</v>
      </c>
      <c r="BH97" s="12"/>
      <c r="BI97" s="12"/>
    </row>
    <row r="98" spans="1:61" ht="15.75" customHeight="1">
      <c r="A98" s="73" t="s">
        <v>2836</v>
      </c>
      <c r="B98" s="77">
        <v>45206</v>
      </c>
      <c r="C98" s="11">
        <v>165</v>
      </c>
      <c r="D98" s="11">
        <v>30</v>
      </c>
      <c r="E98" s="11">
        <v>210</v>
      </c>
      <c r="F98" s="11">
        <v>405</v>
      </c>
      <c r="G98" s="11">
        <v>6.75</v>
      </c>
      <c r="H98" s="11">
        <v>0</v>
      </c>
      <c r="I98" s="12"/>
      <c r="J98" s="12"/>
      <c r="K98" s="12"/>
      <c r="L98" s="12"/>
      <c r="M98" s="73" t="s">
        <v>2838</v>
      </c>
      <c r="N98" s="11" t="s">
        <v>2998</v>
      </c>
      <c r="O98" s="11">
        <v>340.05</v>
      </c>
      <c r="P98" s="11">
        <v>340.05</v>
      </c>
      <c r="Q98" s="12">
        <v>5.67</v>
      </c>
      <c r="R98" s="12" t="s">
        <v>435</v>
      </c>
      <c r="S98" s="12"/>
      <c r="T98" s="12"/>
      <c r="U98" s="12"/>
      <c r="V98" s="12"/>
      <c r="W98" s="12"/>
      <c r="X98" s="12"/>
      <c r="Y98" s="12"/>
      <c r="Z98" s="12"/>
      <c r="AA98" s="12"/>
      <c r="AB98" s="73" t="s">
        <v>2838</v>
      </c>
      <c r="AC98" s="74">
        <v>44934</v>
      </c>
      <c r="AD98" s="11">
        <v>450</v>
      </c>
      <c r="AE98" s="11">
        <v>450</v>
      </c>
      <c r="AF98" s="11">
        <v>7.5</v>
      </c>
      <c r="AG98" s="11">
        <v>0</v>
      </c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61" t="s">
        <v>3005</v>
      </c>
      <c r="AZ98" s="61">
        <v>600</v>
      </c>
      <c r="BA98" s="79">
        <v>2000</v>
      </c>
      <c r="BB98" s="61">
        <v>600</v>
      </c>
      <c r="BC98" s="79">
        <v>2008</v>
      </c>
      <c r="BD98" s="61">
        <f t="shared" si="0"/>
        <v>0</v>
      </c>
      <c r="BE98" s="75">
        <f t="shared" si="1"/>
        <v>0</v>
      </c>
      <c r="BF98" s="80">
        <f t="shared" si="2"/>
        <v>8</v>
      </c>
      <c r="BG98" s="75">
        <f t="shared" si="3"/>
        <v>4.0000000000000001E-3</v>
      </c>
      <c r="BH98" s="12"/>
      <c r="BI98" s="12"/>
    </row>
    <row r="99" spans="1:61" ht="15.75" customHeight="1">
      <c r="A99" s="73" t="s">
        <v>2836</v>
      </c>
      <c r="B99" s="77">
        <v>45237</v>
      </c>
      <c r="C99" s="11">
        <v>480</v>
      </c>
      <c r="D99" s="11">
        <v>49.8</v>
      </c>
      <c r="E99" s="11">
        <v>49.8</v>
      </c>
      <c r="F99" s="11">
        <v>579.6</v>
      </c>
      <c r="G99" s="11">
        <v>9.66</v>
      </c>
      <c r="H99" s="11">
        <v>0</v>
      </c>
      <c r="I99" s="12"/>
      <c r="J99" s="12"/>
      <c r="K99" s="12"/>
      <c r="L99" s="12"/>
      <c r="M99" s="73" t="s">
        <v>2838</v>
      </c>
      <c r="N99" s="11" t="s">
        <v>3000</v>
      </c>
      <c r="O99" s="11">
        <v>665</v>
      </c>
      <c r="P99" s="11">
        <v>665</v>
      </c>
      <c r="Q99" s="12">
        <v>11.08</v>
      </c>
      <c r="R99" s="12">
        <v>3.08</v>
      </c>
      <c r="S99" s="12"/>
      <c r="T99" s="12"/>
      <c r="U99" s="12"/>
      <c r="V99" s="12"/>
      <c r="W99" s="12"/>
      <c r="X99" s="12"/>
      <c r="Y99" s="12"/>
      <c r="Z99" s="12"/>
      <c r="AA99" s="12"/>
      <c r="AB99" s="73" t="s">
        <v>2838</v>
      </c>
      <c r="AC99" s="74">
        <v>44965</v>
      </c>
      <c r="AD99" s="11">
        <v>240</v>
      </c>
      <c r="AE99" s="11">
        <v>240</v>
      </c>
      <c r="AF99" s="11">
        <v>4</v>
      </c>
      <c r="AG99" s="11">
        <v>0</v>
      </c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61" t="s">
        <v>3006</v>
      </c>
      <c r="AZ99" s="79">
        <v>4800</v>
      </c>
      <c r="BA99" s="79">
        <v>10000</v>
      </c>
      <c r="BB99" s="79">
        <v>4770</v>
      </c>
      <c r="BC99" s="79">
        <v>10002</v>
      </c>
      <c r="BD99" s="79">
        <f t="shared" si="0"/>
        <v>-30</v>
      </c>
      <c r="BE99" s="75">
        <f t="shared" si="1"/>
        <v>-6.2500000000000003E-3</v>
      </c>
      <c r="BF99" s="80">
        <f t="shared" si="2"/>
        <v>2</v>
      </c>
      <c r="BG99" s="75">
        <f t="shared" si="3"/>
        <v>2.0000000000000001E-4</v>
      </c>
      <c r="BH99" s="12"/>
      <c r="BI99" s="12"/>
    </row>
    <row r="100" spans="1:61" ht="15.75" customHeight="1">
      <c r="A100" s="73" t="s">
        <v>2836</v>
      </c>
      <c r="B100" s="77">
        <v>45267</v>
      </c>
      <c r="C100" s="11">
        <v>360</v>
      </c>
      <c r="D100" s="11">
        <v>30</v>
      </c>
      <c r="E100" s="11">
        <v>25.2</v>
      </c>
      <c r="F100" s="11">
        <v>415.2</v>
      </c>
      <c r="G100" s="11">
        <v>6.92</v>
      </c>
      <c r="H100" s="11">
        <v>0</v>
      </c>
      <c r="I100" s="12"/>
      <c r="J100" s="12"/>
      <c r="K100" s="12"/>
      <c r="L100" s="12"/>
      <c r="M100" s="73" t="s">
        <v>2838</v>
      </c>
      <c r="N100" s="11" t="s">
        <v>3002</v>
      </c>
      <c r="O100" s="11">
        <v>292.5</v>
      </c>
      <c r="P100" s="11">
        <v>292.5</v>
      </c>
      <c r="Q100" s="12">
        <v>4.88</v>
      </c>
      <c r="R100" s="12" t="s">
        <v>435</v>
      </c>
      <c r="S100" s="12"/>
      <c r="T100" s="12"/>
      <c r="U100" s="12"/>
      <c r="V100" s="12"/>
      <c r="W100" s="12"/>
      <c r="X100" s="12"/>
      <c r="Y100" s="12"/>
      <c r="Z100" s="12"/>
      <c r="AA100" s="12"/>
      <c r="AB100" s="73" t="s">
        <v>2838</v>
      </c>
      <c r="AC100" s="74">
        <v>45024</v>
      </c>
      <c r="AD100" s="11">
        <v>360</v>
      </c>
      <c r="AE100" s="11">
        <v>360</v>
      </c>
      <c r="AF100" s="11">
        <v>6</v>
      </c>
      <c r="AG100" s="11">
        <v>0</v>
      </c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61" t="s">
        <v>3007</v>
      </c>
      <c r="AZ100" s="79">
        <v>2400</v>
      </c>
      <c r="BA100" s="79">
        <v>5500</v>
      </c>
      <c r="BB100" s="79">
        <v>2370</v>
      </c>
      <c r="BC100" s="79">
        <v>5456</v>
      </c>
      <c r="BD100" s="79">
        <f t="shared" si="0"/>
        <v>-30</v>
      </c>
      <c r="BE100" s="75">
        <f t="shared" si="1"/>
        <v>-1.2500000000000001E-2</v>
      </c>
      <c r="BF100" s="80">
        <f t="shared" si="2"/>
        <v>-44</v>
      </c>
      <c r="BG100" s="75">
        <f t="shared" si="3"/>
        <v>-8.0000000000000002E-3</v>
      </c>
      <c r="BH100" s="12"/>
      <c r="BI100" s="12"/>
    </row>
    <row r="101" spans="1:61" ht="15.75" customHeight="1">
      <c r="A101" s="73" t="s">
        <v>2836</v>
      </c>
      <c r="B101" s="11" t="s">
        <v>2980</v>
      </c>
      <c r="C101" s="11">
        <v>420</v>
      </c>
      <c r="D101" s="11">
        <v>30</v>
      </c>
      <c r="E101" s="11">
        <v>144.6</v>
      </c>
      <c r="F101" s="11">
        <v>594.6</v>
      </c>
      <c r="G101" s="11">
        <v>9.91</v>
      </c>
      <c r="H101" s="11">
        <v>0</v>
      </c>
      <c r="I101" s="12"/>
      <c r="J101" s="12"/>
      <c r="K101" s="12"/>
      <c r="L101" s="12"/>
      <c r="M101" s="73" t="s">
        <v>2838</v>
      </c>
      <c r="N101" s="74">
        <v>44965</v>
      </c>
      <c r="O101" s="11">
        <v>180</v>
      </c>
      <c r="P101" s="11">
        <v>180</v>
      </c>
      <c r="Q101" s="12">
        <v>3</v>
      </c>
      <c r="R101" s="12" t="s">
        <v>435</v>
      </c>
      <c r="S101" s="12"/>
      <c r="T101" s="12"/>
      <c r="U101" s="12"/>
      <c r="V101" s="12"/>
      <c r="W101" s="12"/>
      <c r="X101" s="12"/>
      <c r="Y101" s="12"/>
      <c r="Z101" s="12"/>
      <c r="AA101" s="12"/>
      <c r="AB101" s="73" t="s">
        <v>2838</v>
      </c>
      <c r="AC101" s="74">
        <v>45115</v>
      </c>
      <c r="AD101" s="11">
        <v>390</v>
      </c>
      <c r="AE101" s="11">
        <v>390</v>
      </c>
      <c r="AF101" s="11">
        <v>6.5</v>
      </c>
      <c r="AG101" s="11">
        <v>0</v>
      </c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61" t="s">
        <v>3008</v>
      </c>
      <c r="AZ101" s="79">
        <v>1560</v>
      </c>
      <c r="BA101" s="79">
        <v>6500</v>
      </c>
      <c r="BB101" s="79">
        <v>1530</v>
      </c>
      <c r="BC101" s="79">
        <v>6526</v>
      </c>
      <c r="BD101" s="79">
        <f t="shared" si="0"/>
        <v>-30</v>
      </c>
      <c r="BE101" s="75">
        <f t="shared" si="1"/>
        <v>-1.9230769230769232E-2</v>
      </c>
      <c r="BF101" s="80">
        <f t="shared" si="2"/>
        <v>26</v>
      </c>
      <c r="BG101" s="75">
        <f t="shared" si="3"/>
        <v>4.0000000000000001E-3</v>
      </c>
      <c r="BH101" s="12"/>
      <c r="BI101" s="12"/>
    </row>
    <row r="102" spans="1:61" ht="15.75" customHeight="1">
      <c r="A102" s="73" t="s">
        <v>2836</v>
      </c>
      <c r="B102" s="11" t="s">
        <v>2982</v>
      </c>
      <c r="C102" s="11">
        <v>394.8</v>
      </c>
      <c r="D102" s="11">
        <v>69.599999999999994</v>
      </c>
      <c r="E102" s="12"/>
      <c r="F102" s="11">
        <v>464.4</v>
      </c>
      <c r="G102" s="11">
        <v>7.74</v>
      </c>
      <c r="H102" s="11">
        <v>0</v>
      </c>
      <c r="I102" s="12"/>
      <c r="J102" s="12"/>
      <c r="K102" s="12"/>
      <c r="L102" s="12"/>
      <c r="M102" s="73" t="s">
        <v>2838</v>
      </c>
      <c r="N102" s="74">
        <v>45024</v>
      </c>
      <c r="O102" s="11">
        <v>600</v>
      </c>
      <c r="P102" s="11">
        <v>600</v>
      </c>
      <c r="Q102" s="12">
        <v>10</v>
      </c>
      <c r="R102" s="12">
        <v>2</v>
      </c>
      <c r="S102" s="12"/>
      <c r="T102" s="12"/>
      <c r="U102" s="12"/>
      <c r="V102" s="12"/>
      <c r="W102" s="12"/>
      <c r="X102" s="12"/>
      <c r="Y102" s="12"/>
      <c r="Z102" s="12"/>
      <c r="AA102" s="12"/>
      <c r="AB102" s="73" t="s">
        <v>2838</v>
      </c>
      <c r="AC102" s="74">
        <v>45146</v>
      </c>
      <c r="AD102" s="11">
        <v>240</v>
      </c>
      <c r="AE102" s="11">
        <v>240</v>
      </c>
      <c r="AF102" s="11">
        <v>4</v>
      </c>
      <c r="AG102" s="11">
        <v>0</v>
      </c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61" t="s">
        <v>3009</v>
      </c>
      <c r="AZ102" s="79">
        <v>2300</v>
      </c>
      <c r="BA102" s="79">
        <v>10000</v>
      </c>
      <c r="BB102" s="79">
        <v>2250</v>
      </c>
      <c r="BC102" s="79">
        <v>10070</v>
      </c>
      <c r="BD102" s="79">
        <f t="shared" si="0"/>
        <v>-50</v>
      </c>
      <c r="BE102" s="75">
        <f t="shared" si="1"/>
        <v>-2.1739130434782608E-2</v>
      </c>
      <c r="BF102" s="80">
        <f t="shared" si="2"/>
        <v>70</v>
      </c>
      <c r="BG102" s="75">
        <f t="shared" si="3"/>
        <v>7.0000000000000001E-3</v>
      </c>
      <c r="BH102" s="12"/>
      <c r="BI102" s="12"/>
    </row>
    <row r="103" spans="1:61" ht="15.75" customHeight="1">
      <c r="A103" s="73" t="s">
        <v>2836</v>
      </c>
      <c r="B103" s="11" t="s">
        <v>2984</v>
      </c>
      <c r="C103" s="12"/>
      <c r="D103" s="12"/>
      <c r="E103" s="11">
        <v>40.200000000000003</v>
      </c>
      <c r="F103" s="11">
        <v>40.200000000000003</v>
      </c>
      <c r="G103" s="11">
        <v>0.67</v>
      </c>
      <c r="H103" s="11">
        <v>0</v>
      </c>
      <c r="I103" s="12"/>
      <c r="J103" s="12"/>
      <c r="K103" s="12"/>
      <c r="L103" s="12"/>
      <c r="M103" s="73" t="s">
        <v>2838</v>
      </c>
      <c r="N103" s="74">
        <v>45115</v>
      </c>
      <c r="O103" s="11">
        <v>665</v>
      </c>
      <c r="P103" s="11">
        <v>665</v>
      </c>
      <c r="Q103" s="12">
        <v>11.08</v>
      </c>
      <c r="R103" s="12">
        <v>3.08</v>
      </c>
      <c r="S103" s="12"/>
      <c r="T103" s="12"/>
      <c r="U103" s="12"/>
      <c r="V103" s="12"/>
      <c r="W103" s="12"/>
      <c r="X103" s="12"/>
      <c r="Y103" s="12"/>
      <c r="Z103" s="12"/>
      <c r="AA103" s="12"/>
      <c r="AB103" s="73" t="s">
        <v>2838</v>
      </c>
      <c r="AC103" s="74">
        <v>45177</v>
      </c>
      <c r="AD103" s="11">
        <v>180</v>
      </c>
      <c r="AE103" s="11">
        <v>180</v>
      </c>
      <c r="AF103" s="11">
        <v>3</v>
      </c>
      <c r="AG103" s="11">
        <v>0</v>
      </c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61" t="s">
        <v>3010</v>
      </c>
      <c r="AZ103" s="61">
        <v>800</v>
      </c>
      <c r="BA103" s="79">
        <v>2500</v>
      </c>
      <c r="BB103" s="61">
        <v>780</v>
      </c>
      <c r="BC103" s="79">
        <v>2510</v>
      </c>
      <c r="BD103" s="61">
        <f t="shared" si="0"/>
        <v>-20</v>
      </c>
      <c r="BE103" s="75">
        <f t="shared" si="1"/>
        <v>-2.5000000000000001E-2</v>
      </c>
      <c r="BF103" s="80">
        <f t="shared" si="2"/>
        <v>10</v>
      </c>
      <c r="BG103" s="75">
        <f t="shared" si="3"/>
        <v>4.0000000000000001E-3</v>
      </c>
      <c r="BH103" s="12"/>
      <c r="BI103" s="12"/>
    </row>
    <row r="104" spans="1:61" ht="15.75" customHeight="1">
      <c r="A104" s="73" t="s">
        <v>2836</v>
      </c>
      <c r="B104" s="11" t="s">
        <v>2986</v>
      </c>
      <c r="C104" s="11">
        <v>100.2</v>
      </c>
      <c r="D104" s="11">
        <v>40.200000000000003</v>
      </c>
      <c r="E104" s="11">
        <v>25.2</v>
      </c>
      <c r="F104" s="11">
        <v>165.6</v>
      </c>
      <c r="G104" s="11">
        <v>2.76</v>
      </c>
      <c r="H104" s="11">
        <v>0</v>
      </c>
      <c r="I104" s="12"/>
      <c r="J104" s="12"/>
      <c r="K104" s="12"/>
      <c r="L104" s="12"/>
      <c r="M104" s="73" t="s">
        <v>2838</v>
      </c>
      <c r="N104" s="74">
        <v>45146</v>
      </c>
      <c r="O104" s="11">
        <v>480</v>
      </c>
      <c r="P104" s="11">
        <v>480</v>
      </c>
      <c r="Q104" s="12">
        <v>8</v>
      </c>
      <c r="R104" s="12" t="s">
        <v>435</v>
      </c>
      <c r="S104" s="12"/>
      <c r="T104" s="12"/>
      <c r="U104" s="12"/>
      <c r="V104" s="12"/>
      <c r="W104" s="12"/>
      <c r="X104" s="12"/>
      <c r="Y104" s="12"/>
      <c r="Z104" s="12"/>
      <c r="AA104" s="12"/>
      <c r="AB104" s="73" t="s">
        <v>2838</v>
      </c>
      <c r="AC104" s="74">
        <v>45207</v>
      </c>
      <c r="AD104" s="11">
        <v>120</v>
      </c>
      <c r="AE104" s="11">
        <v>120</v>
      </c>
      <c r="AF104" s="11">
        <v>2</v>
      </c>
      <c r="AG104" s="11">
        <v>0</v>
      </c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61" t="s">
        <v>3011</v>
      </c>
      <c r="AZ104" s="79">
        <v>2680</v>
      </c>
      <c r="BA104" s="79">
        <v>10000</v>
      </c>
      <c r="BB104" s="79">
        <v>2610</v>
      </c>
      <c r="BC104" s="79">
        <v>9943</v>
      </c>
      <c r="BD104" s="79">
        <f t="shared" si="0"/>
        <v>-70</v>
      </c>
      <c r="BE104" s="75">
        <f t="shared" si="1"/>
        <v>-2.6119402985074626E-2</v>
      </c>
      <c r="BF104" s="80">
        <f t="shared" si="2"/>
        <v>-57</v>
      </c>
      <c r="BG104" s="75">
        <f t="shared" si="3"/>
        <v>-5.7000000000000002E-3</v>
      </c>
      <c r="BH104" s="12"/>
      <c r="BI104" s="12"/>
    </row>
    <row r="105" spans="1:61" ht="15.75" customHeight="1">
      <c r="A105" s="73" t="s">
        <v>2836</v>
      </c>
      <c r="B105" s="11" t="s">
        <v>2988</v>
      </c>
      <c r="C105" s="11">
        <v>70.2</v>
      </c>
      <c r="D105" s="11">
        <v>30</v>
      </c>
      <c r="E105" s="11">
        <v>100.2</v>
      </c>
      <c r="F105" s="11">
        <v>200.4</v>
      </c>
      <c r="G105" s="11">
        <v>3.34</v>
      </c>
      <c r="H105" s="11">
        <v>0</v>
      </c>
      <c r="I105" s="12"/>
      <c r="J105" s="12"/>
      <c r="K105" s="12"/>
      <c r="L105" s="12"/>
      <c r="M105" s="73" t="s">
        <v>2838</v>
      </c>
      <c r="N105" s="74">
        <v>45177</v>
      </c>
      <c r="O105" s="11">
        <v>480</v>
      </c>
      <c r="P105" s="11">
        <v>480</v>
      </c>
      <c r="Q105" s="12">
        <v>8</v>
      </c>
      <c r="R105" s="12" t="s">
        <v>435</v>
      </c>
      <c r="S105" s="12"/>
      <c r="T105" s="12"/>
      <c r="U105" s="12"/>
      <c r="V105" s="12"/>
      <c r="W105" s="12"/>
      <c r="X105" s="12"/>
      <c r="Y105" s="12"/>
      <c r="Z105" s="12"/>
      <c r="AA105" s="12"/>
      <c r="AB105" s="73" t="s">
        <v>2838</v>
      </c>
      <c r="AC105" s="74">
        <v>45238</v>
      </c>
      <c r="AD105" s="11">
        <v>420</v>
      </c>
      <c r="AE105" s="11">
        <v>420</v>
      </c>
      <c r="AF105" s="11">
        <v>7</v>
      </c>
      <c r="AG105" s="11">
        <v>0</v>
      </c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61" t="s">
        <v>3012</v>
      </c>
      <c r="AZ105" s="61">
        <v>680</v>
      </c>
      <c r="BA105" s="79">
        <v>2544</v>
      </c>
      <c r="BB105" s="61">
        <v>660</v>
      </c>
      <c r="BC105" s="79">
        <v>2546</v>
      </c>
      <c r="BD105" s="61">
        <f t="shared" si="0"/>
        <v>-20</v>
      </c>
      <c r="BE105" s="75">
        <f t="shared" si="1"/>
        <v>-2.9411764705882353E-2</v>
      </c>
      <c r="BF105" s="80">
        <f t="shared" si="2"/>
        <v>2</v>
      </c>
      <c r="BG105" s="75">
        <f t="shared" si="3"/>
        <v>7.8616352201257866E-4</v>
      </c>
      <c r="BH105" s="12"/>
      <c r="BI105" s="12"/>
    </row>
    <row r="106" spans="1:61" ht="15.75" customHeight="1">
      <c r="A106" s="73" t="s">
        <v>2836</v>
      </c>
      <c r="B106" s="11" t="s">
        <v>2990</v>
      </c>
      <c r="C106" s="11">
        <v>130.19999999999999</v>
      </c>
      <c r="D106" s="11">
        <v>60</v>
      </c>
      <c r="E106" s="11">
        <v>180</v>
      </c>
      <c r="F106" s="11">
        <v>370.2</v>
      </c>
      <c r="G106" s="11">
        <v>6.17</v>
      </c>
      <c r="H106" s="11">
        <v>0</v>
      </c>
      <c r="I106" s="12"/>
      <c r="J106" s="12"/>
      <c r="K106" s="12"/>
      <c r="L106" s="12"/>
      <c r="M106" s="73" t="s">
        <v>2838</v>
      </c>
      <c r="N106" s="74">
        <v>45207</v>
      </c>
      <c r="O106" s="11">
        <v>345</v>
      </c>
      <c r="P106" s="11">
        <v>345</v>
      </c>
      <c r="Q106" s="12">
        <v>5.75</v>
      </c>
      <c r="R106" s="12" t="s">
        <v>435</v>
      </c>
      <c r="S106" s="12"/>
      <c r="T106" s="12"/>
      <c r="U106" s="12"/>
      <c r="V106" s="12"/>
      <c r="W106" s="12"/>
      <c r="X106" s="12"/>
      <c r="Y106" s="12"/>
      <c r="Z106" s="12"/>
      <c r="AA106" s="12"/>
      <c r="AB106" s="73" t="s">
        <v>2838</v>
      </c>
      <c r="AC106" s="11" t="s">
        <v>3013</v>
      </c>
      <c r="AD106" s="11">
        <v>120</v>
      </c>
      <c r="AE106" s="11">
        <v>120</v>
      </c>
      <c r="AF106" s="11">
        <v>2</v>
      </c>
      <c r="AG106" s="11">
        <v>0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61" t="s">
        <v>3014</v>
      </c>
      <c r="AZ106" s="79">
        <v>2400</v>
      </c>
      <c r="BA106" s="79">
        <v>10000</v>
      </c>
      <c r="BB106" s="79">
        <v>2310</v>
      </c>
      <c r="BC106" s="79">
        <v>10013</v>
      </c>
      <c r="BD106" s="79">
        <f t="shared" si="0"/>
        <v>-90</v>
      </c>
      <c r="BE106" s="75">
        <f t="shared" si="1"/>
        <v>-3.7499999999999999E-2</v>
      </c>
      <c r="BF106" s="80">
        <f t="shared" si="2"/>
        <v>13</v>
      </c>
      <c r="BG106" s="75">
        <f t="shared" si="3"/>
        <v>1.2999999999999999E-3</v>
      </c>
      <c r="BH106" s="12"/>
      <c r="BI106" s="12"/>
    </row>
    <row r="107" spans="1:61" ht="15.75" customHeight="1">
      <c r="A107" s="73" t="s">
        <v>2836</v>
      </c>
      <c r="B107" s="11" t="s">
        <v>2994</v>
      </c>
      <c r="C107" s="11">
        <v>315</v>
      </c>
      <c r="D107" s="11">
        <v>40.200000000000003</v>
      </c>
      <c r="E107" s="11">
        <v>30</v>
      </c>
      <c r="F107" s="11">
        <v>385.2</v>
      </c>
      <c r="G107" s="11">
        <v>6.42</v>
      </c>
      <c r="H107" s="11">
        <v>0</v>
      </c>
      <c r="I107" s="12"/>
      <c r="J107" s="12"/>
      <c r="K107" s="12"/>
      <c r="L107" s="12"/>
      <c r="M107" s="73" t="s">
        <v>2838</v>
      </c>
      <c r="N107" s="74">
        <v>45238</v>
      </c>
      <c r="O107" s="11">
        <v>540</v>
      </c>
      <c r="P107" s="11">
        <v>540</v>
      </c>
      <c r="Q107" s="12">
        <v>9</v>
      </c>
      <c r="R107" s="12">
        <v>1</v>
      </c>
      <c r="S107" s="12"/>
      <c r="T107" s="12"/>
      <c r="U107" s="12"/>
      <c r="V107" s="12"/>
      <c r="W107" s="12"/>
      <c r="X107" s="12"/>
      <c r="Y107" s="12"/>
      <c r="Z107" s="12"/>
      <c r="AA107" s="12"/>
      <c r="AB107" s="73" t="s">
        <v>2838</v>
      </c>
      <c r="AC107" s="11" t="s">
        <v>3015</v>
      </c>
      <c r="AD107" s="11">
        <v>150</v>
      </c>
      <c r="AE107" s="11">
        <v>150</v>
      </c>
      <c r="AF107" s="11">
        <v>2.5</v>
      </c>
      <c r="AG107" s="11">
        <v>0</v>
      </c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61" t="s">
        <v>3016</v>
      </c>
      <c r="AZ107" s="79">
        <v>6000</v>
      </c>
      <c r="BA107" s="79">
        <v>20000</v>
      </c>
      <c r="BB107" s="79">
        <v>5760</v>
      </c>
      <c r="BC107" s="79">
        <v>20121</v>
      </c>
      <c r="BD107" s="79">
        <f t="shared" si="0"/>
        <v>-240</v>
      </c>
      <c r="BE107" s="75">
        <f t="shared" si="1"/>
        <v>-0.04</v>
      </c>
      <c r="BF107" s="80">
        <f t="shared" si="2"/>
        <v>121</v>
      </c>
      <c r="BG107" s="75">
        <f t="shared" si="3"/>
        <v>6.0499999999999998E-3</v>
      </c>
      <c r="BH107" s="12"/>
      <c r="BI107" s="12"/>
    </row>
    <row r="108" spans="1:61" ht="15.75" customHeight="1">
      <c r="A108" s="73" t="s">
        <v>2836</v>
      </c>
      <c r="B108" s="11" t="s">
        <v>2996</v>
      </c>
      <c r="C108" s="11">
        <v>240</v>
      </c>
      <c r="D108" s="11">
        <v>30</v>
      </c>
      <c r="E108" s="12"/>
      <c r="F108" s="11">
        <v>270</v>
      </c>
      <c r="G108" s="11">
        <v>4.5</v>
      </c>
      <c r="H108" s="11">
        <v>0</v>
      </c>
      <c r="I108" s="12"/>
      <c r="J108" s="12"/>
      <c r="K108" s="12"/>
      <c r="L108" s="12"/>
      <c r="M108" s="73" t="s">
        <v>2838</v>
      </c>
      <c r="N108" s="11" t="s">
        <v>3015</v>
      </c>
      <c r="O108" s="11">
        <v>125</v>
      </c>
      <c r="P108" s="11">
        <v>125</v>
      </c>
      <c r="Q108" s="12">
        <v>2.08</v>
      </c>
      <c r="R108" s="12" t="s">
        <v>435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73" t="s">
        <v>2838</v>
      </c>
      <c r="AC108" s="11" t="s">
        <v>3017</v>
      </c>
      <c r="AD108" s="11">
        <v>85.2</v>
      </c>
      <c r="AE108" s="11">
        <v>85.2</v>
      </c>
      <c r="AF108" s="11">
        <v>1.42</v>
      </c>
      <c r="AG108" s="11">
        <v>0</v>
      </c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61" t="s">
        <v>3018</v>
      </c>
      <c r="AZ108" s="61">
        <v>940</v>
      </c>
      <c r="BA108" s="79">
        <v>5000</v>
      </c>
      <c r="BB108" s="61">
        <v>900</v>
      </c>
      <c r="BC108" s="79">
        <v>5003</v>
      </c>
      <c r="BD108" s="61">
        <f t="shared" si="0"/>
        <v>-40</v>
      </c>
      <c r="BE108" s="75">
        <f t="shared" si="1"/>
        <v>-4.2553191489361701E-2</v>
      </c>
      <c r="BF108" s="80">
        <f t="shared" si="2"/>
        <v>3</v>
      </c>
      <c r="BG108" s="75">
        <f t="shared" si="3"/>
        <v>5.9999999999999995E-4</v>
      </c>
      <c r="BH108" s="12"/>
      <c r="BI108" s="12"/>
    </row>
    <row r="109" spans="1:61" ht="15.75" customHeight="1">
      <c r="A109" s="73" t="s">
        <v>2836</v>
      </c>
      <c r="B109" s="11" t="s">
        <v>2998</v>
      </c>
      <c r="C109" s="12"/>
      <c r="D109" s="12"/>
      <c r="E109" s="11">
        <v>135</v>
      </c>
      <c r="F109" s="11">
        <v>135</v>
      </c>
      <c r="G109" s="11">
        <v>2.25</v>
      </c>
      <c r="H109" s="11">
        <v>0</v>
      </c>
      <c r="I109" s="12"/>
      <c r="J109" s="12"/>
      <c r="K109" s="12"/>
      <c r="L109" s="12"/>
      <c r="M109" s="73" t="s">
        <v>2838</v>
      </c>
      <c r="N109" s="11" t="s">
        <v>3017</v>
      </c>
      <c r="O109" s="11">
        <v>120</v>
      </c>
      <c r="P109" s="11">
        <v>120</v>
      </c>
      <c r="Q109" s="12">
        <v>2</v>
      </c>
      <c r="R109" s="12" t="s">
        <v>435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73" t="s">
        <v>2838</v>
      </c>
      <c r="AC109" s="11" t="s">
        <v>3019</v>
      </c>
      <c r="AD109" s="11">
        <v>180</v>
      </c>
      <c r="AE109" s="11">
        <v>180</v>
      </c>
      <c r="AF109" s="11">
        <v>3</v>
      </c>
      <c r="AG109" s="11">
        <v>0</v>
      </c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61" t="s">
        <v>3020</v>
      </c>
      <c r="AZ109" s="79">
        <v>1005</v>
      </c>
      <c r="BA109" s="79">
        <v>2511</v>
      </c>
      <c r="BB109" s="61">
        <v>960</v>
      </c>
      <c r="BC109" s="79">
        <v>2568</v>
      </c>
      <c r="BD109" s="79">
        <f t="shared" si="0"/>
        <v>-45</v>
      </c>
      <c r="BE109" s="75">
        <f t="shared" si="1"/>
        <v>-4.4776119402985072E-2</v>
      </c>
      <c r="BF109" s="80">
        <f t="shared" si="2"/>
        <v>57</v>
      </c>
      <c r="BG109" s="75">
        <f t="shared" si="3"/>
        <v>2.2700119474313024E-2</v>
      </c>
      <c r="BH109" s="12"/>
      <c r="BI109" s="12"/>
    </row>
    <row r="110" spans="1:61" ht="15.75" customHeight="1">
      <c r="A110" s="73" t="s">
        <v>2836</v>
      </c>
      <c r="B110" s="11" t="s">
        <v>3000</v>
      </c>
      <c r="C110" s="11">
        <v>390</v>
      </c>
      <c r="D110" s="12"/>
      <c r="E110" s="11">
        <v>135</v>
      </c>
      <c r="F110" s="11">
        <v>525</v>
      </c>
      <c r="G110" s="11">
        <v>8.75</v>
      </c>
      <c r="H110" s="11">
        <v>0</v>
      </c>
      <c r="I110" s="12"/>
      <c r="J110" s="12"/>
      <c r="K110" s="12"/>
      <c r="L110" s="12"/>
      <c r="M110" s="73" t="s">
        <v>2838</v>
      </c>
      <c r="N110" s="11" t="s">
        <v>3021</v>
      </c>
      <c r="O110" s="11">
        <v>320</v>
      </c>
      <c r="P110" s="11">
        <v>320</v>
      </c>
      <c r="Q110" s="12">
        <v>5.33</v>
      </c>
      <c r="R110" s="12" t="s">
        <v>435</v>
      </c>
      <c r="S110" s="12"/>
      <c r="T110" s="12"/>
      <c r="U110" s="12"/>
      <c r="V110" s="12"/>
      <c r="W110" s="12"/>
      <c r="X110" s="12"/>
      <c r="Y110" s="12"/>
      <c r="Z110" s="12"/>
      <c r="AA110" s="12"/>
      <c r="AB110" s="78" t="s">
        <v>2838</v>
      </c>
      <c r="AC110" s="11" t="s">
        <v>3022</v>
      </c>
      <c r="AD110" s="11">
        <v>15</v>
      </c>
      <c r="AE110" s="11">
        <v>15</v>
      </c>
      <c r="AF110" s="11">
        <v>0.25</v>
      </c>
      <c r="AG110" s="11">
        <v>0</v>
      </c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61" t="s">
        <v>3023</v>
      </c>
      <c r="AZ110" s="79">
        <v>2500</v>
      </c>
      <c r="BA110" s="79">
        <v>5000</v>
      </c>
      <c r="BB110" s="79">
        <v>2340</v>
      </c>
      <c r="BC110" s="79">
        <v>5047</v>
      </c>
      <c r="BD110" s="79">
        <f t="shared" si="0"/>
        <v>-160</v>
      </c>
      <c r="BE110" s="75">
        <f t="shared" si="1"/>
        <v>-6.4000000000000001E-2</v>
      </c>
      <c r="BF110" s="80">
        <f t="shared" si="2"/>
        <v>47</v>
      </c>
      <c r="BG110" s="75">
        <f t="shared" si="3"/>
        <v>9.4000000000000004E-3</v>
      </c>
      <c r="BH110" s="12"/>
      <c r="BI110" s="12"/>
    </row>
    <row r="111" spans="1:61" ht="15.75" customHeight="1">
      <c r="A111" s="73" t="s">
        <v>2836</v>
      </c>
      <c r="B111" s="11" t="s">
        <v>3002</v>
      </c>
      <c r="C111" s="11">
        <v>319.8</v>
      </c>
      <c r="D111" s="11">
        <v>30</v>
      </c>
      <c r="E111" s="11">
        <v>79.8</v>
      </c>
      <c r="F111" s="11">
        <v>429.6</v>
      </c>
      <c r="G111" s="11">
        <v>7.16</v>
      </c>
      <c r="H111" s="11">
        <v>0</v>
      </c>
      <c r="I111" s="12"/>
      <c r="J111" s="12"/>
      <c r="K111" s="12"/>
      <c r="L111" s="12"/>
      <c r="M111" s="73" t="s">
        <v>2838</v>
      </c>
      <c r="N111" s="11" t="s">
        <v>3024</v>
      </c>
      <c r="O111" s="11">
        <v>262.5</v>
      </c>
      <c r="P111" s="11">
        <v>262.5</v>
      </c>
      <c r="Q111" s="12">
        <v>4.38</v>
      </c>
      <c r="R111" s="12" t="s">
        <v>435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81" t="s">
        <v>2828</v>
      </c>
      <c r="AC111" s="81"/>
      <c r="AD111" s="82">
        <v>28929</v>
      </c>
      <c r="AE111" s="82">
        <v>28929</v>
      </c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61" t="s">
        <v>3025</v>
      </c>
      <c r="AZ111" s="61">
        <v>900</v>
      </c>
      <c r="BA111" s="79">
        <v>3000</v>
      </c>
      <c r="BB111" s="61">
        <v>840</v>
      </c>
      <c r="BC111" s="79">
        <v>2908</v>
      </c>
      <c r="BD111" s="61">
        <f t="shared" si="0"/>
        <v>-60</v>
      </c>
      <c r="BE111" s="75">
        <f t="shared" si="1"/>
        <v>-6.6666666666666666E-2</v>
      </c>
      <c r="BF111" s="80">
        <f t="shared" si="2"/>
        <v>-92</v>
      </c>
      <c r="BG111" s="75">
        <f t="shared" si="3"/>
        <v>-3.0666666666666665E-2</v>
      </c>
      <c r="BH111" s="12"/>
      <c r="BI111" s="12"/>
    </row>
    <row r="112" spans="1:61" ht="15.75" customHeight="1">
      <c r="A112" s="73" t="s">
        <v>2836</v>
      </c>
      <c r="B112" s="11" t="s">
        <v>2867</v>
      </c>
      <c r="C112" s="11">
        <v>750</v>
      </c>
      <c r="D112" s="11">
        <v>58.2</v>
      </c>
      <c r="E112" s="11">
        <v>49.8</v>
      </c>
      <c r="F112" s="11">
        <v>858</v>
      </c>
      <c r="G112" s="11">
        <v>14.3</v>
      </c>
      <c r="H112" s="11">
        <v>0</v>
      </c>
      <c r="I112" s="12"/>
      <c r="J112" s="12"/>
      <c r="K112" s="12"/>
      <c r="L112" s="12"/>
      <c r="M112" s="78" t="s">
        <v>2838</v>
      </c>
      <c r="N112" s="11" t="s">
        <v>3022</v>
      </c>
      <c r="O112" s="11">
        <v>93.75</v>
      </c>
      <c r="P112" s="11">
        <v>93.75</v>
      </c>
      <c r="Q112" s="12">
        <v>1.56</v>
      </c>
      <c r="R112" s="12" t="s">
        <v>435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61" t="s">
        <v>3026</v>
      </c>
      <c r="AZ112" s="79">
        <v>2000</v>
      </c>
      <c r="BA112" s="79">
        <v>10000</v>
      </c>
      <c r="BB112" s="79">
        <v>1855</v>
      </c>
      <c r="BC112" s="79">
        <v>9750</v>
      </c>
      <c r="BD112" s="79">
        <f t="shared" si="0"/>
        <v>-145</v>
      </c>
      <c r="BE112" s="75">
        <f t="shared" si="1"/>
        <v>-7.2499999999999995E-2</v>
      </c>
      <c r="BF112" s="80">
        <f t="shared" si="2"/>
        <v>-250</v>
      </c>
      <c r="BG112" s="75">
        <f t="shared" si="3"/>
        <v>-2.5000000000000001E-2</v>
      </c>
      <c r="BH112" s="12"/>
      <c r="BI112" s="12"/>
    </row>
    <row r="113" spans="1:61" ht="15.75" customHeight="1">
      <c r="A113" s="73" t="s">
        <v>2836</v>
      </c>
      <c r="B113" s="77">
        <v>44934</v>
      </c>
      <c r="C113" s="11">
        <v>330</v>
      </c>
      <c r="D113" s="11">
        <v>30</v>
      </c>
      <c r="E113" s="11">
        <v>30</v>
      </c>
      <c r="F113" s="11">
        <v>390</v>
      </c>
      <c r="G113" s="11">
        <v>6.5</v>
      </c>
      <c r="H113" s="11">
        <v>0</v>
      </c>
      <c r="I113" s="12"/>
      <c r="J113" s="12"/>
      <c r="K113" s="12"/>
      <c r="L113" s="12"/>
      <c r="M113" s="81" t="s">
        <v>2828</v>
      </c>
      <c r="N113" s="81"/>
      <c r="O113" s="82">
        <v>53954.8</v>
      </c>
      <c r="P113" s="82">
        <v>53954.8</v>
      </c>
      <c r="Q113" s="12"/>
      <c r="R113" s="12">
        <f>SUM(R6:R112)</f>
        <v>217.32999999999998</v>
      </c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61" t="s">
        <v>3027</v>
      </c>
      <c r="AZ113" s="79">
        <v>1920</v>
      </c>
      <c r="BA113" s="79">
        <v>6000</v>
      </c>
      <c r="BB113" s="79">
        <v>1755</v>
      </c>
      <c r="BC113" s="79">
        <v>6050</v>
      </c>
      <c r="BD113" s="79">
        <f t="shared" si="0"/>
        <v>-165</v>
      </c>
      <c r="BE113" s="75">
        <f t="shared" si="1"/>
        <v>-8.59375E-2</v>
      </c>
      <c r="BF113" s="80">
        <f t="shared" si="2"/>
        <v>50</v>
      </c>
      <c r="BG113" s="75">
        <f t="shared" si="3"/>
        <v>8.3333333333333332E-3</v>
      </c>
      <c r="BH113" s="12"/>
      <c r="BI113" s="12"/>
    </row>
    <row r="114" spans="1:61" ht="15.75" customHeight="1">
      <c r="A114" s="73" t="s">
        <v>2836</v>
      </c>
      <c r="B114" s="77">
        <v>44965</v>
      </c>
      <c r="C114" s="11">
        <v>76.2</v>
      </c>
      <c r="D114" s="11">
        <v>16.2</v>
      </c>
      <c r="E114" s="11">
        <v>105</v>
      </c>
      <c r="F114" s="11">
        <v>197.4</v>
      </c>
      <c r="G114" s="11">
        <v>3.29</v>
      </c>
      <c r="H114" s="11">
        <v>0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61" t="s">
        <v>3028</v>
      </c>
      <c r="AZ114" s="79">
        <v>1500</v>
      </c>
      <c r="BA114" s="79">
        <v>1180</v>
      </c>
      <c r="BB114" s="79">
        <v>1350</v>
      </c>
      <c r="BC114" s="79">
        <v>1186</v>
      </c>
      <c r="BD114" s="79">
        <f t="shared" si="0"/>
        <v>-150</v>
      </c>
      <c r="BE114" s="75">
        <f t="shared" si="1"/>
        <v>-0.1</v>
      </c>
      <c r="BF114" s="80">
        <f t="shared" si="2"/>
        <v>6</v>
      </c>
      <c r="BG114" s="75">
        <f t="shared" si="3"/>
        <v>5.084745762711864E-3</v>
      </c>
      <c r="BH114" s="12"/>
      <c r="BI114" s="12"/>
    </row>
    <row r="115" spans="1:61" ht="15.75" customHeight="1">
      <c r="A115" s="73" t="s">
        <v>2836</v>
      </c>
      <c r="B115" s="77">
        <v>45024</v>
      </c>
      <c r="C115" s="11">
        <v>180</v>
      </c>
      <c r="D115" s="11">
        <v>10.199999999999999</v>
      </c>
      <c r="E115" s="11">
        <v>120</v>
      </c>
      <c r="F115" s="11">
        <v>310.2</v>
      </c>
      <c r="G115" s="11">
        <v>5.17</v>
      </c>
      <c r="H115" s="11">
        <v>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61" t="s">
        <v>3029</v>
      </c>
      <c r="AZ115" s="79">
        <v>2500</v>
      </c>
      <c r="BA115" s="79">
        <v>5000</v>
      </c>
      <c r="BB115" s="79">
        <v>2160</v>
      </c>
      <c r="BC115" s="79">
        <v>5019</v>
      </c>
      <c r="BD115" s="79">
        <f t="shared" si="0"/>
        <v>-340</v>
      </c>
      <c r="BE115" s="75">
        <f t="shared" si="1"/>
        <v>-0.13600000000000001</v>
      </c>
      <c r="BF115" s="80">
        <f t="shared" si="2"/>
        <v>19</v>
      </c>
      <c r="BG115" s="75">
        <f t="shared" si="3"/>
        <v>3.8E-3</v>
      </c>
      <c r="BH115" s="12"/>
      <c r="BI115" s="12"/>
    </row>
    <row r="116" spans="1:61" ht="15.75" customHeight="1">
      <c r="A116" s="73" t="s">
        <v>2836</v>
      </c>
      <c r="B116" s="77">
        <v>45115</v>
      </c>
      <c r="C116" s="11">
        <v>355.2</v>
      </c>
      <c r="D116" s="11">
        <v>40.200000000000003</v>
      </c>
      <c r="E116" s="11">
        <v>120</v>
      </c>
      <c r="F116" s="11">
        <v>515.4</v>
      </c>
      <c r="G116" s="11">
        <v>8.59</v>
      </c>
      <c r="H116" s="11">
        <v>0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61" t="s">
        <v>3030</v>
      </c>
      <c r="AZ116" s="79">
        <v>1260</v>
      </c>
      <c r="BA116" s="79">
        <v>2504</v>
      </c>
      <c r="BB116" s="79">
        <v>1080</v>
      </c>
      <c r="BC116" s="79">
        <v>2508</v>
      </c>
      <c r="BD116" s="79">
        <f t="shared" si="0"/>
        <v>-180</v>
      </c>
      <c r="BE116" s="75">
        <f t="shared" si="1"/>
        <v>-0.14285714285714285</v>
      </c>
      <c r="BF116" s="80">
        <f t="shared" si="2"/>
        <v>4</v>
      </c>
      <c r="BG116" s="75">
        <f t="shared" si="3"/>
        <v>1.5974440894568689E-3</v>
      </c>
      <c r="BH116" s="12"/>
      <c r="BI116" s="12"/>
    </row>
    <row r="117" spans="1:61" ht="15.75" customHeight="1">
      <c r="A117" s="73" t="s">
        <v>2836</v>
      </c>
      <c r="B117" s="77">
        <v>45146</v>
      </c>
      <c r="C117" s="11">
        <v>240</v>
      </c>
      <c r="D117" s="11">
        <v>10.199999999999999</v>
      </c>
      <c r="E117" s="11">
        <v>135</v>
      </c>
      <c r="F117" s="11">
        <v>385.2</v>
      </c>
      <c r="G117" s="11">
        <v>6.42</v>
      </c>
      <c r="H117" s="11">
        <v>0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61" t="s">
        <v>3031</v>
      </c>
      <c r="AZ117" s="79">
        <v>1000</v>
      </c>
      <c r="BA117" s="79">
        <v>2500</v>
      </c>
      <c r="BB117" s="61">
        <v>840</v>
      </c>
      <c r="BC117" s="79">
        <v>2537</v>
      </c>
      <c r="BD117" s="79">
        <f t="shared" si="0"/>
        <v>-160</v>
      </c>
      <c r="BE117" s="75">
        <f t="shared" si="1"/>
        <v>-0.16</v>
      </c>
      <c r="BF117" s="80">
        <f t="shared" si="2"/>
        <v>37</v>
      </c>
      <c r="BG117" s="75">
        <f t="shared" si="3"/>
        <v>1.4800000000000001E-2</v>
      </c>
      <c r="BH117" s="12"/>
      <c r="BI117" s="12"/>
    </row>
    <row r="118" spans="1:61" ht="15.75" customHeight="1">
      <c r="A118" s="73" t="s">
        <v>2836</v>
      </c>
      <c r="B118" s="77">
        <v>45177</v>
      </c>
      <c r="C118" s="11">
        <v>199.8</v>
      </c>
      <c r="D118" s="11">
        <v>10.199999999999999</v>
      </c>
      <c r="E118" s="11">
        <v>160.19999999999999</v>
      </c>
      <c r="F118" s="11">
        <v>370.2</v>
      </c>
      <c r="G118" s="11">
        <v>6.17</v>
      </c>
      <c r="H118" s="11">
        <v>0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83" t="s">
        <v>3032</v>
      </c>
      <c r="AZ118" s="72">
        <v>6360</v>
      </c>
      <c r="BA118" s="72">
        <v>30000</v>
      </c>
      <c r="BB118" s="72">
        <v>4350</v>
      </c>
      <c r="BC118" s="72">
        <v>15022</v>
      </c>
      <c r="BD118" s="72">
        <f t="shared" si="0"/>
        <v>-2010</v>
      </c>
      <c r="BE118" s="68">
        <f t="shared" si="1"/>
        <v>-0.31603773584905659</v>
      </c>
      <c r="BF118" s="69">
        <f t="shared" si="2"/>
        <v>-14978</v>
      </c>
      <c r="BG118" s="68">
        <f t="shared" si="3"/>
        <v>-0.49926666666666669</v>
      </c>
      <c r="BH118" s="12"/>
      <c r="BI118" s="12"/>
    </row>
    <row r="119" spans="1:61" ht="15.75" customHeight="1">
      <c r="A119" s="73" t="s">
        <v>2836</v>
      </c>
      <c r="B119" s="77">
        <v>45207</v>
      </c>
      <c r="C119" s="11">
        <v>291</v>
      </c>
      <c r="D119" s="11">
        <v>27</v>
      </c>
      <c r="E119" s="12"/>
      <c r="F119" s="11">
        <v>318</v>
      </c>
      <c r="G119" s="11">
        <v>5.3</v>
      </c>
      <c r="H119" s="11">
        <v>0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75"/>
      <c r="BF119" s="76"/>
      <c r="BG119" s="75"/>
      <c r="BH119" s="12"/>
      <c r="BI119" s="12"/>
    </row>
    <row r="120" spans="1:61" ht="15.75" customHeight="1">
      <c r="A120" s="73" t="s">
        <v>2836</v>
      </c>
      <c r="B120" s="11" t="s">
        <v>3021</v>
      </c>
      <c r="C120" s="12"/>
      <c r="D120" s="12"/>
      <c r="E120" s="11">
        <v>30</v>
      </c>
      <c r="F120" s="11">
        <v>30</v>
      </c>
      <c r="G120" s="11">
        <v>0.5</v>
      </c>
      <c r="H120" s="11">
        <v>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75"/>
      <c r="BF120" s="76"/>
      <c r="BG120" s="75"/>
      <c r="BH120" s="12"/>
      <c r="BI120" s="12"/>
    </row>
    <row r="121" spans="1:61" ht="15.75" customHeight="1">
      <c r="A121" s="78" t="s">
        <v>2836</v>
      </c>
      <c r="B121" s="11" t="s">
        <v>3019</v>
      </c>
      <c r="C121" s="11">
        <v>315</v>
      </c>
      <c r="D121" s="11">
        <v>40.200000000000003</v>
      </c>
      <c r="E121" s="12"/>
      <c r="F121" s="11">
        <v>355.2</v>
      </c>
      <c r="G121" s="11">
        <v>5.92</v>
      </c>
      <c r="H121" s="11">
        <v>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75"/>
      <c r="BF121" s="76"/>
      <c r="BG121" s="75"/>
      <c r="BH121" s="12"/>
      <c r="BI121" s="12"/>
    </row>
    <row r="122" spans="1:61" ht="15.75" customHeight="1">
      <c r="A122" s="81" t="s">
        <v>2828</v>
      </c>
      <c r="B122" s="81"/>
      <c r="C122" s="82">
        <v>37773</v>
      </c>
      <c r="D122" s="82">
        <v>4158</v>
      </c>
      <c r="E122" s="82">
        <v>10753.2</v>
      </c>
      <c r="F122" s="82">
        <v>52684.2</v>
      </c>
      <c r="G122" s="11"/>
      <c r="H122" s="11">
        <f>SUM(H6:H121)</f>
        <v>0.42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75"/>
      <c r="BF122" s="76"/>
      <c r="BG122" s="75"/>
      <c r="BH122" s="12"/>
      <c r="BI122" s="12"/>
    </row>
    <row r="123" spans="1:61" ht="15.75" customHeight="1">
      <c r="BE123" s="75"/>
      <c r="BF123" s="76"/>
      <c r="BG123" s="75"/>
    </row>
    <row r="124" spans="1:61" ht="15.75" customHeight="1">
      <c r="BE124" s="75"/>
      <c r="BF124" s="76"/>
      <c r="BG124" s="75"/>
    </row>
    <row r="125" spans="1:61" ht="15.75" customHeight="1">
      <c r="BE125" s="75"/>
      <c r="BF125" s="76"/>
      <c r="BG125" s="75"/>
    </row>
    <row r="126" spans="1:61" ht="15.75" customHeight="1">
      <c r="BE126" s="75"/>
      <c r="BF126" s="76"/>
      <c r="BG126" s="75"/>
    </row>
    <row r="127" spans="1:61" ht="15.75" customHeight="1">
      <c r="BE127" s="75"/>
      <c r="BF127" s="76"/>
      <c r="BG127" s="75"/>
    </row>
    <row r="128" spans="1:61" ht="15.75" customHeight="1">
      <c r="BE128" s="75"/>
      <c r="BF128" s="76"/>
      <c r="BG128" s="75"/>
    </row>
    <row r="129" spans="57:59" ht="15.75" customHeight="1">
      <c r="BE129" s="75"/>
      <c r="BF129" s="76"/>
      <c r="BG129" s="75"/>
    </row>
    <row r="130" spans="57:59" ht="15.75" customHeight="1"/>
    <row r="131" spans="57:59" ht="15.75" customHeight="1"/>
    <row r="132" spans="57:59" ht="15.75" customHeight="1"/>
    <row r="133" spans="57:59" ht="15.75" customHeight="1"/>
    <row r="134" spans="57:59" ht="15.75" customHeight="1"/>
    <row r="135" spans="57:59" ht="15.75" customHeight="1"/>
    <row r="136" spans="57:59" ht="15.75" customHeight="1"/>
    <row r="137" spans="57:59" ht="15.75" customHeight="1"/>
    <row r="138" spans="57:59" ht="15.75" customHeight="1"/>
    <row r="139" spans="57:59" ht="15.75" customHeight="1"/>
    <row r="140" spans="57:59" ht="15.75" customHeight="1"/>
    <row r="141" spans="57:59" ht="15.75" customHeight="1"/>
    <row r="142" spans="57:59" ht="15.75" customHeight="1"/>
    <row r="143" spans="57:59" ht="15.75" customHeight="1"/>
    <row r="144" spans="57:59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G5:AI5"/>
    <mergeCell ref="AO5:AQ5"/>
    <mergeCell ref="BB2:BC2"/>
    <mergeCell ref="A4:B4"/>
    <mergeCell ref="M4:N4"/>
    <mergeCell ref="U4:V4"/>
    <mergeCell ref="AB4:AC4"/>
    <mergeCell ref="AJ4:AK4"/>
    <mergeCell ref="AR4:AS4"/>
  </mergeCells>
  <phoneticPr fontId="42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Z1288"/>
  <sheetViews>
    <sheetView workbookViewId="0">
      <pane ySplit="1" topLeftCell="A2" activePane="bottomLeft" state="frozen"/>
      <selection pane="bottomLeft" activeCell="B3" sqref="B3"/>
    </sheetView>
  </sheetViews>
  <sheetFormatPr defaultColWidth="12.61328125" defaultRowHeight="15" customHeight="1"/>
  <cols>
    <col min="1" max="2" width="12.61328125" customWidth="1"/>
    <col min="3" max="3" width="24.4609375" customWidth="1"/>
    <col min="4" max="4" width="7" customWidth="1"/>
    <col min="5" max="5" width="51.15234375" customWidth="1"/>
    <col min="6" max="6" width="12.61328125" customWidth="1"/>
    <col min="8" max="8" width="17.15234375" customWidth="1"/>
    <col min="10" max="10" width="14.61328125" customWidth="1"/>
    <col min="16" max="16" width="43.61328125" customWidth="1"/>
  </cols>
  <sheetData>
    <row r="1" spans="1:26" ht="15.75" customHeight="1">
      <c r="A1" s="9" t="s">
        <v>997</v>
      </c>
      <c r="B1" s="84" t="s">
        <v>998</v>
      </c>
      <c r="C1" s="9" t="s">
        <v>411</v>
      </c>
      <c r="D1" s="9" t="s">
        <v>999</v>
      </c>
      <c r="E1" s="9" t="s">
        <v>332</v>
      </c>
      <c r="F1" s="58" t="s">
        <v>3033</v>
      </c>
      <c r="G1" s="58" t="s">
        <v>3034</v>
      </c>
      <c r="H1" s="85" t="s">
        <v>3035</v>
      </c>
      <c r="I1" s="9" t="s">
        <v>384</v>
      </c>
      <c r="J1" s="9" t="s">
        <v>385</v>
      </c>
      <c r="K1" s="9" t="s">
        <v>386</v>
      </c>
      <c r="L1" s="9" t="s">
        <v>387</v>
      </c>
      <c r="M1" s="9" t="s">
        <v>3036</v>
      </c>
      <c r="N1" s="9" t="s">
        <v>3037</v>
      </c>
      <c r="O1" s="9" t="s">
        <v>3038</v>
      </c>
      <c r="P1" s="9" t="s">
        <v>3039</v>
      </c>
      <c r="Q1" s="58" t="s">
        <v>418</v>
      </c>
      <c r="R1" s="9" t="s">
        <v>420</v>
      </c>
      <c r="S1" s="9" t="s">
        <v>3040</v>
      </c>
      <c r="T1" s="9" t="s">
        <v>361</v>
      </c>
      <c r="U1" s="9"/>
      <c r="V1" s="9"/>
      <c r="W1" s="9"/>
      <c r="X1" s="9"/>
      <c r="Y1" s="9"/>
      <c r="Z1" s="9"/>
    </row>
    <row r="2" spans="1:26" ht="15.75" customHeight="1">
      <c r="A2" s="9" t="s">
        <v>3041</v>
      </c>
      <c r="B2" s="9" t="s">
        <v>3041</v>
      </c>
      <c r="C2" s="9" t="s">
        <v>2396</v>
      </c>
      <c r="D2" s="9" t="s">
        <v>559</v>
      </c>
      <c r="E2" s="9" t="s">
        <v>3042</v>
      </c>
      <c r="F2" s="58" t="s">
        <v>3043</v>
      </c>
      <c r="G2" s="58">
        <v>4992</v>
      </c>
      <c r="H2" s="85">
        <v>9.6153846153846104E-2</v>
      </c>
      <c r="I2" s="9" t="s">
        <v>2396</v>
      </c>
      <c r="J2" s="9"/>
      <c r="K2" s="9"/>
      <c r="L2" s="9"/>
      <c r="M2" s="9"/>
      <c r="N2" s="9" t="s">
        <v>2396</v>
      </c>
      <c r="O2" s="9" t="s">
        <v>2396</v>
      </c>
      <c r="P2" s="9" t="s">
        <v>3044</v>
      </c>
      <c r="Q2" s="58" t="s">
        <v>3045</v>
      </c>
      <c r="R2" s="58">
        <v>1</v>
      </c>
      <c r="S2" s="58">
        <v>8</v>
      </c>
      <c r="T2" s="9" t="s">
        <v>2396</v>
      </c>
      <c r="U2" s="9" t="s">
        <v>3046</v>
      </c>
      <c r="V2" s="58">
        <v>1</v>
      </c>
      <c r="W2" s="9"/>
      <c r="X2" s="9"/>
      <c r="Y2" s="9"/>
      <c r="Z2" s="9"/>
    </row>
    <row r="3" spans="1:26" ht="15.75" customHeight="1">
      <c r="A3" s="9" t="s">
        <v>3047</v>
      </c>
      <c r="B3" s="9" t="s">
        <v>3047</v>
      </c>
      <c r="C3" s="9" t="s">
        <v>2396</v>
      </c>
      <c r="D3" s="9" t="s">
        <v>559</v>
      </c>
      <c r="E3" s="9" t="s">
        <v>3042</v>
      </c>
      <c r="F3" s="58" t="s">
        <v>3043</v>
      </c>
      <c r="G3" s="58">
        <v>4992</v>
      </c>
      <c r="H3" s="85">
        <v>9.6153846153846104E-2</v>
      </c>
      <c r="I3" s="9" t="s">
        <v>2396</v>
      </c>
      <c r="J3" s="9"/>
      <c r="K3" s="9"/>
      <c r="L3" s="9"/>
      <c r="M3" s="9"/>
      <c r="N3" s="9" t="s">
        <v>2396</v>
      </c>
      <c r="O3" s="9" t="s">
        <v>2396</v>
      </c>
      <c r="P3" s="9" t="s">
        <v>3044</v>
      </c>
      <c r="Q3" s="58" t="s">
        <v>3045</v>
      </c>
      <c r="R3" s="58">
        <v>1</v>
      </c>
      <c r="S3" s="58">
        <v>8</v>
      </c>
      <c r="T3" s="9" t="s">
        <v>2396</v>
      </c>
      <c r="U3" s="9" t="s">
        <v>3048</v>
      </c>
      <c r="V3" s="58">
        <v>1</v>
      </c>
      <c r="W3" s="9"/>
      <c r="X3" s="9"/>
      <c r="Y3" s="9"/>
      <c r="Z3" s="9"/>
    </row>
    <row r="4" spans="1:26" ht="15.75" hidden="1" customHeight="1">
      <c r="A4" s="9" t="s">
        <v>123</v>
      </c>
      <c r="B4" s="9" t="s">
        <v>3049</v>
      </c>
      <c r="C4" s="9" t="s">
        <v>1006</v>
      </c>
      <c r="D4" s="9" t="s">
        <v>439</v>
      </c>
      <c r="E4" s="9"/>
      <c r="F4" s="9"/>
      <c r="G4" s="58">
        <v>13600</v>
      </c>
      <c r="H4" s="85">
        <v>3.5294117647058802E-2</v>
      </c>
      <c r="I4" s="9">
        <v>9.1999999999999993</v>
      </c>
      <c r="J4" s="9"/>
      <c r="K4" s="9"/>
      <c r="L4" s="9"/>
      <c r="M4" s="9"/>
      <c r="N4" s="9" t="s">
        <v>3050</v>
      </c>
      <c r="O4" s="9" t="s">
        <v>3051</v>
      </c>
      <c r="P4" s="9" t="s">
        <v>3052</v>
      </c>
      <c r="Q4" s="58" t="s">
        <v>3053</v>
      </c>
      <c r="R4" s="58">
        <v>1</v>
      </c>
      <c r="S4" s="58">
        <v>8</v>
      </c>
      <c r="T4" s="9" t="s">
        <v>3054</v>
      </c>
      <c r="U4" s="9" t="s">
        <v>3055</v>
      </c>
      <c r="V4" s="58">
        <v>1</v>
      </c>
      <c r="W4" s="9"/>
      <c r="X4" s="9"/>
      <c r="Y4" s="9"/>
      <c r="Z4" s="9"/>
    </row>
    <row r="5" spans="1:26" ht="15.75" hidden="1" customHeight="1">
      <c r="A5" s="9" t="s">
        <v>123</v>
      </c>
      <c r="B5" s="9" t="s">
        <v>3049</v>
      </c>
      <c r="C5" s="9" t="s">
        <v>1006</v>
      </c>
      <c r="D5" s="9" t="s">
        <v>368</v>
      </c>
      <c r="E5" s="9" t="s">
        <v>3056</v>
      </c>
      <c r="F5" s="58" t="s">
        <v>3057</v>
      </c>
      <c r="G5" s="58">
        <v>11900</v>
      </c>
      <c r="H5" s="85">
        <v>0.14117647058823499</v>
      </c>
      <c r="I5" s="9">
        <v>9.1999999999999993</v>
      </c>
      <c r="J5" s="9"/>
      <c r="K5" s="9"/>
      <c r="L5" s="9"/>
      <c r="M5" s="9"/>
      <c r="N5" s="9" t="s">
        <v>3050</v>
      </c>
      <c r="O5" s="9" t="s">
        <v>3051</v>
      </c>
      <c r="P5" s="9" t="s">
        <v>3058</v>
      </c>
      <c r="Q5" s="58" t="s">
        <v>3053</v>
      </c>
      <c r="R5" s="58">
        <v>4</v>
      </c>
      <c r="S5" s="58">
        <v>7</v>
      </c>
      <c r="T5" s="9" t="s">
        <v>3054</v>
      </c>
      <c r="U5" s="9" t="s">
        <v>3059</v>
      </c>
      <c r="V5" s="58">
        <v>4</v>
      </c>
      <c r="W5" s="9"/>
      <c r="X5" s="9"/>
      <c r="Y5" s="9"/>
      <c r="Z5" s="9"/>
    </row>
    <row r="6" spans="1:26" ht="15.75" hidden="1" customHeight="1">
      <c r="A6" s="9" t="s">
        <v>50</v>
      </c>
      <c r="B6" s="9" t="s">
        <v>3060</v>
      </c>
      <c r="C6" s="9" t="s">
        <v>3061</v>
      </c>
      <c r="D6" s="9" t="s">
        <v>439</v>
      </c>
      <c r="E6" s="9"/>
      <c r="F6" s="9"/>
      <c r="G6" s="58">
        <v>10400</v>
      </c>
      <c r="H6" s="85">
        <v>4.6153846153846101E-2</v>
      </c>
      <c r="I6" s="9">
        <v>90</v>
      </c>
      <c r="J6" s="9"/>
      <c r="K6" s="9"/>
      <c r="L6" s="9"/>
      <c r="M6" s="9"/>
      <c r="N6" s="9" t="s">
        <v>3062</v>
      </c>
      <c r="O6" s="9" t="s">
        <v>3051</v>
      </c>
      <c r="P6" s="9" t="s">
        <v>3063</v>
      </c>
      <c r="Q6" s="58" t="s">
        <v>3064</v>
      </c>
      <c r="R6" s="58">
        <v>1</v>
      </c>
      <c r="S6" s="58">
        <v>8</v>
      </c>
      <c r="T6" s="9" t="s">
        <v>3065</v>
      </c>
      <c r="U6" s="9" t="s">
        <v>3066</v>
      </c>
      <c r="V6" s="58">
        <v>1</v>
      </c>
      <c r="W6" s="9"/>
      <c r="X6" s="9"/>
      <c r="Y6" s="9"/>
      <c r="Z6" s="9"/>
    </row>
    <row r="7" spans="1:26" ht="15.75" hidden="1" customHeight="1">
      <c r="A7" s="9" t="s">
        <v>50</v>
      </c>
      <c r="B7" s="9" t="s">
        <v>3060</v>
      </c>
      <c r="C7" s="9" t="s">
        <v>3061</v>
      </c>
      <c r="D7" s="9" t="s">
        <v>368</v>
      </c>
      <c r="E7" s="9" t="s">
        <v>3067</v>
      </c>
      <c r="F7" s="58" t="s">
        <v>3057</v>
      </c>
      <c r="G7" s="58">
        <v>6300</v>
      </c>
      <c r="H7" s="85">
        <v>0.266666666666666</v>
      </c>
      <c r="I7" s="9">
        <v>90</v>
      </c>
      <c r="J7" s="9"/>
      <c r="K7" s="9"/>
      <c r="L7" s="9"/>
      <c r="M7" s="9"/>
      <c r="N7" s="9" t="s">
        <v>3062</v>
      </c>
      <c r="O7" s="9" t="s">
        <v>3051</v>
      </c>
      <c r="P7" s="9" t="s">
        <v>3068</v>
      </c>
      <c r="Q7" s="58" t="s">
        <v>3069</v>
      </c>
      <c r="R7" s="58">
        <v>4</v>
      </c>
      <c r="S7" s="58">
        <v>7</v>
      </c>
      <c r="T7" s="9" t="s">
        <v>3065</v>
      </c>
      <c r="U7" s="9" t="s">
        <v>3070</v>
      </c>
      <c r="V7" s="58">
        <v>4</v>
      </c>
      <c r="W7" s="9"/>
      <c r="X7" s="9"/>
      <c r="Y7" s="9"/>
      <c r="Z7" s="9"/>
    </row>
    <row r="8" spans="1:26" ht="15.75" hidden="1" customHeight="1">
      <c r="A8" s="9" t="s">
        <v>279</v>
      </c>
      <c r="B8" s="9" t="s">
        <v>3071</v>
      </c>
      <c r="C8" s="9" t="s">
        <v>280</v>
      </c>
      <c r="D8" s="9" t="s">
        <v>439</v>
      </c>
      <c r="E8" s="9"/>
      <c r="F8" s="9"/>
      <c r="G8" s="58">
        <v>9600</v>
      </c>
      <c r="H8" s="85">
        <v>0.05</v>
      </c>
      <c r="I8" s="9">
        <v>50</v>
      </c>
      <c r="J8" s="9"/>
      <c r="K8" s="9"/>
      <c r="L8" s="9"/>
      <c r="M8" s="9"/>
      <c r="N8" s="9" t="s">
        <v>3072</v>
      </c>
      <c r="O8" s="9" t="s">
        <v>3051</v>
      </c>
      <c r="P8" s="9" t="s">
        <v>3073</v>
      </c>
      <c r="Q8" s="58" t="s">
        <v>3074</v>
      </c>
      <c r="R8" s="58">
        <v>1</v>
      </c>
      <c r="S8" s="58">
        <v>8</v>
      </c>
      <c r="T8" s="9" t="s">
        <v>3065</v>
      </c>
      <c r="U8" s="9" t="s">
        <v>3075</v>
      </c>
      <c r="V8" s="58">
        <v>1</v>
      </c>
      <c r="W8" s="9"/>
      <c r="X8" s="9"/>
      <c r="Y8" s="9"/>
      <c r="Z8" s="9"/>
    </row>
    <row r="9" spans="1:26" ht="15.75" hidden="1" customHeight="1">
      <c r="A9" s="9" t="s">
        <v>279</v>
      </c>
      <c r="B9" s="9" t="s">
        <v>3071</v>
      </c>
      <c r="C9" s="9" t="s">
        <v>280</v>
      </c>
      <c r="D9" s="9" t="s">
        <v>368</v>
      </c>
      <c r="E9" s="9" t="s">
        <v>3067</v>
      </c>
      <c r="F9" s="58" t="s">
        <v>3057</v>
      </c>
      <c r="G9" s="58">
        <v>7700</v>
      </c>
      <c r="H9" s="85">
        <v>0.218181818181818</v>
      </c>
      <c r="I9" s="9">
        <v>50</v>
      </c>
      <c r="J9" s="9"/>
      <c r="K9" s="9"/>
      <c r="L9" s="9"/>
      <c r="M9" s="9"/>
      <c r="N9" s="9" t="s">
        <v>3072</v>
      </c>
      <c r="O9" s="9" t="s">
        <v>3051</v>
      </c>
      <c r="P9" s="9" t="s">
        <v>3076</v>
      </c>
      <c r="Q9" s="58" t="s">
        <v>3077</v>
      </c>
      <c r="R9" s="58">
        <v>4</v>
      </c>
      <c r="S9" s="58">
        <v>7</v>
      </c>
      <c r="T9" s="9" t="s">
        <v>3065</v>
      </c>
      <c r="U9" s="9" t="s">
        <v>3078</v>
      </c>
      <c r="V9" s="58">
        <v>4</v>
      </c>
      <c r="W9" s="9"/>
      <c r="X9" s="9"/>
      <c r="Y9" s="9"/>
      <c r="Z9" s="9"/>
    </row>
    <row r="10" spans="1:26" ht="15.75" hidden="1" customHeight="1">
      <c r="A10" s="9" t="s">
        <v>126</v>
      </c>
      <c r="B10" s="9" t="s">
        <v>3079</v>
      </c>
      <c r="C10" s="9" t="s">
        <v>127</v>
      </c>
      <c r="D10" s="9" t="s">
        <v>439</v>
      </c>
      <c r="E10" s="9"/>
      <c r="F10" s="9"/>
      <c r="G10" s="58">
        <v>6880</v>
      </c>
      <c r="H10" s="85">
        <v>6.9767441860465101E-2</v>
      </c>
      <c r="I10" s="9">
        <v>416.6</v>
      </c>
      <c r="J10" s="9"/>
      <c r="K10" s="9"/>
      <c r="L10" s="9"/>
      <c r="M10" s="9"/>
      <c r="N10" s="9" t="s">
        <v>3080</v>
      </c>
      <c r="O10" s="9" t="s">
        <v>3081</v>
      </c>
      <c r="P10" s="9" t="s">
        <v>3082</v>
      </c>
      <c r="Q10" s="58" t="s">
        <v>3083</v>
      </c>
      <c r="R10" s="58">
        <v>1</v>
      </c>
      <c r="S10" s="58">
        <v>8</v>
      </c>
      <c r="T10" s="9" t="s">
        <v>3084</v>
      </c>
      <c r="U10" s="9" t="s">
        <v>3085</v>
      </c>
      <c r="V10" s="58">
        <v>1</v>
      </c>
      <c r="W10" s="9"/>
      <c r="X10" s="9"/>
      <c r="Y10" s="9"/>
      <c r="Z10" s="9"/>
    </row>
    <row r="11" spans="1:26" ht="15.75" hidden="1" customHeight="1">
      <c r="A11" s="9" t="s">
        <v>126</v>
      </c>
      <c r="B11" s="9" t="s">
        <v>3079</v>
      </c>
      <c r="C11" s="9" t="s">
        <v>127</v>
      </c>
      <c r="D11" s="9" t="s">
        <v>368</v>
      </c>
      <c r="E11" s="9" t="s">
        <v>3086</v>
      </c>
      <c r="F11" s="58" t="s">
        <v>3087</v>
      </c>
      <c r="G11" s="58">
        <v>3080</v>
      </c>
      <c r="H11" s="85">
        <v>0.40909090909090901</v>
      </c>
      <c r="I11" s="9">
        <v>416.6</v>
      </c>
      <c r="J11" s="9"/>
      <c r="K11" s="9"/>
      <c r="L11" s="9"/>
      <c r="M11" s="9"/>
      <c r="N11" s="9" t="s">
        <v>3080</v>
      </c>
      <c r="O11" s="9" t="s">
        <v>3081</v>
      </c>
      <c r="P11" s="9" t="s">
        <v>3088</v>
      </c>
      <c r="Q11" s="58" t="s">
        <v>3089</v>
      </c>
      <c r="R11" s="58">
        <v>3</v>
      </c>
      <c r="S11" s="58">
        <v>7</v>
      </c>
      <c r="T11" s="9" t="s">
        <v>3084</v>
      </c>
      <c r="U11" s="9" t="s">
        <v>3090</v>
      </c>
      <c r="V11" s="58">
        <v>3</v>
      </c>
      <c r="W11" s="9"/>
      <c r="X11" s="9"/>
      <c r="Y11" s="9"/>
      <c r="Z11" s="9"/>
    </row>
    <row r="12" spans="1:26" ht="15.75" hidden="1" customHeight="1">
      <c r="A12" s="9" t="s">
        <v>173</v>
      </c>
      <c r="B12" s="9" t="s">
        <v>3091</v>
      </c>
      <c r="C12" s="9" t="s">
        <v>174</v>
      </c>
      <c r="D12" s="9" t="s">
        <v>368</v>
      </c>
      <c r="E12" s="9" t="s">
        <v>3092</v>
      </c>
      <c r="F12" s="58" t="s">
        <v>3087</v>
      </c>
      <c r="G12" s="58">
        <v>5250</v>
      </c>
      <c r="H12" s="85">
        <v>0.32</v>
      </c>
      <c r="I12" s="9">
        <v>40</v>
      </c>
      <c r="J12" s="9"/>
      <c r="K12" s="9"/>
      <c r="L12" s="9"/>
      <c r="M12" s="9"/>
      <c r="N12" s="9" t="s">
        <v>3093</v>
      </c>
      <c r="O12" s="9" t="s">
        <v>3081</v>
      </c>
      <c r="P12" s="9" t="s">
        <v>3094</v>
      </c>
      <c r="Q12" s="58" t="s">
        <v>3095</v>
      </c>
      <c r="R12" s="58">
        <v>4</v>
      </c>
      <c r="S12" s="58">
        <v>7</v>
      </c>
      <c r="T12" s="9" t="s">
        <v>3096</v>
      </c>
      <c r="U12" s="9" t="s">
        <v>3097</v>
      </c>
      <c r="V12" s="58">
        <v>4</v>
      </c>
      <c r="W12" s="9"/>
      <c r="X12" s="9"/>
      <c r="Y12" s="9"/>
      <c r="Z12" s="9"/>
    </row>
    <row r="13" spans="1:26" ht="15.75" hidden="1" customHeight="1">
      <c r="A13" s="9" t="s">
        <v>2504</v>
      </c>
      <c r="B13" s="9" t="s">
        <v>3098</v>
      </c>
      <c r="C13" s="9" t="s">
        <v>1006</v>
      </c>
      <c r="D13" s="9" t="s">
        <v>439</v>
      </c>
      <c r="E13" s="9"/>
      <c r="F13" s="9"/>
      <c r="G13" s="58">
        <v>23200</v>
      </c>
      <c r="H13" s="85">
        <v>2.0689655172413699E-2</v>
      </c>
      <c r="I13" s="9">
        <v>9.1999999999999993</v>
      </c>
      <c r="J13" s="9"/>
      <c r="K13" s="9"/>
      <c r="L13" s="9"/>
      <c r="M13" s="9"/>
      <c r="N13" s="9" t="s">
        <v>3050</v>
      </c>
      <c r="O13" s="9" t="s">
        <v>3051</v>
      </c>
      <c r="P13" s="9" t="s">
        <v>3099</v>
      </c>
      <c r="Q13" s="58" t="s">
        <v>3100</v>
      </c>
      <c r="R13" s="58">
        <v>1</v>
      </c>
      <c r="S13" s="58">
        <v>8</v>
      </c>
      <c r="T13" s="9" t="s">
        <v>3054</v>
      </c>
      <c r="U13" s="9" t="s">
        <v>3101</v>
      </c>
      <c r="V13" s="58">
        <v>1</v>
      </c>
      <c r="W13" s="9"/>
      <c r="X13" s="9"/>
      <c r="Y13" s="9"/>
      <c r="Z13" s="9"/>
    </row>
    <row r="14" spans="1:26" ht="15.75" hidden="1" customHeight="1">
      <c r="A14" s="9" t="s">
        <v>2504</v>
      </c>
      <c r="B14" s="9" t="s">
        <v>3098</v>
      </c>
      <c r="C14" s="9" t="s">
        <v>1006</v>
      </c>
      <c r="D14" s="9" t="s">
        <v>368</v>
      </c>
      <c r="E14" s="9" t="s">
        <v>3067</v>
      </c>
      <c r="F14" s="58" t="s">
        <v>3057</v>
      </c>
      <c r="G14" s="58">
        <v>11900</v>
      </c>
      <c r="H14" s="85">
        <v>0.14117647058823499</v>
      </c>
      <c r="I14" s="9">
        <v>9.1999999999999993</v>
      </c>
      <c r="J14" s="9"/>
      <c r="K14" s="9"/>
      <c r="L14" s="9"/>
      <c r="M14" s="9"/>
      <c r="N14" s="9" t="s">
        <v>3050</v>
      </c>
      <c r="O14" s="9" t="s">
        <v>3051</v>
      </c>
      <c r="P14" s="9" t="s">
        <v>3102</v>
      </c>
      <c r="Q14" s="58" t="s">
        <v>3053</v>
      </c>
      <c r="R14" s="58">
        <v>4</v>
      </c>
      <c r="S14" s="58">
        <v>7</v>
      </c>
      <c r="T14" s="9" t="s">
        <v>3054</v>
      </c>
      <c r="U14" s="9" t="s">
        <v>3103</v>
      </c>
      <c r="V14" s="58">
        <v>4</v>
      </c>
      <c r="W14" s="9"/>
      <c r="X14" s="9"/>
      <c r="Y14" s="9"/>
      <c r="Z14" s="9"/>
    </row>
    <row r="15" spans="1:26" ht="15.75" hidden="1" customHeight="1">
      <c r="A15" s="9" t="s">
        <v>1037</v>
      </c>
      <c r="B15" s="9" t="s">
        <v>3104</v>
      </c>
      <c r="C15" s="9" t="s">
        <v>955</v>
      </c>
      <c r="D15" s="9" t="s">
        <v>368</v>
      </c>
      <c r="E15" s="9" t="s">
        <v>3092</v>
      </c>
      <c r="F15" s="58" t="s">
        <v>3087</v>
      </c>
      <c r="G15" s="58">
        <v>6300</v>
      </c>
      <c r="H15" s="85">
        <v>0.266666666666666</v>
      </c>
      <c r="I15" s="9">
        <v>47.2</v>
      </c>
      <c r="J15" s="9"/>
      <c r="K15" s="9"/>
      <c r="L15" s="9"/>
      <c r="M15" s="9"/>
      <c r="N15" s="9" t="s">
        <v>3105</v>
      </c>
      <c r="O15" s="9" t="s">
        <v>3081</v>
      </c>
      <c r="P15" s="9" t="s">
        <v>3106</v>
      </c>
      <c r="Q15" s="58" t="s">
        <v>3069</v>
      </c>
      <c r="R15" s="58">
        <v>4</v>
      </c>
      <c r="S15" s="58">
        <v>7</v>
      </c>
      <c r="T15" s="9" t="s">
        <v>3107</v>
      </c>
      <c r="U15" s="9" t="s">
        <v>3108</v>
      </c>
      <c r="V15" s="58">
        <v>4</v>
      </c>
      <c r="W15" s="9"/>
      <c r="X15" s="9"/>
      <c r="Y15" s="9"/>
      <c r="Z15" s="9"/>
    </row>
    <row r="16" spans="1:26" ht="15.75" hidden="1" customHeight="1">
      <c r="A16" s="9" t="s">
        <v>1042</v>
      </c>
      <c r="B16" s="9" t="s">
        <v>3109</v>
      </c>
      <c r="C16" s="9" t="s">
        <v>1044</v>
      </c>
      <c r="D16" s="9" t="s">
        <v>439</v>
      </c>
      <c r="E16" s="9"/>
      <c r="F16" s="9"/>
      <c r="G16" s="58">
        <v>9600</v>
      </c>
      <c r="H16" s="85">
        <v>0.05</v>
      </c>
      <c r="I16" s="9">
        <v>50.2</v>
      </c>
      <c r="J16" s="9"/>
      <c r="K16" s="9"/>
      <c r="L16" s="9"/>
      <c r="M16" s="9"/>
      <c r="N16" s="9" t="s">
        <v>3110</v>
      </c>
      <c r="O16" s="9" t="s">
        <v>3051</v>
      </c>
      <c r="P16" s="9" t="s">
        <v>3111</v>
      </c>
      <c r="Q16" s="58" t="s">
        <v>3074</v>
      </c>
      <c r="R16" s="58">
        <v>1</v>
      </c>
      <c r="S16" s="58">
        <v>8</v>
      </c>
      <c r="T16" s="9" t="s">
        <v>3065</v>
      </c>
      <c r="U16" s="9" t="s">
        <v>3112</v>
      </c>
      <c r="V16" s="58">
        <v>1</v>
      </c>
      <c r="W16" s="9"/>
      <c r="X16" s="9"/>
      <c r="Y16" s="9"/>
      <c r="Z16" s="9"/>
    </row>
    <row r="17" spans="1:26" ht="15.75" hidden="1" customHeight="1">
      <c r="A17" s="9" t="s">
        <v>1042</v>
      </c>
      <c r="B17" s="9" t="s">
        <v>3109</v>
      </c>
      <c r="C17" s="9" t="s">
        <v>1044</v>
      </c>
      <c r="D17" s="9" t="s">
        <v>368</v>
      </c>
      <c r="E17" s="9" t="s">
        <v>3113</v>
      </c>
      <c r="F17" s="58" t="s">
        <v>3057</v>
      </c>
      <c r="G17" s="58">
        <v>6300</v>
      </c>
      <c r="H17" s="85">
        <v>0.266666666666666</v>
      </c>
      <c r="I17" s="9">
        <v>50.2</v>
      </c>
      <c r="J17" s="9"/>
      <c r="K17" s="9"/>
      <c r="L17" s="9"/>
      <c r="M17" s="9"/>
      <c r="N17" s="9" t="s">
        <v>3110</v>
      </c>
      <c r="O17" s="9" t="s">
        <v>3051</v>
      </c>
      <c r="P17" s="9" t="s">
        <v>3114</v>
      </c>
      <c r="Q17" s="58" t="s">
        <v>3069</v>
      </c>
      <c r="R17" s="58">
        <v>4</v>
      </c>
      <c r="S17" s="58">
        <v>7</v>
      </c>
      <c r="T17" s="9" t="s">
        <v>3065</v>
      </c>
      <c r="U17" s="9" t="s">
        <v>3115</v>
      </c>
      <c r="V17" s="58">
        <v>4</v>
      </c>
      <c r="W17" s="9"/>
      <c r="X17" s="9"/>
      <c r="Y17" s="9"/>
      <c r="Z17" s="9"/>
    </row>
    <row r="18" spans="1:26" ht="15.75" hidden="1" customHeight="1">
      <c r="A18" s="9" t="s">
        <v>136</v>
      </c>
      <c r="B18" s="9" t="s">
        <v>3116</v>
      </c>
      <c r="C18" s="9" t="s">
        <v>137</v>
      </c>
      <c r="D18" s="9" t="s">
        <v>439</v>
      </c>
      <c r="E18" s="9"/>
      <c r="F18" s="9"/>
      <c r="G18" s="58">
        <v>3520</v>
      </c>
      <c r="H18" s="85">
        <v>0.13636363636363599</v>
      </c>
      <c r="I18" s="9">
        <v>120</v>
      </c>
      <c r="J18" s="9"/>
      <c r="K18" s="9"/>
      <c r="L18" s="9"/>
      <c r="M18" s="9"/>
      <c r="N18" s="9" t="s">
        <v>3117</v>
      </c>
      <c r="O18" s="9" t="s">
        <v>3051</v>
      </c>
      <c r="P18" s="9" t="s">
        <v>3118</v>
      </c>
      <c r="Q18" s="58" t="s">
        <v>3089</v>
      </c>
      <c r="R18" s="58">
        <v>1</v>
      </c>
      <c r="S18" s="58">
        <v>8</v>
      </c>
      <c r="T18" s="9" t="s">
        <v>3119</v>
      </c>
      <c r="U18" s="9" t="s">
        <v>3120</v>
      </c>
      <c r="V18" s="58">
        <v>1</v>
      </c>
      <c r="W18" s="9"/>
      <c r="X18" s="9"/>
      <c r="Y18" s="9"/>
      <c r="Z18" s="9"/>
    </row>
    <row r="19" spans="1:26" ht="15.75" hidden="1" customHeight="1">
      <c r="A19" s="9" t="s">
        <v>136</v>
      </c>
      <c r="B19" s="9" t="s">
        <v>3116</v>
      </c>
      <c r="C19" s="9" t="s">
        <v>137</v>
      </c>
      <c r="D19" s="9" t="s">
        <v>368</v>
      </c>
      <c r="E19" s="9" t="s">
        <v>3067</v>
      </c>
      <c r="F19" s="58" t="s">
        <v>3057</v>
      </c>
      <c r="G19" s="58">
        <v>4200</v>
      </c>
      <c r="H19" s="85">
        <v>0.4</v>
      </c>
      <c r="I19" s="9">
        <v>120</v>
      </c>
      <c r="J19" s="9"/>
      <c r="K19" s="9"/>
      <c r="L19" s="9"/>
      <c r="M19" s="9"/>
      <c r="N19" s="9" t="s">
        <v>3117</v>
      </c>
      <c r="O19" s="9" t="s">
        <v>3051</v>
      </c>
      <c r="P19" s="9" t="s">
        <v>3121</v>
      </c>
      <c r="Q19" s="58" t="s">
        <v>3122</v>
      </c>
      <c r="R19" s="58">
        <v>4</v>
      </c>
      <c r="S19" s="58">
        <v>7</v>
      </c>
      <c r="T19" s="9" t="s">
        <v>3119</v>
      </c>
      <c r="U19" s="9" t="s">
        <v>3123</v>
      </c>
      <c r="V19" s="58">
        <v>4</v>
      </c>
      <c r="W19" s="9"/>
      <c r="X19" s="9"/>
      <c r="Y19" s="9"/>
      <c r="Z19" s="9"/>
    </row>
    <row r="20" spans="1:26" ht="15.75" hidden="1" customHeight="1">
      <c r="A20" s="9" t="s">
        <v>1054</v>
      </c>
      <c r="B20" s="9" t="s">
        <v>3124</v>
      </c>
      <c r="C20" s="9" t="s">
        <v>769</v>
      </c>
      <c r="D20" s="9" t="s">
        <v>439</v>
      </c>
      <c r="E20" s="9"/>
      <c r="F20" s="9"/>
      <c r="G20" s="58">
        <v>8800</v>
      </c>
      <c r="H20" s="85">
        <v>5.4545454545454501E-2</v>
      </c>
      <c r="I20" s="9">
        <v>150</v>
      </c>
      <c r="J20" s="9"/>
      <c r="K20" s="9"/>
      <c r="L20" s="9"/>
      <c r="M20" s="9"/>
      <c r="N20" s="9" t="s">
        <v>3105</v>
      </c>
      <c r="O20" s="9" t="s">
        <v>3081</v>
      </c>
      <c r="P20" s="9" t="s">
        <v>3125</v>
      </c>
      <c r="Q20" s="58" t="s">
        <v>3077</v>
      </c>
      <c r="R20" s="58">
        <v>1</v>
      </c>
      <c r="S20" s="58">
        <v>8</v>
      </c>
      <c r="T20" s="9" t="s">
        <v>3065</v>
      </c>
      <c r="U20" s="9" t="s">
        <v>3126</v>
      </c>
      <c r="V20" s="58">
        <v>1</v>
      </c>
      <c r="W20" s="9"/>
      <c r="X20" s="9"/>
      <c r="Y20" s="9"/>
      <c r="Z20" s="9"/>
    </row>
    <row r="21" spans="1:26" ht="15.75" hidden="1" customHeight="1">
      <c r="A21" s="9" t="s">
        <v>1054</v>
      </c>
      <c r="B21" s="9" t="s">
        <v>3124</v>
      </c>
      <c r="C21" s="9" t="s">
        <v>769</v>
      </c>
      <c r="D21" s="9" t="s">
        <v>368</v>
      </c>
      <c r="E21" s="9" t="s">
        <v>3092</v>
      </c>
      <c r="F21" s="58" t="s">
        <v>3087</v>
      </c>
      <c r="G21" s="58">
        <v>4200</v>
      </c>
      <c r="H21" s="85">
        <v>0.4</v>
      </c>
      <c r="I21" s="9">
        <v>150</v>
      </c>
      <c r="J21" s="9"/>
      <c r="K21" s="9"/>
      <c r="L21" s="9"/>
      <c r="M21" s="9"/>
      <c r="N21" s="9" t="s">
        <v>3105</v>
      </c>
      <c r="O21" s="9" t="s">
        <v>3081</v>
      </c>
      <c r="P21" s="9" t="s">
        <v>3127</v>
      </c>
      <c r="Q21" s="58" t="s">
        <v>3122</v>
      </c>
      <c r="R21" s="58">
        <v>4</v>
      </c>
      <c r="S21" s="58">
        <v>7</v>
      </c>
      <c r="T21" s="9" t="s">
        <v>3065</v>
      </c>
      <c r="U21" s="9" t="s">
        <v>3128</v>
      </c>
      <c r="V21" s="58">
        <v>4</v>
      </c>
      <c r="W21" s="9"/>
      <c r="X21" s="9"/>
      <c r="Y21" s="9"/>
      <c r="Z21" s="9"/>
    </row>
    <row r="22" spans="1:26" ht="15.75" hidden="1" customHeight="1">
      <c r="A22" s="9" t="s">
        <v>160</v>
      </c>
      <c r="B22" s="9" t="s">
        <v>3129</v>
      </c>
      <c r="C22" s="9" t="s">
        <v>161</v>
      </c>
      <c r="D22" s="9" t="s">
        <v>368</v>
      </c>
      <c r="E22" s="9" t="s">
        <v>3067</v>
      </c>
      <c r="F22" s="58" t="s">
        <v>3057</v>
      </c>
      <c r="G22" s="58">
        <v>5950</v>
      </c>
      <c r="H22" s="85">
        <v>0.28235294117646997</v>
      </c>
      <c r="I22" s="9">
        <v>60</v>
      </c>
      <c r="J22" s="9"/>
      <c r="K22" s="9"/>
      <c r="L22" s="9"/>
      <c r="M22" s="9"/>
      <c r="N22" s="9" t="s">
        <v>3130</v>
      </c>
      <c r="O22" s="9" t="s">
        <v>3081</v>
      </c>
      <c r="P22" s="9" t="s">
        <v>3131</v>
      </c>
      <c r="Q22" s="58" t="s">
        <v>3132</v>
      </c>
      <c r="R22" s="58">
        <v>4</v>
      </c>
      <c r="S22" s="58">
        <v>7</v>
      </c>
      <c r="T22" s="9" t="s">
        <v>3133</v>
      </c>
      <c r="U22" s="9" t="s">
        <v>3134</v>
      </c>
      <c r="V22" s="58">
        <v>4</v>
      </c>
      <c r="W22" s="9"/>
      <c r="X22" s="9"/>
      <c r="Y22" s="9"/>
      <c r="Z22" s="9"/>
    </row>
    <row r="23" spans="1:26" ht="15.75" customHeight="1">
      <c r="A23" s="9" t="s">
        <v>195</v>
      </c>
      <c r="B23" s="9" t="s">
        <v>3135</v>
      </c>
      <c r="C23" s="9" t="s">
        <v>196</v>
      </c>
      <c r="D23" s="9" t="s">
        <v>559</v>
      </c>
      <c r="E23" s="9" t="s">
        <v>3042</v>
      </c>
      <c r="F23" s="58" t="s">
        <v>3043</v>
      </c>
      <c r="G23" s="58">
        <v>8508</v>
      </c>
      <c r="H23" s="85">
        <v>4.2313117066290498E-2</v>
      </c>
      <c r="I23" s="9">
        <v>8</v>
      </c>
      <c r="J23" s="9"/>
      <c r="K23" s="9"/>
      <c r="L23" s="9"/>
      <c r="M23" s="9"/>
      <c r="N23" s="9" t="s">
        <v>3136</v>
      </c>
      <c r="O23" s="9" t="s">
        <v>3051</v>
      </c>
      <c r="P23" s="9" t="s">
        <v>3137</v>
      </c>
      <c r="Q23" s="58">
        <v>1418</v>
      </c>
      <c r="R23" s="58">
        <v>1</v>
      </c>
      <c r="S23" s="58">
        <v>6</v>
      </c>
      <c r="T23" s="9" t="s">
        <v>3065</v>
      </c>
      <c r="U23" s="9" t="s">
        <v>3138</v>
      </c>
      <c r="V23" s="58">
        <v>1</v>
      </c>
      <c r="W23" s="9"/>
      <c r="X23" s="9"/>
      <c r="Y23" s="9"/>
      <c r="Z23" s="9"/>
    </row>
    <row r="24" spans="1:26" ht="15.75" hidden="1" customHeight="1">
      <c r="A24" s="9" t="s">
        <v>195</v>
      </c>
      <c r="B24" s="9" t="s">
        <v>3135</v>
      </c>
      <c r="C24" s="9" t="s">
        <v>196</v>
      </c>
      <c r="D24" s="9" t="s">
        <v>439</v>
      </c>
      <c r="E24" s="9"/>
      <c r="F24" s="9"/>
      <c r="G24" s="58">
        <v>14800</v>
      </c>
      <c r="H24" s="85">
        <v>3.24324324324324E-2</v>
      </c>
      <c r="I24" s="9">
        <v>8</v>
      </c>
      <c r="J24" s="9"/>
      <c r="K24" s="9"/>
      <c r="L24" s="9"/>
      <c r="M24" s="9"/>
      <c r="N24" s="9" t="s">
        <v>3136</v>
      </c>
      <c r="O24" s="9" t="s">
        <v>3051</v>
      </c>
      <c r="P24" s="9" t="s">
        <v>3139</v>
      </c>
      <c r="Q24" s="58" t="s">
        <v>3140</v>
      </c>
      <c r="R24" s="58">
        <v>1</v>
      </c>
      <c r="S24" s="58">
        <v>8</v>
      </c>
      <c r="T24" s="9" t="s">
        <v>3065</v>
      </c>
      <c r="U24" s="9" t="s">
        <v>3141</v>
      </c>
      <c r="V24" s="58">
        <v>1</v>
      </c>
      <c r="W24" s="9"/>
      <c r="X24" s="9"/>
      <c r="Y24" s="9"/>
      <c r="Z24" s="9"/>
    </row>
    <row r="25" spans="1:26" ht="15.75" hidden="1" customHeight="1">
      <c r="A25" s="9" t="s">
        <v>195</v>
      </c>
      <c r="B25" s="9" t="s">
        <v>3135</v>
      </c>
      <c r="C25" s="9" t="s">
        <v>196</v>
      </c>
      <c r="D25" s="9" t="s">
        <v>368</v>
      </c>
      <c r="E25" s="9" t="s">
        <v>3067</v>
      </c>
      <c r="F25" s="58" t="s">
        <v>3057</v>
      </c>
      <c r="G25" s="58">
        <v>10500</v>
      </c>
      <c r="H25" s="85">
        <v>0.16</v>
      </c>
      <c r="I25" s="9">
        <v>8</v>
      </c>
      <c r="J25" s="9"/>
      <c r="K25" s="9"/>
      <c r="L25" s="9"/>
      <c r="M25" s="9"/>
      <c r="N25" s="9" t="s">
        <v>3136</v>
      </c>
      <c r="O25" s="9" t="s">
        <v>3051</v>
      </c>
      <c r="P25" s="9" t="s">
        <v>3142</v>
      </c>
      <c r="Q25" s="58" t="s">
        <v>3143</v>
      </c>
      <c r="R25" s="58">
        <v>4</v>
      </c>
      <c r="S25" s="58">
        <v>7</v>
      </c>
      <c r="T25" s="9" t="s">
        <v>3065</v>
      </c>
      <c r="U25" s="9" t="s">
        <v>3144</v>
      </c>
      <c r="V25" s="58">
        <v>4</v>
      </c>
      <c r="W25" s="9"/>
      <c r="X25" s="9"/>
      <c r="Y25" s="9"/>
      <c r="Z25" s="9"/>
    </row>
    <row r="26" spans="1:26" ht="15.75" customHeight="1">
      <c r="A26" s="9" t="s">
        <v>1067</v>
      </c>
      <c r="B26" s="9" t="s">
        <v>3145</v>
      </c>
      <c r="C26" s="9" t="s">
        <v>765</v>
      </c>
      <c r="D26" s="9" t="s">
        <v>559</v>
      </c>
      <c r="E26" s="9" t="s">
        <v>3042</v>
      </c>
      <c r="F26" s="58" t="s">
        <v>3146</v>
      </c>
      <c r="G26" s="58">
        <v>8508</v>
      </c>
      <c r="H26" s="85">
        <v>4.2313117066290498E-2</v>
      </c>
      <c r="I26" s="9">
        <v>8</v>
      </c>
      <c r="J26" s="9"/>
      <c r="K26" s="9"/>
      <c r="L26" s="9"/>
      <c r="M26" s="9"/>
      <c r="N26" s="9" t="s">
        <v>3136</v>
      </c>
      <c r="O26" s="9" t="s">
        <v>3051</v>
      </c>
      <c r="P26" s="9" t="s">
        <v>3137</v>
      </c>
      <c r="Q26" s="58">
        <v>1418</v>
      </c>
      <c r="R26" s="58">
        <v>1</v>
      </c>
      <c r="S26" s="58">
        <v>6</v>
      </c>
      <c r="T26" s="9" t="s">
        <v>3065</v>
      </c>
      <c r="U26" s="9" t="s">
        <v>3147</v>
      </c>
      <c r="V26" s="58">
        <v>1</v>
      </c>
      <c r="W26" s="9"/>
      <c r="X26" s="9"/>
      <c r="Y26" s="9"/>
      <c r="Z26" s="9"/>
    </row>
    <row r="27" spans="1:26" ht="15.75" hidden="1" customHeight="1">
      <c r="A27" s="9" t="s">
        <v>1067</v>
      </c>
      <c r="B27" s="9" t="s">
        <v>3145</v>
      </c>
      <c r="C27" s="9" t="s">
        <v>765</v>
      </c>
      <c r="D27" s="9" t="s">
        <v>439</v>
      </c>
      <c r="E27" s="9"/>
      <c r="F27" s="9"/>
      <c r="G27" s="58">
        <v>12000</v>
      </c>
      <c r="H27" s="85">
        <v>0.04</v>
      </c>
      <c r="I27" s="9">
        <v>8</v>
      </c>
      <c r="J27" s="9"/>
      <c r="K27" s="9"/>
      <c r="L27" s="9"/>
      <c r="M27" s="9"/>
      <c r="N27" s="9" t="s">
        <v>3136</v>
      </c>
      <c r="O27" s="9" t="s">
        <v>3051</v>
      </c>
      <c r="P27" s="9" t="s">
        <v>3148</v>
      </c>
      <c r="Q27" s="58" t="s">
        <v>3143</v>
      </c>
      <c r="R27" s="58">
        <v>1</v>
      </c>
      <c r="S27" s="58">
        <v>8</v>
      </c>
      <c r="T27" s="9" t="s">
        <v>3065</v>
      </c>
      <c r="U27" s="9" t="s">
        <v>3149</v>
      </c>
      <c r="V27" s="58">
        <v>1</v>
      </c>
      <c r="W27" s="9"/>
      <c r="X27" s="9"/>
      <c r="Y27" s="9"/>
      <c r="Z27" s="9"/>
    </row>
    <row r="28" spans="1:26" ht="15.75" hidden="1" customHeight="1">
      <c r="A28" s="9" t="s">
        <v>1067</v>
      </c>
      <c r="B28" s="9" t="s">
        <v>3145</v>
      </c>
      <c r="C28" s="9" t="s">
        <v>765</v>
      </c>
      <c r="D28" s="9" t="s">
        <v>368</v>
      </c>
      <c r="E28" s="9" t="s">
        <v>3150</v>
      </c>
      <c r="F28" s="58" t="s">
        <v>3057</v>
      </c>
      <c r="G28" s="58">
        <v>10500</v>
      </c>
      <c r="H28" s="85">
        <v>0.16</v>
      </c>
      <c r="I28" s="9">
        <v>8</v>
      </c>
      <c r="J28" s="9"/>
      <c r="K28" s="9"/>
      <c r="L28" s="9"/>
      <c r="M28" s="9"/>
      <c r="N28" s="9" t="s">
        <v>3136</v>
      </c>
      <c r="O28" s="9" t="s">
        <v>3051</v>
      </c>
      <c r="P28" s="9" t="s">
        <v>3142</v>
      </c>
      <c r="Q28" s="58" t="s">
        <v>3143</v>
      </c>
      <c r="R28" s="58">
        <v>4</v>
      </c>
      <c r="S28" s="58">
        <v>7</v>
      </c>
      <c r="T28" s="9" t="s">
        <v>3065</v>
      </c>
      <c r="U28" s="9" t="s">
        <v>3151</v>
      </c>
      <c r="V28" s="58">
        <v>4</v>
      </c>
      <c r="W28" s="9"/>
      <c r="X28" s="9"/>
      <c r="Y28" s="9"/>
      <c r="Z28" s="9"/>
    </row>
    <row r="29" spans="1:26" ht="15.75" hidden="1" customHeight="1">
      <c r="A29" s="9" t="s">
        <v>1072</v>
      </c>
      <c r="B29" s="9" t="s">
        <v>3152</v>
      </c>
      <c r="C29" s="9" t="s">
        <v>496</v>
      </c>
      <c r="D29" s="9" t="s">
        <v>439</v>
      </c>
      <c r="E29" s="9"/>
      <c r="F29" s="9"/>
      <c r="G29" s="58">
        <v>5600</v>
      </c>
      <c r="H29" s="85">
        <v>8.5714285714285701E-2</v>
      </c>
      <c r="I29" s="9">
        <v>156</v>
      </c>
      <c r="J29" s="9"/>
      <c r="K29" s="9"/>
      <c r="L29" s="9"/>
      <c r="M29" s="9"/>
      <c r="N29" s="9" t="s">
        <v>3153</v>
      </c>
      <c r="O29" s="9" t="s">
        <v>3051</v>
      </c>
      <c r="P29" s="9" t="s">
        <v>3154</v>
      </c>
      <c r="Q29" s="58" t="s">
        <v>3155</v>
      </c>
      <c r="R29" s="58">
        <v>1</v>
      </c>
      <c r="S29" s="58">
        <v>8</v>
      </c>
      <c r="T29" s="9" t="s">
        <v>3156</v>
      </c>
      <c r="U29" s="9" t="s">
        <v>3157</v>
      </c>
      <c r="V29" s="58">
        <v>1</v>
      </c>
      <c r="W29" s="9"/>
      <c r="X29" s="9"/>
      <c r="Y29" s="9"/>
      <c r="Z29" s="9"/>
    </row>
    <row r="30" spans="1:26" ht="15.75" hidden="1" customHeight="1">
      <c r="A30" s="9" t="s">
        <v>1072</v>
      </c>
      <c r="B30" s="9" t="s">
        <v>3152</v>
      </c>
      <c r="C30" s="9" t="s">
        <v>496</v>
      </c>
      <c r="D30" s="9" t="s">
        <v>368</v>
      </c>
      <c r="E30" s="9" t="s">
        <v>3158</v>
      </c>
      <c r="F30" s="58" t="s">
        <v>3057</v>
      </c>
      <c r="G30" s="58">
        <v>4620</v>
      </c>
      <c r="H30" s="85">
        <v>0.36363636363636298</v>
      </c>
      <c r="I30" s="9">
        <v>156</v>
      </c>
      <c r="J30" s="9"/>
      <c r="K30" s="9"/>
      <c r="L30" s="9"/>
      <c r="M30" s="9"/>
      <c r="N30" s="9" t="s">
        <v>3153</v>
      </c>
      <c r="O30" s="9" t="s">
        <v>3051</v>
      </c>
      <c r="P30" s="9" t="s">
        <v>3159</v>
      </c>
      <c r="Q30" s="58" t="s">
        <v>3160</v>
      </c>
      <c r="R30" s="58">
        <v>4</v>
      </c>
      <c r="S30" s="58">
        <v>7</v>
      </c>
      <c r="T30" s="9" t="s">
        <v>3156</v>
      </c>
      <c r="U30" s="9" t="s">
        <v>3161</v>
      </c>
      <c r="V30" s="58">
        <v>4</v>
      </c>
      <c r="W30" s="9"/>
      <c r="X30" s="9"/>
      <c r="Y30" s="9"/>
      <c r="Z30" s="9"/>
    </row>
    <row r="31" spans="1:26" ht="15.75" hidden="1" customHeight="1">
      <c r="A31" s="9" t="s">
        <v>1086</v>
      </c>
      <c r="B31" s="9" t="s">
        <v>3162</v>
      </c>
      <c r="C31" s="9" t="s">
        <v>715</v>
      </c>
      <c r="D31" s="9" t="s">
        <v>439</v>
      </c>
      <c r="E31" s="9"/>
      <c r="F31" s="9"/>
      <c r="G31" s="58">
        <v>12000</v>
      </c>
      <c r="H31" s="85">
        <v>0.04</v>
      </c>
      <c r="I31" s="9">
        <v>10</v>
      </c>
      <c r="J31" s="9"/>
      <c r="K31" s="9"/>
      <c r="L31" s="9"/>
      <c r="M31" s="9"/>
      <c r="N31" s="9" t="s">
        <v>3163</v>
      </c>
      <c r="O31" s="9" t="s">
        <v>3051</v>
      </c>
      <c r="P31" s="9" t="s">
        <v>3148</v>
      </c>
      <c r="Q31" s="58" t="s">
        <v>3143</v>
      </c>
      <c r="R31" s="58">
        <v>1</v>
      </c>
      <c r="S31" s="58">
        <v>8</v>
      </c>
      <c r="T31" s="9" t="s">
        <v>3164</v>
      </c>
      <c r="U31" s="9" t="s">
        <v>3165</v>
      </c>
      <c r="V31" s="58">
        <v>1</v>
      </c>
      <c r="W31" s="9"/>
      <c r="X31" s="9"/>
      <c r="Y31" s="9"/>
      <c r="Z31" s="9"/>
    </row>
    <row r="32" spans="1:26" ht="15.75" hidden="1" customHeight="1">
      <c r="A32" s="9" t="s">
        <v>1086</v>
      </c>
      <c r="B32" s="9" t="s">
        <v>3162</v>
      </c>
      <c r="C32" s="9" t="s">
        <v>715</v>
      </c>
      <c r="D32" s="9" t="s">
        <v>368</v>
      </c>
      <c r="E32" s="9" t="s">
        <v>3056</v>
      </c>
      <c r="F32" s="58" t="s">
        <v>3057</v>
      </c>
      <c r="G32" s="58">
        <v>7000</v>
      </c>
      <c r="H32" s="85">
        <v>0.24</v>
      </c>
      <c r="I32" s="9">
        <v>10</v>
      </c>
      <c r="J32" s="9"/>
      <c r="K32" s="9"/>
      <c r="L32" s="9"/>
      <c r="M32" s="9"/>
      <c r="N32" s="9" t="s">
        <v>3163</v>
      </c>
      <c r="O32" s="9" t="s">
        <v>3051</v>
      </c>
      <c r="P32" s="9" t="s">
        <v>3166</v>
      </c>
      <c r="Q32" s="58" t="s">
        <v>3167</v>
      </c>
      <c r="R32" s="58">
        <v>4</v>
      </c>
      <c r="S32" s="58">
        <v>7</v>
      </c>
      <c r="T32" s="9" t="s">
        <v>3164</v>
      </c>
      <c r="U32" s="9" t="s">
        <v>3168</v>
      </c>
      <c r="V32" s="58">
        <v>4</v>
      </c>
      <c r="W32" s="9"/>
      <c r="X32" s="9"/>
      <c r="Y32" s="9"/>
      <c r="Z32" s="9"/>
    </row>
    <row r="33" spans="1:26" ht="15.75" customHeight="1">
      <c r="A33" s="9" t="s">
        <v>2324</v>
      </c>
      <c r="B33" s="9" t="s">
        <v>3169</v>
      </c>
      <c r="C33" s="9" t="s">
        <v>2326</v>
      </c>
      <c r="D33" s="9" t="s">
        <v>559</v>
      </c>
      <c r="E33" s="9" t="s">
        <v>3042</v>
      </c>
      <c r="F33" s="58" t="s">
        <v>3043</v>
      </c>
      <c r="G33" s="58">
        <v>8508</v>
      </c>
      <c r="H33" s="85">
        <v>4.2313117066290498E-2</v>
      </c>
      <c r="I33" s="9">
        <v>5.0999999999999996</v>
      </c>
      <c r="J33" s="9"/>
      <c r="K33" s="9"/>
      <c r="L33" s="9"/>
      <c r="M33" s="9"/>
      <c r="N33" s="9" t="s">
        <v>3136</v>
      </c>
      <c r="O33" s="9" t="s">
        <v>3051</v>
      </c>
      <c r="P33" s="9" t="s">
        <v>3137</v>
      </c>
      <c r="Q33" s="58">
        <v>1418</v>
      </c>
      <c r="R33" s="58">
        <v>1</v>
      </c>
      <c r="S33" s="58">
        <v>6</v>
      </c>
      <c r="T33" s="9" t="s">
        <v>3170</v>
      </c>
      <c r="U33" s="9" t="s">
        <v>3171</v>
      </c>
      <c r="V33" s="58">
        <v>1</v>
      </c>
      <c r="W33" s="9"/>
      <c r="X33" s="9"/>
      <c r="Y33" s="9"/>
      <c r="Z33" s="9"/>
    </row>
    <row r="34" spans="1:26" ht="15.75" hidden="1" customHeight="1">
      <c r="A34" s="9" t="s">
        <v>2324</v>
      </c>
      <c r="B34" s="9" t="s">
        <v>3169</v>
      </c>
      <c r="C34" s="9" t="s">
        <v>2326</v>
      </c>
      <c r="D34" s="9" t="s">
        <v>439</v>
      </c>
      <c r="E34" s="9"/>
      <c r="F34" s="9"/>
      <c r="G34" s="58">
        <v>12000</v>
      </c>
      <c r="H34" s="85">
        <v>0.04</v>
      </c>
      <c r="I34" s="9">
        <v>5.0999999999999996</v>
      </c>
      <c r="J34" s="9"/>
      <c r="K34" s="9"/>
      <c r="L34" s="9"/>
      <c r="M34" s="9"/>
      <c r="N34" s="9" t="s">
        <v>3136</v>
      </c>
      <c r="O34" s="9" t="s">
        <v>3051</v>
      </c>
      <c r="P34" s="9" t="s">
        <v>3148</v>
      </c>
      <c r="Q34" s="58" t="s">
        <v>3143</v>
      </c>
      <c r="R34" s="58">
        <v>1</v>
      </c>
      <c r="S34" s="58">
        <v>8</v>
      </c>
      <c r="T34" s="9" t="s">
        <v>3170</v>
      </c>
      <c r="U34" s="9" t="s">
        <v>3172</v>
      </c>
      <c r="V34" s="58">
        <v>1</v>
      </c>
      <c r="W34" s="9"/>
      <c r="X34" s="9"/>
      <c r="Y34" s="9"/>
      <c r="Z34" s="9"/>
    </row>
    <row r="35" spans="1:26" ht="15.75" hidden="1" customHeight="1">
      <c r="A35" s="9" t="s">
        <v>2324</v>
      </c>
      <c r="B35" s="9" t="s">
        <v>3169</v>
      </c>
      <c r="C35" s="9" t="s">
        <v>2326</v>
      </c>
      <c r="D35" s="9" t="s">
        <v>368</v>
      </c>
      <c r="E35" s="9" t="s">
        <v>3150</v>
      </c>
      <c r="F35" s="58" t="s">
        <v>3057</v>
      </c>
      <c r="G35" s="58">
        <v>10500</v>
      </c>
      <c r="H35" s="85">
        <v>0.16</v>
      </c>
      <c r="I35" s="9">
        <v>5.0999999999999996</v>
      </c>
      <c r="J35" s="9"/>
      <c r="K35" s="9"/>
      <c r="L35" s="9"/>
      <c r="M35" s="9"/>
      <c r="N35" s="9" t="s">
        <v>3136</v>
      </c>
      <c r="O35" s="9" t="s">
        <v>3051</v>
      </c>
      <c r="P35" s="9" t="s">
        <v>3173</v>
      </c>
      <c r="Q35" s="58" t="s">
        <v>3143</v>
      </c>
      <c r="R35" s="58">
        <v>4</v>
      </c>
      <c r="S35" s="58">
        <v>7</v>
      </c>
      <c r="T35" s="9" t="s">
        <v>3170</v>
      </c>
      <c r="U35" s="9" t="s">
        <v>3174</v>
      </c>
      <c r="V35" s="58">
        <v>4</v>
      </c>
      <c r="W35" s="9"/>
      <c r="X35" s="9"/>
      <c r="Y35" s="9"/>
      <c r="Z35" s="9"/>
    </row>
    <row r="36" spans="1:26" ht="15.75" hidden="1" customHeight="1">
      <c r="A36" s="9" t="s">
        <v>1087</v>
      </c>
      <c r="B36" s="9" t="s">
        <v>3175</v>
      </c>
      <c r="C36" s="9" t="s">
        <v>925</v>
      </c>
      <c r="D36" s="9" t="s">
        <v>368</v>
      </c>
      <c r="E36" s="9"/>
      <c r="F36" s="9"/>
      <c r="G36" s="58">
        <v>320000</v>
      </c>
      <c r="H36" s="85">
        <v>1.5E-3</v>
      </c>
      <c r="I36" s="9">
        <v>2</v>
      </c>
      <c r="J36" s="9"/>
      <c r="K36" s="9"/>
      <c r="L36" s="9"/>
      <c r="M36" s="9"/>
      <c r="N36" s="9" t="s">
        <v>3176</v>
      </c>
      <c r="O36" s="9" t="s">
        <v>3176</v>
      </c>
      <c r="P36" s="9" t="s">
        <v>3176</v>
      </c>
      <c r="Q36" s="58">
        <v>40000</v>
      </c>
      <c r="R36" s="9">
        <v>1</v>
      </c>
      <c r="S36" s="9">
        <v>8</v>
      </c>
      <c r="T36" s="9" t="s">
        <v>3176</v>
      </c>
      <c r="U36" s="9" t="s">
        <v>3177</v>
      </c>
      <c r="V36" s="9">
        <v>1</v>
      </c>
      <c r="W36" s="9"/>
      <c r="X36" s="9"/>
      <c r="Y36" s="9"/>
      <c r="Z36" s="9"/>
    </row>
    <row r="37" spans="1:26" ht="15.75" hidden="1" customHeight="1">
      <c r="A37" s="9" t="s">
        <v>1092</v>
      </c>
      <c r="B37" s="9" t="s">
        <v>3178</v>
      </c>
      <c r="C37" s="9" t="s">
        <v>763</v>
      </c>
      <c r="D37" s="9" t="s">
        <v>368</v>
      </c>
      <c r="E37" s="9"/>
      <c r="F37" s="9"/>
      <c r="G37" s="58">
        <v>320000</v>
      </c>
      <c r="H37" s="85">
        <v>1.5E-3</v>
      </c>
      <c r="I37" s="9">
        <v>2</v>
      </c>
      <c r="J37" s="9"/>
      <c r="K37" s="9"/>
      <c r="L37" s="9"/>
      <c r="M37" s="9"/>
      <c r="N37" s="9" t="s">
        <v>3176</v>
      </c>
      <c r="O37" s="9" t="s">
        <v>3176</v>
      </c>
      <c r="P37" s="9" t="s">
        <v>3176</v>
      </c>
      <c r="Q37" s="58">
        <v>40000</v>
      </c>
      <c r="R37" s="9">
        <v>1</v>
      </c>
      <c r="S37" s="9">
        <v>8</v>
      </c>
      <c r="T37" s="9" t="s">
        <v>3176</v>
      </c>
      <c r="U37" s="9" t="s">
        <v>3179</v>
      </c>
      <c r="V37" s="9">
        <v>1</v>
      </c>
      <c r="W37" s="9"/>
      <c r="X37" s="9"/>
      <c r="Y37" s="9"/>
      <c r="Z37" s="9"/>
    </row>
    <row r="38" spans="1:26" ht="15.75" hidden="1" customHeight="1">
      <c r="A38" s="9" t="s">
        <v>1096</v>
      </c>
      <c r="B38" s="9" t="s">
        <v>3180</v>
      </c>
      <c r="C38" s="9" t="s">
        <v>929</v>
      </c>
      <c r="D38" s="9" t="s">
        <v>368</v>
      </c>
      <c r="E38" s="9"/>
      <c r="F38" s="9"/>
      <c r="G38" s="58">
        <v>320000</v>
      </c>
      <c r="H38" s="85">
        <v>1.5E-3</v>
      </c>
      <c r="I38" s="9">
        <v>2</v>
      </c>
      <c r="J38" s="9"/>
      <c r="K38" s="9"/>
      <c r="L38" s="9"/>
      <c r="M38" s="9"/>
      <c r="N38" s="9" t="s">
        <v>3176</v>
      </c>
      <c r="O38" s="9" t="s">
        <v>3176</v>
      </c>
      <c r="P38" s="9" t="s">
        <v>3176</v>
      </c>
      <c r="Q38" s="58">
        <v>40000</v>
      </c>
      <c r="R38" s="9">
        <v>1</v>
      </c>
      <c r="S38" s="9">
        <v>8</v>
      </c>
      <c r="T38" s="9" t="s">
        <v>3176</v>
      </c>
      <c r="U38" s="9" t="s">
        <v>3181</v>
      </c>
      <c r="V38" s="9">
        <v>1</v>
      </c>
      <c r="W38" s="9"/>
      <c r="X38" s="9"/>
      <c r="Y38" s="9"/>
      <c r="Z38" s="9"/>
    </row>
    <row r="39" spans="1:26" ht="15.75" hidden="1" customHeight="1">
      <c r="A39" s="9" t="s">
        <v>1100</v>
      </c>
      <c r="B39" s="9" t="s">
        <v>3182</v>
      </c>
      <c r="C39" s="9" t="s">
        <v>931</v>
      </c>
      <c r="D39" s="9" t="s">
        <v>368</v>
      </c>
      <c r="E39" s="9" t="s">
        <v>3183</v>
      </c>
      <c r="F39" s="58" t="s">
        <v>3087</v>
      </c>
      <c r="G39" s="58">
        <v>5600</v>
      </c>
      <c r="H39" s="85">
        <v>0.3</v>
      </c>
      <c r="I39" s="9">
        <v>15</v>
      </c>
      <c r="J39" s="9"/>
      <c r="K39" s="9"/>
      <c r="L39" s="9"/>
      <c r="M39" s="9"/>
      <c r="N39" s="9" t="s">
        <v>3105</v>
      </c>
      <c r="O39" s="9" t="s">
        <v>3081</v>
      </c>
      <c r="P39" s="9" t="s">
        <v>3184</v>
      </c>
      <c r="Q39" s="58" t="s">
        <v>3185</v>
      </c>
      <c r="R39" s="58">
        <v>4</v>
      </c>
      <c r="S39" s="58">
        <v>7</v>
      </c>
      <c r="T39" s="9" t="s">
        <v>3186</v>
      </c>
      <c r="U39" s="9" t="s">
        <v>3187</v>
      </c>
      <c r="V39" s="58">
        <v>4</v>
      </c>
      <c r="W39" s="9"/>
      <c r="X39" s="9"/>
      <c r="Y39" s="9"/>
      <c r="Z39" s="9"/>
    </row>
    <row r="40" spans="1:26" ht="15.75" hidden="1" customHeight="1">
      <c r="A40" s="9" t="s">
        <v>1104</v>
      </c>
      <c r="B40" s="9" t="s">
        <v>3188</v>
      </c>
      <c r="C40" s="9" t="s">
        <v>780</v>
      </c>
      <c r="D40" s="9" t="s">
        <v>439</v>
      </c>
      <c r="E40" s="9"/>
      <c r="F40" s="9"/>
      <c r="G40" s="58">
        <v>6400</v>
      </c>
      <c r="H40" s="85">
        <v>7.4999999999999997E-2</v>
      </c>
      <c r="I40" s="9">
        <v>102</v>
      </c>
      <c r="J40" s="9"/>
      <c r="K40" s="9"/>
      <c r="L40" s="9"/>
      <c r="M40" s="9"/>
      <c r="N40" s="9" t="s">
        <v>3189</v>
      </c>
      <c r="O40" s="9" t="s">
        <v>3051</v>
      </c>
      <c r="P40" s="9" t="s">
        <v>3190</v>
      </c>
      <c r="Q40" s="58" t="s">
        <v>3185</v>
      </c>
      <c r="R40" s="58">
        <v>1</v>
      </c>
      <c r="S40" s="58">
        <v>8</v>
      </c>
      <c r="T40" s="9" t="s">
        <v>3191</v>
      </c>
      <c r="U40" s="9" t="s">
        <v>3192</v>
      </c>
      <c r="V40" s="58">
        <v>1</v>
      </c>
      <c r="W40" s="9"/>
      <c r="X40" s="9"/>
      <c r="Y40" s="9"/>
      <c r="Z40" s="9"/>
    </row>
    <row r="41" spans="1:26" ht="15.75" hidden="1" customHeight="1">
      <c r="A41" s="9" t="s">
        <v>1104</v>
      </c>
      <c r="B41" s="9" t="s">
        <v>3188</v>
      </c>
      <c r="C41" s="9" t="s">
        <v>780</v>
      </c>
      <c r="D41" s="9" t="s">
        <v>368</v>
      </c>
      <c r="E41" s="9" t="s">
        <v>3193</v>
      </c>
      <c r="F41" s="58" t="s">
        <v>3057</v>
      </c>
      <c r="G41" s="58">
        <v>4900</v>
      </c>
      <c r="H41" s="85">
        <v>0.34285714285714203</v>
      </c>
      <c r="I41" s="9">
        <v>102</v>
      </c>
      <c r="J41" s="9"/>
      <c r="K41" s="9"/>
      <c r="L41" s="9"/>
      <c r="M41" s="9"/>
      <c r="N41" s="9" t="s">
        <v>3189</v>
      </c>
      <c r="O41" s="9" t="s">
        <v>3051</v>
      </c>
      <c r="P41" s="9" t="s">
        <v>3194</v>
      </c>
      <c r="Q41" s="58" t="s">
        <v>3155</v>
      </c>
      <c r="R41" s="58">
        <v>4</v>
      </c>
      <c r="S41" s="58">
        <v>7</v>
      </c>
      <c r="T41" s="9" t="s">
        <v>3191</v>
      </c>
      <c r="U41" s="9" t="s">
        <v>3195</v>
      </c>
      <c r="V41" s="58">
        <v>4</v>
      </c>
      <c r="W41" s="9"/>
      <c r="X41" s="9"/>
      <c r="Y41" s="9"/>
      <c r="Z41" s="9"/>
    </row>
    <row r="42" spans="1:26" ht="15.75" hidden="1" customHeight="1">
      <c r="A42" s="9" t="s">
        <v>2512</v>
      </c>
      <c r="B42" s="9" t="s">
        <v>3196</v>
      </c>
      <c r="C42" s="9" t="s">
        <v>2513</v>
      </c>
      <c r="D42" s="9" t="s">
        <v>368</v>
      </c>
      <c r="E42" s="9" t="s">
        <v>3067</v>
      </c>
      <c r="F42" s="58" t="s">
        <v>3057</v>
      </c>
      <c r="G42" s="58">
        <v>6300</v>
      </c>
      <c r="H42" s="85">
        <v>0.266666666666666</v>
      </c>
      <c r="I42" s="9">
        <v>20.2</v>
      </c>
      <c r="J42" s="9"/>
      <c r="K42" s="9"/>
      <c r="L42" s="9"/>
      <c r="M42" s="9"/>
      <c r="N42" s="9" t="s">
        <v>3197</v>
      </c>
      <c r="O42" s="9" t="s">
        <v>3051</v>
      </c>
      <c r="P42" s="9" t="s">
        <v>3198</v>
      </c>
      <c r="Q42" s="58" t="s">
        <v>3069</v>
      </c>
      <c r="R42" s="58">
        <v>4</v>
      </c>
      <c r="S42" s="58">
        <v>7</v>
      </c>
      <c r="T42" s="9" t="s">
        <v>3199</v>
      </c>
      <c r="U42" s="9" t="s">
        <v>3200</v>
      </c>
      <c r="V42" s="58">
        <v>4</v>
      </c>
      <c r="W42" s="9"/>
      <c r="X42" s="9"/>
      <c r="Y42" s="9"/>
      <c r="Z42" s="9"/>
    </row>
    <row r="43" spans="1:26" ht="15.75" hidden="1" customHeight="1">
      <c r="A43" s="9" t="s">
        <v>83</v>
      </c>
      <c r="B43" s="9" t="s">
        <v>3201</v>
      </c>
      <c r="C43" s="9" t="s">
        <v>84</v>
      </c>
      <c r="D43" s="9" t="s">
        <v>439</v>
      </c>
      <c r="E43" s="9"/>
      <c r="F43" s="9"/>
      <c r="G43" s="58">
        <v>6400</v>
      </c>
      <c r="H43" s="85">
        <v>7.4999999999999997E-2</v>
      </c>
      <c r="I43" s="9">
        <v>100</v>
      </c>
      <c r="J43" s="9"/>
      <c r="K43" s="9"/>
      <c r="L43" s="9"/>
      <c r="M43" s="9"/>
      <c r="N43" s="9" t="s">
        <v>3189</v>
      </c>
      <c r="O43" s="9" t="s">
        <v>3051</v>
      </c>
      <c r="P43" s="9" t="s">
        <v>3190</v>
      </c>
      <c r="Q43" s="58" t="s">
        <v>3185</v>
      </c>
      <c r="R43" s="58">
        <v>1</v>
      </c>
      <c r="S43" s="58">
        <v>8</v>
      </c>
      <c r="T43" s="9" t="s">
        <v>3191</v>
      </c>
      <c r="U43" s="9" t="s">
        <v>3202</v>
      </c>
      <c r="V43" s="58">
        <v>1</v>
      </c>
      <c r="W43" s="9"/>
      <c r="X43" s="9"/>
      <c r="Y43" s="9"/>
      <c r="Z43" s="9"/>
    </row>
    <row r="44" spans="1:26" ht="15.75" hidden="1" customHeight="1">
      <c r="A44" s="9" t="s">
        <v>83</v>
      </c>
      <c r="B44" s="9" t="s">
        <v>3201</v>
      </c>
      <c r="C44" s="9" t="s">
        <v>84</v>
      </c>
      <c r="D44" s="9" t="s">
        <v>368</v>
      </c>
      <c r="E44" s="9" t="s">
        <v>3067</v>
      </c>
      <c r="F44" s="58" t="s">
        <v>3057</v>
      </c>
      <c r="G44" s="58">
        <v>4200</v>
      </c>
      <c r="H44" s="85">
        <v>0.5</v>
      </c>
      <c r="I44" s="9">
        <v>100</v>
      </c>
      <c r="J44" s="9"/>
      <c r="K44" s="9"/>
      <c r="L44" s="9"/>
      <c r="M44" s="9"/>
      <c r="N44" s="9" t="s">
        <v>3189</v>
      </c>
      <c r="O44" s="9" t="s">
        <v>3051</v>
      </c>
      <c r="P44" s="9" t="s">
        <v>3203</v>
      </c>
      <c r="Q44" s="58" t="s">
        <v>3122</v>
      </c>
      <c r="R44" s="58">
        <v>5</v>
      </c>
      <c r="S44" s="58">
        <v>7</v>
      </c>
      <c r="T44" s="9" t="s">
        <v>3191</v>
      </c>
      <c r="U44" s="9" t="s">
        <v>3204</v>
      </c>
      <c r="V44" s="58">
        <v>5</v>
      </c>
      <c r="W44" s="9"/>
      <c r="X44" s="9"/>
      <c r="Y44" s="9"/>
      <c r="Z44" s="9"/>
    </row>
    <row r="45" spans="1:26" ht="15.75" hidden="1" customHeight="1">
      <c r="A45" s="9" t="s">
        <v>1117</v>
      </c>
      <c r="B45" s="9" t="s">
        <v>3205</v>
      </c>
      <c r="C45" s="9" t="s">
        <v>774</v>
      </c>
      <c r="D45" s="9" t="s">
        <v>439</v>
      </c>
      <c r="E45" s="9"/>
      <c r="F45" s="9"/>
      <c r="G45" s="58">
        <v>5600</v>
      </c>
      <c r="H45" s="85">
        <v>8.5714285714285701E-2</v>
      </c>
      <c r="I45" s="9">
        <v>500</v>
      </c>
      <c r="J45" s="9"/>
      <c r="K45" s="9"/>
      <c r="L45" s="9"/>
      <c r="M45" s="9"/>
      <c r="N45" s="9" t="s">
        <v>3206</v>
      </c>
      <c r="O45" s="9" t="s">
        <v>3051</v>
      </c>
      <c r="P45" s="9" t="s">
        <v>3154</v>
      </c>
      <c r="Q45" s="58" t="s">
        <v>3155</v>
      </c>
      <c r="R45" s="58">
        <v>1</v>
      </c>
      <c r="S45" s="58">
        <v>8</v>
      </c>
      <c r="T45" s="9" t="s">
        <v>3207</v>
      </c>
      <c r="U45" s="9" t="s">
        <v>3208</v>
      </c>
      <c r="V45" s="58">
        <v>1</v>
      </c>
      <c r="W45" s="9"/>
      <c r="X45" s="9"/>
      <c r="Y45" s="9"/>
      <c r="Z45" s="9"/>
    </row>
    <row r="46" spans="1:26" ht="15.75" hidden="1" customHeight="1">
      <c r="A46" s="9" t="s">
        <v>1117</v>
      </c>
      <c r="B46" s="9" t="s">
        <v>3205</v>
      </c>
      <c r="C46" s="9" t="s">
        <v>774</v>
      </c>
      <c r="D46" s="9" t="s">
        <v>368</v>
      </c>
      <c r="E46" s="9" t="s">
        <v>3067</v>
      </c>
      <c r="F46" s="58" t="s">
        <v>3057</v>
      </c>
      <c r="G46" s="58">
        <v>2170</v>
      </c>
      <c r="H46" s="85">
        <v>0.58064516129032195</v>
      </c>
      <c r="I46" s="9">
        <v>500</v>
      </c>
      <c r="J46" s="9"/>
      <c r="K46" s="9"/>
      <c r="L46" s="9"/>
      <c r="M46" s="9"/>
      <c r="N46" s="9" t="s">
        <v>3206</v>
      </c>
      <c r="O46" s="9" t="s">
        <v>3051</v>
      </c>
      <c r="P46" s="9" t="s">
        <v>3209</v>
      </c>
      <c r="Q46" s="58" t="s">
        <v>3210</v>
      </c>
      <c r="R46" s="58">
        <v>3</v>
      </c>
      <c r="S46" s="58">
        <v>7</v>
      </c>
      <c r="T46" s="9" t="s">
        <v>3207</v>
      </c>
      <c r="U46" s="9" t="s">
        <v>3211</v>
      </c>
      <c r="V46" s="58">
        <v>3</v>
      </c>
      <c r="W46" s="9"/>
      <c r="X46" s="9"/>
      <c r="Y46" s="9"/>
      <c r="Z46" s="9"/>
    </row>
    <row r="47" spans="1:26" ht="15.75" hidden="1" customHeight="1">
      <c r="A47" s="9" t="s">
        <v>2514</v>
      </c>
      <c r="B47" s="9" t="s">
        <v>3212</v>
      </c>
      <c r="C47" s="9" t="s">
        <v>2515</v>
      </c>
      <c r="D47" s="9" t="s">
        <v>368</v>
      </c>
      <c r="E47" s="9" t="s">
        <v>3067</v>
      </c>
      <c r="F47" s="58" t="s">
        <v>3057</v>
      </c>
      <c r="G47" s="58">
        <v>6300</v>
      </c>
      <c r="H47" s="85">
        <v>0.266666666666666</v>
      </c>
      <c r="I47" s="9">
        <v>9.6</v>
      </c>
      <c r="J47" s="9"/>
      <c r="K47" s="9"/>
      <c r="L47" s="9"/>
      <c r="M47" s="9"/>
      <c r="N47" s="9" t="s">
        <v>3213</v>
      </c>
      <c r="O47" s="9" t="s">
        <v>3081</v>
      </c>
      <c r="P47" s="9" t="s">
        <v>3214</v>
      </c>
      <c r="Q47" s="58" t="s">
        <v>3069</v>
      </c>
      <c r="R47" s="58">
        <v>4</v>
      </c>
      <c r="S47" s="58">
        <v>7</v>
      </c>
      <c r="T47" s="9" t="s">
        <v>3199</v>
      </c>
      <c r="U47" s="9" t="s">
        <v>3215</v>
      </c>
      <c r="V47" s="58">
        <v>4</v>
      </c>
      <c r="W47" s="9"/>
      <c r="X47" s="9"/>
      <c r="Y47" s="9"/>
      <c r="Z47" s="9"/>
    </row>
    <row r="48" spans="1:26" ht="15.75" hidden="1" customHeight="1">
      <c r="A48" s="9" t="s">
        <v>79</v>
      </c>
      <c r="B48" s="9" t="s">
        <v>3216</v>
      </c>
      <c r="C48" s="9" t="s">
        <v>80</v>
      </c>
      <c r="D48" s="9" t="s">
        <v>439</v>
      </c>
      <c r="E48" s="9"/>
      <c r="F48" s="9"/>
      <c r="G48" s="58">
        <v>6000</v>
      </c>
      <c r="H48" s="85">
        <v>0.08</v>
      </c>
      <c r="I48" s="9">
        <v>30</v>
      </c>
      <c r="J48" s="9"/>
      <c r="K48" s="9"/>
      <c r="L48" s="9"/>
      <c r="M48" s="9"/>
      <c r="N48" s="9" t="s">
        <v>3105</v>
      </c>
      <c r="O48" s="9" t="s">
        <v>3081</v>
      </c>
      <c r="P48" s="9" t="s">
        <v>3217</v>
      </c>
      <c r="Q48" s="58" t="s">
        <v>3095</v>
      </c>
      <c r="R48" s="58">
        <v>1</v>
      </c>
      <c r="S48" s="58">
        <v>8</v>
      </c>
      <c r="T48" s="9" t="s">
        <v>3218</v>
      </c>
      <c r="U48" s="9" t="s">
        <v>3219</v>
      </c>
      <c r="V48" s="58">
        <v>1</v>
      </c>
      <c r="W48" s="9"/>
      <c r="X48" s="9"/>
      <c r="Y48" s="9"/>
      <c r="Z48" s="9"/>
    </row>
    <row r="49" spans="1:26" ht="15.75" hidden="1" customHeight="1">
      <c r="A49" s="9" t="s">
        <v>79</v>
      </c>
      <c r="B49" s="9" t="s">
        <v>3216</v>
      </c>
      <c r="C49" s="9" t="s">
        <v>80</v>
      </c>
      <c r="D49" s="9" t="s">
        <v>368</v>
      </c>
      <c r="E49" s="9" t="s">
        <v>3092</v>
      </c>
      <c r="F49" s="58" t="s">
        <v>3087</v>
      </c>
      <c r="G49" s="58">
        <v>5390</v>
      </c>
      <c r="H49" s="85">
        <v>0.31168831168831101</v>
      </c>
      <c r="I49" s="9">
        <v>30</v>
      </c>
      <c r="J49" s="9"/>
      <c r="K49" s="9"/>
      <c r="L49" s="9"/>
      <c r="M49" s="9"/>
      <c r="N49" s="9" t="s">
        <v>3105</v>
      </c>
      <c r="O49" s="9" t="s">
        <v>3081</v>
      </c>
      <c r="P49" s="9" t="s">
        <v>3220</v>
      </c>
      <c r="Q49" s="58" t="s">
        <v>3221</v>
      </c>
      <c r="R49" s="58">
        <v>4</v>
      </c>
      <c r="S49" s="58">
        <v>7</v>
      </c>
      <c r="T49" s="9" t="s">
        <v>3218</v>
      </c>
      <c r="U49" s="9" t="s">
        <v>3222</v>
      </c>
      <c r="V49" s="58">
        <v>4</v>
      </c>
      <c r="W49" s="9"/>
      <c r="X49" s="9"/>
      <c r="Y49" s="9"/>
      <c r="Z49" s="9"/>
    </row>
    <row r="50" spans="1:26" ht="15.75" hidden="1" customHeight="1">
      <c r="A50" s="9" t="s">
        <v>2804</v>
      </c>
      <c r="B50" s="9" t="s">
        <v>3223</v>
      </c>
      <c r="C50" s="9" t="s">
        <v>2805</v>
      </c>
      <c r="D50" s="9" t="s">
        <v>439</v>
      </c>
      <c r="E50" s="9"/>
      <c r="F50" s="9"/>
      <c r="G50" s="58">
        <v>4400</v>
      </c>
      <c r="H50" s="85">
        <v>0.109090909090909</v>
      </c>
      <c r="I50" s="9">
        <v>470</v>
      </c>
      <c r="J50" s="9"/>
      <c r="K50" s="9"/>
      <c r="L50" s="9"/>
      <c r="M50" s="9"/>
      <c r="N50" s="9" t="s">
        <v>3224</v>
      </c>
      <c r="O50" s="9" t="s">
        <v>3081</v>
      </c>
      <c r="P50" s="9" t="s">
        <v>3225</v>
      </c>
      <c r="Q50" s="58" t="s">
        <v>3226</v>
      </c>
      <c r="R50" s="58">
        <v>1</v>
      </c>
      <c r="S50" s="58">
        <v>8</v>
      </c>
      <c r="T50" s="9" t="s">
        <v>3227</v>
      </c>
      <c r="U50" s="9" t="s">
        <v>3228</v>
      </c>
      <c r="V50" s="58">
        <v>1</v>
      </c>
      <c r="W50" s="9"/>
      <c r="X50" s="9"/>
      <c r="Y50" s="9"/>
      <c r="Z50" s="9"/>
    </row>
    <row r="51" spans="1:26" ht="15.75" hidden="1" customHeight="1">
      <c r="A51" s="9" t="s">
        <v>2804</v>
      </c>
      <c r="B51" s="9" t="s">
        <v>3223</v>
      </c>
      <c r="C51" s="9" t="s">
        <v>2805</v>
      </c>
      <c r="D51" s="9" t="s">
        <v>368</v>
      </c>
      <c r="E51" s="9" t="s">
        <v>3229</v>
      </c>
      <c r="F51" s="58" t="s">
        <v>3087</v>
      </c>
      <c r="G51" s="58">
        <v>1400</v>
      </c>
      <c r="H51" s="85">
        <v>1.2</v>
      </c>
      <c r="I51" s="9">
        <v>470</v>
      </c>
      <c r="J51" s="9"/>
      <c r="K51" s="9"/>
      <c r="L51" s="9"/>
      <c r="M51" s="9"/>
      <c r="N51" s="9" t="s">
        <v>3224</v>
      </c>
      <c r="O51" s="9" t="s">
        <v>3081</v>
      </c>
      <c r="P51" s="9" t="s">
        <v>3230</v>
      </c>
      <c r="Q51" s="58" t="s">
        <v>3231</v>
      </c>
      <c r="R51" s="58">
        <v>4</v>
      </c>
      <c r="S51" s="58">
        <v>7</v>
      </c>
      <c r="T51" s="9" t="s">
        <v>3227</v>
      </c>
      <c r="U51" s="9" t="s">
        <v>3232</v>
      </c>
      <c r="V51" s="58">
        <v>4</v>
      </c>
      <c r="W51" s="9"/>
      <c r="X51" s="9"/>
      <c r="Y51" s="9"/>
      <c r="Z51" s="9"/>
    </row>
    <row r="52" spans="1:26" ht="15.75" hidden="1" customHeight="1">
      <c r="A52" s="9" t="s">
        <v>1126</v>
      </c>
      <c r="B52" s="9" t="s">
        <v>3233</v>
      </c>
      <c r="C52" s="9" t="s">
        <v>748</v>
      </c>
      <c r="D52" s="9" t="s">
        <v>439</v>
      </c>
      <c r="E52" s="9"/>
      <c r="F52" s="9"/>
      <c r="G52" s="58">
        <v>2400</v>
      </c>
      <c r="H52" s="85">
        <v>0.2</v>
      </c>
      <c r="I52" s="9">
        <v>10.1</v>
      </c>
      <c r="J52" s="9"/>
      <c r="K52" s="9"/>
      <c r="L52" s="9"/>
      <c r="M52" s="9">
        <v>0.2</v>
      </c>
      <c r="N52" s="9" t="s">
        <v>3234</v>
      </c>
      <c r="O52" s="9" t="s">
        <v>3051</v>
      </c>
      <c r="P52" s="9" t="s">
        <v>3235</v>
      </c>
      <c r="Q52" s="58" t="s">
        <v>3236</v>
      </c>
      <c r="R52" s="58">
        <v>1</v>
      </c>
      <c r="S52" s="58">
        <v>8</v>
      </c>
      <c r="T52" s="9" t="s">
        <v>3237</v>
      </c>
      <c r="U52" s="9" t="s">
        <v>3238</v>
      </c>
      <c r="V52" s="58">
        <v>1</v>
      </c>
      <c r="W52" s="9"/>
      <c r="X52" s="9"/>
      <c r="Y52" s="9"/>
      <c r="Z52" s="9"/>
    </row>
    <row r="53" spans="1:26" ht="15.75" hidden="1" customHeight="1">
      <c r="A53" s="9" t="s">
        <v>1126</v>
      </c>
      <c r="B53" s="9" t="s">
        <v>3233</v>
      </c>
      <c r="C53" s="9" t="s">
        <v>748</v>
      </c>
      <c r="D53" s="9" t="s">
        <v>368</v>
      </c>
      <c r="E53" s="9" t="s">
        <v>3067</v>
      </c>
      <c r="F53" s="58" t="s">
        <v>3057</v>
      </c>
      <c r="G53" s="58">
        <v>2800</v>
      </c>
      <c r="H53" s="85">
        <v>0.6</v>
      </c>
      <c r="I53" s="9">
        <v>10.1</v>
      </c>
      <c r="J53" s="9"/>
      <c r="K53" s="9"/>
      <c r="L53" s="9"/>
      <c r="M53" s="9">
        <v>0.2</v>
      </c>
      <c r="N53" s="9" t="s">
        <v>3234</v>
      </c>
      <c r="O53" s="9" t="s">
        <v>3051</v>
      </c>
      <c r="P53" s="9" t="s">
        <v>3239</v>
      </c>
      <c r="Q53" s="58" t="s">
        <v>3240</v>
      </c>
      <c r="R53" s="58">
        <v>4</v>
      </c>
      <c r="S53" s="58">
        <v>7</v>
      </c>
      <c r="T53" s="9" t="s">
        <v>3237</v>
      </c>
      <c r="U53" s="9" t="s">
        <v>3241</v>
      </c>
      <c r="V53" s="58">
        <v>4</v>
      </c>
      <c r="W53" s="9"/>
      <c r="X53" s="9"/>
      <c r="Y53" s="9"/>
      <c r="Z53" s="9"/>
    </row>
    <row r="54" spans="1:26" ht="15.75" hidden="1" customHeight="1">
      <c r="A54" s="9" t="s">
        <v>2189</v>
      </c>
      <c r="B54" s="9" t="s">
        <v>3242</v>
      </c>
      <c r="C54" s="9" t="s">
        <v>2191</v>
      </c>
      <c r="D54" s="9" t="s">
        <v>439</v>
      </c>
      <c r="E54" s="9"/>
      <c r="F54" s="9"/>
      <c r="G54" s="58">
        <v>5600</v>
      </c>
      <c r="H54" s="85">
        <v>8.5714285714285701E-2</v>
      </c>
      <c r="I54" s="9">
        <v>32.299999999999997</v>
      </c>
      <c r="J54" s="9"/>
      <c r="K54" s="9"/>
      <c r="L54" s="9"/>
      <c r="M54" s="9"/>
      <c r="N54" s="9" t="s">
        <v>3243</v>
      </c>
      <c r="O54" s="9" t="s">
        <v>3051</v>
      </c>
      <c r="P54" s="9" t="s">
        <v>3244</v>
      </c>
      <c r="Q54" s="58" t="s">
        <v>3155</v>
      </c>
      <c r="R54" s="58">
        <v>1</v>
      </c>
      <c r="S54" s="58">
        <v>8</v>
      </c>
      <c r="T54" s="9" t="s">
        <v>3245</v>
      </c>
      <c r="U54" s="9" t="s">
        <v>3246</v>
      </c>
      <c r="V54" s="58">
        <v>1</v>
      </c>
      <c r="W54" s="9"/>
      <c r="X54" s="9"/>
      <c r="Y54" s="9"/>
      <c r="Z54" s="9"/>
    </row>
    <row r="55" spans="1:26" ht="15.75" hidden="1" customHeight="1">
      <c r="A55" s="9" t="s">
        <v>2189</v>
      </c>
      <c r="B55" s="9" t="s">
        <v>3242</v>
      </c>
      <c r="C55" s="9" t="s">
        <v>2191</v>
      </c>
      <c r="D55" s="9" t="s">
        <v>368</v>
      </c>
      <c r="E55" s="9" t="s">
        <v>3067</v>
      </c>
      <c r="F55" s="58" t="s">
        <v>3057</v>
      </c>
      <c r="G55" s="58">
        <v>7000</v>
      </c>
      <c r="H55" s="85">
        <v>0.18</v>
      </c>
      <c r="I55" s="9">
        <v>32.299999999999997</v>
      </c>
      <c r="J55" s="9"/>
      <c r="K55" s="9"/>
      <c r="L55" s="9"/>
      <c r="M55" s="9"/>
      <c r="N55" s="9" t="s">
        <v>3243</v>
      </c>
      <c r="O55" s="9" t="s">
        <v>3051</v>
      </c>
      <c r="P55" s="9" t="s">
        <v>3247</v>
      </c>
      <c r="Q55" s="58" t="s">
        <v>3167</v>
      </c>
      <c r="R55" s="58">
        <v>3</v>
      </c>
      <c r="S55" s="58">
        <v>7</v>
      </c>
      <c r="T55" s="9" t="s">
        <v>3245</v>
      </c>
      <c r="U55" s="9" t="s">
        <v>3248</v>
      </c>
      <c r="V55" s="58">
        <v>3</v>
      </c>
      <c r="W55" s="9"/>
      <c r="X55" s="9"/>
      <c r="Y55" s="9"/>
      <c r="Z55" s="9"/>
    </row>
    <row r="56" spans="1:26" ht="15.75" hidden="1" customHeight="1">
      <c r="A56" s="9" t="s">
        <v>2186</v>
      </c>
      <c r="B56" s="9" t="s">
        <v>3249</v>
      </c>
      <c r="C56" s="9" t="s">
        <v>2188</v>
      </c>
      <c r="D56" s="9" t="s">
        <v>439</v>
      </c>
      <c r="E56" s="9"/>
      <c r="F56" s="9"/>
      <c r="G56" s="58">
        <v>12000</v>
      </c>
      <c r="H56" s="85">
        <v>0.04</v>
      </c>
      <c r="I56" s="9">
        <v>32.5</v>
      </c>
      <c r="J56" s="9"/>
      <c r="K56" s="9"/>
      <c r="L56" s="9"/>
      <c r="M56" s="9"/>
      <c r="N56" s="9" t="s">
        <v>3250</v>
      </c>
      <c r="O56" s="9" t="s">
        <v>3051</v>
      </c>
      <c r="P56" s="9" t="s">
        <v>3251</v>
      </c>
      <c r="Q56" s="58" t="s">
        <v>3143</v>
      </c>
      <c r="R56" s="58">
        <v>1</v>
      </c>
      <c r="S56" s="58">
        <v>8</v>
      </c>
      <c r="T56" s="9" t="s">
        <v>3252</v>
      </c>
      <c r="U56" s="9" t="s">
        <v>3253</v>
      </c>
      <c r="V56" s="58">
        <v>1</v>
      </c>
      <c r="W56" s="9"/>
      <c r="X56" s="9"/>
      <c r="Y56" s="9"/>
      <c r="Z56" s="9"/>
    </row>
    <row r="57" spans="1:26" ht="15.75" hidden="1" customHeight="1">
      <c r="A57" s="9" t="s">
        <v>2186</v>
      </c>
      <c r="B57" s="9" t="s">
        <v>3249</v>
      </c>
      <c r="C57" s="9" t="s">
        <v>2188</v>
      </c>
      <c r="D57" s="9" t="s">
        <v>368</v>
      </c>
      <c r="E57" s="9" t="s">
        <v>3067</v>
      </c>
      <c r="F57" s="58" t="s">
        <v>3057</v>
      </c>
      <c r="G57" s="58">
        <v>8400</v>
      </c>
      <c r="H57" s="85">
        <v>0.2</v>
      </c>
      <c r="I57" s="9">
        <v>32.5</v>
      </c>
      <c r="J57" s="9"/>
      <c r="K57" s="9"/>
      <c r="L57" s="9"/>
      <c r="M57" s="9"/>
      <c r="N57" s="9" t="s">
        <v>3250</v>
      </c>
      <c r="O57" s="9" t="s">
        <v>3051</v>
      </c>
      <c r="P57" s="9" t="s">
        <v>3254</v>
      </c>
      <c r="Q57" s="58" t="s">
        <v>3074</v>
      </c>
      <c r="R57" s="58">
        <v>4</v>
      </c>
      <c r="S57" s="58">
        <v>7</v>
      </c>
      <c r="T57" s="9" t="s">
        <v>3252</v>
      </c>
      <c r="U57" s="9" t="s">
        <v>3255</v>
      </c>
      <c r="V57" s="58">
        <v>4</v>
      </c>
      <c r="W57" s="9"/>
      <c r="X57" s="9"/>
      <c r="Y57" s="9"/>
      <c r="Z57" s="9"/>
    </row>
    <row r="58" spans="1:26" ht="15.75" hidden="1" customHeight="1">
      <c r="A58" s="9" t="s">
        <v>1134</v>
      </c>
      <c r="B58" s="9" t="s">
        <v>3256</v>
      </c>
      <c r="C58" s="9" t="s">
        <v>521</v>
      </c>
      <c r="D58" s="9" t="s">
        <v>439</v>
      </c>
      <c r="E58" s="9"/>
      <c r="F58" s="9"/>
      <c r="G58" s="58">
        <v>21600</v>
      </c>
      <c r="H58" s="85">
        <v>2.2222222222222199E-2</v>
      </c>
      <c r="I58" s="9">
        <v>30.3</v>
      </c>
      <c r="J58" s="9"/>
      <c r="K58" s="9"/>
      <c r="L58" s="9"/>
      <c r="M58" s="9"/>
      <c r="N58" s="9" t="s">
        <v>3257</v>
      </c>
      <c r="O58" s="9" t="s">
        <v>3258</v>
      </c>
      <c r="P58" s="9" t="s">
        <v>3259</v>
      </c>
      <c r="Q58" s="58" t="s">
        <v>3260</v>
      </c>
      <c r="R58" s="9">
        <v>1</v>
      </c>
      <c r="S58" s="9">
        <v>8</v>
      </c>
      <c r="T58" s="9" t="s">
        <v>3261</v>
      </c>
      <c r="U58" s="9" t="s">
        <v>3262</v>
      </c>
      <c r="V58" s="9">
        <v>1</v>
      </c>
      <c r="W58" s="9"/>
      <c r="X58" s="9"/>
      <c r="Y58" s="9"/>
      <c r="Z58" s="9"/>
    </row>
    <row r="59" spans="1:26" ht="15.75" hidden="1" customHeight="1">
      <c r="A59" s="9" t="s">
        <v>1134</v>
      </c>
      <c r="B59" s="9" t="s">
        <v>3256</v>
      </c>
      <c r="C59" s="9" t="s">
        <v>521</v>
      </c>
      <c r="D59" s="9" t="s">
        <v>368</v>
      </c>
      <c r="E59" s="9" t="s">
        <v>3263</v>
      </c>
      <c r="F59" s="58" t="s">
        <v>3057</v>
      </c>
      <c r="G59" s="58">
        <v>10500</v>
      </c>
      <c r="H59" s="85">
        <v>0.08</v>
      </c>
      <c r="I59" s="9">
        <v>30.3</v>
      </c>
      <c r="J59" s="9"/>
      <c r="K59" s="9"/>
      <c r="L59" s="9"/>
      <c r="M59" s="9"/>
      <c r="N59" s="9" t="s">
        <v>3257</v>
      </c>
      <c r="O59" s="9" t="s">
        <v>3258</v>
      </c>
      <c r="P59" s="9" t="s">
        <v>3264</v>
      </c>
      <c r="Q59" s="58" t="s">
        <v>3143</v>
      </c>
      <c r="R59" s="9">
        <v>2</v>
      </c>
      <c r="S59" s="9">
        <v>7</v>
      </c>
      <c r="T59" s="9" t="s">
        <v>3261</v>
      </c>
      <c r="U59" s="9" t="s">
        <v>3265</v>
      </c>
      <c r="V59" s="9">
        <v>2</v>
      </c>
      <c r="W59" s="9"/>
      <c r="X59" s="9"/>
      <c r="Y59" s="9"/>
      <c r="Z59" s="9"/>
    </row>
    <row r="60" spans="1:26" ht="15.75" hidden="1" customHeight="1">
      <c r="A60" s="9" t="s">
        <v>1139</v>
      </c>
      <c r="B60" s="9" t="s">
        <v>3266</v>
      </c>
      <c r="C60" s="9" t="s">
        <v>518</v>
      </c>
      <c r="D60" s="9" t="s">
        <v>439</v>
      </c>
      <c r="E60" s="9"/>
      <c r="F60" s="9"/>
      <c r="G60" s="58">
        <v>21600</v>
      </c>
      <c r="H60" s="85">
        <v>2.2222222222222199E-2</v>
      </c>
      <c r="I60" s="9">
        <v>30.3</v>
      </c>
      <c r="J60" s="9"/>
      <c r="K60" s="9"/>
      <c r="L60" s="9"/>
      <c r="M60" s="9"/>
      <c r="N60" s="9" t="s">
        <v>3267</v>
      </c>
      <c r="O60" s="9" t="s">
        <v>3258</v>
      </c>
      <c r="P60" s="9" t="s">
        <v>3259</v>
      </c>
      <c r="Q60" s="58" t="s">
        <v>3260</v>
      </c>
      <c r="R60" s="9">
        <v>1</v>
      </c>
      <c r="S60" s="9">
        <v>8</v>
      </c>
      <c r="T60" s="9" t="s">
        <v>3268</v>
      </c>
      <c r="U60" s="9" t="s">
        <v>3269</v>
      </c>
      <c r="V60" s="9">
        <v>1</v>
      </c>
      <c r="W60" s="9"/>
      <c r="X60" s="9"/>
      <c r="Y60" s="9"/>
      <c r="Z60" s="9"/>
    </row>
    <row r="61" spans="1:26" ht="15.75" hidden="1" customHeight="1">
      <c r="A61" s="9" t="s">
        <v>1139</v>
      </c>
      <c r="B61" s="9" t="s">
        <v>3266</v>
      </c>
      <c r="C61" s="9" t="s">
        <v>518</v>
      </c>
      <c r="D61" s="9" t="s">
        <v>368</v>
      </c>
      <c r="E61" s="9" t="s">
        <v>3270</v>
      </c>
      <c r="F61" s="58" t="s">
        <v>3057</v>
      </c>
      <c r="G61" s="58">
        <v>7700</v>
      </c>
      <c r="H61" s="85">
        <v>0.218181818181818</v>
      </c>
      <c r="I61" s="9">
        <v>30.3</v>
      </c>
      <c r="J61" s="9"/>
      <c r="K61" s="9"/>
      <c r="L61" s="9"/>
      <c r="M61" s="9"/>
      <c r="N61" s="9" t="s">
        <v>3267</v>
      </c>
      <c r="O61" s="9" t="s">
        <v>3258</v>
      </c>
      <c r="P61" s="9" t="s">
        <v>3271</v>
      </c>
      <c r="Q61" s="58" t="s">
        <v>3077</v>
      </c>
      <c r="R61" s="9">
        <v>4</v>
      </c>
      <c r="S61" s="9">
        <v>7</v>
      </c>
      <c r="T61" s="9" t="s">
        <v>3268</v>
      </c>
      <c r="U61" s="9" t="s">
        <v>3272</v>
      </c>
      <c r="V61" s="9">
        <v>4</v>
      </c>
      <c r="W61" s="9"/>
      <c r="X61" s="9"/>
      <c r="Y61" s="9"/>
      <c r="Z61" s="9"/>
    </row>
    <row r="62" spans="1:26" ht="15.75" hidden="1" customHeight="1">
      <c r="A62" s="9" t="s">
        <v>1140</v>
      </c>
      <c r="B62" s="9" t="s">
        <v>3273</v>
      </c>
      <c r="C62" s="9" t="s">
        <v>518</v>
      </c>
      <c r="D62" s="9" t="s">
        <v>439</v>
      </c>
      <c r="E62" s="9"/>
      <c r="F62" s="9"/>
      <c r="G62" s="58">
        <v>21600</v>
      </c>
      <c r="H62" s="85">
        <v>2.2222222222222199E-2</v>
      </c>
      <c r="I62" s="9">
        <v>30.3</v>
      </c>
      <c r="J62" s="9"/>
      <c r="K62" s="9"/>
      <c r="L62" s="9"/>
      <c r="M62" s="9"/>
      <c r="N62" s="9" t="s">
        <v>3274</v>
      </c>
      <c r="O62" s="9" t="s">
        <v>3258</v>
      </c>
      <c r="P62" s="9" t="s">
        <v>3259</v>
      </c>
      <c r="Q62" s="58" t="s">
        <v>3260</v>
      </c>
      <c r="R62" s="9">
        <v>1</v>
      </c>
      <c r="S62" s="9">
        <v>8</v>
      </c>
      <c r="T62" s="9" t="s">
        <v>3275</v>
      </c>
      <c r="U62" s="9" t="s">
        <v>3276</v>
      </c>
      <c r="V62" s="9">
        <v>1</v>
      </c>
      <c r="W62" s="9"/>
      <c r="X62" s="9"/>
      <c r="Y62" s="9"/>
      <c r="Z62" s="9"/>
    </row>
    <row r="63" spans="1:26" ht="15.75" hidden="1" customHeight="1">
      <c r="A63" s="9" t="s">
        <v>1140</v>
      </c>
      <c r="B63" s="9" t="s">
        <v>3273</v>
      </c>
      <c r="C63" s="9" t="s">
        <v>518</v>
      </c>
      <c r="D63" s="9" t="s">
        <v>368</v>
      </c>
      <c r="E63" s="9" t="s">
        <v>3270</v>
      </c>
      <c r="F63" s="58" t="s">
        <v>3057</v>
      </c>
      <c r="G63" s="58">
        <v>7700</v>
      </c>
      <c r="H63" s="85">
        <v>0.218181818181818</v>
      </c>
      <c r="I63" s="9">
        <v>30.3</v>
      </c>
      <c r="J63" s="9"/>
      <c r="K63" s="9"/>
      <c r="L63" s="9"/>
      <c r="M63" s="9"/>
      <c r="N63" s="9" t="s">
        <v>3274</v>
      </c>
      <c r="O63" s="9" t="s">
        <v>3258</v>
      </c>
      <c r="P63" s="9" t="s">
        <v>3271</v>
      </c>
      <c r="Q63" s="58" t="s">
        <v>3077</v>
      </c>
      <c r="R63" s="9">
        <v>4</v>
      </c>
      <c r="S63" s="9">
        <v>7</v>
      </c>
      <c r="T63" s="9" t="s">
        <v>3275</v>
      </c>
      <c r="U63" s="9" t="s">
        <v>3277</v>
      </c>
      <c r="V63" s="9">
        <v>4</v>
      </c>
      <c r="W63" s="9"/>
      <c r="X63" s="9"/>
      <c r="Y63" s="9"/>
      <c r="Z63" s="9"/>
    </row>
    <row r="64" spans="1:26" ht="15.75" hidden="1" customHeight="1">
      <c r="A64" s="9" t="s">
        <v>2438</v>
      </c>
      <c r="B64" s="9" t="s">
        <v>3278</v>
      </c>
      <c r="C64" s="9" t="s">
        <v>2440</v>
      </c>
      <c r="D64" s="9" t="s">
        <v>439</v>
      </c>
      <c r="E64" s="9"/>
      <c r="F64" s="9"/>
      <c r="G64" s="58">
        <v>10400</v>
      </c>
      <c r="H64" s="85">
        <v>4.6153846153846101E-2</v>
      </c>
      <c r="I64" s="9" t="s">
        <v>3279</v>
      </c>
      <c r="J64" s="9"/>
      <c r="K64" s="9"/>
      <c r="L64" s="9"/>
      <c r="M64" s="9"/>
      <c r="N64" s="9" t="s">
        <v>3280</v>
      </c>
      <c r="O64" s="9" t="s">
        <v>3051</v>
      </c>
      <c r="P64" s="9" t="s">
        <v>3063</v>
      </c>
      <c r="Q64" s="58" t="s">
        <v>3064</v>
      </c>
      <c r="R64" s="58">
        <v>1</v>
      </c>
      <c r="S64" s="58">
        <v>8</v>
      </c>
      <c r="T64" s="9" t="s">
        <v>3281</v>
      </c>
      <c r="U64" s="9" t="s">
        <v>3282</v>
      </c>
      <c r="V64" s="58">
        <v>1</v>
      </c>
      <c r="W64" s="9"/>
      <c r="X64" s="9"/>
      <c r="Y64" s="9"/>
      <c r="Z64" s="9"/>
    </row>
    <row r="65" spans="1:26" ht="15.75" hidden="1" customHeight="1">
      <c r="A65" s="9" t="s">
        <v>2438</v>
      </c>
      <c r="B65" s="9" t="s">
        <v>3278</v>
      </c>
      <c r="C65" s="9" t="s">
        <v>2440</v>
      </c>
      <c r="D65" s="9" t="s">
        <v>368</v>
      </c>
      <c r="E65" s="9" t="s">
        <v>3283</v>
      </c>
      <c r="F65" s="58" t="s">
        <v>3087</v>
      </c>
      <c r="G65" s="58">
        <v>4900</v>
      </c>
      <c r="H65" s="85">
        <v>0.34285714285714203</v>
      </c>
      <c r="I65" s="9" t="s">
        <v>3279</v>
      </c>
      <c r="J65" s="9"/>
      <c r="K65" s="9"/>
      <c r="L65" s="9"/>
      <c r="M65" s="9"/>
      <c r="N65" s="9" t="s">
        <v>3280</v>
      </c>
      <c r="O65" s="9" t="s">
        <v>3051</v>
      </c>
      <c r="P65" s="9" t="s">
        <v>3284</v>
      </c>
      <c r="Q65" s="58" t="s">
        <v>3155</v>
      </c>
      <c r="R65" s="58">
        <v>4</v>
      </c>
      <c r="S65" s="58">
        <v>7</v>
      </c>
      <c r="T65" s="9" t="s">
        <v>3281</v>
      </c>
      <c r="U65" s="9" t="s">
        <v>3285</v>
      </c>
      <c r="V65" s="58">
        <v>4</v>
      </c>
      <c r="W65" s="9"/>
      <c r="X65" s="9"/>
      <c r="Y65" s="9"/>
      <c r="Z65" s="9"/>
    </row>
    <row r="66" spans="1:26" ht="15.75" hidden="1" customHeight="1">
      <c r="A66" s="9" t="s">
        <v>2444</v>
      </c>
      <c r="B66" s="9" t="s">
        <v>3286</v>
      </c>
      <c r="C66" s="9" t="s">
        <v>2446</v>
      </c>
      <c r="D66" s="9" t="s">
        <v>439</v>
      </c>
      <c r="E66" s="9"/>
      <c r="F66" s="9"/>
      <c r="G66" s="58">
        <v>10400</v>
      </c>
      <c r="H66" s="85">
        <v>4.6153846153846101E-2</v>
      </c>
      <c r="I66" s="9" t="s">
        <v>3279</v>
      </c>
      <c r="J66" s="9"/>
      <c r="K66" s="9"/>
      <c r="L66" s="9"/>
      <c r="M66" s="9"/>
      <c r="N66" s="9" t="s">
        <v>3280</v>
      </c>
      <c r="O66" s="9" t="s">
        <v>3051</v>
      </c>
      <c r="P66" s="9" t="s">
        <v>3063</v>
      </c>
      <c r="Q66" s="58" t="s">
        <v>3064</v>
      </c>
      <c r="R66" s="58">
        <v>1</v>
      </c>
      <c r="S66" s="58">
        <v>8</v>
      </c>
      <c r="T66" s="9" t="s">
        <v>3281</v>
      </c>
      <c r="U66" s="9" t="s">
        <v>3287</v>
      </c>
      <c r="V66" s="58">
        <v>1</v>
      </c>
      <c r="W66" s="9"/>
      <c r="X66" s="9"/>
      <c r="Y66" s="9"/>
      <c r="Z66" s="9"/>
    </row>
    <row r="67" spans="1:26" ht="15.75" hidden="1" customHeight="1">
      <c r="A67" s="9" t="s">
        <v>2444</v>
      </c>
      <c r="B67" s="9" t="s">
        <v>3286</v>
      </c>
      <c r="C67" s="9" t="s">
        <v>2446</v>
      </c>
      <c r="D67" s="9" t="s">
        <v>368</v>
      </c>
      <c r="E67" s="9" t="s">
        <v>3283</v>
      </c>
      <c r="F67" s="58" t="s">
        <v>3087</v>
      </c>
      <c r="G67" s="58">
        <v>4900</v>
      </c>
      <c r="H67" s="85">
        <v>0.34285714285714203</v>
      </c>
      <c r="I67" s="9" t="s">
        <v>3279</v>
      </c>
      <c r="J67" s="9"/>
      <c r="K67" s="9"/>
      <c r="L67" s="9"/>
      <c r="M67" s="9"/>
      <c r="N67" s="9" t="s">
        <v>3280</v>
      </c>
      <c r="O67" s="9" t="s">
        <v>3051</v>
      </c>
      <c r="P67" s="9" t="s">
        <v>3284</v>
      </c>
      <c r="Q67" s="58" t="s">
        <v>3155</v>
      </c>
      <c r="R67" s="58">
        <v>4</v>
      </c>
      <c r="S67" s="58">
        <v>7</v>
      </c>
      <c r="T67" s="9" t="s">
        <v>3281</v>
      </c>
      <c r="U67" s="9" t="s">
        <v>3288</v>
      </c>
      <c r="V67" s="58">
        <v>4</v>
      </c>
      <c r="W67" s="9"/>
      <c r="X67" s="9"/>
      <c r="Y67" s="9"/>
      <c r="Z67" s="9"/>
    </row>
    <row r="68" spans="1:26" ht="15.75" hidden="1" customHeight="1">
      <c r="A68" s="9" t="s">
        <v>2447</v>
      </c>
      <c r="B68" s="9" t="s">
        <v>3289</v>
      </c>
      <c r="C68" s="9" t="s">
        <v>2449</v>
      </c>
      <c r="D68" s="9" t="s">
        <v>439</v>
      </c>
      <c r="E68" s="9"/>
      <c r="F68" s="9"/>
      <c r="G68" s="58">
        <v>10400</v>
      </c>
      <c r="H68" s="85">
        <v>4.6153846153846101E-2</v>
      </c>
      <c r="I68" s="9" t="s">
        <v>3279</v>
      </c>
      <c r="J68" s="9"/>
      <c r="K68" s="9"/>
      <c r="L68" s="9"/>
      <c r="M68" s="9"/>
      <c r="N68" s="9" t="s">
        <v>3280</v>
      </c>
      <c r="O68" s="9" t="s">
        <v>3051</v>
      </c>
      <c r="P68" s="9" t="s">
        <v>3063</v>
      </c>
      <c r="Q68" s="58" t="s">
        <v>3064</v>
      </c>
      <c r="R68" s="58">
        <v>1</v>
      </c>
      <c r="S68" s="58">
        <v>8</v>
      </c>
      <c r="T68" s="9" t="s">
        <v>3281</v>
      </c>
      <c r="U68" s="9" t="s">
        <v>3290</v>
      </c>
      <c r="V68" s="58">
        <v>1</v>
      </c>
      <c r="W68" s="9"/>
      <c r="X68" s="9"/>
      <c r="Y68" s="9"/>
      <c r="Z68" s="9"/>
    </row>
    <row r="69" spans="1:26" ht="15.75" hidden="1" customHeight="1">
      <c r="A69" s="9" t="s">
        <v>2447</v>
      </c>
      <c r="B69" s="9" t="s">
        <v>3289</v>
      </c>
      <c r="C69" s="9" t="s">
        <v>2449</v>
      </c>
      <c r="D69" s="9" t="s">
        <v>368</v>
      </c>
      <c r="E69" s="9" t="s">
        <v>3283</v>
      </c>
      <c r="F69" s="58" t="s">
        <v>3087</v>
      </c>
      <c r="G69" s="58">
        <v>4900</v>
      </c>
      <c r="H69" s="85">
        <v>0.34285714285714203</v>
      </c>
      <c r="I69" s="9" t="s">
        <v>3279</v>
      </c>
      <c r="J69" s="9"/>
      <c r="K69" s="9"/>
      <c r="L69" s="9"/>
      <c r="M69" s="9"/>
      <c r="N69" s="9" t="s">
        <v>3280</v>
      </c>
      <c r="O69" s="9" t="s">
        <v>3051</v>
      </c>
      <c r="P69" s="9" t="s">
        <v>3284</v>
      </c>
      <c r="Q69" s="58" t="s">
        <v>3155</v>
      </c>
      <c r="R69" s="58">
        <v>4</v>
      </c>
      <c r="S69" s="58">
        <v>7</v>
      </c>
      <c r="T69" s="9" t="s">
        <v>3281</v>
      </c>
      <c r="U69" s="9" t="s">
        <v>3291</v>
      </c>
      <c r="V69" s="58">
        <v>4</v>
      </c>
      <c r="W69" s="9"/>
      <c r="X69" s="9"/>
      <c r="Y69" s="9"/>
      <c r="Z69" s="9"/>
    </row>
    <row r="70" spans="1:26" ht="15.75" hidden="1" customHeight="1">
      <c r="A70" s="9" t="s">
        <v>1145</v>
      </c>
      <c r="B70" s="9" t="s">
        <v>3292</v>
      </c>
      <c r="C70" s="9" t="s">
        <v>812</v>
      </c>
      <c r="D70" s="9" t="s">
        <v>439</v>
      </c>
      <c r="E70" s="9"/>
      <c r="F70" s="9"/>
      <c r="G70" s="58">
        <v>11200</v>
      </c>
      <c r="H70" s="85">
        <v>4.2857142857142802E-2</v>
      </c>
      <c r="I70" s="9">
        <v>51.9</v>
      </c>
      <c r="J70" s="9"/>
      <c r="K70" s="9"/>
      <c r="L70" s="9"/>
      <c r="M70" s="9"/>
      <c r="N70" s="9" t="s">
        <v>3136</v>
      </c>
      <c r="O70" s="9" t="s">
        <v>3051</v>
      </c>
      <c r="P70" s="9" t="s">
        <v>3293</v>
      </c>
      <c r="Q70" s="58" t="s">
        <v>3294</v>
      </c>
      <c r="R70" s="58">
        <v>1</v>
      </c>
      <c r="S70" s="58">
        <v>8</v>
      </c>
      <c r="T70" s="9" t="s">
        <v>3295</v>
      </c>
      <c r="U70" s="9" t="s">
        <v>3296</v>
      </c>
      <c r="V70" s="58">
        <v>1</v>
      </c>
      <c r="W70" s="9"/>
      <c r="X70" s="9"/>
      <c r="Y70" s="9"/>
      <c r="Z70" s="9"/>
    </row>
    <row r="71" spans="1:26" ht="15.75" hidden="1" customHeight="1">
      <c r="A71" s="9" t="s">
        <v>1145</v>
      </c>
      <c r="B71" s="9" t="s">
        <v>3292</v>
      </c>
      <c r="C71" s="9" t="s">
        <v>812</v>
      </c>
      <c r="D71" s="9" t="s">
        <v>368</v>
      </c>
      <c r="E71" s="9" t="s">
        <v>3297</v>
      </c>
      <c r="F71" s="58" t="s">
        <v>3057</v>
      </c>
      <c r="G71" s="58">
        <v>6020</v>
      </c>
      <c r="H71" s="85">
        <v>0.209302325581395</v>
      </c>
      <c r="I71" s="9">
        <v>51.9</v>
      </c>
      <c r="J71" s="9"/>
      <c r="K71" s="9"/>
      <c r="L71" s="9"/>
      <c r="M71" s="9"/>
      <c r="N71" s="9" t="s">
        <v>3136</v>
      </c>
      <c r="O71" s="9" t="s">
        <v>3051</v>
      </c>
      <c r="P71" s="9" t="s">
        <v>3298</v>
      </c>
      <c r="Q71" s="58" t="s">
        <v>3083</v>
      </c>
      <c r="R71" s="58">
        <v>3</v>
      </c>
      <c r="S71" s="58">
        <v>7</v>
      </c>
      <c r="T71" s="9" t="s">
        <v>3295</v>
      </c>
      <c r="U71" s="9" t="s">
        <v>3299</v>
      </c>
      <c r="V71" s="58">
        <v>3</v>
      </c>
      <c r="W71" s="9"/>
      <c r="X71" s="9"/>
      <c r="Y71" s="9"/>
      <c r="Z71" s="9"/>
    </row>
    <row r="72" spans="1:26" ht="15.75" hidden="1" customHeight="1">
      <c r="A72" s="9" t="s">
        <v>1150</v>
      </c>
      <c r="B72" s="9" t="s">
        <v>3300</v>
      </c>
      <c r="C72" s="9" t="s">
        <v>621</v>
      </c>
      <c r="D72" s="9" t="s">
        <v>439</v>
      </c>
      <c r="E72" s="9"/>
      <c r="F72" s="9"/>
      <c r="G72" s="58">
        <v>11200</v>
      </c>
      <c r="H72" s="85">
        <v>4.2857142857142802E-2</v>
      </c>
      <c r="I72" s="9">
        <v>51.9</v>
      </c>
      <c r="J72" s="9"/>
      <c r="K72" s="9"/>
      <c r="L72" s="9"/>
      <c r="M72" s="9"/>
      <c r="N72" s="9" t="s">
        <v>3136</v>
      </c>
      <c r="O72" s="9" t="s">
        <v>3051</v>
      </c>
      <c r="P72" s="9" t="s">
        <v>3293</v>
      </c>
      <c r="Q72" s="58" t="s">
        <v>3294</v>
      </c>
      <c r="R72" s="58">
        <v>1</v>
      </c>
      <c r="S72" s="58">
        <v>8</v>
      </c>
      <c r="T72" s="9" t="s">
        <v>3295</v>
      </c>
      <c r="U72" s="9" t="s">
        <v>3301</v>
      </c>
      <c r="V72" s="58">
        <v>1</v>
      </c>
      <c r="W72" s="9"/>
      <c r="X72" s="9"/>
      <c r="Y72" s="9"/>
      <c r="Z72" s="9"/>
    </row>
    <row r="73" spans="1:26" ht="15.75" hidden="1" customHeight="1">
      <c r="A73" s="9" t="s">
        <v>1150</v>
      </c>
      <c r="B73" s="9" t="s">
        <v>3300</v>
      </c>
      <c r="C73" s="9" t="s">
        <v>621</v>
      </c>
      <c r="D73" s="9" t="s">
        <v>368</v>
      </c>
      <c r="E73" s="9" t="s">
        <v>3297</v>
      </c>
      <c r="F73" s="58" t="s">
        <v>3057</v>
      </c>
      <c r="G73" s="58">
        <v>6020</v>
      </c>
      <c r="H73" s="85">
        <v>0.209302325581395</v>
      </c>
      <c r="I73" s="9">
        <v>51.9</v>
      </c>
      <c r="J73" s="9"/>
      <c r="K73" s="9"/>
      <c r="L73" s="9"/>
      <c r="M73" s="9"/>
      <c r="N73" s="9" t="s">
        <v>3136</v>
      </c>
      <c r="O73" s="9" t="s">
        <v>3051</v>
      </c>
      <c r="P73" s="9" t="s">
        <v>3298</v>
      </c>
      <c r="Q73" s="58" t="s">
        <v>3083</v>
      </c>
      <c r="R73" s="58">
        <v>3</v>
      </c>
      <c r="S73" s="58">
        <v>7</v>
      </c>
      <c r="T73" s="9" t="s">
        <v>3295</v>
      </c>
      <c r="U73" s="9" t="s">
        <v>3302</v>
      </c>
      <c r="V73" s="58">
        <v>3</v>
      </c>
      <c r="W73" s="9"/>
      <c r="X73" s="9"/>
      <c r="Y73" s="9"/>
      <c r="Z73" s="9"/>
    </row>
    <row r="74" spans="1:26" ht="15.75" hidden="1" customHeight="1">
      <c r="A74" s="9" t="s">
        <v>1155</v>
      </c>
      <c r="B74" s="9" t="s">
        <v>3303</v>
      </c>
      <c r="C74" s="9" t="s">
        <v>629</v>
      </c>
      <c r="D74" s="9" t="s">
        <v>439</v>
      </c>
      <c r="E74" s="9"/>
      <c r="F74" s="9"/>
      <c r="G74" s="58">
        <v>11200</v>
      </c>
      <c r="H74" s="85">
        <v>4.2857142857142802E-2</v>
      </c>
      <c r="I74" s="9">
        <v>51.8</v>
      </c>
      <c r="J74" s="9"/>
      <c r="K74" s="9"/>
      <c r="L74" s="9"/>
      <c r="M74" s="9"/>
      <c r="N74" s="9" t="s">
        <v>3136</v>
      </c>
      <c r="O74" s="9" t="s">
        <v>3051</v>
      </c>
      <c r="P74" s="9" t="s">
        <v>3293</v>
      </c>
      <c r="Q74" s="58" t="s">
        <v>3294</v>
      </c>
      <c r="R74" s="58">
        <v>1</v>
      </c>
      <c r="S74" s="58">
        <v>8</v>
      </c>
      <c r="T74" s="9" t="s">
        <v>3295</v>
      </c>
      <c r="U74" s="9" t="s">
        <v>3304</v>
      </c>
      <c r="V74" s="58">
        <v>1</v>
      </c>
      <c r="W74" s="9"/>
      <c r="X74" s="9"/>
      <c r="Y74" s="9"/>
      <c r="Z74" s="9"/>
    </row>
    <row r="75" spans="1:26" ht="15.75" hidden="1" customHeight="1">
      <c r="A75" s="9" t="s">
        <v>1155</v>
      </c>
      <c r="B75" s="9" t="s">
        <v>3303</v>
      </c>
      <c r="C75" s="9" t="s">
        <v>629</v>
      </c>
      <c r="D75" s="9" t="s">
        <v>368</v>
      </c>
      <c r="E75" s="9" t="s">
        <v>3297</v>
      </c>
      <c r="F75" s="58" t="s">
        <v>3057</v>
      </c>
      <c r="G75" s="58">
        <v>6020</v>
      </c>
      <c r="H75" s="85">
        <v>0.209302325581395</v>
      </c>
      <c r="I75" s="9">
        <v>51.8</v>
      </c>
      <c r="J75" s="9"/>
      <c r="K75" s="9"/>
      <c r="L75" s="9"/>
      <c r="M75" s="9"/>
      <c r="N75" s="9" t="s">
        <v>3136</v>
      </c>
      <c r="O75" s="9" t="s">
        <v>3051</v>
      </c>
      <c r="P75" s="9" t="s">
        <v>3298</v>
      </c>
      <c r="Q75" s="58" t="s">
        <v>3083</v>
      </c>
      <c r="R75" s="58">
        <v>3</v>
      </c>
      <c r="S75" s="58">
        <v>7</v>
      </c>
      <c r="T75" s="9" t="s">
        <v>3295</v>
      </c>
      <c r="U75" s="9" t="s">
        <v>3305</v>
      </c>
      <c r="V75" s="58">
        <v>3</v>
      </c>
      <c r="W75" s="9"/>
      <c r="X75" s="9"/>
      <c r="Y75" s="9"/>
      <c r="Z75" s="9"/>
    </row>
    <row r="76" spans="1:26" ht="15.75" hidden="1" customHeight="1">
      <c r="A76" s="9" t="s">
        <v>1158</v>
      </c>
      <c r="B76" s="9" t="s">
        <v>3306</v>
      </c>
      <c r="C76" s="9" t="s">
        <v>667</v>
      </c>
      <c r="D76" s="9" t="s">
        <v>439</v>
      </c>
      <c r="E76" s="9"/>
      <c r="F76" s="9"/>
      <c r="G76" s="58">
        <v>11200</v>
      </c>
      <c r="H76" s="85">
        <v>4.2857142857142802E-2</v>
      </c>
      <c r="I76" s="9">
        <v>52</v>
      </c>
      <c r="J76" s="9"/>
      <c r="K76" s="9"/>
      <c r="L76" s="9"/>
      <c r="M76" s="9"/>
      <c r="N76" s="9" t="s">
        <v>3136</v>
      </c>
      <c r="O76" s="9" t="s">
        <v>3051</v>
      </c>
      <c r="P76" s="9" t="s">
        <v>3293</v>
      </c>
      <c r="Q76" s="58" t="s">
        <v>3294</v>
      </c>
      <c r="R76" s="58">
        <v>1</v>
      </c>
      <c r="S76" s="58">
        <v>8</v>
      </c>
      <c r="T76" s="9" t="s">
        <v>3295</v>
      </c>
      <c r="U76" s="9" t="s">
        <v>3307</v>
      </c>
      <c r="V76" s="58">
        <v>1</v>
      </c>
      <c r="W76" s="9"/>
      <c r="X76" s="9"/>
      <c r="Y76" s="9"/>
      <c r="Z76" s="9"/>
    </row>
    <row r="77" spans="1:26" ht="15.75" hidden="1" customHeight="1">
      <c r="A77" s="9" t="s">
        <v>1158</v>
      </c>
      <c r="B77" s="9" t="s">
        <v>3306</v>
      </c>
      <c r="C77" s="9" t="s">
        <v>667</v>
      </c>
      <c r="D77" s="9" t="s">
        <v>368</v>
      </c>
      <c r="E77" s="9" t="s">
        <v>3297</v>
      </c>
      <c r="F77" s="58" t="s">
        <v>3057</v>
      </c>
      <c r="G77" s="58">
        <v>6300</v>
      </c>
      <c r="H77" s="85">
        <v>0.2</v>
      </c>
      <c r="I77" s="9">
        <v>52</v>
      </c>
      <c r="J77" s="9"/>
      <c r="K77" s="9"/>
      <c r="L77" s="9"/>
      <c r="M77" s="9"/>
      <c r="N77" s="9" t="s">
        <v>3136</v>
      </c>
      <c r="O77" s="9" t="s">
        <v>3051</v>
      </c>
      <c r="P77" s="9" t="s">
        <v>3308</v>
      </c>
      <c r="Q77" s="58" t="s">
        <v>3069</v>
      </c>
      <c r="R77" s="58">
        <v>3</v>
      </c>
      <c r="S77" s="58">
        <v>7</v>
      </c>
      <c r="T77" s="9" t="s">
        <v>3295</v>
      </c>
      <c r="U77" s="9" t="s">
        <v>3309</v>
      </c>
      <c r="V77" s="58">
        <v>3</v>
      </c>
      <c r="W77" s="9"/>
      <c r="X77" s="9"/>
      <c r="Y77" s="9"/>
      <c r="Z77" s="9"/>
    </row>
    <row r="78" spans="1:26" ht="15.75" hidden="1" customHeight="1">
      <c r="A78" s="9" t="s">
        <v>1160</v>
      </c>
      <c r="B78" s="9" t="s">
        <v>3310</v>
      </c>
      <c r="C78" s="9" t="s">
        <v>831</v>
      </c>
      <c r="D78" s="9" t="s">
        <v>439</v>
      </c>
      <c r="E78" s="9"/>
      <c r="F78" s="9"/>
      <c r="G78" s="58">
        <v>11200</v>
      </c>
      <c r="H78" s="85">
        <v>4.2857142857142802E-2</v>
      </c>
      <c r="I78" s="9">
        <v>50.5</v>
      </c>
      <c r="J78" s="9"/>
      <c r="K78" s="9"/>
      <c r="L78" s="9"/>
      <c r="M78" s="9"/>
      <c r="N78" s="9" t="s">
        <v>3136</v>
      </c>
      <c r="O78" s="9" t="s">
        <v>3051</v>
      </c>
      <c r="P78" s="9" t="s">
        <v>3293</v>
      </c>
      <c r="Q78" s="58" t="s">
        <v>3294</v>
      </c>
      <c r="R78" s="58">
        <v>1</v>
      </c>
      <c r="S78" s="58">
        <v>8</v>
      </c>
      <c r="T78" s="9" t="s">
        <v>3295</v>
      </c>
      <c r="U78" s="9" t="s">
        <v>3311</v>
      </c>
      <c r="V78" s="58">
        <v>1</v>
      </c>
      <c r="W78" s="9"/>
      <c r="X78" s="9"/>
      <c r="Y78" s="9"/>
      <c r="Z78" s="9"/>
    </row>
    <row r="79" spans="1:26" ht="15.75" hidden="1" customHeight="1">
      <c r="A79" s="9" t="s">
        <v>1160</v>
      </c>
      <c r="B79" s="9" t="s">
        <v>3310</v>
      </c>
      <c r="C79" s="9" t="s">
        <v>831</v>
      </c>
      <c r="D79" s="9" t="s">
        <v>368</v>
      </c>
      <c r="E79" s="9" t="s">
        <v>3297</v>
      </c>
      <c r="F79" s="58" t="s">
        <v>3057</v>
      </c>
      <c r="G79" s="58">
        <v>6020</v>
      </c>
      <c r="H79" s="85">
        <v>0.209302325581395</v>
      </c>
      <c r="I79" s="9">
        <v>50.5</v>
      </c>
      <c r="J79" s="9"/>
      <c r="K79" s="9"/>
      <c r="L79" s="9"/>
      <c r="M79" s="9"/>
      <c r="N79" s="9" t="s">
        <v>3136</v>
      </c>
      <c r="O79" s="9" t="s">
        <v>3051</v>
      </c>
      <c r="P79" s="9" t="s">
        <v>3298</v>
      </c>
      <c r="Q79" s="58" t="s">
        <v>3083</v>
      </c>
      <c r="R79" s="58">
        <v>3</v>
      </c>
      <c r="S79" s="58">
        <v>7</v>
      </c>
      <c r="T79" s="9" t="s">
        <v>3295</v>
      </c>
      <c r="U79" s="9" t="s">
        <v>3312</v>
      </c>
      <c r="V79" s="58">
        <v>3</v>
      </c>
      <c r="W79" s="9"/>
      <c r="X79" s="9"/>
      <c r="Y79" s="9"/>
      <c r="Z79" s="9"/>
    </row>
    <row r="80" spans="1:26" ht="15.75" hidden="1" customHeight="1">
      <c r="A80" s="9" t="s">
        <v>2234</v>
      </c>
      <c r="B80" s="9" t="s">
        <v>3313</v>
      </c>
      <c r="C80" s="9" t="s">
        <v>2236</v>
      </c>
      <c r="D80" s="9" t="s">
        <v>439</v>
      </c>
      <c r="E80" s="9"/>
      <c r="F80" s="9"/>
      <c r="G80" s="58">
        <v>9600</v>
      </c>
      <c r="H80" s="85">
        <v>0.05</v>
      </c>
      <c r="I80" s="9">
        <v>5.0999999999999996</v>
      </c>
      <c r="J80" s="9"/>
      <c r="K80" s="9"/>
      <c r="L80" s="9"/>
      <c r="M80" s="9"/>
      <c r="N80" s="9" t="s">
        <v>3130</v>
      </c>
      <c r="O80" s="9" t="s">
        <v>3051</v>
      </c>
      <c r="P80" s="9" t="s">
        <v>3111</v>
      </c>
      <c r="Q80" s="58" t="s">
        <v>3074</v>
      </c>
      <c r="R80" s="58">
        <v>1</v>
      </c>
      <c r="S80" s="58">
        <v>8</v>
      </c>
      <c r="T80" s="9" t="s">
        <v>3314</v>
      </c>
      <c r="U80" s="9" t="s">
        <v>3315</v>
      </c>
      <c r="V80" s="58">
        <v>1</v>
      </c>
      <c r="W80" s="9"/>
      <c r="X80" s="9"/>
      <c r="Y80" s="9"/>
      <c r="Z80" s="9"/>
    </row>
    <row r="81" spans="1:26" ht="15.75" hidden="1" customHeight="1">
      <c r="A81" s="9" t="s">
        <v>2234</v>
      </c>
      <c r="B81" s="9" t="s">
        <v>3313</v>
      </c>
      <c r="C81" s="9" t="s">
        <v>2236</v>
      </c>
      <c r="D81" s="9" t="s">
        <v>368</v>
      </c>
      <c r="E81" s="9" t="s">
        <v>3067</v>
      </c>
      <c r="F81" s="58" t="s">
        <v>3057</v>
      </c>
      <c r="G81" s="58">
        <v>5600</v>
      </c>
      <c r="H81" s="85">
        <v>0.3</v>
      </c>
      <c r="I81" s="9">
        <v>5.0999999999999996</v>
      </c>
      <c r="J81" s="9"/>
      <c r="K81" s="9"/>
      <c r="L81" s="9"/>
      <c r="M81" s="9"/>
      <c r="N81" s="9" t="s">
        <v>3130</v>
      </c>
      <c r="O81" s="9" t="s">
        <v>3051</v>
      </c>
      <c r="P81" s="9" t="s">
        <v>3316</v>
      </c>
      <c r="Q81" s="58" t="s">
        <v>3185</v>
      </c>
      <c r="R81" s="58">
        <v>4</v>
      </c>
      <c r="S81" s="58">
        <v>7</v>
      </c>
      <c r="T81" s="9" t="s">
        <v>3314</v>
      </c>
      <c r="U81" s="9" t="s">
        <v>3317</v>
      </c>
      <c r="V81" s="58">
        <v>4</v>
      </c>
      <c r="W81" s="9"/>
      <c r="X81" s="9"/>
      <c r="Y81" s="9"/>
      <c r="Z81" s="9"/>
    </row>
    <row r="82" spans="1:26" ht="15.75" hidden="1" customHeight="1">
      <c r="A82" s="9" t="s">
        <v>1165</v>
      </c>
      <c r="B82" s="9" t="s">
        <v>3318</v>
      </c>
      <c r="C82" s="9" t="s">
        <v>627</v>
      </c>
      <c r="D82" s="9" t="s">
        <v>439</v>
      </c>
      <c r="E82" s="9"/>
      <c r="F82" s="9"/>
      <c r="G82" s="58">
        <v>11200</v>
      </c>
      <c r="H82" s="85">
        <v>4.2857142857142802E-2</v>
      </c>
      <c r="I82" s="9">
        <v>50.2</v>
      </c>
      <c r="J82" s="9"/>
      <c r="K82" s="9"/>
      <c r="L82" s="9"/>
      <c r="M82" s="9"/>
      <c r="N82" s="9" t="s">
        <v>3136</v>
      </c>
      <c r="O82" s="9" t="s">
        <v>3051</v>
      </c>
      <c r="P82" s="9" t="s">
        <v>3293</v>
      </c>
      <c r="Q82" s="58" t="s">
        <v>3294</v>
      </c>
      <c r="R82" s="58">
        <v>1</v>
      </c>
      <c r="S82" s="58">
        <v>8</v>
      </c>
      <c r="T82" s="9" t="s">
        <v>3295</v>
      </c>
      <c r="U82" s="9" t="s">
        <v>3319</v>
      </c>
      <c r="V82" s="58">
        <v>1</v>
      </c>
      <c r="W82" s="9"/>
      <c r="X82" s="9"/>
      <c r="Y82" s="9"/>
      <c r="Z82" s="9"/>
    </row>
    <row r="83" spans="1:26" ht="15.75" hidden="1" customHeight="1">
      <c r="A83" s="9" t="s">
        <v>1165</v>
      </c>
      <c r="B83" s="9" t="s">
        <v>3318</v>
      </c>
      <c r="C83" s="9" t="s">
        <v>627</v>
      </c>
      <c r="D83" s="9" t="s">
        <v>368</v>
      </c>
      <c r="E83" s="9" t="s">
        <v>3297</v>
      </c>
      <c r="F83" s="58" t="s">
        <v>3057</v>
      </c>
      <c r="G83" s="58">
        <v>6020</v>
      </c>
      <c r="H83" s="85">
        <v>0.209302325581395</v>
      </c>
      <c r="I83" s="9">
        <v>50.2</v>
      </c>
      <c r="J83" s="9"/>
      <c r="K83" s="9"/>
      <c r="L83" s="9"/>
      <c r="M83" s="9"/>
      <c r="N83" s="9" t="s">
        <v>3136</v>
      </c>
      <c r="O83" s="9" t="s">
        <v>3051</v>
      </c>
      <c r="P83" s="9" t="s">
        <v>3298</v>
      </c>
      <c r="Q83" s="58" t="s">
        <v>3083</v>
      </c>
      <c r="R83" s="58">
        <v>3</v>
      </c>
      <c r="S83" s="58">
        <v>7</v>
      </c>
      <c r="T83" s="9" t="s">
        <v>3295</v>
      </c>
      <c r="U83" s="9" t="s">
        <v>3320</v>
      </c>
      <c r="V83" s="58">
        <v>3</v>
      </c>
      <c r="W83" s="9"/>
      <c r="X83" s="9"/>
      <c r="Y83" s="9"/>
      <c r="Z83" s="9"/>
    </row>
    <row r="84" spans="1:26" ht="15.75" hidden="1" customHeight="1">
      <c r="A84" s="9" t="s">
        <v>1167</v>
      </c>
      <c r="B84" s="9" t="s">
        <v>3321</v>
      </c>
      <c r="C84" s="9" t="s">
        <v>713</v>
      </c>
      <c r="D84" s="9" t="s">
        <v>439</v>
      </c>
      <c r="E84" s="9"/>
      <c r="F84" s="9"/>
      <c r="G84" s="58">
        <v>11200</v>
      </c>
      <c r="H84" s="85">
        <v>4.2857142857142802E-2</v>
      </c>
      <c r="I84" s="9">
        <v>51.9</v>
      </c>
      <c r="J84" s="9"/>
      <c r="K84" s="9"/>
      <c r="L84" s="9"/>
      <c r="M84" s="9"/>
      <c r="N84" s="9" t="s">
        <v>3136</v>
      </c>
      <c r="O84" s="9" t="s">
        <v>3051</v>
      </c>
      <c r="P84" s="9" t="s">
        <v>3293</v>
      </c>
      <c r="Q84" s="58" t="s">
        <v>3294</v>
      </c>
      <c r="R84" s="58">
        <v>1</v>
      </c>
      <c r="S84" s="58">
        <v>8</v>
      </c>
      <c r="T84" s="9" t="s">
        <v>3295</v>
      </c>
      <c r="U84" s="9" t="s">
        <v>3322</v>
      </c>
      <c r="V84" s="58">
        <v>1</v>
      </c>
      <c r="W84" s="9"/>
      <c r="X84" s="9"/>
      <c r="Y84" s="9"/>
      <c r="Z84" s="9"/>
    </row>
    <row r="85" spans="1:26" ht="15.75" hidden="1" customHeight="1">
      <c r="A85" s="9" t="s">
        <v>1167</v>
      </c>
      <c r="B85" s="9" t="s">
        <v>3321</v>
      </c>
      <c r="C85" s="9" t="s">
        <v>713</v>
      </c>
      <c r="D85" s="9" t="s">
        <v>368</v>
      </c>
      <c r="E85" s="9" t="s">
        <v>3297</v>
      </c>
      <c r="F85" s="58" t="s">
        <v>3057</v>
      </c>
      <c r="G85" s="58">
        <v>6020</v>
      </c>
      <c r="H85" s="85">
        <v>0.209302325581395</v>
      </c>
      <c r="I85" s="9">
        <v>51.9</v>
      </c>
      <c r="J85" s="9"/>
      <c r="K85" s="9"/>
      <c r="L85" s="9"/>
      <c r="M85" s="9"/>
      <c r="N85" s="9" t="s">
        <v>3136</v>
      </c>
      <c r="O85" s="9" t="s">
        <v>3051</v>
      </c>
      <c r="P85" s="9" t="s">
        <v>3298</v>
      </c>
      <c r="Q85" s="58" t="s">
        <v>3083</v>
      </c>
      <c r="R85" s="58">
        <v>3</v>
      </c>
      <c r="S85" s="58">
        <v>7</v>
      </c>
      <c r="T85" s="9" t="s">
        <v>3295</v>
      </c>
      <c r="U85" s="9" t="s">
        <v>3323</v>
      </c>
      <c r="V85" s="58">
        <v>3</v>
      </c>
      <c r="W85" s="9"/>
      <c r="X85" s="9"/>
      <c r="Y85" s="9"/>
      <c r="Z85" s="9"/>
    </row>
    <row r="86" spans="1:26" ht="15.75" hidden="1" customHeight="1">
      <c r="A86" s="9" t="s">
        <v>261</v>
      </c>
      <c r="B86" s="9" t="s">
        <v>3324</v>
      </c>
      <c r="C86" s="9" t="s">
        <v>262</v>
      </c>
      <c r="D86" s="9" t="s">
        <v>439</v>
      </c>
      <c r="E86" s="9"/>
      <c r="F86" s="9"/>
      <c r="G86" s="58">
        <v>4400</v>
      </c>
      <c r="H86" s="85">
        <v>0.109090909090909</v>
      </c>
      <c r="I86" s="9">
        <v>118.8</v>
      </c>
      <c r="J86" s="9"/>
      <c r="K86" s="9"/>
      <c r="L86" s="9"/>
      <c r="M86" s="9"/>
      <c r="N86" s="9" t="s">
        <v>3325</v>
      </c>
      <c r="O86" s="9" t="s">
        <v>3051</v>
      </c>
      <c r="P86" s="9" t="s">
        <v>3225</v>
      </c>
      <c r="Q86" s="58" t="s">
        <v>3226</v>
      </c>
      <c r="R86" s="58">
        <v>1</v>
      </c>
      <c r="S86" s="58">
        <v>8</v>
      </c>
      <c r="T86" s="9" t="s">
        <v>3326</v>
      </c>
      <c r="U86" s="9" t="s">
        <v>3327</v>
      </c>
      <c r="V86" s="58">
        <v>1</v>
      </c>
      <c r="W86" s="9"/>
      <c r="X86" s="9"/>
      <c r="Y86" s="9"/>
      <c r="Z86" s="9"/>
    </row>
    <row r="87" spans="1:26" ht="15.75" hidden="1" customHeight="1">
      <c r="A87" s="9" t="s">
        <v>261</v>
      </c>
      <c r="B87" s="9" t="s">
        <v>3324</v>
      </c>
      <c r="C87" s="9" t="s">
        <v>262</v>
      </c>
      <c r="D87" s="9" t="s">
        <v>368</v>
      </c>
      <c r="E87" s="9" t="s">
        <v>3067</v>
      </c>
      <c r="F87" s="58" t="s">
        <v>3057</v>
      </c>
      <c r="G87" s="58">
        <v>5040</v>
      </c>
      <c r="H87" s="85">
        <v>0.25</v>
      </c>
      <c r="I87" s="9">
        <v>118.8</v>
      </c>
      <c r="J87" s="9"/>
      <c r="K87" s="9"/>
      <c r="L87" s="9"/>
      <c r="M87" s="9"/>
      <c r="N87" s="9" t="s">
        <v>3325</v>
      </c>
      <c r="O87" s="9" t="s">
        <v>3051</v>
      </c>
      <c r="P87" s="9" t="s">
        <v>3328</v>
      </c>
      <c r="Q87" s="58" t="s">
        <v>3329</v>
      </c>
      <c r="R87" s="58">
        <v>3</v>
      </c>
      <c r="S87" s="58">
        <v>7</v>
      </c>
      <c r="T87" s="9" t="s">
        <v>3326</v>
      </c>
      <c r="U87" s="9" t="s">
        <v>3330</v>
      </c>
      <c r="V87" s="58">
        <v>3</v>
      </c>
      <c r="W87" s="9"/>
      <c r="X87" s="9"/>
      <c r="Y87" s="9"/>
      <c r="Z87" s="9"/>
    </row>
    <row r="88" spans="1:26" ht="15.75" hidden="1" customHeight="1">
      <c r="A88" s="9" t="s">
        <v>1177</v>
      </c>
      <c r="B88" s="9" t="s">
        <v>3331</v>
      </c>
      <c r="C88" s="9" t="s">
        <v>562</v>
      </c>
      <c r="D88" s="9" t="s">
        <v>439</v>
      </c>
      <c r="E88" s="9"/>
      <c r="F88" s="9"/>
      <c r="G88" s="58">
        <v>5600</v>
      </c>
      <c r="H88" s="85">
        <v>8.5714285714285701E-2</v>
      </c>
      <c r="I88" s="9">
        <v>40</v>
      </c>
      <c r="J88" s="9"/>
      <c r="K88" s="9"/>
      <c r="L88" s="9"/>
      <c r="M88" s="9"/>
      <c r="N88" s="9" t="s">
        <v>3332</v>
      </c>
      <c r="O88" s="9" t="s">
        <v>3051</v>
      </c>
      <c r="P88" s="9" t="s">
        <v>3154</v>
      </c>
      <c r="Q88" s="58" t="s">
        <v>3155</v>
      </c>
      <c r="R88" s="58">
        <v>1</v>
      </c>
      <c r="S88" s="58">
        <v>8</v>
      </c>
      <c r="T88" s="9" t="s">
        <v>3333</v>
      </c>
      <c r="U88" s="9" t="s">
        <v>3334</v>
      </c>
      <c r="V88" s="58">
        <v>1</v>
      </c>
      <c r="W88" s="9"/>
      <c r="X88" s="9"/>
      <c r="Y88" s="9"/>
      <c r="Z88" s="9"/>
    </row>
    <row r="89" spans="1:26" ht="15.75" hidden="1" customHeight="1">
      <c r="A89" s="9" t="s">
        <v>1177</v>
      </c>
      <c r="B89" s="9" t="s">
        <v>3331</v>
      </c>
      <c r="C89" s="9" t="s">
        <v>562</v>
      </c>
      <c r="D89" s="9" t="s">
        <v>368</v>
      </c>
      <c r="E89" s="9" t="s">
        <v>3067</v>
      </c>
      <c r="F89" s="58" t="s">
        <v>3057</v>
      </c>
      <c r="G89" s="58">
        <v>4900</v>
      </c>
      <c r="H89" s="85">
        <v>0.25714285714285701</v>
      </c>
      <c r="I89" s="9">
        <v>40</v>
      </c>
      <c r="J89" s="9"/>
      <c r="K89" s="9"/>
      <c r="L89" s="9"/>
      <c r="M89" s="9"/>
      <c r="N89" s="9" t="s">
        <v>3332</v>
      </c>
      <c r="O89" s="9" t="s">
        <v>3051</v>
      </c>
      <c r="P89" s="9" t="s">
        <v>3335</v>
      </c>
      <c r="Q89" s="58" t="s">
        <v>3155</v>
      </c>
      <c r="R89" s="58">
        <v>3</v>
      </c>
      <c r="S89" s="58">
        <v>7</v>
      </c>
      <c r="T89" s="9" t="s">
        <v>3333</v>
      </c>
      <c r="U89" s="9" t="s">
        <v>3336</v>
      </c>
      <c r="V89" s="58">
        <v>3</v>
      </c>
      <c r="W89" s="9"/>
      <c r="X89" s="9"/>
      <c r="Y89" s="9"/>
      <c r="Z89" s="9"/>
    </row>
    <row r="90" spans="1:26" ht="15.75" hidden="1" customHeight="1">
      <c r="A90" s="9" t="s">
        <v>1178</v>
      </c>
      <c r="B90" s="9" t="s">
        <v>3337</v>
      </c>
      <c r="C90" s="9" t="s">
        <v>952</v>
      </c>
      <c r="D90" s="9" t="s">
        <v>439</v>
      </c>
      <c r="E90" s="9"/>
      <c r="F90" s="9"/>
      <c r="G90" s="58">
        <v>25600</v>
      </c>
      <c r="H90" s="85">
        <v>1.8749999999999999E-2</v>
      </c>
      <c r="I90" s="9">
        <v>31</v>
      </c>
      <c r="J90" s="9"/>
      <c r="K90" s="9"/>
      <c r="L90" s="9"/>
      <c r="M90" s="9"/>
      <c r="N90" s="9" t="s">
        <v>3338</v>
      </c>
      <c r="O90" s="9" t="s">
        <v>3339</v>
      </c>
      <c r="P90" s="9" t="s">
        <v>3340</v>
      </c>
      <c r="Q90" s="58" t="s">
        <v>3341</v>
      </c>
      <c r="R90" s="58">
        <v>1</v>
      </c>
      <c r="S90" s="58">
        <v>8</v>
      </c>
      <c r="T90" s="9" t="s">
        <v>3342</v>
      </c>
      <c r="U90" s="9" t="s">
        <v>3343</v>
      </c>
      <c r="V90" s="58">
        <v>1</v>
      </c>
      <c r="W90" s="9"/>
      <c r="X90" s="9"/>
      <c r="Y90" s="9"/>
      <c r="Z90" s="9"/>
    </row>
    <row r="91" spans="1:26" ht="15.75" hidden="1" customHeight="1">
      <c r="A91" s="9" t="s">
        <v>1178</v>
      </c>
      <c r="B91" s="9" t="s">
        <v>3337</v>
      </c>
      <c r="C91" s="9" t="s">
        <v>952</v>
      </c>
      <c r="D91" s="9" t="s">
        <v>368</v>
      </c>
      <c r="E91" s="9" t="s">
        <v>3344</v>
      </c>
      <c r="F91" s="9"/>
      <c r="G91" s="58">
        <v>7000</v>
      </c>
      <c r="H91" s="85">
        <v>0.24</v>
      </c>
      <c r="I91" s="9">
        <v>31</v>
      </c>
      <c r="J91" s="9"/>
      <c r="K91" s="9"/>
      <c r="L91" s="9"/>
      <c r="M91" s="9"/>
      <c r="N91" s="9" t="s">
        <v>3338</v>
      </c>
      <c r="O91" s="9" t="s">
        <v>3339</v>
      </c>
      <c r="P91" s="9" t="s">
        <v>3345</v>
      </c>
      <c r="Q91" s="58" t="s">
        <v>3167</v>
      </c>
      <c r="R91" s="58">
        <v>4</v>
      </c>
      <c r="S91" s="58">
        <v>7</v>
      </c>
      <c r="T91" s="9" t="s">
        <v>3342</v>
      </c>
      <c r="U91" s="9" t="s">
        <v>3346</v>
      </c>
      <c r="V91" s="58">
        <v>4</v>
      </c>
      <c r="W91" s="9"/>
      <c r="X91" s="9"/>
      <c r="Y91" s="9"/>
      <c r="Z91" s="9"/>
    </row>
    <row r="92" spans="1:26" ht="15.75" hidden="1" customHeight="1">
      <c r="A92" s="9" t="s">
        <v>1178</v>
      </c>
      <c r="B92" s="9" t="s">
        <v>3337</v>
      </c>
      <c r="C92" s="9" t="s">
        <v>952</v>
      </c>
      <c r="D92" s="9" t="s">
        <v>526</v>
      </c>
      <c r="E92" s="9"/>
      <c r="F92" s="9"/>
      <c r="G92" s="58">
        <v>10850</v>
      </c>
      <c r="H92" s="85">
        <v>3.8709677419354799E-2</v>
      </c>
      <c r="I92" s="9">
        <v>31</v>
      </c>
      <c r="J92" s="9"/>
      <c r="K92" s="9"/>
      <c r="L92" s="9"/>
      <c r="M92" s="9"/>
      <c r="N92" s="9" t="s">
        <v>3338</v>
      </c>
      <c r="O92" s="9" t="s">
        <v>3339</v>
      </c>
      <c r="P92" s="9" t="s">
        <v>3347</v>
      </c>
      <c r="Q92" s="58" t="s">
        <v>3348</v>
      </c>
      <c r="R92" s="58">
        <v>1</v>
      </c>
      <c r="S92" s="58">
        <v>7</v>
      </c>
      <c r="T92" s="9" t="s">
        <v>3342</v>
      </c>
      <c r="U92" s="9" t="s">
        <v>3349</v>
      </c>
      <c r="V92" s="58">
        <v>1</v>
      </c>
      <c r="W92" s="9"/>
      <c r="X92" s="9"/>
      <c r="Y92" s="9"/>
      <c r="Z92" s="9"/>
    </row>
    <row r="93" spans="1:26" ht="15.75" hidden="1" customHeight="1">
      <c r="A93" s="9" t="s">
        <v>68</v>
      </c>
      <c r="B93" s="9" t="s">
        <v>3350</v>
      </c>
      <c r="C93" s="9" t="s">
        <v>69</v>
      </c>
      <c r="D93" s="9" t="s">
        <v>439</v>
      </c>
      <c r="E93" s="9"/>
      <c r="F93" s="9"/>
      <c r="G93" s="58">
        <v>21600</v>
      </c>
      <c r="H93" s="85">
        <v>2.2222222222222199E-2</v>
      </c>
      <c r="I93" s="9">
        <v>31</v>
      </c>
      <c r="J93" s="9"/>
      <c r="K93" s="9"/>
      <c r="L93" s="9"/>
      <c r="M93" s="9"/>
      <c r="N93" s="9" t="s">
        <v>3338</v>
      </c>
      <c r="O93" s="9" t="s">
        <v>3351</v>
      </c>
      <c r="P93" s="9" t="s">
        <v>3352</v>
      </c>
      <c r="Q93" s="58" t="s">
        <v>3260</v>
      </c>
      <c r="R93" s="58">
        <v>1</v>
      </c>
      <c r="S93" s="58">
        <v>8</v>
      </c>
      <c r="T93" s="9" t="s">
        <v>3353</v>
      </c>
      <c r="U93" s="9" t="s">
        <v>3354</v>
      </c>
      <c r="V93" s="58">
        <v>1</v>
      </c>
      <c r="W93" s="9"/>
      <c r="X93" s="9"/>
      <c r="Y93" s="9"/>
      <c r="Z93" s="9"/>
    </row>
    <row r="94" spans="1:26" ht="15.75" hidden="1" customHeight="1">
      <c r="A94" s="9" t="s">
        <v>68</v>
      </c>
      <c r="B94" s="9" t="s">
        <v>3350</v>
      </c>
      <c r="C94" s="9" t="s">
        <v>69</v>
      </c>
      <c r="D94" s="9" t="s">
        <v>368</v>
      </c>
      <c r="E94" s="9" t="s">
        <v>3344</v>
      </c>
      <c r="F94" s="58" t="s">
        <v>3355</v>
      </c>
      <c r="G94" s="58">
        <v>7000</v>
      </c>
      <c r="H94" s="85">
        <v>0.24</v>
      </c>
      <c r="I94" s="9">
        <v>31</v>
      </c>
      <c r="J94" s="9"/>
      <c r="K94" s="9"/>
      <c r="L94" s="9"/>
      <c r="M94" s="9"/>
      <c r="N94" s="9" t="s">
        <v>3338</v>
      </c>
      <c r="O94" s="9" t="s">
        <v>3351</v>
      </c>
      <c r="P94" s="9" t="s">
        <v>3356</v>
      </c>
      <c r="Q94" s="58" t="s">
        <v>3167</v>
      </c>
      <c r="R94" s="58">
        <v>4</v>
      </c>
      <c r="S94" s="58">
        <v>7</v>
      </c>
      <c r="T94" s="9" t="s">
        <v>3353</v>
      </c>
      <c r="U94" s="9" t="s">
        <v>3357</v>
      </c>
      <c r="V94" s="58">
        <v>4</v>
      </c>
      <c r="W94" s="9"/>
      <c r="X94" s="9"/>
      <c r="Y94" s="9"/>
      <c r="Z94" s="9"/>
    </row>
    <row r="95" spans="1:26" ht="15.75" hidden="1" customHeight="1">
      <c r="A95" s="9" t="s">
        <v>68</v>
      </c>
      <c r="B95" s="9" t="s">
        <v>3350</v>
      </c>
      <c r="C95" s="9" t="s">
        <v>69</v>
      </c>
      <c r="D95" s="9" t="s">
        <v>526</v>
      </c>
      <c r="E95" s="9"/>
      <c r="F95" s="9"/>
      <c r="G95" s="58">
        <v>10850</v>
      </c>
      <c r="H95" s="85">
        <v>3.8709677419354799E-2</v>
      </c>
      <c r="I95" s="9">
        <v>31</v>
      </c>
      <c r="J95" s="9"/>
      <c r="K95" s="9"/>
      <c r="L95" s="9"/>
      <c r="M95" s="9"/>
      <c r="N95" s="9" t="s">
        <v>3338</v>
      </c>
      <c r="O95" s="9" t="s">
        <v>3351</v>
      </c>
      <c r="P95" s="9" t="s">
        <v>3347</v>
      </c>
      <c r="Q95" s="58" t="s">
        <v>3348</v>
      </c>
      <c r="R95" s="58">
        <v>1</v>
      </c>
      <c r="S95" s="58">
        <v>7</v>
      </c>
      <c r="T95" s="9" t="s">
        <v>3353</v>
      </c>
      <c r="U95" s="9" t="s">
        <v>3358</v>
      </c>
      <c r="V95" s="58">
        <v>1</v>
      </c>
      <c r="W95" s="9"/>
      <c r="X95" s="9"/>
      <c r="Y95" s="9"/>
      <c r="Z95" s="9"/>
    </row>
    <row r="96" spans="1:26" ht="15.75" hidden="1" customHeight="1">
      <c r="A96" s="9" t="s">
        <v>1184</v>
      </c>
      <c r="B96" s="9" t="s">
        <v>3359</v>
      </c>
      <c r="C96" s="9" t="s">
        <v>996</v>
      </c>
      <c r="D96" s="9" t="s">
        <v>439</v>
      </c>
      <c r="E96" s="9"/>
      <c r="F96" s="9"/>
      <c r="G96" s="58">
        <v>4000</v>
      </c>
      <c r="H96" s="85">
        <v>0.12</v>
      </c>
      <c r="I96" s="9">
        <v>1000</v>
      </c>
      <c r="J96" s="9"/>
      <c r="K96" s="9"/>
      <c r="L96" s="9"/>
      <c r="M96" s="9"/>
      <c r="N96" s="9" t="s">
        <v>3224</v>
      </c>
      <c r="O96" s="9" t="s">
        <v>3081</v>
      </c>
      <c r="P96" s="9" t="s">
        <v>3360</v>
      </c>
      <c r="Q96" s="58" t="s">
        <v>3361</v>
      </c>
      <c r="R96" s="58">
        <v>1</v>
      </c>
      <c r="S96" s="58">
        <v>8</v>
      </c>
      <c r="T96" s="9" t="s">
        <v>3362</v>
      </c>
      <c r="U96" s="9" t="s">
        <v>3363</v>
      </c>
      <c r="V96" s="58">
        <v>1</v>
      </c>
      <c r="W96" s="9"/>
      <c r="X96" s="9"/>
      <c r="Y96" s="9"/>
      <c r="Z96" s="9"/>
    </row>
    <row r="97" spans="1:26" ht="15.75" hidden="1" customHeight="1">
      <c r="A97" s="9" t="s">
        <v>1184</v>
      </c>
      <c r="B97" s="9" t="s">
        <v>3359</v>
      </c>
      <c r="C97" s="9" t="s">
        <v>996</v>
      </c>
      <c r="D97" s="9" t="s">
        <v>368</v>
      </c>
      <c r="E97" s="9" t="s">
        <v>3229</v>
      </c>
      <c r="F97" s="58" t="s">
        <v>3087</v>
      </c>
      <c r="G97" s="58">
        <v>2100</v>
      </c>
      <c r="H97" s="85">
        <v>0.6</v>
      </c>
      <c r="I97" s="9">
        <v>1000</v>
      </c>
      <c r="J97" s="9"/>
      <c r="K97" s="9"/>
      <c r="L97" s="9"/>
      <c r="M97" s="9"/>
      <c r="N97" s="9" t="s">
        <v>3224</v>
      </c>
      <c r="O97" s="9" t="s">
        <v>3081</v>
      </c>
      <c r="P97" s="9" t="s">
        <v>3364</v>
      </c>
      <c r="Q97" s="58" t="s">
        <v>3236</v>
      </c>
      <c r="R97" s="58">
        <v>3</v>
      </c>
      <c r="S97" s="58">
        <v>7</v>
      </c>
      <c r="T97" s="9" t="s">
        <v>3362</v>
      </c>
      <c r="U97" s="9" t="s">
        <v>3365</v>
      </c>
      <c r="V97" s="58">
        <v>3</v>
      </c>
      <c r="W97" s="9"/>
      <c r="X97" s="9"/>
      <c r="Y97" s="9"/>
      <c r="Z97" s="9"/>
    </row>
    <row r="98" spans="1:26" ht="15.75" hidden="1" customHeight="1">
      <c r="A98" s="9" t="s">
        <v>3366</v>
      </c>
      <c r="B98" s="9" t="s">
        <v>3367</v>
      </c>
      <c r="C98" s="9" t="s">
        <v>3368</v>
      </c>
      <c r="D98" s="9" t="s">
        <v>439</v>
      </c>
      <c r="E98" s="9"/>
      <c r="F98" s="9"/>
      <c r="G98" s="58">
        <v>21600</v>
      </c>
      <c r="H98" s="85">
        <v>2.2222222222222199E-2</v>
      </c>
      <c r="I98" s="9">
        <v>1.42</v>
      </c>
      <c r="J98" s="9"/>
      <c r="K98" s="9"/>
      <c r="L98" s="9"/>
      <c r="M98" s="9"/>
      <c r="N98" s="9" t="s">
        <v>3130</v>
      </c>
      <c r="O98" s="9" t="s">
        <v>3051</v>
      </c>
      <c r="P98" s="9" t="s">
        <v>3352</v>
      </c>
      <c r="Q98" s="58" t="s">
        <v>3260</v>
      </c>
      <c r="R98" s="58">
        <v>1</v>
      </c>
      <c r="S98" s="58">
        <v>8</v>
      </c>
      <c r="T98" s="9" t="s">
        <v>3369</v>
      </c>
      <c r="U98" s="9" t="s">
        <v>3370</v>
      </c>
      <c r="V98" s="58">
        <v>1</v>
      </c>
      <c r="W98" s="9"/>
      <c r="X98" s="9"/>
      <c r="Y98" s="9"/>
      <c r="Z98" s="9"/>
    </row>
    <row r="99" spans="1:26" ht="15.75" hidden="1" customHeight="1">
      <c r="A99" s="9" t="s">
        <v>3366</v>
      </c>
      <c r="B99" s="9" t="s">
        <v>3367</v>
      </c>
      <c r="C99" s="9" t="s">
        <v>3368</v>
      </c>
      <c r="D99" s="9" t="s">
        <v>368</v>
      </c>
      <c r="E99" s="9" t="s">
        <v>3056</v>
      </c>
      <c r="F99" s="58" t="s">
        <v>3057</v>
      </c>
      <c r="G99" s="58">
        <v>5600</v>
      </c>
      <c r="H99" s="85">
        <v>0.3</v>
      </c>
      <c r="I99" s="9">
        <v>1.42</v>
      </c>
      <c r="J99" s="9"/>
      <c r="K99" s="9"/>
      <c r="L99" s="9"/>
      <c r="M99" s="9"/>
      <c r="N99" s="9" t="s">
        <v>3130</v>
      </c>
      <c r="O99" s="9" t="s">
        <v>3051</v>
      </c>
      <c r="P99" s="9" t="s">
        <v>3371</v>
      </c>
      <c r="Q99" s="58" t="s">
        <v>3185</v>
      </c>
      <c r="R99" s="58">
        <v>4</v>
      </c>
      <c r="S99" s="58">
        <v>7</v>
      </c>
      <c r="T99" s="9" t="s">
        <v>3369</v>
      </c>
      <c r="U99" s="9" t="s">
        <v>3372</v>
      </c>
      <c r="V99" s="58">
        <v>4</v>
      </c>
      <c r="W99" s="9"/>
      <c r="X99" s="9"/>
      <c r="Y99" s="9"/>
      <c r="Z99" s="9"/>
    </row>
    <row r="100" spans="1:26" ht="15.75" customHeight="1">
      <c r="A100" s="9" t="s">
        <v>3373</v>
      </c>
      <c r="B100" s="9" t="s">
        <v>3374</v>
      </c>
      <c r="C100" s="9" t="s">
        <v>679</v>
      </c>
      <c r="D100" s="9" t="s">
        <v>484</v>
      </c>
      <c r="E100" s="9"/>
      <c r="F100" s="9"/>
      <c r="G100" s="58">
        <v>12000</v>
      </c>
      <c r="H100" s="85">
        <v>0.04</v>
      </c>
      <c r="I100" s="9">
        <v>12.8</v>
      </c>
      <c r="J100" s="9"/>
      <c r="K100" s="9"/>
      <c r="L100" s="9"/>
      <c r="M100" s="9"/>
      <c r="N100" s="9" t="s">
        <v>3375</v>
      </c>
      <c r="O100" s="9" t="s">
        <v>3051</v>
      </c>
      <c r="P100" s="9" t="s">
        <v>3376</v>
      </c>
      <c r="Q100" s="58" t="s">
        <v>3143</v>
      </c>
      <c r="R100" s="58">
        <v>1</v>
      </c>
      <c r="S100" s="58">
        <v>8</v>
      </c>
      <c r="T100" s="9" t="s">
        <v>3377</v>
      </c>
      <c r="U100" s="9" t="s">
        <v>3378</v>
      </c>
      <c r="V100" s="58">
        <v>1</v>
      </c>
      <c r="W100" s="9"/>
      <c r="X100" s="9"/>
      <c r="Y100" s="9"/>
      <c r="Z100" s="9"/>
    </row>
    <row r="101" spans="1:26" ht="15.75" hidden="1" customHeight="1">
      <c r="A101" s="9" t="s">
        <v>3373</v>
      </c>
      <c r="B101" s="9" t="s">
        <v>3374</v>
      </c>
      <c r="C101" s="9" t="s">
        <v>679</v>
      </c>
      <c r="D101" s="9" t="s">
        <v>439</v>
      </c>
      <c r="E101" s="9"/>
      <c r="F101" s="9"/>
      <c r="G101" s="58">
        <v>9600</v>
      </c>
      <c r="H101" s="85">
        <v>0.05</v>
      </c>
      <c r="I101" s="9">
        <v>12.8</v>
      </c>
      <c r="J101" s="9"/>
      <c r="K101" s="9"/>
      <c r="L101" s="9"/>
      <c r="M101" s="9"/>
      <c r="N101" s="9" t="s">
        <v>3375</v>
      </c>
      <c r="O101" s="9" t="s">
        <v>3051</v>
      </c>
      <c r="P101" s="9" t="s">
        <v>3073</v>
      </c>
      <c r="Q101" s="58" t="s">
        <v>3074</v>
      </c>
      <c r="R101" s="58">
        <v>1</v>
      </c>
      <c r="S101" s="58">
        <v>8</v>
      </c>
      <c r="T101" s="9" t="s">
        <v>3377</v>
      </c>
      <c r="U101" s="9" t="s">
        <v>3379</v>
      </c>
      <c r="V101" s="58">
        <v>1</v>
      </c>
      <c r="W101" s="9"/>
      <c r="X101" s="9"/>
      <c r="Y101" s="9"/>
      <c r="Z101" s="9"/>
    </row>
    <row r="102" spans="1:26" ht="15.75" hidden="1" customHeight="1">
      <c r="A102" s="9" t="s">
        <v>3373</v>
      </c>
      <c r="B102" s="9" t="s">
        <v>3374</v>
      </c>
      <c r="C102" s="9" t="s">
        <v>679</v>
      </c>
      <c r="D102" s="9" t="s">
        <v>368</v>
      </c>
      <c r="E102" s="9" t="s">
        <v>3056</v>
      </c>
      <c r="F102" s="58" t="s">
        <v>3057</v>
      </c>
      <c r="G102" s="58">
        <v>7000</v>
      </c>
      <c r="H102" s="85">
        <v>0.3</v>
      </c>
      <c r="I102" s="9">
        <v>12.8</v>
      </c>
      <c r="J102" s="9"/>
      <c r="K102" s="9"/>
      <c r="L102" s="9"/>
      <c r="M102" s="9"/>
      <c r="N102" s="9" t="s">
        <v>3375</v>
      </c>
      <c r="O102" s="9" t="s">
        <v>3051</v>
      </c>
      <c r="P102" s="9" t="s">
        <v>3380</v>
      </c>
      <c r="Q102" s="58" t="s">
        <v>3167</v>
      </c>
      <c r="R102" s="58">
        <v>5</v>
      </c>
      <c r="S102" s="58">
        <v>7</v>
      </c>
      <c r="T102" s="9" t="s">
        <v>3377</v>
      </c>
      <c r="U102" s="9" t="s">
        <v>3381</v>
      </c>
      <c r="V102" s="58">
        <v>5</v>
      </c>
      <c r="W102" s="9"/>
      <c r="X102" s="9"/>
      <c r="Y102" s="9"/>
      <c r="Z102" s="9"/>
    </row>
    <row r="103" spans="1:26" ht="15.75" hidden="1" customHeight="1">
      <c r="A103" s="9" t="s">
        <v>224</v>
      </c>
      <c r="B103" s="9" t="s">
        <v>3382</v>
      </c>
      <c r="C103" s="9" t="s">
        <v>225</v>
      </c>
      <c r="D103" s="9" t="s">
        <v>439</v>
      </c>
      <c r="E103" s="9"/>
      <c r="F103" s="9"/>
      <c r="G103" s="58">
        <v>12000</v>
      </c>
      <c r="H103" s="85">
        <v>0.04</v>
      </c>
      <c r="I103" s="9">
        <v>1.72</v>
      </c>
      <c r="J103" s="9"/>
      <c r="K103" s="9"/>
      <c r="L103" s="9"/>
      <c r="M103" s="9"/>
      <c r="N103" s="9" t="s">
        <v>3375</v>
      </c>
      <c r="O103" s="9" t="s">
        <v>3339</v>
      </c>
      <c r="P103" s="9" t="s">
        <v>3148</v>
      </c>
      <c r="Q103" s="58" t="s">
        <v>3143</v>
      </c>
      <c r="R103" s="58">
        <v>1</v>
      </c>
      <c r="S103" s="58">
        <v>8</v>
      </c>
      <c r="T103" s="9" t="s">
        <v>3383</v>
      </c>
      <c r="U103" s="9" t="s">
        <v>3384</v>
      </c>
      <c r="V103" s="58">
        <v>1</v>
      </c>
      <c r="W103" s="9"/>
      <c r="X103" s="9"/>
      <c r="Y103" s="9"/>
      <c r="Z103" s="9"/>
    </row>
    <row r="104" spans="1:26" ht="15.75" hidden="1" customHeight="1">
      <c r="A104" s="9" t="s">
        <v>224</v>
      </c>
      <c r="B104" s="9" t="s">
        <v>3382</v>
      </c>
      <c r="C104" s="9" t="s">
        <v>225</v>
      </c>
      <c r="D104" s="9" t="s">
        <v>368</v>
      </c>
      <c r="E104" s="9" t="s">
        <v>3056</v>
      </c>
      <c r="F104" s="58" t="s">
        <v>3057</v>
      </c>
      <c r="G104" s="58">
        <v>6300</v>
      </c>
      <c r="H104" s="85">
        <v>0.266666666666666</v>
      </c>
      <c r="I104" s="9">
        <v>1.72</v>
      </c>
      <c r="J104" s="9"/>
      <c r="K104" s="9"/>
      <c r="L104" s="9"/>
      <c r="M104" s="9"/>
      <c r="N104" s="9" t="s">
        <v>3375</v>
      </c>
      <c r="O104" s="9" t="s">
        <v>3339</v>
      </c>
      <c r="P104" s="9" t="s">
        <v>3385</v>
      </c>
      <c r="Q104" s="58" t="s">
        <v>3069</v>
      </c>
      <c r="R104" s="58">
        <v>4</v>
      </c>
      <c r="S104" s="58">
        <v>7</v>
      </c>
      <c r="T104" s="9" t="s">
        <v>3383</v>
      </c>
      <c r="U104" s="9" t="s">
        <v>3386</v>
      </c>
      <c r="V104" s="58">
        <v>4</v>
      </c>
      <c r="W104" s="9"/>
      <c r="X104" s="9"/>
      <c r="Y104" s="9"/>
      <c r="Z104" s="9"/>
    </row>
    <row r="105" spans="1:26" ht="15.75" hidden="1" customHeight="1">
      <c r="A105" s="9" t="s">
        <v>220</v>
      </c>
      <c r="B105" s="9" t="s">
        <v>3387</v>
      </c>
      <c r="C105" s="9" t="s">
        <v>221</v>
      </c>
      <c r="D105" s="9" t="s">
        <v>439</v>
      </c>
      <c r="E105" s="9"/>
      <c r="F105" s="9"/>
      <c r="G105" s="58">
        <v>12000</v>
      </c>
      <c r="H105" s="85">
        <v>0.04</v>
      </c>
      <c r="I105" s="9">
        <v>10</v>
      </c>
      <c r="J105" s="9"/>
      <c r="K105" s="9"/>
      <c r="L105" s="9"/>
      <c r="M105" s="9"/>
      <c r="N105" s="9" t="s">
        <v>3388</v>
      </c>
      <c r="O105" s="9" t="s">
        <v>3258</v>
      </c>
      <c r="P105" s="9" t="s">
        <v>3148</v>
      </c>
      <c r="Q105" s="58" t="s">
        <v>3143</v>
      </c>
      <c r="R105" s="58">
        <v>1</v>
      </c>
      <c r="S105" s="58">
        <v>8</v>
      </c>
      <c r="T105" s="9" t="s">
        <v>3389</v>
      </c>
      <c r="U105" s="9" t="s">
        <v>3390</v>
      </c>
      <c r="V105" s="58">
        <v>1</v>
      </c>
      <c r="W105" s="9"/>
      <c r="X105" s="9"/>
      <c r="Y105" s="9"/>
      <c r="Z105" s="9"/>
    </row>
    <row r="106" spans="1:26" ht="15.75" hidden="1" customHeight="1">
      <c r="A106" s="9" t="s">
        <v>220</v>
      </c>
      <c r="B106" s="9" t="s">
        <v>3387</v>
      </c>
      <c r="C106" s="9" t="s">
        <v>221</v>
      </c>
      <c r="D106" s="9" t="s">
        <v>368</v>
      </c>
      <c r="E106" s="9" t="s">
        <v>3067</v>
      </c>
      <c r="F106" s="58" t="s">
        <v>3057</v>
      </c>
      <c r="G106" s="58">
        <v>5950</v>
      </c>
      <c r="H106" s="85">
        <v>0.28235294117646997</v>
      </c>
      <c r="I106" s="9">
        <v>10</v>
      </c>
      <c r="J106" s="9"/>
      <c r="K106" s="9"/>
      <c r="L106" s="9"/>
      <c r="M106" s="9"/>
      <c r="N106" s="9" t="s">
        <v>3388</v>
      </c>
      <c r="O106" s="9" t="s">
        <v>3258</v>
      </c>
      <c r="P106" s="9" t="s">
        <v>3391</v>
      </c>
      <c r="Q106" s="58" t="s">
        <v>3132</v>
      </c>
      <c r="R106" s="58">
        <v>4</v>
      </c>
      <c r="S106" s="58">
        <v>7</v>
      </c>
      <c r="T106" s="9" t="s">
        <v>3389</v>
      </c>
      <c r="U106" s="9" t="s">
        <v>3392</v>
      </c>
      <c r="V106" s="58">
        <v>4</v>
      </c>
      <c r="W106" s="9"/>
      <c r="X106" s="9"/>
      <c r="Y106" s="9"/>
      <c r="Z106" s="9"/>
    </row>
    <row r="107" spans="1:26" ht="15.75" hidden="1" customHeight="1">
      <c r="A107" s="9" t="s">
        <v>154</v>
      </c>
      <c r="B107" s="9" t="s">
        <v>3393</v>
      </c>
      <c r="C107" s="9" t="s">
        <v>155</v>
      </c>
      <c r="D107" s="9" t="s">
        <v>439</v>
      </c>
      <c r="E107" s="9"/>
      <c r="F107" s="9"/>
      <c r="G107" s="58">
        <v>11200</v>
      </c>
      <c r="H107" s="85">
        <v>4.2857142857142802E-2</v>
      </c>
      <c r="I107" s="9">
        <v>8</v>
      </c>
      <c r="J107" s="9"/>
      <c r="K107" s="9"/>
      <c r="L107" s="9"/>
      <c r="M107" s="9"/>
      <c r="N107" s="9" t="s">
        <v>3130</v>
      </c>
      <c r="O107" s="9" t="s">
        <v>3081</v>
      </c>
      <c r="P107" s="9" t="s">
        <v>3293</v>
      </c>
      <c r="Q107" s="58" t="s">
        <v>3294</v>
      </c>
      <c r="R107" s="58">
        <v>1</v>
      </c>
      <c r="S107" s="58">
        <v>8</v>
      </c>
      <c r="T107" s="9" t="s">
        <v>3394</v>
      </c>
      <c r="U107" s="9" t="s">
        <v>3395</v>
      </c>
      <c r="V107" s="58">
        <v>1</v>
      </c>
      <c r="W107" s="9"/>
      <c r="X107" s="9"/>
      <c r="Y107" s="9"/>
      <c r="Z107" s="9"/>
    </row>
    <row r="108" spans="1:26" ht="15.75" hidden="1" customHeight="1">
      <c r="A108" s="9" t="s">
        <v>154</v>
      </c>
      <c r="B108" s="9" t="s">
        <v>3393</v>
      </c>
      <c r="C108" s="9" t="s">
        <v>155</v>
      </c>
      <c r="D108" s="9" t="s">
        <v>368</v>
      </c>
      <c r="E108" s="9" t="s">
        <v>3056</v>
      </c>
      <c r="F108" s="58" t="s">
        <v>3057</v>
      </c>
      <c r="G108" s="58">
        <v>7000</v>
      </c>
      <c r="H108" s="85">
        <v>0.24</v>
      </c>
      <c r="I108" s="9">
        <v>8</v>
      </c>
      <c r="J108" s="9"/>
      <c r="K108" s="9"/>
      <c r="L108" s="9"/>
      <c r="M108" s="9"/>
      <c r="N108" s="9" t="s">
        <v>3130</v>
      </c>
      <c r="O108" s="9" t="s">
        <v>3081</v>
      </c>
      <c r="P108" s="9" t="s">
        <v>3396</v>
      </c>
      <c r="Q108" s="58" t="s">
        <v>3167</v>
      </c>
      <c r="R108" s="58">
        <v>4</v>
      </c>
      <c r="S108" s="58">
        <v>7</v>
      </c>
      <c r="T108" s="9" t="s">
        <v>3394</v>
      </c>
      <c r="U108" s="9" t="s">
        <v>3397</v>
      </c>
      <c r="V108" s="58">
        <v>4</v>
      </c>
      <c r="W108" s="9"/>
      <c r="X108" s="9"/>
      <c r="Y108" s="9"/>
      <c r="Z108" s="9"/>
    </row>
    <row r="109" spans="1:26" ht="15.75" hidden="1" customHeight="1">
      <c r="A109" s="9" t="s">
        <v>157</v>
      </c>
      <c r="B109" s="9" t="s">
        <v>3398</v>
      </c>
      <c r="C109" s="9" t="s">
        <v>158</v>
      </c>
      <c r="D109" s="9" t="s">
        <v>439</v>
      </c>
      <c r="E109" s="9"/>
      <c r="F109" s="9"/>
      <c r="G109" s="58">
        <v>11200</v>
      </c>
      <c r="H109" s="85">
        <v>4.2857142857142802E-2</v>
      </c>
      <c r="I109" s="9">
        <v>62</v>
      </c>
      <c r="J109" s="9"/>
      <c r="K109" s="9"/>
      <c r="L109" s="9"/>
      <c r="M109" s="9"/>
      <c r="N109" s="9" t="s">
        <v>3399</v>
      </c>
      <c r="O109" s="9" t="s">
        <v>3258</v>
      </c>
      <c r="P109" s="9" t="s">
        <v>3293</v>
      </c>
      <c r="Q109" s="58" t="s">
        <v>3294</v>
      </c>
      <c r="R109" s="58">
        <v>1</v>
      </c>
      <c r="S109" s="58">
        <v>8</v>
      </c>
      <c r="T109" s="9" t="s">
        <v>3400</v>
      </c>
      <c r="U109" s="9" t="s">
        <v>3401</v>
      </c>
      <c r="V109" s="58">
        <v>1</v>
      </c>
      <c r="W109" s="9"/>
      <c r="X109" s="9"/>
      <c r="Y109" s="9"/>
      <c r="Z109" s="9"/>
    </row>
    <row r="110" spans="1:26" ht="15.75" hidden="1" customHeight="1">
      <c r="A110" s="9" t="s">
        <v>157</v>
      </c>
      <c r="B110" s="9" t="s">
        <v>3398</v>
      </c>
      <c r="C110" s="9" t="s">
        <v>158</v>
      </c>
      <c r="D110" s="9" t="s">
        <v>368</v>
      </c>
      <c r="E110" s="9" t="s">
        <v>3402</v>
      </c>
      <c r="F110" s="58" t="s">
        <v>3057</v>
      </c>
      <c r="G110" s="58">
        <v>6090</v>
      </c>
      <c r="H110" s="85">
        <v>0.20689655172413701</v>
      </c>
      <c r="I110" s="9">
        <v>62</v>
      </c>
      <c r="J110" s="9"/>
      <c r="K110" s="9"/>
      <c r="L110" s="9"/>
      <c r="M110" s="9"/>
      <c r="N110" s="9" t="s">
        <v>3399</v>
      </c>
      <c r="O110" s="9" t="s">
        <v>3258</v>
      </c>
      <c r="P110" s="9" t="s">
        <v>3403</v>
      </c>
      <c r="Q110" s="58" t="s">
        <v>3404</v>
      </c>
      <c r="R110" s="58">
        <v>3</v>
      </c>
      <c r="S110" s="58">
        <v>7</v>
      </c>
      <c r="T110" s="9" t="s">
        <v>3400</v>
      </c>
      <c r="U110" s="9" t="s">
        <v>3405</v>
      </c>
      <c r="V110" s="58">
        <v>3</v>
      </c>
      <c r="W110" s="9"/>
      <c r="X110" s="9"/>
      <c r="Y110" s="9"/>
      <c r="Z110" s="9"/>
    </row>
    <row r="111" spans="1:26" ht="15.75" hidden="1" customHeight="1">
      <c r="A111" s="9" t="s">
        <v>1202</v>
      </c>
      <c r="B111" s="9" t="s">
        <v>3406</v>
      </c>
      <c r="C111" s="9" t="s">
        <v>920</v>
      </c>
      <c r="D111" s="9" t="s">
        <v>439</v>
      </c>
      <c r="E111" s="9"/>
      <c r="F111" s="9"/>
      <c r="G111" s="58">
        <v>7600</v>
      </c>
      <c r="H111" s="85">
        <v>6.3157894736842093E-2</v>
      </c>
      <c r="I111" s="9">
        <v>20</v>
      </c>
      <c r="J111" s="9"/>
      <c r="K111" s="9"/>
      <c r="L111" s="9"/>
      <c r="M111" s="9"/>
      <c r="N111" s="9" t="s">
        <v>3407</v>
      </c>
      <c r="O111" s="9" t="s">
        <v>3081</v>
      </c>
      <c r="P111" s="9" t="s">
        <v>3408</v>
      </c>
      <c r="Q111" s="58" t="s">
        <v>3409</v>
      </c>
      <c r="R111" s="58">
        <v>1</v>
      </c>
      <c r="S111" s="58">
        <v>8</v>
      </c>
      <c r="T111" s="9" t="s">
        <v>3410</v>
      </c>
      <c r="U111" s="9" t="s">
        <v>3411</v>
      </c>
      <c r="V111" s="58">
        <v>1</v>
      </c>
      <c r="W111" s="9"/>
      <c r="X111" s="9"/>
      <c r="Y111" s="9"/>
      <c r="Z111" s="9"/>
    </row>
    <row r="112" spans="1:26" ht="15.75" hidden="1" customHeight="1">
      <c r="A112" s="9" t="s">
        <v>1202</v>
      </c>
      <c r="B112" s="9" t="s">
        <v>3406</v>
      </c>
      <c r="C112" s="9" t="s">
        <v>920</v>
      </c>
      <c r="D112" s="9" t="s">
        <v>368</v>
      </c>
      <c r="E112" s="9" t="s">
        <v>3067</v>
      </c>
      <c r="F112" s="58" t="s">
        <v>3057</v>
      </c>
      <c r="G112" s="58">
        <v>4900</v>
      </c>
      <c r="H112" s="85">
        <v>0.34285714285714203</v>
      </c>
      <c r="I112" s="9">
        <v>20</v>
      </c>
      <c r="J112" s="9"/>
      <c r="K112" s="9"/>
      <c r="L112" s="9"/>
      <c r="M112" s="9"/>
      <c r="N112" s="9" t="s">
        <v>3407</v>
      </c>
      <c r="O112" s="9" t="s">
        <v>3081</v>
      </c>
      <c r="P112" s="9" t="s">
        <v>3412</v>
      </c>
      <c r="Q112" s="58" t="s">
        <v>3155</v>
      </c>
      <c r="R112" s="58">
        <v>4</v>
      </c>
      <c r="S112" s="58">
        <v>7</v>
      </c>
      <c r="T112" s="9" t="s">
        <v>3410</v>
      </c>
      <c r="U112" s="9" t="s">
        <v>3413</v>
      </c>
      <c r="V112" s="58">
        <v>4</v>
      </c>
      <c r="W112" s="9"/>
      <c r="X112" s="9"/>
      <c r="Y112" s="9"/>
      <c r="Z112" s="9"/>
    </row>
    <row r="113" spans="1:26" ht="15.75" hidden="1" customHeight="1">
      <c r="A113" s="9" t="s">
        <v>2719</v>
      </c>
      <c r="B113" s="9" t="s">
        <v>3414</v>
      </c>
      <c r="C113" s="9" t="s">
        <v>2720</v>
      </c>
      <c r="D113" s="9" t="s">
        <v>439</v>
      </c>
      <c r="E113" s="9"/>
      <c r="F113" s="9"/>
      <c r="G113" s="58">
        <v>8000</v>
      </c>
      <c r="H113" s="85">
        <v>0.06</v>
      </c>
      <c r="I113" s="9">
        <v>15</v>
      </c>
      <c r="J113" s="9"/>
      <c r="K113" s="9"/>
      <c r="L113" s="9"/>
      <c r="M113" s="9"/>
      <c r="N113" s="9" t="s">
        <v>3375</v>
      </c>
      <c r="O113" s="9" t="s">
        <v>3339</v>
      </c>
      <c r="P113" s="9" t="s">
        <v>3415</v>
      </c>
      <c r="Q113" s="58" t="s">
        <v>3167</v>
      </c>
      <c r="R113" s="58">
        <v>1</v>
      </c>
      <c r="S113" s="58">
        <v>8</v>
      </c>
      <c r="T113" s="9" t="s">
        <v>3416</v>
      </c>
      <c r="U113" s="9" t="s">
        <v>3417</v>
      </c>
      <c r="V113" s="58">
        <v>1</v>
      </c>
      <c r="W113" s="9"/>
      <c r="X113" s="9"/>
      <c r="Y113" s="9"/>
      <c r="Z113" s="9"/>
    </row>
    <row r="114" spans="1:26" ht="15.75" hidden="1" customHeight="1">
      <c r="A114" s="9" t="s">
        <v>2719</v>
      </c>
      <c r="B114" s="9" t="s">
        <v>3414</v>
      </c>
      <c r="C114" s="9" t="s">
        <v>2720</v>
      </c>
      <c r="D114" s="9" t="s">
        <v>368</v>
      </c>
      <c r="E114" s="9" t="s">
        <v>3402</v>
      </c>
      <c r="F114" s="58" t="s">
        <v>3057</v>
      </c>
      <c r="G114" s="58">
        <v>7000</v>
      </c>
      <c r="H114" s="85">
        <v>0.24</v>
      </c>
      <c r="I114" s="9">
        <v>15</v>
      </c>
      <c r="J114" s="9"/>
      <c r="K114" s="9"/>
      <c r="L114" s="9"/>
      <c r="M114" s="9"/>
      <c r="N114" s="9" t="s">
        <v>3375</v>
      </c>
      <c r="O114" s="9" t="s">
        <v>3339</v>
      </c>
      <c r="P114" s="9" t="s">
        <v>3418</v>
      </c>
      <c r="Q114" s="58" t="s">
        <v>3167</v>
      </c>
      <c r="R114" s="58">
        <v>4</v>
      </c>
      <c r="S114" s="58">
        <v>7</v>
      </c>
      <c r="T114" s="9" t="s">
        <v>3416</v>
      </c>
      <c r="U114" s="9" t="s">
        <v>3419</v>
      </c>
      <c r="V114" s="58">
        <v>4</v>
      </c>
      <c r="W114" s="9"/>
      <c r="X114" s="9"/>
      <c r="Y114" s="9"/>
      <c r="Z114" s="9"/>
    </row>
    <row r="115" spans="1:26" ht="15.75" hidden="1" customHeight="1">
      <c r="A115" s="9" t="s">
        <v>3420</v>
      </c>
      <c r="B115" s="9" t="s">
        <v>3421</v>
      </c>
      <c r="C115" s="9" t="s">
        <v>3422</v>
      </c>
      <c r="D115" s="9" t="s">
        <v>439</v>
      </c>
      <c r="E115" s="9"/>
      <c r="F115" s="9"/>
      <c r="G115" s="58">
        <v>6880</v>
      </c>
      <c r="H115" s="85">
        <v>6.9767441860465101E-2</v>
      </c>
      <c r="I115" s="9">
        <v>30</v>
      </c>
      <c r="J115" s="9"/>
      <c r="K115" s="9"/>
      <c r="L115" s="9"/>
      <c r="M115" s="9"/>
      <c r="N115" s="9" t="s">
        <v>3423</v>
      </c>
      <c r="O115" s="9" t="s">
        <v>3051</v>
      </c>
      <c r="P115" s="9" t="s">
        <v>3082</v>
      </c>
      <c r="Q115" s="58" t="s">
        <v>3083</v>
      </c>
      <c r="R115" s="58">
        <v>1</v>
      </c>
      <c r="S115" s="58">
        <v>8</v>
      </c>
      <c r="T115" s="9" t="s">
        <v>3424</v>
      </c>
      <c r="U115" s="9" t="s">
        <v>3425</v>
      </c>
      <c r="V115" s="58">
        <v>1</v>
      </c>
      <c r="W115" s="9"/>
      <c r="X115" s="9"/>
      <c r="Y115" s="9"/>
      <c r="Z115" s="9"/>
    </row>
    <row r="116" spans="1:26" ht="15.75" hidden="1" customHeight="1">
      <c r="A116" s="9" t="s">
        <v>3420</v>
      </c>
      <c r="B116" s="9" t="s">
        <v>3421</v>
      </c>
      <c r="C116" s="9" t="s">
        <v>3422</v>
      </c>
      <c r="D116" s="9" t="s">
        <v>368</v>
      </c>
      <c r="E116" s="9" t="s">
        <v>3402</v>
      </c>
      <c r="F116" s="58" t="s">
        <v>3057</v>
      </c>
      <c r="G116" s="58">
        <v>4900</v>
      </c>
      <c r="H116" s="85">
        <v>0.25714285714285701</v>
      </c>
      <c r="I116" s="9">
        <v>30</v>
      </c>
      <c r="J116" s="9"/>
      <c r="K116" s="9"/>
      <c r="L116" s="9"/>
      <c r="M116" s="9"/>
      <c r="N116" s="9" t="s">
        <v>3423</v>
      </c>
      <c r="O116" s="9" t="s">
        <v>3051</v>
      </c>
      <c r="P116" s="9" t="s">
        <v>3426</v>
      </c>
      <c r="Q116" s="58" t="s">
        <v>3155</v>
      </c>
      <c r="R116" s="58">
        <v>3</v>
      </c>
      <c r="S116" s="58">
        <v>7</v>
      </c>
      <c r="T116" s="9" t="s">
        <v>3424</v>
      </c>
      <c r="U116" s="9" t="s">
        <v>3427</v>
      </c>
      <c r="V116" s="58">
        <v>3</v>
      </c>
      <c r="W116" s="9"/>
      <c r="X116" s="9"/>
      <c r="Y116" s="9"/>
      <c r="Z116" s="9"/>
    </row>
    <row r="117" spans="1:26" ht="15.75" hidden="1" customHeight="1">
      <c r="A117" s="9" t="s">
        <v>1207</v>
      </c>
      <c r="B117" s="9" t="s">
        <v>3428</v>
      </c>
      <c r="C117" s="9" t="s">
        <v>799</v>
      </c>
      <c r="D117" s="9" t="s">
        <v>439</v>
      </c>
      <c r="E117" s="9"/>
      <c r="F117" s="9"/>
      <c r="G117" s="58">
        <v>6880</v>
      </c>
      <c r="H117" s="85">
        <v>6.9767441860465101E-2</v>
      </c>
      <c r="I117" s="9">
        <v>121.2</v>
      </c>
      <c r="J117" s="9"/>
      <c r="K117" s="9"/>
      <c r="L117" s="9"/>
      <c r="M117" s="9"/>
      <c r="N117" s="9" t="s">
        <v>3429</v>
      </c>
      <c r="O117" s="9" t="s">
        <v>3051</v>
      </c>
      <c r="P117" s="9" t="s">
        <v>3082</v>
      </c>
      <c r="Q117" s="58" t="s">
        <v>3083</v>
      </c>
      <c r="R117" s="58">
        <v>1</v>
      </c>
      <c r="S117" s="58">
        <v>8</v>
      </c>
      <c r="T117" s="9" t="s">
        <v>3430</v>
      </c>
      <c r="U117" s="9" t="s">
        <v>3431</v>
      </c>
      <c r="V117" s="58">
        <v>1</v>
      </c>
      <c r="W117" s="9"/>
      <c r="X117" s="9"/>
      <c r="Y117" s="9"/>
      <c r="Z117" s="9"/>
    </row>
    <row r="118" spans="1:26" ht="15.75" hidden="1" customHeight="1">
      <c r="A118" s="9" t="s">
        <v>1207</v>
      </c>
      <c r="B118" s="9" t="s">
        <v>3428</v>
      </c>
      <c r="C118" s="9" t="s">
        <v>799</v>
      </c>
      <c r="D118" s="9" t="s">
        <v>368</v>
      </c>
      <c r="E118" s="9" t="s">
        <v>3402</v>
      </c>
      <c r="F118" s="58" t="s">
        <v>3057</v>
      </c>
      <c r="G118" s="58">
        <v>4900</v>
      </c>
      <c r="H118" s="85">
        <v>0.34285714285714203</v>
      </c>
      <c r="I118" s="9">
        <v>121.2</v>
      </c>
      <c r="J118" s="9"/>
      <c r="K118" s="9"/>
      <c r="L118" s="9"/>
      <c r="M118" s="9"/>
      <c r="N118" s="9" t="s">
        <v>3429</v>
      </c>
      <c r="O118" s="9" t="s">
        <v>3051</v>
      </c>
      <c r="P118" s="9" t="s">
        <v>3432</v>
      </c>
      <c r="Q118" s="58" t="s">
        <v>3155</v>
      </c>
      <c r="R118" s="58">
        <v>4</v>
      </c>
      <c r="S118" s="58">
        <v>7</v>
      </c>
      <c r="T118" s="9" t="s">
        <v>3430</v>
      </c>
      <c r="U118" s="9" t="s">
        <v>3433</v>
      </c>
      <c r="V118" s="58">
        <v>4</v>
      </c>
      <c r="W118" s="9"/>
      <c r="X118" s="9"/>
      <c r="Y118" s="9"/>
      <c r="Z118" s="9"/>
    </row>
    <row r="119" spans="1:26" ht="15.75" hidden="1" customHeight="1">
      <c r="A119" s="9" t="s">
        <v>2760</v>
      </c>
      <c r="B119" s="9" t="s">
        <v>3434</v>
      </c>
      <c r="C119" s="9" t="s">
        <v>2761</v>
      </c>
      <c r="D119" s="9" t="s">
        <v>439</v>
      </c>
      <c r="E119" s="9"/>
      <c r="F119" s="9"/>
      <c r="G119" s="58">
        <v>11200</v>
      </c>
      <c r="H119" s="85">
        <v>4.2857142857142802E-2</v>
      </c>
      <c r="I119" s="9">
        <v>8</v>
      </c>
      <c r="J119" s="9"/>
      <c r="K119" s="9"/>
      <c r="L119" s="9"/>
      <c r="M119" s="9"/>
      <c r="N119" s="9" t="s">
        <v>3435</v>
      </c>
      <c r="O119" s="9" t="s">
        <v>3081</v>
      </c>
      <c r="P119" s="9" t="s">
        <v>3436</v>
      </c>
      <c r="Q119" s="58" t="s">
        <v>3294</v>
      </c>
      <c r="R119" s="58">
        <v>1</v>
      </c>
      <c r="S119" s="58">
        <v>8</v>
      </c>
      <c r="T119" s="9" t="s">
        <v>3400</v>
      </c>
      <c r="U119" s="9" t="s">
        <v>3437</v>
      </c>
      <c r="V119" s="58">
        <v>1</v>
      </c>
      <c r="W119" s="9"/>
      <c r="X119" s="9"/>
      <c r="Y119" s="9"/>
      <c r="Z119" s="9"/>
    </row>
    <row r="120" spans="1:26" ht="15.75" hidden="1" customHeight="1">
      <c r="A120" s="9" t="s">
        <v>2760</v>
      </c>
      <c r="B120" s="9" t="s">
        <v>3434</v>
      </c>
      <c r="C120" s="9" t="s">
        <v>2761</v>
      </c>
      <c r="D120" s="9" t="s">
        <v>368</v>
      </c>
      <c r="E120" s="9" t="s">
        <v>3056</v>
      </c>
      <c r="F120" s="58" t="s">
        <v>3057</v>
      </c>
      <c r="G120" s="58">
        <v>7000</v>
      </c>
      <c r="H120" s="85">
        <v>0.24</v>
      </c>
      <c r="I120" s="9">
        <v>8</v>
      </c>
      <c r="J120" s="9"/>
      <c r="K120" s="9"/>
      <c r="L120" s="9"/>
      <c r="M120" s="9"/>
      <c r="N120" s="9" t="s">
        <v>3435</v>
      </c>
      <c r="O120" s="9" t="s">
        <v>3081</v>
      </c>
      <c r="P120" s="9" t="s">
        <v>3396</v>
      </c>
      <c r="Q120" s="58" t="s">
        <v>3167</v>
      </c>
      <c r="R120" s="58">
        <v>4</v>
      </c>
      <c r="S120" s="58">
        <v>7</v>
      </c>
      <c r="T120" s="9" t="s">
        <v>3400</v>
      </c>
      <c r="U120" s="9" t="s">
        <v>3438</v>
      </c>
      <c r="V120" s="58">
        <v>4</v>
      </c>
      <c r="W120" s="9"/>
      <c r="X120" s="9"/>
      <c r="Y120" s="9"/>
      <c r="Z120" s="9"/>
    </row>
    <row r="121" spans="1:26" ht="15.75" hidden="1" customHeight="1">
      <c r="A121" s="9" t="s">
        <v>1212</v>
      </c>
      <c r="B121" s="9" t="s">
        <v>3439</v>
      </c>
      <c r="C121" s="9" t="s">
        <v>158</v>
      </c>
      <c r="D121" s="9" t="s">
        <v>439</v>
      </c>
      <c r="E121" s="9"/>
      <c r="F121" s="9"/>
      <c r="G121" s="58">
        <v>6800</v>
      </c>
      <c r="H121" s="85">
        <v>7.0588235294117604E-2</v>
      </c>
      <c r="I121" s="9">
        <v>62</v>
      </c>
      <c r="J121" s="9"/>
      <c r="K121" s="9"/>
      <c r="L121" s="9"/>
      <c r="M121" s="9"/>
      <c r="N121" s="9" t="s">
        <v>3440</v>
      </c>
      <c r="O121" s="9" t="s">
        <v>3081</v>
      </c>
      <c r="P121" s="9" t="s">
        <v>3441</v>
      </c>
      <c r="Q121" s="58" t="s">
        <v>3132</v>
      </c>
      <c r="R121" s="58">
        <v>1</v>
      </c>
      <c r="S121" s="58">
        <v>8</v>
      </c>
      <c r="T121" s="9" t="s">
        <v>3400</v>
      </c>
      <c r="U121" s="9" t="s">
        <v>3442</v>
      </c>
      <c r="V121" s="58">
        <v>1</v>
      </c>
      <c r="W121" s="9"/>
      <c r="X121" s="9"/>
      <c r="Y121" s="9"/>
      <c r="Z121" s="9"/>
    </row>
    <row r="122" spans="1:26" ht="15.75" hidden="1" customHeight="1">
      <c r="A122" s="9" t="s">
        <v>1212</v>
      </c>
      <c r="B122" s="9" t="s">
        <v>3439</v>
      </c>
      <c r="C122" s="9" t="s">
        <v>158</v>
      </c>
      <c r="D122" s="9" t="s">
        <v>368</v>
      </c>
      <c r="E122" s="9" t="s">
        <v>3402</v>
      </c>
      <c r="F122" s="58" t="s">
        <v>3057</v>
      </c>
      <c r="G122" s="58">
        <v>5600</v>
      </c>
      <c r="H122" s="85">
        <v>0.22500000000000001</v>
      </c>
      <c r="I122" s="9">
        <v>62</v>
      </c>
      <c r="J122" s="9"/>
      <c r="K122" s="9"/>
      <c r="L122" s="9"/>
      <c r="M122" s="9"/>
      <c r="N122" s="9" t="s">
        <v>3440</v>
      </c>
      <c r="O122" s="9" t="s">
        <v>3081</v>
      </c>
      <c r="P122" s="9" t="s">
        <v>3443</v>
      </c>
      <c r="Q122" s="58" t="s">
        <v>3185</v>
      </c>
      <c r="R122" s="58">
        <v>3</v>
      </c>
      <c r="S122" s="58">
        <v>7</v>
      </c>
      <c r="T122" s="9" t="s">
        <v>3400</v>
      </c>
      <c r="U122" s="9" t="s">
        <v>3444</v>
      </c>
      <c r="V122" s="58">
        <v>3</v>
      </c>
      <c r="W122" s="9"/>
      <c r="X122" s="9"/>
      <c r="Y122" s="9"/>
      <c r="Z122" s="9"/>
    </row>
    <row r="123" spans="1:26" ht="15.75" hidden="1" customHeight="1">
      <c r="A123" s="9" t="s">
        <v>117</v>
      </c>
      <c r="B123" s="9" t="s">
        <v>3445</v>
      </c>
      <c r="C123" s="9" t="s">
        <v>118</v>
      </c>
      <c r="D123" s="9" t="s">
        <v>368</v>
      </c>
      <c r="E123" s="9" t="s">
        <v>3092</v>
      </c>
      <c r="F123" s="58" t="s">
        <v>3087</v>
      </c>
      <c r="G123" s="58">
        <v>3500</v>
      </c>
      <c r="H123" s="85">
        <v>0.36</v>
      </c>
      <c r="I123" s="9">
        <v>200.9</v>
      </c>
      <c r="J123" s="9"/>
      <c r="K123" s="9"/>
      <c r="L123" s="9"/>
      <c r="M123" s="9"/>
      <c r="N123" s="9" t="s">
        <v>3446</v>
      </c>
      <c r="O123" s="9" t="s">
        <v>3081</v>
      </c>
      <c r="P123" s="9" t="s">
        <v>3447</v>
      </c>
      <c r="Q123" s="58">
        <v>500</v>
      </c>
      <c r="R123" s="58">
        <v>3</v>
      </c>
      <c r="S123" s="58">
        <v>7</v>
      </c>
      <c r="T123" s="9" t="s">
        <v>3448</v>
      </c>
      <c r="U123" s="9" t="s">
        <v>3449</v>
      </c>
      <c r="V123" s="58">
        <v>3</v>
      </c>
      <c r="W123" s="9"/>
      <c r="X123" s="9"/>
      <c r="Y123" s="9"/>
      <c r="Z123" s="9"/>
    </row>
    <row r="124" spans="1:26" ht="15.75" hidden="1" customHeight="1">
      <c r="A124" s="9" t="s">
        <v>120</v>
      </c>
      <c r="B124" s="9" t="s">
        <v>3450</v>
      </c>
      <c r="C124" s="9" t="s">
        <v>121</v>
      </c>
      <c r="D124" s="9" t="s">
        <v>439</v>
      </c>
      <c r="E124" s="9"/>
      <c r="F124" s="9"/>
      <c r="G124" s="58">
        <v>8800</v>
      </c>
      <c r="H124" s="85">
        <v>5.4545454545454501E-2</v>
      </c>
      <c r="I124" s="9">
        <v>15</v>
      </c>
      <c r="J124" s="9"/>
      <c r="K124" s="9"/>
      <c r="L124" s="9"/>
      <c r="M124" s="9"/>
      <c r="N124" s="9" t="s">
        <v>3332</v>
      </c>
      <c r="O124" s="9" t="s">
        <v>3081</v>
      </c>
      <c r="P124" s="9" t="s">
        <v>3125</v>
      </c>
      <c r="Q124" s="58">
        <v>1100</v>
      </c>
      <c r="R124" s="58">
        <v>1</v>
      </c>
      <c r="S124" s="58">
        <v>8</v>
      </c>
      <c r="T124" s="9" t="s">
        <v>3065</v>
      </c>
      <c r="U124" s="9" t="s">
        <v>3451</v>
      </c>
      <c r="V124" s="58">
        <v>1</v>
      </c>
      <c r="W124" s="9"/>
      <c r="X124" s="9"/>
      <c r="Y124" s="9"/>
      <c r="Z124" s="9"/>
    </row>
    <row r="125" spans="1:26" ht="15.75" hidden="1" customHeight="1">
      <c r="A125" s="9" t="s">
        <v>120</v>
      </c>
      <c r="B125" s="9" t="s">
        <v>3450</v>
      </c>
      <c r="C125" s="9" t="s">
        <v>121</v>
      </c>
      <c r="D125" s="9" t="s">
        <v>368</v>
      </c>
      <c r="E125" s="9" t="s">
        <v>3056</v>
      </c>
      <c r="F125" s="58" t="s">
        <v>3057</v>
      </c>
      <c r="G125" s="58">
        <v>6300</v>
      </c>
      <c r="H125" s="85">
        <v>0.266666666666666</v>
      </c>
      <c r="I125" s="9">
        <v>15</v>
      </c>
      <c r="J125" s="9"/>
      <c r="K125" s="9"/>
      <c r="L125" s="9"/>
      <c r="M125" s="9"/>
      <c r="N125" s="9" t="s">
        <v>3332</v>
      </c>
      <c r="O125" s="9" t="s">
        <v>3081</v>
      </c>
      <c r="P125" s="9" t="s">
        <v>3452</v>
      </c>
      <c r="Q125" s="58">
        <v>900</v>
      </c>
      <c r="R125" s="58">
        <v>4</v>
      </c>
      <c r="S125" s="58">
        <v>7</v>
      </c>
      <c r="T125" s="9" t="s">
        <v>3065</v>
      </c>
      <c r="U125" s="9" t="s">
        <v>3453</v>
      </c>
      <c r="V125" s="58">
        <v>4</v>
      </c>
      <c r="W125" s="9"/>
      <c r="X125" s="9"/>
      <c r="Y125" s="9"/>
      <c r="Z125" s="9"/>
    </row>
    <row r="126" spans="1:26" ht="15.75" hidden="1" customHeight="1">
      <c r="A126" s="9" t="s">
        <v>1227</v>
      </c>
      <c r="B126" s="9" t="s">
        <v>3454</v>
      </c>
      <c r="C126" s="9" t="s">
        <v>473</v>
      </c>
      <c r="D126" s="9" t="s">
        <v>368</v>
      </c>
      <c r="E126" s="9" t="s">
        <v>3092</v>
      </c>
      <c r="F126" s="58" t="s">
        <v>3087</v>
      </c>
      <c r="G126" s="58">
        <v>3500</v>
      </c>
      <c r="H126" s="85">
        <v>0.36</v>
      </c>
      <c r="I126" s="9">
        <v>198.4</v>
      </c>
      <c r="J126" s="9"/>
      <c r="K126" s="9"/>
      <c r="L126" s="9"/>
      <c r="M126" s="9"/>
      <c r="N126" s="9" t="s">
        <v>3455</v>
      </c>
      <c r="O126" s="9" t="s">
        <v>3081</v>
      </c>
      <c r="P126" s="9" t="s">
        <v>3456</v>
      </c>
      <c r="Q126" s="58" t="s">
        <v>3361</v>
      </c>
      <c r="R126" s="58">
        <v>3</v>
      </c>
      <c r="S126" s="58">
        <v>7</v>
      </c>
      <c r="T126" s="9" t="s">
        <v>3457</v>
      </c>
      <c r="U126" s="9" t="s">
        <v>3458</v>
      </c>
      <c r="V126" s="58">
        <v>3</v>
      </c>
      <c r="W126" s="9"/>
      <c r="X126" s="9"/>
      <c r="Y126" s="9"/>
      <c r="Z126" s="9"/>
    </row>
    <row r="127" spans="1:26" ht="15.75" hidden="1" customHeight="1">
      <c r="A127" s="9" t="s">
        <v>247</v>
      </c>
      <c r="B127" s="9" t="s">
        <v>3459</v>
      </c>
      <c r="C127" s="9" t="s">
        <v>248</v>
      </c>
      <c r="D127" s="9" t="s">
        <v>439</v>
      </c>
      <c r="E127" s="9"/>
      <c r="F127" s="9"/>
      <c r="G127" s="58">
        <v>16000</v>
      </c>
      <c r="H127" s="85">
        <v>0.03</v>
      </c>
      <c r="I127" s="9">
        <v>15</v>
      </c>
      <c r="J127" s="9"/>
      <c r="K127" s="9"/>
      <c r="L127" s="9"/>
      <c r="M127" s="9"/>
      <c r="N127" s="9" t="s">
        <v>3460</v>
      </c>
      <c r="O127" s="9" t="s">
        <v>3339</v>
      </c>
      <c r="P127" s="9" t="s">
        <v>3461</v>
      </c>
      <c r="Q127" s="58" t="s">
        <v>3462</v>
      </c>
      <c r="R127" s="58">
        <v>1</v>
      </c>
      <c r="S127" s="58">
        <v>8</v>
      </c>
      <c r="T127" s="9" t="s">
        <v>3065</v>
      </c>
      <c r="U127" s="9" t="s">
        <v>3463</v>
      </c>
      <c r="V127" s="58">
        <v>1</v>
      </c>
      <c r="W127" s="9"/>
      <c r="X127" s="9"/>
      <c r="Y127" s="9"/>
      <c r="Z127" s="9"/>
    </row>
    <row r="128" spans="1:26" ht="15.75" hidden="1" customHeight="1">
      <c r="A128" s="9" t="s">
        <v>247</v>
      </c>
      <c r="B128" s="9" t="s">
        <v>3459</v>
      </c>
      <c r="C128" s="9" t="s">
        <v>248</v>
      </c>
      <c r="D128" s="9" t="s">
        <v>368</v>
      </c>
      <c r="E128" s="9" t="s">
        <v>3056</v>
      </c>
      <c r="F128" s="58" t="s">
        <v>3057</v>
      </c>
      <c r="G128" s="58">
        <v>12600</v>
      </c>
      <c r="H128" s="85">
        <v>0.133333333333333</v>
      </c>
      <c r="I128" s="9">
        <v>15</v>
      </c>
      <c r="J128" s="9"/>
      <c r="K128" s="9"/>
      <c r="L128" s="9"/>
      <c r="M128" s="9"/>
      <c r="N128" s="9" t="s">
        <v>3460</v>
      </c>
      <c r="O128" s="9" t="s">
        <v>3339</v>
      </c>
      <c r="P128" s="9" t="s">
        <v>3464</v>
      </c>
      <c r="Q128" s="58" t="s">
        <v>3465</v>
      </c>
      <c r="R128" s="58">
        <v>4</v>
      </c>
      <c r="S128" s="58">
        <v>7</v>
      </c>
      <c r="T128" s="9" t="s">
        <v>3065</v>
      </c>
      <c r="U128" s="9" t="s">
        <v>3466</v>
      </c>
      <c r="V128" s="58">
        <v>4</v>
      </c>
      <c r="W128" s="9"/>
      <c r="X128" s="9"/>
      <c r="Y128" s="9"/>
      <c r="Z128" s="9"/>
    </row>
    <row r="129" spans="1:26" ht="15.75" hidden="1" customHeight="1">
      <c r="A129" s="9" t="s">
        <v>1237</v>
      </c>
      <c r="B129" s="9" t="s">
        <v>3467</v>
      </c>
      <c r="C129" s="9" t="s">
        <v>462</v>
      </c>
      <c r="D129" s="9" t="s">
        <v>439</v>
      </c>
      <c r="E129" s="9"/>
      <c r="F129" s="9"/>
      <c r="G129" s="58">
        <v>5600</v>
      </c>
      <c r="H129" s="85">
        <v>8.5714285714285701E-2</v>
      </c>
      <c r="I129" s="9">
        <v>30.9</v>
      </c>
      <c r="J129" s="9"/>
      <c r="K129" s="9"/>
      <c r="L129" s="9"/>
      <c r="M129" s="9"/>
      <c r="N129" s="9" t="s">
        <v>3375</v>
      </c>
      <c r="O129" s="9" t="s">
        <v>3051</v>
      </c>
      <c r="P129" s="9" t="s">
        <v>3154</v>
      </c>
      <c r="Q129" s="58" t="s">
        <v>3155</v>
      </c>
      <c r="R129" s="58">
        <v>1</v>
      </c>
      <c r="S129" s="58">
        <v>8</v>
      </c>
      <c r="T129" s="9" t="s">
        <v>3468</v>
      </c>
      <c r="U129" s="9" t="s">
        <v>3469</v>
      </c>
      <c r="V129" s="58">
        <v>1</v>
      </c>
      <c r="W129" s="9"/>
      <c r="X129" s="9"/>
      <c r="Y129" s="9"/>
      <c r="Z129" s="9"/>
    </row>
    <row r="130" spans="1:26" ht="15.75" hidden="1" customHeight="1">
      <c r="A130" s="9" t="s">
        <v>1237</v>
      </c>
      <c r="B130" s="9" t="s">
        <v>3467</v>
      </c>
      <c r="C130" s="9" t="s">
        <v>462</v>
      </c>
      <c r="D130" s="9" t="s">
        <v>368</v>
      </c>
      <c r="E130" s="9" t="s">
        <v>3067</v>
      </c>
      <c r="F130" s="58" t="s">
        <v>3057</v>
      </c>
      <c r="G130" s="58">
        <v>7000</v>
      </c>
      <c r="H130" s="85">
        <v>0.18</v>
      </c>
      <c r="I130" s="9">
        <v>30.9</v>
      </c>
      <c r="J130" s="9"/>
      <c r="K130" s="9"/>
      <c r="L130" s="9"/>
      <c r="M130" s="9"/>
      <c r="N130" s="9" t="s">
        <v>3375</v>
      </c>
      <c r="O130" s="9" t="s">
        <v>3051</v>
      </c>
      <c r="P130" s="9" t="s">
        <v>3470</v>
      </c>
      <c r="Q130" s="58" t="s">
        <v>3167</v>
      </c>
      <c r="R130" s="58">
        <v>3</v>
      </c>
      <c r="S130" s="58">
        <v>7</v>
      </c>
      <c r="T130" s="9" t="s">
        <v>3468</v>
      </c>
      <c r="U130" s="9" t="s">
        <v>3471</v>
      </c>
      <c r="V130" s="58">
        <v>3</v>
      </c>
      <c r="W130" s="9"/>
      <c r="X130" s="9"/>
      <c r="Y130" s="9"/>
      <c r="Z130" s="9"/>
    </row>
    <row r="131" spans="1:26" ht="15.75" hidden="1" customHeight="1">
      <c r="A131" s="9" t="s">
        <v>99</v>
      </c>
      <c r="B131" s="9" t="s">
        <v>3472</v>
      </c>
      <c r="C131" s="9" t="s">
        <v>100</v>
      </c>
      <c r="D131" s="9" t="s">
        <v>439</v>
      </c>
      <c r="E131" s="9"/>
      <c r="F131" s="9"/>
      <c r="G131" s="58">
        <v>5280</v>
      </c>
      <c r="H131" s="85">
        <v>9.0909090909090898E-2</v>
      </c>
      <c r="I131" s="9">
        <v>31.7</v>
      </c>
      <c r="J131" s="9"/>
      <c r="K131" s="9"/>
      <c r="L131" s="9"/>
      <c r="M131" s="9"/>
      <c r="N131" s="9" t="s">
        <v>3473</v>
      </c>
      <c r="O131" s="9" t="s">
        <v>3051</v>
      </c>
      <c r="P131" s="9" t="s">
        <v>3474</v>
      </c>
      <c r="Q131" s="58" t="s">
        <v>3160</v>
      </c>
      <c r="R131" s="58">
        <v>1</v>
      </c>
      <c r="S131" s="58">
        <v>8</v>
      </c>
      <c r="T131" s="9" t="s">
        <v>3475</v>
      </c>
      <c r="U131" s="9" t="s">
        <v>3476</v>
      </c>
      <c r="V131" s="58">
        <v>1</v>
      </c>
      <c r="W131" s="9"/>
      <c r="X131" s="9"/>
      <c r="Y131" s="9"/>
      <c r="Z131" s="9"/>
    </row>
    <row r="132" spans="1:26" ht="15.75" hidden="1" customHeight="1">
      <c r="A132" s="9" t="s">
        <v>99</v>
      </c>
      <c r="B132" s="9" t="s">
        <v>3472</v>
      </c>
      <c r="C132" s="9" t="s">
        <v>100</v>
      </c>
      <c r="D132" s="9" t="s">
        <v>368</v>
      </c>
      <c r="E132" s="9" t="s">
        <v>3402</v>
      </c>
      <c r="F132" s="58" t="s">
        <v>3057</v>
      </c>
      <c r="G132" s="58">
        <v>5600</v>
      </c>
      <c r="H132" s="85">
        <v>0.3</v>
      </c>
      <c r="I132" s="9">
        <v>31.7</v>
      </c>
      <c r="J132" s="9"/>
      <c r="K132" s="9"/>
      <c r="L132" s="9"/>
      <c r="M132" s="9"/>
      <c r="N132" s="9" t="s">
        <v>3473</v>
      </c>
      <c r="O132" s="9" t="s">
        <v>3051</v>
      </c>
      <c r="P132" s="9" t="s">
        <v>3477</v>
      </c>
      <c r="Q132" s="58" t="s">
        <v>3185</v>
      </c>
      <c r="R132" s="58">
        <v>4</v>
      </c>
      <c r="S132" s="58">
        <v>7</v>
      </c>
      <c r="T132" s="9" t="s">
        <v>3475</v>
      </c>
      <c r="U132" s="9" t="s">
        <v>3478</v>
      </c>
      <c r="V132" s="58">
        <v>4</v>
      </c>
      <c r="W132" s="9"/>
      <c r="X132" s="9"/>
      <c r="Y132" s="9"/>
      <c r="Z132" s="9"/>
    </row>
    <row r="133" spans="1:26" ht="15.75" hidden="1" customHeight="1">
      <c r="A133" s="9" t="s">
        <v>316</v>
      </c>
      <c r="B133" s="9" t="s">
        <v>3479</v>
      </c>
      <c r="C133" s="9" t="s">
        <v>317</v>
      </c>
      <c r="D133" s="9" t="s">
        <v>439</v>
      </c>
      <c r="E133" s="9"/>
      <c r="F133" s="9"/>
      <c r="G133" s="58">
        <v>6400</v>
      </c>
      <c r="H133" s="85">
        <v>7.4999999999999997E-2</v>
      </c>
      <c r="I133" s="9">
        <v>16.5</v>
      </c>
      <c r="J133" s="9"/>
      <c r="K133" s="9"/>
      <c r="L133" s="9"/>
      <c r="M133" s="9"/>
      <c r="N133" s="9" t="s">
        <v>3375</v>
      </c>
      <c r="O133" s="9" t="s">
        <v>3051</v>
      </c>
      <c r="P133" s="9" t="s">
        <v>3190</v>
      </c>
      <c r="Q133" s="58" t="s">
        <v>3185</v>
      </c>
      <c r="R133" s="58">
        <v>1</v>
      </c>
      <c r="S133" s="58">
        <v>8</v>
      </c>
      <c r="T133" s="9" t="s">
        <v>3480</v>
      </c>
      <c r="U133" s="9" t="s">
        <v>3481</v>
      </c>
      <c r="V133" s="58">
        <v>1</v>
      </c>
      <c r="W133" s="9"/>
      <c r="X133" s="9"/>
      <c r="Y133" s="9"/>
      <c r="Z133" s="9"/>
    </row>
    <row r="134" spans="1:26" ht="15.75" hidden="1" customHeight="1">
      <c r="A134" s="9" t="s">
        <v>316</v>
      </c>
      <c r="B134" s="9" t="s">
        <v>3479</v>
      </c>
      <c r="C134" s="9" t="s">
        <v>317</v>
      </c>
      <c r="D134" s="9" t="s">
        <v>368</v>
      </c>
      <c r="E134" s="9" t="s">
        <v>3067</v>
      </c>
      <c r="F134" s="58" t="s">
        <v>3057</v>
      </c>
      <c r="G134" s="58">
        <v>5950</v>
      </c>
      <c r="H134" s="85">
        <v>0.21176470588235199</v>
      </c>
      <c r="I134" s="9">
        <v>16.5</v>
      </c>
      <c r="J134" s="9"/>
      <c r="K134" s="9"/>
      <c r="L134" s="9"/>
      <c r="M134" s="9"/>
      <c r="N134" s="9" t="s">
        <v>3375</v>
      </c>
      <c r="O134" s="9" t="s">
        <v>3051</v>
      </c>
      <c r="P134" s="9" t="s">
        <v>3482</v>
      </c>
      <c r="Q134" s="58" t="s">
        <v>3132</v>
      </c>
      <c r="R134" s="58">
        <v>3</v>
      </c>
      <c r="S134" s="58">
        <v>7</v>
      </c>
      <c r="T134" s="9" t="s">
        <v>3480</v>
      </c>
      <c r="U134" s="9" t="s">
        <v>3483</v>
      </c>
      <c r="V134" s="58">
        <v>3</v>
      </c>
      <c r="W134" s="9"/>
      <c r="X134" s="9"/>
      <c r="Y134" s="9"/>
      <c r="Z134" s="9"/>
    </row>
    <row r="135" spans="1:26" ht="15.75" hidden="1" customHeight="1">
      <c r="A135" s="9" t="s">
        <v>1247</v>
      </c>
      <c r="B135" s="9" t="s">
        <v>3484</v>
      </c>
      <c r="C135" s="9" t="s">
        <v>580</v>
      </c>
      <c r="D135" s="9" t="s">
        <v>439</v>
      </c>
      <c r="E135" s="9"/>
      <c r="F135" s="9"/>
      <c r="G135" s="58">
        <v>8000</v>
      </c>
      <c r="H135" s="85">
        <v>0.06</v>
      </c>
      <c r="I135" s="9">
        <v>31.7</v>
      </c>
      <c r="J135" s="9"/>
      <c r="K135" s="9"/>
      <c r="L135" s="9"/>
      <c r="M135" s="9"/>
      <c r="N135" s="9" t="s">
        <v>3423</v>
      </c>
      <c r="O135" s="9" t="s">
        <v>3051</v>
      </c>
      <c r="P135" s="9" t="s">
        <v>3415</v>
      </c>
      <c r="Q135" s="58" t="s">
        <v>3167</v>
      </c>
      <c r="R135" s="58">
        <v>1</v>
      </c>
      <c r="S135" s="58">
        <v>8</v>
      </c>
      <c r="T135" s="9" t="s">
        <v>3475</v>
      </c>
      <c r="U135" s="9" t="s">
        <v>3485</v>
      </c>
      <c r="V135" s="58">
        <v>1</v>
      </c>
      <c r="W135" s="9"/>
      <c r="X135" s="9"/>
      <c r="Y135" s="9"/>
      <c r="Z135" s="9"/>
    </row>
    <row r="136" spans="1:26" ht="15.75" hidden="1" customHeight="1">
      <c r="A136" s="9" t="s">
        <v>1247</v>
      </c>
      <c r="B136" s="9" t="s">
        <v>3484</v>
      </c>
      <c r="C136" s="9" t="s">
        <v>580</v>
      </c>
      <c r="D136" s="9" t="s">
        <v>368</v>
      </c>
      <c r="E136" s="9" t="s">
        <v>3402</v>
      </c>
      <c r="F136" s="58" t="s">
        <v>3057</v>
      </c>
      <c r="G136" s="58">
        <v>8400</v>
      </c>
      <c r="H136" s="85">
        <v>0.2</v>
      </c>
      <c r="I136" s="9">
        <v>31.7</v>
      </c>
      <c r="J136" s="9"/>
      <c r="K136" s="9"/>
      <c r="L136" s="9"/>
      <c r="M136" s="9"/>
      <c r="N136" s="9" t="s">
        <v>3423</v>
      </c>
      <c r="O136" s="9" t="s">
        <v>3051</v>
      </c>
      <c r="P136" s="9" t="s">
        <v>3486</v>
      </c>
      <c r="Q136" s="58" t="s">
        <v>3074</v>
      </c>
      <c r="R136" s="58">
        <v>4</v>
      </c>
      <c r="S136" s="58">
        <v>7</v>
      </c>
      <c r="T136" s="9" t="s">
        <v>3475</v>
      </c>
      <c r="U136" s="9" t="s">
        <v>3487</v>
      </c>
      <c r="V136" s="58">
        <v>4</v>
      </c>
      <c r="W136" s="9"/>
      <c r="X136" s="9"/>
      <c r="Y136" s="9"/>
      <c r="Z136" s="9"/>
    </row>
    <row r="137" spans="1:26" ht="15.75" hidden="1" customHeight="1">
      <c r="A137" s="9" t="s">
        <v>1249</v>
      </c>
      <c r="B137" s="9" t="s">
        <v>3488</v>
      </c>
      <c r="C137" s="9" t="s">
        <v>898</v>
      </c>
      <c r="D137" s="9" t="s">
        <v>439</v>
      </c>
      <c r="E137" s="9"/>
      <c r="F137" s="9"/>
      <c r="G137" s="58">
        <v>5440</v>
      </c>
      <c r="H137" s="85">
        <v>8.8235294117646995E-2</v>
      </c>
      <c r="I137" s="9">
        <v>30</v>
      </c>
      <c r="J137" s="9"/>
      <c r="K137" s="9"/>
      <c r="L137" s="9"/>
      <c r="M137" s="9"/>
      <c r="N137" s="9" t="s">
        <v>3105</v>
      </c>
      <c r="O137" s="9" t="s">
        <v>3081</v>
      </c>
      <c r="P137" s="9" t="s">
        <v>3489</v>
      </c>
      <c r="Q137" s="58" t="s">
        <v>3490</v>
      </c>
      <c r="R137" s="58">
        <v>1</v>
      </c>
      <c r="S137" s="58">
        <v>8</v>
      </c>
      <c r="T137" s="9" t="s">
        <v>3065</v>
      </c>
      <c r="U137" s="9" t="s">
        <v>3491</v>
      </c>
      <c r="V137" s="58">
        <v>1</v>
      </c>
      <c r="W137" s="9"/>
      <c r="X137" s="9"/>
      <c r="Y137" s="9"/>
      <c r="Z137" s="9"/>
    </row>
    <row r="138" spans="1:26" ht="15.75" hidden="1" customHeight="1">
      <c r="A138" s="9" t="s">
        <v>1249</v>
      </c>
      <c r="B138" s="9" t="s">
        <v>3488</v>
      </c>
      <c r="C138" s="9" t="s">
        <v>898</v>
      </c>
      <c r="D138" s="9" t="s">
        <v>368</v>
      </c>
      <c r="E138" s="9" t="s">
        <v>3183</v>
      </c>
      <c r="F138" s="58" t="s">
        <v>3087</v>
      </c>
      <c r="G138" s="58">
        <v>5250</v>
      </c>
      <c r="H138" s="85">
        <v>0.32</v>
      </c>
      <c r="I138" s="9">
        <v>30</v>
      </c>
      <c r="J138" s="9"/>
      <c r="K138" s="9"/>
      <c r="L138" s="9"/>
      <c r="M138" s="9"/>
      <c r="N138" s="9" t="s">
        <v>3105</v>
      </c>
      <c r="O138" s="9" t="s">
        <v>3081</v>
      </c>
      <c r="P138" s="9" t="s">
        <v>3492</v>
      </c>
      <c r="Q138" s="58" t="s">
        <v>3095</v>
      </c>
      <c r="R138" s="58">
        <v>4</v>
      </c>
      <c r="S138" s="58">
        <v>7</v>
      </c>
      <c r="T138" s="9" t="s">
        <v>3065</v>
      </c>
      <c r="U138" s="9" t="s">
        <v>3493</v>
      </c>
      <c r="V138" s="58">
        <v>4</v>
      </c>
      <c r="W138" s="9"/>
      <c r="X138" s="9"/>
      <c r="Y138" s="9"/>
      <c r="Z138" s="9"/>
    </row>
    <row r="139" spans="1:26" ht="15.75" hidden="1" customHeight="1">
      <c r="A139" s="9" t="s">
        <v>96</v>
      </c>
      <c r="B139" s="9" t="s">
        <v>3494</v>
      </c>
      <c r="C139" s="9" t="s">
        <v>97</v>
      </c>
      <c r="D139" s="9" t="s">
        <v>439</v>
      </c>
      <c r="E139" s="9"/>
      <c r="F139" s="9"/>
      <c r="G139" s="58">
        <v>12000</v>
      </c>
      <c r="H139" s="85">
        <v>0.04</v>
      </c>
      <c r="I139" s="9">
        <v>30.9</v>
      </c>
      <c r="J139" s="9"/>
      <c r="K139" s="9"/>
      <c r="L139" s="9"/>
      <c r="M139" s="9"/>
      <c r="N139" s="9" t="s">
        <v>3495</v>
      </c>
      <c r="O139" s="9" t="s">
        <v>3051</v>
      </c>
      <c r="P139" s="9" t="s">
        <v>3148</v>
      </c>
      <c r="Q139" s="58" t="s">
        <v>3143</v>
      </c>
      <c r="R139" s="58">
        <v>1</v>
      </c>
      <c r="S139" s="58">
        <v>8</v>
      </c>
      <c r="T139" s="9" t="s">
        <v>3496</v>
      </c>
      <c r="U139" s="9" t="s">
        <v>3497</v>
      </c>
      <c r="V139" s="58">
        <v>1</v>
      </c>
      <c r="W139" s="9"/>
      <c r="X139" s="9"/>
      <c r="Y139" s="9"/>
      <c r="Z139" s="9"/>
    </row>
    <row r="140" spans="1:26" ht="15.75" hidden="1" customHeight="1">
      <c r="A140" s="9" t="s">
        <v>96</v>
      </c>
      <c r="B140" s="9" t="s">
        <v>3494</v>
      </c>
      <c r="C140" s="9" t="s">
        <v>97</v>
      </c>
      <c r="D140" s="9" t="s">
        <v>368</v>
      </c>
      <c r="E140" s="9" t="s">
        <v>3402</v>
      </c>
      <c r="F140" s="58" t="s">
        <v>3057</v>
      </c>
      <c r="G140" s="58">
        <v>8400</v>
      </c>
      <c r="H140" s="85">
        <v>0.2</v>
      </c>
      <c r="I140" s="9">
        <v>30.9</v>
      </c>
      <c r="J140" s="9"/>
      <c r="K140" s="9"/>
      <c r="L140" s="9"/>
      <c r="M140" s="9"/>
      <c r="N140" s="9" t="s">
        <v>3495</v>
      </c>
      <c r="O140" s="9" t="s">
        <v>3051</v>
      </c>
      <c r="P140" s="9" t="s">
        <v>3498</v>
      </c>
      <c r="Q140" s="58" t="s">
        <v>3074</v>
      </c>
      <c r="R140" s="58">
        <v>4</v>
      </c>
      <c r="S140" s="58">
        <v>7</v>
      </c>
      <c r="T140" s="9" t="s">
        <v>3496</v>
      </c>
      <c r="U140" s="9" t="s">
        <v>3499</v>
      </c>
      <c r="V140" s="58">
        <v>4</v>
      </c>
      <c r="W140" s="9"/>
      <c r="X140" s="9"/>
      <c r="Y140" s="9"/>
      <c r="Z140" s="9"/>
    </row>
    <row r="141" spans="1:26" ht="15.75" hidden="1" customHeight="1">
      <c r="A141" s="9" t="s">
        <v>1256</v>
      </c>
      <c r="B141" s="9" t="s">
        <v>3500</v>
      </c>
      <c r="C141" s="9" t="s">
        <v>935</v>
      </c>
      <c r="D141" s="9" t="s">
        <v>439</v>
      </c>
      <c r="E141" s="9"/>
      <c r="F141" s="9"/>
      <c r="G141" s="58">
        <v>8000</v>
      </c>
      <c r="H141" s="85">
        <v>0.06</v>
      </c>
      <c r="I141" s="9">
        <v>15</v>
      </c>
      <c r="J141" s="9"/>
      <c r="K141" s="9"/>
      <c r="L141" s="9"/>
      <c r="M141" s="9"/>
      <c r="N141" s="9" t="s">
        <v>3332</v>
      </c>
      <c r="O141" s="9" t="s">
        <v>3081</v>
      </c>
      <c r="P141" s="9" t="s">
        <v>3415</v>
      </c>
      <c r="Q141" s="58" t="s">
        <v>3167</v>
      </c>
      <c r="R141" s="58">
        <v>1</v>
      </c>
      <c r="S141" s="58">
        <v>8</v>
      </c>
      <c r="T141" s="9" t="s">
        <v>3065</v>
      </c>
      <c r="U141" s="9" t="s">
        <v>3501</v>
      </c>
      <c r="V141" s="58">
        <v>1</v>
      </c>
      <c r="W141" s="9"/>
      <c r="X141" s="9"/>
      <c r="Y141" s="9"/>
      <c r="Z141" s="9"/>
    </row>
    <row r="142" spans="1:26" ht="15.75" hidden="1" customHeight="1">
      <c r="A142" s="9" t="s">
        <v>1256</v>
      </c>
      <c r="B142" s="9" t="s">
        <v>3500</v>
      </c>
      <c r="C142" s="9" t="s">
        <v>935</v>
      </c>
      <c r="D142" s="9" t="s">
        <v>368</v>
      </c>
      <c r="E142" s="9" t="s">
        <v>3402</v>
      </c>
      <c r="F142" s="58" t="s">
        <v>3057</v>
      </c>
      <c r="G142" s="58">
        <v>6300</v>
      </c>
      <c r="H142" s="85">
        <v>0.266666666666666</v>
      </c>
      <c r="I142" s="9">
        <v>15</v>
      </c>
      <c r="J142" s="9"/>
      <c r="K142" s="9"/>
      <c r="L142" s="9"/>
      <c r="M142" s="9"/>
      <c r="N142" s="9" t="s">
        <v>3332</v>
      </c>
      <c r="O142" s="9" t="s">
        <v>3081</v>
      </c>
      <c r="P142" s="9" t="s">
        <v>3502</v>
      </c>
      <c r="Q142" s="58" t="s">
        <v>3069</v>
      </c>
      <c r="R142" s="58">
        <v>4</v>
      </c>
      <c r="S142" s="58">
        <v>7</v>
      </c>
      <c r="T142" s="9" t="s">
        <v>3065</v>
      </c>
      <c r="U142" s="9" t="s">
        <v>3503</v>
      </c>
      <c r="V142" s="58">
        <v>4</v>
      </c>
      <c r="W142" s="9"/>
      <c r="X142" s="9"/>
      <c r="Y142" s="9"/>
      <c r="Z142" s="9"/>
    </row>
    <row r="143" spans="1:26" ht="15.75" hidden="1" customHeight="1">
      <c r="A143" s="9" t="s">
        <v>1261</v>
      </c>
      <c r="B143" s="9" t="s">
        <v>3504</v>
      </c>
      <c r="C143" s="9" t="s">
        <v>586</v>
      </c>
      <c r="D143" s="9" t="s">
        <v>368</v>
      </c>
      <c r="E143" s="9" t="s">
        <v>3092</v>
      </c>
      <c r="F143" s="58" t="s">
        <v>3087</v>
      </c>
      <c r="G143" s="58">
        <v>5950</v>
      </c>
      <c r="H143" s="85">
        <v>0.21176470588235199</v>
      </c>
      <c r="I143" s="9">
        <v>35</v>
      </c>
      <c r="J143" s="9"/>
      <c r="K143" s="9"/>
      <c r="L143" s="9"/>
      <c r="M143" s="9"/>
      <c r="N143" s="9" t="s">
        <v>3446</v>
      </c>
      <c r="O143" s="9" t="s">
        <v>3081</v>
      </c>
      <c r="P143" s="9" t="s">
        <v>3505</v>
      </c>
      <c r="Q143" s="58" t="s">
        <v>3132</v>
      </c>
      <c r="R143" s="58">
        <v>3</v>
      </c>
      <c r="S143" s="58">
        <v>7</v>
      </c>
      <c r="T143" s="9" t="s">
        <v>3506</v>
      </c>
      <c r="U143" s="9" t="s">
        <v>3507</v>
      </c>
      <c r="V143" s="58">
        <v>3</v>
      </c>
      <c r="W143" s="9"/>
      <c r="X143" s="9"/>
      <c r="Y143" s="9"/>
      <c r="Z143" s="9"/>
    </row>
    <row r="144" spans="1:26" ht="15.75" hidden="1" customHeight="1">
      <c r="A144" s="9" t="s">
        <v>1266</v>
      </c>
      <c r="B144" s="9" t="s">
        <v>3508</v>
      </c>
      <c r="C144" s="9" t="s">
        <v>968</v>
      </c>
      <c r="D144" s="9" t="s">
        <v>439</v>
      </c>
      <c r="E144" s="9"/>
      <c r="F144" s="9"/>
      <c r="G144" s="58">
        <v>6400</v>
      </c>
      <c r="H144" s="85">
        <v>7.4999999999999997E-2</v>
      </c>
      <c r="I144" s="9">
        <v>30</v>
      </c>
      <c r="J144" s="9"/>
      <c r="K144" s="9"/>
      <c r="L144" s="9"/>
      <c r="M144" s="9"/>
      <c r="N144" s="9" t="s">
        <v>3509</v>
      </c>
      <c r="O144" s="9" t="s">
        <v>3081</v>
      </c>
      <c r="P144" s="9" t="s">
        <v>3190</v>
      </c>
      <c r="Q144" s="58" t="s">
        <v>3185</v>
      </c>
      <c r="R144" s="58">
        <v>1</v>
      </c>
      <c r="S144" s="58">
        <v>8</v>
      </c>
      <c r="T144" s="9" t="s">
        <v>3510</v>
      </c>
      <c r="U144" s="9" t="s">
        <v>3511</v>
      </c>
      <c r="V144" s="58">
        <v>1</v>
      </c>
      <c r="W144" s="9"/>
      <c r="X144" s="9"/>
      <c r="Y144" s="9"/>
      <c r="Z144" s="9"/>
    </row>
    <row r="145" spans="1:26" ht="15.75" hidden="1" customHeight="1">
      <c r="A145" s="9" t="s">
        <v>1266</v>
      </c>
      <c r="B145" s="9" t="s">
        <v>3508</v>
      </c>
      <c r="C145" s="9" t="s">
        <v>968</v>
      </c>
      <c r="D145" s="9" t="s">
        <v>368</v>
      </c>
      <c r="E145" s="9" t="s">
        <v>3092</v>
      </c>
      <c r="F145" s="58" t="s">
        <v>3057</v>
      </c>
      <c r="G145" s="58">
        <v>6300</v>
      </c>
      <c r="H145" s="85">
        <v>0.266666666666666</v>
      </c>
      <c r="I145" s="9">
        <v>30</v>
      </c>
      <c r="J145" s="9"/>
      <c r="K145" s="9"/>
      <c r="L145" s="9"/>
      <c r="M145" s="9"/>
      <c r="N145" s="9" t="s">
        <v>3509</v>
      </c>
      <c r="O145" s="9" t="s">
        <v>3081</v>
      </c>
      <c r="P145" s="9" t="s">
        <v>3512</v>
      </c>
      <c r="Q145" s="58" t="s">
        <v>3069</v>
      </c>
      <c r="R145" s="58">
        <v>4</v>
      </c>
      <c r="S145" s="58">
        <v>7</v>
      </c>
      <c r="T145" s="9" t="s">
        <v>3510</v>
      </c>
      <c r="U145" s="9" t="s">
        <v>3513</v>
      </c>
      <c r="V145" s="58">
        <v>4</v>
      </c>
      <c r="W145" s="9"/>
      <c r="X145" s="9"/>
      <c r="Y145" s="9"/>
      <c r="Z145" s="9"/>
    </row>
    <row r="146" spans="1:26" ht="15.75" hidden="1" customHeight="1">
      <c r="A146" s="9" t="s">
        <v>1270</v>
      </c>
      <c r="B146" s="9" t="s">
        <v>3514</v>
      </c>
      <c r="C146" s="9" t="s">
        <v>904</v>
      </c>
      <c r="D146" s="9" t="s">
        <v>439</v>
      </c>
      <c r="E146" s="9"/>
      <c r="F146" s="9"/>
      <c r="G146" s="58">
        <v>6400</v>
      </c>
      <c r="H146" s="85">
        <v>7.4999999999999997E-2</v>
      </c>
      <c r="I146" s="9">
        <v>30</v>
      </c>
      <c r="J146" s="9"/>
      <c r="K146" s="9"/>
      <c r="L146" s="9"/>
      <c r="M146" s="9"/>
      <c r="N146" s="9" t="s">
        <v>3509</v>
      </c>
      <c r="O146" s="9" t="s">
        <v>3081</v>
      </c>
      <c r="P146" s="9" t="s">
        <v>3190</v>
      </c>
      <c r="Q146" s="58" t="s">
        <v>3185</v>
      </c>
      <c r="R146" s="58">
        <v>1</v>
      </c>
      <c r="S146" s="58">
        <v>8</v>
      </c>
      <c r="T146" s="9" t="s">
        <v>3510</v>
      </c>
      <c r="U146" s="9" t="s">
        <v>3515</v>
      </c>
      <c r="V146" s="58">
        <v>1</v>
      </c>
      <c r="W146" s="9"/>
      <c r="X146" s="9"/>
      <c r="Y146" s="9"/>
      <c r="Z146" s="9"/>
    </row>
    <row r="147" spans="1:26" ht="15.75" hidden="1" customHeight="1">
      <c r="A147" s="9" t="s">
        <v>1270</v>
      </c>
      <c r="B147" s="9" t="s">
        <v>3514</v>
      </c>
      <c r="C147" s="9" t="s">
        <v>904</v>
      </c>
      <c r="D147" s="9" t="s">
        <v>368</v>
      </c>
      <c r="E147" s="9" t="s">
        <v>3092</v>
      </c>
      <c r="F147" s="58" t="s">
        <v>3057</v>
      </c>
      <c r="G147" s="58">
        <v>6300</v>
      </c>
      <c r="H147" s="85">
        <v>0.266666666666666</v>
      </c>
      <c r="I147" s="9">
        <v>30</v>
      </c>
      <c r="J147" s="9"/>
      <c r="K147" s="9"/>
      <c r="L147" s="9"/>
      <c r="M147" s="9"/>
      <c r="N147" s="9" t="s">
        <v>3509</v>
      </c>
      <c r="O147" s="9" t="s">
        <v>3081</v>
      </c>
      <c r="P147" s="9" t="s">
        <v>3512</v>
      </c>
      <c r="Q147" s="58" t="s">
        <v>3069</v>
      </c>
      <c r="R147" s="58">
        <v>4</v>
      </c>
      <c r="S147" s="58">
        <v>7</v>
      </c>
      <c r="T147" s="9" t="s">
        <v>3510</v>
      </c>
      <c r="U147" s="9" t="s">
        <v>3516</v>
      </c>
      <c r="V147" s="58">
        <v>4</v>
      </c>
      <c r="W147" s="9"/>
      <c r="X147" s="9"/>
      <c r="Y147" s="9"/>
      <c r="Z147" s="9"/>
    </row>
    <row r="148" spans="1:26" ht="15.75" hidden="1" customHeight="1">
      <c r="A148" s="9" t="s">
        <v>1272</v>
      </c>
      <c r="B148" s="9" t="s">
        <v>3517</v>
      </c>
      <c r="C148" s="9" t="s">
        <v>988</v>
      </c>
      <c r="D148" s="9" t="s">
        <v>439</v>
      </c>
      <c r="E148" s="9"/>
      <c r="F148" s="9"/>
      <c r="G148" s="58">
        <v>8000</v>
      </c>
      <c r="H148" s="85">
        <v>0.06</v>
      </c>
      <c r="I148" s="9">
        <v>37.4</v>
      </c>
      <c r="J148" s="9"/>
      <c r="K148" s="9"/>
      <c r="L148" s="9"/>
      <c r="M148" s="9"/>
      <c r="N148" s="9" t="s">
        <v>3332</v>
      </c>
      <c r="O148" s="9" t="s">
        <v>3081</v>
      </c>
      <c r="P148" s="9" t="s">
        <v>3415</v>
      </c>
      <c r="Q148" s="58" t="s">
        <v>3167</v>
      </c>
      <c r="R148" s="58">
        <v>1</v>
      </c>
      <c r="S148" s="58">
        <v>8</v>
      </c>
      <c r="T148" s="9" t="s">
        <v>3065</v>
      </c>
      <c r="U148" s="9" t="s">
        <v>3518</v>
      </c>
      <c r="V148" s="58">
        <v>1</v>
      </c>
      <c r="W148" s="9"/>
      <c r="X148" s="9"/>
      <c r="Y148" s="9"/>
      <c r="Z148" s="9"/>
    </row>
    <row r="149" spans="1:26" ht="15.75" hidden="1" customHeight="1">
      <c r="A149" s="9" t="s">
        <v>1272</v>
      </c>
      <c r="B149" s="9" t="s">
        <v>3517</v>
      </c>
      <c r="C149" s="9" t="s">
        <v>988</v>
      </c>
      <c r="D149" s="9" t="s">
        <v>368</v>
      </c>
      <c r="E149" s="9" t="s">
        <v>3092</v>
      </c>
      <c r="F149" s="58" t="s">
        <v>3057</v>
      </c>
      <c r="G149" s="58">
        <v>5460</v>
      </c>
      <c r="H149" s="85">
        <v>0.30769230769230699</v>
      </c>
      <c r="I149" s="9">
        <v>37.4</v>
      </c>
      <c r="J149" s="9"/>
      <c r="K149" s="9"/>
      <c r="L149" s="9"/>
      <c r="M149" s="9"/>
      <c r="N149" s="9" t="s">
        <v>3332</v>
      </c>
      <c r="O149" s="9" t="s">
        <v>3081</v>
      </c>
      <c r="P149" s="9" t="s">
        <v>3519</v>
      </c>
      <c r="Q149" s="58" t="s">
        <v>3520</v>
      </c>
      <c r="R149" s="58">
        <v>4</v>
      </c>
      <c r="S149" s="58">
        <v>7</v>
      </c>
      <c r="T149" s="9" t="s">
        <v>3065</v>
      </c>
      <c r="U149" s="9" t="s">
        <v>3521</v>
      </c>
      <c r="V149" s="58">
        <v>4</v>
      </c>
      <c r="W149" s="9"/>
      <c r="X149" s="9"/>
      <c r="Y149" s="9"/>
      <c r="Z149" s="9"/>
    </row>
    <row r="150" spans="1:26" ht="15.75" hidden="1" customHeight="1">
      <c r="A150" s="9" t="s">
        <v>1276</v>
      </c>
      <c r="B150" s="9" t="s">
        <v>3522</v>
      </c>
      <c r="C150" s="9" t="s">
        <v>902</v>
      </c>
      <c r="D150" s="9" t="s">
        <v>439</v>
      </c>
      <c r="E150" s="9"/>
      <c r="F150" s="9"/>
      <c r="G150" s="58">
        <v>5280</v>
      </c>
      <c r="H150" s="85">
        <v>9.0909090909090898E-2</v>
      </c>
      <c r="I150" s="9">
        <v>34.4</v>
      </c>
      <c r="J150" s="9"/>
      <c r="K150" s="9"/>
      <c r="L150" s="9"/>
      <c r="M150" s="9"/>
      <c r="N150" s="9" t="s">
        <v>3495</v>
      </c>
      <c r="O150" s="9" t="s">
        <v>3051</v>
      </c>
      <c r="P150" s="9" t="s">
        <v>3523</v>
      </c>
      <c r="Q150" s="58">
        <v>660</v>
      </c>
      <c r="R150" s="58">
        <v>1</v>
      </c>
      <c r="S150" s="58">
        <v>8</v>
      </c>
      <c r="T150" s="9"/>
      <c r="U150" s="9" t="s">
        <v>3524</v>
      </c>
      <c r="V150" s="58">
        <v>1</v>
      </c>
      <c r="W150" s="9"/>
      <c r="X150" s="9"/>
      <c r="Y150" s="9"/>
      <c r="Z150" s="9"/>
    </row>
    <row r="151" spans="1:26" ht="15.75" hidden="1" customHeight="1">
      <c r="A151" s="9" t="s">
        <v>1276</v>
      </c>
      <c r="B151" s="9" t="s">
        <v>3522</v>
      </c>
      <c r="C151" s="9" t="s">
        <v>902</v>
      </c>
      <c r="D151" s="9" t="s">
        <v>368</v>
      </c>
      <c r="E151" s="9" t="s">
        <v>3067</v>
      </c>
      <c r="F151" s="58" t="s">
        <v>3087</v>
      </c>
      <c r="G151" s="58">
        <v>8400</v>
      </c>
      <c r="H151" s="85">
        <v>0.2</v>
      </c>
      <c r="I151" s="9">
        <v>34.4</v>
      </c>
      <c r="J151" s="9"/>
      <c r="K151" s="9"/>
      <c r="L151" s="9"/>
      <c r="M151" s="9"/>
      <c r="N151" s="9" t="s">
        <v>3495</v>
      </c>
      <c r="O151" s="9" t="s">
        <v>3051</v>
      </c>
      <c r="P151" s="9" t="s">
        <v>3525</v>
      </c>
      <c r="Q151" s="58" t="s">
        <v>3074</v>
      </c>
      <c r="R151" s="58">
        <v>4</v>
      </c>
      <c r="S151" s="58">
        <v>7</v>
      </c>
      <c r="T151" s="9"/>
      <c r="U151" s="9" t="s">
        <v>3526</v>
      </c>
      <c r="V151" s="58">
        <v>4</v>
      </c>
      <c r="W151" s="9"/>
      <c r="X151" s="9"/>
      <c r="Y151" s="9"/>
      <c r="Z151" s="9"/>
    </row>
    <row r="152" spans="1:26" ht="15.75" hidden="1" customHeight="1">
      <c r="A152" s="9" t="s">
        <v>1278</v>
      </c>
      <c r="B152" s="9" t="s">
        <v>3527</v>
      </c>
      <c r="C152" s="9" t="s">
        <v>584</v>
      </c>
      <c r="D152" s="9" t="s">
        <v>439</v>
      </c>
      <c r="E152" s="9"/>
      <c r="F152" s="9"/>
      <c r="G152" s="58">
        <v>5280</v>
      </c>
      <c r="H152" s="85">
        <v>9.0909090909090898E-2</v>
      </c>
      <c r="I152" s="9">
        <v>33.200000000000003</v>
      </c>
      <c r="J152" s="9"/>
      <c r="K152" s="9"/>
      <c r="L152" s="9"/>
      <c r="M152" s="9"/>
      <c r="N152" s="9" t="s">
        <v>3495</v>
      </c>
      <c r="O152" s="9" t="s">
        <v>3051</v>
      </c>
      <c r="P152" s="9" t="s">
        <v>3523</v>
      </c>
      <c r="Q152" s="58">
        <v>660</v>
      </c>
      <c r="R152" s="9">
        <v>1</v>
      </c>
      <c r="S152" s="9">
        <v>8</v>
      </c>
      <c r="T152" s="9" t="s">
        <v>3528</v>
      </c>
      <c r="U152" s="9" t="s">
        <v>3529</v>
      </c>
      <c r="V152" s="9">
        <v>1</v>
      </c>
      <c r="W152" s="9"/>
      <c r="X152" s="9"/>
      <c r="Y152" s="9"/>
      <c r="Z152" s="9"/>
    </row>
    <row r="153" spans="1:26" ht="15.75" hidden="1" customHeight="1">
      <c r="A153" s="9" t="s">
        <v>1278</v>
      </c>
      <c r="B153" s="9" t="s">
        <v>3527</v>
      </c>
      <c r="C153" s="9" t="s">
        <v>584</v>
      </c>
      <c r="D153" s="9" t="s">
        <v>368</v>
      </c>
      <c r="E153" s="9" t="s">
        <v>3067</v>
      </c>
      <c r="F153" s="58" t="s">
        <v>3087</v>
      </c>
      <c r="G153" s="58">
        <v>8400</v>
      </c>
      <c r="H153" s="85">
        <v>0.2</v>
      </c>
      <c r="I153" s="9">
        <v>33.200000000000003</v>
      </c>
      <c r="J153" s="9"/>
      <c r="K153" s="9"/>
      <c r="L153" s="9"/>
      <c r="M153" s="9"/>
      <c r="N153" s="9" t="s">
        <v>3495</v>
      </c>
      <c r="O153" s="9" t="s">
        <v>3051</v>
      </c>
      <c r="P153" s="9" t="s">
        <v>3525</v>
      </c>
      <c r="Q153" s="58">
        <v>1200</v>
      </c>
      <c r="R153" s="58">
        <v>4</v>
      </c>
      <c r="S153" s="58">
        <v>7</v>
      </c>
      <c r="T153" s="9"/>
      <c r="U153" s="9" t="s">
        <v>3530</v>
      </c>
      <c r="V153" s="58">
        <v>4</v>
      </c>
      <c r="W153" s="9"/>
      <c r="X153" s="9"/>
      <c r="Y153" s="9"/>
      <c r="Z153" s="9"/>
    </row>
    <row r="154" spans="1:26" ht="15.75" hidden="1" customHeight="1">
      <c r="A154" s="9" t="s">
        <v>1281</v>
      </c>
      <c r="B154" s="9" t="s">
        <v>3531</v>
      </c>
      <c r="C154" s="9" t="s">
        <v>1283</v>
      </c>
      <c r="D154" s="9" t="s">
        <v>368</v>
      </c>
      <c r="E154" s="9" t="s">
        <v>3532</v>
      </c>
      <c r="F154" s="58" t="s">
        <v>3087</v>
      </c>
      <c r="G154" s="58">
        <v>3220</v>
      </c>
      <c r="H154" s="85">
        <v>0.52173913043478204</v>
      </c>
      <c r="I154" s="9">
        <v>99</v>
      </c>
      <c r="J154" s="9"/>
      <c r="K154" s="9"/>
      <c r="L154" s="9"/>
      <c r="M154" s="9"/>
      <c r="N154" s="9" t="s">
        <v>3533</v>
      </c>
      <c r="O154" s="9" t="s">
        <v>3534</v>
      </c>
      <c r="P154" s="9" t="s">
        <v>3535</v>
      </c>
      <c r="Q154" s="58">
        <v>460</v>
      </c>
      <c r="R154" s="9">
        <v>4</v>
      </c>
      <c r="S154" s="9">
        <v>7</v>
      </c>
      <c r="T154" s="9"/>
      <c r="U154" s="9" t="s">
        <v>3536</v>
      </c>
      <c r="V154" s="9">
        <v>4</v>
      </c>
      <c r="W154" s="9"/>
      <c r="X154" s="9"/>
      <c r="Y154" s="9"/>
      <c r="Z154" s="9"/>
    </row>
    <row r="155" spans="1:26" ht="15.75" hidden="1" customHeight="1">
      <c r="A155" s="9" t="s">
        <v>1286</v>
      </c>
      <c r="B155" s="9" t="s">
        <v>3537</v>
      </c>
      <c r="C155" s="9" t="s">
        <v>891</v>
      </c>
      <c r="D155" s="9" t="s">
        <v>439</v>
      </c>
      <c r="E155" s="9"/>
      <c r="F155" s="9"/>
      <c r="G155" s="58">
        <v>5600</v>
      </c>
      <c r="H155" s="85">
        <v>8.5714285714285701E-2</v>
      </c>
      <c r="I155" s="9">
        <v>17.3</v>
      </c>
      <c r="J155" s="9"/>
      <c r="K155" s="9"/>
      <c r="L155" s="9"/>
      <c r="M155" s="9"/>
      <c r="N155" s="9" t="s">
        <v>3375</v>
      </c>
      <c r="O155" s="9" t="s">
        <v>3051</v>
      </c>
      <c r="P155" s="9" t="s">
        <v>3154</v>
      </c>
      <c r="Q155" s="58" t="s">
        <v>3155</v>
      </c>
      <c r="R155" s="58">
        <v>1</v>
      </c>
      <c r="S155" s="58">
        <v>8</v>
      </c>
      <c r="T155" s="9" t="s">
        <v>3538</v>
      </c>
      <c r="U155" s="9" t="s">
        <v>3539</v>
      </c>
      <c r="V155" s="58">
        <v>1</v>
      </c>
      <c r="W155" s="9"/>
      <c r="X155" s="9"/>
      <c r="Y155" s="9"/>
      <c r="Z155" s="9"/>
    </row>
    <row r="156" spans="1:26" ht="15.75" hidden="1" customHeight="1">
      <c r="A156" s="9" t="s">
        <v>1286</v>
      </c>
      <c r="B156" s="9" t="s">
        <v>3537</v>
      </c>
      <c r="C156" s="9" t="s">
        <v>891</v>
      </c>
      <c r="D156" s="9" t="s">
        <v>368</v>
      </c>
      <c r="E156" s="9" t="s">
        <v>3067</v>
      </c>
      <c r="F156" s="58" t="s">
        <v>3057</v>
      </c>
      <c r="G156" s="58">
        <v>7000</v>
      </c>
      <c r="H156" s="85">
        <v>0.18</v>
      </c>
      <c r="I156" s="9">
        <v>17.3</v>
      </c>
      <c r="J156" s="9"/>
      <c r="K156" s="9"/>
      <c r="L156" s="9"/>
      <c r="M156" s="9"/>
      <c r="N156" s="9" t="s">
        <v>3375</v>
      </c>
      <c r="O156" s="9" t="s">
        <v>3051</v>
      </c>
      <c r="P156" s="9" t="s">
        <v>3540</v>
      </c>
      <c r="Q156" s="58" t="s">
        <v>3167</v>
      </c>
      <c r="R156" s="58">
        <v>3</v>
      </c>
      <c r="S156" s="58">
        <v>7</v>
      </c>
      <c r="T156" s="9" t="s">
        <v>3538</v>
      </c>
      <c r="U156" s="9" t="s">
        <v>3541</v>
      </c>
      <c r="V156" s="58">
        <v>3</v>
      </c>
      <c r="W156" s="9"/>
      <c r="X156" s="9"/>
      <c r="Y156" s="9"/>
      <c r="Z156" s="9"/>
    </row>
    <row r="157" spans="1:26" ht="15.75" hidden="1" customHeight="1">
      <c r="A157" s="9" t="s">
        <v>1290</v>
      </c>
      <c r="B157" s="9" t="s">
        <v>3542</v>
      </c>
      <c r="C157" s="9" t="s">
        <v>455</v>
      </c>
      <c r="D157" s="9" t="s">
        <v>439</v>
      </c>
      <c r="E157" s="9"/>
      <c r="F157" s="9"/>
      <c r="G157" s="58">
        <v>5600</v>
      </c>
      <c r="H157" s="85">
        <v>8.5714285714285701E-2</v>
      </c>
      <c r="I157" s="9">
        <v>30.9</v>
      </c>
      <c r="J157" s="9"/>
      <c r="K157" s="9"/>
      <c r="L157" s="9"/>
      <c r="M157" s="9"/>
      <c r="N157" s="9" t="s">
        <v>3423</v>
      </c>
      <c r="O157" s="9" t="s">
        <v>3258</v>
      </c>
      <c r="P157" s="9" t="s">
        <v>3154</v>
      </c>
      <c r="Q157" s="58" t="s">
        <v>3155</v>
      </c>
      <c r="R157" s="9">
        <v>1</v>
      </c>
      <c r="S157" s="9">
        <v>8</v>
      </c>
      <c r="T157" s="9" t="s">
        <v>3065</v>
      </c>
      <c r="U157" s="9" t="s">
        <v>3543</v>
      </c>
      <c r="V157" s="9">
        <v>1</v>
      </c>
      <c r="W157" s="9"/>
      <c r="X157" s="9"/>
      <c r="Y157" s="9"/>
      <c r="Z157" s="9"/>
    </row>
    <row r="158" spans="1:26" ht="15.75" hidden="1" customHeight="1">
      <c r="A158" s="9" t="s">
        <v>1290</v>
      </c>
      <c r="B158" s="9" t="s">
        <v>3542</v>
      </c>
      <c r="C158" s="9" t="s">
        <v>455</v>
      </c>
      <c r="D158" s="9" t="s">
        <v>368</v>
      </c>
      <c r="E158" s="9" t="s">
        <v>3402</v>
      </c>
      <c r="F158" s="58" t="s">
        <v>3057</v>
      </c>
      <c r="G158" s="58">
        <v>11200</v>
      </c>
      <c r="H158" s="85">
        <v>0.1125</v>
      </c>
      <c r="I158" s="9">
        <v>30.9</v>
      </c>
      <c r="J158" s="9"/>
      <c r="K158" s="9"/>
      <c r="L158" s="9"/>
      <c r="M158" s="9"/>
      <c r="N158" s="9" t="s">
        <v>3423</v>
      </c>
      <c r="O158" s="9" t="s">
        <v>3258</v>
      </c>
      <c r="P158" s="9" t="s">
        <v>3544</v>
      </c>
      <c r="Q158" s="58" t="s">
        <v>3545</v>
      </c>
      <c r="R158" s="9">
        <v>3</v>
      </c>
      <c r="S158" s="9">
        <v>7</v>
      </c>
      <c r="T158" s="9" t="s">
        <v>3065</v>
      </c>
      <c r="U158" s="9" t="s">
        <v>3546</v>
      </c>
      <c r="V158" s="9">
        <v>3</v>
      </c>
      <c r="W158" s="9"/>
      <c r="X158" s="9"/>
      <c r="Y158" s="9"/>
      <c r="Z158" s="9"/>
    </row>
    <row r="159" spans="1:26" ht="15.75" hidden="1" customHeight="1">
      <c r="A159" s="9" t="s">
        <v>1290</v>
      </c>
      <c r="B159" s="9" t="s">
        <v>3542</v>
      </c>
      <c r="C159" s="9" t="s">
        <v>455</v>
      </c>
      <c r="D159" s="9" t="s">
        <v>439</v>
      </c>
      <c r="E159" s="9"/>
      <c r="F159" s="9"/>
      <c r="G159" s="58">
        <v>5600</v>
      </c>
      <c r="H159" s="85">
        <v>8.5714285714285701E-2</v>
      </c>
      <c r="I159" s="9">
        <v>30.9</v>
      </c>
      <c r="J159" s="9"/>
      <c r="K159" s="9"/>
      <c r="L159" s="9"/>
      <c r="M159" s="9"/>
      <c r="N159" s="9" t="s">
        <v>3423</v>
      </c>
      <c r="O159" s="9" t="s">
        <v>3258</v>
      </c>
      <c r="P159" s="9" t="s">
        <v>3154</v>
      </c>
      <c r="Q159" s="58" t="s">
        <v>3155</v>
      </c>
      <c r="R159" s="9">
        <v>1</v>
      </c>
      <c r="S159" s="9">
        <v>8</v>
      </c>
      <c r="T159" s="9" t="s">
        <v>3065</v>
      </c>
      <c r="U159" s="9" t="s">
        <v>3543</v>
      </c>
      <c r="V159" s="9">
        <v>1</v>
      </c>
      <c r="W159" s="9"/>
      <c r="X159" s="9"/>
      <c r="Y159" s="9"/>
      <c r="Z159" s="9"/>
    </row>
    <row r="160" spans="1:26" ht="15.75" hidden="1" customHeight="1">
      <c r="A160" s="9" t="s">
        <v>1290</v>
      </c>
      <c r="B160" s="9" t="s">
        <v>3542</v>
      </c>
      <c r="C160" s="9" t="s">
        <v>455</v>
      </c>
      <c r="D160" s="9" t="s">
        <v>368</v>
      </c>
      <c r="E160" s="9" t="s">
        <v>3067</v>
      </c>
      <c r="F160" s="58" t="s">
        <v>3057</v>
      </c>
      <c r="G160" s="58">
        <v>11200</v>
      </c>
      <c r="H160" s="85">
        <v>0.1125</v>
      </c>
      <c r="I160" s="9">
        <v>30.9</v>
      </c>
      <c r="J160" s="9"/>
      <c r="K160" s="9"/>
      <c r="L160" s="9"/>
      <c r="M160" s="9"/>
      <c r="N160" s="9" t="s">
        <v>3423</v>
      </c>
      <c r="O160" s="9" t="s">
        <v>3258</v>
      </c>
      <c r="P160" s="9" t="s">
        <v>3544</v>
      </c>
      <c r="Q160" s="58" t="s">
        <v>3545</v>
      </c>
      <c r="R160" s="9">
        <v>3</v>
      </c>
      <c r="S160" s="9">
        <v>7</v>
      </c>
      <c r="T160" s="9" t="s">
        <v>3065</v>
      </c>
      <c r="U160" s="9" t="s">
        <v>3546</v>
      </c>
      <c r="V160" s="9">
        <v>3</v>
      </c>
      <c r="W160" s="9"/>
      <c r="X160" s="9"/>
      <c r="Y160" s="9"/>
      <c r="Z160" s="9"/>
    </row>
    <row r="161" spans="1:26" ht="15.75" hidden="1" customHeight="1">
      <c r="A161" s="9" t="s">
        <v>1294</v>
      </c>
      <c r="B161" s="9" t="s">
        <v>3547</v>
      </c>
      <c r="C161" s="9" t="s">
        <v>900</v>
      </c>
      <c r="D161" s="9" t="s">
        <v>439</v>
      </c>
      <c r="E161" s="9"/>
      <c r="F161" s="9"/>
      <c r="G161" s="58">
        <v>6400</v>
      </c>
      <c r="H161" s="85">
        <v>7.4999999999999997E-2</v>
      </c>
      <c r="I161" s="9">
        <v>15.2</v>
      </c>
      <c r="J161" s="9"/>
      <c r="K161" s="9"/>
      <c r="L161" s="9"/>
      <c r="M161" s="9"/>
      <c r="N161" s="9" t="s">
        <v>3548</v>
      </c>
      <c r="O161" s="9" t="s">
        <v>3051</v>
      </c>
      <c r="P161" s="9" t="s">
        <v>3549</v>
      </c>
      <c r="Q161" s="58" t="s">
        <v>3185</v>
      </c>
      <c r="R161" s="9">
        <v>1</v>
      </c>
      <c r="S161" s="9">
        <v>8</v>
      </c>
      <c r="T161" s="9" t="s">
        <v>3550</v>
      </c>
      <c r="U161" s="9" t="s">
        <v>3551</v>
      </c>
      <c r="V161" s="9">
        <v>1</v>
      </c>
      <c r="W161" s="9"/>
      <c r="X161" s="9"/>
      <c r="Y161" s="9"/>
      <c r="Z161" s="9"/>
    </row>
    <row r="162" spans="1:26" ht="15.75" hidden="1" customHeight="1">
      <c r="A162" s="9" t="s">
        <v>1294</v>
      </c>
      <c r="B162" s="9" t="s">
        <v>3547</v>
      </c>
      <c r="C162" s="9" t="s">
        <v>900</v>
      </c>
      <c r="D162" s="9" t="s">
        <v>368</v>
      </c>
      <c r="E162" s="9" t="s">
        <v>3270</v>
      </c>
      <c r="F162" s="9"/>
      <c r="G162" s="58">
        <v>6650</v>
      </c>
      <c r="H162" s="85">
        <v>0.25263157894736799</v>
      </c>
      <c r="I162" s="9">
        <v>15.2</v>
      </c>
      <c r="J162" s="9"/>
      <c r="K162" s="9"/>
      <c r="L162" s="9"/>
      <c r="M162" s="9"/>
      <c r="N162" s="9" t="s">
        <v>3548</v>
      </c>
      <c r="O162" s="9" t="s">
        <v>3051</v>
      </c>
      <c r="P162" s="9" t="s">
        <v>3552</v>
      </c>
      <c r="Q162" s="58" t="s">
        <v>3409</v>
      </c>
      <c r="R162" s="9">
        <v>4</v>
      </c>
      <c r="S162" s="9">
        <v>7</v>
      </c>
      <c r="T162" s="9" t="s">
        <v>3550</v>
      </c>
      <c r="U162" s="9" t="s">
        <v>3553</v>
      </c>
      <c r="V162" s="9">
        <v>4</v>
      </c>
      <c r="W162" s="9"/>
      <c r="X162" s="9"/>
      <c r="Y162" s="9"/>
      <c r="Z162" s="9"/>
    </row>
    <row r="163" spans="1:26" ht="15.75" hidden="1" customHeight="1">
      <c r="A163" s="9" t="s">
        <v>1299</v>
      </c>
      <c r="B163" s="9" t="s">
        <v>3554</v>
      </c>
      <c r="C163" s="9" t="s">
        <v>970</v>
      </c>
      <c r="D163" s="9" t="s">
        <v>439</v>
      </c>
      <c r="E163" s="9"/>
      <c r="F163" s="9"/>
      <c r="G163" s="58">
        <v>10400</v>
      </c>
      <c r="H163" s="85">
        <v>4.6153846153846101E-2</v>
      </c>
      <c r="I163" s="9">
        <v>29.7</v>
      </c>
      <c r="J163" s="9"/>
      <c r="K163" s="9"/>
      <c r="L163" s="9"/>
      <c r="M163" s="9"/>
      <c r="N163" s="9" t="s">
        <v>3555</v>
      </c>
      <c r="O163" s="9" t="s">
        <v>3081</v>
      </c>
      <c r="P163" s="9" t="s">
        <v>3063</v>
      </c>
      <c r="Q163" s="58" t="s">
        <v>3064</v>
      </c>
      <c r="R163" s="58">
        <v>1</v>
      </c>
      <c r="S163" s="58">
        <v>8</v>
      </c>
      <c r="T163" s="9" t="s">
        <v>3065</v>
      </c>
      <c r="U163" s="9" t="s">
        <v>3556</v>
      </c>
      <c r="V163" s="58">
        <v>1</v>
      </c>
      <c r="W163" s="9"/>
      <c r="X163" s="9"/>
      <c r="Y163" s="9"/>
      <c r="Z163" s="9"/>
    </row>
    <row r="164" spans="1:26" ht="15.75" hidden="1" customHeight="1">
      <c r="A164" s="9" t="s">
        <v>1299</v>
      </c>
      <c r="B164" s="9" t="s">
        <v>3554</v>
      </c>
      <c r="C164" s="9" t="s">
        <v>970</v>
      </c>
      <c r="D164" s="9" t="s">
        <v>368</v>
      </c>
      <c r="E164" s="9" t="s">
        <v>3402</v>
      </c>
      <c r="F164" s="58" t="s">
        <v>3057</v>
      </c>
      <c r="G164" s="58">
        <v>5600</v>
      </c>
      <c r="H164" s="85">
        <v>0.3</v>
      </c>
      <c r="I164" s="9">
        <v>29.7</v>
      </c>
      <c r="J164" s="9"/>
      <c r="K164" s="9"/>
      <c r="L164" s="9"/>
      <c r="M164" s="9"/>
      <c r="N164" s="9" t="s">
        <v>3555</v>
      </c>
      <c r="O164" s="9" t="s">
        <v>3081</v>
      </c>
      <c r="P164" s="9" t="s">
        <v>3557</v>
      </c>
      <c r="Q164" s="58" t="s">
        <v>3185</v>
      </c>
      <c r="R164" s="58">
        <v>4</v>
      </c>
      <c r="S164" s="58">
        <v>7</v>
      </c>
      <c r="T164" s="9" t="s">
        <v>3065</v>
      </c>
      <c r="U164" s="9" t="s">
        <v>3558</v>
      </c>
      <c r="V164" s="58">
        <v>4</v>
      </c>
      <c r="W164" s="9"/>
      <c r="X164" s="9"/>
      <c r="Y164" s="9"/>
      <c r="Z164" s="9"/>
    </row>
    <row r="165" spans="1:26" ht="15.75" hidden="1" customHeight="1">
      <c r="A165" s="9" t="s">
        <v>1303</v>
      </c>
      <c r="B165" s="9" t="s">
        <v>3559</v>
      </c>
      <c r="C165" s="9" t="s">
        <v>906</v>
      </c>
      <c r="D165" s="9" t="s">
        <v>439</v>
      </c>
      <c r="E165" s="9"/>
      <c r="F165" s="9"/>
      <c r="G165" s="58">
        <v>6400</v>
      </c>
      <c r="H165" s="85">
        <v>7.4999999999999997E-2</v>
      </c>
      <c r="I165" s="9"/>
      <c r="J165" s="9">
        <v>15</v>
      </c>
      <c r="K165" s="9">
        <v>15</v>
      </c>
      <c r="L165" s="9"/>
      <c r="M165" s="9"/>
      <c r="N165" s="9" t="s">
        <v>3560</v>
      </c>
      <c r="O165" s="9" t="s">
        <v>3051</v>
      </c>
      <c r="P165" s="9" t="s">
        <v>3190</v>
      </c>
      <c r="Q165" s="58">
        <v>800</v>
      </c>
      <c r="R165" s="58">
        <v>1</v>
      </c>
      <c r="S165" s="58">
        <v>8</v>
      </c>
      <c r="T165" s="9" t="s">
        <v>3561</v>
      </c>
      <c r="U165" s="9" t="s">
        <v>3562</v>
      </c>
      <c r="V165" s="58">
        <v>1</v>
      </c>
      <c r="W165" s="9"/>
      <c r="X165" s="9"/>
      <c r="Y165" s="9"/>
      <c r="Z165" s="9"/>
    </row>
    <row r="166" spans="1:26" ht="15.75" hidden="1" customHeight="1">
      <c r="A166" s="9" t="s">
        <v>1303</v>
      </c>
      <c r="B166" s="9" t="s">
        <v>3559</v>
      </c>
      <c r="C166" s="9" t="s">
        <v>906</v>
      </c>
      <c r="D166" s="9" t="s">
        <v>368</v>
      </c>
      <c r="E166" s="9" t="s">
        <v>3563</v>
      </c>
      <c r="F166" s="58" t="s">
        <v>3057</v>
      </c>
      <c r="G166" s="58">
        <v>3990</v>
      </c>
      <c r="H166" s="85">
        <v>0.42105263157894701</v>
      </c>
      <c r="I166" s="9"/>
      <c r="J166" s="9">
        <v>15</v>
      </c>
      <c r="K166" s="9">
        <v>15</v>
      </c>
      <c r="L166" s="9"/>
      <c r="M166" s="9"/>
      <c r="N166" s="9" t="s">
        <v>3560</v>
      </c>
      <c r="O166" s="9" t="s">
        <v>3051</v>
      </c>
      <c r="P166" s="9" t="s">
        <v>3564</v>
      </c>
      <c r="Q166" s="58">
        <v>570</v>
      </c>
      <c r="R166" s="58">
        <v>4</v>
      </c>
      <c r="S166" s="58">
        <v>7</v>
      </c>
      <c r="T166" s="9" t="s">
        <v>3561</v>
      </c>
      <c r="U166" s="9" t="s">
        <v>3565</v>
      </c>
      <c r="V166" s="58">
        <v>4</v>
      </c>
      <c r="W166" s="9"/>
      <c r="X166" s="9"/>
      <c r="Y166" s="9"/>
      <c r="Z166" s="9"/>
    </row>
    <row r="167" spans="1:26" ht="15.75" hidden="1" customHeight="1">
      <c r="A167" s="9" t="s">
        <v>1309</v>
      </c>
      <c r="B167" s="9" t="s">
        <v>3566</v>
      </c>
      <c r="C167" s="9" t="s">
        <v>885</v>
      </c>
      <c r="D167" s="9" t="s">
        <v>439</v>
      </c>
      <c r="E167" s="9"/>
      <c r="F167" s="9"/>
      <c r="G167" s="58">
        <v>9600</v>
      </c>
      <c r="H167" s="85">
        <v>0.05</v>
      </c>
      <c r="I167" s="9">
        <v>12.6</v>
      </c>
      <c r="J167" s="9"/>
      <c r="K167" s="9"/>
      <c r="L167" s="9"/>
      <c r="M167" s="9"/>
      <c r="N167" s="9" t="s">
        <v>3375</v>
      </c>
      <c r="O167" s="9" t="s">
        <v>3051</v>
      </c>
      <c r="P167" s="9" t="s">
        <v>3073</v>
      </c>
      <c r="Q167" s="58" t="s">
        <v>3074</v>
      </c>
      <c r="R167" s="58">
        <v>1</v>
      </c>
      <c r="S167" s="58">
        <v>8</v>
      </c>
      <c r="T167" s="9" t="s">
        <v>3567</v>
      </c>
      <c r="U167" s="9" t="s">
        <v>3568</v>
      </c>
      <c r="V167" s="58">
        <v>1</v>
      </c>
      <c r="W167" s="9"/>
      <c r="X167" s="9"/>
      <c r="Y167" s="9"/>
      <c r="Z167" s="9"/>
    </row>
    <row r="168" spans="1:26" ht="15.75" hidden="1" customHeight="1">
      <c r="A168" s="9" t="s">
        <v>1309</v>
      </c>
      <c r="B168" s="9" t="s">
        <v>3566</v>
      </c>
      <c r="C168" s="9" t="s">
        <v>885</v>
      </c>
      <c r="D168" s="9" t="s">
        <v>368</v>
      </c>
      <c r="E168" s="9" t="s">
        <v>3067</v>
      </c>
      <c r="F168" s="58" t="s">
        <v>3057</v>
      </c>
      <c r="G168" s="58">
        <v>8400</v>
      </c>
      <c r="H168" s="85">
        <v>0.15</v>
      </c>
      <c r="I168" s="9">
        <v>12.6</v>
      </c>
      <c r="J168" s="9"/>
      <c r="K168" s="9"/>
      <c r="L168" s="9"/>
      <c r="M168" s="9"/>
      <c r="N168" s="9" t="s">
        <v>3375</v>
      </c>
      <c r="O168" s="9" t="s">
        <v>3051</v>
      </c>
      <c r="P168" s="9" t="s">
        <v>3569</v>
      </c>
      <c r="Q168" s="58" t="s">
        <v>3074</v>
      </c>
      <c r="R168" s="58">
        <v>3</v>
      </c>
      <c r="S168" s="58">
        <v>7</v>
      </c>
      <c r="T168" s="9" t="s">
        <v>3567</v>
      </c>
      <c r="U168" s="9" t="s">
        <v>3570</v>
      </c>
      <c r="V168" s="58">
        <v>3</v>
      </c>
      <c r="W168" s="9"/>
      <c r="X168" s="9"/>
      <c r="Y168" s="9"/>
      <c r="Z168" s="9"/>
    </row>
    <row r="169" spans="1:26" ht="15.75" hidden="1" customHeight="1">
      <c r="A169" s="9" t="s">
        <v>1313</v>
      </c>
      <c r="B169" s="9" t="s">
        <v>3571</v>
      </c>
      <c r="C169" s="9" t="s">
        <v>895</v>
      </c>
      <c r="D169" s="9" t="s">
        <v>439</v>
      </c>
      <c r="E169" s="9"/>
      <c r="F169" s="9"/>
      <c r="G169" s="58">
        <v>5440</v>
      </c>
      <c r="H169" s="85">
        <v>8.8235294117646995E-2</v>
      </c>
      <c r="I169" s="9">
        <v>30</v>
      </c>
      <c r="J169" s="9"/>
      <c r="K169" s="9"/>
      <c r="L169" s="9"/>
      <c r="M169" s="9"/>
      <c r="N169" s="9" t="s">
        <v>3105</v>
      </c>
      <c r="O169" s="9" t="s">
        <v>3081</v>
      </c>
      <c r="P169" s="9" t="s">
        <v>3572</v>
      </c>
      <c r="Q169" s="58" t="s">
        <v>3490</v>
      </c>
      <c r="R169" s="58">
        <v>1</v>
      </c>
      <c r="S169" s="58">
        <v>8</v>
      </c>
      <c r="T169" s="9" t="s">
        <v>3065</v>
      </c>
      <c r="U169" s="9" t="s">
        <v>3573</v>
      </c>
      <c r="V169" s="58">
        <v>1</v>
      </c>
      <c r="W169" s="9"/>
      <c r="X169" s="9"/>
      <c r="Y169" s="9"/>
      <c r="Z169" s="9"/>
    </row>
    <row r="170" spans="1:26" ht="15.75" hidden="1" customHeight="1">
      <c r="A170" s="9" t="s">
        <v>1313</v>
      </c>
      <c r="B170" s="9" t="s">
        <v>3571</v>
      </c>
      <c r="C170" s="9" t="s">
        <v>895</v>
      </c>
      <c r="D170" s="9" t="s">
        <v>368</v>
      </c>
      <c r="E170" s="9" t="s">
        <v>3092</v>
      </c>
      <c r="F170" s="58" t="s">
        <v>3087</v>
      </c>
      <c r="G170" s="58">
        <v>5250</v>
      </c>
      <c r="H170" s="85">
        <v>0.32</v>
      </c>
      <c r="I170" s="9">
        <v>30</v>
      </c>
      <c r="J170" s="9"/>
      <c r="K170" s="9"/>
      <c r="L170" s="9"/>
      <c r="M170" s="9"/>
      <c r="N170" s="9" t="s">
        <v>3105</v>
      </c>
      <c r="O170" s="9" t="s">
        <v>3081</v>
      </c>
      <c r="P170" s="9" t="s">
        <v>3574</v>
      </c>
      <c r="Q170" s="58" t="s">
        <v>3095</v>
      </c>
      <c r="R170" s="58">
        <v>4</v>
      </c>
      <c r="S170" s="58">
        <v>7</v>
      </c>
      <c r="T170" s="9" t="s">
        <v>3065</v>
      </c>
      <c r="U170" s="9" t="s">
        <v>3575</v>
      </c>
      <c r="V170" s="58">
        <v>4</v>
      </c>
      <c r="W170" s="9"/>
      <c r="X170" s="9"/>
      <c r="Y170" s="9"/>
      <c r="Z170" s="9"/>
    </row>
    <row r="171" spans="1:26" ht="15.75" hidden="1" customHeight="1">
      <c r="A171" s="9" t="s">
        <v>1317</v>
      </c>
      <c r="B171" s="9" t="s">
        <v>3576</v>
      </c>
      <c r="C171" s="9" t="s">
        <v>883</v>
      </c>
      <c r="D171" s="9" t="s">
        <v>439</v>
      </c>
      <c r="E171" s="9"/>
      <c r="F171" s="9"/>
      <c r="G171" s="58">
        <v>9600</v>
      </c>
      <c r="H171" s="85">
        <v>0.05</v>
      </c>
      <c r="I171" s="9">
        <v>20</v>
      </c>
      <c r="J171" s="9"/>
      <c r="K171" s="9"/>
      <c r="L171" s="9"/>
      <c r="M171" s="9"/>
      <c r="N171" s="9" t="s">
        <v>3577</v>
      </c>
      <c r="O171" s="9" t="s">
        <v>3081</v>
      </c>
      <c r="P171" s="9" t="s">
        <v>3073</v>
      </c>
      <c r="Q171" s="58" t="s">
        <v>3074</v>
      </c>
      <c r="R171" s="58">
        <v>1</v>
      </c>
      <c r="S171" s="58">
        <v>8</v>
      </c>
      <c r="T171" s="9" t="s">
        <v>3578</v>
      </c>
      <c r="U171" s="9" t="s">
        <v>3579</v>
      </c>
      <c r="V171" s="58">
        <v>1</v>
      </c>
      <c r="W171" s="9"/>
      <c r="X171" s="9"/>
      <c r="Y171" s="9"/>
      <c r="Z171" s="9"/>
    </row>
    <row r="172" spans="1:26" ht="15.75" hidden="1" customHeight="1">
      <c r="A172" s="9" t="s">
        <v>1317</v>
      </c>
      <c r="B172" s="9" t="s">
        <v>3576</v>
      </c>
      <c r="C172" s="9" t="s">
        <v>883</v>
      </c>
      <c r="D172" s="9" t="s">
        <v>368</v>
      </c>
      <c r="E172" s="9" t="s">
        <v>3402</v>
      </c>
      <c r="F172" s="58" t="s">
        <v>3057</v>
      </c>
      <c r="G172" s="58">
        <v>5950</v>
      </c>
      <c r="H172" s="85">
        <v>0.21176470588235199</v>
      </c>
      <c r="I172" s="9">
        <v>20</v>
      </c>
      <c r="J172" s="9"/>
      <c r="K172" s="9"/>
      <c r="L172" s="9"/>
      <c r="M172" s="9"/>
      <c r="N172" s="9" t="s">
        <v>3577</v>
      </c>
      <c r="O172" s="9" t="s">
        <v>3081</v>
      </c>
      <c r="P172" s="9" t="s">
        <v>3580</v>
      </c>
      <c r="Q172" s="58" t="s">
        <v>3132</v>
      </c>
      <c r="R172" s="58">
        <v>3</v>
      </c>
      <c r="S172" s="58">
        <v>7</v>
      </c>
      <c r="T172" s="9" t="s">
        <v>3578</v>
      </c>
      <c r="U172" s="9" t="s">
        <v>3581</v>
      </c>
      <c r="V172" s="58">
        <v>3</v>
      </c>
      <c r="W172" s="9"/>
      <c r="X172" s="9"/>
      <c r="Y172" s="9"/>
      <c r="Z172" s="9"/>
    </row>
    <row r="173" spans="1:26" ht="15.75" hidden="1" customHeight="1">
      <c r="A173" s="9" t="s">
        <v>1321</v>
      </c>
      <c r="B173" s="9" t="s">
        <v>3582</v>
      </c>
      <c r="C173" s="9" t="s">
        <v>797</v>
      </c>
      <c r="D173" s="9" t="s">
        <v>439</v>
      </c>
      <c r="E173" s="9"/>
      <c r="F173" s="9"/>
      <c r="G173" s="58">
        <v>8000</v>
      </c>
      <c r="H173" s="85">
        <v>0.06</v>
      </c>
      <c r="I173" s="9">
        <v>37.799999999999997</v>
      </c>
      <c r="J173" s="9"/>
      <c r="K173" s="9"/>
      <c r="L173" s="9"/>
      <c r="M173" s="9"/>
      <c r="N173" s="9" t="s">
        <v>3332</v>
      </c>
      <c r="O173" s="9" t="s">
        <v>3081</v>
      </c>
      <c r="P173" s="9" t="s">
        <v>3583</v>
      </c>
      <c r="Q173" s="58" t="s">
        <v>3167</v>
      </c>
      <c r="R173" s="9">
        <v>1</v>
      </c>
      <c r="S173" s="9">
        <v>8</v>
      </c>
      <c r="T173" s="9" t="s">
        <v>3065</v>
      </c>
      <c r="U173" s="9" t="s">
        <v>3584</v>
      </c>
      <c r="V173" s="9">
        <v>1</v>
      </c>
      <c r="W173" s="9"/>
      <c r="X173" s="9"/>
      <c r="Y173" s="9"/>
      <c r="Z173" s="9"/>
    </row>
    <row r="174" spans="1:26" ht="15.75" hidden="1" customHeight="1">
      <c r="A174" s="9" t="s">
        <v>1321</v>
      </c>
      <c r="B174" s="9" t="s">
        <v>3582</v>
      </c>
      <c r="C174" s="9" t="s">
        <v>797</v>
      </c>
      <c r="D174" s="9" t="s">
        <v>368</v>
      </c>
      <c r="E174" s="9" t="s">
        <v>3270</v>
      </c>
      <c r="F174" s="58" t="s">
        <v>3057</v>
      </c>
      <c r="G174" s="58">
        <v>5460</v>
      </c>
      <c r="H174" s="85">
        <v>0.30769230769230699</v>
      </c>
      <c r="I174" s="9">
        <v>37.799999999999997</v>
      </c>
      <c r="J174" s="9"/>
      <c r="K174" s="9"/>
      <c r="L174" s="9"/>
      <c r="M174" s="9"/>
      <c r="N174" s="9" t="s">
        <v>3332</v>
      </c>
      <c r="O174" s="9" t="s">
        <v>3081</v>
      </c>
      <c r="P174" s="9" t="s">
        <v>3585</v>
      </c>
      <c r="Q174" s="58" t="s">
        <v>3520</v>
      </c>
      <c r="R174" s="9">
        <v>4</v>
      </c>
      <c r="S174" s="9">
        <v>7</v>
      </c>
      <c r="T174" s="9" t="s">
        <v>3065</v>
      </c>
      <c r="U174" s="9" t="s">
        <v>3586</v>
      </c>
      <c r="V174" s="9">
        <v>4</v>
      </c>
      <c r="W174" s="9"/>
      <c r="X174" s="9"/>
      <c r="Y174" s="9"/>
      <c r="Z174" s="9"/>
    </row>
    <row r="175" spans="1:26" ht="15.75" hidden="1" customHeight="1">
      <c r="A175" s="9" t="s">
        <v>2373</v>
      </c>
      <c r="B175" s="9" t="s">
        <v>3587</v>
      </c>
      <c r="C175" s="9" t="s">
        <v>2375</v>
      </c>
      <c r="D175" s="9" t="s">
        <v>439</v>
      </c>
      <c r="E175" s="9"/>
      <c r="F175" s="9"/>
      <c r="G175" s="58">
        <v>4400</v>
      </c>
      <c r="H175" s="85">
        <v>0.109090909090909</v>
      </c>
      <c r="I175" s="9" t="s">
        <v>3588</v>
      </c>
      <c r="J175" s="9"/>
      <c r="K175" s="9"/>
      <c r="L175" s="9"/>
      <c r="M175" s="9"/>
      <c r="N175" s="9" t="s">
        <v>3280</v>
      </c>
      <c r="O175" s="9" t="s">
        <v>3051</v>
      </c>
      <c r="P175" s="9" t="s">
        <v>3225</v>
      </c>
      <c r="Q175" s="58" t="s">
        <v>3226</v>
      </c>
      <c r="R175" s="58">
        <v>1</v>
      </c>
      <c r="S175" s="58">
        <v>8</v>
      </c>
      <c r="T175" s="9" t="s">
        <v>3589</v>
      </c>
      <c r="U175" s="9" t="s">
        <v>3590</v>
      </c>
      <c r="V175" s="58">
        <v>1</v>
      </c>
      <c r="W175" s="9"/>
      <c r="X175" s="9"/>
      <c r="Y175" s="9"/>
      <c r="Z175" s="9"/>
    </row>
    <row r="176" spans="1:26" ht="15.75" hidden="1" customHeight="1">
      <c r="A176" s="9" t="s">
        <v>2373</v>
      </c>
      <c r="B176" s="9" t="s">
        <v>3587</v>
      </c>
      <c r="C176" s="9" t="s">
        <v>2375</v>
      </c>
      <c r="D176" s="9" t="s">
        <v>368</v>
      </c>
      <c r="E176" s="9" t="s">
        <v>3283</v>
      </c>
      <c r="F176" s="58" t="s">
        <v>3057</v>
      </c>
      <c r="G176" s="58">
        <v>5600</v>
      </c>
      <c r="H176" s="85">
        <v>0.3</v>
      </c>
      <c r="I176" s="9" t="s">
        <v>3588</v>
      </c>
      <c r="J176" s="9"/>
      <c r="K176" s="9"/>
      <c r="L176" s="9"/>
      <c r="M176" s="9"/>
      <c r="N176" s="9" t="s">
        <v>3280</v>
      </c>
      <c r="O176" s="9" t="s">
        <v>3051</v>
      </c>
      <c r="P176" s="9" t="s">
        <v>3591</v>
      </c>
      <c r="Q176" s="58" t="s">
        <v>3185</v>
      </c>
      <c r="R176" s="58">
        <v>4</v>
      </c>
      <c r="S176" s="58">
        <v>7</v>
      </c>
      <c r="T176" s="9" t="s">
        <v>3589</v>
      </c>
      <c r="U176" s="9" t="s">
        <v>3592</v>
      </c>
      <c r="V176" s="58">
        <v>4</v>
      </c>
      <c r="W176" s="9"/>
      <c r="X176" s="9"/>
      <c r="Y176" s="9"/>
      <c r="Z176" s="9"/>
    </row>
    <row r="177" spans="1:26" ht="15.75" hidden="1" customHeight="1">
      <c r="A177" s="9" t="s">
        <v>1324</v>
      </c>
      <c r="B177" s="9" t="s">
        <v>3593</v>
      </c>
      <c r="C177" s="9" t="s">
        <v>582</v>
      </c>
      <c r="D177" s="9" t="s">
        <v>439</v>
      </c>
      <c r="E177" s="9"/>
      <c r="F177" s="9"/>
      <c r="G177" s="58">
        <v>6400</v>
      </c>
      <c r="H177" s="85">
        <v>7.4999999999999997E-2</v>
      </c>
      <c r="I177" s="9">
        <v>31.4</v>
      </c>
      <c r="J177" s="9"/>
      <c r="K177" s="9"/>
      <c r="L177" s="9"/>
      <c r="M177" s="9"/>
      <c r="N177" s="9" t="s">
        <v>3423</v>
      </c>
      <c r="O177" s="9" t="s">
        <v>3258</v>
      </c>
      <c r="P177" s="9" t="s">
        <v>3549</v>
      </c>
      <c r="Q177" s="58" t="s">
        <v>3185</v>
      </c>
      <c r="R177" s="9">
        <v>1</v>
      </c>
      <c r="S177" s="9">
        <v>8</v>
      </c>
      <c r="T177" s="9" t="s">
        <v>3594</v>
      </c>
      <c r="U177" s="9" t="s">
        <v>3595</v>
      </c>
      <c r="V177" s="9">
        <v>1</v>
      </c>
      <c r="W177" s="9"/>
      <c r="X177" s="9"/>
      <c r="Y177" s="9"/>
      <c r="Z177" s="9"/>
    </row>
    <row r="178" spans="1:26" ht="15.75" hidden="1" customHeight="1">
      <c r="A178" s="9" t="s">
        <v>1324</v>
      </c>
      <c r="B178" s="9" t="s">
        <v>3593</v>
      </c>
      <c r="C178" s="9" t="s">
        <v>582</v>
      </c>
      <c r="D178" s="9" t="s">
        <v>368</v>
      </c>
      <c r="E178" s="9" t="s">
        <v>3402</v>
      </c>
      <c r="F178" s="58" t="s">
        <v>3057</v>
      </c>
      <c r="G178" s="58">
        <v>5600</v>
      </c>
      <c r="H178" s="85">
        <v>0.3</v>
      </c>
      <c r="I178" s="9">
        <v>31.4</v>
      </c>
      <c r="J178" s="9"/>
      <c r="K178" s="9"/>
      <c r="L178" s="9"/>
      <c r="M178" s="9"/>
      <c r="N178" s="9" t="s">
        <v>3423</v>
      </c>
      <c r="O178" s="9" t="s">
        <v>3258</v>
      </c>
      <c r="P178" s="9" t="s">
        <v>3596</v>
      </c>
      <c r="Q178" s="58" t="s">
        <v>3185</v>
      </c>
      <c r="R178" s="9">
        <v>4</v>
      </c>
      <c r="S178" s="9">
        <v>7</v>
      </c>
      <c r="T178" s="9" t="s">
        <v>3594</v>
      </c>
      <c r="U178" s="9" t="s">
        <v>3597</v>
      </c>
      <c r="V178" s="9">
        <v>4</v>
      </c>
      <c r="W178" s="9"/>
      <c r="X178" s="9"/>
      <c r="Y178" s="9"/>
      <c r="Z178" s="9"/>
    </row>
    <row r="179" spans="1:26" ht="15.75" hidden="1" customHeight="1">
      <c r="A179" s="9" t="s">
        <v>1326</v>
      </c>
      <c r="B179" s="9" t="s">
        <v>3598</v>
      </c>
      <c r="C179" s="9" t="s">
        <v>966</v>
      </c>
      <c r="D179" s="9" t="s">
        <v>439</v>
      </c>
      <c r="E179" s="9"/>
      <c r="F179" s="9"/>
      <c r="G179" s="58">
        <v>5600</v>
      </c>
      <c r="H179" s="85">
        <v>8.5714285714285701E-2</v>
      </c>
      <c r="I179" s="9">
        <v>31.6</v>
      </c>
      <c r="J179" s="9"/>
      <c r="K179" s="9"/>
      <c r="L179" s="9"/>
      <c r="M179" s="9"/>
      <c r="N179" s="9" t="s">
        <v>3599</v>
      </c>
      <c r="O179" s="9" t="s">
        <v>3258</v>
      </c>
      <c r="P179" s="9" t="s">
        <v>3154</v>
      </c>
      <c r="Q179" s="58" t="s">
        <v>3155</v>
      </c>
      <c r="R179" s="9">
        <v>1</v>
      </c>
      <c r="S179" s="9">
        <v>8</v>
      </c>
      <c r="T179" s="9" t="s">
        <v>3600</v>
      </c>
      <c r="U179" s="9" t="s">
        <v>3601</v>
      </c>
      <c r="V179" s="9">
        <v>1</v>
      </c>
      <c r="W179" s="9"/>
      <c r="X179" s="9"/>
      <c r="Y179" s="9"/>
      <c r="Z179" s="9"/>
    </row>
    <row r="180" spans="1:26" ht="15.75" hidden="1" customHeight="1">
      <c r="A180" s="9" t="s">
        <v>1326</v>
      </c>
      <c r="B180" s="9" t="s">
        <v>3598</v>
      </c>
      <c r="C180" s="9" t="s">
        <v>966</v>
      </c>
      <c r="D180" s="9" t="s">
        <v>368</v>
      </c>
      <c r="E180" s="9" t="s">
        <v>3067</v>
      </c>
      <c r="F180" s="58" t="s">
        <v>3057</v>
      </c>
      <c r="G180" s="58">
        <v>7000</v>
      </c>
      <c r="H180" s="85">
        <v>0.24</v>
      </c>
      <c r="I180" s="9">
        <v>31.6</v>
      </c>
      <c r="J180" s="9"/>
      <c r="K180" s="9"/>
      <c r="L180" s="9"/>
      <c r="M180" s="9"/>
      <c r="N180" s="9" t="s">
        <v>3599</v>
      </c>
      <c r="O180" s="9" t="s">
        <v>3258</v>
      </c>
      <c r="P180" s="9" t="s">
        <v>3602</v>
      </c>
      <c r="Q180" s="58" t="s">
        <v>3167</v>
      </c>
      <c r="R180" s="9">
        <v>4</v>
      </c>
      <c r="S180" s="9">
        <v>7</v>
      </c>
      <c r="T180" s="9" t="s">
        <v>3600</v>
      </c>
      <c r="U180" s="9" t="s">
        <v>3603</v>
      </c>
      <c r="V180" s="9">
        <v>4</v>
      </c>
      <c r="W180" s="9"/>
      <c r="X180" s="9"/>
      <c r="Y180" s="9"/>
      <c r="Z180" s="9"/>
    </row>
    <row r="181" spans="1:26" ht="15.75" hidden="1" customHeight="1">
      <c r="A181" s="9" t="s">
        <v>2249</v>
      </c>
      <c r="B181" s="9" t="s">
        <v>3604</v>
      </c>
      <c r="C181" s="9" t="s">
        <v>2251</v>
      </c>
      <c r="D181" s="9" t="s">
        <v>439</v>
      </c>
      <c r="E181" s="9"/>
      <c r="F181" s="9"/>
      <c r="G181" s="58">
        <v>8000</v>
      </c>
      <c r="H181" s="85">
        <v>0.06</v>
      </c>
      <c r="I181" s="9">
        <v>30.3</v>
      </c>
      <c r="J181" s="9"/>
      <c r="K181" s="9"/>
      <c r="L181" s="9"/>
      <c r="M181" s="9"/>
      <c r="N181" s="9" t="s">
        <v>3130</v>
      </c>
      <c r="O181" s="9" t="s">
        <v>2724</v>
      </c>
      <c r="P181" s="9" t="s">
        <v>3583</v>
      </c>
      <c r="Q181" s="58" t="s">
        <v>3167</v>
      </c>
      <c r="R181" s="58">
        <v>1</v>
      </c>
      <c r="S181" s="58">
        <v>8</v>
      </c>
      <c r="T181" s="9" t="s">
        <v>3605</v>
      </c>
      <c r="U181" s="9" t="s">
        <v>3606</v>
      </c>
      <c r="V181" s="58">
        <v>1</v>
      </c>
      <c r="W181" s="9"/>
      <c r="X181" s="9"/>
      <c r="Y181" s="9"/>
      <c r="Z181" s="9"/>
    </row>
    <row r="182" spans="1:26" ht="15.75" hidden="1" customHeight="1">
      <c r="A182" s="9" t="s">
        <v>2249</v>
      </c>
      <c r="B182" s="9" t="s">
        <v>3604</v>
      </c>
      <c r="C182" s="9" t="s">
        <v>2251</v>
      </c>
      <c r="D182" s="9" t="s">
        <v>368</v>
      </c>
      <c r="E182" s="9" t="s">
        <v>3067</v>
      </c>
      <c r="F182" s="58" t="s">
        <v>3057</v>
      </c>
      <c r="G182" s="58">
        <v>9100</v>
      </c>
      <c r="H182" s="85">
        <v>0.18461538461538399</v>
      </c>
      <c r="I182" s="9">
        <v>30.3</v>
      </c>
      <c r="J182" s="9"/>
      <c r="K182" s="9"/>
      <c r="L182" s="9"/>
      <c r="M182" s="9"/>
      <c r="N182" s="9" t="s">
        <v>3130</v>
      </c>
      <c r="O182" s="9" t="s">
        <v>2724</v>
      </c>
      <c r="P182" s="9" t="s">
        <v>3607</v>
      </c>
      <c r="Q182" s="58" t="s">
        <v>3064</v>
      </c>
      <c r="R182" s="58">
        <v>4</v>
      </c>
      <c r="S182" s="58">
        <v>7</v>
      </c>
      <c r="T182" s="9" t="s">
        <v>3605</v>
      </c>
      <c r="U182" s="9" t="s">
        <v>3608</v>
      </c>
      <c r="V182" s="58">
        <v>4</v>
      </c>
      <c r="W182" s="9"/>
      <c r="X182" s="9"/>
      <c r="Y182" s="9"/>
      <c r="Z182" s="9"/>
    </row>
    <row r="183" spans="1:26" ht="15.75" hidden="1" customHeight="1">
      <c r="A183" s="9" t="s">
        <v>3609</v>
      </c>
      <c r="B183" s="9" t="s">
        <v>3610</v>
      </c>
      <c r="C183" s="9" t="s">
        <v>3611</v>
      </c>
      <c r="D183" s="9" t="s">
        <v>439</v>
      </c>
      <c r="E183" s="9"/>
      <c r="F183" s="9"/>
      <c r="G183" s="58">
        <v>9600</v>
      </c>
      <c r="H183" s="85">
        <v>0.05</v>
      </c>
      <c r="I183" s="9">
        <v>10</v>
      </c>
      <c r="J183" s="9"/>
      <c r="K183" s="9"/>
      <c r="L183" s="9"/>
      <c r="M183" s="9"/>
      <c r="N183" s="9" t="s">
        <v>3375</v>
      </c>
      <c r="O183" s="9" t="s">
        <v>3051</v>
      </c>
      <c r="P183" s="9" t="s">
        <v>3111</v>
      </c>
      <c r="Q183" s="58" t="s">
        <v>3074</v>
      </c>
      <c r="R183" s="58">
        <v>1</v>
      </c>
      <c r="S183" s="58">
        <v>8</v>
      </c>
      <c r="T183" s="9"/>
      <c r="U183" s="9" t="s">
        <v>3612</v>
      </c>
      <c r="V183" s="58">
        <v>1</v>
      </c>
      <c r="W183" s="9"/>
      <c r="X183" s="9"/>
      <c r="Y183" s="9"/>
      <c r="Z183" s="9"/>
    </row>
    <row r="184" spans="1:26" ht="15.75" hidden="1" customHeight="1">
      <c r="A184" s="9" t="s">
        <v>3609</v>
      </c>
      <c r="B184" s="9" t="s">
        <v>3610</v>
      </c>
      <c r="C184" s="9" t="s">
        <v>3611</v>
      </c>
      <c r="D184" s="9" t="s">
        <v>368</v>
      </c>
      <c r="E184" s="9" t="s">
        <v>3067</v>
      </c>
      <c r="F184" s="58" t="s">
        <v>3057</v>
      </c>
      <c r="G184" s="58">
        <v>8400</v>
      </c>
      <c r="H184" s="85">
        <v>0.2</v>
      </c>
      <c r="I184" s="9">
        <v>10</v>
      </c>
      <c r="J184" s="9"/>
      <c r="K184" s="9"/>
      <c r="L184" s="9"/>
      <c r="M184" s="9"/>
      <c r="N184" s="9" t="s">
        <v>3375</v>
      </c>
      <c r="O184" s="9" t="s">
        <v>3051</v>
      </c>
      <c r="P184" s="9" t="s">
        <v>3613</v>
      </c>
      <c r="Q184" s="58" t="s">
        <v>3074</v>
      </c>
      <c r="R184" s="58">
        <v>4</v>
      </c>
      <c r="S184" s="58">
        <v>7</v>
      </c>
      <c r="T184" s="9"/>
      <c r="U184" s="9" t="s">
        <v>3614</v>
      </c>
      <c r="V184" s="58">
        <v>4</v>
      </c>
      <c r="W184" s="9"/>
      <c r="X184" s="9"/>
      <c r="Y184" s="9"/>
      <c r="Z184" s="9"/>
    </row>
    <row r="185" spans="1:26" ht="15.75" hidden="1" customHeight="1">
      <c r="A185" s="9" t="s">
        <v>2252</v>
      </c>
      <c r="B185" s="9" t="s">
        <v>3615</v>
      </c>
      <c r="C185" s="9" t="s">
        <v>2254</v>
      </c>
      <c r="D185" s="9" t="s">
        <v>439</v>
      </c>
      <c r="E185" s="9"/>
      <c r="F185" s="9"/>
      <c r="G185" s="58">
        <v>8000</v>
      </c>
      <c r="H185" s="85">
        <v>0.06</v>
      </c>
      <c r="I185" s="9">
        <v>30</v>
      </c>
      <c r="J185" s="9"/>
      <c r="K185" s="9"/>
      <c r="L185" s="9"/>
      <c r="M185" s="9"/>
      <c r="N185" s="9" t="s">
        <v>3616</v>
      </c>
      <c r="O185" s="9" t="s">
        <v>2724</v>
      </c>
      <c r="P185" s="9" t="s">
        <v>3583</v>
      </c>
      <c r="Q185" s="58" t="s">
        <v>3167</v>
      </c>
      <c r="R185" s="58">
        <v>1</v>
      </c>
      <c r="S185" s="58">
        <v>8</v>
      </c>
      <c r="T185" s="9" t="s">
        <v>3605</v>
      </c>
      <c r="U185" s="9" t="s">
        <v>3617</v>
      </c>
      <c r="V185" s="58">
        <v>1</v>
      </c>
      <c r="W185" s="9"/>
      <c r="X185" s="9"/>
      <c r="Y185" s="9"/>
      <c r="Z185" s="9"/>
    </row>
    <row r="186" spans="1:26" ht="15.75" hidden="1" customHeight="1">
      <c r="A186" s="9" t="s">
        <v>2252</v>
      </c>
      <c r="B186" s="9" t="s">
        <v>3615</v>
      </c>
      <c r="C186" s="9" t="s">
        <v>2254</v>
      </c>
      <c r="D186" s="9" t="s">
        <v>368</v>
      </c>
      <c r="E186" s="9" t="s">
        <v>3067</v>
      </c>
      <c r="F186" s="58" t="s">
        <v>3057</v>
      </c>
      <c r="G186" s="58">
        <v>9100</v>
      </c>
      <c r="H186" s="85">
        <v>0.18461538461538399</v>
      </c>
      <c r="I186" s="9">
        <v>30</v>
      </c>
      <c r="J186" s="9"/>
      <c r="K186" s="9"/>
      <c r="L186" s="9"/>
      <c r="M186" s="9"/>
      <c r="N186" s="9" t="s">
        <v>3616</v>
      </c>
      <c r="O186" s="9" t="s">
        <v>2724</v>
      </c>
      <c r="P186" s="9" t="s">
        <v>3607</v>
      </c>
      <c r="Q186" s="58" t="s">
        <v>3064</v>
      </c>
      <c r="R186" s="58">
        <v>4</v>
      </c>
      <c r="S186" s="58">
        <v>7</v>
      </c>
      <c r="T186" s="9" t="s">
        <v>3605</v>
      </c>
      <c r="U186" s="9" t="s">
        <v>3618</v>
      </c>
      <c r="V186" s="58">
        <v>4</v>
      </c>
      <c r="W186" s="9"/>
      <c r="X186" s="9"/>
      <c r="Y186" s="9"/>
      <c r="Z186" s="9"/>
    </row>
    <row r="187" spans="1:26" ht="15.75" hidden="1" customHeight="1">
      <c r="A187" s="9" t="s">
        <v>2264</v>
      </c>
      <c r="B187" s="9" t="s">
        <v>3619</v>
      </c>
      <c r="C187" s="9" t="s">
        <v>2266</v>
      </c>
      <c r="D187" s="9" t="s">
        <v>439</v>
      </c>
      <c r="E187" s="9"/>
      <c r="F187" s="9"/>
      <c r="G187" s="58">
        <v>8000</v>
      </c>
      <c r="H187" s="85">
        <v>0.06</v>
      </c>
      <c r="I187" s="9">
        <v>15.2</v>
      </c>
      <c r="J187" s="9"/>
      <c r="K187" s="9"/>
      <c r="L187" s="9"/>
      <c r="M187" s="9"/>
      <c r="N187" s="9" t="s">
        <v>3375</v>
      </c>
      <c r="O187" s="9" t="s">
        <v>3051</v>
      </c>
      <c r="P187" s="9" t="s">
        <v>3583</v>
      </c>
      <c r="Q187" s="58" t="s">
        <v>3167</v>
      </c>
      <c r="R187" s="58">
        <v>1</v>
      </c>
      <c r="S187" s="58">
        <v>8</v>
      </c>
      <c r="T187" s="9" t="s">
        <v>3620</v>
      </c>
      <c r="U187" s="9" t="s">
        <v>3621</v>
      </c>
      <c r="V187" s="58">
        <v>1</v>
      </c>
      <c r="W187" s="9"/>
      <c r="X187" s="9"/>
      <c r="Y187" s="9"/>
      <c r="Z187" s="9"/>
    </row>
    <row r="188" spans="1:26" ht="15.75" hidden="1" customHeight="1">
      <c r="A188" s="9" t="s">
        <v>2264</v>
      </c>
      <c r="B188" s="9" t="s">
        <v>3619</v>
      </c>
      <c r="C188" s="9" t="s">
        <v>2266</v>
      </c>
      <c r="D188" s="9" t="s">
        <v>368</v>
      </c>
      <c r="E188" s="9" t="s">
        <v>3067</v>
      </c>
      <c r="F188" s="58" t="s">
        <v>3057</v>
      </c>
      <c r="G188" s="58">
        <v>8400</v>
      </c>
      <c r="H188" s="85">
        <v>0.2</v>
      </c>
      <c r="I188" s="9">
        <v>15.2</v>
      </c>
      <c r="J188" s="9"/>
      <c r="K188" s="9"/>
      <c r="L188" s="9"/>
      <c r="M188" s="9"/>
      <c r="N188" s="9" t="s">
        <v>3375</v>
      </c>
      <c r="O188" s="9" t="s">
        <v>3051</v>
      </c>
      <c r="P188" s="9" t="s">
        <v>3622</v>
      </c>
      <c r="Q188" s="58" t="s">
        <v>3074</v>
      </c>
      <c r="R188" s="58">
        <v>4</v>
      </c>
      <c r="S188" s="58">
        <v>7</v>
      </c>
      <c r="T188" s="9" t="s">
        <v>3620</v>
      </c>
      <c r="U188" s="9" t="s">
        <v>3623</v>
      </c>
      <c r="V188" s="58">
        <v>4</v>
      </c>
      <c r="W188" s="9"/>
      <c r="X188" s="9"/>
      <c r="Y188" s="9"/>
      <c r="Z188" s="9"/>
    </row>
    <row r="189" spans="1:26" ht="15.75" hidden="1" customHeight="1">
      <c r="A189" s="9" t="s">
        <v>2501</v>
      </c>
      <c r="B189" s="9" t="s">
        <v>3624</v>
      </c>
      <c r="C189" s="9" t="s">
        <v>2503</v>
      </c>
      <c r="D189" s="9" t="s">
        <v>439</v>
      </c>
      <c r="E189" s="9"/>
      <c r="F189" s="9"/>
      <c r="G189" s="58">
        <v>9600</v>
      </c>
      <c r="H189" s="85">
        <v>0.05</v>
      </c>
      <c r="I189" s="9">
        <v>20.2</v>
      </c>
      <c r="J189" s="9"/>
      <c r="K189" s="9"/>
      <c r="L189" s="9"/>
      <c r="M189" s="9"/>
      <c r="N189" s="9" t="s">
        <v>3423</v>
      </c>
      <c r="O189" s="9" t="s">
        <v>3051</v>
      </c>
      <c r="P189" s="9" t="s">
        <v>3073</v>
      </c>
      <c r="Q189" s="58" t="s">
        <v>3074</v>
      </c>
      <c r="R189" s="58">
        <v>1</v>
      </c>
      <c r="S189" s="58">
        <v>8</v>
      </c>
      <c r="T189" s="9" t="s">
        <v>3625</v>
      </c>
      <c r="U189" s="9" t="s">
        <v>3626</v>
      </c>
      <c r="V189" s="58">
        <v>1</v>
      </c>
      <c r="W189" s="9"/>
      <c r="X189" s="9"/>
      <c r="Y189" s="9"/>
      <c r="Z189" s="9"/>
    </row>
    <row r="190" spans="1:26" ht="15.75" hidden="1" customHeight="1">
      <c r="A190" s="9" t="s">
        <v>2501</v>
      </c>
      <c r="B190" s="9" t="s">
        <v>3624</v>
      </c>
      <c r="C190" s="9" t="s">
        <v>2503</v>
      </c>
      <c r="D190" s="9" t="s">
        <v>368</v>
      </c>
      <c r="E190" s="9" t="s">
        <v>3402</v>
      </c>
      <c r="F190" s="58" t="s">
        <v>3057</v>
      </c>
      <c r="G190" s="58">
        <v>8400</v>
      </c>
      <c r="H190" s="85">
        <v>0.2</v>
      </c>
      <c r="I190" s="9">
        <v>20.2</v>
      </c>
      <c r="J190" s="9"/>
      <c r="K190" s="9"/>
      <c r="L190" s="9"/>
      <c r="M190" s="9"/>
      <c r="N190" s="9" t="s">
        <v>3423</v>
      </c>
      <c r="O190" s="9" t="s">
        <v>3051</v>
      </c>
      <c r="P190" s="9" t="s">
        <v>3627</v>
      </c>
      <c r="Q190" s="58" t="s">
        <v>3074</v>
      </c>
      <c r="R190" s="58">
        <v>4</v>
      </c>
      <c r="S190" s="58">
        <v>7</v>
      </c>
      <c r="T190" s="9" t="s">
        <v>3625</v>
      </c>
      <c r="U190" s="9" t="s">
        <v>3628</v>
      </c>
      <c r="V190" s="58">
        <v>4</v>
      </c>
      <c r="W190" s="9"/>
      <c r="X190" s="9"/>
      <c r="Y190" s="9"/>
      <c r="Z190" s="9"/>
    </row>
    <row r="191" spans="1:26" ht="15.75" hidden="1" customHeight="1">
      <c r="A191" s="9" t="s">
        <v>1331</v>
      </c>
      <c r="B191" s="9" t="s">
        <v>3629</v>
      </c>
      <c r="C191" s="9" t="s">
        <v>578</v>
      </c>
      <c r="D191" s="9" t="s">
        <v>439</v>
      </c>
      <c r="E191" s="9"/>
      <c r="F191" s="9"/>
      <c r="G191" s="58">
        <v>8000</v>
      </c>
      <c r="H191" s="85">
        <v>0.06</v>
      </c>
      <c r="I191" s="9">
        <v>15.3</v>
      </c>
      <c r="J191" s="9"/>
      <c r="K191" s="9"/>
      <c r="L191" s="9"/>
      <c r="M191" s="9"/>
      <c r="N191" s="9" t="s">
        <v>3630</v>
      </c>
      <c r="O191" s="9" t="s">
        <v>3258</v>
      </c>
      <c r="P191" s="9" t="s">
        <v>3583</v>
      </c>
      <c r="Q191" s="58" t="s">
        <v>3167</v>
      </c>
      <c r="R191" s="9">
        <v>1</v>
      </c>
      <c r="S191" s="9">
        <v>8</v>
      </c>
      <c r="T191" s="9" t="s">
        <v>3631</v>
      </c>
      <c r="U191" s="9" t="s">
        <v>3632</v>
      </c>
      <c r="V191" s="9">
        <v>1</v>
      </c>
      <c r="W191" s="9"/>
      <c r="X191" s="9"/>
      <c r="Y191" s="9"/>
      <c r="Z191" s="9"/>
    </row>
    <row r="192" spans="1:26" ht="15.75" hidden="1" customHeight="1">
      <c r="A192" s="9" t="s">
        <v>1331</v>
      </c>
      <c r="B192" s="9" t="s">
        <v>3629</v>
      </c>
      <c r="C192" s="9" t="s">
        <v>578</v>
      </c>
      <c r="D192" s="9" t="s">
        <v>368</v>
      </c>
      <c r="E192" s="9" t="s">
        <v>3067</v>
      </c>
      <c r="F192" s="58" t="s">
        <v>3057</v>
      </c>
      <c r="G192" s="58">
        <v>5950</v>
      </c>
      <c r="H192" s="85">
        <v>0.21176470588235199</v>
      </c>
      <c r="I192" s="9">
        <v>15.3</v>
      </c>
      <c r="J192" s="9"/>
      <c r="K192" s="9"/>
      <c r="L192" s="9"/>
      <c r="M192" s="9"/>
      <c r="N192" s="9" t="s">
        <v>3630</v>
      </c>
      <c r="O192" s="9" t="s">
        <v>3258</v>
      </c>
      <c r="P192" s="9" t="s">
        <v>3633</v>
      </c>
      <c r="Q192" s="58" t="s">
        <v>3132</v>
      </c>
      <c r="R192" s="9">
        <v>3</v>
      </c>
      <c r="S192" s="9">
        <v>7</v>
      </c>
      <c r="T192" s="9" t="s">
        <v>3631</v>
      </c>
      <c r="U192" s="9" t="s">
        <v>3634</v>
      </c>
      <c r="V192" s="9">
        <v>3</v>
      </c>
      <c r="W192" s="9"/>
      <c r="X192" s="9"/>
      <c r="Y192" s="9"/>
      <c r="Z192" s="9"/>
    </row>
    <row r="193" spans="1:26" ht="15.75" hidden="1" customHeight="1">
      <c r="A193" s="9" t="s">
        <v>1335</v>
      </c>
      <c r="B193" s="9" t="s">
        <v>3635</v>
      </c>
      <c r="C193" s="9" t="s">
        <v>887</v>
      </c>
      <c r="D193" s="9" t="s">
        <v>439</v>
      </c>
      <c r="E193" s="9"/>
      <c r="F193" s="9"/>
      <c r="G193" s="58">
        <v>6400</v>
      </c>
      <c r="H193" s="85">
        <v>7.4999999999999997E-2</v>
      </c>
      <c r="I193" s="9">
        <v>29.7</v>
      </c>
      <c r="J193" s="9"/>
      <c r="K193" s="9"/>
      <c r="L193" s="9"/>
      <c r="M193" s="9"/>
      <c r="N193" s="9" t="s">
        <v>3423</v>
      </c>
      <c r="O193" s="9" t="s">
        <v>3081</v>
      </c>
      <c r="P193" s="9" t="s">
        <v>3549</v>
      </c>
      <c r="Q193" s="58" t="s">
        <v>3185</v>
      </c>
      <c r="R193" s="9">
        <v>1</v>
      </c>
      <c r="S193" s="9">
        <v>8</v>
      </c>
      <c r="T193" s="9" t="s">
        <v>3065</v>
      </c>
      <c r="U193" s="9" t="s">
        <v>3636</v>
      </c>
      <c r="V193" s="9">
        <v>1</v>
      </c>
      <c r="W193" s="9"/>
      <c r="X193" s="9"/>
      <c r="Y193" s="9"/>
      <c r="Z193" s="9"/>
    </row>
    <row r="194" spans="1:26" ht="15.75" hidden="1" customHeight="1">
      <c r="A194" s="9" t="s">
        <v>1335</v>
      </c>
      <c r="B194" s="9" t="s">
        <v>3635</v>
      </c>
      <c r="C194" s="9" t="s">
        <v>887</v>
      </c>
      <c r="D194" s="9" t="s">
        <v>368</v>
      </c>
      <c r="E194" s="9" t="s">
        <v>3402</v>
      </c>
      <c r="F194" s="58" t="s">
        <v>3057</v>
      </c>
      <c r="G194" s="58">
        <v>5600</v>
      </c>
      <c r="H194" s="85">
        <v>0.3</v>
      </c>
      <c r="I194" s="9">
        <v>29.7</v>
      </c>
      <c r="J194" s="9"/>
      <c r="K194" s="9"/>
      <c r="L194" s="9"/>
      <c r="M194" s="9"/>
      <c r="N194" s="9" t="s">
        <v>3423</v>
      </c>
      <c r="O194" s="9" t="s">
        <v>3081</v>
      </c>
      <c r="P194" s="9" t="s">
        <v>3596</v>
      </c>
      <c r="Q194" s="58" t="s">
        <v>3185</v>
      </c>
      <c r="R194" s="9">
        <v>4</v>
      </c>
      <c r="S194" s="9">
        <v>7</v>
      </c>
      <c r="T194" s="9" t="s">
        <v>3065</v>
      </c>
      <c r="U194" s="9" t="s">
        <v>3637</v>
      </c>
      <c r="V194" s="9">
        <v>4</v>
      </c>
      <c r="W194" s="9"/>
      <c r="X194" s="9"/>
      <c r="Y194" s="9"/>
      <c r="Z194" s="9"/>
    </row>
    <row r="195" spans="1:26" ht="15.75" hidden="1" customHeight="1">
      <c r="A195" s="9" t="s">
        <v>2544</v>
      </c>
      <c r="B195" s="9" t="s">
        <v>3638</v>
      </c>
      <c r="C195" s="9" t="s">
        <v>2545</v>
      </c>
      <c r="D195" s="9" t="s">
        <v>368</v>
      </c>
      <c r="E195" s="9" t="s">
        <v>3092</v>
      </c>
      <c r="F195" s="58" t="s">
        <v>3087</v>
      </c>
      <c r="G195" s="58">
        <v>6650</v>
      </c>
      <c r="H195" s="85">
        <v>0.25263157894736799</v>
      </c>
      <c r="I195" s="9">
        <v>47</v>
      </c>
      <c r="J195" s="9"/>
      <c r="K195" s="9"/>
      <c r="L195" s="9"/>
      <c r="M195" s="9"/>
      <c r="N195" s="9" t="s">
        <v>3105</v>
      </c>
      <c r="O195" s="9" t="s">
        <v>3081</v>
      </c>
      <c r="P195" s="9" t="s">
        <v>3639</v>
      </c>
      <c r="Q195" s="58" t="s">
        <v>3409</v>
      </c>
      <c r="R195" s="58">
        <v>4</v>
      </c>
      <c r="S195" s="58">
        <v>7</v>
      </c>
      <c r="T195" s="9" t="s">
        <v>3640</v>
      </c>
      <c r="U195" s="9" t="s">
        <v>3641</v>
      </c>
      <c r="V195" s="58">
        <v>4</v>
      </c>
      <c r="W195" s="9"/>
      <c r="X195" s="9"/>
      <c r="Y195" s="9"/>
      <c r="Z195" s="9"/>
    </row>
    <row r="196" spans="1:26" ht="15.75" hidden="1" customHeight="1">
      <c r="A196" s="9" t="s">
        <v>2546</v>
      </c>
      <c r="B196" s="9" t="s">
        <v>3642</v>
      </c>
      <c r="C196" s="9" t="s">
        <v>2548</v>
      </c>
      <c r="D196" s="9" t="s">
        <v>439</v>
      </c>
      <c r="E196" s="9"/>
      <c r="F196" s="9"/>
      <c r="G196" s="58">
        <v>7200</v>
      </c>
      <c r="H196" s="85">
        <v>6.6666666666666596E-2</v>
      </c>
      <c r="I196" s="9">
        <v>49.5</v>
      </c>
      <c r="J196" s="9"/>
      <c r="K196" s="9"/>
      <c r="L196" s="9"/>
      <c r="M196" s="9"/>
      <c r="N196" s="9" t="s">
        <v>3643</v>
      </c>
      <c r="O196" s="9" t="s">
        <v>2724</v>
      </c>
      <c r="P196" s="9" t="s">
        <v>3644</v>
      </c>
      <c r="Q196" s="58" t="s">
        <v>3069</v>
      </c>
      <c r="R196" s="58">
        <v>1</v>
      </c>
      <c r="S196" s="58">
        <v>8</v>
      </c>
      <c r="T196" s="9" t="s">
        <v>3645</v>
      </c>
      <c r="U196" s="9" t="s">
        <v>3646</v>
      </c>
      <c r="V196" s="58">
        <v>1</v>
      </c>
      <c r="W196" s="9"/>
      <c r="X196" s="9"/>
      <c r="Y196" s="9"/>
      <c r="Z196" s="9"/>
    </row>
    <row r="197" spans="1:26" ht="15.75" hidden="1" customHeight="1">
      <c r="A197" s="9" t="s">
        <v>2546</v>
      </c>
      <c r="B197" s="9" t="s">
        <v>3642</v>
      </c>
      <c r="C197" s="9" t="s">
        <v>2548</v>
      </c>
      <c r="D197" s="9" t="s">
        <v>368</v>
      </c>
      <c r="E197" s="9" t="s">
        <v>3092</v>
      </c>
      <c r="F197" s="58" t="s">
        <v>3087</v>
      </c>
      <c r="G197" s="58">
        <v>5600</v>
      </c>
      <c r="H197" s="85">
        <v>0.3</v>
      </c>
      <c r="I197" s="9">
        <v>49.5</v>
      </c>
      <c r="J197" s="9"/>
      <c r="K197" s="9"/>
      <c r="L197" s="9"/>
      <c r="M197" s="9"/>
      <c r="N197" s="9" t="s">
        <v>3643</v>
      </c>
      <c r="O197" s="9" t="s">
        <v>2724</v>
      </c>
      <c r="P197" s="9" t="s">
        <v>3647</v>
      </c>
      <c r="Q197" s="58" t="s">
        <v>3185</v>
      </c>
      <c r="R197" s="58">
        <v>4</v>
      </c>
      <c r="S197" s="58">
        <v>7</v>
      </c>
      <c r="T197" s="9" t="s">
        <v>3645</v>
      </c>
      <c r="U197" s="9" t="s">
        <v>3648</v>
      </c>
      <c r="V197" s="58">
        <v>4</v>
      </c>
      <c r="W197" s="9"/>
      <c r="X197" s="9"/>
      <c r="Y197" s="9"/>
      <c r="Z197" s="9"/>
    </row>
    <row r="198" spans="1:26" ht="15.75" hidden="1" customHeight="1">
      <c r="A198" s="9" t="s">
        <v>1338</v>
      </c>
      <c r="B198" s="9" t="s">
        <v>3649</v>
      </c>
      <c r="C198" s="9" t="s">
        <v>1340</v>
      </c>
      <c r="D198" s="9" t="s">
        <v>439</v>
      </c>
      <c r="E198" s="9"/>
      <c r="F198" s="9"/>
      <c r="G198" s="58">
        <v>12800</v>
      </c>
      <c r="H198" s="85">
        <v>3.7499999999999999E-2</v>
      </c>
      <c r="I198" s="9">
        <v>30.3</v>
      </c>
      <c r="J198" s="9"/>
      <c r="K198" s="9"/>
      <c r="L198" s="9"/>
      <c r="M198" s="9"/>
      <c r="N198" s="9" t="s">
        <v>3130</v>
      </c>
      <c r="O198" s="9" t="s">
        <v>3081</v>
      </c>
      <c r="P198" s="9" t="s">
        <v>3650</v>
      </c>
      <c r="Q198" s="58" t="s">
        <v>3545</v>
      </c>
      <c r="R198" s="9">
        <v>1</v>
      </c>
      <c r="S198" s="9">
        <v>8</v>
      </c>
      <c r="T198" s="9" t="s">
        <v>3651</v>
      </c>
      <c r="U198" s="9" t="s">
        <v>3652</v>
      </c>
      <c r="V198" s="9">
        <v>1</v>
      </c>
      <c r="W198" s="9"/>
      <c r="X198" s="9"/>
      <c r="Y198" s="9"/>
      <c r="Z198" s="9"/>
    </row>
    <row r="199" spans="1:26" ht="15.75" hidden="1" customHeight="1">
      <c r="A199" s="9" t="s">
        <v>1338</v>
      </c>
      <c r="B199" s="9" t="s">
        <v>3649</v>
      </c>
      <c r="C199" s="9" t="s">
        <v>1340</v>
      </c>
      <c r="D199" s="9" t="s">
        <v>368</v>
      </c>
      <c r="E199" s="9" t="s">
        <v>3402</v>
      </c>
      <c r="F199" s="58" t="s">
        <v>3057</v>
      </c>
      <c r="G199" s="58">
        <v>8400</v>
      </c>
      <c r="H199" s="85">
        <v>0.2</v>
      </c>
      <c r="I199" s="9">
        <v>30.3</v>
      </c>
      <c r="J199" s="9"/>
      <c r="K199" s="9"/>
      <c r="L199" s="9"/>
      <c r="M199" s="9"/>
      <c r="N199" s="9" t="s">
        <v>3130</v>
      </c>
      <c r="O199" s="9" t="s">
        <v>3081</v>
      </c>
      <c r="P199" s="9" t="s">
        <v>3653</v>
      </c>
      <c r="Q199" s="58" t="s">
        <v>3074</v>
      </c>
      <c r="R199" s="9">
        <v>4</v>
      </c>
      <c r="S199" s="9">
        <v>7</v>
      </c>
      <c r="T199" s="9" t="s">
        <v>3651</v>
      </c>
      <c r="U199" s="9" t="s">
        <v>3654</v>
      </c>
      <c r="V199" s="9">
        <v>4</v>
      </c>
      <c r="W199" s="9"/>
      <c r="X199" s="9"/>
      <c r="Y199" s="9"/>
      <c r="Z199" s="9"/>
    </row>
    <row r="200" spans="1:26" ht="15.75" hidden="1" customHeight="1">
      <c r="A200" s="9" t="s">
        <v>2381</v>
      </c>
      <c r="B200" s="9" t="s">
        <v>3655</v>
      </c>
      <c r="C200" s="9" t="s">
        <v>2383</v>
      </c>
      <c r="D200" s="9" t="s">
        <v>368</v>
      </c>
      <c r="E200" s="9" t="s">
        <v>3092</v>
      </c>
      <c r="F200" s="58" t="s">
        <v>3087</v>
      </c>
      <c r="G200" s="58">
        <v>5250</v>
      </c>
      <c r="H200" s="85">
        <v>0.32</v>
      </c>
      <c r="I200" s="9">
        <v>14.6</v>
      </c>
      <c r="J200" s="9"/>
      <c r="K200" s="9"/>
      <c r="L200" s="9"/>
      <c r="M200" s="9"/>
      <c r="N200" s="9" t="s">
        <v>3105</v>
      </c>
      <c r="O200" s="9" t="s">
        <v>3081</v>
      </c>
      <c r="P200" s="9" t="s">
        <v>3656</v>
      </c>
      <c r="Q200" s="58" t="s">
        <v>3095</v>
      </c>
      <c r="R200" s="58">
        <v>4</v>
      </c>
      <c r="S200" s="58">
        <v>7</v>
      </c>
      <c r="T200" s="9" t="s">
        <v>3657</v>
      </c>
      <c r="U200" s="9" t="s">
        <v>3658</v>
      </c>
      <c r="V200" s="58">
        <v>4</v>
      </c>
      <c r="W200" s="9"/>
      <c r="X200" s="9"/>
      <c r="Y200" s="9"/>
      <c r="Z200" s="9"/>
    </row>
    <row r="201" spans="1:26" ht="15.75" hidden="1" customHeight="1">
      <c r="A201" s="9" t="s">
        <v>2578</v>
      </c>
      <c r="B201" s="9" t="s">
        <v>3659</v>
      </c>
      <c r="C201" s="9" t="s">
        <v>2580</v>
      </c>
      <c r="D201" s="9" t="s">
        <v>439</v>
      </c>
      <c r="E201" s="9"/>
      <c r="F201" s="9"/>
      <c r="G201" s="58">
        <v>8000</v>
      </c>
      <c r="H201" s="85">
        <v>0.06</v>
      </c>
      <c r="I201" s="9">
        <v>15</v>
      </c>
      <c r="J201" s="9"/>
      <c r="K201" s="9"/>
      <c r="L201" s="9"/>
      <c r="M201" s="9"/>
      <c r="N201" s="9" t="s">
        <v>3105</v>
      </c>
      <c r="O201" s="9" t="s">
        <v>3081</v>
      </c>
      <c r="P201" s="9" t="s">
        <v>3415</v>
      </c>
      <c r="Q201" s="58" t="s">
        <v>3167</v>
      </c>
      <c r="R201" s="58">
        <v>1</v>
      </c>
      <c r="S201" s="58">
        <v>8</v>
      </c>
      <c r="T201" s="9" t="s">
        <v>3660</v>
      </c>
      <c r="U201" s="9" t="s">
        <v>3661</v>
      </c>
      <c r="V201" s="58">
        <v>1</v>
      </c>
      <c r="W201" s="9"/>
      <c r="X201" s="9"/>
      <c r="Y201" s="9"/>
      <c r="Z201" s="9"/>
    </row>
    <row r="202" spans="1:26" ht="15.75" hidden="1" customHeight="1">
      <c r="A202" s="9" t="s">
        <v>2578</v>
      </c>
      <c r="B202" s="9" t="s">
        <v>3659</v>
      </c>
      <c r="C202" s="9" t="s">
        <v>2580</v>
      </c>
      <c r="D202" s="9" t="s">
        <v>368</v>
      </c>
      <c r="E202" s="9" t="s">
        <v>3092</v>
      </c>
      <c r="F202" s="58" t="s">
        <v>3087</v>
      </c>
      <c r="G202" s="58">
        <v>6650</v>
      </c>
      <c r="H202" s="85">
        <v>0.25263157894736799</v>
      </c>
      <c r="I202" s="9">
        <v>15</v>
      </c>
      <c r="J202" s="9"/>
      <c r="K202" s="9"/>
      <c r="L202" s="9"/>
      <c r="M202" s="9"/>
      <c r="N202" s="9" t="s">
        <v>3105</v>
      </c>
      <c r="O202" s="9" t="s">
        <v>3081</v>
      </c>
      <c r="P202" s="9" t="s">
        <v>3662</v>
      </c>
      <c r="Q202" s="58" t="s">
        <v>3409</v>
      </c>
      <c r="R202" s="58">
        <v>4</v>
      </c>
      <c r="S202" s="58">
        <v>7</v>
      </c>
      <c r="T202" s="9" t="s">
        <v>3660</v>
      </c>
      <c r="U202" s="9" t="s">
        <v>3663</v>
      </c>
      <c r="V202" s="58">
        <v>4</v>
      </c>
      <c r="W202" s="9"/>
      <c r="X202" s="9"/>
      <c r="Y202" s="9"/>
      <c r="Z202" s="9"/>
    </row>
    <row r="203" spans="1:26" ht="15.75" hidden="1" customHeight="1">
      <c r="A203" s="9" t="s">
        <v>1344</v>
      </c>
      <c r="B203" s="9" t="s">
        <v>3664</v>
      </c>
      <c r="C203" s="9" t="s">
        <v>908</v>
      </c>
      <c r="D203" s="9" t="s">
        <v>368</v>
      </c>
      <c r="E203" s="9" t="s">
        <v>3092</v>
      </c>
      <c r="F203" s="58" t="s">
        <v>3087</v>
      </c>
      <c r="G203" s="58">
        <v>7700</v>
      </c>
      <c r="H203" s="85">
        <v>0.218181818181818</v>
      </c>
      <c r="I203" s="9">
        <v>35.4</v>
      </c>
      <c r="J203" s="9"/>
      <c r="K203" s="9"/>
      <c r="L203" s="9"/>
      <c r="M203" s="9"/>
      <c r="N203" s="9" t="s">
        <v>3105</v>
      </c>
      <c r="O203" s="9" t="s">
        <v>3081</v>
      </c>
      <c r="P203" s="9" t="s">
        <v>3665</v>
      </c>
      <c r="Q203" s="58" t="s">
        <v>3077</v>
      </c>
      <c r="R203" s="58">
        <v>4</v>
      </c>
      <c r="S203" s="58">
        <v>7</v>
      </c>
      <c r="T203" s="9" t="s">
        <v>3666</v>
      </c>
      <c r="U203" s="9" t="s">
        <v>3667</v>
      </c>
      <c r="V203" s="58">
        <v>4</v>
      </c>
      <c r="W203" s="9"/>
      <c r="X203" s="9"/>
      <c r="Y203" s="9"/>
      <c r="Z203" s="9"/>
    </row>
    <row r="204" spans="1:26" ht="15.75" hidden="1" customHeight="1">
      <c r="A204" s="9" t="s">
        <v>1349</v>
      </c>
      <c r="B204" s="9" t="s">
        <v>3668</v>
      </c>
      <c r="C204" s="9" t="s">
        <v>910</v>
      </c>
      <c r="D204" s="9" t="s">
        <v>368</v>
      </c>
      <c r="E204" s="9" t="s">
        <v>3092</v>
      </c>
      <c r="F204" s="58" t="s">
        <v>3087</v>
      </c>
      <c r="G204" s="58">
        <v>6300</v>
      </c>
      <c r="H204" s="85">
        <v>0.266666666666666</v>
      </c>
      <c r="I204" s="9">
        <v>35.4</v>
      </c>
      <c r="J204" s="9"/>
      <c r="K204" s="9"/>
      <c r="L204" s="9"/>
      <c r="M204" s="9"/>
      <c r="N204" s="9" t="s">
        <v>3105</v>
      </c>
      <c r="O204" s="9" t="s">
        <v>3081</v>
      </c>
      <c r="P204" s="9" t="s">
        <v>3669</v>
      </c>
      <c r="Q204" s="58" t="s">
        <v>3069</v>
      </c>
      <c r="R204" s="58">
        <v>4</v>
      </c>
      <c r="S204" s="58">
        <v>7</v>
      </c>
      <c r="T204" s="9" t="s">
        <v>3666</v>
      </c>
      <c r="U204" s="9" t="s">
        <v>3670</v>
      </c>
      <c r="V204" s="58">
        <v>4</v>
      </c>
      <c r="W204" s="9"/>
      <c r="X204" s="9"/>
      <c r="Y204" s="9"/>
      <c r="Z204" s="9"/>
    </row>
    <row r="205" spans="1:26" ht="15.75" hidden="1" customHeight="1">
      <c r="A205" s="9" t="s">
        <v>2566</v>
      </c>
      <c r="B205" s="9" t="s">
        <v>3671</v>
      </c>
      <c r="C205" s="9" t="s">
        <v>2568</v>
      </c>
      <c r="D205" s="9" t="s">
        <v>368</v>
      </c>
      <c r="E205" s="9" t="s">
        <v>3092</v>
      </c>
      <c r="F205" s="58" t="s">
        <v>3087</v>
      </c>
      <c r="G205" s="58">
        <v>8400</v>
      </c>
      <c r="H205" s="85">
        <v>0.2</v>
      </c>
      <c r="I205" s="9">
        <v>30.6</v>
      </c>
      <c r="J205" s="9"/>
      <c r="K205" s="9"/>
      <c r="L205" s="9"/>
      <c r="M205" s="9"/>
      <c r="N205" s="9" t="s">
        <v>3105</v>
      </c>
      <c r="O205" s="9" t="s">
        <v>3081</v>
      </c>
      <c r="P205" s="9" t="s">
        <v>3672</v>
      </c>
      <c r="Q205" s="58" t="s">
        <v>3074</v>
      </c>
      <c r="R205" s="58">
        <v>4</v>
      </c>
      <c r="S205" s="58">
        <v>7</v>
      </c>
      <c r="T205" s="9" t="s">
        <v>3673</v>
      </c>
      <c r="U205" s="9" t="s">
        <v>3674</v>
      </c>
      <c r="V205" s="58">
        <v>4</v>
      </c>
      <c r="W205" s="9"/>
      <c r="X205" s="9"/>
      <c r="Y205" s="9"/>
      <c r="Z205" s="9"/>
    </row>
    <row r="206" spans="1:26" ht="15.75" hidden="1" customHeight="1">
      <c r="A206" s="9" t="s">
        <v>2569</v>
      </c>
      <c r="B206" s="9" t="s">
        <v>3675</v>
      </c>
      <c r="C206" s="9" t="s">
        <v>2571</v>
      </c>
      <c r="D206" s="9" t="s">
        <v>439</v>
      </c>
      <c r="E206" s="9"/>
      <c r="F206" s="9"/>
      <c r="G206" s="58">
        <v>8000</v>
      </c>
      <c r="H206" s="85">
        <v>0.06</v>
      </c>
      <c r="I206" s="9">
        <v>31.5</v>
      </c>
      <c r="J206" s="9"/>
      <c r="K206" s="9"/>
      <c r="L206" s="9"/>
      <c r="M206" s="9"/>
      <c r="N206" s="9" t="s">
        <v>3676</v>
      </c>
      <c r="O206" s="9" t="s">
        <v>3081</v>
      </c>
      <c r="P206" s="9" t="s">
        <v>3415</v>
      </c>
      <c r="Q206" s="58" t="s">
        <v>3167</v>
      </c>
      <c r="R206" s="58">
        <v>1</v>
      </c>
      <c r="S206" s="58">
        <v>8</v>
      </c>
      <c r="T206" s="9" t="s">
        <v>3677</v>
      </c>
      <c r="U206" s="9" t="s">
        <v>3678</v>
      </c>
      <c r="V206" s="58">
        <v>1</v>
      </c>
      <c r="W206" s="9"/>
      <c r="X206" s="9"/>
      <c r="Y206" s="9"/>
      <c r="Z206" s="9"/>
    </row>
    <row r="207" spans="1:26" ht="15.75" hidden="1" customHeight="1">
      <c r="A207" s="9" t="s">
        <v>2569</v>
      </c>
      <c r="B207" s="9" t="s">
        <v>3675</v>
      </c>
      <c r="C207" s="9" t="s">
        <v>2571</v>
      </c>
      <c r="D207" s="9" t="s">
        <v>368</v>
      </c>
      <c r="E207" s="9" t="s">
        <v>3092</v>
      </c>
      <c r="F207" s="58" t="s">
        <v>3087</v>
      </c>
      <c r="G207" s="58">
        <v>6650</v>
      </c>
      <c r="H207" s="85">
        <v>0.25263157894736799</v>
      </c>
      <c r="I207" s="9">
        <v>31.5</v>
      </c>
      <c r="J207" s="9"/>
      <c r="K207" s="9"/>
      <c r="L207" s="9"/>
      <c r="M207" s="9"/>
      <c r="N207" s="9" t="s">
        <v>3676</v>
      </c>
      <c r="O207" s="9" t="s">
        <v>3081</v>
      </c>
      <c r="P207" s="9" t="s">
        <v>3679</v>
      </c>
      <c r="Q207" s="58" t="s">
        <v>3409</v>
      </c>
      <c r="R207" s="58">
        <v>4</v>
      </c>
      <c r="S207" s="58">
        <v>7</v>
      </c>
      <c r="T207" s="9" t="s">
        <v>3677</v>
      </c>
      <c r="U207" s="9" t="s">
        <v>3680</v>
      </c>
      <c r="V207" s="58">
        <v>4</v>
      </c>
      <c r="W207" s="9"/>
      <c r="X207" s="9"/>
      <c r="Y207" s="9"/>
      <c r="Z207" s="9"/>
    </row>
    <row r="208" spans="1:26" ht="15.75" hidden="1" customHeight="1">
      <c r="A208" s="9" t="s">
        <v>2575</v>
      </c>
      <c r="B208" s="9" t="s">
        <v>3681</v>
      </c>
      <c r="C208" s="9" t="s">
        <v>2577</v>
      </c>
      <c r="D208" s="9" t="s">
        <v>439</v>
      </c>
      <c r="E208" s="9"/>
      <c r="F208" s="9"/>
      <c r="G208" s="58">
        <v>8000</v>
      </c>
      <c r="H208" s="85">
        <v>0.06</v>
      </c>
      <c r="I208" s="9">
        <v>31.8</v>
      </c>
      <c r="J208" s="9"/>
      <c r="K208" s="9"/>
      <c r="L208" s="9"/>
      <c r="M208" s="9"/>
      <c r="N208" s="9" t="s">
        <v>3676</v>
      </c>
      <c r="O208" s="9" t="s">
        <v>3081</v>
      </c>
      <c r="P208" s="9" t="s">
        <v>3415</v>
      </c>
      <c r="Q208" s="58" t="s">
        <v>3167</v>
      </c>
      <c r="R208" s="58">
        <v>1</v>
      </c>
      <c r="S208" s="58">
        <v>8</v>
      </c>
      <c r="T208" s="9" t="s">
        <v>3682</v>
      </c>
      <c r="U208" s="9" t="s">
        <v>3683</v>
      </c>
      <c r="V208" s="58">
        <v>1</v>
      </c>
      <c r="W208" s="9"/>
      <c r="X208" s="9"/>
      <c r="Y208" s="9"/>
      <c r="Z208" s="9"/>
    </row>
    <row r="209" spans="1:26" ht="15.75" hidden="1" customHeight="1">
      <c r="A209" s="9" t="s">
        <v>2575</v>
      </c>
      <c r="B209" s="9" t="s">
        <v>3681</v>
      </c>
      <c r="C209" s="9" t="s">
        <v>2577</v>
      </c>
      <c r="D209" s="9" t="s">
        <v>368</v>
      </c>
      <c r="E209" s="9" t="s">
        <v>3092</v>
      </c>
      <c r="F209" s="58" t="s">
        <v>3087</v>
      </c>
      <c r="G209" s="58">
        <v>6650</v>
      </c>
      <c r="H209" s="85">
        <v>0.25263157894736799</v>
      </c>
      <c r="I209" s="9">
        <v>31.8</v>
      </c>
      <c r="J209" s="9"/>
      <c r="K209" s="9"/>
      <c r="L209" s="9"/>
      <c r="M209" s="9"/>
      <c r="N209" s="9" t="s">
        <v>3676</v>
      </c>
      <c r="O209" s="9" t="s">
        <v>3081</v>
      </c>
      <c r="P209" s="9" t="s">
        <v>3679</v>
      </c>
      <c r="Q209" s="58" t="s">
        <v>3409</v>
      </c>
      <c r="R209" s="58">
        <v>4</v>
      </c>
      <c r="S209" s="58">
        <v>7</v>
      </c>
      <c r="T209" s="9" t="s">
        <v>3682</v>
      </c>
      <c r="U209" s="9" t="s">
        <v>3684</v>
      </c>
      <c r="V209" s="58">
        <v>4</v>
      </c>
      <c r="W209" s="9"/>
      <c r="X209" s="9"/>
      <c r="Y209" s="9"/>
      <c r="Z209" s="9"/>
    </row>
    <row r="210" spans="1:26" ht="15.75" hidden="1" customHeight="1">
      <c r="A210" s="9" t="s">
        <v>1351</v>
      </c>
      <c r="B210" s="9" t="s">
        <v>3685</v>
      </c>
      <c r="C210" s="9" t="s">
        <v>893</v>
      </c>
      <c r="D210" s="9" t="s">
        <v>368</v>
      </c>
      <c r="E210" s="9" t="s">
        <v>3092</v>
      </c>
      <c r="F210" s="58" t="s">
        <v>3087</v>
      </c>
      <c r="G210" s="58">
        <v>4550</v>
      </c>
      <c r="H210" s="85">
        <v>0.27692307692307599</v>
      </c>
      <c r="I210" s="9">
        <v>202</v>
      </c>
      <c r="J210" s="9"/>
      <c r="K210" s="9"/>
      <c r="L210" s="9"/>
      <c r="M210" s="9"/>
      <c r="N210" s="9" t="s">
        <v>3446</v>
      </c>
      <c r="O210" s="9" t="s">
        <v>3081</v>
      </c>
      <c r="P210" s="9" t="s">
        <v>3686</v>
      </c>
      <c r="Q210" s="58" t="s">
        <v>3687</v>
      </c>
      <c r="R210" s="58">
        <v>3</v>
      </c>
      <c r="S210" s="58">
        <v>7</v>
      </c>
      <c r="T210" s="9" t="s">
        <v>3688</v>
      </c>
      <c r="U210" s="9" t="s">
        <v>3689</v>
      </c>
      <c r="V210" s="58">
        <v>3</v>
      </c>
      <c r="W210" s="9"/>
      <c r="X210" s="9"/>
      <c r="Y210" s="9"/>
      <c r="Z210" s="9"/>
    </row>
    <row r="211" spans="1:26" ht="15.75" hidden="1" customHeight="1">
      <c r="A211" s="9" t="s">
        <v>1356</v>
      </c>
      <c r="B211" s="9" t="s">
        <v>3690</v>
      </c>
      <c r="C211" s="9" t="s">
        <v>912</v>
      </c>
      <c r="D211" s="9" t="s">
        <v>368</v>
      </c>
      <c r="E211" s="9" t="s">
        <v>3092</v>
      </c>
      <c r="F211" s="58" t="s">
        <v>3087</v>
      </c>
      <c r="G211" s="58">
        <v>4550</v>
      </c>
      <c r="H211" s="85">
        <v>0.27692307692307599</v>
      </c>
      <c r="I211" s="9">
        <v>202.2</v>
      </c>
      <c r="J211" s="9"/>
      <c r="K211" s="9"/>
      <c r="L211" s="9"/>
      <c r="M211" s="9"/>
      <c r="N211" s="9" t="s">
        <v>3691</v>
      </c>
      <c r="O211" s="9" t="s">
        <v>3081</v>
      </c>
      <c r="P211" s="9" t="s">
        <v>3686</v>
      </c>
      <c r="Q211" s="58" t="s">
        <v>3687</v>
      </c>
      <c r="R211" s="58">
        <v>3</v>
      </c>
      <c r="S211" s="58">
        <v>7</v>
      </c>
      <c r="T211" s="9" t="s">
        <v>3692</v>
      </c>
      <c r="U211" s="9" t="s">
        <v>3693</v>
      </c>
      <c r="V211" s="58">
        <v>3</v>
      </c>
      <c r="W211" s="9"/>
      <c r="X211" s="9"/>
      <c r="Y211" s="9"/>
      <c r="Z211" s="9"/>
    </row>
    <row r="212" spans="1:26" ht="15.75" hidden="1" customHeight="1">
      <c r="A212" s="9" t="s">
        <v>2459</v>
      </c>
      <c r="B212" s="9" t="s">
        <v>3694</v>
      </c>
      <c r="C212" s="9" t="s">
        <v>2461</v>
      </c>
      <c r="D212" s="9" t="s">
        <v>368</v>
      </c>
      <c r="E212" s="9" t="s">
        <v>3092</v>
      </c>
      <c r="F212" s="58" t="s">
        <v>3087</v>
      </c>
      <c r="G212" s="58">
        <v>4550</v>
      </c>
      <c r="H212" s="85">
        <v>0.27692307692307599</v>
      </c>
      <c r="I212" s="9">
        <v>200</v>
      </c>
      <c r="J212" s="9"/>
      <c r="K212" s="9"/>
      <c r="L212" s="9"/>
      <c r="M212" s="9"/>
      <c r="N212" s="9" t="s">
        <v>3691</v>
      </c>
      <c r="O212" s="9" t="s">
        <v>3081</v>
      </c>
      <c r="P212" s="9" t="s">
        <v>3686</v>
      </c>
      <c r="Q212" s="58" t="s">
        <v>3687</v>
      </c>
      <c r="R212" s="58">
        <v>3</v>
      </c>
      <c r="S212" s="58">
        <v>7</v>
      </c>
      <c r="T212" s="9" t="s">
        <v>3695</v>
      </c>
      <c r="U212" s="9" t="s">
        <v>3696</v>
      </c>
      <c r="V212" s="58">
        <v>3</v>
      </c>
      <c r="W212" s="9"/>
      <c r="X212" s="9"/>
      <c r="Y212" s="9"/>
      <c r="Z212" s="9"/>
    </row>
    <row r="213" spans="1:26" ht="15.75" hidden="1" customHeight="1">
      <c r="A213" s="9" t="s">
        <v>275</v>
      </c>
      <c r="B213" s="9" t="s">
        <v>3697</v>
      </c>
      <c r="C213" s="9" t="s">
        <v>276</v>
      </c>
      <c r="D213" s="9" t="s">
        <v>439</v>
      </c>
      <c r="E213" s="9"/>
      <c r="F213" s="9"/>
      <c r="G213" s="58">
        <v>2880</v>
      </c>
      <c r="H213" s="85">
        <v>0.16666666666666599</v>
      </c>
      <c r="I213" s="9">
        <v>166.5</v>
      </c>
      <c r="J213" s="9"/>
      <c r="K213" s="9"/>
      <c r="L213" s="9"/>
      <c r="M213" s="9"/>
      <c r="N213" s="9" t="s">
        <v>3105</v>
      </c>
      <c r="O213" s="9" t="s">
        <v>3081</v>
      </c>
      <c r="P213" s="9" t="s">
        <v>3698</v>
      </c>
      <c r="Q213" s="58" t="s">
        <v>3699</v>
      </c>
      <c r="R213" s="58">
        <v>1</v>
      </c>
      <c r="S213" s="58">
        <v>8</v>
      </c>
      <c r="T213" s="9" t="s">
        <v>3700</v>
      </c>
      <c r="U213" s="9" t="s">
        <v>3701</v>
      </c>
      <c r="V213" s="58">
        <v>1</v>
      </c>
      <c r="W213" s="9"/>
      <c r="X213" s="9"/>
      <c r="Y213" s="9"/>
      <c r="Z213" s="9"/>
    </row>
    <row r="214" spans="1:26" ht="15.75" hidden="1" customHeight="1">
      <c r="A214" s="9" t="s">
        <v>275</v>
      </c>
      <c r="B214" s="9" t="s">
        <v>3697</v>
      </c>
      <c r="C214" s="9" t="s">
        <v>276</v>
      </c>
      <c r="D214" s="9" t="s">
        <v>368</v>
      </c>
      <c r="E214" s="9" t="s">
        <v>3092</v>
      </c>
      <c r="F214" s="58" t="s">
        <v>3087</v>
      </c>
      <c r="G214" s="58">
        <v>3500</v>
      </c>
      <c r="H214" s="85">
        <v>0.48</v>
      </c>
      <c r="I214" s="9">
        <v>166.5</v>
      </c>
      <c r="J214" s="9"/>
      <c r="K214" s="9"/>
      <c r="L214" s="9"/>
      <c r="M214" s="9"/>
      <c r="N214" s="9" t="s">
        <v>3105</v>
      </c>
      <c r="O214" s="9" t="s">
        <v>3081</v>
      </c>
      <c r="P214" s="9" t="s">
        <v>3702</v>
      </c>
      <c r="Q214" s="58" t="s">
        <v>3361</v>
      </c>
      <c r="R214" s="58">
        <v>4</v>
      </c>
      <c r="S214" s="58">
        <v>7</v>
      </c>
      <c r="T214" s="9" t="s">
        <v>3700</v>
      </c>
      <c r="U214" s="9" t="s">
        <v>3703</v>
      </c>
      <c r="V214" s="58">
        <v>4</v>
      </c>
      <c r="W214" s="9"/>
      <c r="X214" s="9"/>
      <c r="Y214" s="9"/>
      <c r="Z214" s="9"/>
    </row>
    <row r="215" spans="1:26" ht="15.75" hidden="1" customHeight="1">
      <c r="A215" s="9" t="s">
        <v>1365</v>
      </c>
      <c r="B215" s="9" t="s">
        <v>3704</v>
      </c>
      <c r="C215" s="9" t="s">
        <v>675</v>
      </c>
      <c r="D215" s="9" t="s">
        <v>439</v>
      </c>
      <c r="E215" s="9"/>
      <c r="F215" s="9"/>
      <c r="G215" s="58">
        <v>6400</v>
      </c>
      <c r="H215" s="85">
        <v>7.4999999999999997E-2</v>
      </c>
      <c r="I215" s="9">
        <v>51.5</v>
      </c>
      <c r="J215" s="9"/>
      <c r="K215" s="9"/>
      <c r="L215" s="9"/>
      <c r="M215" s="9"/>
      <c r="N215" s="9" t="s">
        <v>3130</v>
      </c>
      <c r="O215" s="9" t="s">
        <v>3051</v>
      </c>
      <c r="P215" s="9" t="s">
        <v>3190</v>
      </c>
      <c r="Q215" s="58" t="s">
        <v>3185</v>
      </c>
      <c r="R215" s="58">
        <v>1</v>
      </c>
      <c r="S215" s="58">
        <v>8</v>
      </c>
      <c r="T215" s="9" t="s">
        <v>3705</v>
      </c>
      <c r="U215" s="9" t="s">
        <v>3706</v>
      </c>
      <c r="V215" s="58">
        <v>1</v>
      </c>
      <c r="W215" s="9"/>
      <c r="X215" s="9"/>
      <c r="Y215" s="9"/>
      <c r="Z215" s="9"/>
    </row>
    <row r="216" spans="1:26" ht="15.75" hidden="1" customHeight="1">
      <c r="A216" s="9" t="s">
        <v>1365</v>
      </c>
      <c r="B216" s="9" t="s">
        <v>3704</v>
      </c>
      <c r="C216" s="9" t="s">
        <v>675</v>
      </c>
      <c r="D216" s="9" t="s">
        <v>368</v>
      </c>
      <c r="E216" s="9" t="s">
        <v>3067</v>
      </c>
      <c r="F216" s="58" t="s">
        <v>3057</v>
      </c>
      <c r="G216" s="58">
        <v>4900</v>
      </c>
      <c r="H216" s="85">
        <v>0.34285714285714203</v>
      </c>
      <c r="I216" s="9">
        <v>51.5</v>
      </c>
      <c r="J216" s="9"/>
      <c r="K216" s="9"/>
      <c r="L216" s="9"/>
      <c r="M216" s="9"/>
      <c r="N216" s="9" t="s">
        <v>3130</v>
      </c>
      <c r="O216" s="9" t="s">
        <v>3051</v>
      </c>
      <c r="P216" s="9" t="s">
        <v>3707</v>
      </c>
      <c r="Q216" s="58" t="s">
        <v>3155</v>
      </c>
      <c r="R216" s="58">
        <v>4</v>
      </c>
      <c r="S216" s="58">
        <v>7</v>
      </c>
      <c r="T216" s="9" t="s">
        <v>3705</v>
      </c>
      <c r="U216" s="9" t="s">
        <v>3708</v>
      </c>
      <c r="V216" s="58">
        <v>4</v>
      </c>
      <c r="W216" s="9"/>
      <c r="X216" s="9"/>
      <c r="Y216" s="9"/>
      <c r="Z216" s="9"/>
    </row>
    <row r="217" spans="1:26" ht="15.75" hidden="1" customHeight="1">
      <c r="A217" s="9" t="s">
        <v>1370</v>
      </c>
      <c r="B217" s="9" t="s">
        <v>3709</v>
      </c>
      <c r="C217" s="9" t="s">
        <v>879</v>
      </c>
      <c r="D217" s="9" t="s">
        <v>439</v>
      </c>
      <c r="E217" s="9"/>
      <c r="F217" s="9"/>
      <c r="G217" s="58">
        <v>24800</v>
      </c>
      <c r="H217" s="85">
        <v>1.9354838709677399E-2</v>
      </c>
      <c r="I217" s="9">
        <v>25</v>
      </c>
      <c r="J217" s="9"/>
      <c r="K217" s="9"/>
      <c r="L217" s="9"/>
      <c r="M217" s="9"/>
      <c r="N217" s="9" t="s">
        <v>3710</v>
      </c>
      <c r="O217" s="9" t="s">
        <v>3051</v>
      </c>
      <c r="P217" s="9" t="s">
        <v>3711</v>
      </c>
      <c r="Q217" s="58" t="s">
        <v>3712</v>
      </c>
      <c r="R217" s="58">
        <v>1</v>
      </c>
      <c r="S217" s="58">
        <v>8</v>
      </c>
      <c r="T217" s="9" t="s">
        <v>3713</v>
      </c>
      <c r="U217" s="9" t="s">
        <v>3714</v>
      </c>
      <c r="V217" s="58">
        <v>1</v>
      </c>
      <c r="W217" s="9"/>
      <c r="X217" s="9"/>
      <c r="Y217" s="9"/>
      <c r="Z217" s="9"/>
    </row>
    <row r="218" spans="1:26" ht="15.75" hidden="1" customHeight="1">
      <c r="A218" s="9" t="s">
        <v>1370</v>
      </c>
      <c r="B218" s="9" t="s">
        <v>3709</v>
      </c>
      <c r="C218" s="9" t="s">
        <v>879</v>
      </c>
      <c r="D218" s="9" t="s">
        <v>368</v>
      </c>
      <c r="E218" s="9" t="s">
        <v>3715</v>
      </c>
      <c r="F218" s="58" t="s">
        <v>3355</v>
      </c>
      <c r="G218" s="58">
        <v>7700</v>
      </c>
      <c r="H218" s="85">
        <v>0.218181818181818</v>
      </c>
      <c r="I218" s="9">
        <v>25</v>
      </c>
      <c r="J218" s="9"/>
      <c r="K218" s="9"/>
      <c r="L218" s="9"/>
      <c r="M218" s="9"/>
      <c r="N218" s="9" t="s">
        <v>3710</v>
      </c>
      <c r="O218" s="9" t="s">
        <v>3051</v>
      </c>
      <c r="P218" s="9" t="s">
        <v>3271</v>
      </c>
      <c r="Q218" s="58" t="s">
        <v>3077</v>
      </c>
      <c r="R218" s="58">
        <v>4</v>
      </c>
      <c r="S218" s="58">
        <v>7</v>
      </c>
      <c r="T218" s="9" t="s">
        <v>3713</v>
      </c>
      <c r="U218" s="9" t="s">
        <v>3716</v>
      </c>
      <c r="V218" s="58">
        <v>4</v>
      </c>
      <c r="W218" s="9"/>
      <c r="X218" s="9"/>
      <c r="Y218" s="9"/>
      <c r="Z218" s="9"/>
    </row>
    <row r="219" spans="1:26" ht="15.75" hidden="1" customHeight="1">
      <c r="A219" s="9" t="s">
        <v>3717</v>
      </c>
      <c r="B219" s="9" t="s">
        <v>3718</v>
      </c>
      <c r="C219" s="9" t="s">
        <v>3719</v>
      </c>
      <c r="D219" s="9" t="s">
        <v>439</v>
      </c>
      <c r="E219" s="9"/>
      <c r="F219" s="9"/>
      <c r="G219" s="58">
        <v>24800</v>
      </c>
      <c r="H219" s="85">
        <v>1.9354838709677399E-2</v>
      </c>
      <c r="I219" s="9">
        <v>25</v>
      </c>
      <c r="J219" s="9"/>
      <c r="K219" s="9"/>
      <c r="L219" s="9"/>
      <c r="M219" s="9"/>
      <c r="N219" s="9" t="s">
        <v>3710</v>
      </c>
      <c r="O219" s="9" t="s">
        <v>3051</v>
      </c>
      <c r="P219" s="9" t="s">
        <v>3711</v>
      </c>
      <c r="Q219" s="58" t="s">
        <v>3712</v>
      </c>
      <c r="R219" s="58">
        <v>1</v>
      </c>
      <c r="S219" s="58">
        <v>8</v>
      </c>
      <c r="T219" s="9" t="s">
        <v>3713</v>
      </c>
      <c r="U219" s="9" t="s">
        <v>3720</v>
      </c>
      <c r="V219" s="58">
        <v>1</v>
      </c>
      <c r="W219" s="9"/>
      <c r="X219" s="9"/>
      <c r="Y219" s="9"/>
      <c r="Z219" s="9"/>
    </row>
    <row r="220" spans="1:26" ht="15.75" hidden="1" customHeight="1">
      <c r="A220" s="9" t="s">
        <v>3717</v>
      </c>
      <c r="B220" s="9" t="s">
        <v>3718</v>
      </c>
      <c r="C220" s="9" t="s">
        <v>3719</v>
      </c>
      <c r="D220" s="9" t="s">
        <v>368</v>
      </c>
      <c r="E220" s="9" t="s">
        <v>3715</v>
      </c>
      <c r="F220" s="58" t="s">
        <v>3355</v>
      </c>
      <c r="G220" s="58">
        <v>7700</v>
      </c>
      <c r="H220" s="85">
        <v>0.163636363636363</v>
      </c>
      <c r="I220" s="9">
        <v>25</v>
      </c>
      <c r="J220" s="9"/>
      <c r="K220" s="9"/>
      <c r="L220" s="9"/>
      <c r="M220" s="9"/>
      <c r="N220" s="9" t="s">
        <v>3710</v>
      </c>
      <c r="O220" s="9" t="s">
        <v>3051</v>
      </c>
      <c r="P220" s="9" t="s">
        <v>3721</v>
      </c>
      <c r="Q220" s="58" t="s">
        <v>3077</v>
      </c>
      <c r="R220" s="58">
        <v>3</v>
      </c>
      <c r="S220" s="58">
        <v>7</v>
      </c>
      <c r="T220" s="9" t="s">
        <v>3713</v>
      </c>
      <c r="U220" s="9" t="s">
        <v>3722</v>
      </c>
      <c r="V220" s="58">
        <v>3</v>
      </c>
      <c r="W220" s="9"/>
      <c r="X220" s="9"/>
      <c r="Y220" s="9"/>
      <c r="Z220" s="9"/>
    </row>
    <row r="221" spans="1:26" ht="15.75" hidden="1" customHeight="1">
      <c r="A221" s="9" t="s">
        <v>1373</v>
      </c>
      <c r="B221" s="9" t="s">
        <v>3723</v>
      </c>
      <c r="C221" s="9" t="s">
        <v>1375</v>
      </c>
      <c r="D221" s="9" t="s">
        <v>439</v>
      </c>
      <c r="E221" s="9"/>
      <c r="F221" s="9"/>
      <c r="G221" s="58">
        <v>24800</v>
      </c>
      <c r="H221" s="85">
        <v>1.9354838709677399E-2</v>
      </c>
      <c r="I221" s="9">
        <v>25.5</v>
      </c>
      <c r="J221" s="9"/>
      <c r="K221" s="9"/>
      <c r="L221" s="9"/>
      <c r="M221" s="9"/>
      <c r="N221" s="9" t="s">
        <v>3710</v>
      </c>
      <c r="O221" s="9" t="s">
        <v>3051</v>
      </c>
      <c r="P221" s="9" t="s">
        <v>3711</v>
      </c>
      <c r="Q221" s="58" t="s">
        <v>3712</v>
      </c>
      <c r="R221" s="58">
        <v>1</v>
      </c>
      <c r="S221" s="58">
        <v>8</v>
      </c>
      <c r="T221" s="9" t="s">
        <v>3713</v>
      </c>
      <c r="U221" s="9" t="s">
        <v>3724</v>
      </c>
      <c r="V221" s="58">
        <v>1</v>
      </c>
      <c r="W221" s="9"/>
      <c r="X221" s="9"/>
      <c r="Y221" s="9"/>
      <c r="Z221" s="9"/>
    </row>
    <row r="222" spans="1:26" ht="15.75" hidden="1" customHeight="1">
      <c r="A222" s="9" t="s">
        <v>1373</v>
      </c>
      <c r="B222" s="9" t="s">
        <v>3723</v>
      </c>
      <c r="C222" s="9" t="s">
        <v>1375</v>
      </c>
      <c r="D222" s="9" t="s">
        <v>368</v>
      </c>
      <c r="E222" s="9" t="s">
        <v>3715</v>
      </c>
      <c r="F222" s="58" t="s">
        <v>3355</v>
      </c>
      <c r="G222" s="58">
        <v>7700</v>
      </c>
      <c r="H222" s="85">
        <v>0.218181818181818</v>
      </c>
      <c r="I222" s="9">
        <v>25.5</v>
      </c>
      <c r="J222" s="9"/>
      <c r="K222" s="9"/>
      <c r="L222" s="9"/>
      <c r="M222" s="9"/>
      <c r="N222" s="9" t="s">
        <v>3710</v>
      </c>
      <c r="O222" s="9" t="s">
        <v>3051</v>
      </c>
      <c r="P222" s="9" t="s">
        <v>3271</v>
      </c>
      <c r="Q222" s="58" t="s">
        <v>3077</v>
      </c>
      <c r="R222" s="58">
        <v>4</v>
      </c>
      <c r="S222" s="58">
        <v>7</v>
      </c>
      <c r="T222" s="9" t="s">
        <v>3713</v>
      </c>
      <c r="U222" s="9" t="s">
        <v>3725</v>
      </c>
      <c r="V222" s="58">
        <v>4</v>
      </c>
      <c r="W222" s="9"/>
      <c r="X222" s="9"/>
      <c r="Y222" s="9"/>
      <c r="Z222" s="9"/>
    </row>
    <row r="223" spans="1:26" ht="15.75" hidden="1" customHeight="1">
      <c r="A223" s="9" t="s">
        <v>3726</v>
      </c>
      <c r="B223" s="9" t="s">
        <v>3727</v>
      </c>
      <c r="C223" s="9" t="s">
        <v>3728</v>
      </c>
      <c r="D223" s="9" t="s">
        <v>439</v>
      </c>
      <c r="E223" s="9"/>
      <c r="F223" s="9"/>
      <c r="G223" s="58">
        <v>24800</v>
      </c>
      <c r="H223" s="85">
        <v>1.9354838709677399E-2</v>
      </c>
      <c r="I223" s="9">
        <v>25.5</v>
      </c>
      <c r="J223" s="9"/>
      <c r="K223" s="9"/>
      <c r="L223" s="9"/>
      <c r="M223" s="9"/>
      <c r="N223" s="9" t="s">
        <v>3710</v>
      </c>
      <c r="O223" s="9" t="s">
        <v>3051</v>
      </c>
      <c r="P223" s="9" t="s">
        <v>3711</v>
      </c>
      <c r="Q223" s="58" t="s">
        <v>3712</v>
      </c>
      <c r="R223" s="58">
        <v>1</v>
      </c>
      <c r="S223" s="58">
        <v>8</v>
      </c>
      <c r="T223" s="9" t="s">
        <v>3713</v>
      </c>
      <c r="U223" s="9" t="s">
        <v>3729</v>
      </c>
      <c r="V223" s="58">
        <v>1</v>
      </c>
      <c r="W223" s="9"/>
      <c r="X223" s="9"/>
      <c r="Y223" s="9"/>
      <c r="Z223" s="9"/>
    </row>
    <row r="224" spans="1:26" ht="15.75" hidden="1" customHeight="1">
      <c r="A224" s="9" t="s">
        <v>3726</v>
      </c>
      <c r="B224" s="9" t="s">
        <v>3727</v>
      </c>
      <c r="C224" s="9" t="s">
        <v>3728</v>
      </c>
      <c r="D224" s="9" t="s">
        <v>368</v>
      </c>
      <c r="E224" s="9" t="s">
        <v>3715</v>
      </c>
      <c r="F224" s="58" t="s">
        <v>3355</v>
      </c>
      <c r="G224" s="58">
        <v>7700</v>
      </c>
      <c r="H224" s="85">
        <v>0.163636363636363</v>
      </c>
      <c r="I224" s="9">
        <v>25.5</v>
      </c>
      <c r="J224" s="9"/>
      <c r="K224" s="9"/>
      <c r="L224" s="9"/>
      <c r="M224" s="9"/>
      <c r="N224" s="9" t="s">
        <v>3710</v>
      </c>
      <c r="O224" s="9" t="s">
        <v>3051</v>
      </c>
      <c r="P224" s="9" t="s">
        <v>3721</v>
      </c>
      <c r="Q224" s="58" t="s">
        <v>3077</v>
      </c>
      <c r="R224" s="58">
        <v>3</v>
      </c>
      <c r="S224" s="58">
        <v>7</v>
      </c>
      <c r="T224" s="9" t="s">
        <v>3713</v>
      </c>
      <c r="U224" s="9" t="s">
        <v>3730</v>
      </c>
      <c r="V224" s="58">
        <v>3</v>
      </c>
      <c r="W224" s="9"/>
      <c r="X224" s="9"/>
      <c r="Y224" s="9"/>
      <c r="Z224" s="9"/>
    </row>
    <row r="225" spans="1:26" ht="15.75" hidden="1" customHeight="1">
      <c r="A225" s="9" t="s">
        <v>1378</v>
      </c>
      <c r="B225" s="9" t="s">
        <v>3731</v>
      </c>
      <c r="C225" s="9" t="s">
        <v>992</v>
      </c>
      <c r="D225" s="9" t="s">
        <v>439</v>
      </c>
      <c r="E225" s="9"/>
      <c r="F225" s="9"/>
      <c r="G225" s="58">
        <v>3600</v>
      </c>
      <c r="H225" s="85">
        <v>0.133333333333333</v>
      </c>
      <c r="I225" s="9">
        <v>350</v>
      </c>
      <c r="J225" s="9"/>
      <c r="K225" s="9"/>
      <c r="L225" s="9"/>
      <c r="M225" s="9"/>
      <c r="N225" s="9" t="s">
        <v>3732</v>
      </c>
      <c r="O225" s="9" t="s">
        <v>3081</v>
      </c>
      <c r="P225" s="9" t="s">
        <v>3733</v>
      </c>
      <c r="Q225" s="58" t="s">
        <v>3734</v>
      </c>
      <c r="R225" s="58">
        <v>1</v>
      </c>
      <c r="S225" s="58">
        <v>8</v>
      </c>
      <c r="T225" s="9" t="s">
        <v>3735</v>
      </c>
      <c r="U225" s="9" t="s">
        <v>3736</v>
      </c>
      <c r="V225" s="58">
        <v>1</v>
      </c>
      <c r="W225" s="9"/>
      <c r="X225" s="9"/>
      <c r="Y225" s="9"/>
      <c r="Z225" s="9"/>
    </row>
    <row r="226" spans="1:26" ht="15.75" hidden="1" customHeight="1">
      <c r="A226" s="9" t="s">
        <v>1378</v>
      </c>
      <c r="B226" s="9" t="s">
        <v>3731</v>
      </c>
      <c r="C226" s="9" t="s">
        <v>992</v>
      </c>
      <c r="D226" s="9" t="s">
        <v>368</v>
      </c>
      <c r="E226" s="9" t="s">
        <v>3229</v>
      </c>
      <c r="F226" s="58" t="s">
        <v>3087</v>
      </c>
      <c r="G226" s="58">
        <v>4200</v>
      </c>
      <c r="H226" s="85">
        <v>0.4</v>
      </c>
      <c r="I226" s="9">
        <v>350</v>
      </c>
      <c r="J226" s="9"/>
      <c r="K226" s="9"/>
      <c r="L226" s="9"/>
      <c r="M226" s="9"/>
      <c r="N226" s="9" t="s">
        <v>3732</v>
      </c>
      <c r="O226" s="9" t="s">
        <v>3081</v>
      </c>
      <c r="P226" s="9" t="s">
        <v>3737</v>
      </c>
      <c r="Q226" s="58" t="s">
        <v>3122</v>
      </c>
      <c r="R226" s="58">
        <v>4</v>
      </c>
      <c r="S226" s="58">
        <v>7</v>
      </c>
      <c r="T226" s="9" t="s">
        <v>3735</v>
      </c>
      <c r="U226" s="9" t="s">
        <v>3738</v>
      </c>
      <c r="V226" s="58">
        <v>4</v>
      </c>
      <c r="W226" s="9"/>
      <c r="X226" s="9"/>
      <c r="Y226" s="9"/>
      <c r="Z226" s="9"/>
    </row>
    <row r="227" spans="1:26" ht="15.75" hidden="1" customHeight="1">
      <c r="A227" s="9" t="s">
        <v>1382</v>
      </c>
      <c r="B227" s="9" t="s">
        <v>3739</v>
      </c>
      <c r="C227" s="9" t="s">
        <v>994</v>
      </c>
      <c r="D227" s="9" t="s">
        <v>368</v>
      </c>
      <c r="E227" s="9" t="s">
        <v>3092</v>
      </c>
      <c r="F227" s="58" t="s">
        <v>3087</v>
      </c>
      <c r="G227" s="58">
        <v>2800</v>
      </c>
      <c r="H227" s="85">
        <v>0.45</v>
      </c>
      <c r="I227" s="9">
        <v>50</v>
      </c>
      <c r="J227" s="9"/>
      <c r="K227" s="9"/>
      <c r="L227" s="9"/>
      <c r="M227" s="9"/>
      <c r="N227" s="9" t="s">
        <v>3105</v>
      </c>
      <c r="O227" s="9" t="s">
        <v>3081</v>
      </c>
      <c r="P227" s="9" t="s">
        <v>3740</v>
      </c>
      <c r="Q227" s="58" t="s">
        <v>3240</v>
      </c>
      <c r="R227" s="58">
        <v>3</v>
      </c>
      <c r="S227" s="58">
        <v>7</v>
      </c>
      <c r="T227" s="9" t="s">
        <v>3741</v>
      </c>
      <c r="U227" s="9" t="s">
        <v>3742</v>
      </c>
      <c r="V227" s="58">
        <v>3</v>
      </c>
      <c r="W227" s="9"/>
      <c r="X227" s="9"/>
      <c r="Y227" s="9"/>
      <c r="Z227" s="9"/>
    </row>
    <row r="228" spans="1:26" ht="15.75" hidden="1" customHeight="1">
      <c r="A228" s="9" t="s">
        <v>1384</v>
      </c>
      <c r="B228" s="9" t="s">
        <v>3743</v>
      </c>
      <c r="C228" s="9" t="s">
        <v>990</v>
      </c>
      <c r="D228" s="9" t="s">
        <v>439</v>
      </c>
      <c r="E228" s="9"/>
      <c r="F228" s="9"/>
      <c r="G228" s="58">
        <v>3760</v>
      </c>
      <c r="H228" s="85">
        <v>0.12765957446808501</v>
      </c>
      <c r="I228" s="9">
        <v>364</v>
      </c>
      <c r="J228" s="9"/>
      <c r="K228" s="9"/>
      <c r="L228" s="9"/>
      <c r="M228" s="9"/>
      <c r="N228" s="9" t="s">
        <v>3744</v>
      </c>
      <c r="O228" s="9" t="s">
        <v>3081</v>
      </c>
      <c r="P228" s="9" t="s">
        <v>3745</v>
      </c>
      <c r="Q228" s="58" t="s">
        <v>3746</v>
      </c>
      <c r="R228" s="58">
        <v>1</v>
      </c>
      <c r="S228" s="58">
        <v>8</v>
      </c>
      <c r="T228" s="9" t="s">
        <v>3735</v>
      </c>
      <c r="U228" s="9" t="s">
        <v>3747</v>
      </c>
      <c r="V228" s="58">
        <v>1</v>
      </c>
      <c r="W228" s="9"/>
      <c r="X228" s="9"/>
      <c r="Y228" s="9"/>
      <c r="Z228" s="9"/>
    </row>
    <row r="229" spans="1:26" ht="15.75" hidden="1" customHeight="1">
      <c r="A229" s="9" t="s">
        <v>1384</v>
      </c>
      <c r="B229" s="9" t="s">
        <v>3743</v>
      </c>
      <c r="C229" s="9" t="s">
        <v>990</v>
      </c>
      <c r="D229" s="9" t="s">
        <v>368</v>
      </c>
      <c r="E229" s="9" t="s">
        <v>3229</v>
      </c>
      <c r="F229" s="58" t="s">
        <v>3087</v>
      </c>
      <c r="G229" s="58">
        <v>2940</v>
      </c>
      <c r="H229" s="85">
        <v>0.42857142857142799</v>
      </c>
      <c r="I229" s="9">
        <v>364</v>
      </c>
      <c r="J229" s="9"/>
      <c r="K229" s="9"/>
      <c r="L229" s="9"/>
      <c r="M229" s="9"/>
      <c r="N229" s="9" t="s">
        <v>3744</v>
      </c>
      <c r="O229" s="9" t="s">
        <v>3081</v>
      </c>
      <c r="P229" s="9" t="s">
        <v>3748</v>
      </c>
      <c r="Q229" s="58" t="s">
        <v>3749</v>
      </c>
      <c r="R229" s="58">
        <v>3</v>
      </c>
      <c r="S229" s="58">
        <v>7</v>
      </c>
      <c r="T229" s="9" t="s">
        <v>3735</v>
      </c>
      <c r="U229" s="9" t="s">
        <v>3750</v>
      </c>
      <c r="V229" s="58">
        <v>3</v>
      </c>
      <c r="W229" s="9"/>
      <c r="X229" s="9"/>
      <c r="Y229" s="9"/>
      <c r="Z229" s="9"/>
    </row>
    <row r="230" spans="1:26" ht="15.75" hidden="1" customHeight="1">
      <c r="A230" s="9" t="s">
        <v>2305</v>
      </c>
      <c r="B230" s="9" t="s">
        <v>3751</v>
      </c>
      <c r="C230" s="9" t="s">
        <v>2307</v>
      </c>
      <c r="D230" s="9" t="s">
        <v>439</v>
      </c>
      <c r="E230" s="9"/>
      <c r="F230" s="9"/>
      <c r="G230" s="58">
        <v>6880</v>
      </c>
      <c r="H230" s="85">
        <v>6.9767441860465101E-2</v>
      </c>
      <c r="I230" s="9">
        <v>300</v>
      </c>
      <c r="J230" s="9"/>
      <c r="K230" s="9"/>
      <c r="L230" s="9"/>
      <c r="M230" s="9"/>
      <c r="N230" s="9" t="s">
        <v>3752</v>
      </c>
      <c r="O230" s="9" t="s">
        <v>3081</v>
      </c>
      <c r="P230" s="9" t="s">
        <v>3753</v>
      </c>
      <c r="Q230" s="58" t="s">
        <v>3083</v>
      </c>
      <c r="R230" s="58">
        <v>1</v>
      </c>
      <c r="S230" s="58">
        <v>8</v>
      </c>
      <c r="T230" s="9" t="s">
        <v>3754</v>
      </c>
      <c r="U230" s="9" t="s">
        <v>3755</v>
      </c>
      <c r="V230" s="58">
        <v>1</v>
      </c>
      <c r="W230" s="9"/>
      <c r="X230" s="9"/>
      <c r="Y230" s="9"/>
      <c r="Z230" s="9"/>
    </row>
    <row r="231" spans="1:26" ht="15.75" hidden="1" customHeight="1">
      <c r="A231" s="9" t="s">
        <v>2305</v>
      </c>
      <c r="B231" s="9" t="s">
        <v>3751</v>
      </c>
      <c r="C231" s="9" t="s">
        <v>2307</v>
      </c>
      <c r="D231" s="9" t="s">
        <v>368</v>
      </c>
      <c r="E231" s="9" t="s">
        <v>3086</v>
      </c>
      <c r="F231" s="58" t="s">
        <v>3087</v>
      </c>
      <c r="G231" s="58">
        <v>2100</v>
      </c>
      <c r="H231" s="85">
        <v>0.6</v>
      </c>
      <c r="I231" s="9">
        <v>300</v>
      </c>
      <c r="J231" s="9"/>
      <c r="K231" s="9"/>
      <c r="L231" s="9"/>
      <c r="M231" s="9"/>
      <c r="N231" s="9" t="s">
        <v>3752</v>
      </c>
      <c r="O231" s="9" t="s">
        <v>3081</v>
      </c>
      <c r="P231" s="9" t="s">
        <v>3756</v>
      </c>
      <c r="Q231" s="58" t="s">
        <v>3236</v>
      </c>
      <c r="R231" s="58">
        <v>3</v>
      </c>
      <c r="S231" s="58">
        <v>7</v>
      </c>
      <c r="T231" s="9" t="s">
        <v>3754</v>
      </c>
      <c r="U231" s="9" t="s">
        <v>3757</v>
      </c>
      <c r="V231" s="58">
        <v>3</v>
      </c>
      <c r="W231" s="9"/>
      <c r="X231" s="9"/>
      <c r="Y231" s="9"/>
      <c r="Z231" s="9"/>
    </row>
    <row r="232" spans="1:26" ht="15.75" hidden="1" customHeight="1">
      <c r="A232" s="9" t="s">
        <v>300</v>
      </c>
      <c r="B232" s="9" t="s">
        <v>3758</v>
      </c>
      <c r="C232" s="9" t="s">
        <v>301</v>
      </c>
      <c r="D232" s="9" t="s">
        <v>439</v>
      </c>
      <c r="E232" s="9"/>
      <c r="F232" s="9"/>
      <c r="G232" s="58">
        <v>9600</v>
      </c>
      <c r="H232" s="85">
        <v>0.05</v>
      </c>
      <c r="I232" s="9">
        <v>96.6</v>
      </c>
      <c r="J232" s="9"/>
      <c r="K232" s="9"/>
      <c r="L232" s="9"/>
      <c r="M232" s="9"/>
      <c r="N232" s="9" t="s">
        <v>3759</v>
      </c>
      <c r="O232" s="9" t="s">
        <v>3081</v>
      </c>
      <c r="P232" s="9" t="s">
        <v>3073</v>
      </c>
      <c r="Q232" s="58" t="s">
        <v>3074</v>
      </c>
      <c r="R232" s="58">
        <v>1</v>
      </c>
      <c r="S232" s="58">
        <v>8</v>
      </c>
      <c r="T232" s="9" t="s">
        <v>3760</v>
      </c>
      <c r="U232" s="9" t="s">
        <v>3761</v>
      </c>
      <c r="V232" s="58">
        <v>1</v>
      </c>
      <c r="W232" s="9"/>
      <c r="X232" s="9"/>
      <c r="Y232" s="9"/>
      <c r="Z232" s="9"/>
    </row>
    <row r="233" spans="1:26" ht="15.75" hidden="1" customHeight="1">
      <c r="A233" s="9" t="s">
        <v>300</v>
      </c>
      <c r="B233" s="9" t="s">
        <v>3758</v>
      </c>
      <c r="C233" s="9" t="s">
        <v>301</v>
      </c>
      <c r="D233" s="9" t="s">
        <v>368</v>
      </c>
      <c r="E233" s="9" t="s">
        <v>3762</v>
      </c>
      <c r="F233" s="58" t="s">
        <v>3087</v>
      </c>
      <c r="G233" s="58">
        <v>3360</v>
      </c>
      <c r="H233" s="85">
        <v>0.375</v>
      </c>
      <c r="I233" s="9">
        <v>96.6</v>
      </c>
      <c r="J233" s="9"/>
      <c r="K233" s="9"/>
      <c r="L233" s="9"/>
      <c r="M233" s="9"/>
      <c r="N233" s="9" t="s">
        <v>3759</v>
      </c>
      <c r="O233" s="9" t="s">
        <v>3081</v>
      </c>
      <c r="P233" s="9" t="s">
        <v>3763</v>
      </c>
      <c r="Q233" s="58" t="s">
        <v>3764</v>
      </c>
      <c r="R233" s="58">
        <v>3</v>
      </c>
      <c r="S233" s="58">
        <v>7</v>
      </c>
      <c r="T233" s="9" t="s">
        <v>3760</v>
      </c>
      <c r="U233" s="9" t="s">
        <v>3765</v>
      </c>
      <c r="V233" s="58">
        <v>3</v>
      </c>
      <c r="W233" s="9"/>
      <c r="X233" s="9"/>
      <c r="Y233" s="9"/>
      <c r="Z233" s="9"/>
    </row>
    <row r="234" spans="1:26" ht="15.75" hidden="1" customHeight="1">
      <c r="A234" s="9" t="s">
        <v>1391</v>
      </c>
      <c r="B234" s="9" t="s">
        <v>3766</v>
      </c>
      <c r="C234" s="9" t="s">
        <v>566</v>
      </c>
      <c r="D234" s="9" t="s">
        <v>439</v>
      </c>
      <c r="E234" s="9"/>
      <c r="F234" s="9"/>
      <c r="G234" s="58">
        <v>8000</v>
      </c>
      <c r="H234" s="85">
        <v>0.06</v>
      </c>
      <c r="I234" s="9">
        <v>101</v>
      </c>
      <c r="J234" s="9"/>
      <c r="K234" s="9"/>
      <c r="L234" s="9"/>
      <c r="M234" s="9"/>
      <c r="N234" s="9" t="s">
        <v>3325</v>
      </c>
      <c r="O234" s="9" t="s">
        <v>3051</v>
      </c>
      <c r="P234" s="9" t="s">
        <v>3415</v>
      </c>
      <c r="Q234" s="58" t="s">
        <v>3167</v>
      </c>
      <c r="R234" s="58">
        <v>1</v>
      </c>
      <c r="S234" s="58">
        <v>8</v>
      </c>
      <c r="T234" s="9" t="s">
        <v>3767</v>
      </c>
      <c r="U234" s="9" t="s">
        <v>3768</v>
      </c>
      <c r="V234" s="58">
        <v>1</v>
      </c>
      <c r="W234" s="9"/>
      <c r="X234" s="9"/>
      <c r="Y234" s="9"/>
      <c r="Z234" s="9"/>
    </row>
    <row r="235" spans="1:26" ht="15.75" hidden="1" customHeight="1">
      <c r="A235" s="9" t="s">
        <v>1391</v>
      </c>
      <c r="B235" s="9" t="s">
        <v>3766</v>
      </c>
      <c r="C235" s="9" t="s">
        <v>566</v>
      </c>
      <c r="D235" s="9" t="s">
        <v>368</v>
      </c>
      <c r="E235" s="9" t="s">
        <v>3067</v>
      </c>
      <c r="F235" s="58" t="s">
        <v>3057</v>
      </c>
      <c r="G235" s="58">
        <v>4690</v>
      </c>
      <c r="H235" s="85">
        <v>0.35820895522388002</v>
      </c>
      <c r="I235" s="9">
        <v>101</v>
      </c>
      <c r="J235" s="9"/>
      <c r="K235" s="9"/>
      <c r="L235" s="9"/>
      <c r="M235" s="9"/>
      <c r="N235" s="9" t="s">
        <v>3325</v>
      </c>
      <c r="O235" s="9" t="s">
        <v>3051</v>
      </c>
      <c r="P235" s="9" t="s">
        <v>3769</v>
      </c>
      <c r="Q235" s="58" t="s">
        <v>3770</v>
      </c>
      <c r="R235" s="58">
        <v>4</v>
      </c>
      <c r="S235" s="58">
        <v>7</v>
      </c>
      <c r="T235" s="9" t="s">
        <v>3767</v>
      </c>
      <c r="U235" s="9" t="s">
        <v>3771</v>
      </c>
      <c r="V235" s="58">
        <v>4</v>
      </c>
      <c r="W235" s="9"/>
      <c r="X235" s="9"/>
      <c r="Y235" s="9"/>
      <c r="Z235" s="9"/>
    </row>
    <row r="236" spans="1:26" ht="15.75" hidden="1" customHeight="1">
      <c r="A236" s="9" t="s">
        <v>1399</v>
      </c>
      <c r="B236" s="9" t="s">
        <v>3772</v>
      </c>
      <c r="C236" s="9" t="s">
        <v>447</v>
      </c>
      <c r="D236" s="9" t="s">
        <v>439</v>
      </c>
      <c r="E236" s="9"/>
      <c r="F236" s="9"/>
      <c r="G236" s="58">
        <v>8000</v>
      </c>
      <c r="H236" s="85">
        <v>0.06</v>
      </c>
      <c r="I236" s="9">
        <v>101</v>
      </c>
      <c r="J236" s="9"/>
      <c r="K236" s="9"/>
      <c r="L236" s="9"/>
      <c r="M236" s="9"/>
      <c r="N236" s="9" t="s">
        <v>3325</v>
      </c>
      <c r="O236" s="9" t="s">
        <v>3051</v>
      </c>
      <c r="P236" s="9" t="s">
        <v>3415</v>
      </c>
      <c r="Q236" s="58" t="s">
        <v>3167</v>
      </c>
      <c r="R236" s="58">
        <v>1</v>
      </c>
      <c r="S236" s="58">
        <v>8</v>
      </c>
      <c r="T236" s="9" t="s">
        <v>3773</v>
      </c>
      <c r="U236" s="9" t="s">
        <v>3774</v>
      </c>
      <c r="V236" s="58">
        <v>1</v>
      </c>
      <c r="W236" s="9"/>
      <c r="X236" s="9"/>
      <c r="Y236" s="9"/>
      <c r="Z236" s="9"/>
    </row>
    <row r="237" spans="1:26" ht="15.75" hidden="1" customHeight="1">
      <c r="A237" s="9" t="s">
        <v>1399</v>
      </c>
      <c r="B237" s="9" t="s">
        <v>3772</v>
      </c>
      <c r="C237" s="9" t="s">
        <v>447</v>
      </c>
      <c r="D237" s="9" t="s">
        <v>368</v>
      </c>
      <c r="E237" s="9" t="s">
        <v>3067</v>
      </c>
      <c r="F237" s="58" t="s">
        <v>3057</v>
      </c>
      <c r="G237" s="58">
        <v>4550</v>
      </c>
      <c r="H237" s="85">
        <v>0.36923076923076897</v>
      </c>
      <c r="I237" s="9">
        <v>101</v>
      </c>
      <c r="J237" s="9"/>
      <c r="K237" s="9"/>
      <c r="L237" s="9"/>
      <c r="M237" s="9"/>
      <c r="N237" s="9" t="s">
        <v>3325</v>
      </c>
      <c r="O237" s="9" t="s">
        <v>3051</v>
      </c>
      <c r="P237" s="9" t="s">
        <v>3775</v>
      </c>
      <c r="Q237" s="58" t="s">
        <v>3687</v>
      </c>
      <c r="R237" s="58">
        <v>4</v>
      </c>
      <c r="S237" s="58">
        <v>7</v>
      </c>
      <c r="T237" s="9" t="s">
        <v>3773</v>
      </c>
      <c r="U237" s="9" t="s">
        <v>3776</v>
      </c>
      <c r="V237" s="58">
        <v>4</v>
      </c>
      <c r="W237" s="9"/>
      <c r="X237" s="9"/>
      <c r="Y237" s="9"/>
      <c r="Z237" s="9"/>
    </row>
    <row r="238" spans="1:26" ht="15.75" hidden="1" customHeight="1">
      <c r="A238" s="9" t="s">
        <v>1402</v>
      </c>
      <c r="B238" s="9" t="s">
        <v>3777</v>
      </c>
      <c r="C238" s="9" t="s">
        <v>950</v>
      </c>
      <c r="D238" s="9" t="s">
        <v>439</v>
      </c>
      <c r="E238" s="9"/>
      <c r="F238" s="9"/>
      <c r="G238" s="58">
        <v>4800</v>
      </c>
      <c r="H238" s="85">
        <v>0.1</v>
      </c>
      <c r="I238" s="9">
        <v>102</v>
      </c>
      <c r="J238" s="9"/>
      <c r="K238" s="9"/>
      <c r="L238" s="9"/>
      <c r="M238" s="9"/>
      <c r="N238" s="9" t="s">
        <v>3325</v>
      </c>
      <c r="O238" s="9" t="s">
        <v>3051</v>
      </c>
      <c r="P238" s="9" t="s">
        <v>3778</v>
      </c>
      <c r="Q238" s="58" t="s">
        <v>3122</v>
      </c>
      <c r="R238" s="58">
        <v>1</v>
      </c>
      <c r="S238" s="58">
        <v>8</v>
      </c>
      <c r="T238" s="9" t="s">
        <v>3065</v>
      </c>
      <c r="U238" s="9" t="s">
        <v>3779</v>
      </c>
      <c r="V238" s="58">
        <v>1</v>
      </c>
      <c r="W238" s="9"/>
      <c r="X238" s="9"/>
      <c r="Y238" s="9"/>
      <c r="Z238" s="9"/>
    </row>
    <row r="239" spans="1:26" ht="15.75" hidden="1" customHeight="1">
      <c r="A239" s="9" t="s">
        <v>1402</v>
      </c>
      <c r="B239" s="9" t="s">
        <v>3777</v>
      </c>
      <c r="C239" s="9" t="s">
        <v>950</v>
      </c>
      <c r="D239" s="9" t="s">
        <v>368</v>
      </c>
      <c r="E239" s="9" t="s">
        <v>3067</v>
      </c>
      <c r="F239" s="58" t="s">
        <v>3057</v>
      </c>
      <c r="G239" s="58">
        <v>5600</v>
      </c>
      <c r="H239" s="85">
        <v>0.3</v>
      </c>
      <c r="I239" s="9">
        <v>102</v>
      </c>
      <c r="J239" s="9"/>
      <c r="K239" s="9"/>
      <c r="L239" s="9"/>
      <c r="M239" s="9"/>
      <c r="N239" s="9" t="s">
        <v>3325</v>
      </c>
      <c r="O239" s="9" t="s">
        <v>3051</v>
      </c>
      <c r="P239" s="9" t="s">
        <v>3780</v>
      </c>
      <c r="Q239" s="58" t="s">
        <v>3185</v>
      </c>
      <c r="R239" s="58">
        <v>4</v>
      </c>
      <c r="S239" s="58">
        <v>7</v>
      </c>
      <c r="T239" s="9" t="s">
        <v>3065</v>
      </c>
      <c r="U239" s="9" t="s">
        <v>3781</v>
      </c>
      <c r="V239" s="58">
        <v>4</v>
      </c>
      <c r="W239" s="9"/>
      <c r="X239" s="9"/>
      <c r="Y239" s="9"/>
      <c r="Z239" s="9"/>
    </row>
    <row r="240" spans="1:26" ht="15.75" customHeight="1">
      <c r="A240" s="9" t="s">
        <v>1407</v>
      </c>
      <c r="B240" s="9" t="s">
        <v>3782</v>
      </c>
      <c r="C240" s="9" t="s">
        <v>483</v>
      </c>
      <c r="D240" s="9" t="s">
        <v>484</v>
      </c>
      <c r="E240" s="9"/>
      <c r="F240" s="9"/>
      <c r="G240" s="58">
        <v>3600</v>
      </c>
      <c r="H240" s="85">
        <v>0.133333333333333</v>
      </c>
      <c r="I240" s="9">
        <v>52.5</v>
      </c>
      <c r="J240" s="9"/>
      <c r="K240" s="9"/>
      <c r="L240" s="9"/>
      <c r="M240" s="9"/>
      <c r="N240" s="9" t="s">
        <v>3495</v>
      </c>
      <c r="O240" s="9" t="s">
        <v>3051</v>
      </c>
      <c r="P240" s="9" t="s">
        <v>3783</v>
      </c>
      <c r="Q240" s="58" t="s">
        <v>3734</v>
      </c>
      <c r="R240" s="58">
        <v>1</v>
      </c>
      <c r="S240" s="58">
        <v>8</v>
      </c>
      <c r="T240" s="9" t="s">
        <v>3773</v>
      </c>
      <c r="U240" s="9" t="s">
        <v>3784</v>
      </c>
      <c r="V240" s="58">
        <v>1</v>
      </c>
      <c r="W240" s="9"/>
      <c r="X240" s="9"/>
      <c r="Y240" s="9"/>
      <c r="Z240" s="9"/>
    </row>
    <row r="241" spans="1:26" ht="15.75" hidden="1" customHeight="1">
      <c r="A241" s="9" t="s">
        <v>1407</v>
      </c>
      <c r="B241" s="9" t="s">
        <v>3782</v>
      </c>
      <c r="C241" s="9" t="s">
        <v>483</v>
      </c>
      <c r="D241" s="9" t="s">
        <v>439</v>
      </c>
      <c r="E241" s="9"/>
      <c r="F241" s="9"/>
      <c r="G241" s="58">
        <v>5360</v>
      </c>
      <c r="H241" s="85">
        <v>8.9552238805970102E-2</v>
      </c>
      <c r="I241" s="9">
        <v>52.5</v>
      </c>
      <c r="J241" s="9"/>
      <c r="K241" s="9"/>
      <c r="L241" s="9"/>
      <c r="M241" s="9"/>
      <c r="N241" s="9" t="s">
        <v>3495</v>
      </c>
      <c r="O241" s="9" t="s">
        <v>3051</v>
      </c>
      <c r="P241" s="9" t="s">
        <v>3785</v>
      </c>
      <c r="Q241" s="58" t="s">
        <v>3770</v>
      </c>
      <c r="R241" s="58">
        <v>1</v>
      </c>
      <c r="S241" s="58">
        <v>8</v>
      </c>
      <c r="T241" s="9" t="s">
        <v>3773</v>
      </c>
      <c r="U241" s="9" t="s">
        <v>3786</v>
      </c>
      <c r="V241" s="58">
        <v>1</v>
      </c>
      <c r="W241" s="9"/>
      <c r="X241" s="9"/>
      <c r="Y241" s="9"/>
      <c r="Z241" s="9"/>
    </row>
    <row r="242" spans="1:26" ht="15.75" hidden="1" customHeight="1">
      <c r="A242" s="9" t="s">
        <v>1407</v>
      </c>
      <c r="B242" s="9" t="s">
        <v>3782</v>
      </c>
      <c r="C242" s="9" t="s">
        <v>483</v>
      </c>
      <c r="D242" s="9" t="s">
        <v>368</v>
      </c>
      <c r="E242" s="9" t="s">
        <v>3193</v>
      </c>
      <c r="F242" s="58" t="s">
        <v>3787</v>
      </c>
      <c r="G242" s="58">
        <v>6090</v>
      </c>
      <c r="H242" s="85">
        <v>0.27586206896551702</v>
      </c>
      <c r="I242" s="9">
        <v>52.5</v>
      </c>
      <c r="J242" s="9"/>
      <c r="K242" s="9"/>
      <c r="L242" s="9"/>
      <c r="M242" s="9"/>
      <c r="N242" s="9" t="s">
        <v>3495</v>
      </c>
      <c r="O242" s="9" t="s">
        <v>3051</v>
      </c>
      <c r="P242" s="9" t="s">
        <v>3788</v>
      </c>
      <c r="Q242" s="58" t="s">
        <v>3404</v>
      </c>
      <c r="R242" s="58">
        <v>4</v>
      </c>
      <c r="S242" s="58">
        <v>7</v>
      </c>
      <c r="T242" s="9" t="s">
        <v>3773</v>
      </c>
      <c r="U242" s="9" t="s">
        <v>3789</v>
      </c>
      <c r="V242" s="58">
        <v>4</v>
      </c>
      <c r="W242" s="9"/>
      <c r="X242" s="9"/>
      <c r="Y242" s="9"/>
      <c r="Z242" s="9"/>
    </row>
    <row r="243" spans="1:26" ht="15.75" hidden="1" customHeight="1">
      <c r="A243" s="9" t="s">
        <v>241</v>
      </c>
      <c r="B243" s="9" t="s">
        <v>3790</v>
      </c>
      <c r="C243" s="9" t="s">
        <v>242</v>
      </c>
      <c r="D243" s="9" t="s">
        <v>439</v>
      </c>
      <c r="E243" s="9"/>
      <c r="F243" s="9"/>
      <c r="G243" s="58">
        <v>5600</v>
      </c>
      <c r="H243" s="85">
        <v>8.5714285714285701E-2</v>
      </c>
      <c r="I243" s="9">
        <v>44.5</v>
      </c>
      <c r="J243" s="9"/>
      <c r="K243" s="9"/>
      <c r="L243" s="9"/>
      <c r="M243" s="9"/>
      <c r="N243" s="9" t="s">
        <v>3130</v>
      </c>
      <c r="O243" s="9" t="s">
        <v>3051</v>
      </c>
      <c r="P243" s="9" t="s">
        <v>3154</v>
      </c>
      <c r="Q243" s="58" t="s">
        <v>3155</v>
      </c>
      <c r="R243" s="58">
        <v>1</v>
      </c>
      <c r="S243" s="58">
        <v>8</v>
      </c>
      <c r="T243" s="9" t="s">
        <v>3791</v>
      </c>
      <c r="U243" s="9" t="s">
        <v>3792</v>
      </c>
      <c r="V243" s="58">
        <v>1</v>
      </c>
      <c r="W243" s="9"/>
      <c r="X243" s="9"/>
      <c r="Y243" s="9"/>
      <c r="Z243" s="9"/>
    </row>
    <row r="244" spans="1:26" ht="15.75" hidden="1" customHeight="1">
      <c r="A244" s="9" t="s">
        <v>241</v>
      </c>
      <c r="B244" s="9" t="s">
        <v>3790</v>
      </c>
      <c r="C244" s="9" t="s">
        <v>242</v>
      </c>
      <c r="D244" s="9" t="s">
        <v>368</v>
      </c>
      <c r="E244" s="9" t="s">
        <v>3067</v>
      </c>
      <c r="F244" s="58" t="s">
        <v>3057</v>
      </c>
      <c r="G244" s="58">
        <v>4900</v>
      </c>
      <c r="H244" s="85">
        <v>0.34285714285714203</v>
      </c>
      <c r="I244" s="9">
        <v>44.5</v>
      </c>
      <c r="J244" s="9"/>
      <c r="K244" s="9"/>
      <c r="L244" s="9"/>
      <c r="M244" s="9"/>
      <c r="N244" s="9" t="s">
        <v>3130</v>
      </c>
      <c r="O244" s="9" t="s">
        <v>3051</v>
      </c>
      <c r="P244" s="9" t="s">
        <v>3793</v>
      </c>
      <c r="Q244" s="58" t="s">
        <v>3155</v>
      </c>
      <c r="R244" s="58">
        <v>4</v>
      </c>
      <c r="S244" s="58">
        <v>7</v>
      </c>
      <c r="T244" s="9" t="s">
        <v>3791</v>
      </c>
      <c r="U244" s="9" t="s">
        <v>3794</v>
      </c>
      <c r="V244" s="58">
        <v>4</v>
      </c>
      <c r="W244" s="9"/>
      <c r="X244" s="9"/>
      <c r="Y244" s="9"/>
      <c r="Z244" s="9"/>
    </row>
    <row r="245" spans="1:26" ht="15.75" hidden="1" customHeight="1">
      <c r="A245" s="9" t="s">
        <v>1413</v>
      </c>
      <c r="B245" s="9" t="s">
        <v>3795</v>
      </c>
      <c r="C245" s="9" t="s">
        <v>466</v>
      </c>
      <c r="D245" s="9" t="s">
        <v>439</v>
      </c>
      <c r="E245" s="9"/>
      <c r="F245" s="9"/>
      <c r="G245" s="58">
        <v>5360</v>
      </c>
      <c r="H245" s="85">
        <v>8.9552238805970102E-2</v>
      </c>
      <c r="I245" s="9">
        <v>48</v>
      </c>
      <c r="J245" s="9"/>
      <c r="K245" s="9"/>
      <c r="L245" s="9"/>
      <c r="M245" s="9"/>
      <c r="N245" s="9" t="s">
        <v>3446</v>
      </c>
      <c r="O245" s="9" t="s">
        <v>3081</v>
      </c>
      <c r="P245" s="9" t="s">
        <v>3785</v>
      </c>
      <c r="Q245" s="58" t="s">
        <v>3770</v>
      </c>
      <c r="R245" s="58">
        <v>1</v>
      </c>
      <c r="S245" s="58">
        <v>8</v>
      </c>
      <c r="T245" s="9" t="s">
        <v>3767</v>
      </c>
      <c r="U245" s="9" t="s">
        <v>3796</v>
      </c>
      <c r="V245" s="58">
        <v>1</v>
      </c>
      <c r="W245" s="9"/>
      <c r="X245" s="9"/>
      <c r="Y245" s="9"/>
      <c r="Z245" s="9"/>
    </row>
    <row r="246" spans="1:26" ht="15.75" hidden="1" customHeight="1">
      <c r="A246" s="9" t="s">
        <v>1413</v>
      </c>
      <c r="B246" s="9" t="s">
        <v>3795</v>
      </c>
      <c r="C246" s="9" t="s">
        <v>466</v>
      </c>
      <c r="D246" s="9" t="s">
        <v>368</v>
      </c>
      <c r="E246" s="9" t="s">
        <v>3092</v>
      </c>
      <c r="F246" s="58" t="s">
        <v>3087</v>
      </c>
      <c r="G246" s="58">
        <v>5460</v>
      </c>
      <c r="H246" s="85">
        <v>0.30769230769230699</v>
      </c>
      <c r="I246" s="9">
        <v>48</v>
      </c>
      <c r="J246" s="9"/>
      <c r="K246" s="9"/>
      <c r="L246" s="9"/>
      <c r="M246" s="9"/>
      <c r="N246" s="9" t="s">
        <v>3446</v>
      </c>
      <c r="O246" s="9" t="s">
        <v>3081</v>
      </c>
      <c r="P246" s="9" t="s">
        <v>3797</v>
      </c>
      <c r="Q246" s="58" t="s">
        <v>3520</v>
      </c>
      <c r="R246" s="58">
        <v>4</v>
      </c>
      <c r="S246" s="58">
        <v>7</v>
      </c>
      <c r="T246" s="9" t="s">
        <v>3767</v>
      </c>
      <c r="U246" s="9" t="s">
        <v>3798</v>
      </c>
      <c r="V246" s="58">
        <v>4</v>
      </c>
      <c r="W246" s="9"/>
      <c r="X246" s="9"/>
      <c r="Y246" s="9"/>
      <c r="Z246" s="9"/>
    </row>
    <row r="247" spans="1:26" ht="15.75" hidden="1" customHeight="1">
      <c r="A247" s="9" t="s">
        <v>90</v>
      </c>
      <c r="B247" s="9" t="s">
        <v>3799</v>
      </c>
      <c r="C247" s="9" t="s">
        <v>91</v>
      </c>
      <c r="D247" s="9" t="s">
        <v>368</v>
      </c>
      <c r="E247" s="9" t="s">
        <v>3800</v>
      </c>
      <c r="F247" s="58" t="s">
        <v>3801</v>
      </c>
      <c r="G247" s="58">
        <v>7000</v>
      </c>
      <c r="H247" s="85">
        <v>0.18</v>
      </c>
      <c r="I247" s="9">
        <v>28.3</v>
      </c>
      <c r="J247" s="9"/>
      <c r="K247" s="9"/>
      <c r="L247" s="9"/>
      <c r="M247" s="9"/>
      <c r="N247" s="9" t="s">
        <v>3802</v>
      </c>
      <c r="O247" s="9" t="s">
        <v>3351</v>
      </c>
      <c r="P247" s="9" t="s">
        <v>3803</v>
      </c>
      <c r="Q247" s="58" t="s">
        <v>3167</v>
      </c>
      <c r="R247" s="58">
        <v>3</v>
      </c>
      <c r="S247" s="58">
        <v>7</v>
      </c>
      <c r="T247" s="9" t="s">
        <v>3804</v>
      </c>
      <c r="U247" s="9" t="s">
        <v>3805</v>
      </c>
      <c r="V247" s="58">
        <v>3</v>
      </c>
      <c r="W247" s="9"/>
      <c r="X247" s="9"/>
      <c r="Y247" s="9"/>
      <c r="Z247" s="9"/>
    </row>
    <row r="248" spans="1:26" ht="15.75" hidden="1" customHeight="1">
      <c r="A248" s="9" t="s">
        <v>244</v>
      </c>
      <c r="B248" s="9" t="s">
        <v>3806</v>
      </c>
      <c r="C248" s="9" t="s">
        <v>245</v>
      </c>
      <c r="D248" s="9" t="s">
        <v>439</v>
      </c>
      <c r="E248" s="9"/>
      <c r="F248" s="9"/>
      <c r="G248" s="58">
        <v>10400</v>
      </c>
      <c r="H248" s="85">
        <v>4.6153846153846101E-2</v>
      </c>
      <c r="I248" s="9">
        <v>48.5</v>
      </c>
      <c r="J248" s="9"/>
      <c r="K248" s="9"/>
      <c r="L248" s="9"/>
      <c r="M248" s="9"/>
      <c r="N248" s="9" t="s">
        <v>3105</v>
      </c>
      <c r="O248" s="9" t="s">
        <v>3081</v>
      </c>
      <c r="P248" s="9" t="s">
        <v>3063</v>
      </c>
      <c r="Q248" s="58" t="s">
        <v>3064</v>
      </c>
      <c r="R248" s="58">
        <v>1</v>
      </c>
      <c r="S248" s="58">
        <v>8</v>
      </c>
      <c r="T248" s="9" t="s">
        <v>3065</v>
      </c>
      <c r="U248" s="9" t="s">
        <v>3807</v>
      </c>
      <c r="V248" s="58">
        <v>1</v>
      </c>
      <c r="W248" s="9"/>
      <c r="X248" s="9"/>
      <c r="Y248" s="9"/>
      <c r="Z248" s="9"/>
    </row>
    <row r="249" spans="1:26" ht="15.75" hidden="1" customHeight="1">
      <c r="A249" s="9" t="s">
        <v>244</v>
      </c>
      <c r="B249" s="9" t="s">
        <v>3806</v>
      </c>
      <c r="C249" s="9" t="s">
        <v>245</v>
      </c>
      <c r="D249" s="9" t="s">
        <v>368</v>
      </c>
      <c r="E249" s="9" t="s">
        <v>3092</v>
      </c>
      <c r="F249" s="58" t="s">
        <v>3087</v>
      </c>
      <c r="G249" s="58">
        <v>7700</v>
      </c>
      <c r="H249" s="85">
        <v>0.218181818181818</v>
      </c>
      <c r="I249" s="9">
        <v>48.5</v>
      </c>
      <c r="J249" s="9"/>
      <c r="K249" s="9"/>
      <c r="L249" s="9"/>
      <c r="M249" s="9"/>
      <c r="N249" s="9" t="s">
        <v>3105</v>
      </c>
      <c r="O249" s="9" t="s">
        <v>3081</v>
      </c>
      <c r="P249" s="9" t="s">
        <v>3808</v>
      </c>
      <c r="Q249" s="58" t="s">
        <v>3077</v>
      </c>
      <c r="R249" s="58">
        <v>4</v>
      </c>
      <c r="S249" s="58">
        <v>7</v>
      </c>
      <c r="T249" s="9" t="s">
        <v>3065</v>
      </c>
      <c r="U249" s="9" t="s">
        <v>3809</v>
      </c>
      <c r="V249" s="58">
        <v>4</v>
      </c>
      <c r="W249" s="9"/>
      <c r="X249" s="9"/>
      <c r="Y249" s="9"/>
      <c r="Z249" s="9"/>
    </row>
    <row r="250" spans="1:26" ht="15.75" hidden="1" customHeight="1">
      <c r="A250" s="9" t="s">
        <v>1420</v>
      </c>
      <c r="B250" s="9" t="s">
        <v>3810</v>
      </c>
      <c r="C250" s="9" t="s">
        <v>865</v>
      </c>
      <c r="D250" s="9" t="s">
        <v>439</v>
      </c>
      <c r="E250" s="9"/>
      <c r="F250" s="9"/>
      <c r="G250" s="58">
        <v>7200</v>
      </c>
      <c r="H250" s="85">
        <v>6.6666666666666596E-2</v>
      </c>
      <c r="I250" s="9">
        <v>50</v>
      </c>
      <c r="J250" s="9"/>
      <c r="K250" s="9"/>
      <c r="L250" s="9"/>
      <c r="M250" s="9"/>
      <c r="N250" s="9" t="s">
        <v>3811</v>
      </c>
      <c r="O250" s="9" t="s">
        <v>2724</v>
      </c>
      <c r="P250" s="9" t="s">
        <v>3644</v>
      </c>
      <c r="Q250" s="58" t="s">
        <v>3069</v>
      </c>
      <c r="R250" s="58">
        <v>1</v>
      </c>
      <c r="S250" s="58">
        <v>8</v>
      </c>
      <c r="T250" s="9" t="s">
        <v>3812</v>
      </c>
      <c r="U250" s="9" t="s">
        <v>3813</v>
      </c>
      <c r="V250" s="58">
        <v>1</v>
      </c>
      <c r="W250" s="9"/>
      <c r="X250" s="9"/>
      <c r="Y250" s="9"/>
      <c r="Z250" s="9"/>
    </row>
    <row r="251" spans="1:26" ht="15.75" hidden="1" customHeight="1">
      <c r="A251" s="9" t="s">
        <v>1420</v>
      </c>
      <c r="B251" s="9" t="s">
        <v>3810</v>
      </c>
      <c r="C251" s="9" t="s">
        <v>865</v>
      </c>
      <c r="D251" s="9" t="s">
        <v>368</v>
      </c>
      <c r="E251" s="9" t="s">
        <v>3092</v>
      </c>
      <c r="F251" s="58" t="s">
        <v>3087</v>
      </c>
      <c r="G251" s="58">
        <v>2800</v>
      </c>
      <c r="H251" s="85">
        <v>0.6</v>
      </c>
      <c r="I251" s="9">
        <v>50</v>
      </c>
      <c r="J251" s="9"/>
      <c r="K251" s="9"/>
      <c r="L251" s="9"/>
      <c r="M251" s="9"/>
      <c r="N251" s="9" t="s">
        <v>3811</v>
      </c>
      <c r="O251" s="9" t="s">
        <v>2724</v>
      </c>
      <c r="P251" s="9" t="s">
        <v>3814</v>
      </c>
      <c r="Q251" s="58" t="s">
        <v>3240</v>
      </c>
      <c r="R251" s="58">
        <v>4</v>
      </c>
      <c r="S251" s="58">
        <v>7</v>
      </c>
      <c r="T251" s="9" t="s">
        <v>3812</v>
      </c>
      <c r="U251" s="9" t="s">
        <v>3815</v>
      </c>
      <c r="V251" s="58">
        <v>4</v>
      </c>
      <c r="W251" s="9"/>
      <c r="X251" s="9"/>
      <c r="Y251" s="9"/>
      <c r="Z251" s="9"/>
    </row>
    <row r="252" spans="1:26" ht="15.75" hidden="1" customHeight="1">
      <c r="A252" s="9" t="s">
        <v>1424</v>
      </c>
      <c r="B252" s="9" t="s">
        <v>3816</v>
      </c>
      <c r="C252" s="9" t="s">
        <v>722</v>
      </c>
      <c r="D252" s="9" t="s">
        <v>439</v>
      </c>
      <c r="E252" s="9"/>
      <c r="F252" s="9"/>
      <c r="G252" s="58">
        <v>6400</v>
      </c>
      <c r="H252" s="85">
        <v>7.4999999999999997E-2</v>
      </c>
      <c r="I252" s="9">
        <v>15.5</v>
      </c>
      <c r="J252" s="9"/>
      <c r="K252" s="9"/>
      <c r="L252" s="9"/>
      <c r="M252" s="9"/>
      <c r="N252" s="9" t="s">
        <v>3375</v>
      </c>
      <c r="O252" s="9" t="s">
        <v>3051</v>
      </c>
      <c r="P252" s="9" t="s">
        <v>3549</v>
      </c>
      <c r="Q252" s="58" t="s">
        <v>3185</v>
      </c>
      <c r="R252" s="58">
        <v>1</v>
      </c>
      <c r="S252" s="58">
        <v>8</v>
      </c>
      <c r="T252" s="9"/>
      <c r="U252" s="9" t="s">
        <v>3817</v>
      </c>
      <c r="V252" s="58">
        <v>1</v>
      </c>
      <c r="W252" s="9"/>
      <c r="X252" s="9"/>
      <c r="Y252" s="9"/>
      <c r="Z252" s="9"/>
    </row>
    <row r="253" spans="1:26" ht="15.75" hidden="1" customHeight="1">
      <c r="A253" s="9" t="s">
        <v>1424</v>
      </c>
      <c r="B253" s="9" t="s">
        <v>3816</v>
      </c>
      <c r="C253" s="9" t="s">
        <v>722</v>
      </c>
      <c r="D253" s="9" t="s">
        <v>368</v>
      </c>
      <c r="E253" s="9" t="s">
        <v>3563</v>
      </c>
      <c r="F253" s="58" t="s">
        <v>3801</v>
      </c>
      <c r="G253" s="58">
        <v>5600</v>
      </c>
      <c r="H253" s="85">
        <v>0.22500000000000001</v>
      </c>
      <c r="I253" s="9">
        <v>15.5</v>
      </c>
      <c r="J253" s="9"/>
      <c r="K253" s="9"/>
      <c r="L253" s="9"/>
      <c r="M253" s="9"/>
      <c r="N253" s="9" t="s">
        <v>3375</v>
      </c>
      <c r="O253" s="9" t="s">
        <v>3051</v>
      </c>
      <c r="P253" s="9" t="s">
        <v>3818</v>
      </c>
      <c r="Q253" s="58" t="s">
        <v>3185</v>
      </c>
      <c r="R253" s="58">
        <v>3</v>
      </c>
      <c r="S253" s="58">
        <v>7</v>
      </c>
      <c r="T253" s="9"/>
      <c r="U253" s="9" t="s">
        <v>3819</v>
      </c>
      <c r="V253" s="58">
        <v>3</v>
      </c>
      <c r="W253" s="9"/>
      <c r="X253" s="9"/>
      <c r="Y253" s="9"/>
      <c r="Z253" s="9"/>
    </row>
    <row r="254" spans="1:26" ht="15.75" hidden="1" customHeight="1">
      <c r="A254" s="9" t="s">
        <v>1429</v>
      </c>
      <c r="B254" s="9" t="s">
        <v>3820</v>
      </c>
      <c r="C254" s="9" t="s">
        <v>937</v>
      </c>
      <c r="D254" s="9" t="s">
        <v>439</v>
      </c>
      <c r="E254" s="9"/>
      <c r="F254" s="9"/>
      <c r="G254" s="58">
        <v>8000</v>
      </c>
      <c r="H254" s="85">
        <v>0.06</v>
      </c>
      <c r="I254" s="9">
        <v>47.5</v>
      </c>
      <c r="J254" s="9"/>
      <c r="K254" s="9"/>
      <c r="L254" s="9"/>
      <c r="M254" s="9"/>
      <c r="N254" s="9" t="s">
        <v>3105</v>
      </c>
      <c r="O254" s="9" t="s">
        <v>3081</v>
      </c>
      <c r="P254" s="9" t="s">
        <v>3583</v>
      </c>
      <c r="Q254" s="58" t="s">
        <v>3167</v>
      </c>
      <c r="R254" s="58">
        <v>1</v>
      </c>
      <c r="S254" s="58">
        <v>8</v>
      </c>
      <c r="T254" s="9" t="s">
        <v>3821</v>
      </c>
      <c r="U254" s="9" t="s">
        <v>3822</v>
      </c>
      <c r="V254" s="58">
        <v>1</v>
      </c>
      <c r="W254" s="9"/>
      <c r="X254" s="9"/>
      <c r="Y254" s="9"/>
      <c r="Z254" s="9"/>
    </row>
    <row r="255" spans="1:26" ht="15.75" hidden="1" customHeight="1">
      <c r="A255" s="9" t="s">
        <v>1429</v>
      </c>
      <c r="B255" s="9" t="s">
        <v>3820</v>
      </c>
      <c r="C255" s="9" t="s">
        <v>937</v>
      </c>
      <c r="D255" s="9" t="s">
        <v>368</v>
      </c>
      <c r="E255" s="9" t="s">
        <v>3092</v>
      </c>
      <c r="F255" s="58" t="s">
        <v>3087</v>
      </c>
      <c r="G255" s="58">
        <v>4200</v>
      </c>
      <c r="H255" s="85">
        <v>0.3</v>
      </c>
      <c r="I255" s="9">
        <v>47.5</v>
      </c>
      <c r="J255" s="9"/>
      <c r="K255" s="9"/>
      <c r="L255" s="9"/>
      <c r="M255" s="9"/>
      <c r="N255" s="9" t="s">
        <v>3105</v>
      </c>
      <c r="O255" s="9" t="s">
        <v>3081</v>
      </c>
      <c r="P255" s="9" t="s">
        <v>3823</v>
      </c>
      <c r="Q255" s="58" t="s">
        <v>3122</v>
      </c>
      <c r="R255" s="58">
        <v>3</v>
      </c>
      <c r="S255" s="58">
        <v>7</v>
      </c>
      <c r="T255" s="9" t="s">
        <v>3821</v>
      </c>
      <c r="U255" s="9" t="s">
        <v>3824</v>
      </c>
      <c r="V255" s="58">
        <v>3</v>
      </c>
      <c r="W255" s="9"/>
      <c r="X255" s="9"/>
      <c r="Y255" s="9"/>
      <c r="Z255" s="9"/>
    </row>
    <row r="256" spans="1:26" ht="15.75" hidden="1" customHeight="1">
      <c r="A256" s="9" t="s">
        <v>2465</v>
      </c>
      <c r="B256" s="9" t="s">
        <v>3825</v>
      </c>
      <c r="C256" s="9" t="s">
        <v>2467</v>
      </c>
      <c r="D256" s="9" t="s">
        <v>439</v>
      </c>
      <c r="E256" s="9"/>
      <c r="F256" s="9"/>
      <c r="G256" s="58">
        <v>10400</v>
      </c>
      <c r="H256" s="85">
        <v>4.6153846153846101E-2</v>
      </c>
      <c r="I256" s="9" t="s">
        <v>3826</v>
      </c>
      <c r="J256" s="9"/>
      <c r="K256" s="9"/>
      <c r="L256" s="9"/>
      <c r="M256" s="9"/>
      <c r="N256" s="9" t="s">
        <v>3827</v>
      </c>
      <c r="O256" s="9" t="s">
        <v>3051</v>
      </c>
      <c r="P256" s="9" t="s">
        <v>3063</v>
      </c>
      <c r="Q256" s="58" t="s">
        <v>3064</v>
      </c>
      <c r="R256" s="58">
        <v>1</v>
      </c>
      <c r="S256" s="58">
        <v>8</v>
      </c>
      <c r="T256" s="9" t="s">
        <v>3828</v>
      </c>
      <c r="U256" s="9" t="s">
        <v>3829</v>
      </c>
      <c r="V256" s="58">
        <v>1</v>
      </c>
      <c r="W256" s="9"/>
      <c r="X256" s="9"/>
      <c r="Y256" s="9"/>
      <c r="Z256" s="9"/>
    </row>
    <row r="257" spans="1:26" ht="15.75" hidden="1" customHeight="1">
      <c r="A257" s="9" t="s">
        <v>2465</v>
      </c>
      <c r="B257" s="9" t="s">
        <v>3825</v>
      </c>
      <c r="C257" s="9" t="s">
        <v>2467</v>
      </c>
      <c r="D257" s="9" t="s">
        <v>368</v>
      </c>
      <c r="E257" s="9" t="s">
        <v>3283</v>
      </c>
      <c r="F257" s="58" t="s">
        <v>3087</v>
      </c>
      <c r="G257" s="58">
        <v>5600</v>
      </c>
      <c r="H257" s="85">
        <v>0.3</v>
      </c>
      <c r="I257" s="9" t="s">
        <v>3826</v>
      </c>
      <c r="J257" s="9"/>
      <c r="K257" s="9"/>
      <c r="L257" s="9"/>
      <c r="M257" s="9"/>
      <c r="N257" s="9" t="s">
        <v>3827</v>
      </c>
      <c r="O257" s="9" t="s">
        <v>3051</v>
      </c>
      <c r="P257" s="9" t="s">
        <v>3830</v>
      </c>
      <c r="Q257" s="58" t="s">
        <v>3185</v>
      </c>
      <c r="R257" s="58">
        <v>4</v>
      </c>
      <c r="S257" s="58">
        <v>7</v>
      </c>
      <c r="T257" s="9" t="s">
        <v>3828</v>
      </c>
      <c r="U257" s="9" t="s">
        <v>3831</v>
      </c>
      <c r="V257" s="58">
        <v>4</v>
      </c>
      <c r="W257" s="9"/>
      <c r="X257" s="9"/>
      <c r="Y257" s="9"/>
      <c r="Z257" s="9"/>
    </row>
    <row r="258" spans="1:26" ht="15.75" hidden="1" customHeight="1">
      <c r="A258" s="9" t="s">
        <v>2506</v>
      </c>
      <c r="B258" s="9" t="s">
        <v>3832</v>
      </c>
      <c r="C258" s="9" t="s">
        <v>2508</v>
      </c>
      <c r="D258" s="9" t="s">
        <v>439</v>
      </c>
      <c r="E258" s="9"/>
      <c r="F258" s="9"/>
      <c r="G258" s="58">
        <v>6400</v>
      </c>
      <c r="H258" s="85">
        <v>7.4999999999999997E-2</v>
      </c>
      <c r="I258" s="9">
        <v>30.6</v>
      </c>
      <c r="J258" s="9"/>
      <c r="K258" s="9"/>
      <c r="L258" s="9"/>
      <c r="M258" s="9"/>
      <c r="N258" s="9" t="s">
        <v>3833</v>
      </c>
      <c r="O258" s="9" t="s">
        <v>3051</v>
      </c>
      <c r="P258" s="9" t="s">
        <v>3549</v>
      </c>
      <c r="Q258" s="58" t="s">
        <v>3185</v>
      </c>
      <c r="R258" s="58">
        <v>1</v>
      </c>
      <c r="S258" s="58">
        <v>8</v>
      </c>
      <c r="T258" s="9" t="s">
        <v>3834</v>
      </c>
      <c r="U258" s="9" t="s">
        <v>3835</v>
      </c>
      <c r="V258" s="58">
        <v>1</v>
      </c>
      <c r="W258" s="9"/>
      <c r="X258" s="9"/>
      <c r="Y258" s="9"/>
      <c r="Z258" s="9"/>
    </row>
    <row r="259" spans="1:26" ht="15.75" hidden="1" customHeight="1">
      <c r="A259" s="9" t="s">
        <v>2506</v>
      </c>
      <c r="B259" s="9" t="s">
        <v>3832</v>
      </c>
      <c r="C259" s="9" t="s">
        <v>2508</v>
      </c>
      <c r="D259" s="9" t="s">
        <v>368</v>
      </c>
      <c r="E259" s="9" t="s">
        <v>3402</v>
      </c>
      <c r="F259" s="58" t="s">
        <v>3057</v>
      </c>
      <c r="G259" s="58">
        <v>5600</v>
      </c>
      <c r="H259" s="85">
        <v>0.3</v>
      </c>
      <c r="I259" s="9">
        <v>30.6</v>
      </c>
      <c r="J259" s="9"/>
      <c r="K259" s="9"/>
      <c r="L259" s="9"/>
      <c r="M259" s="9"/>
      <c r="N259" s="9" t="s">
        <v>3833</v>
      </c>
      <c r="O259" s="9" t="s">
        <v>3051</v>
      </c>
      <c r="P259" s="9" t="s">
        <v>3836</v>
      </c>
      <c r="Q259" s="58" t="s">
        <v>3185</v>
      </c>
      <c r="R259" s="58">
        <v>4</v>
      </c>
      <c r="S259" s="58">
        <v>7</v>
      </c>
      <c r="T259" s="9" t="s">
        <v>3834</v>
      </c>
      <c r="U259" s="9" t="s">
        <v>3837</v>
      </c>
      <c r="V259" s="58">
        <v>4</v>
      </c>
      <c r="W259" s="9"/>
      <c r="X259" s="9"/>
      <c r="Y259" s="9"/>
      <c r="Z259" s="9"/>
    </row>
    <row r="260" spans="1:26" ht="15.75" hidden="1" customHeight="1">
      <c r="A260" s="9" t="s">
        <v>1432</v>
      </c>
      <c r="B260" s="9" t="s">
        <v>3838</v>
      </c>
      <c r="C260" s="9" t="s">
        <v>573</v>
      </c>
      <c r="D260" s="9" t="s">
        <v>439</v>
      </c>
      <c r="E260" s="9"/>
      <c r="F260" s="9"/>
      <c r="G260" s="58">
        <v>11200</v>
      </c>
      <c r="H260" s="85">
        <v>4.2857142857142802E-2</v>
      </c>
      <c r="I260" s="9">
        <v>47.4</v>
      </c>
      <c r="J260" s="9"/>
      <c r="K260" s="9"/>
      <c r="L260" s="9"/>
      <c r="M260" s="9"/>
      <c r="N260" s="9" t="s">
        <v>3105</v>
      </c>
      <c r="O260" s="9" t="s">
        <v>3081</v>
      </c>
      <c r="P260" s="9" t="s">
        <v>3436</v>
      </c>
      <c r="Q260" s="58" t="s">
        <v>3294</v>
      </c>
      <c r="R260" s="58">
        <v>1</v>
      </c>
      <c r="S260" s="58">
        <v>8</v>
      </c>
      <c r="T260" s="9" t="s">
        <v>3065</v>
      </c>
      <c r="U260" s="9" t="s">
        <v>3839</v>
      </c>
      <c r="V260" s="58">
        <v>1</v>
      </c>
      <c r="W260" s="9"/>
      <c r="X260" s="9"/>
      <c r="Y260" s="9"/>
      <c r="Z260" s="9"/>
    </row>
    <row r="261" spans="1:26" ht="15.75" hidden="1" customHeight="1">
      <c r="A261" s="9" t="s">
        <v>1432</v>
      </c>
      <c r="B261" s="9" t="s">
        <v>3838</v>
      </c>
      <c r="C261" s="9" t="s">
        <v>573</v>
      </c>
      <c r="D261" s="9" t="s">
        <v>368</v>
      </c>
      <c r="E261" s="9" t="s">
        <v>3092</v>
      </c>
      <c r="F261" s="58" t="s">
        <v>3087</v>
      </c>
      <c r="G261" s="58">
        <v>5950</v>
      </c>
      <c r="H261" s="85">
        <v>0.28235294117646997</v>
      </c>
      <c r="I261" s="9">
        <v>47.4</v>
      </c>
      <c r="J261" s="9"/>
      <c r="K261" s="9"/>
      <c r="L261" s="9"/>
      <c r="M261" s="9"/>
      <c r="N261" s="9" t="s">
        <v>3105</v>
      </c>
      <c r="O261" s="9" t="s">
        <v>3081</v>
      </c>
      <c r="P261" s="9" t="s">
        <v>3840</v>
      </c>
      <c r="Q261" s="58" t="s">
        <v>3132</v>
      </c>
      <c r="R261" s="58">
        <v>4</v>
      </c>
      <c r="S261" s="58">
        <v>7</v>
      </c>
      <c r="T261" s="9" t="s">
        <v>3065</v>
      </c>
      <c r="U261" s="9" t="s">
        <v>3841</v>
      </c>
      <c r="V261" s="58">
        <v>4</v>
      </c>
      <c r="W261" s="9"/>
      <c r="X261" s="9"/>
      <c r="Y261" s="9"/>
      <c r="Z261" s="9"/>
    </row>
    <row r="262" spans="1:26" ht="15.75" hidden="1" customHeight="1">
      <c r="A262" s="9" t="s">
        <v>2468</v>
      </c>
      <c r="B262" s="9" t="s">
        <v>3842</v>
      </c>
      <c r="C262" s="9" t="s">
        <v>2470</v>
      </c>
      <c r="D262" s="9" t="s">
        <v>439</v>
      </c>
      <c r="E262" s="9"/>
      <c r="F262" s="9"/>
      <c r="G262" s="58">
        <v>8800</v>
      </c>
      <c r="H262" s="85">
        <v>5.4545454545454501E-2</v>
      </c>
      <c r="I262" s="9">
        <v>48.5</v>
      </c>
      <c r="J262" s="9"/>
      <c r="K262" s="9"/>
      <c r="L262" s="9"/>
      <c r="M262" s="9"/>
      <c r="N262" s="9" t="s">
        <v>3843</v>
      </c>
      <c r="O262" s="9" t="s">
        <v>3081</v>
      </c>
      <c r="P262" s="9" t="s">
        <v>3125</v>
      </c>
      <c r="Q262" s="58" t="s">
        <v>3077</v>
      </c>
      <c r="R262" s="58">
        <v>1</v>
      </c>
      <c r="S262" s="58">
        <v>8</v>
      </c>
      <c r="T262" s="9" t="s">
        <v>3844</v>
      </c>
      <c r="U262" s="9" t="s">
        <v>3845</v>
      </c>
      <c r="V262" s="58">
        <v>1</v>
      </c>
      <c r="W262" s="9"/>
      <c r="X262" s="9"/>
      <c r="Y262" s="9"/>
      <c r="Z262" s="9"/>
    </row>
    <row r="263" spans="1:26" ht="15.75" hidden="1" customHeight="1">
      <c r="A263" s="9" t="s">
        <v>2468</v>
      </c>
      <c r="B263" s="9" t="s">
        <v>3842</v>
      </c>
      <c r="C263" s="9" t="s">
        <v>2470</v>
      </c>
      <c r="D263" s="9" t="s">
        <v>368</v>
      </c>
      <c r="E263" s="9" t="s">
        <v>3067</v>
      </c>
      <c r="F263" s="58" t="s">
        <v>3057</v>
      </c>
      <c r="G263" s="58">
        <v>6300</v>
      </c>
      <c r="H263" s="85">
        <v>0.266666666666666</v>
      </c>
      <c r="I263" s="9">
        <v>48.5</v>
      </c>
      <c r="J263" s="9"/>
      <c r="K263" s="9"/>
      <c r="L263" s="9"/>
      <c r="M263" s="9"/>
      <c r="N263" s="9" t="s">
        <v>3843</v>
      </c>
      <c r="O263" s="9" t="s">
        <v>3081</v>
      </c>
      <c r="P263" s="9" t="s">
        <v>3846</v>
      </c>
      <c r="Q263" s="58" t="s">
        <v>3069</v>
      </c>
      <c r="R263" s="58">
        <v>4</v>
      </c>
      <c r="S263" s="58">
        <v>7</v>
      </c>
      <c r="T263" s="9" t="s">
        <v>3844</v>
      </c>
      <c r="U263" s="9" t="s">
        <v>3847</v>
      </c>
      <c r="V263" s="58">
        <v>4</v>
      </c>
      <c r="W263" s="9"/>
      <c r="X263" s="9"/>
      <c r="Y263" s="9"/>
      <c r="Z263" s="9"/>
    </row>
    <row r="264" spans="1:26" ht="15.75" hidden="1" customHeight="1">
      <c r="A264" s="9" t="s">
        <v>2509</v>
      </c>
      <c r="B264" s="9" t="s">
        <v>3848</v>
      </c>
      <c r="C264" s="9" t="s">
        <v>2511</v>
      </c>
      <c r="D264" s="9" t="s">
        <v>439</v>
      </c>
      <c r="E264" s="9"/>
      <c r="F264" s="9"/>
      <c r="G264" s="58">
        <v>21600</v>
      </c>
      <c r="H264" s="85">
        <v>2.2222222222222199E-2</v>
      </c>
      <c r="I264" s="9">
        <v>25.3</v>
      </c>
      <c r="J264" s="9"/>
      <c r="K264" s="9"/>
      <c r="L264" s="9"/>
      <c r="M264" s="9"/>
      <c r="N264" s="9" t="s">
        <v>3849</v>
      </c>
      <c r="O264" s="9" t="s">
        <v>3351</v>
      </c>
      <c r="P264" s="9" t="s">
        <v>3352</v>
      </c>
      <c r="Q264" s="58" t="s">
        <v>3260</v>
      </c>
      <c r="R264" s="58">
        <v>1</v>
      </c>
      <c r="S264" s="58">
        <v>8</v>
      </c>
      <c r="T264" s="9" t="s">
        <v>3850</v>
      </c>
      <c r="U264" s="9" t="s">
        <v>3851</v>
      </c>
      <c r="V264" s="58">
        <v>1</v>
      </c>
      <c r="W264" s="9"/>
      <c r="X264" s="9"/>
      <c r="Y264" s="9"/>
      <c r="Z264" s="9"/>
    </row>
    <row r="265" spans="1:26" ht="15.75" hidden="1" customHeight="1">
      <c r="A265" s="9" t="s">
        <v>2509</v>
      </c>
      <c r="B265" s="9" t="s">
        <v>3848</v>
      </c>
      <c r="C265" s="9" t="s">
        <v>2511</v>
      </c>
      <c r="D265" s="9" t="s">
        <v>368</v>
      </c>
      <c r="E265" s="9" t="s">
        <v>3715</v>
      </c>
      <c r="F265" s="58" t="s">
        <v>3057</v>
      </c>
      <c r="G265" s="58">
        <v>6650</v>
      </c>
      <c r="H265" s="85">
        <v>0.12631578947368399</v>
      </c>
      <c r="I265" s="9">
        <v>25.3</v>
      </c>
      <c r="J265" s="9"/>
      <c r="K265" s="9"/>
      <c r="L265" s="9"/>
      <c r="M265" s="9"/>
      <c r="N265" s="9" t="s">
        <v>3849</v>
      </c>
      <c r="O265" s="9" t="s">
        <v>3351</v>
      </c>
      <c r="P265" s="9" t="s">
        <v>3852</v>
      </c>
      <c r="Q265" s="58" t="s">
        <v>3409</v>
      </c>
      <c r="R265" s="58">
        <v>2</v>
      </c>
      <c r="S265" s="58">
        <v>7</v>
      </c>
      <c r="T265" s="9" t="s">
        <v>3850</v>
      </c>
      <c r="U265" s="9" t="s">
        <v>3853</v>
      </c>
      <c r="V265" s="58">
        <v>2</v>
      </c>
      <c r="W265" s="9"/>
      <c r="X265" s="9"/>
      <c r="Y265" s="9"/>
      <c r="Z265" s="9"/>
    </row>
    <row r="266" spans="1:26" ht="15.75" hidden="1" customHeight="1">
      <c r="A266" s="9" t="s">
        <v>2509</v>
      </c>
      <c r="B266" s="9" t="s">
        <v>3848</v>
      </c>
      <c r="C266" s="9" t="s">
        <v>2511</v>
      </c>
      <c r="D266" s="9" t="s">
        <v>526</v>
      </c>
      <c r="E266" s="9" t="s">
        <v>3854</v>
      </c>
      <c r="F266" s="9"/>
      <c r="G266" s="58">
        <v>10400</v>
      </c>
      <c r="H266" s="85">
        <v>0.138461538461538</v>
      </c>
      <c r="I266" s="9">
        <v>25.3</v>
      </c>
      <c r="J266" s="9"/>
      <c r="K266" s="9"/>
      <c r="L266" s="9"/>
      <c r="M266" s="9"/>
      <c r="N266" s="9" t="s">
        <v>3849</v>
      </c>
      <c r="O266" s="9" t="s">
        <v>3351</v>
      </c>
      <c r="P266" s="9" t="s">
        <v>3855</v>
      </c>
      <c r="Q266" s="58" t="s">
        <v>3064</v>
      </c>
      <c r="R266" s="58">
        <v>3</v>
      </c>
      <c r="S266" s="58">
        <v>8</v>
      </c>
      <c r="T266" s="9" t="s">
        <v>3850</v>
      </c>
      <c r="U266" s="9" t="s">
        <v>3856</v>
      </c>
      <c r="V266" s="58">
        <v>3</v>
      </c>
      <c r="W266" s="9"/>
      <c r="X266" s="9"/>
      <c r="Y266" s="9"/>
      <c r="Z266" s="9"/>
    </row>
    <row r="267" spans="1:26" ht="15.75" hidden="1" customHeight="1">
      <c r="A267" s="9" t="s">
        <v>35</v>
      </c>
      <c r="B267" s="9" t="s">
        <v>3857</v>
      </c>
      <c r="C267" s="9" t="s">
        <v>36</v>
      </c>
      <c r="D267" s="9" t="s">
        <v>439</v>
      </c>
      <c r="E267" s="9"/>
      <c r="F267" s="9"/>
      <c r="G267" s="58">
        <v>8000</v>
      </c>
      <c r="H267" s="85">
        <v>0.06</v>
      </c>
      <c r="I267" s="9">
        <v>99.1</v>
      </c>
      <c r="J267" s="9"/>
      <c r="K267" s="9"/>
      <c r="L267" s="9"/>
      <c r="M267" s="9"/>
      <c r="N267" s="9" t="s">
        <v>3130</v>
      </c>
      <c r="O267" s="9" t="s">
        <v>3351</v>
      </c>
      <c r="P267" s="9" t="s">
        <v>3415</v>
      </c>
      <c r="Q267" s="58" t="s">
        <v>3167</v>
      </c>
      <c r="R267" s="58">
        <v>1</v>
      </c>
      <c r="S267" s="58">
        <v>8</v>
      </c>
      <c r="T267" s="9" t="s">
        <v>3858</v>
      </c>
      <c r="U267" s="9" t="s">
        <v>3859</v>
      </c>
      <c r="V267" s="58">
        <v>1</v>
      </c>
      <c r="W267" s="9"/>
      <c r="X267" s="9"/>
      <c r="Y267" s="9"/>
      <c r="Z267" s="9"/>
    </row>
    <row r="268" spans="1:26" ht="15.75" hidden="1" customHeight="1">
      <c r="A268" s="9" t="s">
        <v>35</v>
      </c>
      <c r="B268" s="9" t="s">
        <v>3857</v>
      </c>
      <c r="C268" s="9" t="s">
        <v>36</v>
      </c>
      <c r="D268" s="9" t="s">
        <v>368</v>
      </c>
      <c r="E268" s="9" t="s">
        <v>3067</v>
      </c>
      <c r="F268" s="58" t="s">
        <v>3057</v>
      </c>
      <c r="G268" s="58">
        <v>2730</v>
      </c>
      <c r="H268" s="85">
        <v>0.61538461538461497</v>
      </c>
      <c r="I268" s="9">
        <v>99.1</v>
      </c>
      <c r="J268" s="9"/>
      <c r="K268" s="9"/>
      <c r="L268" s="9"/>
      <c r="M268" s="9"/>
      <c r="N268" s="9" t="s">
        <v>3130</v>
      </c>
      <c r="O268" s="9" t="s">
        <v>3351</v>
      </c>
      <c r="P268" s="9" t="s">
        <v>3860</v>
      </c>
      <c r="Q268" s="58" t="s">
        <v>3861</v>
      </c>
      <c r="R268" s="58">
        <v>4</v>
      </c>
      <c r="S268" s="58">
        <v>7</v>
      </c>
      <c r="T268" s="9" t="s">
        <v>3858</v>
      </c>
      <c r="U268" s="9" t="s">
        <v>3862</v>
      </c>
      <c r="V268" s="58">
        <v>4</v>
      </c>
      <c r="W268" s="9"/>
      <c r="X268" s="9"/>
      <c r="Y268" s="9"/>
      <c r="Z268" s="9"/>
    </row>
    <row r="269" spans="1:26" ht="15.75" hidden="1" customHeight="1">
      <c r="A269" s="9" t="s">
        <v>272</v>
      </c>
      <c r="B269" s="9" t="s">
        <v>3863</v>
      </c>
      <c r="C269" s="9" t="s">
        <v>273</v>
      </c>
      <c r="D269" s="9" t="s">
        <v>439</v>
      </c>
      <c r="E269" s="9"/>
      <c r="F269" s="9"/>
      <c r="G269" s="58">
        <v>8000</v>
      </c>
      <c r="H269" s="85">
        <v>0.06</v>
      </c>
      <c r="I269" s="9">
        <v>101.9</v>
      </c>
      <c r="J269" s="9"/>
      <c r="K269" s="9"/>
      <c r="L269" s="9"/>
      <c r="M269" s="9"/>
      <c r="N269" s="9" t="s">
        <v>3130</v>
      </c>
      <c r="O269" s="9" t="s">
        <v>3351</v>
      </c>
      <c r="P269" s="9" t="s">
        <v>3415</v>
      </c>
      <c r="Q269" s="58" t="s">
        <v>3167</v>
      </c>
      <c r="R269" s="58">
        <v>1</v>
      </c>
      <c r="S269" s="58">
        <v>8</v>
      </c>
      <c r="T269" s="9" t="s">
        <v>3858</v>
      </c>
      <c r="U269" s="9" t="s">
        <v>3864</v>
      </c>
      <c r="V269" s="58">
        <v>1</v>
      </c>
      <c r="W269" s="9"/>
      <c r="X269" s="9"/>
      <c r="Y269" s="9"/>
      <c r="Z269" s="9"/>
    </row>
    <row r="270" spans="1:26" ht="15.75" hidden="1" customHeight="1">
      <c r="A270" s="9" t="s">
        <v>272</v>
      </c>
      <c r="B270" s="9" t="s">
        <v>3863</v>
      </c>
      <c r="C270" s="9" t="s">
        <v>273</v>
      </c>
      <c r="D270" s="9" t="s">
        <v>368</v>
      </c>
      <c r="E270" s="9" t="s">
        <v>3067</v>
      </c>
      <c r="F270" s="58" t="s">
        <v>3057</v>
      </c>
      <c r="G270" s="58">
        <v>2730</v>
      </c>
      <c r="H270" s="85">
        <v>0.61538461538461497</v>
      </c>
      <c r="I270" s="9">
        <v>101.9</v>
      </c>
      <c r="J270" s="9"/>
      <c r="K270" s="9"/>
      <c r="L270" s="9"/>
      <c r="M270" s="9"/>
      <c r="N270" s="9" t="s">
        <v>3130</v>
      </c>
      <c r="O270" s="9" t="s">
        <v>3351</v>
      </c>
      <c r="P270" s="9" t="s">
        <v>3860</v>
      </c>
      <c r="Q270" s="58" t="s">
        <v>3861</v>
      </c>
      <c r="R270" s="58">
        <v>4</v>
      </c>
      <c r="S270" s="58">
        <v>7</v>
      </c>
      <c r="T270" s="9" t="s">
        <v>3858</v>
      </c>
      <c r="U270" s="9" t="s">
        <v>3865</v>
      </c>
      <c r="V270" s="58">
        <v>4</v>
      </c>
      <c r="W270" s="9"/>
      <c r="X270" s="9"/>
      <c r="Y270" s="9"/>
      <c r="Z270" s="9"/>
    </row>
    <row r="271" spans="1:26" ht="15.75" hidden="1" customHeight="1">
      <c r="A271" s="9" t="s">
        <v>1438</v>
      </c>
      <c r="B271" s="9" t="s">
        <v>3866</v>
      </c>
      <c r="C271" s="9" t="s">
        <v>1440</v>
      </c>
      <c r="D271" s="9" t="s">
        <v>439</v>
      </c>
      <c r="E271" s="9"/>
      <c r="F271" s="9"/>
      <c r="G271" s="58">
        <v>2240</v>
      </c>
      <c r="H271" s="85">
        <v>0.214285714285714</v>
      </c>
      <c r="I271" s="9" t="s">
        <v>3867</v>
      </c>
      <c r="J271" s="9"/>
      <c r="K271" s="9"/>
      <c r="L271" s="9"/>
      <c r="M271" s="9"/>
      <c r="N271" s="9" t="s">
        <v>3868</v>
      </c>
      <c r="O271" s="9" t="s">
        <v>3051</v>
      </c>
      <c r="P271" s="9" t="s">
        <v>3869</v>
      </c>
      <c r="Q271" s="58" t="s">
        <v>3870</v>
      </c>
      <c r="R271" s="58">
        <v>1</v>
      </c>
      <c r="S271" s="58">
        <v>8</v>
      </c>
      <c r="T271" s="9" t="s">
        <v>3871</v>
      </c>
      <c r="U271" s="9" t="s">
        <v>3872</v>
      </c>
      <c r="V271" s="58">
        <v>1</v>
      </c>
      <c r="W271" s="9"/>
      <c r="X271" s="9"/>
      <c r="Y271" s="9"/>
      <c r="Z271" s="9"/>
    </row>
    <row r="272" spans="1:26" ht="15.75" hidden="1" customHeight="1">
      <c r="A272" s="9" t="s">
        <v>1438</v>
      </c>
      <c r="B272" s="9" t="s">
        <v>3866</v>
      </c>
      <c r="C272" s="9" t="s">
        <v>1440</v>
      </c>
      <c r="D272" s="9" t="s">
        <v>368</v>
      </c>
      <c r="E272" s="9" t="s">
        <v>3067</v>
      </c>
      <c r="F272" s="58" t="s">
        <v>3057</v>
      </c>
      <c r="G272" s="58">
        <v>7000</v>
      </c>
      <c r="H272" s="85">
        <v>0.24</v>
      </c>
      <c r="I272" s="9" t="s">
        <v>3867</v>
      </c>
      <c r="J272" s="9"/>
      <c r="K272" s="9"/>
      <c r="L272" s="9"/>
      <c r="M272" s="9"/>
      <c r="N272" s="9" t="s">
        <v>3868</v>
      </c>
      <c r="O272" s="9" t="s">
        <v>3051</v>
      </c>
      <c r="P272" s="9" t="s">
        <v>3873</v>
      </c>
      <c r="Q272" s="58" t="s">
        <v>3167</v>
      </c>
      <c r="R272" s="58">
        <v>4</v>
      </c>
      <c r="S272" s="58">
        <v>7</v>
      </c>
      <c r="T272" s="9" t="s">
        <v>3871</v>
      </c>
      <c r="U272" s="9" t="s">
        <v>3874</v>
      </c>
      <c r="V272" s="58">
        <v>4</v>
      </c>
      <c r="W272" s="9"/>
      <c r="X272" s="9"/>
      <c r="Y272" s="9"/>
      <c r="Z272" s="9"/>
    </row>
    <row r="273" spans="1:26" ht="15.75" hidden="1" customHeight="1">
      <c r="A273" s="9" t="s">
        <v>1444</v>
      </c>
      <c r="B273" s="9" t="s">
        <v>3875</v>
      </c>
      <c r="C273" s="9" t="s">
        <v>1446</v>
      </c>
      <c r="D273" s="9" t="s">
        <v>439</v>
      </c>
      <c r="E273" s="9"/>
      <c r="F273" s="9"/>
      <c r="G273" s="58">
        <v>3200</v>
      </c>
      <c r="H273" s="85">
        <v>0.15</v>
      </c>
      <c r="I273" s="9" t="s">
        <v>3876</v>
      </c>
      <c r="J273" s="9"/>
      <c r="K273" s="9"/>
      <c r="L273" s="9"/>
      <c r="M273" s="9"/>
      <c r="N273" s="9" t="s">
        <v>3877</v>
      </c>
      <c r="O273" s="9" t="s">
        <v>3339</v>
      </c>
      <c r="P273" s="9" t="s">
        <v>3878</v>
      </c>
      <c r="Q273" s="58" t="s">
        <v>3240</v>
      </c>
      <c r="R273" s="58">
        <v>1</v>
      </c>
      <c r="S273" s="58">
        <v>8</v>
      </c>
      <c r="T273" s="9" t="s">
        <v>3879</v>
      </c>
      <c r="U273" s="9" t="s">
        <v>3880</v>
      </c>
      <c r="V273" s="58">
        <v>1</v>
      </c>
      <c r="W273" s="9"/>
      <c r="X273" s="9"/>
      <c r="Y273" s="9"/>
      <c r="Z273" s="9"/>
    </row>
    <row r="274" spans="1:26" ht="15.75" hidden="1" customHeight="1">
      <c r="A274" s="9" t="s">
        <v>1444</v>
      </c>
      <c r="B274" s="9" t="s">
        <v>3875</v>
      </c>
      <c r="C274" s="9" t="s">
        <v>1446</v>
      </c>
      <c r="D274" s="9" t="s">
        <v>368</v>
      </c>
      <c r="E274" s="9" t="s">
        <v>3067</v>
      </c>
      <c r="F274" s="58" t="s">
        <v>3057</v>
      </c>
      <c r="G274" s="58">
        <v>5600</v>
      </c>
      <c r="H274" s="85">
        <v>0.3</v>
      </c>
      <c r="I274" s="9" t="s">
        <v>3876</v>
      </c>
      <c r="J274" s="9"/>
      <c r="K274" s="9"/>
      <c r="L274" s="9"/>
      <c r="M274" s="9"/>
      <c r="N274" s="9" t="s">
        <v>3877</v>
      </c>
      <c r="O274" s="9" t="s">
        <v>3339</v>
      </c>
      <c r="P274" s="9" t="s">
        <v>3881</v>
      </c>
      <c r="Q274" s="58" t="s">
        <v>3185</v>
      </c>
      <c r="R274" s="58">
        <v>4</v>
      </c>
      <c r="S274" s="58">
        <v>7</v>
      </c>
      <c r="T274" s="9" t="s">
        <v>3879</v>
      </c>
      <c r="U274" s="9" t="s">
        <v>3882</v>
      </c>
      <c r="V274" s="58">
        <v>4</v>
      </c>
      <c r="W274" s="9"/>
      <c r="X274" s="9"/>
      <c r="Y274" s="9"/>
      <c r="Z274" s="9"/>
    </row>
    <row r="275" spans="1:26" ht="15.75" hidden="1" customHeight="1">
      <c r="A275" s="9" t="s">
        <v>2129</v>
      </c>
      <c r="B275" s="9" t="s">
        <v>3883</v>
      </c>
      <c r="C275" s="9" t="s">
        <v>2131</v>
      </c>
      <c r="D275" s="9" t="s">
        <v>439</v>
      </c>
      <c r="E275" s="9"/>
      <c r="F275" s="9"/>
      <c r="G275" s="58">
        <v>3200</v>
      </c>
      <c r="H275" s="85">
        <v>0.15</v>
      </c>
      <c r="I275" s="9" t="s">
        <v>3884</v>
      </c>
      <c r="J275" s="9"/>
      <c r="K275" s="9"/>
      <c r="L275" s="9"/>
      <c r="M275" s="9"/>
      <c r="N275" s="9" t="s">
        <v>3885</v>
      </c>
      <c r="O275" s="9" t="s">
        <v>3081</v>
      </c>
      <c r="P275" s="9" t="s">
        <v>3878</v>
      </c>
      <c r="Q275" s="58" t="s">
        <v>3240</v>
      </c>
      <c r="R275" s="58">
        <v>1</v>
      </c>
      <c r="S275" s="58">
        <v>8</v>
      </c>
      <c r="T275" s="9" t="s">
        <v>3886</v>
      </c>
      <c r="U275" s="9" t="s">
        <v>3887</v>
      </c>
      <c r="V275" s="58">
        <v>1</v>
      </c>
      <c r="W275" s="9"/>
      <c r="X275" s="9"/>
      <c r="Y275" s="9"/>
      <c r="Z275" s="9"/>
    </row>
    <row r="276" spans="1:26" ht="15.75" hidden="1" customHeight="1">
      <c r="A276" s="9" t="s">
        <v>2129</v>
      </c>
      <c r="B276" s="9" t="s">
        <v>3883</v>
      </c>
      <c r="C276" s="9" t="s">
        <v>2131</v>
      </c>
      <c r="D276" s="9" t="s">
        <v>368</v>
      </c>
      <c r="E276" s="9" t="s">
        <v>3092</v>
      </c>
      <c r="F276" s="58" t="s">
        <v>3087</v>
      </c>
      <c r="G276" s="58">
        <v>5600</v>
      </c>
      <c r="H276" s="85">
        <v>0.22500000000000001</v>
      </c>
      <c r="I276" s="9" t="s">
        <v>3884</v>
      </c>
      <c r="J276" s="9"/>
      <c r="K276" s="9"/>
      <c r="L276" s="9"/>
      <c r="M276" s="9"/>
      <c r="N276" s="9" t="s">
        <v>3885</v>
      </c>
      <c r="O276" s="9" t="s">
        <v>3081</v>
      </c>
      <c r="P276" s="9" t="s">
        <v>3888</v>
      </c>
      <c r="Q276" s="58" t="s">
        <v>3185</v>
      </c>
      <c r="R276" s="58">
        <v>3</v>
      </c>
      <c r="S276" s="58">
        <v>7</v>
      </c>
      <c r="T276" s="9" t="s">
        <v>3886</v>
      </c>
      <c r="U276" s="9" t="s">
        <v>3889</v>
      </c>
      <c r="V276" s="58">
        <v>3</v>
      </c>
      <c r="W276" s="9"/>
      <c r="X276" s="9"/>
      <c r="Y276" s="9"/>
      <c r="Z276" s="9"/>
    </row>
    <row r="277" spans="1:26" ht="15.75" hidden="1" customHeight="1">
      <c r="A277" s="9" t="s">
        <v>1449</v>
      </c>
      <c r="B277" s="9" t="s">
        <v>3890</v>
      </c>
      <c r="C277" s="9" t="s">
        <v>976</v>
      </c>
      <c r="D277" s="9" t="s">
        <v>368</v>
      </c>
      <c r="E277" s="9" t="s">
        <v>3067</v>
      </c>
      <c r="F277" s="58" t="s">
        <v>3057</v>
      </c>
      <c r="G277" s="58">
        <v>5600</v>
      </c>
      <c r="H277" s="85">
        <v>0.3</v>
      </c>
      <c r="I277" s="9">
        <v>30.1</v>
      </c>
      <c r="J277" s="9"/>
      <c r="K277" s="9"/>
      <c r="L277" s="9"/>
      <c r="M277" s="9"/>
      <c r="N277" s="9" t="s">
        <v>3891</v>
      </c>
      <c r="O277" s="9" t="s">
        <v>3081</v>
      </c>
      <c r="P277" s="9" t="s">
        <v>3892</v>
      </c>
      <c r="Q277" s="58" t="s">
        <v>3185</v>
      </c>
      <c r="R277" s="58">
        <v>4</v>
      </c>
      <c r="S277" s="58">
        <v>7</v>
      </c>
      <c r="T277" s="9" t="s">
        <v>3893</v>
      </c>
      <c r="U277" s="9" t="s">
        <v>3894</v>
      </c>
      <c r="V277" s="58">
        <v>4</v>
      </c>
      <c r="W277" s="9"/>
      <c r="X277" s="9"/>
      <c r="Y277" s="9"/>
      <c r="Z277" s="9"/>
    </row>
    <row r="278" spans="1:26" ht="15.75" hidden="1" customHeight="1">
      <c r="A278" s="9" t="s">
        <v>1453</v>
      </c>
      <c r="B278" s="9" t="s">
        <v>3895</v>
      </c>
      <c r="C278" s="9" t="s">
        <v>978</v>
      </c>
      <c r="D278" s="9" t="s">
        <v>368</v>
      </c>
      <c r="E278" s="9" t="s">
        <v>3067</v>
      </c>
      <c r="F278" s="58" t="s">
        <v>3057</v>
      </c>
      <c r="G278" s="58">
        <v>5600</v>
      </c>
      <c r="H278" s="85">
        <v>0.3</v>
      </c>
      <c r="I278" s="9">
        <v>31.6</v>
      </c>
      <c r="J278" s="9"/>
      <c r="K278" s="9"/>
      <c r="L278" s="9"/>
      <c r="M278" s="9"/>
      <c r="N278" s="9" t="s">
        <v>3891</v>
      </c>
      <c r="O278" s="9" t="s">
        <v>3081</v>
      </c>
      <c r="P278" s="9" t="s">
        <v>3892</v>
      </c>
      <c r="Q278" s="58" t="s">
        <v>3185</v>
      </c>
      <c r="R278" s="58">
        <v>4</v>
      </c>
      <c r="S278" s="58">
        <v>7</v>
      </c>
      <c r="T278" s="9" t="s">
        <v>3893</v>
      </c>
      <c r="U278" s="9" t="s">
        <v>3896</v>
      </c>
      <c r="V278" s="58">
        <v>4</v>
      </c>
      <c r="W278" s="9"/>
      <c r="X278" s="9"/>
      <c r="Y278" s="9"/>
      <c r="Z278" s="9"/>
    </row>
    <row r="279" spans="1:26" ht="15.75" hidden="1" customHeight="1">
      <c r="A279" s="9" t="s">
        <v>1457</v>
      </c>
      <c r="B279" s="9" t="s">
        <v>3897</v>
      </c>
      <c r="C279" s="9" t="s">
        <v>829</v>
      </c>
      <c r="D279" s="9" t="s">
        <v>439</v>
      </c>
      <c r="E279" s="9"/>
      <c r="F279" s="9"/>
      <c r="G279" s="58">
        <v>8800</v>
      </c>
      <c r="H279" s="85">
        <v>5.4545454545454501E-2</v>
      </c>
      <c r="I279" s="9">
        <v>28.4</v>
      </c>
      <c r="J279" s="9"/>
      <c r="K279" s="9"/>
      <c r="L279" s="9"/>
      <c r="M279" s="9"/>
      <c r="N279" s="9" t="s">
        <v>3898</v>
      </c>
      <c r="O279" s="9" t="s">
        <v>3258</v>
      </c>
      <c r="P279" s="9" t="s">
        <v>3125</v>
      </c>
      <c r="Q279" s="58" t="s">
        <v>3077</v>
      </c>
      <c r="R279" s="58">
        <v>1</v>
      </c>
      <c r="S279" s="58">
        <v>8</v>
      </c>
      <c r="T279" s="9" t="s">
        <v>3899</v>
      </c>
      <c r="U279" s="9" t="s">
        <v>3900</v>
      </c>
      <c r="V279" s="58">
        <v>1</v>
      </c>
      <c r="W279" s="9"/>
      <c r="X279" s="9"/>
      <c r="Y279" s="9"/>
      <c r="Z279" s="9"/>
    </row>
    <row r="280" spans="1:26" ht="15.75" hidden="1" customHeight="1">
      <c r="A280" s="9" t="s">
        <v>1457</v>
      </c>
      <c r="B280" s="9" t="s">
        <v>3897</v>
      </c>
      <c r="C280" s="9" t="s">
        <v>829</v>
      </c>
      <c r="D280" s="9" t="s">
        <v>368</v>
      </c>
      <c r="E280" s="9" t="s">
        <v>3901</v>
      </c>
      <c r="F280" s="58" t="s">
        <v>3057</v>
      </c>
      <c r="G280" s="58">
        <v>7700</v>
      </c>
      <c r="H280" s="85">
        <v>0.163636363636363</v>
      </c>
      <c r="I280" s="9">
        <v>28.4</v>
      </c>
      <c r="J280" s="9"/>
      <c r="K280" s="9"/>
      <c r="L280" s="9"/>
      <c r="M280" s="9"/>
      <c r="N280" s="9" t="s">
        <v>3898</v>
      </c>
      <c r="O280" s="9" t="s">
        <v>3258</v>
      </c>
      <c r="P280" s="9" t="s">
        <v>3902</v>
      </c>
      <c r="Q280" s="58" t="s">
        <v>3077</v>
      </c>
      <c r="R280" s="58">
        <v>3</v>
      </c>
      <c r="S280" s="58">
        <v>7</v>
      </c>
      <c r="T280" s="9" t="s">
        <v>3899</v>
      </c>
      <c r="U280" s="9" t="s">
        <v>3903</v>
      </c>
      <c r="V280" s="58">
        <v>3</v>
      </c>
      <c r="W280" s="9"/>
      <c r="X280" s="9"/>
      <c r="Y280" s="9"/>
      <c r="Z280" s="9"/>
    </row>
    <row r="281" spans="1:26" ht="15.75" hidden="1" customHeight="1">
      <c r="A281" s="9" t="s">
        <v>3904</v>
      </c>
      <c r="B281" s="9" t="s">
        <v>3905</v>
      </c>
      <c r="C281" s="9" t="s">
        <v>3906</v>
      </c>
      <c r="D281" s="9" t="s">
        <v>439</v>
      </c>
      <c r="E281" s="9"/>
      <c r="F281" s="9"/>
      <c r="G281" s="58">
        <v>8000</v>
      </c>
      <c r="H281" s="85">
        <v>0.06</v>
      </c>
      <c r="I281" s="9">
        <v>28.4</v>
      </c>
      <c r="J281" s="9"/>
      <c r="K281" s="9"/>
      <c r="L281" s="9"/>
      <c r="M281" s="9"/>
      <c r="N281" s="9" t="s">
        <v>3599</v>
      </c>
      <c r="O281" s="9" t="s">
        <v>3258</v>
      </c>
      <c r="P281" s="9" t="s">
        <v>3583</v>
      </c>
      <c r="Q281" s="58" t="s">
        <v>3167</v>
      </c>
      <c r="R281" s="58">
        <v>1</v>
      </c>
      <c r="S281" s="58">
        <v>8</v>
      </c>
      <c r="T281" s="9" t="s">
        <v>3907</v>
      </c>
      <c r="U281" s="9" t="s">
        <v>3908</v>
      </c>
      <c r="V281" s="58">
        <v>1</v>
      </c>
      <c r="W281" s="9"/>
      <c r="X281" s="9"/>
      <c r="Y281" s="9"/>
      <c r="Z281" s="9"/>
    </row>
    <row r="282" spans="1:26" ht="15.75" hidden="1" customHeight="1">
      <c r="A282" s="9" t="s">
        <v>3904</v>
      </c>
      <c r="B282" s="9" t="s">
        <v>3905</v>
      </c>
      <c r="C282" s="9" t="s">
        <v>3906</v>
      </c>
      <c r="D282" s="9" t="s">
        <v>368</v>
      </c>
      <c r="E282" s="9" t="s">
        <v>3901</v>
      </c>
      <c r="F282" s="58" t="s">
        <v>3057</v>
      </c>
      <c r="G282" s="58">
        <v>5600</v>
      </c>
      <c r="H282" s="85">
        <v>0.3</v>
      </c>
      <c r="I282" s="9">
        <v>28.4</v>
      </c>
      <c r="J282" s="9"/>
      <c r="K282" s="9"/>
      <c r="L282" s="9"/>
      <c r="M282" s="9"/>
      <c r="N282" s="9" t="s">
        <v>3599</v>
      </c>
      <c r="O282" s="9" t="s">
        <v>3258</v>
      </c>
      <c r="P282" s="9" t="s">
        <v>3909</v>
      </c>
      <c r="Q282" s="58" t="s">
        <v>3185</v>
      </c>
      <c r="R282" s="58">
        <v>4</v>
      </c>
      <c r="S282" s="58">
        <v>7</v>
      </c>
      <c r="T282" s="9" t="s">
        <v>3907</v>
      </c>
      <c r="U282" s="9" t="s">
        <v>3910</v>
      </c>
      <c r="V282" s="58">
        <v>4</v>
      </c>
      <c r="W282" s="9"/>
      <c r="X282" s="9"/>
      <c r="Y282" s="9"/>
      <c r="Z282" s="9"/>
    </row>
    <row r="283" spans="1:26" ht="15.75" hidden="1" customHeight="1">
      <c r="A283" s="9" t="s">
        <v>3911</v>
      </c>
      <c r="B283" s="9" t="s">
        <v>3912</v>
      </c>
      <c r="C283" s="9" t="s">
        <v>3913</v>
      </c>
      <c r="D283" s="9" t="s">
        <v>439</v>
      </c>
      <c r="E283" s="9"/>
      <c r="F283" s="9"/>
      <c r="G283" s="58">
        <v>8000</v>
      </c>
      <c r="H283" s="85">
        <v>0.06</v>
      </c>
      <c r="I283" s="9">
        <v>100</v>
      </c>
      <c r="J283" s="9"/>
      <c r="K283" s="9"/>
      <c r="L283" s="9"/>
      <c r="M283" s="9"/>
      <c r="N283" s="9" t="s">
        <v>3599</v>
      </c>
      <c r="O283" s="9" t="s">
        <v>3258</v>
      </c>
      <c r="P283" s="9" t="s">
        <v>3583</v>
      </c>
      <c r="Q283" s="58" t="s">
        <v>3167</v>
      </c>
      <c r="R283" s="58">
        <v>1</v>
      </c>
      <c r="S283" s="58">
        <v>8</v>
      </c>
      <c r="T283" s="9" t="s">
        <v>3907</v>
      </c>
      <c r="U283" s="9" t="s">
        <v>3914</v>
      </c>
      <c r="V283" s="58">
        <v>1</v>
      </c>
      <c r="W283" s="9"/>
      <c r="X283" s="9"/>
      <c r="Y283" s="9"/>
      <c r="Z283" s="9"/>
    </row>
    <row r="284" spans="1:26" ht="15.75" hidden="1" customHeight="1">
      <c r="A284" s="9" t="s">
        <v>3911</v>
      </c>
      <c r="B284" s="9" t="s">
        <v>3912</v>
      </c>
      <c r="C284" s="9" t="s">
        <v>3913</v>
      </c>
      <c r="D284" s="9" t="s">
        <v>368</v>
      </c>
      <c r="E284" s="9" t="s">
        <v>3901</v>
      </c>
      <c r="F284" s="58" t="s">
        <v>3057</v>
      </c>
      <c r="G284" s="58">
        <v>4200</v>
      </c>
      <c r="H284" s="85">
        <v>0.4</v>
      </c>
      <c r="I284" s="9">
        <v>100</v>
      </c>
      <c r="J284" s="9"/>
      <c r="K284" s="9"/>
      <c r="L284" s="9"/>
      <c r="M284" s="9"/>
      <c r="N284" s="9" t="s">
        <v>3599</v>
      </c>
      <c r="O284" s="9" t="s">
        <v>3258</v>
      </c>
      <c r="P284" s="9" t="s">
        <v>3915</v>
      </c>
      <c r="Q284" s="58" t="s">
        <v>3122</v>
      </c>
      <c r="R284" s="58">
        <v>4</v>
      </c>
      <c r="S284" s="58">
        <v>7</v>
      </c>
      <c r="T284" s="9" t="s">
        <v>3907</v>
      </c>
      <c r="U284" s="9" t="s">
        <v>3916</v>
      </c>
      <c r="V284" s="58">
        <v>4</v>
      </c>
      <c r="W284" s="9"/>
      <c r="X284" s="9"/>
      <c r="Y284" s="9"/>
      <c r="Z284" s="9"/>
    </row>
    <row r="285" spans="1:26" ht="15.75" hidden="1" customHeight="1">
      <c r="A285" s="9" t="s">
        <v>2397</v>
      </c>
      <c r="B285" s="9" t="s">
        <v>3917</v>
      </c>
      <c r="C285" s="9" t="s">
        <v>2399</v>
      </c>
      <c r="D285" s="9" t="s">
        <v>439</v>
      </c>
      <c r="E285" s="9"/>
      <c r="F285" s="9"/>
      <c r="G285" s="58">
        <v>10400</v>
      </c>
      <c r="H285" s="85">
        <v>4.6153846153846101E-2</v>
      </c>
      <c r="I285" s="9">
        <v>31.2</v>
      </c>
      <c r="J285" s="9"/>
      <c r="K285" s="9"/>
      <c r="L285" s="9"/>
      <c r="M285" s="9"/>
      <c r="N285" s="9" t="s">
        <v>3599</v>
      </c>
      <c r="O285" s="9" t="s">
        <v>3258</v>
      </c>
      <c r="P285" s="9" t="s">
        <v>3063</v>
      </c>
      <c r="Q285" s="58" t="s">
        <v>3064</v>
      </c>
      <c r="R285" s="58">
        <v>1</v>
      </c>
      <c r="S285" s="58">
        <v>8</v>
      </c>
      <c r="T285" s="9" t="s">
        <v>3918</v>
      </c>
      <c r="U285" s="9" t="s">
        <v>3919</v>
      </c>
      <c r="V285" s="58">
        <v>1</v>
      </c>
      <c r="W285" s="9"/>
      <c r="X285" s="9"/>
      <c r="Y285" s="9"/>
      <c r="Z285" s="9"/>
    </row>
    <row r="286" spans="1:26" ht="15.75" hidden="1" customHeight="1">
      <c r="A286" s="9" t="s">
        <v>2397</v>
      </c>
      <c r="B286" s="9" t="s">
        <v>3917</v>
      </c>
      <c r="C286" s="9" t="s">
        <v>2399</v>
      </c>
      <c r="D286" s="9" t="s">
        <v>368</v>
      </c>
      <c r="E286" s="9" t="s">
        <v>3920</v>
      </c>
      <c r="F286" s="58" t="s">
        <v>3057</v>
      </c>
      <c r="G286" s="58">
        <v>9800</v>
      </c>
      <c r="H286" s="85">
        <v>0.128571428571428</v>
      </c>
      <c r="I286" s="9">
        <v>31.2</v>
      </c>
      <c r="J286" s="9"/>
      <c r="K286" s="9"/>
      <c r="L286" s="9"/>
      <c r="M286" s="9"/>
      <c r="N286" s="9" t="s">
        <v>3599</v>
      </c>
      <c r="O286" s="9" t="s">
        <v>3258</v>
      </c>
      <c r="P286" s="9" t="s">
        <v>3921</v>
      </c>
      <c r="Q286" s="58" t="s">
        <v>3294</v>
      </c>
      <c r="R286" s="58">
        <v>3</v>
      </c>
      <c r="S286" s="58">
        <v>7</v>
      </c>
      <c r="T286" s="9" t="s">
        <v>3918</v>
      </c>
      <c r="U286" s="9" t="s">
        <v>3922</v>
      </c>
      <c r="V286" s="58">
        <v>3</v>
      </c>
      <c r="W286" s="9"/>
      <c r="X286" s="9"/>
      <c r="Y286" s="9"/>
      <c r="Z286" s="9"/>
    </row>
    <row r="287" spans="1:26" ht="15.75" hidden="1" customHeight="1">
      <c r="A287" s="9" t="s">
        <v>53</v>
      </c>
      <c r="B287" s="9" t="s">
        <v>3923</v>
      </c>
      <c r="C287" s="9" t="s">
        <v>54</v>
      </c>
      <c r="D287" s="9" t="s">
        <v>368</v>
      </c>
      <c r="E287" s="9" t="s">
        <v>3067</v>
      </c>
      <c r="F287" s="58" t="s">
        <v>3057</v>
      </c>
      <c r="G287" s="58">
        <v>5600</v>
      </c>
      <c r="H287" s="85">
        <v>0.22500000000000001</v>
      </c>
      <c r="I287" s="9">
        <v>31.45</v>
      </c>
      <c r="J287" s="9"/>
      <c r="K287" s="9"/>
      <c r="L287" s="9"/>
      <c r="M287" s="9"/>
      <c r="N287" s="9" t="s">
        <v>3924</v>
      </c>
      <c r="O287" s="9" t="s">
        <v>3081</v>
      </c>
      <c r="P287" s="9" t="s">
        <v>3925</v>
      </c>
      <c r="Q287" s="58" t="s">
        <v>3185</v>
      </c>
      <c r="R287" s="58">
        <v>3</v>
      </c>
      <c r="S287" s="58">
        <v>7</v>
      </c>
      <c r="T287" s="9" t="s">
        <v>3926</v>
      </c>
      <c r="U287" s="9" t="s">
        <v>3927</v>
      </c>
      <c r="V287" s="58">
        <v>3</v>
      </c>
      <c r="W287" s="9"/>
      <c r="X287" s="9"/>
      <c r="Y287" s="9"/>
      <c r="Z287" s="9"/>
    </row>
    <row r="288" spans="1:26" ht="15.75" hidden="1" customHeight="1">
      <c r="A288" s="9" t="s">
        <v>1464</v>
      </c>
      <c r="B288" s="9" t="s">
        <v>3928</v>
      </c>
      <c r="C288" s="9" t="s">
        <v>720</v>
      </c>
      <c r="D288" s="9" t="s">
        <v>439</v>
      </c>
      <c r="E288" s="9"/>
      <c r="F288" s="9"/>
      <c r="G288" s="58">
        <v>4560</v>
      </c>
      <c r="H288" s="85">
        <v>0.105263157894736</v>
      </c>
      <c r="I288" s="9">
        <v>500</v>
      </c>
      <c r="J288" s="9"/>
      <c r="K288" s="9"/>
      <c r="L288" s="9"/>
      <c r="M288" s="9"/>
      <c r="N288" s="9" t="s">
        <v>3206</v>
      </c>
      <c r="O288" s="9" t="s">
        <v>3258</v>
      </c>
      <c r="P288" s="9" t="s">
        <v>3929</v>
      </c>
      <c r="Q288" s="58" t="s">
        <v>3930</v>
      </c>
      <c r="R288" s="58">
        <v>1</v>
      </c>
      <c r="S288" s="58">
        <v>8</v>
      </c>
      <c r="T288" s="9" t="s">
        <v>3931</v>
      </c>
      <c r="U288" s="9" t="s">
        <v>3932</v>
      </c>
      <c r="V288" s="58">
        <v>1</v>
      </c>
      <c r="W288" s="9"/>
      <c r="X288" s="9"/>
      <c r="Y288" s="9"/>
      <c r="Z288" s="9"/>
    </row>
    <row r="289" spans="1:26" ht="15.75" hidden="1" customHeight="1">
      <c r="A289" s="9" t="s">
        <v>1464</v>
      </c>
      <c r="B289" s="9" t="s">
        <v>3928</v>
      </c>
      <c r="C289" s="9" t="s">
        <v>720</v>
      </c>
      <c r="D289" s="9" t="s">
        <v>368</v>
      </c>
      <c r="E289" s="9" t="s">
        <v>3067</v>
      </c>
      <c r="F289" s="58" t="s">
        <v>3057</v>
      </c>
      <c r="G289" s="58">
        <v>2800</v>
      </c>
      <c r="H289" s="85">
        <v>0.75</v>
      </c>
      <c r="I289" s="9">
        <v>500</v>
      </c>
      <c r="J289" s="9"/>
      <c r="K289" s="9"/>
      <c r="L289" s="9"/>
      <c r="M289" s="9"/>
      <c r="N289" s="9" t="s">
        <v>3206</v>
      </c>
      <c r="O289" s="9" t="s">
        <v>3258</v>
      </c>
      <c r="P289" s="9" t="s">
        <v>3933</v>
      </c>
      <c r="Q289" s="58" t="s">
        <v>3240</v>
      </c>
      <c r="R289" s="58">
        <v>5</v>
      </c>
      <c r="S289" s="58">
        <v>7</v>
      </c>
      <c r="T289" s="9" t="s">
        <v>3931</v>
      </c>
      <c r="U289" s="9" t="s">
        <v>3934</v>
      </c>
      <c r="V289" s="58">
        <v>5</v>
      </c>
      <c r="W289" s="9"/>
      <c r="X289" s="9"/>
      <c r="Y289" s="9"/>
      <c r="Z289" s="9"/>
    </row>
    <row r="290" spans="1:26" ht="15.75" hidden="1" customHeight="1">
      <c r="A290" s="9" t="s">
        <v>3935</v>
      </c>
      <c r="B290" s="9" t="s">
        <v>3936</v>
      </c>
      <c r="C290" s="9" t="s">
        <v>3937</v>
      </c>
      <c r="D290" s="9" t="s">
        <v>439</v>
      </c>
      <c r="E290" s="9"/>
      <c r="F290" s="9"/>
      <c r="G290" s="58">
        <v>8000</v>
      </c>
      <c r="H290" s="85">
        <v>0.06</v>
      </c>
      <c r="I290" s="9">
        <v>30</v>
      </c>
      <c r="J290" s="9"/>
      <c r="K290" s="9"/>
      <c r="L290" s="9"/>
      <c r="M290" s="9"/>
      <c r="N290" s="9" t="s">
        <v>3423</v>
      </c>
      <c r="O290" s="9" t="s">
        <v>3051</v>
      </c>
      <c r="P290" s="9" t="s">
        <v>3415</v>
      </c>
      <c r="Q290" s="58" t="s">
        <v>3167</v>
      </c>
      <c r="R290" s="58">
        <v>1</v>
      </c>
      <c r="S290" s="58">
        <v>8</v>
      </c>
      <c r="T290" s="9" t="s">
        <v>3938</v>
      </c>
      <c r="U290" s="9" t="s">
        <v>3939</v>
      </c>
      <c r="V290" s="58">
        <v>1</v>
      </c>
      <c r="W290" s="9"/>
      <c r="X290" s="9"/>
      <c r="Y290" s="9"/>
      <c r="Z290" s="9"/>
    </row>
    <row r="291" spans="1:26" ht="15.75" hidden="1" customHeight="1">
      <c r="A291" s="9" t="s">
        <v>3935</v>
      </c>
      <c r="B291" s="9" t="s">
        <v>3936</v>
      </c>
      <c r="C291" s="9" t="s">
        <v>3937</v>
      </c>
      <c r="D291" s="9" t="s">
        <v>368</v>
      </c>
      <c r="E291" s="9" t="s">
        <v>3183</v>
      </c>
      <c r="F291" s="58" t="s">
        <v>3087</v>
      </c>
      <c r="G291" s="58">
        <v>8400</v>
      </c>
      <c r="H291" s="85">
        <v>0.2</v>
      </c>
      <c r="I291" s="9">
        <v>30</v>
      </c>
      <c r="J291" s="9"/>
      <c r="K291" s="9"/>
      <c r="L291" s="9"/>
      <c r="M291" s="9"/>
      <c r="N291" s="9" t="s">
        <v>3423</v>
      </c>
      <c r="O291" s="9" t="s">
        <v>3051</v>
      </c>
      <c r="P291" s="9" t="s">
        <v>3940</v>
      </c>
      <c r="Q291" s="58" t="s">
        <v>3074</v>
      </c>
      <c r="R291" s="58">
        <v>4</v>
      </c>
      <c r="S291" s="58">
        <v>7</v>
      </c>
      <c r="T291" s="9" t="s">
        <v>3938</v>
      </c>
      <c r="U291" s="9" t="s">
        <v>3941</v>
      </c>
      <c r="V291" s="58">
        <v>4</v>
      </c>
      <c r="W291" s="9"/>
      <c r="X291" s="9"/>
      <c r="Y291" s="9"/>
      <c r="Z291" s="9"/>
    </row>
    <row r="292" spans="1:26" ht="15.75" hidden="1" customHeight="1">
      <c r="A292" s="9" t="s">
        <v>1468</v>
      </c>
      <c r="B292" s="9" t="s">
        <v>3942</v>
      </c>
      <c r="C292" s="9" t="s">
        <v>697</v>
      </c>
      <c r="D292" s="9" t="s">
        <v>439</v>
      </c>
      <c r="E292" s="9"/>
      <c r="F292" s="9"/>
      <c r="G292" s="58">
        <v>4800</v>
      </c>
      <c r="H292" s="85">
        <v>0.1</v>
      </c>
      <c r="I292" s="9">
        <v>150</v>
      </c>
      <c r="J292" s="9"/>
      <c r="K292" s="9"/>
      <c r="L292" s="9"/>
      <c r="M292" s="9"/>
      <c r="N292" s="9" t="s">
        <v>3189</v>
      </c>
      <c r="O292" s="9" t="s">
        <v>3051</v>
      </c>
      <c r="P292" s="9" t="s">
        <v>3778</v>
      </c>
      <c r="Q292" s="58" t="s">
        <v>3122</v>
      </c>
      <c r="R292" s="58">
        <v>1</v>
      </c>
      <c r="S292" s="58">
        <v>8</v>
      </c>
      <c r="T292" s="9" t="s">
        <v>3943</v>
      </c>
      <c r="U292" s="9" t="s">
        <v>3944</v>
      </c>
      <c r="V292" s="58">
        <v>1</v>
      </c>
      <c r="W292" s="9"/>
      <c r="X292" s="9"/>
      <c r="Y292" s="9"/>
      <c r="Z292" s="9"/>
    </row>
    <row r="293" spans="1:26" ht="15.75" hidden="1" customHeight="1">
      <c r="A293" s="9" t="s">
        <v>1468</v>
      </c>
      <c r="B293" s="9" t="s">
        <v>3942</v>
      </c>
      <c r="C293" s="9" t="s">
        <v>697</v>
      </c>
      <c r="D293" s="9" t="s">
        <v>368</v>
      </c>
      <c r="E293" s="9" t="s">
        <v>3067</v>
      </c>
      <c r="F293" s="58" t="s">
        <v>3057</v>
      </c>
      <c r="G293" s="58">
        <v>4550</v>
      </c>
      <c r="H293" s="85">
        <v>0.27692307692307599</v>
      </c>
      <c r="I293" s="9">
        <v>150</v>
      </c>
      <c r="J293" s="9"/>
      <c r="K293" s="9"/>
      <c r="L293" s="9"/>
      <c r="M293" s="9"/>
      <c r="N293" s="9" t="s">
        <v>3189</v>
      </c>
      <c r="O293" s="9" t="s">
        <v>3051</v>
      </c>
      <c r="P293" s="9" t="s">
        <v>3945</v>
      </c>
      <c r="Q293" s="58" t="s">
        <v>3687</v>
      </c>
      <c r="R293" s="58">
        <v>3</v>
      </c>
      <c r="S293" s="58">
        <v>7</v>
      </c>
      <c r="T293" s="9" t="s">
        <v>3943</v>
      </c>
      <c r="U293" s="9" t="s">
        <v>3946</v>
      </c>
      <c r="V293" s="58">
        <v>3</v>
      </c>
      <c r="W293" s="9"/>
      <c r="X293" s="9"/>
      <c r="Y293" s="9"/>
      <c r="Z293" s="9"/>
    </row>
    <row r="294" spans="1:26" ht="15.75" hidden="1" customHeight="1">
      <c r="A294" s="9" t="s">
        <v>3947</v>
      </c>
      <c r="B294" s="9" t="s">
        <v>3948</v>
      </c>
      <c r="C294" s="9" t="s">
        <v>3949</v>
      </c>
      <c r="D294" s="9" t="s">
        <v>439</v>
      </c>
      <c r="E294" s="9"/>
      <c r="F294" s="9"/>
      <c r="G294" s="58">
        <v>12000</v>
      </c>
      <c r="H294" s="85">
        <v>0.04</v>
      </c>
      <c r="I294" s="9">
        <v>7.1</v>
      </c>
      <c r="J294" s="9"/>
      <c r="K294" s="9"/>
      <c r="L294" s="9"/>
      <c r="M294" s="9"/>
      <c r="N294" s="9" t="s">
        <v>3375</v>
      </c>
      <c r="O294" s="9" t="s">
        <v>3051</v>
      </c>
      <c r="P294" s="9" t="s">
        <v>3148</v>
      </c>
      <c r="Q294" s="58" t="s">
        <v>3143</v>
      </c>
      <c r="R294" s="58">
        <v>1</v>
      </c>
      <c r="S294" s="58">
        <v>8</v>
      </c>
      <c r="T294" s="9" t="s">
        <v>3065</v>
      </c>
      <c r="U294" s="9" t="s">
        <v>3950</v>
      </c>
      <c r="V294" s="58">
        <v>1</v>
      </c>
      <c r="W294" s="9"/>
      <c r="X294" s="9"/>
      <c r="Y294" s="9"/>
      <c r="Z294" s="9"/>
    </row>
    <row r="295" spans="1:26" ht="15.75" hidden="1" customHeight="1">
      <c r="A295" s="9" t="s">
        <v>3947</v>
      </c>
      <c r="B295" s="9" t="s">
        <v>3948</v>
      </c>
      <c r="C295" s="9" t="s">
        <v>3949</v>
      </c>
      <c r="D295" s="9" t="s">
        <v>368</v>
      </c>
      <c r="E295" s="9" t="s">
        <v>3183</v>
      </c>
      <c r="F295" s="58" t="s">
        <v>3087</v>
      </c>
      <c r="G295" s="58">
        <v>8400</v>
      </c>
      <c r="H295" s="85">
        <v>0.2</v>
      </c>
      <c r="I295" s="9">
        <v>7.1</v>
      </c>
      <c r="J295" s="9"/>
      <c r="K295" s="9"/>
      <c r="L295" s="9"/>
      <c r="M295" s="9"/>
      <c r="N295" s="9" t="s">
        <v>3375</v>
      </c>
      <c r="O295" s="9" t="s">
        <v>3051</v>
      </c>
      <c r="P295" s="9" t="s">
        <v>3951</v>
      </c>
      <c r="Q295" s="58" t="s">
        <v>3074</v>
      </c>
      <c r="R295" s="58">
        <v>4</v>
      </c>
      <c r="S295" s="58">
        <v>7</v>
      </c>
      <c r="T295" s="9" t="s">
        <v>3065</v>
      </c>
      <c r="U295" s="9" t="s">
        <v>3952</v>
      </c>
      <c r="V295" s="58">
        <v>4</v>
      </c>
      <c r="W295" s="9"/>
      <c r="X295" s="9"/>
      <c r="Y295" s="9"/>
      <c r="Z295" s="9"/>
    </row>
    <row r="296" spans="1:26" ht="15.75" hidden="1" customHeight="1">
      <c r="A296" s="9" t="s">
        <v>1471</v>
      </c>
      <c r="B296" s="9" t="s">
        <v>3953</v>
      </c>
      <c r="C296" s="9" t="s">
        <v>699</v>
      </c>
      <c r="D296" s="9" t="s">
        <v>439</v>
      </c>
      <c r="E296" s="9"/>
      <c r="F296" s="9"/>
      <c r="G296" s="58">
        <v>6960</v>
      </c>
      <c r="H296" s="85">
        <v>6.8965517241379296E-2</v>
      </c>
      <c r="I296" s="9">
        <v>30</v>
      </c>
      <c r="J296" s="9"/>
      <c r="K296" s="9"/>
      <c r="L296" s="9"/>
      <c r="M296" s="9"/>
      <c r="N296" s="9" t="s">
        <v>3130</v>
      </c>
      <c r="O296" s="9" t="s">
        <v>3339</v>
      </c>
      <c r="P296" s="9" t="s">
        <v>3954</v>
      </c>
      <c r="Q296" s="58" t="s">
        <v>3404</v>
      </c>
      <c r="R296" s="58">
        <v>1</v>
      </c>
      <c r="S296" s="58">
        <v>8</v>
      </c>
      <c r="T296" s="9" t="s">
        <v>3943</v>
      </c>
      <c r="U296" s="9" t="s">
        <v>3955</v>
      </c>
      <c r="V296" s="58">
        <v>1</v>
      </c>
      <c r="W296" s="9"/>
      <c r="X296" s="9"/>
      <c r="Y296" s="9"/>
      <c r="Z296" s="9"/>
    </row>
    <row r="297" spans="1:26" ht="15.75" hidden="1" customHeight="1">
      <c r="A297" s="9" t="s">
        <v>1471</v>
      </c>
      <c r="B297" s="9" t="s">
        <v>3953</v>
      </c>
      <c r="C297" s="9" t="s">
        <v>699</v>
      </c>
      <c r="D297" s="9" t="s">
        <v>368</v>
      </c>
      <c r="E297" s="9" t="s">
        <v>3183</v>
      </c>
      <c r="F297" s="58" t="s">
        <v>3087</v>
      </c>
      <c r="G297" s="58">
        <v>8400</v>
      </c>
      <c r="H297" s="85">
        <v>0.2</v>
      </c>
      <c r="I297" s="9">
        <v>30</v>
      </c>
      <c r="J297" s="9"/>
      <c r="K297" s="9"/>
      <c r="L297" s="9"/>
      <c r="M297" s="9"/>
      <c r="N297" s="9" t="s">
        <v>3130</v>
      </c>
      <c r="O297" s="9" t="s">
        <v>3339</v>
      </c>
      <c r="P297" s="9" t="s">
        <v>3956</v>
      </c>
      <c r="Q297" s="58" t="s">
        <v>3074</v>
      </c>
      <c r="R297" s="58">
        <v>4</v>
      </c>
      <c r="S297" s="58">
        <v>7</v>
      </c>
      <c r="T297" s="9" t="s">
        <v>3943</v>
      </c>
      <c r="U297" s="9" t="s">
        <v>3957</v>
      </c>
      <c r="V297" s="58">
        <v>4</v>
      </c>
      <c r="W297" s="9"/>
      <c r="X297" s="9"/>
      <c r="Y297" s="9"/>
      <c r="Z297" s="9"/>
    </row>
    <row r="298" spans="1:26" ht="15.75" hidden="1" customHeight="1">
      <c r="A298" s="9" t="s">
        <v>3958</v>
      </c>
      <c r="B298" s="9" t="s">
        <v>3959</v>
      </c>
      <c r="C298" s="9" t="s">
        <v>3960</v>
      </c>
      <c r="D298" s="9" t="s">
        <v>439</v>
      </c>
      <c r="E298" s="9"/>
      <c r="F298" s="9"/>
      <c r="G298" s="58">
        <v>12000</v>
      </c>
      <c r="H298" s="85">
        <v>0.04</v>
      </c>
      <c r="I298" s="9">
        <v>13</v>
      </c>
      <c r="J298" s="9"/>
      <c r="K298" s="9"/>
      <c r="L298" s="9"/>
      <c r="M298" s="9"/>
      <c r="N298" s="9" t="s">
        <v>3105</v>
      </c>
      <c r="O298" s="9" t="s">
        <v>3081</v>
      </c>
      <c r="P298" s="9" t="s">
        <v>3148</v>
      </c>
      <c r="Q298" s="58" t="s">
        <v>3143</v>
      </c>
      <c r="R298" s="58">
        <v>1</v>
      </c>
      <c r="S298" s="58">
        <v>8</v>
      </c>
      <c r="T298" s="9" t="s">
        <v>3961</v>
      </c>
      <c r="U298" s="9" t="s">
        <v>3962</v>
      </c>
      <c r="V298" s="58">
        <v>1</v>
      </c>
      <c r="W298" s="9"/>
      <c r="X298" s="9"/>
      <c r="Y298" s="9"/>
      <c r="Z298" s="9"/>
    </row>
    <row r="299" spans="1:26" ht="15.75" hidden="1" customHeight="1">
      <c r="A299" s="9" t="s">
        <v>3958</v>
      </c>
      <c r="B299" s="9" t="s">
        <v>3959</v>
      </c>
      <c r="C299" s="9" t="s">
        <v>3960</v>
      </c>
      <c r="D299" s="9" t="s">
        <v>368</v>
      </c>
      <c r="E299" s="9" t="s">
        <v>3183</v>
      </c>
      <c r="F299" s="58" t="s">
        <v>3087</v>
      </c>
      <c r="G299" s="58">
        <v>7000</v>
      </c>
      <c r="H299" s="85">
        <v>0.24</v>
      </c>
      <c r="I299" s="9">
        <v>13</v>
      </c>
      <c r="J299" s="9"/>
      <c r="K299" s="9"/>
      <c r="L299" s="9"/>
      <c r="M299" s="9"/>
      <c r="N299" s="9" t="s">
        <v>3105</v>
      </c>
      <c r="O299" s="9" t="s">
        <v>3081</v>
      </c>
      <c r="P299" s="9" t="s">
        <v>3963</v>
      </c>
      <c r="Q299" s="58" t="s">
        <v>3167</v>
      </c>
      <c r="R299" s="58">
        <v>4</v>
      </c>
      <c r="S299" s="58">
        <v>7</v>
      </c>
      <c r="T299" s="9" t="s">
        <v>3961</v>
      </c>
      <c r="U299" s="9" t="s">
        <v>3964</v>
      </c>
      <c r="V299" s="58">
        <v>4</v>
      </c>
      <c r="W299" s="9"/>
      <c r="X299" s="9"/>
      <c r="Y299" s="9"/>
      <c r="Z299" s="9"/>
    </row>
    <row r="300" spans="1:26" ht="15.75" customHeight="1">
      <c r="A300" s="9" t="s">
        <v>1475</v>
      </c>
      <c r="B300" s="9" t="s">
        <v>3965</v>
      </c>
      <c r="C300" s="9" t="s">
        <v>693</v>
      </c>
      <c r="D300" s="9" t="s">
        <v>559</v>
      </c>
      <c r="E300" s="9" t="s">
        <v>3042</v>
      </c>
      <c r="F300" s="58" t="s">
        <v>3966</v>
      </c>
      <c r="G300" s="58">
        <v>1603</v>
      </c>
      <c r="H300" s="85">
        <v>0.26200873362445398</v>
      </c>
      <c r="I300" s="9">
        <v>50</v>
      </c>
      <c r="J300" s="9"/>
      <c r="K300" s="9"/>
      <c r="L300" s="9"/>
      <c r="M300" s="9"/>
      <c r="N300" s="9" t="s">
        <v>3105</v>
      </c>
      <c r="O300" s="9" t="s">
        <v>3081</v>
      </c>
      <c r="P300" s="9" t="s">
        <v>3967</v>
      </c>
      <c r="Q300" s="58" t="s">
        <v>3968</v>
      </c>
      <c r="R300" s="58">
        <v>1</v>
      </c>
      <c r="S300" s="58">
        <v>7</v>
      </c>
      <c r="T300" s="9" t="s">
        <v>3065</v>
      </c>
      <c r="U300" s="9" t="s">
        <v>3969</v>
      </c>
      <c r="V300" s="58">
        <v>1</v>
      </c>
      <c r="W300" s="9"/>
      <c r="X300" s="9"/>
      <c r="Y300" s="9"/>
      <c r="Z300" s="9"/>
    </row>
    <row r="301" spans="1:26" ht="15.75" hidden="1" customHeight="1">
      <c r="A301" s="9" t="s">
        <v>1475</v>
      </c>
      <c r="B301" s="9" t="s">
        <v>3965</v>
      </c>
      <c r="C301" s="9" t="s">
        <v>693</v>
      </c>
      <c r="D301" s="9" t="s">
        <v>439</v>
      </c>
      <c r="E301" s="9"/>
      <c r="F301" s="9"/>
      <c r="G301" s="58">
        <v>8000</v>
      </c>
      <c r="H301" s="85">
        <v>0.06</v>
      </c>
      <c r="I301" s="9">
        <v>50</v>
      </c>
      <c r="J301" s="9"/>
      <c r="K301" s="9"/>
      <c r="L301" s="9"/>
      <c r="M301" s="9"/>
      <c r="N301" s="9" t="s">
        <v>3105</v>
      </c>
      <c r="O301" s="9" t="s">
        <v>3081</v>
      </c>
      <c r="P301" s="9" t="s">
        <v>3415</v>
      </c>
      <c r="Q301" s="58" t="s">
        <v>3167</v>
      </c>
      <c r="R301" s="58">
        <v>1</v>
      </c>
      <c r="S301" s="58">
        <v>8</v>
      </c>
      <c r="T301" s="9" t="s">
        <v>3065</v>
      </c>
      <c r="U301" s="9" t="s">
        <v>3970</v>
      </c>
      <c r="V301" s="58">
        <v>1</v>
      </c>
      <c r="W301" s="9"/>
      <c r="X301" s="9"/>
      <c r="Y301" s="9"/>
      <c r="Z301" s="9"/>
    </row>
    <row r="302" spans="1:26" ht="15.75" hidden="1" customHeight="1">
      <c r="A302" s="9" t="s">
        <v>1475</v>
      </c>
      <c r="B302" s="9" t="s">
        <v>3965</v>
      </c>
      <c r="C302" s="9" t="s">
        <v>693</v>
      </c>
      <c r="D302" s="9" t="s">
        <v>368</v>
      </c>
      <c r="E302" s="9" t="s">
        <v>3092</v>
      </c>
      <c r="F302" s="58" t="s">
        <v>3087</v>
      </c>
      <c r="G302" s="58">
        <v>6300</v>
      </c>
      <c r="H302" s="85">
        <v>0.266666666666666</v>
      </c>
      <c r="I302" s="9">
        <v>50</v>
      </c>
      <c r="J302" s="9"/>
      <c r="K302" s="9"/>
      <c r="L302" s="9"/>
      <c r="M302" s="9"/>
      <c r="N302" s="9" t="s">
        <v>3105</v>
      </c>
      <c r="O302" s="9" t="s">
        <v>3081</v>
      </c>
      <c r="P302" s="9" t="s">
        <v>3971</v>
      </c>
      <c r="Q302" s="58" t="s">
        <v>3069</v>
      </c>
      <c r="R302" s="58">
        <v>4</v>
      </c>
      <c r="S302" s="58">
        <v>7</v>
      </c>
      <c r="T302" s="9" t="s">
        <v>3065</v>
      </c>
      <c r="U302" s="9" t="s">
        <v>3972</v>
      </c>
      <c r="V302" s="58">
        <v>4</v>
      </c>
      <c r="W302" s="9"/>
      <c r="X302" s="9"/>
      <c r="Y302" s="9"/>
      <c r="Z302" s="9"/>
    </row>
    <row r="303" spans="1:26" ht="15.75" hidden="1" customHeight="1">
      <c r="A303" s="9" t="s">
        <v>3973</v>
      </c>
      <c r="B303" s="9" t="s">
        <v>3974</v>
      </c>
      <c r="C303" s="9" t="s">
        <v>3975</v>
      </c>
      <c r="D303" s="9" t="s">
        <v>439</v>
      </c>
      <c r="E303" s="9"/>
      <c r="F303" s="9"/>
      <c r="G303" s="58">
        <v>12000</v>
      </c>
      <c r="H303" s="85">
        <v>0.04</v>
      </c>
      <c r="I303" s="9">
        <v>13</v>
      </c>
      <c r="J303" s="9"/>
      <c r="K303" s="9"/>
      <c r="L303" s="9"/>
      <c r="M303" s="9"/>
      <c r="N303" s="9" t="s">
        <v>3105</v>
      </c>
      <c r="O303" s="9" t="s">
        <v>3081</v>
      </c>
      <c r="P303" s="9" t="s">
        <v>3148</v>
      </c>
      <c r="Q303" s="58" t="s">
        <v>3143</v>
      </c>
      <c r="R303" s="58">
        <v>1</v>
      </c>
      <c r="S303" s="58">
        <v>8</v>
      </c>
      <c r="T303" s="9" t="s">
        <v>3961</v>
      </c>
      <c r="U303" s="9" t="s">
        <v>3976</v>
      </c>
      <c r="V303" s="58">
        <v>1</v>
      </c>
      <c r="W303" s="9"/>
      <c r="X303" s="9"/>
      <c r="Y303" s="9"/>
      <c r="Z303" s="9"/>
    </row>
    <row r="304" spans="1:26" ht="15.75" hidden="1" customHeight="1">
      <c r="A304" s="9" t="s">
        <v>3973</v>
      </c>
      <c r="B304" s="9" t="s">
        <v>3974</v>
      </c>
      <c r="C304" s="9" t="s">
        <v>3975</v>
      </c>
      <c r="D304" s="9" t="s">
        <v>368</v>
      </c>
      <c r="E304" s="9" t="s">
        <v>3183</v>
      </c>
      <c r="F304" s="58" t="s">
        <v>3087</v>
      </c>
      <c r="G304" s="58">
        <v>7000</v>
      </c>
      <c r="H304" s="85">
        <v>0.24</v>
      </c>
      <c r="I304" s="9">
        <v>13</v>
      </c>
      <c r="J304" s="9"/>
      <c r="K304" s="9"/>
      <c r="L304" s="9"/>
      <c r="M304" s="9"/>
      <c r="N304" s="9" t="s">
        <v>3105</v>
      </c>
      <c r="O304" s="9" t="s">
        <v>3081</v>
      </c>
      <c r="P304" s="9" t="s">
        <v>3963</v>
      </c>
      <c r="Q304" s="58" t="s">
        <v>3167</v>
      </c>
      <c r="R304" s="58">
        <v>4</v>
      </c>
      <c r="S304" s="58">
        <v>7</v>
      </c>
      <c r="T304" s="9" t="s">
        <v>3961</v>
      </c>
      <c r="U304" s="9" t="s">
        <v>3977</v>
      </c>
      <c r="V304" s="58">
        <v>4</v>
      </c>
      <c r="W304" s="9"/>
      <c r="X304" s="9"/>
      <c r="Y304" s="9"/>
      <c r="Z304" s="9"/>
    </row>
    <row r="305" spans="1:26" ht="15.75" customHeight="1">
      <c r="A305" s="9" t="s">
        <v>1479</v>
      </c>
      <c r="B305" s="9" t="s">
        <v>3978</v>
      </c>
      <c r="C305" s="9" t="s">
        <v>703</v>
      </c>
      <c r="D305" s="9" t="s">
        <v>559</v>
      </c>
      <c r="E305" s="9" t="s">
        <v>3042</v>
      </c>
      <c r="F305" s="58" t="s">
        <v>3966</v>
      </c>
      <c r="G305" s="58">
        <v>1603</v>
      </c>
      <c r="H305" s="85">
        <v>0.26200873362445398</v>
      </c>
      <c r="I305" s="9">
        <v>50</v>
      </c>
      <c r="J305" s="9"/>
      <c r="K305" s="9"/>
      <c r="L305" s="9"/>
      <c r="M305" s="9"/>
      <c r="N305" s="9" t="s">
        <v>3105</v>
      </c>
      <c r="O305" s="9" t="s">
        <v>3081</v>
      </c>
      <c r="P305" s="9" t="s">
        <v>3967</v>
      </c>
      <c r="Q305" s="58" t="s">
        <v>3968</v>
      </c>
      <c r="R305" s="58">
        <v>1</v>
      </c>
      <c r="S305" s="58">
        <v>7</v>
      </c>
      <c r="T305" s="9" t="s">
        <v>3065</v>
      </c>
      <c r="U305" s="9" t="s">
        <v>3979</v>
      </c>
      <c r="V305" s="58">
        <v>1</v>
      </c>
      <c r="W305" s="9"/>
      <c r="X305" s="9"/>
      <c r="Y305" s="9"/>
      <c r="Z305" s="9"/>
    </row>
    <row r="306" spans="1:26" ht="15.75" hidden="1" customHeight="1">
      <c r="A306" s="9" t="s">
        <v>1479</v>
      </c>
      <c r="B306" s="9" t="s">
        <v>3978</v>
      </c>
      <c r="C306" s="9" t="s">
        <v>703</v>
      </c>
      <c r="D306" s="9" t="s">
        <v>439</v>
      </c>
      <c r="E306" s="9"/>
      <c r="F306" s="9"/>
      <c r="G306" s="58">
        <v>8000</v>
      </c>
      <c r="H306" s="85">
        <v>0.06</v>
      </c>
      <c r="I306" s="9">
        <v>50</v>
      </c>
      <c r="J306" s="9"/>
      <c r="K306" s="9"/>
      <c r="L306" s="9"/>
      <c r="M306" s="9"/>
      <c r="N306" s="9" t="s">
        <v>3105</v>
      </c>
      <c r="O306" s="9" t="s">
        <v>3081</v>
      </c>
      <c r="P306" s="9" t="s">
        <v>3415</v>
      </c>
      <c r="Q306" s="58" t="s">
        <v>3167</v>
      </c>
      <c r="R306" s="58">
        <v>1</v>
      </c>
      <c r="S306" s="58">
        <v>8</v>
      </c>
      <c r="T306" s="9" t="s">
        <v>3065</v>
      </c>
      <c r="U306" s="9" t="s">
        <v>3980</v>
      </c>
      <c r="V306" s="58">
        <v>1</v>
      </c>
      <c r="W306" s="9"/>
      <c r="X306" s="9"/>
      <c r="Y306" s="9"/>
      <c r="Z306" s="9"/>
    </row>
    <row r="307" spans="1:26" ht="15.75" hidden="1" customHeight="1">
      <c r="A307" s="9" t="s">
        <v>1479</v>
      </c>
      <c r="B307" s="9" t="s">
        <v>3978</v>
      </c>
      <c r="C307" s="9" t="s">
        <v>703</v>
      </c>
      <c r="D307" s="9" t="s">
        <v>368</v>
      </c>
      <c r="E307" s="9" t="s">
        <v>3092</v>
      </c>
      <c r="F307" s="58" t="s">
        <v>3087</v>
      </c>
      <c r="G307" s="58">
        <v>5250</v>
      </c>
      <c r="H307" s="85">
        <v>0.32</v>
      </c>
      <c r="I307" s="9">
        <v>50</v>
      </c>
      <c r="J307" s="9"/>
      <c r="K307" s="9"/>
      <c r="L307" s="9"/>
      <c r="M307" s="9"/>
      <c r="N307" s="9" t="s">
        <v>3105</v>
      </c>
      <c r="O307" s="9" t="s">
        <v>3081</v>
      </c>
      <c r="P307" s="9" t="s">
        <v>3981</v>
      </c>
      <c r="Q307" s="58" t="s">
        <v>3095</v>
      </c>
      <c r="R307" s="58">
        <v>4</v>
      </c>
      <c r="S307" s="58">
        <v>7</v>
      </c>
      <c r="T307" s="9" t="s">
        <v>3065</v>
      </c>
      <c r="U307" s="9" t="s">
        <v>3982</v>
      </c>
      <c r="V307" s="58">
        <v>4</v>
      </c>
      <c r="W307" s="9"/>
      <c r="X307" s="9"/>
      <c r="Y307" s="9"/>
      <c r="Z307" s="9"/>
    </row>
    <row r="308" spans="1:26" ht="15.75" hidden="1" customHeight="1">
      <c r="A308" s="9" t="s">
        <v>3983</v>
      </c>
      <c r="B308" s="9" t="s">
        <v>3984</v>
      </c>
      <c r="C308" s="9" t="s">
        <v>3985</v>
      </c>
      <c r="D308" s="9" t="s">
        <v>439</v>
      </c>
      <c r="E308" s="9"/>
      <c r="F308" s="9"/>
      <c r="G308" s="58">
        <v>12000</v>
      </c>
      <c r="H308" s="85">
        <v>0.04</v>
      </c>
      <c r="I308" s="9">
        <v>6</v>
      </c>
      <c r="J308" s="9"/>
      <c r="K308" s="9"/>
      <c r="L308" s="9"/>
      <c r="M308" s="9"/>
      <c r="N308" s="9" t="s">
        <v>3105</v>
      </c>
      <c r="O308" s="9" t="s">
        <v>3081</v>
      </c>
      <c r="P308" s="9" t="s">
        <v>3148</v>
      </c>
      <c r="Q308" s="58" t="s">
        <v>3143</v>
      </c>
      <c r="R308" s="58">
        <v>1</v>
      </c>
      <c r="S308" s="58">
        <v>8</v>
      </c>
      <c r="T308" s="9" t="s">
        <v>3961</v>
      </c>
      <c r="U308" s="9" t="s">
        <v>3986</v>
      </c>
      <c r="V308" s="58">
        <v>1</v>
      </c>
      <c r="W308" s="9"/>
      <c r="X308" s="9"/>
      <c r="Y308" s="9"/>
      <c r="Z308" s="9"/>
    </row>
    <row r="309" spans="1:26" ht="15.75" hidden="1" customHeight="1">
      <c r="A309" s="9" t="s">
        <v>3983</v>
      </c>
      <c r="B309" s="9" t="s">
        <v>3984</v>
      </c>
      <c r="C309" s="9" t="s">
        <v>3985</v>
      </c>
      <c r="D309" s="9" t="s">
        <v>368</v>
      </c>
      <c r="E309" s="9" t="s">
        <v>3183</v>
      </c>
      <c r="F309" s="58" t="s">
        <v>3087</v>
      </c>
      <c r="G309" s="58">
        <v>7000</v>
      </c>
      <c r="H309" s="85">
        <v>0.18</v>
      </c>
      <c r="I309" s="9">
        <v>6</v>
      </c>
      <c r="J309" s="9"/>
      <c r="K309" s="9"/>
      <c r="L309" s="9"/>
      <c r="M309" s="9"/>
      <c r="N309" s="9" t="s">
        <v>3105</v>
      </c>
      <c r="O309" s="9" t="s">
        <v>3081</v>
      </c>
      <c r="P309" s="9" t="s">
        <v>3987</v>
      </c>
      <c r="Q309" s="58" t="s">
        <v>3167</v>
      </c>
      <c r="R309" s="58">
        <v>3</v>
      </c>
      <c r="S309" s="58">
        <v>7</v>
      </c>
      <c r="T309" s="9" t="s">
        <v>3961</v>
      </c>
      <c r="U309" s="9" t="s">
        <v>3988</v>
      </c>
      <c r="V309" s="58">
        <v>3</v>
      </c>
      <c r="W309" s="9"/>
      <c r="X309" s="9"/>
      <c r="Y309" s="9"/>
      <c r="Z309" s="9"/>
    </row>
    <row r="310" spans="1:26" ht="15.75" hidden="1" customHeight="1">
      <c r="A310" s="9" t="s">
        <v>1481</v>
      </c>
      <c r="B310" s="9" t="s">
        <v>3989</v>
      </c>
      <c r="C310" s="9" t="s">
        <v>701</v>
      </c>
      <c r="D310" s="9" t="s">
        <v>439</v>
      </c>
      <c r="E310" s="9"/>
      <c r="F310" s="9"/>
      <c r="G310" s="58">
        <v>8000</v>
      </c>
      <c r="H310" s="85">
        <v>0.06</v>
      </c>
      <c r="I310" s="9">
        <v>15</v>
      </c>
      <c r="J310" s="9"/>
      <c r="K310" s="9"/>
      <c r="L310" s="9"/>
      <c r="M310" s="9"/>
      <c r="N310" s="9" t="s">
        <v>3105</v>
      </c>
      <c r="O310" s="9" t="s">
        <v>3081</v>
      </c>
      <c r="P310" s="9" t="s">
        <v>3415</v>
      </c>
      <c r="Q310" s="58" t="s">
        <v>3167</v>
      </c>
      <c r="R310" s="58">
        <v>1</v>
      </c>
      <c r="S310" s="58">
        <v>8</v>
      </c>
      <c r="T310" s="9" t="s">
        <v>3990</v>
      </c>
      <c r="U310" s="9" t="s">
        <v>3991</v>
      </c>
      <c r="V310" s="58">
        <v>1</v>
      </c>
      <c r="W310" s="9"/>
      <c r="X310" s="9"/>
      <c r="Y310" s="9"/>
      <c r="Z310" s="9"/>
    </row>
    <row r="311" spans="1:26" ht="15.75" hidden="1" customHeight="1">
      <c r="A311" s="9" t="s">
        <v>1481</v>
      </c>
      <c r="B311" s="9" t="s">
        <v>3989</v>
      </c>
      <c r="C311" s="9" t="s">
        <v>701</v>
      </c>
      <c r="D311" s="9" t="s">
        <v>368</v>
      </c>
      <c r="E311" s="9" t="s">
        <v>3183</v>
      </c>
      <c r="F311" s="58" t="s">
        <v>3087</v>
      </c>
      <c r="G311" s="58">
        <v>8400</v>
      </c>
      <c r="H311" s="85">
        <v>0.2</v>
      </c>
      <c r="I311" s="9">
        <v>15</v>
      </c>
      <c r="J311" s="9"/>
      <c r="K311" s="9"/>
      <c r="L311" s="9"/>
      <c r="M311" s="9"/>
      <c r="N311" s="9" t="s">
        <v>3105</v>
      </c>
      <c r="O311" s="9" t="s">
        <v>3081</v>
      </c>
      <c r="P311" s="9" t="s">
        <v>3992</v>
      </c>
      <c r="Q311" s="58" t="s">
        <v>3074</v>
      </c>
      <c r="R311" s="58">
        <v>4</v>
      </c>
      <c r="S311" s="58">
        <v>7</v>
      </c>
      <c r="T311" s="9" t="s">
        <v>3990</v>
      </c>
      <c r="U311" s="9" t="s">
        <v>3993</v>
      </c>
      <c r="V311" s="58">
        <v>4</v>
      </c>
      <c r="W311" s="9"/>
      <c r="X311" s="9"/>
      <c r="Y311" s="9"/>
      <c r="Z311" s="9"/>
    </row>
    <row r="312" spans="1:26" ht="15.75" hidden="1" customHeight="1">
      <c r="A312" s="9" t="s">
        <v>3994</v>
      </c>
      <c r="B312" s="9" t="s">
        <v>3995</v>
      </c>
      <c r="C312" s="9" t="s">
        <v>3996</v>
      </c>
      <c r="D312" s="9" t="s">
        <v>439</v>
      </c>
      <c r="E312" s="9"/>
      <c r="F312" s="9"/>
      <c r="G312" s="58">
        <v>16000</v>
      </c>
      <c r="H312" s="85">
        <v>0.03</v>
      </c>
      <c r="I312" s="9">
        <v>35</v>
      </c>
      <c r="J312" s="9"/>
      <c r="K312" s="9"/>
      <c r="L312" s="9"/>
      <c r="M312" s="9"/>
      <c r="N312" s="9" t="s">
        <v>3325</v>
      </c>
      <c r="O312" s="9" t="s">
        <v>3258</v>
      </c>
      <c r="P312" s="9" t="s">
        <v>3461</v>
      </c>
      <c r="Q312" s="58" t="s">
        <v>3462</v>
      </c>
      <c r="R312" s="58">
        <v>1</v>
      </c>
      <c r="S312" s="58">
        <v>8</v>
      </c>
      <c r="T312" s="9" t="s">
        <v>3997</v>
      </c>
      <c r="U312" s="9" t="s">
        <v>3998</v>
      </c>
      <c r="V312" s="58">
        <v>1</v>
      </c>
      <c r="W312" s="9"/>
      <c r="X312" s="9"/>
      <c r="Y312" s="9"/>
      <c r="Z312" s="9"/>
    </row>
    <row r="313" spans="1:26" ht="15.75" hidden="1" customHeight="1">
      <c r="A313" s="9" t="s">
        <v>3994</v>
      </c>
      <c r="B313" s="9" t="s">
        <v>3995</v>
      </c>
      <c r="C313" s="9" t="s">
        <v>3996</v>
      </c>
      <c r="D313" s="9" t="s">
        <v>368</v>
      </c>
      <c r="E313" s="9" t="s">
        <v>3344</v>
      </c>
      <c r="F313" s="58" t="s">
        <v>3355</v>
      </c>
      <c r="G313" s="58">
        <v>7700</v>
      </c>
      <c r="H313" s="85">
        <v>0.218181818181818</v>
      </c>
      <c r="I313" s="9">
        <v>35</v>
      </c>
      <c r="J313" s="9"/>
      <c r="K313" s="9"/>
      <c r="L313" s="9"/>
      <c r="M313" s="9"/>
      <c r="N313" s="9" t="s">
        <v>3325</v>
      </c>
      <c r="O313" s="9" t="s">
        <v>3258</v>
      </c>
      <c r="P313" s="9" t="s">
        <v>3999</v>
      </c>
      <c r="Q313" s="58" t="s">
        <v>3077</v>
      </c>
      <c r="R313" s="58">
        <v>4</v>
      </c>
      <c r="S313" s="58">
        <v>7</v>
      </c>
      <c r="T313" s="9" t="s">
        <v>3997</v>
      </c>
      <c r="U313" s="9" t="s">
        <v>4000</v>
      </c>
      <c r="V313" s="58">
        <v>4</v>
      </c>
      <c r="W313" s="9"/>
      <c r="X313" s="9"/>
      <c r="Y313" s="9"/>
      <c r="Z313" s="9"/>
    </row>
    <row r="314" spans="1:26" ht="15.75" hidden="1" customHeight="1">
      <c r="A314" s="9" t="s">
        <v>1483</v>
      </c>
      <c r="B314" s="9" t="s">
        <v>4001</v>
      </c>
      <c r="C314" s="9" t="s">
        <v>695</v>
      </c>
      <c r="D314" s="9" t="s">
        <v>439</v>
      </c>
      <c r="E314" s="9"/>
      <c r="F314" s="9"/>
      <c r="G314" s="58">
        <v>16000</v>
      </c>
      <c r="H314" s="85">
        <v>0.03</v>
      </c>
      <c r="I314" s="9">
        <v>35</v>
      </c>
      <c r="J314" s="9"/>
      <c r="K314" s="9"/>
      <c r="L314" s="9"/>
      <c r="M314" s="9"/>
      <c r="N314" s="9" t="s">
        <v>3325</v>
      </c>
      <c r="O314" s="9" t="s">
        <v>3258</v>
      </c>
      <c r="P314" s="9" t="s">
        <v>3461</v>
      </c>
      <c r="Q314" s="58" t="s">
        <v>3462</v>
      </c>
      <c r="R314" s="58">
        <v>1</v>
      </c>
      <c r="S314" s="58">
        <v>8</v>
      </c>
      <c r="T314" s="9" t="s">
        <v>3997</v>
      </c>
      <c r="U314" s="9" t="s">
        <v>4002</v>
      </c>
      <c r="V314" s="58">
        <v>1</v>
      </c>
      <c r="W314" s="9"/>
      <c r="X314" s="9"/>
      <c r="Y314" s="9"/>
      <c r="Z314" s="9"/>
    </row>
    <row r="315" spans="1:26" ht="15.75" hidden="1" customHeight="1">
      <c r="A315" s="9" t="s">
        <v>1483</v>
      </c>
      <c r="B315" s="9" t="s">
        <v>4001</v>
      </c>
      <c r="C315" s="9" t="s">
        <v>695</v>
      </c>
      <c r="D315" s="9" t="s">
        <v>368</v>
      </c>
      <c r="E315" s="9" t="s">
        <v>3344</v>
      </c>
      <c r="F315" s="58" t="s">
        <v>3355</v>
      </c>
      <c r="G315" s="58">
        <v>10500</v>
      </c>
      <c r="H315" s="85">
        <v>0.12</v>
      </c>
      <c r="I315" s="9">
        <v>35</v>
      </c>
      <c r="J315" s="9"/>
      <c r="K315" s="9"/>
      <c r="L315" s="9"/>
      <c r="M315" s="9"/>
      <c r="N315" s="9" t="s">
        <v>3325</v>
      </c>
      <c r="O315" s="9" t="s">
        <v>3258</v>
      </c>
      <c r="P315" s="9" t="s">
        <v>4003</v>
      </c>
      <c r="Q315" s="58" t="s">
        <v>3143</v>
      </c>
      <c r="R315" s="58">
        <v>3</v>
      </c>
      <c r="S315" s="58">
        <v>7</v>
      </c>
      <c r="T315" s="9" t="s">
        <v>3997</v>
      </c>
      <c r="U315" s="9" t="s">
        <v>4004</v>
      </c>
      <c r="V315" s="58">
        <v>3</v>
      </c>
      <c r="W315" s="9"/>
      <c r="X315" s="9"/>
      <c r="Y315" s="9"/>
      <c r="Z315" s="9"/>
    </row>
    <row r="316" spans="1:26" ht="15.75" hidden="1" customHeight="1">
      <c r="A316" s="9" t="s">
        <v>102</v>
      </c>
      <c r="B316" s="9" t="s">
        <v>4005</v>
      </c>
      <c r="C316" s="9" t="s">
        <v>103</v>
      </c>
      <c r="D316" s="9" t="s">
        <v>439</v>
      </c>
      <c r="E316" s="9"/>
      <c r="F316" s="9"/>
      <c r="G316" s="58">
        <v>12000</v>
      </c>
      <c r="H316" s="85">
        <v>0.04</v>
      </c>
      <c r="I316" s="9">
        <v>49.7</v>
      </c>
      <c r="J316" s="9"/>
      <c r="K316" s="9"/>
      <c r="L316" s="9"/>
      <c r="M316" s="9"/>
      <c r="N316" s="9" t="s">
        <v>4006</v>
      </c>
      <c r="O316" s="9" t="s">
        <v>3081</v>
      </c>
      <c r="P316" s="9" t="s">
        <v>3148</v>
      </c>
      <c r="Q316" s="58" t="s">
        <v>3143</v>
      </c>
      <c r="R316" s="58">
        <v>1</v>
      </c>
      <c r="S316" s="58">
        <v>8</v>
      </c>
      <c r="T316" s="9" t="s">
        <v>4007</v>
      </c>
      <c r="U316" s="9" t="s">
        <v>4008</v>
      </c>
      <c r="V316" s="58">
        <v>1</v>
      </c>
      <c r="W316" s="9"/>
      <c r="X316" s="9"/>
      <c r="Y316" s="9"/>
      <c r="Z316" s="9"/>
    </row>
    <row r="317" spans="1:26" ht="15.75" hidden="1" customHeight="1">
      <c r="A317" s="9" t="s">
        <v>102</v>
      </c>
      <c r="B317" s="9" t="s">
        <v>4005</v>
      </c>
      <c r="C317" s="9" t="s">
        <v>103</v>
      </c>
      <c r="D317" s="9" t="s">
        <v>368</v>
      </c>
      <c r="E317" s="9" t="s">
        <v>3402</v>
      </c>
      <c r="F317" s="58" t="s">
        <v>3057</v>
      </c>
      <c r="G317" s="58">
        <v>6300</v>
      </c>
      <c r="H317" s="85">
        <v>0.266666666666666</v>
      </c>
      <c r="I317" s="9">
        <v>49.7</v>
      </c>
      <c r="J317" s="9"/>
      <c r="K317" s="9"/>
      <c r="L317" s="9"/>
      <c r="M317" s="9"/>
      <c r="N317" s="9" t="s">
        <v>4006</v>
      </c>
      <c r="O317" s="9" t="s">
        <v>3081</v>
      </c>
      <c r="P317" s="9" t="s">
        <v>4009</v>
      </c>
      <c r="Q317" s="58" t="s">
        <v>3069</v>
      </c>
      <c r="R317" s="58">
        <v>4</v>
      </c>
      <c r="S317" s="58">
        <v>7</v>
      </c>
      <c r="T317" s="9" t="s">
        <v>4007</v>
      </c>
      <c r="U317" s="9" t="s">
        <v>4010</v>
      </c>
      <c r="V317" s="58">
        <v>4</v>
      </c>
      <c r="W317" s="9"/>
      <c r="X317" s="9"/>
      <c r="Y317" s="9"/>
      <c r="Z317" s="9"/>
    </row>
    <row r="318" spans="1:26" ht="15.75" customHeight="1">
      <c r="A318" s="9" t="s">
        <v>164</v>
      </c>
      <c r="B318" s="9" t="s">
        <v>4011</v>
      </c>
      <c r="C318" s="9" t="s">
        <v>165</v>
      </c>
      <c r="D318" s="9" t="s">
        <v>559</v>
      </c>
      <c r="E318" s="9" t="s">
        <v>3042</v>
      </c>
      <c r="F318" s="58" t="s">
        <v>4012</v>
      </c>
      <c r="G318" s="58">
        <v>1920</v>
      </c>
      <c r="H318" s="85">
        <v>0.25</v>
      </c>
      <c r="I318" s="9">
        <v>170</v>
      </c>
      <c r="J318" s="9"/>
      <c r="K318" s="9"/>
      <c r="L318" s="9"/>
      <c r="M318" s="9"/>
      <c r="N318" s="9" t="s">
        <v>3105</v>
      </c>
      <c r="O318" s="9" t="s">
        <v>3081</v>
      </c>
      <c r="P318" s="9" t="s">
        <v>4013</v>
      </c>
      <c r="Q318" s="58" t="s">
        <v>4014</v>
      </c>
      <c r="R318" s="58">
        <v>1</v>
      </c>
      <c r="S318" s="58">
        <v>8</v>
      </c>
      <c r="T318" s="9" t="s">
        <v>4015</v>
      </c>
      <c r="U318" s="9" t="s">
        <v>4016</v>
      </c>
      <c r="V318" s="58">
        <v>1</v>
      </c>
      <c r="W318" s="9"/>
      <c r="X318" s="9"/>
      <c r="Y318" s="9"/>
      <c r="Z318" s="9"/>
    </row>
    <row r="319" spans="1:26" ht="15.75" hidden="1" customHeight="1">
      <c r="A319" s="9" t="s">
        <v>164</v>
      </c>
      <c r="B319" s="9" t="s">
        <v>4011</v>
      </c>
      <c r="C319" s="9" t="s">
        <v>165</v>
      </c>
      <c r="D319" s="9" t="s">
        <v>439</v>
      </c>
      <c r="E319" s="9"/>
      <c r="F319" s="9"/>
      <c r="G319" s="58">
        <v>3200</v>
      </c>
      <c r="H319" s="85">
        <v>0.15</v>
      </c>
      <c r="I319" s="9">
        <v>170</v>
      </c>
      <c r="J319" s="9"/>
      <c r="K319" s="9"/>
      <c r="L319" s="9"/>
      <c r="M319" s="9"/>
      <c r="N319" s="9" t="s">
        <v>3105</v>
      </c>
      <c r="O319" s="9" t="s">
        <v>3081</v>
      </c>
      <c r="P319" s="9" t="s">
        <v>3878</v>
      </c>
      <c r="Q319" s="58" t="s">
        <v>3240</v>
      </c>
      <c r="R319" s="58">
        <v>1</v>
      </c>
      <c r="S319" s="58">
        <v>8</v>
      </c>
      <c r="T319" s="9" t="s">
        <v>4015</v>
      </c>
      <c r="U319" s="9" t="s">
        <v>4017</v>
      </c>
      <c r="V319" s="58">
        <v>1</v>
      </c>
      <c r="W319" s="9"/>
      <c r="X319" s="9"/>
      <c r="Y319" s="9"/>
      <c r="Z319" s="9"/>
    </row>
    <row r="320" spans="1:26" ht="15.75" customHeight="1">
      <c r="A320" s="9" t="s">
        <v>164</v>
      </c>
      <c r="B320" s="9" t="s">
        <v>4011</v>
      </c>
      <c r="C320" s="9" t="s">
        <v>165</v>
      </c>
      <c r="D320" s="9" t="s">
        <v>484</v>
      </c>
      <c r="E320" s="9" t="s">
        <v>3854</v>
      </c>
      <c r="F320" s="9"/>
      <c r="G320" s="58">
        <v>1440</v>
      </c>
      <c r="H320" s="85">
        <v>0.66666666666666596</v>
      </c>
      <c r="I320" s="9">
        <v>170</v>
      </c>
      <c r="J320" s="9"/>
      <c r="K320" s="9"/>
      <c r="L320" s="9"/>
      <c r="M320" s="9"/>
      <c r="N320" s="9" t="s">
        <v>3105</v>
      </c>
      <c r="O320" s="9" t="s">
        <v>3081</v>
      </c>
      <c r="P320" s="9" t="s">
        <v>4018</v>
      </c>
      <c r="Q320" s="58" t="s">
        <v>4019</v>
      </c>
      <c r="R320" s="58">
        <v>2</v>
      </c>
      <c r="S320" s="58">
        <v>8</v>
      </c>
      <c r="T320" s="9" t="s">
        <v>4015</v>
      </c>
      <c r="U320" s="9" t="s">
        <v>4020</v>
      </c>
      <c r="V320" s="58">
        <v>2</v>
      </c>
      <c r="W320" s="9"/>
      <c r="X320" s="9"/>
      <c r="Y320" s="9"/>
      <c r="Z320" s="9"/>
    </row>
    <row r="321" spans="1:26" ht="15.75" hidden="1" customHeight="1">
      <c r="A321" s="9" t="s">
        <v>164</v>
      </c>
      <c r="B321" s="9" t="s">
        <v>4011</v>
      </c>
      <c r="C321" s="9" t="s">
        <v>165</v>
      </c>
      <c r="D321" s="9" t="s">
        <v>368</v>
      </c>
      <c r="E321" s="9" t="s">
        <v>4021</v>
      </c>
      <c r="F321" s="58" t="s">
        <v>3087</v>
      </c>
      <c r="G321" s="58">
        <v>2240</v>
      </c>
      <c r="H321" s="85">
        <v>0.5625</v>
      </c>
      <c r="I321" s="9">
        <v>170</v>
      </c>
      <c r="J321" s="9"/>
      <c r="K321" s="9"/>
      <c r="L321" s="9"/>
      <c r="M321" s="9"/>
      <c r="N321" s="9" t="s">
        <v>3105</v>
      </c>
      <c r="O321" s="9" t="s">
        <v>3081</v>
      </c>
      <c r="P321" s="9" t="s">
        <v>4022</v>
      </c>
      <c r="Q321" s="58" t="s">
        <v>4023</v>
      </c>
      <c r="R321" s="58">
        <v>3</v>
      </c>
      <c r="S321" s="58">
        <v>7</v>
      </c>
      <c r="T321" s="9" t="s">
        <v>4015</v>
      </c>
      <c r="U321" s="9" t="s">
        <v>4024</v>
      </c>
      <c r="V321" s="58">
        <v>3</v>
      </c>
      <c r="W321" s="9"/>
      <c r="X321" s="9"/>
      <c r="Y321" s="9"/>
      <c r="Z321" s="9"/>
    </row>
    <row r="322" spans="1:26" ht="15.75" hidden="1" customHeight="1">
      <c r="A322" s="9" t="s">
        <v>1499</v>
      </c>
      <c r="B322" s="9" t="s">
        <v>4025</v>
      </c>
      <c r="C322" s="9" t="s">
        <v>918</v>
      </c>
      <c r="D322" s="9" t="s">
        <v>368</v>
      </c>
      <c r="E322" s="9" t="s">
        <v>3092</v>
      </c>
      <c r="F322" s="58" t="s">
        <v>3087</v>
      </c>
      <c r="G322" s="58">
        <v>4200</v>
      </c>
      <c r="H322" s="85">
        <v>0.4</v>
      </c>
      <c r="I322" s="9">
        <v>108.2</v>
      </c>
      <c r="J322" s="9"/>
      <c r="K322" s="9"/>
      <c r="L322" s="9"/>
      <c r="M322" s="9"/>
      <c r="N322" s="9" t="s">
        <v>3885</v>
      </c>
      <c r="O322" s="9" t="s">
        <v>3081</v>
      </c>
      <c r="P322" s="9" t="s">
        <v>4026</v>
      </c>
      <c r="Q322" s="58" t="s">
        <v>3122</v>
      </c>
      <c r="R322" s="58">
        <v>4</v>
      </c>
      <c r="S322" s="58">
        <v>7</v>
      </c>
      <c r="T322" s="9" t="s">
        <v>4027</v>
      </c>
      <c r="U322" s="9" t="s">
        <v>4028</v>
      </c>
      <c r="V322" s="58">
        <v>4</v>
      </c>
      <c r="W322" s="9"/>
      <c r="X322" s="9"/>
      <c r="Y322" s="9"/>
      <c r="Z322" s="9"/>
    </row>
    <row r="323" spans="1:26" ht="15.75" customHeight="1">
      <c r="A323" s="9" t="s">
        <v>4029</v>
      </c>
      <c r="B323" s="9" t="s">
        <v>4030</v>
      </c>
      <c r="C323" s="9" t="s">
        <v>4031</v>
      </c>
      <c r="D323" s="9" t="s">
        <v>484</v>
      </c>
      <c r="E323" s="9" t="s">
        <v>3854</v>
      </c>
      <c r="F323" s="9"/>
      <c r="G323" s="58">
        <v>2800</v>
      </c>
      <c r="H323" s="85">
        <v>0.15</v>
      </c>
      <c r="I323" s="9" t="s">
        <v>4032</v>
      </c>
      <c r="J323" s="9"/>
      <c r="K323" s="9"/>
      <c r="L323" s="9"/>
      <c r="M323" s="9"/>
      <c r="N323" s="9" t="s">
        <v>4033</v>
      </c>
      <c r="O323" s="9" t="s">
        <v>3051</v>
      </c>
      <c r="P323" s="9" t="s">
        <v>4034</v>
      </c>
      <c r="Q323" s="58" t="s">
        <v>3240</v>
      </c>
      <c r="R323" s="9">
        <v>1</v>
      </c>
      <c r="S323" s="9">
        <v>7</v>
      </c>
      <c r="T323" s="9" t="s">
        <v>4035</v>
      </c>
      <c r="U323" s="9" t="s">
        <v>4036</v>
      </c>
      <c r="V323" s="9">
        <v>1</v>
      </c>
      <c r="W323" s="9"/>
      <c r="X323" s="9"/>
      <c r="Y323" s="9"/>
      <c r="Z323" s="9"/>
    </row>
    <row r="324" spans="1:26" ht="15.75" hidden="1" customHeight="1">
      <c r="A324" s="9" t="s">
        <v>4029</v>
      </c>
      <c r="B324" s="9" t="s">
        <v>4030</v>
      </c>
      <c r="C324" s="9" t="s">
        <v>4031</v>
      </c>
      <c r="D324" s="9" t="s">
        <v>368</v>
      </c>
      <c r="E324" s="9" t="s">
        <v>4037</v>
      </c>
      <c r="F324" s="58" t="s">
        <v>3057</v>
      </c>
      <c r="G324" s="58">
        <v>7700</v>
      </c>
      <c r="H324" s="85">
        <v>0.218181818181818</v>
      </c>
      <c r="I324" s="9" t="s">
        <v>4032</v>
      </c>
      <c r="J324" s="9"/>
      <c r="K324" s="9"/>
      <c r="L324" s="9"/>
      <c r="M324" s="9"/>
      <c r="N324" s="9" t="s">
        <v>4033</v>
      </c>
      <c r="O324" s="9" t="s">
        <v>3051</v>
      </c>
      <c r="P324" s="9" t="s">
        <v>3271</v>
      </c>
      <c r="Q324" s="58" t="s">
        <v>3077</v>
      </c>
      <c r="R324" s="9">
        <v>4</v>
      </c>
      <c r="S324" s="9">
        <v>7</v>
      </c>
      <c r="T324" s="9" t="s">
        <v>4035</v>
      </c>
      <c r="U324" s="9" t="s">
        <v>4038</v>
      </c>
      <c r="V324" s="9">
        <v>4</v>
      </c>
      <c r="W324" s="9"/>
      <c r="X324" s="9"/>
      <c r="Y324" s="9"/>
      <c r="Z324" s="9"/>
    </row>
    <row r="325" spans="1:26" ht="15.75" hidden="1" customHeight="1">
      <c r="A325" s="9" t="s">
        <v>1507</v>
      </c>
      <c r="B325" s="9" t="s">
        <v>4039</v>
      </c>
      <c r="C325" s="9" t="s">
        <v>653</v>
      </c>
      <c r="D325" s="9" t="s">
        <v>439</v>
      </c>
      <c r="E325" s="9"/>
      <c r="F325" s="9"/>
      <c r="G325" s="58">
        <v>5200</v>
      </c>
      <c r="H325" s="85">
        <v>9.2307692307692299E-2</v>
      </c>
      <c r="I325" s="9">
        <v>230</v>
      </c>
      <c r="J325" s="9"/>
      <c r="K325" s="9"/>
      <c r="L325" s="9"/>
      <c r="M325" s="9"/>
      <c r="N325" s="9" t="s">
        <v>3325</v>
      </c>
      <c r="O325" s="9" t="s">
        <v>3351</v>
      </c>
      <c r="P325" s="9" t="s">
        <v>4040</v>
      </c>
      <c r="Q325" s="58" t="s">
        <v>3687</v>
      </c>
      <c r="R325" s="58">
        <v>1</v>
      </c>
      <c r="S325" s="58">
        <v>8</v>
      </c>
      <c r="T325" s="9" t="s">
        <v>3065</v>
      </c>
      <c r="U325" s="9" t="s">
        <v>4041</v>
      </c>
      <c r="V325" s="58">
        <v>1</v>
      </c>
      <c r="W325" s="9"/>
      <c r="X325" s="9"/>
      <c r="Y325" s="9"/>
      <c r="Z325" s="9"/>
    </row>
    <row r="326" spans="1:26" ht="15.75" hidden="1" customHeight="1">
      <c r="A326" s="9" t="s">
        <v>1507</v>
      </c>
      <c r="B326" s="9" t="s">
        <v>4039</v>
      </c>
      <c r="C326" s="9" t="s">
        <v>653</v>
      </c>
      <c r="D326" s="9" t="s">
        <v>368</v>
      </c>
      <c r="E326" s="9" t="s">
        <v>3067</v>
      </c>
      <c r="F326" s="58" t="s">
        <v>3057</v>
      </c>
      <c r="G326" s="58">
        <v>4690</v>
      </c>
      <c r="H326" s="85">
        <v>0.35820895522388002</v>
      </c>
      <c r="I326" s="9">
        <v>230</v>
      </c>
      <c r="J326" s="9"/>
      <c r="K326" s="9"/>
      <c r="L326" s="9"/>
      <c r="M326" s="9"/>
      <c r="N326" s="9" t="s">
        <v>3325</v>
      </c>
      <c r="O326" s="9" t="s">
        <v>3351</v>
      </c>
      <c r="P326" s="9" t="s">
        <v>4042</v>
      </c>
      <c r="Q326" s="58" t="s">
        <v>3770</v>
      </c>
      <c r="R326" s="58">
        <v>4</v>
      </c>
      <c r="S326" s="58">
        <v>7</v>
      </c>
      <c r="T326" s="9" t="s">
        <v>3065</v>
      </c>
      <c r="U326" s="9" t="s">
        <v>4043</v>
      </c>
      <c r="V326" s="58">
        <v>4</v>
      </c>
      <c r="W326" s="9"/>
      <c r="X326" s="9"/>
      <c r="Y326" s="9"/>
      <c r="Z326" s="9"/>
    </row>
    <row r="327" spans="1:26" ht="15.75" hidden="1" customHeight="1">
      <c r="A327" s="9" t="s">
        <v>1512</v>
      </c>
      <c r="B327" s="9" t="s">
        <v>4044</v>
      </c>
      <c r="C327" s="9" t="s">
        <v>539</v>
      </c>
      <c r="D327" s="9" t="s">
        <v>439</v>
      </c>
      <c r="E327" s="9"/>
      <c r="F327" s="9"/>
      <c r="G327" s="58">
        <v>7200</v>
      </c>
      <c r="H327" s="85">
        <v>6.6666666666666596E-2</v>
      </c>
      <c r="I327" s="9">
        <v>30.6</v>
      </c>
      <c r="J327" s="9"/>
      <c r="K327" s="9"/>
      <c r="L327" s="9"/>
      <c r="M327" s="9"/>
      <c r="N327" s="9" t="s">
        <v>3375</v>
      </c>
      <c r="O327" s="9" t="s">
        <v>3258</v>
      </c>
      <c r="P327" s="9" t="s">
        <v>3644</v>
      </c>
      <c r="Q327" s="58" t="s">
        <v>3069</v>
      </c>
      <c r="R327" s="58">
        <v>1</v>
      </c>
      <c r="S327" s="58">
        <v>8</v>
      </c>
      <c r="T327" s="9" t="s">
        <v>4045</v>
      </c>
      <c r="U327" s="9" t="s">
        <v>4046</v>
      </c>
      <c r="V327" s="58">
        <v>1</v>
      </c>
      <c r="W327" s="9"/>
      <c r="X327" s="9"/>
      <c r="Y327" s="9"/>
      <c r="Z327" s="9"/>
    </row>
    <row r="328" spans="1:26" ht="15.75" hidden="1" customHeight="1">
      <c r="A328" s="9" t="s">
        <v>1512</v>
      </c>
      <c r="B328" s="9" t="s">
        <v>4044</v>
      </c>
      <c r="C328" s="9" t="s">
        <v>539</v>
      </c>
      <c r="D328" s="9" t="s">
        <v>368</v>
      </c>
      <c r="E328" s="9" t="s">
        <v>3067</v>
      </c>
      <c r="F328" s="58" t="s">
        <v>3057</v>
      </c>
      <c r="G328" s="58">
        <v>8400</v>
      </c>
      <c r="H328" s="85">
        <v>0.2</v>
      </c>
      <c r="I328" s="9">
        <v>30.6</v>
      </c>
      <c r="J328" s="9"/>
      <c r="K328" s="9"/>
      <c r="L328" s="9"/>
      <c r="M328" s="9"/>
      <c r="N328" s="9" t="s">
        <v>3375</v>
      </c>
      <c r="O328" s="9" t="s">
        <v>3258</v>
      </c>
      <c r="P328" s="9" t="s">
        <v>4047</v>
      </c>
      <c r="Q328" s="58" t="s">
        <v>3074</v>
      </c>
      <c r="R328" s="58">
        <v>4</v>
      </c>
      <c r="S328" s="58">
        <v>7</v>
      </c>
      <c r="T328" s="9" t="s">
        <v>4045</v>
      </c>
      <c r="U328" s="9" t="s">
        <v>4048</v>
      </c>
      <c r="V328" s="58">
        <v>4</v>
      </c>
      <c r="W328" s="9"/>
      <c r="X328" s="9"/>
      <c r="Y328" s="9"/>
      <c r="Z328" s="9"/>
    </row>
    <row r="329" spans="1:26" ht="15.75" hidden="1" customHeight="1">
      <c r="A329" s="9" t="s">
        <v>1517</v>
      </c>
      <c r="B329" s="9" t="s">
        <v>4049</v>
      </c>
      <c r="C329" s="9" t="s">
        <v>837</v>
      </c>
      <c r="D329" s="9" t="s">
        <v>439</v>
      </c>
      <c r="E329" s="9"/>
      <c r="F329" s="9"/>
      <c r="G329" s="58">
        <v>8000</v>
      </c>
      <c r="H329" s="85">
        <v>0.06</v>
      </c>
      <c r="I329" s="9">
        <v>30.5</v>
      </c>
      <c r="J329" s="9"/>
      <c r="K329" s="9"/>
      <c r="L329" s="9"/>
      <c r="M329" s="9"/>
      <c r="N329" s="9" t="s">
        <v>3375</v>
      </c>
      <c r="O329" s="9" t="s">
        <v>3051</v>
      </c>
      <c r="P329" s="9" t="s">
        <v>3415</v>
      </c>
      <c r="Q329" s="58" t="s">
        <v>3167</v>
      </c>
      <c r="R329" s="58">
        <v>1</v>
      </c>
      <c r="S329" s="58">
        <v>8</v>
      </c>
      <c r="T329" s="9" t="s">
        <v>4050</v>
      </c>
      <c r="U329" s="9" t="s">
        <v>4051</v>
      </c>
      <c r="V329" s="58">
        <v>1</v>
      </c>
      <c r="W329" s="9"/>
      <c r="X329" s="9"/>
      <c r="Y329" s="9"/>
      <c r="Z329" s="9"/>
    </row>
    <row r="330" spans="1:26" ht="15.75" hidden="1" customHeight="1">
      <c r="A330" s="9" t="s">
        <v>1517</v>
      </c>
      <c r="B330" s="9" t="s">
        <v>4049</v>
      </c>
      <c r="C330" s="9" t="s">
        <v>837</v>
      </c>
      <c r="D330" s="9" t="s">
        <v>368</v>
      </c>
      <c r="E330" s="9" t="s">
        <v>3067</v>
      </c>
      <c r="F330" s="58" t="s">
        <v>3057</v>
      </c>
      <c r="G330" s="58">
        <v>5600</v>
      </c>
      <c r="H330" s="85">
        <v>0.3</v>
      </c>
      <c r="I330" s="9">
        <v>30.5</v>
      </c>
      <c r="J330" s="9"/>
      <c r="K330" s="9"/>
      <c r="L330" s="9"/>
      <c r="M330" s="9"/>
      <c r="N330" s="9" t="s">
        <v>3375</v>
      </c>
      <c r="O330" s="9" t="s">
        <v>3051</v>
      </c>
      <c r="P330" s="9" t="s">
        <v>4052</v>
      </c>
      <c r="Q330" s="58" t="s">
        <v>3185</v>
      </c>
      <c r="R330" s="58">
        <v>4</v>
      </c>
      <c r="S330" s="58">
        <v>7</v>
      </c>
      <c r="T330" s="9" t="s">
        <v>4050</v>
      </c>
      <c r="U330" s="9" t="s">
        <v>4053</v>
      </c>
      <c r="V330" s="58">
        <v>4</v>
      </c>
      <c r="W330" s="9"/>
      <c r="X330" s="9"/>
      <c r="Y330" s="9"/>
      <c r="Z330" s="9"/>
    </row>
    <row r="331" spans="1:26" ht="15.75" hidden="1" customHeight="1">
      <c r="A331" s="9" t="s">
        <v>1520</v>
      </c>
      <c r="B331" s="9" t="s">
        <v>4054</v>
      </c>
      <c r="C331" s="9" t="s">
        <v>657</v>
      </c>
      <c r="D331" s="9" t="s">
        <v>439</v>
      </c>
      <c r="E331" s="9"/>
      <c r="F331" s="9"/>
      <c r="G331" s="58">
        <v>5440</v>
      </c>
      <c r="H331" s="85">
        <v>8.8235294117646995E-2</v>
      </c>
      <c r="I331" s="9">
        <v>47.7</v>
      </c>
      <c r="J331" s="9"/>
      <c r="K331" s="9"/>
      <c r="L331" s="9"/>
      <c r="M331" s="9"/>
      <c r="N331" s="9" t="s">
        <v>3446</v>
      </c>
      <c r="O331" s="9" t="s">
        <v>3081</v>
      </c>
      <c r="P331" s="9" t="s">
        <v>3489</v>
      </c>
      <c r="Q331" s="58" t="s">
        <v>3490</v>
      </c>
      <c r="R331" s="58">
        <v>1</v>
      </c>
      <c r="S331" s="58">
        <v>8</v>
      </c>
      <c r="T331" s="9" t="s">
        <v>3065</v>
      </c>
      <c r="U331" s="9" t="s">
        <v>4055</v>
      </c>
      <c r="V331" s="58">
        <v>1</v>
      </c>
      <c r="W331" s="9"/>
      <c r="X331" s="9"/>
      <c r="Y331" s="9"/>
      <c r="Z331" s="9"/>
    </row>
    <row r="332" spans="1:26" ht="15.75" hidden="1" customHeight="1">
      <c r="A332" s="9" t="s">
        <v>1520</v>
      </c>
      <c r="B332" s="9" t="s">
        <v>4054</v>
      </c>
      <c r="C332" s="9" t="s">
        <v>657</v>
      </c>
      <c r="D332" s="9" t="s">
        <v>368</v>
      </c>
      <c r="E332" s="9" t="s">
        <v>3092</v>
      </c>
      <c r="F332" s="58" t="s">
        <v>3087</v>
      </c>
      <c r="G332" s="58">
        <v>6160</v>
      </c>
      <c r="H332" s="85">
        <v>0.27272727272727199</v>
      </c>
      <c r="I332" s="9">
        <v>47.7</v>
      </c>
      <c r="J332" s="9"/>
      <c r="K332" s="9"/>
      <c r="L332" s="9"/>
      <c r="M332" s="9"/>
      <c r="N332" s="9" t="s">
        <v>3446</v>
      </c>
      <c r="O332" s="9" t="s">
        <v>3081</v>
      </c>
      <c r="P332" s="9" t="s">
        <v>4056</v>
      </c>
      <c r="Q332" s="58" t="s">
        <v>4057</v>
      </c>
      <c r="R332" s="58">
        <v>4</v>
      </c>
      <c r="S332" s="58">
        <v>7</v>
      </c>
      <c r="T332" s="9" t="s">
        <v>3065</v>
      </c>
      <c r="U332" s="9" t="s">
        <v>4058</v>
      </c>
      <c r="V332" s="58">
        <v>4</v>
      </c>
      <c r="W332" s="9"/>
      <c r="X332" s="9"/>
      <c r="Y332" s="9"/>
      <c r="Z332" s="9"/>
    </row>
    <row r="333" spans="1:26" ht="15.75" hidden="1" customHeight="1">
      <c r="A333" s="9" t="s">
        <v>1523</v>
      </c>
      <c r="B333" s="9" t="s">
        <v>4059</v>
      </c>
      <c r="C333" s="9" t="s">
        <v>606</v>
      </c>
      <c r="D333" s="9" t="s">
        <v>368</v>
      </c>
      <c r="E333" s="9" t="s">
        <v>3092</v>
      </c>
      <c r="F333" s="58" t="s">
        <v>3087</v>
      </c>
      <c r="G333" s="58">
        <v>4550</v>
      </c>
      <c r="H333" s="85">
        <v>0.36923076923076897</v>
      </c>
      <c r="I333" s="9">
        <v>30</v>
      </c>
      <c r="J333" s="9"/>
      <c r="K333" s="9"/>
      <c r="L333" s="9"/>
      <c r="M333" s="9"/>
      <c r="N333" s="9" t="s">
        <v>3105</v>
      </c>
      <c r="O333" s="9" t="s">
        <v>3081</v>
      </c>
      <c r="P333" s="9" t="s">
        <v>4060</v>
      </c>
      <c r="Q333" s="58" t="s">
        <v>3687</v>
      </c>
      <c r="R333" s="58">
        <v>4</v>
      </c>
      <c r="S333" s="58">
        <v>7</v>
      </c>
      <c r="T333" s="9" t="s">
        <v>4061</v>
      </c>
      <c r="U333" s="9" t="s">
        <v>4062</v>
      </c>
      <c r="V333" s="58">
        <v>4</v>
      </c>
      <c r="W333" s="9"/>
      <c r="X333" s="9"/>
      <c r="Y333" s="9"/>
      <c r="Z333" s="9"/>
    </row>
    <row r="334" spans="1:26" ht="15.75" hidden="1" customHeight="1">
      <c r="A334" s="9" t="s">
        <v>1526</v>
      </c>
      <c r="B334" s="9" t="s">
        <v>4063</v>
      </c>
      <c r="C334" s="9" t="s">
        <v>655</v>
      </c>
      <c r="D334" s="9" t="s">
        <v>439</v>
      </c>
      <c r="E334" s="9"/>
      <c r="F334" s="9"/>
      <c r="G334" s="58">
        <v>6400</v>
      </c>
      <c r="H334" s="85">
        <v>7.4999999999999997E-2</v>
      </c>
      <c r="I334" s="9">
        <v>49.3</v>
      </c>
      <c r="J334" s="9"/>
      <c r="K334" s="9"/>
      <c r="L334" s="9"/>
      <c r="M334" s="9"/>
      <c r="N334" s="9" t="s">
        <v>3676</v>
      </c>
      <c r="O334" s="9" t="s">
        <v>3081</v>
      </c>
      <c r="P334" s="9" t="s">
        <v>3190</v>
      </c>
      <c r="Q334" s="58" t="s">
        <v>3185</v>
      </c>
      <c r="R334" s="58">
        <v>1</v>
      </c>
      <c r="S334" s="58">
        <v>8</v>
      </c>
      <c r="T334" s="9" t="s">
        <v>4064</v>
      </c>
      <c r="U334" s="9" t="s">
        <v>4065</v>
      </c>
      <c r="V334" s="58">
        <v>1</v>
      </c>
      <c r="W334" s="9"/>
      <c r="X334" s="9"/>
      <c r="Y334" s="9"/>
      <c r="Z334" s="9"/>
    </row>
    <row r="335" spans="1:26" ht="15.75" hidden="1" customHeight="1">
      <c r="A335" s="9" t="s">
        <v>1526</v>
      </c>
      <c r="B335" s="9" t="s">
        <v>4063</v>
      </c>
      <c r="C335" s="9" t="s">
        <v>655</v>
      </c>
      <c r="D335" s="9" t="s">
        <v>368</v>
      </c>
      <c r="E335" s="9" t="s">
        <v>3067</v>
      </c>
      <c r="F335" s="58" t="s">
        <v>3057</v>
      </c>
      <c r="G335" s="58">
        <v>7000</v>
      </c>
      <c r="H335" s="85">
        <v>0.24</v>
      </c>
      <c r="I335" s="9">
        <v>49.3</v>
      </c>
      <c r="J335" s="9"/>
      <c r="K335" s="9"/>
      <c r="L335" s="9"/>
      <c r="M335" s="9"/>
      <c r="N335" s="9" t="s">
        <v>3676</v>
      </c>
      <c r="O335" s="9" t="s">
        <v>3081</v>
      </c>
      <c r="P335" s="9" t="s">
        <v>4066</v>
      </c>
      <c r="Q335" s="58" t="s">
        <v>3167</v>
      </c>
      <c r="R335" s="58">
        <v>4</v>
      </c>
      <c r="S335" s="58">
        <v>7</v>
      </c>
      <c r="T335" s="9" t="s">
        <v>4064</v>
      </c>
      <c r="U335" s="9" t="s">
        <v>4067</v>
      </c>
      <c r="V335" s="58">
        <v>4</v>
      </c>
      <c r="W335" s="9"/>
      <c r="X335" s="9"/>
      <c r="Y335" s="9"/>
      <c r="Z335" s="9"/>
    </row>
    <row r="336" spans="1:26" ht="15.75" hidden="1" customHeight="1">
      <c r="A336" s="9" t="s">
        <v>148</v>
      </c>
      <c r="B336" s="9" t="s">
        <v>4068</v>
      </c>
      <c r="C336" s="9" t="s">
        <v>149</v>
      </c>
      <c r="D336" s="9" t="s">
        <v>439</v>
      </c>
      <c r="E336" s="9"/>
      <c r="F336" s="9"/>
      <c r="G336" s="58">
        <v>7920</v>
      </c>
      <c r="H336" s="85">
        <v>6.0606060606060601E-2</v>
      </c>
      <c r="I336" s="9">
        <v>250</v>
      </c>
      <c r="J336" s="9"/>
      <c r="K336" s="9"/>
      <c r="L336" s="9"/>
      <c r="M336" s="9"/>
      <c r="N336" s="9" t="s">
        <v>4069</v>
      </c>
      <c r="O336" s="9" t="s">
        <v>3081</v>
      </c>
      <c r="P336" s="9" t="s">
        <v>4070</v>
      </c>
      <c r="Q336" s="58" t="s">
        <v>4071</v>
      </c>
      <c r="R336" s="58">
        <v>1</v>
      </c>
      <c r="S336" s="58">
        <v>8</v>
      </c>
      <c r="T336" s="9" t="s">
        <v>4072</v>
      </c>
      <c r="U336" s="9" t="s">
        <v>4073</v>
      </c>
      <c r="V336" s="58">
        <v>1</v>
      </c>
      <c r="W336" s="9"/>
      <c r="X336" s="9"/>
      <c r="Y336" s="9"/>
      <c r="Z336" s="9"/>
    </row>
    <row r="337" spans="1:26" ht="15.75" hidden="1" customHeight="1">
      <c r="A337" s="9" t="s">
        <v>148</v>
      </c>
      <c r="B337" s="9" t="s">
        <v>4068</v>
      </c>
      <c r="C337" s="9" t="s">
        <v>149</v>
      </c>
      <c r="D337" s="9" t="s">
        <v>368</v>
      </c>
      <c r="E337" s="9" t="s">
        <v>3086</v>
      </c>
      <c r="F337" s="58" t="s">
        <v>3087</v>
      </c>
      <c r="G337" s="58">
        <v>3840</v>
      </c>
      <c r="H337" s="85">
        <v>0.375</v>
      </c>
      <c r="I337" s="9">
        <v>250</v>
      </c>
      <c r="J337" s="9"/>
      <c r="K337" s="9"/>
      <c r="L337" s="9"/>
      <c r="M337" s="9"/>
      <c r="N337" s="9" t="s">
        <v>4069</v>
      </c>
      <c r="O337" s="9" t="s">
        <v>3081</v>
      </c>
      <c r="P337" s="9" t="s">
        <v>4074</v>
      </c>
      <c r="Q337" s="58" t="s">
        <v>3764</v>
      </c>
      <c r="R337" s="58">
        <v>3</v>
      </c>
      <c r="S337" s="58">
        <v>8</v>
      </c>
      <c r="T337" s="9" t="s">
        <v>4072</v>
      </c>
      <c r="U337" s="9" t="s">
        <v>4075</v>
      </c>
      <c r="V337" s="58">
        <v>3</v>
      </c>
      <c r="W337" s="9"/>
      <c r="X337" s="9"/>
      <c r="Y337" s="9"/>
      <c r="Z337" s="9"/>
    </row>
    <row r="338" spans="1:26" ht="15.75" hidden="1" customHeight="1">
      <c r="A338" s="9" t="s">
        <v>151</v>
      </c>
      <c r="B338" s="9" t="s">
        <v>4076</v>
      </c>
      <c r="C338" s="9" t="s">
        <v>152</v>
      </c>
      <c r="D338" s="9" t="s">
        <v>439</v>
      </c>
      <c r="E338" s="9"/>
      <c r="F338" s="9"/>
      <c r="G338" s="58">
        <v>6160</v>
      </c>
      <c r="H338" s="85">
        <v>7.7922077922077906E-2</v>
      </c>
      <c r="I338" s="9">
        <v>500</v>
      </c>
      <c r="J338" s="9"/>
      <c r="K338" s="9"/>
      <c r="L338" s="9"/>
      <c r="M338" s="9"/>
      <c r="N338" s="9" t="s">
        <v>4069</v>
      </c>
      <c r="O338" s="9" t="s">
        <v>3081</v>
      </c>
      <c r="P338" s="9" t="s">
        <v>4077</v>
      </c>
      <c r="Q338" s="58" t="s">
        <v>3221</v>
      </c>
      <c r="R338" s="58">
        <v>1</v>
      </c>
      <c r="S338" s="58">
        <v>8</v>
      </c>
      <c r="T338" s="9" t="s">
        <v>4078</v>
      </c>
      <c r="U338" s="9" t="s">
        <v>4079</v>
      </c>
      <c r="V338" s="58">
        <v>1</v>
      </c>
      <c r="W338" s="9"/>
      <c r="X338" s="9"/>
      <c r="Y338" s="9"/>
      <c r="Z338" s="9"/>
    </row>
    <row r="339" spans="1:26" ht="15.75" hidden="1" customHeight="1">
      <c r="A339" s="9" t="s">
        <v>151</v>
      </c>
      <c r="B339" s="9" t="s">
        <v>4076</v>
      </c>
      <c r="C339" s="9" t="s">
        <v>152</v>
      </c>
      <c r="D339" s="9" t="s">
        <v>368</v>
      </c>
      <c r="E339" s="9" t="s">
        <v>3086</v>
      </c>
      <c r="F339" s="58" t="s">
        <v>3087</v>
      </c>
      <c r="G339" s="58">
        <v>2450</v>
      </c>
      <c r="H339" s="85">
        <v>0.68571428571428505</v>
      </c>
      <c r="I339" s="9">
        <v>500</v>
      </c>
      <c r="J339" s="9"/>
      <c r="K339" s="9"/>
      <c r="L339" s="9"/>
      <c r="M339" s="9"/>
      <c r="N339" s="9" t="s">
        <v>4069</v>
      </c>
      <c r="O339" s="9" t="s">
        <v>3081</v>
      </c>
      <c r="P339" s="9" t="s">
        <v>4080</v>
      </c>
      <c r="Q339" s="58" t="s">
        <v>4081</v>
      </c>
      <c r="R339" s="58">
        <v>4</v>
      </c>
      <c r="S339" s="58">
        <v>7</v>
      </c>
      <c r="T339" s="9" t="s">
        <v>4078</v>
      </c>
      <c r="U339" s="9" t="s">
        <v>4082</v>
      </c>
      <c r="V339" s="58">
        <v>4</v>
      </c>
      <c r="W339" s="9"/>
      <c r="X339" s="9"/>
      <c r="Y339" s="9"/>
      <c r="Z339" s="9"/>
    </row>
    <row r="340" spans="1:26" ht="15.75" hidden="1" customHeight="1">
      <c r="A340" s="9" t="s">
        <v>4083</v>
      </c>
      <c r="B340" s="9" t="s">
        <v>4084</v>
      </c>
      <c r="C340" s="9" t="s">
        <v>4085</v>
      </c>
      <c r="D340" s="9" t="s">
        <v>439</v>
      </c>
      <c r="E340" s="9"/>
      <c r="F340" s="9"/>
      <c r="G340" s="58">
        <v>11200</v>
      </c>
      <c r="H340" s="85">
        <v>4.2857142857142802E-2</v>
      </c>
      <c r="I340" s="9">
        <v>10</v>
      </c>
      <c r="J340" s="9"/>
      <c r="K340" s="9"/>
      <c r="L340" s="9"/>
      <c r="M340" s="9"/>
      <c r="N340" s="9" t="s">
        <v>3130</v>
      </c>
      <c r="O340" s="9" t="s">
        <v>3339</v>
      </c>
      <c r="P340" s="9" t="s">
        <v>3293</v>
      </c>
      <c r="Q340" s="58" t="s">
        <v>3294</v>
      </c>
      <c r="R340" s="58">
        <v>1</v>
      </c>
      <c r="S340" s="58">
        <v>8</v>
      </c>
      <c r="T340" s="9" t="s">
        <v>4086</v>
      </c>
      <c r="U340" s="9" t="s">
        <v>4087</v>
      </c>
      <c r="V340" s="58">
        <v>1</v>
      </c>
      <c r="W340" s="9"/>
      <c r="X340" s="9"/>
      <c r="Y340" s="9"/>
      <c r="Z340" s="9"/>
    </row>
    <row r="341" spans="1:26" ht="15.75" hidden="1" customHeight="1">
      <c r="A341" s="9" t="s">
        <v>4083</v>
      </c>
      <c r="B341" s="9" t="s">
        <v>4084</v>
      </c>
      <c r="C341" s="9" t="s">
        <v>4085</v>
      </c>
      <c r="D341" s="9" t="s">
        <v>368</v>
      </c>
      <c r="E341" s="9" t="s">
        <v>3056</v>
      </c>
      <c r="F341" s="58" t="s">
        <v>3057</v>
      </c>
      <c r="G341" s="58">
        <v>6650</v>
      </c>
      <c r="H341" s="85">
        <v>0.25263157894736799</v>
      </c>
      <c r="I341" s="9">
        <v>10</v>
      </c>
      <c r="J341" s="9"/>
      <c r="K341" s="9"/>
      <c r="L341" s="9"/>
      <c r="M341" s="9"/>
      <c r="N341" s="9" t="s">
        <v>3130</v>
      </c>
      <c r="O341" s="9" t="s">
        <v>3339</v>
      </c>
      <c r="P341" s="9" t="s">
        <v>4088</v>
      </c>
      <c r="Q341" s="58" t="s">
        <v>3409</v>
      </c>
      <c r="R341" s="58">
        <v>4</v>
      </c>
      <c r="S341" s="58">
        <v>7</v>
      </c>
      <c r="T341" s="9" t="s">
        <v>4086</v>
      </c>
      <c r="U341" s="9" t="s">
        <v>4089</v>
      </c>
      <c r="V341" s="58">
        <v>4</v>
      </c>
      <c r="W341" s="9"/>
      <c r="X341" s="9"/>
      <c r="Y341" s="9"/>
      <c r="Z341" s="9"/>
    </row>
    <row r="342" spans="1:26" ht="15.75" hidden="1" customHeight="1">
      <c r="A342" s="9" t="s">
        <v>4090</v>
      </c>
      <c r="B342" s="9" t="s">
        <v>4091</v>
      </c>
      <c r="C342" s="9" t="s">
        <v>4092</v>
      </c>
      <c r="D342" s="9" t="s">
        <v>439</v>
      </c>
      <c r="E342" s="9"/>
      <c r="F342" s="9"/>
      <c r="G342" s="58">
        <v>12000</v>
      </c>
      <c r="H342" s="85">
        <v>0.04</v>
      </c>
      <c r="I342" s="9">
        <v>29.5</v>
      </c>
      <c r="J342" s="9"/>
      <c r="K342" s="9"/>
      <c r="L342" s="9"/>
      <c r="M342" s="9"/>
      <c r="N342" s="9" t="s">
        <v>4093</v>
      </c>
      <c r="O342" s="9" t="s">
        <v>3339</v>
      </c>
      <c r="P342" s="9" t="s">
        <v>3148</v>
      </c>
      <c r="Q342" s="58" t="s">
        <v>3143</v>
      </c>
      <c r="R342" s="58">
        <v>1</v>
      </c>
      <c r="S342" s="58">
        <v>8</v>
      </c>
      <c r="T342" s="9" t="s">
        <v>3065</v>
      </c>
      <c r="U342" s="9" t="s">
        <v>4094</v>
      </c>
      <c r="V342" s="58">
        <v>1</v>
      </c>
      <c r="W342" s="9"/>
      <c r="X342" s="9"/>
      <c r="Y342" s="9"/>
      <c r="Z342" s="9"/>
    </row>
    <row r="343" spans="1:26" ht="15.75" hidden="1" customHeight="1">
      <c r="A343" s="9" t="s">
        <v>4090</v>
      </c>
      <c r="B343" s="9" t="s">
        <v>4091</v>
      </c>
      <c r="C343" s="9" t="s">
        <v>4092</v>
      </c>
      <c r="D343" s="9" t="s">
        <v>368</v>
      </c>
      <c r="E343" s="9" t="s">
        <v>3067</v>
      </c>
      <c r="F343" s="58" t="s">
        <v>3057</v>
      </c>
      <c r="G343" s="58">
        <v>6300</v>
      </c>
      <c r="H343" s="85">
        <v>0.266666666666666</v>
      </c>
      <c r="I343" s="9">
        <v>29.5</v>
      </c>
      <c r="J343" s="9"/>
      <c r="K343" s="9"/>
      <c r="L343" s="9"/>
      <c r="M343" s="9"/>
      <c r="N343" s="9" t="s">
        <v>4093</v>
      </c>
      <c r="O343" s="9" t="s">
        <v>3339</v>
      </c>
      <c r="P343" s="9" t="s">
        <v>4095</v>
      </c>
      <c r="Q343" s="58" t="s">
        <v>3069</v>
      </c>
      <c r="R343" s="58">
        <v>4</v>
      </c>
      <c r="S343" s="58">
        <v>7</v>
      </c>
      <c r="T343" s="9" t="s">
        <v>3065</v>
      </c>
      <c r="U343" s="9" t="s">
        <v>4096</v>
      </c>
      <c r="V343" s="58">
        <v>4</v>
      </c>
      <c r="W343" s="9"/>
      <c r="X343" s="9"/>
      <c r="Y343" s="9"/>
      <c r="Z343" s="9"/>
    </row>
    <row r="344" spans="1:26" ht="15.75" hidden="1" customHeight="1">
      <c r="A344" s="9" t="s">
        <v>255</v>
      </c>
      <c r="B344" s="9" t="s">
        <v>4097</v>
      </c>
      <c r="C344" s="9" t="s">
        <v>256</v>
      </c>
      <c r="D344" s="9" t="s">
        <v>439</v>
      </c>
      <c r="E344" s="9"/>
      <c r="F344" s="9"/>
      <c r="G344" s="58">
        <v>12000</v>
      </c>
      <c r="H344" s="85">
        <v>0.04</v>
      </c>
      <c r="I344" s="9">
        <v>28.5</v>
      </c>
      <c r="J344" s="9"/>
      <c r="K344" s="9"/>
      <c r="L344" s="9"/>
      <c r="M344" s="9"/>
      <c r="N344" s="9" t="s">
        <v>3130</v>
      </c>
      <c r="O344" s="9" t="s">
        <v>4098</v>
      </c>
      <c r="P344" s="9" t="s">
        <v>3148</v>
      </c>
      <c r="Q344" s="58" t="s">
        <v>3143</v>
      </c>
      <c r="R344" s="58">
        <v>1</v>
      </c>
      <c r="S344" s="58">
        <v>8</v>
      </c>
      <c r="T344" s="9" t="s">
        <v>4099</v>
      </c>
      <c r="U344" s="9" t="s">
        <v>4100</v>
      </c>
      <c r="V344" s="58">
        <v>1</v>
      </c>
      <c r="W344" s="9"/>
      <c r="X344" s="9"/>
      <c r="Y344" s="9"/>
      <c r="Z344" s="9"/>
    </row>
    <row r="345" spans="1:26" ht="15.75" hidden="1" customHeight="1">
      <c r="A345" s="9" t="s">
        <v>255</v>
      </c>
      <c r="B345" s="9" t="s">
        <v>4097</v>
      </c>
      <c r="C345" s="9" t="s">
        <v>256</v>
      </c>
      <c r="D345" s="9" t="s">
        <v>368</v>
      </c>
      <c r="E345" s="9" t="s">
        <v>3067</v>
      </c>
      <c r="F345" s="58" t="s">
        <v>3057</v>
      </c>
      <c r="G345" s="58">
        <v>7000</v>
      </c>
      <c r="H345" s="85">
        <v>0.24</v>
      </c>
      <c r="I345" s="9">
        <v>28.5</v>
      </c>
      <c r="J345" s="9"/>
      <c r="K345" s="9"/>
      <c r="L345" s="9"/>
      <c r="M345" s="9"/>
      <c r="N345" s="9" t="s">
        <v>3130</v>
      </c>
      <c r="O345" s="9" t="s">
        <v>4098</v>
      </c>
      <c r="P345" s="9" t="s">
        <v>4101</v>
      </c>
      <c r="Q345" s="58" t="s">
        <v>3167</v>
      </c>
      <c r="R345" s="58">
        <v>4</v>
      </c>
      <c r="S345" s="58">
        <v>7</v>
      </c>
      <c r="T345" s="9" t="s">
        <v>4099</v>
      </c>
      <c r="U345" s="9" t="s">
        <v>4102</v>
      </c>
      <c r="V345" s="58">
        <v>4</v>
      </c>
      <c r="W345" s="9"/>
      <c r="X345" s="9"/>
      <c r="Y345" s="9"/>
      <c r="Z345" s="9"/>
    </row>
    <row r="346" spans="1:26" ht="15.75" hidden="1" customHeight="1">
      <c r="A346" s="9" t="s">
        <v>258</v>
      </c>
      <c r="B346" s="9" t="s">
        <v>4103</v>
      </c>
      <c r="C346" s="9" t="s">
        <v>259</v>
      </c>
      <c r="D346" s="9" t="s">
        <v>439</v>
      </c>
      <c r="E346" s="9"/>
      <c r="F346" s="9"/>
      <c r="G346" s="58">
        <v>8800</v>
      </c>
      <c r="H346" s="85">
        <v>5.4545454545454501E-2</v>
      </c>
      <c r="I346" s="9">
        <v>95.1</v>
      </c>
      <c r="J346" s="9"/>
      <c r="K346" s="9"/>
      <c r="L346" s="9"/>
      <c r="M346" s="9"/>
      <c r="N346" s="9" t="s">
        <v>3130</v>
      </c>
      <c r="O346" s="9" t="s">
        <v>3339</v>
      </c>
      <c r="P346" s="9" t="s">
        <v>3125</v>
      </c>
      <c r="Q346" s="58" t="s">
        <v>3077</v>
      </c>
      <c r="R346" s="58">
        <v>1</v>
      </c>
      <c r="S346" s="58">
        <v>8</v>
      </c>
      <c r="T346" s="9" t="s">
        <v>3065</v>
      </c>
      <c r="U346" s="9" t="s">
        <v>4104</v>
      </c>
      <c r="V346" s="58">
        <v>1</v>
      </c>
      <c r="W346" s="9"/>
      <c r="X346" s="9"/>
      <c r="Y346" s="9"/>
      <c r="Z346" s="9"/>
    </row>
    <row r="347" spans="1:26" ht="15.75" hidden="1" customHeight="1">
      <c r="A347" s="9" t="s">
        <v>258</v>
      </c>
      <c r="B347" s="9" t="s">
        <v>4103</v>
      </c>
      <c r="C347" s="9" t="s">
        <v>259</v>
      </c>
      <c r="D347" s="9" t="s">
        <v>368</v>
      </c>
      <c r="E347" s="9" t="s">
        <v>3067</v>
      </c>
      <c r="F347" s="58" t="s">
        <v>3057</v>
      </c>
      <c r="G347" s="58">
        <v>4480</v>
      </c>
      <c r="H347" s="85">
        <v>0.375</v>
      </c>
      <c r="I347" s="9">
        <v>95.1</v>
      </c>
      <c r="J347" s="9"/>
      <c r="K347" s="9"/>
      <c r="L347" s="9"/>
      <c r="M347" s="9"/>
      <c r="N347" s="9" t="s">
        <v>3130</v>
      </c>
      <c r="O347" s="9" t="s">
        <v>3339</v>
      </c>
      <c r="P347" s="9" t="s">
        <v>4105</v>
      </c>
      <c r="Q347" s="58" t="s">
        <v>4106</v>
      </c>
      <c r="R347" s="58">
        <v>4</v>
      </c>
      <c r="S347" s="58">
        <v>7</v>
      </c>
      <c r="T347" s="9" t="s">
        <v>3065</v>
      </c>
      <c r="U347" s="9" t="s">
        <v>4107</v>
      </c>
      <c r="V347" s="58">
        <v>4</v>
      </c>
      <c r="W347" s="9"/>
      <c r="X347" s="9"/>
      <c r="Y347" s="9"/>
      <c r="Z347" s="9"/>
    </row>
    <row r="348" spans="1:26" ht="15.75" hidden="1" customHeight="1">
      <c r="A348" s="9" t="s">
        <v>1537</v>
      </c>
      <c r="B348" s="9" t="s">
        <v>4108</v>
      </c>
      <c r="C348" s="9" t="s">
        <v>576</v>
      </c>
      <c r="D348" s="9" t="s">
        <v>439</v>
      </c>
      <c r="E348" s="9"/>
      <c r="F348" s="9"/>
      <c r="G348" s="58">
        <v>12000</v>
      </c>
      <c r="H348" s="85">
        <v>0.04</v>
      </c>
      <c r="I348" s="9">
        <v>15</v>
      </c>
      <c r="J348" s="9"/>
      <c r="K348" s="9"/>
      <c r="L348" s="9"/>
      <c r="M348" s="9"/>
      <c r="N348" s="9" t="s">
        <v>3105</v>
      </c>
      <c r="O348" s="9" t="s">
        <v>3081</v>
      </c>
      <c r="P348" s="9" t="s">
        <v>3148</v>
      </c>
      <c r="Q348" s="58" t="s">
        <v>3143</v>
      </c>
      <c r="R348" s="58">
        <v>1</v>
      </c>
      <c r="S348" s="58">
        <v>8</v>
      </c>
      <c r="T348" s="9" t="s">
        <v>3065</v>
      </c>
      <c r="U348" s="9" t="s">
        <v>4109</v>
      </c>
      <c r="V348" s="58">
        <v>1</v>
      </c>
      <c r="W348" s="9"/>
      <c r="X348" s="9"/>
      <c r="Y348" s="9"/>
      <c r="Z348" s="9"/>
    </row>
    <row r="349" spans="1:26" ht="15.75" hidden="1" customHeight="1">
      <c r="A349" s="9" t="s">
        <v>1537</v>
      </c>
      <c r="B349" s="9" t="s">
        <v>4108</v>
      </c>
      <c r="C349" s="9" t="s">
        <v>576</v>
      </c>
      <c r="D349" s="9" t="s">
        <v>368</v>
      </c>
      <c r="E349" s="9" t="s">
        <v>3183</v>
      </c>
      <c r="F349" s="58" t="s">
        <v>3087</v>
      </c>
      <c r="G349" s="58">
        <v>7000</v>
      </c>
      <c r="H349" s="85">
        <v>0.24</v>
      </c>
      <c r="I349" s="9">
        <v>15</v>
      </c>
      <c r="J349" s="9"/>
      <c r="K349" s="9"/>
      <c r="L349" s="9"/>
      <c r="M349" s="9"/>
      <c r="N349" s="9" t="s">
        <v>3105</v>
      </c>
      <c r="O349" s="9" t="s">
        <v>3081</v>
      </c>
      <c r="P349" s="9" t="s">
        <v>4110</v>
      </c>
      <c r="Q349" s="58" t="s">
        <v>3167</v>
      </c>
      <c r="R349" s="58">
        <v>4</v>
      </c>
      <c r="S349" s="58">
        <v>7</v>
      </c>
      <c r="T349" s="9" t="s">
        <v>3065</v>
      </c>
      <c r="U349" s="9" t="s">
        <v>4111</v>
      </c>
      <c r="V349" s="58">
        <v>4</v>
      </c>
      <c r="W349" s="9"/>
      <c r="X349" s="9"/>
      <c r="Y349" s="9"/>
      <c r="Z349" s="9"/>
    </row>
    <row r="350" spans="1:26" ht="15.75" hidden="1" customHeight="1">
      <c r="A350" s="9" t="s">
        <v>4112</v>
      </c>
      <c r="B350" s="9" t="s">
        <v>4108</v>
      </c>
      <c r="C350" s="9" t="s">
        <v>576</v>
      </c>
      <c r="D350" s="9" t="s">
        <v>439</v>
      </c>
      <c r="E350" s="9"/>
      <c r="F350" s="9"/>
      <c r="G350" s="58">
        <v>8000</v>
      </c>
      <c r="H350" s="85">
        <v>0.06</v>
      </c>
      <c r="I350" s="9">
        <v>15</v>
      </c>
      <c r="J350" s="9"/>
      <c r="K350" s="9"/>
      <c r="L350" s="9"/>
      <c r="M350" s="9"/>
      <c r="N350" s="9" t="s">
        <v>3446</v>
      </c>
      <c r="O350" s="9" t="s">
        <v>3081</v>
      </c>
      <c r="P350" s="9" t="s">
        <v>3415</v>
      </c>
      <c r="Q350" s="58" t="s">
        <v>3167</v>
      </c>
      <c r="R350" s="58">
        <v>1</v>
      </c>
      <c r="S350" s="58">
        <v>8</v>
      </c>
      <c r="T350" s="9" t="s">
        <v>3065</v>
      </c>
      <c r="U350" s="9" t="s">
        <v>4113</v>
      </c>
      <c r="V350" s="58">
        <v>1</v>
      </c>
      <c r="W350" s="9"/>
      <c r="X350" s="9"/>
      <c r="Y350" s="9"/>
      <c r="Z350" s="9"/>
    </row>
    <row r="351" spans="1:26" ht="15.75" hidden="1" customHeight="1">
      <c r="A351" s="9" t="s">
        <v>4112</v>
      </c>
      <c r="B351" s="9" t="s">
        <v>4108</v>
      </c>
      <c r="C351" s="9" t="s">
        <v>576</v>
      </c>
      <c r="D351" s="9" t="s">
        <v>368</v>
      </c>
      <c r="E351" s="9" t="s">
        <v>3183</v>
      </c>
      <c r="F351" s="58" t="s">
        <v>3087</v>
      </c>
      <c r="G351" s="58">
        <v>5600</v>
      </c>
      <c r="H351" s="85">
        <v>0.3</v>
      </c>
      <c r="I351" s="9">
        <v>15</v>
      </c>
      <c r="J351" s="9"/>
      <c r="K351" s="9"/>
      <c r="L351" s="9"/>
      <c r="M351" s="9"/>
      <c r="N351" s="9" t="s">
        <v>3446</v>
      </c>
      <c r="O351" s="9" t="s">
        <v>3081</v>
      </c>
      <c r="P351" s="9" t="s">
        <v>4114</v>
      </c>
      <c r="Q351" s="58" t="s">
        <v>3185</v>
      </c>
      <c r="R351" s="58">
        <v>4</v>
      </c>
      <c r="S351" s="58">
        <v>7</v>
      </c>
      <c r="T351" s="9" t="s">
        <v>3065</v>
      </c>
      <c r="U351" s="9" t="s">
        <v>4115</v>
      </c>
      <c r="V351" s="58">
        <v>4</v>
      </c>
      <c r="W351" s="9"/>
      <c r="X351" s="9"/>
      <c r="Y351" s="9"/>
      <c r="Z351" s="9"/>
    </row>
    <row r="352" spans="1:26" ht="15.75" hidden="1" customHeight="1">
      <c r="A352" s="9" t="s">
        <v>4116</v>
      </c>
      <c r="B352" s="9" t="s">
        <v>4117</v>
      </c>
      <c r="C352" s="9" t="s">
        <v>4118</v>
      </c>
      <c r="D352" s="9" t="s">
        <v>439</v>
      </c>
      <c r="E352" s="9"/>
      <c r="F352" s="9"/>
      <c r="G352" s="58">
        <v>8000</v>
      </c>
      <c r="H352" s="85">
        <v>0.06</v>
      </c>
      <c r="I352" s="9">
        <v>49</v>
      </c>
      <c r="J352" s="9"/>
      <c r="K352" s="9"/>
      <c r="L352" s="9"/>
      <c r="M352" s="9"/>
      <c r="N352" s="9" t="s">
        <v>3446</v>
      </c>
      <c r="O352" s="9" t="s">
        <v>3081</v>
      </c>
      <c r="P352" s="9" t="s">
        <v>3415</v>
      </c>
      <c r="Q352" s="58" t="s">
        <v>3167</v>
      </c>
      <c r="R352" s="58">
        <v>1</v>
      </c>
      <c r="S352" s="58">
        <v>8</v>
      </c>
      <c r="T352" s="9" t="s">
        <v>3065</v>
      </c>
      <c r="U352" s="9" t="s">
        <v>4119</v>
      </c>
      <c r="V352" s="58">
        <v>1</v>
      </c>
      <c r="W352" s="9"/>
      <c r="X352" s="9"/>
      <c r="Y352" s="9"/>
      <c r="Z352" s="9"/>
    </row>
    <row r="353" spans="1:26" ht="15.75" hidden="1" customHeight="1">
      <c r="A353" s="9" t="s">
        <v>4116</v>
      </c>
      <c r="B353" s="9" t="s">
        <v>4117</v>
      </c>
      <c r="C353" s="9" t="s">
        <v>4118</v>
      </c>
      <c r="D353" s="9" t="s">
        <v>368</v>
      </c>
      <c r="E353" s="9" t="s">
        <v>3092</v>
      </c>
      <c r="F353" s="58" t="s">
        <v>3087</v>
      </c>
      <c r="G353" s="58">
        <v>5250</v>
      </c>
      <c r="H353" s="85">
        <v>0.32</v>
      </c>
      <c r="I353" s="9">
        <v>49</v>
      </c>
      <c r="J353" s="9"/>
      <c r="K353" s="9"/>
      <c r="L353" s="9"/>
      <c r="M353" s="9"/>
      <c r="N353" s="9" t="s">
        <v>3446</v>
      </c>
      <c r="O353" s="9" t="s">
        <v>3081</v>
      </c>
      <c r="P353" s="9" t="s">
        <v>4120</v>
      </c>
      <c r="Q353" s="58" t="s">
        <v>3095</v>
      </c>
      <c r="R353" s="58">
        <v>4</v>
      </c>
      <c r="S353" s="58">
        <v>7</v>
      </c>
      <c r="T353" s="9" t="s">
        <v>3065</v>
      </c>
      <c r="U353" s="9" t="s">
        <v>4121</v>
      </c>
      <c r="V353" s="58">
        <v>4</v>
      </c>
      <c r="W353" s="9"/>
      <c r="X353" s="9"/>
      <c r="Y353" s="9"/>
      <c r="Z353" s="9"/>
    </row>
    <row r="354" spans="1:26" ht="15.75" hidden="1" customHeight="1">
      <c r="A354" s="9" t="s">
        <v>4122</v>
      </c>
      <c r="B354" s="9" t="s">
        <v>4123</v>
      </c>
      <c r="C354" s="9" t="s">
        <v>4124</v>
      </c>
      <c r="D354" s="9" t="s">
        <v>439</v>
      </c>
      <c r="E354" s="9"/>
      <c r="F354" s="9"/>
      <c r="G354" s="58">
        <v>7920</v>
      </c>
      <c r="H354" s="85">
        <v>6.0606060606060601E-2</v>
      </c>
      <c r="I354" s="9">
        <v>245</v>
      </c>
      <c r="J354" s="9"/>
      <c r="K354" s="9"/>
      <c r="L354" s="9"/>
      <c r="M354" s="9"/>
      <c r="N354" s="9" t="s">
        <v>3455</v>
      </c>
      <c r="O354" s="9" t="s">
        <v>3081</v>
      </c>
      <c r="P354" s="9" t="s">
        <v>4070</v>
      </c>
      <c r="Q354" s="58" t="s">
        <v>4071</v>
      </c>
      <c r="R354" s="58">
        <v>1</v>
      </c>
      <c r="S354" s="58">
        <v>8</v>
      </c>
      <c r="T354" s="9" t="s">
        <v>4125</v>
      </c>
      <c r="U354" s="9" t="s">
        <v>4126</v>
      </c>
      <c r="V354" s="58">
        <v>1</v>
      </c>
      <c r="W354" s="9"/>
      <c r="X354" s="9"/>
      <c r="Y354" s="9"/>
      <c r="Z354" s="9"/>
    </row>
    <row r="355" spans="1:26" ht="15.75" hidden="1" customHeight="1">
      <c r="A355" s="9" t="s">
        <v>4122</v>
      </c>
      <c r="B355" s="9" t="s">
        <v>4123</v>
      </c>
      <c r="C355" s="9" t="s">
        <v>4124</v>
      </c>
      <c r="D355" s="9" t="s">
        <v>368</v>
      </c>
      <c r="E355" s="9" t="s">
        <v>3092</v>
      </c>
      <c r="F355" s="58" t="s">
        <v>3087</v>
      </c>
      <c r="G355" s="58">
        <v>3220</v>
      </c>
      <c r="H355" s="85">
        <v>0.52173913043478204</v>
      </c>
      <c r="I355" s="9">
        <v>245</v>
      </c>
      <c r="J355" s="9"/>
      <c r="K355" s="9"/>
      <c r="L355" s="9"/>
      <c r="M355" s="9"/>
      <c r="N355" s="9" t="s">
        <v>3455</v>
      </c>
      <c r="O355" s="9" t="s">
        <v>3081</v>
      </c>
      <c r="P355" s="9" t="s">
        <v>4127</v>
      </c>
      <c r="Q355" s="58" t="s">
        <v>4128</v>
      </c>
      <c r="R355" s="58">
        <v>4</v>
      </c>
      <c r="S355" s="58">
        <v>7</v>
      </c>
      <c r="T355" s="9" t="s">
        <v>4125</v>
      </c>
      <c r="U355" s="9" t="s">
        <v>4129</v>
      </c>
      <c r="V355" s="58">
        <v>4</v>
      </c>
      <c r="W355" s="9"/>
      <c r="X355" s="9"/>
      <c r="Y355" s="9"/>
      <c r="Z355" s="9"/>
    </row>
    <row r="356" spans="1:26" ht="15.75" hidden="1" customHeight="1">
      <c r="A356" s="9" t="s">
        <v>292</v>
      </c>
      <c r="B356" s="9" t="s">
        <v>4130</v>
      </c>
      <c r="C356" s="9" t="s">
        <v>293</v>
      </c>
      <c r="D356" s="9" t="s">
        <v>368</v>
      </c>
      <c r="E356" s="9" t="s">
        <v>3092</v>
      </c>
      <c r="F356" s="58" t="s">
        <v>3087</v>
      </c>
      <c r="G356" s="58">
        <v>5950</v>
      </c>
      <c r="H356" s="85">
        <v>0.21176470588235199</v>
      </c>
      <c r="I356" s="9">
        <v>60</v>
      </c>
      <c r="J356" s="9"/>
      <c r="K356" s="9"/>
      <c r="L356" s="9"/>
      <c r="M356" s="9"/>
      <c r="N356" s="9" t="s">
        <v>4131</v>
      </c>
      <c r="O356" s="9" t="s">
        <v>3081</v>
      </c>
      <c r="P356" s="9" t="s">
        <v>4132</v>
      </c>
      <c r="Q356" s="58" t="s">
        <v>3132</v>
      </c>
      <c r="R356" s="58">
        <v>3</v>
      </c>
      <c r="S356" s="58">
        <v>7</v>
      </c>
      <c r="T356" s="9" t="s">
        <v>4133</v>
      </c>
      <c r="U356" s="9" t="s">
        <v>4134</v>
      </c>
      <c r="V356" s="58">
        <v>3</v>
      </c>
      <c r="W356" s="9"/>
      <c r="X356" s="9"/>
      <c r="Y356" s="9"/>
      <c r="Z356" s="9"/>
    </row>
    <row r="357" spans="1:26" ht="15.75" hidden="1" customHeight="1">
      <c r="A357" s="9" t="s">
        <v>295</v>
      </c>
      <c r="B357" s="9" t="s">
        <v>4135</v>
      </c>
      <c r="C357" s="9" t="s">
        <v>296</v>
      </c>
      <c r="D357" s="9" t="s">
        <v>439</v>
      </c>
      <c r="E357" s="9"/>
      <c r="F357" s="9"/>
      <c r="G357" s="58">
        <v>6080</v>
      </c>
      <c r="H357" s="85">
        <v>7.8947368421052599E-2</v>
      </c>
      <c r="I357" s="9">
        <v>60.4</v>
      </c>
      <c r="J357" s="9"/>
      <c r="K357" s="9"/>
      <c r="L357" s="9"/>
      <c r="M357" s="9"/>
      <c r="N357" s="9" t="s">
        <v>3509</v>
      </c>
      <c r="O357" s="9" t="s">
        <v>3081</v>
      </c>
      <c r="P357" s="9" t="s">
        <v>4136</v>
      </c>
      <c r="Q357" s="58" t="s">
        <v>4137</v>
      </c>
      <c r="R357" s="58">
        <v>1</v>
      </c>
      <c r="S357" s="58">
        <v>8</v>
      </c>
      <c r="T357" s="9" t="s">
        <v>4138</v>
      </c>
      <c r="U357" s="9" t="s">
        <v>4139</v>
      </c>
      <c r="V357" s="58">
        <v>1</v>
      </c>
      <c r="W357" s="9"/>
      <c r="X357" s="9"/>
      <c r="Y357" s="9"/>
      <c r="Z357" s="9"/>
    </row>
    <row r="358" spans="1:26" ht="15.75" hidden="1" customHeight="1">
      <c r="A358" s="9" t="s">
        <v>295</v>
      </c>
      <c r="B358" s="9" t="s">
        <v>4135</v>
      </c>
      <c r="C358" s="9" t="s">
        <v>296</v>
      </c>
      <c r="D358" s="9" t="s">
        <v>368</v>
      </c>
      <c r="E358" s="9" t="s">
        <v>4140</v>
      </c>
      <c r="F358" s="58" t="s">
        <v>3087</v>
      </c>
      <c r="G358" s="58">
        <v>5390</v>
      </c>
      <c r="H358" s="85">
        <v>0.31168831168831101</v>
      </c>
      <c r="I358" s="9">
        <v>60.4</v>
      </c>
      <c r="J358" s="9"/>
      <c r="K358" s="9"/>
      <c r="L358" s="9"/>
      <c r="M358" s="9"/>
      <c r="N358" s="9" t="s">
        <v>3509</v>
      </c>
      <c r="O358" s="9" t="s">
        <v>3081</v>
      </c>
      <c r="P358" s="9" t="s">
        <v>4141</v>
      </c>
      <c r="Q358" s="58" t="s">
        <v>3221</v>
      </c>
      <c r="R358" s="58">
        <v>4</v>
      </c>
      <c r="S358" s="58">
        <v>7</v>
      </c>
      <c r="T358" s="9" t="s">
        <v>4138</v>
      </c>
      <c r="U358" s="9" t="s">
        <v>4142</v>
      </c>
      <c r="V358" s="58">
        <v>4</v>
      </c>
      <c r="W358" s="9"/>
      <c r="X358" s="9"/>
      <c r="Y358" s="9"/>
      <c r="Z358" s="9"/>
    </row>
    <row r="359" spans="1:26" ht="15.75" hidden="1" customHeight="1">
      <c r="A359" s="9" t="s">
        <v>4143</v>
      </c>
      <c r="B359" s="9" t="s">
        <v>4144</v>
      </c>
      <c r="C359" s="9" t="s">
        <v>4145</v>
      </c>
      <c r="D359" s="9" t="s">
        <v>439</v>
      </c>
      <c r="E359" s="9"/>
      <c r="F359" s="9"/>
      <c r="G359" s="58">
        <v>7920</v>
      </c>
      <c r="H359" s="85">
        <v>6.0606060606060601E-2</v>
      </c>
      <c r="I359" s="9">
        <v>251.7</v>
      </c>
      <c r="J359" s="9"/>
      <c r="K359" s="9"/>
      <c r="L359" s="9"/>
      <c r="M359" s="9"/>
      <c r="N359" s="9" t="s">
        <v>3455</v>
      </c>
      <c r="O359" s="9" t="s">
        <v>3081</v>
      </c>
      <c r="P359" s="9" t="s">
        <v>4070</v>
      </c>
      <c r="Q359" s="58" t="s">
        <v>4071</v>
      </c>
      <c r="R359" s="58">
        <v>1</v>
      </c>
      <c r="S359" s="58">
        <v>8</v>
      </c>
      <c r="T359" s="9" t="s">
        <v>4125</v>
      </c>
      <c r="U359" s="9" t="s">
        <v>4146</v>
      </c>
      <c r="V359" s="58">
        <v>1</v>
      </c>
      <c r="W359" s="9"/>
      <c r="X359" s="9"/>
      <c r="Y359" s="9"/>
      <c r="Z359" s="9"/>
    </row>
    <row r="360" spans="1:26" ht="15.75" hidden="1" customHeight="1">
      <c r="A360" s="9" t="s">
        <v>4143</v>
      </c>
      <c r="B360" s="9" t="s">
        <v>4144</v>
      </c>
      <c r="C360" s="9" t="s">
        <v>4145</v>
      </c>
      <c r="D360" s="9" t="s">
        <v>368</v>
      </c>
      <c r="E360" s="9" t="s">
        <v>3092</v>
      </c>
      <c r="F360" s="58" t="s">
        <v>3087</v>
      </c>
      <c r="G360" s="58">
        <v>3220</v>
      </c>
      <c r="H360" s="85">
        <v>0.39130434782608697</v>
      </c>
      <c r="I360" s="9">
        <v>251.7</v>
      </c>
      <c r="J360" s="9"/>
      <c r="K360" s="9"/>
      <c r="L360" s="9"/>
      <c r="M360" s="9"/>
      <c r="N360" s="9" t="s">
        <v>3455</v>
      </c>
      <c r="O360" s="9" t="s">
        <v>3081</v>
      </c>
      <c r="P360" s="9" t="s">
        <v>4127</v>
      </c>
      <c r="Q360" s="58" t="s">
        <v>4128</v>
      </c>
      <c r="R360" s="58">
        <v>3</v>
      </c>
      <c r="S360" s="58">
        <v>7</v>
      </c>
      <c r="T360" s="9" t="s">
        <v>4125</v>
      </c>
      <c r="U360" s="9" t="s">
        <v>4147</v>
      </c>
      <c r="V360" s="58">
        <v>3</v>
      </c>
      <c r="W360" s="9"/>
      <c r="X360" s="9"/>
      <c r="Y360" s="9"/>
      <c r="Z360" s="9"/>
    </row>
    <row r="361" spans="1:26" ht="15.75" hidden="1" customHeight="1">
      <c r="A361" s="9" t="s">
        <v>4148</v>
      </c>
      <c r="B361" s="9" t="s">
        <v>4149</v>
      </c>
      <c r="C361" s="9" t="s">
        <v>4150</v>
      </c>
      <c r="D361" s="9" t="s">
        <v>439</v>
      </c>
      <c r="E361" s="9"/>
      <c r="F361" s="9"/>
      <c r="G361" s="58">
        <v>8000</v>
      </c>
      <c r="H361" s="85">
        <v>0.06</v>
      </c>
      <c r="I361" s="9">
        <v>15.3</v>
      </c>
      <c r="J361" s="9"/>
      <c r="K361" s="9"/>
      <c r="L361" s="9"/>
      <c r="M361" s="9"/>
      <c r="N361" s="9" t="s">
        <v>4151</v>
      </c>
      <c r="O361" s="9" t="s">
        <v>4152</v>
      </c>
      <c r="P361" s="9" t="s">
        <v>3415</v>
      </c>
      <c r="Q361" s="58" t="s">
        <v>3167</v>
      </c>
      <c r="R361" s="58">
        <v>1</v>
      </c>
      <c r="S361" s="58">
        <v>8</v>
      </c>
      <c r="T361" s="9" t="s">
        <v>4153</v>
      </c>
      <c r="U361" s="9" t="s">
        <v>4154</v>
      </c>
      <c r="V361" s="58">
        <v>1</v>
      </c>
      <c r="W361" s="9"/>
      <c r="X361" s="9"/>
      <c r="Y361" s="9"/>
      <c r="Z361" s="9"/>
    </row>
    <row r="362" spans="1:26" ht="15.75" hidden="1" customHeight="1">
      <c r="A362" s="9" t="s">
        <v>4148</v>
      </c>
      <c r="B362" s="9" t="s">
        <v>4149</v>
      </c>
      <c r="C362" s="9" t="s">
        <v>4150</v>
      </c>
      <c r="D362" s="9" t="s">
        <v>368</v>
      </c>
      <c r="E362" s="9" t="s">
        <v>3067</v>
      </c>
      <c r="F362" s="58" t="s">
        <v>3057</v>
      </c>
      <c r="G362" s="58">
        <v>9100</v>
      </c>
      <c r="H362" s="85">
        <v>0.18461538461538399</v>
      </c>
      <c r="I362" s="9">
        <v>15.3</v>
      </c>
      <c r="J362" s="9"/>
      <c r="K362" s="9"/>
      <c r="L362" s="9"/>
      <c r="M362" s="9"/>
      <c r="N362" s="9" t="s">
        <v>4151</v>
      </c>
      <c r="O362" s="9" t="s">
        <v>4152</v>
      </c>
      <c r="P362" s="9" t="s">
        <v>4155</v>
      </c>
      <c r="Q362" s="58" t="s">
        <v>3064</v>
      </c>
      <c r="R362" s="58">
        <v>4</v>
      </c>
      <c r="S362" s="58">
        <v>7</v>
      </c>
      <c r="T362" s="9" t="s">
        <v>4153</v>
      </c>
      <c r="U362" s="9" t="s">
        <v>4156</v>
      </c>
      <c r="V362" s="58">
        <v>4</v>
      </c>
      <c r="W362" s="9"/>
      <c r="X362" s="9"/>
      <c r="Y362" s="9"/>
      <c r="Z362" s="9"/>
    </row>
    <row r="363" spans="1:26" ht="15.75" hidden="1" customHeight="1">
      <c r="A363" s="9" t="s">
        <v>2419</v>
      </c>
      <c r="B363" s="9" t="s">
        <v>4157</v>
      </c>
      <c r="C363" s="9" t="s">
        <v>2421</v>
      </c>
      <c r="D363" s="9" t="s">
        <v>439</v>
      </c>
      <c r="E363" s="9"/>
      <c r="F363" s="9"/>
      <c r="G363" s="58">
        <v>8000</v>
      </c>
      <c r="H363" s="85">
        <v>0.06</v>
      </c>
      <c r="I363" s="9">
        <v>33</v>
      </c>
      <c r="J363" s="9"/>
      <c r="K363" s="9"/>
      <c r="L363" s="9"/>
      <c r="M363" s="9"/>
      <c r="N363" s="9" t="s">
        <v>4158</v>
      </c>
      <c r="O363" s="9" t="s">
        <v>4152</v>
      </c>
      <c r="P363" s="9" t="s">
        <v>3415</v>
      </c>
      <c r="Q363" s="58" t="s">
        <v>3167</v>
      </c>
      <c r="R363" s="58">
        <v>1</v>
      </c>
      <c r="S363" s="58">
        <v>8</v>
      </c>
      <c r="T363" s="9" t="s">
        <v>4159</v>
      </c>
      <c r="U363" s="9" t="s">
        <v>4160</v>
      </c>
      <c r="V363" s="58">
        <v>1</v>
      </c>
      <c r="W363" s="9"/>
      <c r="X363" s="9"/>
      <c r="Y363" s="9"/>
      <c r="Z363" s="9"/>
    </row>
    <row r="364" spans="1:26" ht="15.75" hidden="1" customHeight="1">
      <c r="A364" s="9" t="s">
        <v>2419</v>
      </c>
      <c r="B364" s="9" t="s">
        <v>4157</v>
      </c>
      <c r="C364" s="9" t="s">
        <v>2421</v>
      </c>
      <c r="D364" s="9" t="s">
        <v>368</v>
      </c>
      <c r="E364" s="9" t="s">
        <v>3920</v>
      </c>
      <c r="F364" s="58" t="s">
        <v>3057</v>
      </c>
      <c r="G364" s="58">
        <v>6300</v>
      </c>
      <c r="H364" s="85">
        <v>0.2</v>
      </c>
      <c r="I364" s="9">
        <v>33</v>
      </c>
      <c r="J364" s="9"/>
      <c r="K364" s="9"/>
      <c r="L364" s="9"/>
      <c r="M364" s="9"/>
      <c r="N364" s="9" t="s">
        <v>4158</v>
      </c>
      <c r="O364" s="9" t="s">
        <v>4152</v>
      </c>
      <c r="P364" s="9" t="s">
        <v>4161</v>
      </c>
      <c r="Q364" s="58" t="s">
        <v>3069</v>
      </c>
      <c r="R364" s="58">
        <v>3</v>
      </c>
      <c r="S364" s="58">
        <v>7</v>
      </c>
      <c r="T364" s="9" t="s">
        <v>4159</v>
      </c>
      <c r="U364" s="9" t="s">
        <v>4162</v>
      </c>
      <c r="V364" s="58">
        <v>3</v>
      </c>
      <c r="W364" s="9"/>
      <c r="X364" s="9"/>
      <c r="Y364" s="9"/>
      <c r="Z364" s="9"/>
    </row>
    <row r="365" spans="1:26" ht="15.75" hidden="1" customHeight="1">
      <c r="A365" s="9" t="s">
        <v>4163</v>
      </c>
      <c r="B365" s="9" t="s">
        <v>4164</v>
      </c>
      <c r="C365" s="9" t="s">
        <v>4165</v>
      </c>
      <c r="D365" s="9" t="s">
        <v>439</v>
      </c>
      <c r="E365" s="9"/>
      <c r="F365" s="9"/>
      <c r="G365" s="58">
        <v>12800</v>
      </c>
      <c r="H365" s="85">
        <v>3.7499999999999999E-2</v>
      </c>
      <c r="I365" s="9">
        <v>10.6</v>
      </c>
      <c r="J365" s="9"/>
      <c r="K365" s="9"/>
      <c r="L365" s="9"/>
      <c r="M365" s="9"/>
      <c r="N365" s="9" t="s">
        <v>4166</v>
      </c>
      <c r="O365" s="9" t="s">
        <v>3258</v>
      </c>
      <c r="P365" s="9" t="s">
        <v>3650</v>
      </c>
      <c r="Q365" s="58" t="s">
        <v>3545</v>
      </c>
      <c r="R365" s="58">
        <v>1</v>
      </c>
      <c r="S365" s="58">
        <v>8</v>
      </c>
      <c r="T365" s="9" t="s">
        <v>4167</v>
      </c>
      <c r="U365" s="9" t="s">
        <v>4168</v>
      </c>
      <c r="V365" s="58">
        <v>1</v>
      </c>
      <c r="W365" s="9"/>
      <c r="X365" s="9"/>
      <c r="Y365" s="9"/>
      <c r="Z365" s="9"/>
    </row>
    <row r="366" spans="1:26" ht="15.75" hidden="1" customHeight="1">
      <c r="A366" s="9" t="s">
        <v>4163</v>
      </c>
      <c r="B366" s="9" t="s">
        <v>4164</v>
      </c>
      <c r="C366" s="9" t="s">
        <v>4165</v>
      </c>
      <c r="D366" s="9" t="s">
        <v>368</v>
      </c>
      <c r="E366" s="9" t="s">
        <v>4169</v>
      </c>
      <c r="F366" s="58" t="s">
        <v>3057</v>
      </c>
      <c r="G366" s="58">
        <v>7000</v>
      </c>
      <c r="H366" s="85">
        <v>0.18</v>
      </c>
      <c r="I366" s="9">
        <v>10.6</v>
      </c>
      <c r="J366" s="9"/>
      <c r="K366" s="9"/>
      <c r="L366" s="9"/>
      <c r="M366" s="9"/>
      <c r="N366" s="9" t="s">
        <v>4166</v>
      </c>
      <c r="O366" s="9" t="s">
        <v>3258</v>
      </c>
      <c r="P366" s="9" t="s">
        <v>4170</v>
      </c>
      <c r="Q366" s="58" t="s">
        <v>3167</v>
      </c>
      <c r="R366" s="58">
        <v>3</v>
      </c>
      <c r="S366" s="58">
        <v>7</v>
      </c>
      <c r="T366" s="9" t="s">
        <v>4167</v>
      </c>
      <c r="U366" s="9" t="s">
        <v>4171</v>
      </c>
      <c r="V366" s="58">
        <v>3</v>
      </c>
      <c r="W366" s="9"/>
      <c r="X366" s="9"/>
      <c r="Y366" s="9"/>
      <c r="Z366" s="9"/>
    </row>
    <row r="367" spans="1:26" ht="15.75" hidden="1" customHeight="1">
      <c r="A367" s="9" t="s">
        <v>2422</v>
      </c>
      <c r="B367" s="9" t="s">
        <v>4172</v>
      </c>
      <c r="C367" s="9" t="s">
        <v>2424</v>
      </c>
      <c r="D367" s="9" t="s">
        <v>439</v>
      </c>
      <c r="E367" s="9"/>
      <c r="F367" s="9"/>
      <c r="G367" s="58">
        <v>13600</v>
      </c>
      <c r="H367" s="85">
        <v>3.5294117647058802E-2</v>
      </c>
      <c r="I367" s="9">
        <v>31.8</v>
      </c>
      <c r="J367" s="9"/>
      <c r="K367" s="9"/>
      <c r="L367" s="9"/>
      <c r="M367" s="9"/>
      <c r="N367" s="9" t="s">
        <v>4173</v>
      </c>
      <c r="O367" s="9" t="s">
        <v>3258</v>
      </c>
      <c r="P367" s="9" t="s">
        <v>3052</v>
      </c>
      <c r="Q367" s="58" t="s">
        <v>3053</v>
      </c>
      <c r="R367" s="58">
        <v>1</v>
      </c>
      <c r="S367" s="58">
        <v>8</v>
      </c>
      <c r="T367" s="9" t="s">
        <v>4167</v>
      </c>
      <c r="U367" s="9" t="s">
        <v>4174</v>
      </c>
      <c r="V367" s="58">
        <v>1</v>
      </c>
      <c r="W367" s="9"/>
      <c r="X367" s="9"/>
      <c r="Y367" s="9"/>
      <c r="Z367" s="9"/>
    </row>
    <row r="368" spans="1:26" ht="15.75" hidden="1" customHeight="1">
      <c r="A368" s="9" t="s">
        <v>2422</v>
      </c>
      <c r="B368" s="9" t="s">
        <v>4172</v>
      </c>
      <c r="C368" s="9" t="s">
        <v>2424</v>
      </c>
      <c r="D368" s="9" t="s">
        <v>368</v>
      </c>
      <c r="E368" s="9" t="s">
        <v>3920</v>
      </c>
      <c r="F368" s="58" t="s">
        <v>3057</v>
      </c>
      <c r="G368" s="58">
        <v>7000</v>
      </c>
      <c r="H368" s="85">
        <v>0.18</v>
      </c>
      <c r="I368" s="9">
        <v>31.8</v>
      </c>
      <c r="J368" s="9"/>
      <c r="K368" s="9"/>
      <c r="L368" s="9"/>
      <c r="M368" s="9"/>
      <c r="N368" s="9" t="s">
        <v>4173</v>
      </c>
      <c r="O368" s="9" t="s">
        <v>3258</v>
      </c>
      <c r="P368" s="9" t="s">
        <v>4175</v>
      </c>
      <c r="Q368" s="58" t="s">
        <v>3167</v>
      </c>
      <c r="R368" s="58">
        <v>3</v>
      </c>
      <c r="S368" s="58">
        <v>7</v>
      </c>
      <c r="T368" s="9" t="s">
        <v>4167</v>
      </c>
      <c r="U368" s="9" t="s">
        <v>4176</v>
      </c>
      <c r="V368" s="58">
        <v>3</v>
      </c>
      <c r="W368" s="9"/>
      <c r="X368" s="9"/>
      <c r="Y368" s="9"/>
      <c r="Z368" s="9"/>
    </row>
    <row r="369" spans="1:26" ht="15.75" hidden="1" customHeight="1">
      <c r="A369" s="9" t="s">
        <v>2596</v>
      </c>
      <c r="B369" s="9" t="s">
        <v>4177</v>
      </c>
      <c r="C369" s="9" t="s">
        <v>2598</v>
      </c>
      <c r="D369" s="9" t="s">
        <v>439</v>
      </c>
      <c r="E369" s="9"/>
      <c r="F369" s="9"/>
      <c r="G369" s="58">
        <v>6400</v>
      </c>
      <c r="H369" s="85">
        <v>7.4999999999999997E-2</v>
      </c>
      <c r="I369" s="9">
        <v>15.3</v>
      </c>
      <c r="J369" s="9"/>
      <c r="K369" s="9"/>
      <c r="L369" s="9"/>
      <c r="M369" s="9"/>
      <c r="N369" s="9" t="s">
        <v>4178</v>
      </c>
      <c r="O369" s="9" t="s">
        <v>3051</v>
      </c>
      <c r="P369" s="9" t="s">
        <v>3190</v>
      </c>
      <c r="Q369" s="58" t="s">
        <v>3185</v>
      </c>
      <c r="R369" s="58">
        <v>1</v>
      </c>
      <c r="S369" s="58">
        <v>8</v>
      </c>
      <c r="T369" s="9" t="s">
        <v>4179</v>
      </c>
      <c r="U369" s="9" t="s">
        <v>4180</v>
      </c>
      <c r="V369" s="58">
        <v>1</v>
      </c>
      <c r="W369" s="9"/>
      <c r="X369" s="9"/>
      <c r="Y369" s="9"/>
      <c r="Z369" s="9"/>
    </row>
    <row r="370" spans="1:26" ht="15.75" hidden="1" customHeight="1">
      <c r="A370" s="9" t="s">
        <v>2596</v>
      </c>
      <c r="B370" s="9" t="s">
        <v>4177</v>
      </c>
      <c r="C370" s="9" t="s">
        <v>2598</v>
      </c>
      <c r="D370" s="9" t="s">
        <v>368</v>
      </c>
      <c r="E370" s="9" t="s">
        <v>3067</v>
      </c>
      <c r="F370" s="58" t="s">
        <v>3057</v>
      </c>
      <c r="G370" s="58">
        <v>9800</v>
      </c>
      <c r="H370" s="85">
        <v>0.17142857142857101</v>
      </c>
      <c r="I370" s="9">
        <v>15.3</v>
      </c>
      <c r="J370" s="9"/>
      <c r="K370" s="9"/>
      <c r="L370" s="9"/>
      <c r="M370" s="9"/>
      <c r="N370" s="9" t="s">
        <v>4178</v>
      </c>
      <c r="O370" s="9" t="s">
        <v>3051</v>
      </c>
      <c r="P370" s="9" t="s">
        <v>4181</v>
      </c>
      <c r="Q370" s="58" t="s">
        <v>3294</v>
      </c>
      <c r="R370" s="58">
        <v>4</v>
      </c>
      <c r="S370" s="58">
        <v>7</v>
      </c>
      <c r="T370" s="9" t="s">
        <v>4179</v>
      </c>
      <c r="U370" s="9" t="s">
        <v>4182</v>
      </c>
      <c r="V370" s="58">
        <v>4</v>
      </c>
      <c r="W370" s="9"/>
      <c r="X370" s="9"/>
      <c r="Y370" s="9"/>
      <c r="Z370" s="9"/>
    </row>
    <row r="371" spans="1:26" ht="15.75" hidden="1" customHeight="1">
      <c r="A371" s="9" t="s">
        <v>2588</v>
      </c>
      <c r="B371" s="9" t="s">
        <v>4183</v>
      </c>
      <c r="C371" s="9" t="s">
        <v>2589</v>
      </c>
      <c r="D371" s="9" t="s">
        <v>439</v>
      </c>
      <c r="E371" s="9"/>
      <c r="F371" s="9"/>
      <c r="G371" s="58">
        <v>7200</v>
      </c>
      <c r="H371" s="85">
        <v>6.6666666666666596E-2</v>
      </c>
      <c r="I371" s="9">
        <v>14.9</v>
      </c>
      <c r="J371" s="9"/>
      <c r="K371" s="9"/>
      <c r="L371" s="9"/>
      <c r="M371" s="9"/>
      <c r="N371" s="9" t="s">
        <v>3691</v>
      </c>
      <c r="O371" s="9" t="s">
        <v>3081</v>
      </c>
      <c r="P371" s="9" t="s">
        <v>3644</v>
      </c>
      <c r="Q371" s="58" t="s">
        <v>3069</v>
      </c>
      <c r="R371" s="58">
        <v>1</v>
      </c>
      <c r="S371" s="58">
        <v>8</v>
      </c>
      <c r="T371" s="9" t="s">
        <v>4179</v>
      </c>
      <c r="U371" s="9" t="s">
        <v>4184</v>
      </c>
      <c r="V371" s="58">
        <v>1</v>
      </c>
      <c r="W371" s="9"/>
      <c r="X371" s="9"/>
      <c r="Y371" s="9"/>
      <c r="Z371" s="9"/>
    </row>
    <row r="372" spans="1:26" ht="15.75" hidden="1" customHeight="1">
      <c r="A372" s="9" t="s">
        <v>2588</v>
      </c>
      <c r="B372" s="9" t="s">
        <v>4183</v>
      </c>
      <c r="C372" s="9" t="s">
        <v>2589</v>
      </c>
      <c r="D372" s="9" t="s">
        <v>368</v>
      </c>
      <c r="E372" s="9" t="s">
        <v>3092</v>
      </c>
      <c r="F372" s="58" t="s">
        <v>3087</v>
      </c>
      <c r="G372" s="58">
        <v>7700</v>
      </c>
      <c r="H372" s="85">
        <v>0.218181818181818</v>
      </c>
      <c r="I372" s="9">
        <v>14.9</v>
      </c>
      <c r="J372" s="9"/>
      <c r="K372" s="9"/>
      <c r="L372" s="9"/>
      <c r="M372" s="9"/>
      <c r="N372" s="9" t="s">
        <v>3691</v>
      </c>
      <c r="O372" s="9" t="s">
        <v>3081</v>
      </c>
      <c r="P372" s="9" t="s">
        <v>4185</v>
      </c>
      <c r="Q372" s="58" t="s">
        <v>3077</v>
      </c>
      <c r="R372" s="58">
        <v>4</v>
      </c>
      <c r="S372" s="58">
        <v>7</v>
      </c>
      <c r="T372" s="9" t="s">
        <v>4179</v>
      </c>
      <c r="U372" s="9" t="s">
        <v>4186</v>
      </c>
      <c r="V372" s="58">
        <v>4</v>
      </c>
      <c r="W372" s="9"/>
      <c r="X372" s="9"/>
      <c r="Y372" s="9"/>
      <c r="Z372" s="9"/>
    </row>
    <row r="373" spans="1:26" ht="15.75" hidden="1" customHeight="1">
      <c r="A373" s="9" t="s">
        <v>2592</v>
      </c>
      <c r="B373" s="9" t="s">
        <v>4187</v>
      </c>
      <c r="C373" s="9" t="s">
        <v>2593</v>
      </c>
      <c r="D373" s="9" t="s">
        <v>439</v>
      </c>
      <c r="E373" s="9"/>
      <c r="F373" s="9"/>
      <c r="G373" s="58">
        <v>8000</v>
      </c>
      <c r="H373" s="85">
        <v>0.06</v>
      </c>
      <c r="I373" s="9">
        <v>29.7</v>
      </c>
      <c r="J373" s="9"/>
      <c r="K373" s="9"/>
      <c r="L373" s="9"/>
      <c r="M373" s="9"/>
      <c r="N373" s="9" t="s">
        <v>4188</v>
      </c>
      <c r="O373" s="9" t="s">
        <v>3081</v>
      </c>
      <c r="P373" s="9" t="s">
        <v>3583</v>
      </c>
      <c r="Q373" s="58" t="s">
        <v>3167</v>
      </c>
      <c r="R373" s="58">
        <v>1</v>
      </c>
      <c r="S373" s="58">
        <v>8</v>
      </c>
      <c r="T373" s="9" t="s">
        <v>4179</v>
      </c>
      <c r="U373" s="9" t="s">
        <v>4189</v>
      </c>
      <c r="V373" s="58">
        <v>1</v>
      </c>
      <c r="W373" s="9"/>
      <c r="X373" s="9"/>
      <c r="Y373" s="9"/>
      <c r="Z373" s="9"/>
    </row>
    <row r="374" spans="1:26" ht="15.75" hidden="1" customHeight="1">
      <c r="A374" s="9" t="s">
        <v>2592</v>
      </c>
      <c r="B374" s="9" t="s">
        <v>4187</v>
      </c>
      <c r="C374" s="9" t="s">
        <v>2593</v>
      </c>
      <c r="D374" s="9" t="s">
        <v>368</v>
      </c>
      <c r="E374" s="9" t="s">
        <v>3092</v>
      </c>
      <c r="F374" s="58" t="s">
        <v>3087</v>
      </c>
      <c r="G374" s="58">
        <v>7000</v>
      </c>
      <c r="H374" s="85">
        <v>0.24</v>
      </c>
      <c r="I374" s="9">
        <v>29.7</v>
      </c>
      <c r="J374" s="9"/>
      <c r="K374" s="9"/>
      <c r="L374" s="9"/>
      <c r="M374" s="9"/>
      <c r="N374" s="9" t="s">
        <v>4188</v>
      </c>
      <c r="O374" s="9" t="s">
        <v>3081</v>
      </c>
      <c r="P374" s="9" t="s">
        <v>4190</v>
      </c>
      <c r="Q374" s="58" t="s">
        <v>3167</v>
      </c>
      <c r="R374" s="58">
        <v>4</v>
      </c>
      <c r="S374" s="58">
        <v>7</v>
      </c>
      <c r="T374" s="9" t="s">
        <v>4179</v>
      </c>
      <c r="U374" s="9" t="s">
        <v>4191</v>
      </c>
      <c r="V374" s="58">
        <v>4</v>
      </c>
      <c r="W374" s="9"/>
      <c r="X374" s="9"/>
      <c r="Y374" s="9"/>
      <c r="Z374" s="9"/>
    </row>
    <row r="375" spans="1:26" ht="15.75" hidden="1" customHeight="1">
      <c r="A375" s="9" t="s">
        <v>38</v>
      </c>
      <c r="B375" s="9" t="s">
        <v>4192</v>
      </c>
      <c r="C375" s="9" t="s">
        <v>39</v>
      </c>
      <c r="D375" s="9" t="s">
        <v>439</v>
      </c>
      <c r="E375" s="9"/>
      <c r="F375" s="9"/>
      <c r="G375" s="58">
        <v>8800</v>
      </c>
      <c r="H375" s="85">
        <v>5.4545454545454501E-2</v>
      </c>
      <c r="I375" s="9" t="s">
        <v>4193</v>
      </c>
      <c r="J375" s="9"/>
      <c r="K375" s="9"/>
      <c r="L375" s="9">
        <v>2.8</v>
      </c>
      <c r="M375" s="9"/>
      <c r="N375" s="9" t="s">
        <v>4194</v>
      </c>
      <c r="O375" s="9" t="s">
        <v>4098</v>
      </c>
      <c r="P375" s="9" t="s">
        <v>3125</v>
      </c>
      <c r="Q375" s="58" t="s">
        <v>3077</v>
      </c>
      <c r="R375" s="58">
        <v>1</v>
      </c>
      <c r="S375" s="58">
        <v>8</v>
      </c>
      <c r="T375" s="9" t="s">
        <v>4195</v>
      </c>
      <c r="U375" s="9" t="s">
        <v>4196</v>
      </c>
      <c r="V375" s="58">
        <v>1</v>
      </c>
      <c r="W375" s="9"/>
      <c r="X375" s="9"/>
      <c r="Y375" s="9"/>
      <c r="Z375" s="9"/>
    </row>
    <row r="376" spans="1:26" ht="15.75" hidden="1" customHeight="1">
      <c r="A376" s="9" t="s">
        <v>38</v>
      </c>
      <c r="B376" s="9" t="s">
        <v>4192</v>
      </c>
      <c r="C376" s="9" t="s">
        <v>39</v>
      </c>
      <c r="D376" s="9" t="s">
        <v>368</v>
      </c>
      <c r="E376" s="9" t="s">
        <v>4197</v>
      </c>
      <c r="F376" s="58" t="s">
        <v>3801</v>
      </c>
      <c r="G376" s="58">
        <v>5740</v>
      </c>
      <c r="H376" s="85">
        <v>0.292682926829268</v>
      </c>
      <c r="I376" s="9" t="s">
        <v>4193</v>
      </c>
      <c r="J376" s="9"/>
      <c r="K376" s="9"/>
      <c r="L376" s="9">
        <v>2.8</v>
      </c>
      <c r="M376" s="9"/>
      <c r="N376" s="9" t="s">
        <v>4194</v>
      </c>
      <c r="O376" s="9" t="s">
        <v>4098</v>
      </c>
      <c r="P376" s="9" t="s">
        <v>4198</v>
      </c>
      <c r="Q376" s="58" t="s">
        <v>4199</v>
      </c>
      <c r="R376" s="58">
        <v>4</v>
      </c>
      <c r="S376" s="58">
        <v>7</v>
      </c>
      <c r="T376" s="9" t="s">
        <v>4195</v>
      </c>
      <c r="U376" s="9" t="s">
        <v>4200</v>
      </c>
      <c r="V376" s="58">
        <v>4</v>
      </c>
      <c r="W376" s="9"/>
      <c r="X376" s="9"/>
      <c r="Y376" s="9"/>
      <c r="Z376" s="9"/>
    </row>
    <row r="377" spans="1:26" ht="15.75" hidden="1" customHeight="1">
      <c r="A377" s="9" t="s">
        <v>250</v>
      </c>
      <c r="B377" s="9" t="s">
        <v>4201</v>
      </c>
      <c r="C377" s="9" t="s">
        <v>251</v>
      </c>
      <c r="D377" s="9" t="s">
        <v>439</v>
      </c>
      <c r="E377" s="9"/>
      <c r="F377" s="9"/>
      <c r="G377" s="58">
        <v>5200</v>
      </c>
      <c r="H377" s="85">
        <v>9.2307692307692299E-2</v>
      </c>
      <c r="I377" s="9" t="s">
        <v>4202</v>
      </c>
      <c r="J377" s="9"/>
      <c r="K377" s="9"/>
      <c r="L377" s="9">
        <v>23.4</v>
      </c>
      <c r="M377" s="9"/>
      <c r="N377" s="9" t="s">
        <v>4203</v>
      </c>
      <c r="O377" s="9" t="s">
        <v>4204</v>
      </c>
      <c r="P377" s="9" t="s">
        <v>4040</v>
      </c>
      <c r="Q377" s="58" t="s">
        <v>3687</v>
      </c>
      <c r="R377" s="58">
        <v>1</v>
      </c>
      <c r="S377" s="58">
        <v>8</v>
      </c>
      <c r="T377" s="9" t="s">
        <v>4205</v>
      </c>
      <c r="U377" s="9" t="s">
        <v>4206</v>
      </c>
      <c r="V377" s="58">
        <v>1</v>
      </c>
      <c r="W377" s="9"/>
      <c r="X377" s="9"/>
      <c r="Y377" s="9"/>
      <c r="Z377" s="9"/>
    </row>
    <row r="378" spans="1:26" ht="15.75" hidden="1" customHeight="1">
      <c r="A378" s="9" t="s">
        <v>250</v>
      </c>
      <c r="B378" s="9" t="s">
        <v>4201</v>
      </c>
      <c r="C378" s="9" t="s">
        <v>251</v>
      </c>
      <c r="D378" s="9" t="s">
        <v>368</v>
      </c>
      <c r="E378" s="9" t="s">
        <v>4197</v>
      </c>
      <c r="F378" s="58" t="s">
        <v>3057</v>
      </c>
      <c r="G378" s="58">
        <v>3500</v>
      </c>
      <c r="H378" s="85">
        <v>0.48</v>
      </c>
      <c r="I378" s="9" t="s">
        <v>4202</v>
      </c>
      <c r="J378" s="9"/>
      <c r="K378" s="9"/>
      <c r="L378" s="9">
        <v>23.4</v>
      </c>
      <c r="M378" s="9"/>
      <c r="N378" s="9" t="s">
        <v>4203</v>
      </c>
      <c r="O378" s="9" t="s">
        <v>4204</v>
      </c>
      <c r="P378" s="9" t="s">
        <v>4207</v>
      </c>
      <c r="Q378" s="58" t="s">
        <v>3361</v>
      </c>
      <c r="R378" s="58">
        <v>4</v>
      </c>
      <c r="S378" s="58">
        <v>7</v>
      </c>
      <c r="T378" s="9" t="s">
        <v>4205</v>
      </c>
      <c r="U378" s="9" t="s">
        <v>4208</v>
      </c>
      <c r="V378" s="58">
        <v>4</v>
      </c>
      <c r="W378" s="9"/>
      <c r="X378" s="9"/>
      <c r="Y378" s="9"/>
      <c r="Z378" s="9"/>
    </row>
    <row r="379" spans="1:26" ht="15.75" hidden="1" customHeight="1">
      <c r="A379" s="9" t="s">
        <v>4209</v>
      </c>
      <c r="B379" s="9" t="s">
        <v>4210</v>
      </c>
      <c r="C379" s="9" t="s">
        <v>4211</v>
      </c>
      <c r="D379" s="9" t="s">
        <v>439</v>
      </c>
      <c r="E379" s="9"/>
      <c r="F379" s="9"/>
      <c r="G379" s="58">
        <v>12800</v>
      </c>
      <c r="H379" s="85">
        <v>3.7499999999999999E-2</v>
      </c>
      <c r="I379" s="9">
        <v>5.0999999999999996</v>
      </c>
      <c r="J379" s="9"/>
      <c r="K379" s="9"/>
      <c r="L379" s="9"/>
      <c r="M379" s="9"/>
      <c r="N379" s="9" t="s">
        <v>3130</v>
      </c>
      <c r="O379" s="9" t="s">
        <v>4212</v>
      </c>
      <c r="P379" s="9" t="s">
        <v>3650</v>
      </c>
      <c r="Q379" s="58" t="s">
        <v>3545</v>
      </c>
      <c r="R379" s="58">
        <v>1</v>
      </c>
      <c r="S379" s="58">
        <v>8</v>
      </c>
      <c r="T379" s="9" t="s">
        <v>3065</v>
      </c>
      <c r="U379" s="9" t="s">
        <v>4213</v>
      </c>
      <c r="V379" s="58">
        <v>1</v>
      </c>
      <c r="W379" s="9"/>
      <c r="X379" s="9"/>
      <c r="Y379" s="9"/>
      <c r="Z379" s="9"/>
    </row>
    <row r="380" spans="1:26" ht="15.75" hidden="1" customHeight="1">
      <c r="A380" s="9" t="s">
        <v>4209</v>
      </c>
      <c r="B380" s="9" t="s">
        <v>4210</v>
      </c>
      <c r="C380" s="9" t="s">
        <v>4211</v>
      </c>
      <c r="D380" s="9" t="s">
        <v>368</v>
      </c>
      <c r="E380" s="9" t="s">
        <v>3056</v>
      </c>
      <c r="F380" s="58" t="s">
        <v>3057</v>
      </c>
      <c r="G380" s="58">
        <v>9600</v>
      </c>
      <c r="H380" s="85">
        <v>0.15</v>
      </c>
      <c r="I380" s="9">
        <v>5.0999999999999996</v>
      </c>
      <c r="J380" s="9"/>
      <c r="K380" s="9"/>
      <c r="L380" s="9"/>
      <c r="M380" s="9"/>
      <c r="N380" s="9" t="s">
        <v>3130</v>
      </c>
      <c r="O380" s="9" t="s">
        <v>4212</v>
      </c>
      <c r="P380" s="9" t="s">
        <v>4214</v>
      </c>
      <c r="Q380" s="58" t="s">
        <v>3074</v>
      </c>
      <c r="R380" s="58">
        <v>3</v>
      </c>
      <c r="S380" s="58">
        <v>8</v>
      </c>
      <c r="T380" s="9" t="s">
        <v>3065</v>
      </c>
      <c r="U380" s="9" t="s">
        <v>4215</v>
      </c>
      <c r="V380" s="58">
        <v>3</v>
      </c>
      <c r="W380" s="9"/>
      <c r="X380" s="9"/>
      <c r="Y380" s="9"/>
      <c r="Z380" s="9"/>
    </row>
    <row r="381" spans="1:26" ht="15.75" hidden="1" customHeight="1">
      <c r="A381" s="9" t="s">
        <v>4216</v>
      </c>
      <c r="B381" s="9" t="s">
        <v>4217</v>
      </c>
      <c r="C381" s="9" t="s">
        <v>4211</v>
      </c>
      <c r="D381" s="9" t="s">
        <v>439</v>
      </c>
      <c r="E381" s="9"/>
      <c r="F381" s="9"/>
      <c r="G381" s="58">
        <v>12800</v>
      </c>
      <c r="H381" s="85">
        <v>3.7499999999999999E-2</v>
      </c>
      <c r="I381" s="9">
        <v>5.0999999999999996</v>
      </c>
      <c r="J381" s="9"/>
      <c r="K381" s="9"/>
      <c r="L381" s="9"/>
      <c r="M381" s="9"/>
      <c r="N381" s="9" t="s">
        <v>3130</v>
      </c>
      <c r="O381" s="9" t="s">
        <v>4212</v>
      </c>
      <c r="P381" s="9" t="s">
        <v>3650</v>
      </c>
      <c r="Q381" s="58" t="s">
        <v>3545</v>
      </c>
      <c r="R381" s="58">
        <v>1</v>
      </c>
      <c r="S381" s="58">
        <v>8</v>
      </c>
      <c r="T381" s="9" t="s">
        <v>3065</v>
      </c>
      <c r="U381" s="9" t="s">
        <v>4218</v>
      </c>
      <c r="V381" s="58">
        <v>1</v>
      </c>
      <c r="W381" s="9"/>
      <c r="X381" s="9"/>
      <c r="Y381" s="9"/>
      <c r="Z381" s="9"/>
    </row>
    <row r="382" spans="1:26" ht="15.75" hidden="1" customHeight="1">
      <c r="A382" s="9" t="s">
        <v>4216</v>
      </c>
      <c r="B382" s="9" t="s">
        <v>4217</v>
      </c>
      <c r="C382" s="9" t="s">
        <v>4211</v>
      </c>
      <c r="D382" s="9" t="s">
        <v>368</v>
      </c>
      <c r="E382" s="9" t="s">
        <v>3056</v>
      </c>
      <c r="F382" s="58" t="s">
        <v>3057</v>
      </c>
      <c r="G382" s="58">
        <v>9600</v>
      </c>
      <c r="H382" s="85">
        <v>0.15</v>
      </c>
      <c r="I382" s="9">
        <v>5.0999999999999996</v>
      </c>
      <c r="J382" s="9"/>
      <c r="K382" s="9"/>
      <c r="L382" s="9"/>
      <c r="M382" s="9"/>
      <c r="N382" s="9" t="s">
        <v>3130</v>
      </c>
      <c r="O382" s="9" t="s">
        <v>4212</v>
      </c>
      <c r="P382" s="9" t="s">
        <v>4214</v>
      </c>
      <c r="Q382" s="58" t="s">
        <v>3074</v>
      </c>
      <c r="R382" s="58">
        <v>3</v>
      </c>
      <c r="S382" s="58">
        <v>8</v>
      </c>
      <c r="T382" s="9" t="s">
        <v>3065</v>
      </c>
      <c r="U382" s="9" t="s">
        <v>4219</v>
      </c>
      <c r="V382" s="58">
        <v>3</v>
      </c>
      <c r="W382" s="9"/>
      <c r="X382" s="9"/>
      <c r="Y382" s="9"/>
      <c r="Z382" s="9"/>
    </row>
    <row r="383" spans="1:26" ht="15.75" hidden="1" customHeight="1">
      <c r="A383" s="9" t="s">
        <v>1549</v>
      </c>
      <c r="B383" s="9" t="s">
        <v>4220</v>
      </c>
      <c r="C383" s="9" t="s">
        <v>753</v>
      </c>
      <c r="D383" s="9" t="s">
        <v>439</v>
      </c>
      <c r="E383" s="9"/>
      <c r="F383" s="9"/>
      <c r="G383" s="58">
        <v>6800</v>
      </c>
      <c r="H383" s="85">
        <v>7.0588235294117604E-2</v>
      </c>
      <c r="I383" s="9">
        <v>33</v>
      </c>
      <c r="J383" s="9"/>
      <c r="K383" s="9"/>
      <c r="L383" s="9"/>
      <c r="M383" s="9"/>
      <c r="N383" s="9" t="s">
        <v>4221</v>
      </c>
      <c r="O383" s="9" t="s">
        <v>4212</v>
      </c>
      <c r="P383" s="9" t="s">
        <v>3441</v>
      </c>
      <c r="Q383" s="58" t="s">
        <v>3132</v>
      </c>
      <c r="R383" s="58">
        <v>1</v>
      </c>
      <c r="S383" s="58">
        <v>8</v>
      </c>
      <c r="T383" s="9" t="s">
        <v>4222</v>
      </c>
      <c r="U383" s="9" t="s">
        <v>4223</v>
      </c>
      <c r="V383" s="58">
        <v>1</v>
      </c>
      <c r="W383" s="9"/>
      <c r="X383" s="9"/>
      <c r="Y383" s="9"/>
      <c r="Z383" s="9"/>
    </row>
    <row r="384" spans="1:26" ht="15.75" hidden="1" customHeight="1">
      <c r="A384" s="9" t="s">
        <v>1549</v>
      </c>
      <c r="B384" s="9" t="s">
        <v>4220</v>
      </c>
      <c r="C384" s="9" t="s">
        <v>753</v>
      </c>
      <c r="D384" s="9" t="s">
        <v>368</v>
      </c>
      <c r="E384" s="9" t="s">
        <v>4140</v>
      </c>
      <c r="F384" s="58" t="s">
        <v>3087</v>
      </c>
      <c r="G384" s="58">
        <v>5950</v>
      </c>
      <c r="H384" s="85">
        <v>0.28235294117646997</v>
      </c>
      <c r="I384" s="9">
        <v>33</v>
      </c>
      <c r="J384" s="9"/>
      <c r="K384" s="9"/>
      <c r="L384" s="9"/>
      <c r="M384" s="9"/>
      <c r="N384" s="9" t="s">
        <v>4221</v>
      </c>
      <c r="O384" s="9" t="s">
        <v>4212</v>
      </c>
      <c r="P384" s="9" t="s">
        <v>4224</v>
      </c>
      <c r="Q384" s="58" t="s">
        <v>3132</v>
      </c>
      <c r="R384" s="58">
        <v>4</v>
      </c>
      <c r="S384" s="58">
        <v>7</v>
      </c>
      <c r="T384" s="9" t="s">
        <v>4222</v>
      </c>
      <c r="U384" s="9" t="s">
        <v>4225</v>
      </c>
      <c r="V384" s="58">
        <v>4</v>
      </c>
      <c r="W384" s="9"/>
      <c r="X384" s="9"/>
      <c r="Y384" s="9"/>
      <c r="Z384" s="9"/>
    </row>
    <row r="385" spans="1:26" ht="15.75" hidden="1" customHeight="1">
      <c r="A385" s="9" t="s">
        <v>265</v>
      </c>
      <c r="B385" s="9" t="s">
        <v>4226</v>
      </c>
      <c r="C385" s="9" t="s">
        <v>266</v>
      </c>
      <c r="D385" s="9" t="s">
        <v>439</v>
      </c>
      <c r="E385" s="9"/>
      <c r="F385" s="9"/>
      <c r="G385" s="58">
        <v>24000</v>
      </c>
      <c r="H385" s="85">
        <v>0.02</v>
      </c>
      <c r="I385" s="9">
        <v>5</v>
      </c>
      <c r="J385" s="9"/>
      <c r="K385" s="9"/>
      <c r="L385" s="9"/>
      <c r="M385" s="9"/>
      <c r="N385" s="9" t="s">
        <v>4227</v>
      </c>
      <c r="O385" s="9" t="s">
        <v>4228</v>
      </c>
      <c r="P385" s="9" t="s">
        <v>4229</v>
      </c>
      <c r="Q385" s="58" t="s">
        <v>4230</v>
      </c>
      <c r="R385" s="58">
        <v>1</v>
      </c>
      <c r="S385" s="58">
        <v>8</v>
      </c>
      <c r="T385" s="9" t="s">
        <v>4231</v>
      </c>
      <c r="U385" s="9" t="s">
        <v>4232</v>
      </c>
      <c r="V385" s="58">
        <v>1</v>
      </c>
      <c r="W385" s="9"/>
      <c r="X385" s="9"/>
      <c r="Y385" s="9"/>
      <c r="Z385" s="9"/>
    </row>
    <row r="386" spans="1:26" ht="15.75" hidden="1" customHeight="1">
      <c r="A386" s="9" t="s">
        <v>265</v>
      </c>
      <c r="B386" s="9" t="s">
        <v>4226</v>
      </c>
      <c r="C386" s="9" t="s">
        <v>266</v>
      </c>
      <c r="D386" s="9" t="s">
        <v>368</v>
      </c>
      <c r="E386" s="9" t="s">
        <v>3056</v>
      </c>
      <c r="F386" s="58" t="s">
        <v>3057</v>
      </c>
      <c r="G386" s="58">
        <v>8400</v>
      </c>
      <c r="H386" s="85">
        <v>0.15</v>
      </c>
      <c r="I386" s="9">
        <v>5</v>
      </c>
      <c r="J386" s="9"/>
      <c r="K386" s="9"/>
      <c r="L386" s="9"/>
      <c r="M386" s="9"/>
      <c r="N386" s="9" t="s">
        <v>4227</v>
      </c>
      <c r="O386" s="9" t="s">
        <v>4228</v>
      </c>
      <c r="P386" s="9" t="s">
        <v>4233</v>
      </c>
      <c r="Q386" s="58" t="s">
        <v>3074</v>
      </c>
      <c r="R386" s="58">
        <v>3</v>
      </c>
      <c r="S386" s="58">
        <v>7</v>
      </c>
      <c r="T386" s="9" t="s">
        <v>4231</v>
      </c>
      <c r="U386" s="9" t="s">
        <v>4234</v>
      </c>
      <c r="V386" s="58">
        <v>3</v>
      </c>
      <c r="W386" s="9"/>
      <c r="X386" s="9"/>
      <c r="Y386" s="9"/>
      <c r="Z386" s="9"/>
    </row>
    <row r="387" spans="1:26" ht="15.75" hidden="1" customHeight="1">
      <c r="A387" s="9" t="s">
        <v>1553</v>
      </c>
      <c r="B387" s="9" t="s">
        <v>4235</v>
      </c>
      <c r="C387" s="9" t="s">
        <v>809</v>
      </c>
      <c r="D387" s="9" t="s">
        <v>439</v>
      </c>
      <c r="E387" s="9"/>
      <c r="F387" s="9"/>
      <c r="G387" s="58">
        <v>6400</v>
      </c>
      <c r="H387" s="85">
        <v>7.4999999999999997E-2</v>
      </c>
      <c r="I387" s="9">
        <v>30.3</v>
      </c>
      <c r="J387" s="9"/>
      <c r="K387" s="9"/>
      <c r="L387" s="9"/>
      <c r="M387" s="9"/>
      <c r="N387" s="9" t="s">
        <v>4236</v>
      </c>
      <c r="O387" s="9" t="s">
        <v>4228</v>
      </c>
      <c r="P387" s="9" t="s">
        <v>3190</v>
      </c>
      <c r="Q387" s="58" t="s">
        <v>3185</v>
      </c>
      <c r="R387" s="58">
        <v>1</v>
      </c>
      <c r="S387" s="58">
        <v>8</v>
      </c>
      <c r="T387" s="9" t="s">
        <v>4237</v>
      </c>
      <c r="U387" s="9" t="s">
        <v>4238</v>
      </c>
      <c r="V387" s="58">
        <v>1</v>
      </c>
      <c r="W387" s="9"/>
      <c r="X387" s="9"/>
      <c r="Y387" s="9"/>
      <c r="Z387" s="9"/>
    </row>
    <row r="388" spans="1:26" ht="15.75" hidden="1" customHeight="1">
      <c r="A388" s="9" t="s">
        <v>1553</v>
      </c>
      <c r="B388" s="9" t="s">
        <v>4235</v>
      </c>
      <c r="C388" s="9" t="s">
        <v>809</v>
      </c>
      <c r="D388" s="9" t="s">
        <v>368</v>
      </c>
      <c r="E388" s="9" t="s">
        <v>3092</v>
      </c>
      <c r="F388" s="58" t="s">
        <v>3087</v>
      </c>
      <c r="G388" s="58">
        <v>5600</v>
      </c>
      <c r="H388" s="85">
        <v>0.22500000000000001</v>
      </c>
      <c r="I388" s="9">
        <v>30.3</v>
      </c>
      <c r="J388" s="9"/>
      <c r="K388" s="9"/>
      <c r="L388" s="9"/>
      <c r="M388" s="9"/>
      <c r="N388" s="9" t="s">
        <v>4236</v>
      </c>
      <c r="O388" s="9" t="s">
        <v>4228</v>
      </c>
      <c r="P388" s="9" t="s">
        <v>4239</v>
      </c>
      <c r="Q388" s="58" t="s">
        <v>3185</v>
      </c>
      <c r="R388" s="58">
        <v>3</v>
      </c>
      <c r="S388" s="58">
        <v>7</v>
      </c>
      <c r="T388" s="9" t="s">
        <v>4237</v>
      </c>
      <c r="U388" s="9" t="s">
        <v>4240</v>
      </c>
      <c r="V388" s="58">
        <v>3</v>
      </c>
      <c r="W388" s="9"/>
      <c r="X388" s="9"/>
      <c r="Y388" s="9"/>
      <c r="Z388" s="9"/>
    </row>
    <row r="389" spans="1:26" ht="15.75" hidden="1" customHeight="1">
      <c r="A389" s="9" t="s">
        <v>283</v>
      </c>
      <c r="B389" s="9" t="s">
        <v>4241</v>
      </c>
      <c r="C389" s="9" t="s">
        <v>284</v>
      </c>
      <c r="D389" s="9" t="s">
        <v>439</v>
      </c>
      <c r="E389" s="9"/>
      <c r="F389" s="9"/>
      <c r="G389" s="58">
        <v>12800</v>
      </c>
      <c r="H389" s="85">
        <v>3.7499999999999999E-2</v>
      </c>
      <c r="I389" s="9">
        <v>30.3</v>
      </c>
      <c r="J389" s="9"/>
      <c r="K389" s="9"/>
      <c r="L389" s="9"/>
      <c r="M389" s="9"/>
      <c r="N389" s="9" t="s">
        <v>4242</v>
      </c>
      <c r="O389" s="9" t="s">
        <v>3051</v>
      </c>
      <c r="P389" s="9" t="s">
        <v>3650</v>
      </c>
      <c r="Q389" s="58" t="s">
        <v>3545</v>
      </c>
      <c r="R389" s="58">
        <v>1</v>
      </c>
      <c r="S389" s="58">
        <v>8</v>
      </c>
      <c r="T389" s="9" t="s">
        <v>4243</v>
      </c>
      <c r="U389" s="9" t="s">
        <v>4244</v>
      </c>
      <c r="V389" s="58">
        <v>1</v>
      </c>
      <c r="W389" s="9"/>
      <c r="X389" s="9"/>
      <c r="Y389" s="9"/>
      <c r="Z389" s="9"/>
    </row>
    <row r="390" spans="1:26" ht="15.75" hidden="1" customHeight="1">
      <c r="A390" s="9" t="s">
        <v>283</v>
      </c>
      <c r="B390" s="9" t="s">
        <v>4241</v>
      </c>
      <c r="C390" s="9" t="s">
        <v>284</v>
      </c>
      <c r="D390" s="9" t="s">
        <v>368</v>
      </c>
      <c r="E390" s="9" t="s">
        <v>3067</v>
      </c>
      <c r="F390" s="58" t="s">
        <v>3057</v>
      </c>
      <c r="G390" s="58">
        <v>11200</v>
      </c>
      <c r="H390" s="85">
        <v>0.1125</v>
      </c>
      <c r="I390" s="9">
        <v>30.3</v>
      </c>
      <c r="J390" s="9"/>
      <c r="K390" s="9"/>
      <c r="L390" s="9"/>
      <c r="M390" s="9"/>
      <c r="N390" s="9" t="s">
        <v>4242</v>
      </c>
      <c r="O390" s="9" t="s">
        <v>3051</v>
      </c>
      <c r="P390" s="9" t="s">
        <v>4245</v>
      </c>
      <c r="Q390" s="58" t="s">
        <v>3545</v>
      </c>
      <c r="R390" s="58">
        <v>3</v>
      </c>
      <c r="S390" s="58">
        <v>7</v>
      </c>
      <c r="T390" s="9" t="s">
        <v>4243</v>
      </c>
      <c r="U390" s="9" t="s">
        <v>4246</v>
      </c>
      <c r="V390" s="58">
        <v>3</v>
      </c>
      <c r="W390" s="9"/>
      <c r="X390" s="9"/>
      <c r="Y390" s="9"/>
      <c r="Z390" s="9"/>
    </row>
    <row r="391" spans="1:26" ht="15.75" hidden="1" customHeight="1">
      <c r="A391" s="9" t="s">
        <v>309</v>
      </c>
      <c r="B391" s="9" t="s">
        <v>4247</v>
      </c>
      <c r="C391" s="9" t="s">
        <v>310</v>
      </c>
      <c r="D391" s="9" t="s">
        <v>439</v>
      </c>
      <c r="E391" s="9"/>
      <c r="F391" s="9"/>
      <c r="G391" s="58">
        <v>12000</v>
      </c>
      <c r="H391" s="85">
        <v>0.04</v>
      </c>
      <c r="I391" s="9">
        <v>30.6</v>
      </c>
      <c r="J391" s="9"/>
      <c r="K391" s="9"/>
      <c r="L391" s="9"/>
      <c r="M391" s="9"/>
      <c r="N391" s="9" t="s">
        <v>4248</v>
      </c>
      <c r="O391" s="9" t="s">
        <v>3051</v>
      </c>
      <c r="P391" s="9" t="s">
        <v>3148</v>
      </c>
      <c r="Q391" s="58" t="s">
        <v>3143</v>
      </c>
      <c r="R391" s="58">
        <v>1</v>
      </c>
      <c r="S391" s="58">
        <v>8</v>
      </c>
      <c r="T391" s="9" t="s">
        <v>3065</v>
      </c>
      <c r="U391" s="9" t="s">
        <v>4249</v>
      </c>
      <c r="V391" s="58">
        <v>1</v>
      </c>
      <c r="W391" s="9"/>
      <c r="X391" s="9"/>
      <c r="Y391" s="9"/>
      <c r="Z391" s="9"/>
    </row>
    <row r="392" spans="1:26" ht="15.75" hidden="1" customHeight="1">
      <c r="A392" s="9" t="s">
        <v>309</v>
      </c>
      <c r="B392" s="9" t="s">
        <v>4247</v>
      </c>
      <c r="C392" s="9" t="s">
        <v>310</v>
      </c>
      <c r="D392" s="9" t="s">
        <v>368</v>
      </c>
      <c r="E392" s="9" t="s">
        <v>3402</v>
      </c>
      <c r="F392" s="58" t="s">
        <v>3057</v>
      </c>
      <c r="G392" s="58">
        <v>9800</v>
      </c>
      <c r="H392" s="85">
        <v>0.17142857142857101</v>
      </c>
      <c r="I392" s="9">
        <v>30.6</v>
      </c>
      <c r="J392" s="9"/>
      <c r="K392" s="9"/>
      <c r="L392" s="9"/>
      <c r="M392" s="9"/>
      <c r="N392" s="9" t="s">
        <v>4248</v>
      </c>
      <c r="O392" s="9" t="s">
        <v>3051</v>
      </c>
      <c r="P392" s="9" t="s">
        <v>4250</v>
      </c>
      <c r="Q392" s="58" t="s">
        <v>3294</v>
      </c>
      <c r="R392" s="58">
        <v>4</v>
      </c>
      <c r="S392" s="58">
        <v>7</v>
      </c>
      <c r="T392" s="9" t="s">
        <v>3065</v>
      </c>
      <c r="U392" s="9" t="s">
        <v>4251</v>
      </c>
      <c r="V392" s="58">
        <v>4</v>
      </c>
      <c r="W392" s="9"/>
      <c r="X392" s="9"/>
      <c r="Y392" s="9"/>
      <c r="Z392" s="9"/>
    </row>
    <row r="393" spans="1:26" ht="15.75" hidden="1" customHeight="1">
      <c r="A393" s="9" t="s">
        <v>31</v>
      </c>
      <c r="B393" s="9" t="s">
        <v>4252</v>
      </c>
      <c r="C393" s="9" t="s">
        <v>32</v>
      </c>
      <c r="D393" s="9" t="s">
        <v>439</v>
      </c>
      <c r="E393" s="9"/>
      <c r="F393" s="9"/>
      <c r="G393" s="58">
        <v>12800</v>
      </c>
      <c r="H393" s="85">
        <v>3.7499999999999999E-2</v>
      </c>
      <c r="I393" s="9">
        <v>4.9000000000000004</v>
      </c>
      <c r="J393" s="9"/>
      <c r="K393" s="9"/>
      <c r="L393" s="9"/>
      <c r="M393" s="9"/>
      <c r="N393" s="9" t="s">
        <v>3375</v>
      </c>
      <c r="O393" s="9" t="s">
        <v>3051</v>
      </c>
      <c r="P393" s="9" t="s">
        <v>3650</v>
      </c>
      <c r="Q393" s="58" t="s">
        <v>3545</v>
      </c>
      <c r="R393" s="58">
        <v>1</v>
      </c>
      <c r="S393" s="58">
        <v>8</v>
      </c>
      <c r="T393" s="9" t="s">
        <v>4253</v>
      </c>
      <c r="U393" s="9" t="s">
        <v>4254</v>
      </c>
      <c r="V393" s="58">
        <v>1</v>
      </c>
      <c r="W393" s="9"/>
      <c r="X393" s="9"/>
      <c r="Y393" s="9"/>
      <c r="Z393" s="9"/>
    </row>
    <row r="394" spans="1:26" ht="15.75" hidden="1" customHeight="1">
      <c r="A394" s="9" t="s">
        <v>31</v>
      </c>
      <c r="B394" s="9" t="s">
        <v>4252</v>
      </c>
      <c r="C394" s="9" t="s">
        <v>32</v>
      </c>
      <c r="D394" s="9" t="s">
        <v>368</v>
      </c>
      <c r="E394" s="9" t="s">
        <v>3056</v>
      </c>
      <c r="F394" s="58" t="s">
        <v>3057</v>
      </c>
      <c r="G394" s="58">
        <v>7000</v>
      </c>
      <c r="H394" s="85">
        <v>0.24</v>
      </c>
      <c r="I394" s="9">
        <v>4.9000000000000004</v>
      </c>
      <c r="J394" s="9"/>
      <c r="K394" s="9"/>
      <c r="L394" s="9"/>
      <c r="M394" s="9"/>
      <c r="N394" s="9" t="s">
        <v>3375</v>
      </c>
      <c r="O394" s="9" t="s">
        <v>3051</v>
      </c>
      <c r="P394" s="9" t="s">
        <v>4255</v>
      </c>
      <c r="Q394" s="58" t="s">
        <v>3167</v>
      </c>
      <c r="R394" s="58">
        <v>4</v>
      </c>
      <c r="S394" s="58">
        <v>7</v>
      </c>
      <c r="T394" s="9" t="s">
        <v>4253</v>
      </c>
      <c r="U394" s="9" t="s">
        <v>4256</v>
      </c>
      <c r="V394" s="58">
        <v>4</v>
      </c>
      <c r="W394" s="9"/>
      <c r="X394" s="9"/>
      <c r="Y394" s="9"/>
      <c r="Z394" s="9"/>
    </row>
    <row r="395" spans="1:26" ht="15.75" hidden="1" customHeight="1">
      <c r="A395" s="9" t="s">
        <v>87</v>
      </c>
      <c r="B395" s="9" t="s">
        <v>4257</v>
      </c>
      <c r="C395" s="9" t="s">
        <v>88</v>
      </c>
      <c r="D395" s="9" t="s">
        <v>439</v>
      </c>
      <c r="E395" s="9"/>
      <c r="F395" s="9"/>
      <c r="G395" s="58">
        <v>12800</v>
      </c>
      <c r="H395" s="85">
        <v>3.7499999999999999E-2</v>
      </c>
      <c r="I395" s="9">
        <v>30.6</v>
      </c>
      <c r="J395" s="9"/>
      <c r="K395" s="9"/>
      <c r="L395" s="9"/>
      <c r="M395" s="9"/>
      <c r="N395" s="9" t="s">
        <v>4258</v>
      </c>
      <c r="O395" s="9" t="s">
        <v>3051</v>
      </c>
      <c r="P395" s="9" t="s">
        <v>3650</v>
      </c>
      <c r="Q395" s="58" t="s">
        <v>3545</v>
      </c>
      <c r="R395" s="58">
        <v>1</v>
      </c>
      <c r="S395" s="58">
        <v>8</v>
      </c>
      <c r="T395" s="9" t="s">
        <v>4259</v>
      </c>
      <c r="U395" s="9" t="s">
        <v>4260</v>
      </c>
      <c r="V395" s="58">
        <v>1</v>
      </c>
      <c r="W395" s="9"/>
      <c r="X395" s="9"/>
      <c r="Y395" s="9"/>
      <c r="Z395" s="9"/>
    </row>
    <row r="396" spans="1:26" ht="15.75" hidden="1" customHeight="1">
      <c r="A396" s="9" t="s">
        <v>87</v>
      </c>
      <c r="B396" s="9" t="s">
        <v>4257</v>
      </c>
      <c r="C396" s="9" t="s">
        <v>88</v>
      </c>
      <c r="D396" s="9" t="s">
        <v>368</v>
      </c>
      <c r="E396" s="9" t="s">
        <v>3402</v>
      </c>
      <c r="F396" s="58" t="s">
        <v>3057</v>
      </c>
      <c r="G396" s="58">
        <v>10500</v>
      </c>
      <c r="H396" s="85">
        <v>0.12</v>
      </c>
      <c r="I396" s="9">
        <v>30.6</v>
      </c>
      <c r="J396" s="9"/>
      <c r="K396" s="9"/>
      <c r="L396" s="9"/>
      <c r="M396" s="9"/>
      <c r="N396" s="9" t="s">
        <v>4258</v>
      </c>
      <c r="O396" s="9" t="s">
        <v>3051</v>
      </c>
      <c r="P396" s="9" t="s">
        <v>4261</v>
      </c>
      <c r="Q396" s="58" t="s">
        <v>3143</v>
      </c>
      <c r="R396" s="58">
        <v>3</v>
      </c>
      <c r="S396" s="58">
        <v>7</v>
      </c>
      <c r="T396" s="9" t="s">
        <v>4259</v>
      </c>
      <c r="U396" s="9" t="s">
        <v>4262</v>
      </c>
      <c r="V396" s="58">
        <v>3</v>
      </c>
      <c r="W396" s="9"/>
      <c r="X396" s="9"/>
      <c r="Y396" s="9"/>
      <c r="Z396" s="9"/>
    </row>
    <row r="397" spans="1:26" ht="15.75" hidden="1" customHeight="1">
      <c r="A397" s="9" t="s">
        <v>4263</v>
      </c>
      <c r="B397" s="9" t="s">
        <v>4264</v>
      </c>
      <c r="C397" s="9" t="s">
        <v>4265</v>
      </c>
      <c r="D397" s="9" t="s">
        <v>368</v>
      </c>
      <c r="E397" s="9" t="s">
        <v>3056</v>
      </c>
      <c r="F397" s="58" t="s">
        <v>3057</v>
      </c>
      <c r="G397" s="58">
        <v>7700</v>
      </c>
      <c r="H397" s="85">
        <v>0.218181818181818</v>
      </c>
      <c r="I397" s="9">
        <v>10</v>
      </c>
      <c r="J397" s="9"/>
      <c r="K397" s="9"/>
      <c r="L397" s="9"/>
      <c r="M397" s="9"/>
      <c r="N397" s="9" t="s">
        <v>4266</v>
      </c>
      <c r="O397" s="9" t="s">
        <v>3081</v>
      </c>
      <c r="P397" s="9" t="s">
        <v>4267</v>
      </c>
      <c r="Q397" s="58" t="s">
        <v>3077</v>
      </c>
      <c r="R397" s="58">
        <v>4</v>
      </c>
      <c r="S397" s="58">
        <v>7</v>
      </c>
      <c r="T397" s="9" t="s">
        <v>3741</v>
      </c>
      <c r="U397" s="9" t="s">
        <v>4268</v>
      </c>
      <c r="V397" s="58">
        <v>4</v>
      </c>
      <c r="W397" s="9"/>
      <c r="X397" s="9"/>
      <c r="Y397" s="9"/>
      <c r="Z397" s="9"/>
    </row>
    <row r="398" spans="1:26" ht="15.75" hidden="1" customHeight="1">
      <c r="A398" s="9" t="s">
        <v>1565</v>
      </c>
      <c r="B398" s="9" t="s">
        <v>4269</v>
      </c>
      <c r="C398" s="9" t="s">
        <v>592</v>
      </c>
      <c r="D398" s="9" t="s">
        <v>439</v>
      </c>
      <c r="E398" s="9"/>
      <c r="F398" s="9"/>
      <c r="G398" s="58">
        <v>6400</v>
      </c>
      <c r="H398" s="85">
        <v>7.4999999999999997E-2</v>
      </c>
      <c r="I398" s="9">
        <v>60</v>
      </c>
      <c r="J398" s="9"/>
      <c r="K398" s="9"/>
      <c r="L398" s="9"/>
      <c r="M398" s="9"/>
      <c r="N398" s="9" t="s">
        <v>4270</v>
      </c>
      <c r="O398" s="9" t="s">
        <v>3081</v>
      </c>
      <c r="P398" s="9" t="s">
        <v>3190</v>
      </c>
      <c r="Q398" s="58" t="s">
        <v>3185</v>
      </c>
      <c r="R398" s="58">
        <v>1</v>
      </c>
      <c r="S398" s="58">
        <v>8</v>
      </c>
      <c r="T398" s="9" t="s">
        <v>3065</v>
      </c>
      <c r="U398" s="9" t="s">
        <v>4271</v>
      </c>
      <c r="V398" s="58">
        <v>1</v>
      </c>
      <c r="W398" s="9"/>
      <c r="X398" s="9"/>
      <c r="Y398" s="9"/>
      <c r="Z398" s="9"/>
    </row>
    <row r="399" spans="1:26" ht="15.75" hidden="1" customHeight="1">
      <c r="A399" s="9" t="s">
        <v>1565</v>
      </c>
      <c r="B399" s="9" t="s">
        <v>4269</v>
      </c>
      <c r="C399" s="9" t="s">
        <v>592</v>
      </c>
      <c r="D399" s="9" t="s">
        <v>368</v>
      </c>
      <c r="E399" s="9" t="s">
        <v>4272</v>
      </c>
      <c r="F399" s="58" t="s">
        <v>3801</v>
      </c>
      <c r="G399" s="58">
        <v>8400</v>
      </c>
      <c r="H399" s="85">
        <v>0.2</v>
      </c>
      <c r="I399" s="9">
        <v>60</v>
      </c>
      <c r="J399" s="9"/>
      <c r="K399" s="9"/>
      <c r="L399" s="9"/>
      <c r="M399" s="9"/>
      <c r="N399" s="9" t="s">
        <v>4270</v>
      </c>
      <c r="O399" s="9" t="s">
        <v>3081</v>
      </c>
      <c r="P399" s="9" t="s">
        <v>4273</v>
      </c>
      <c r="Q399" s="58" t="s">
        <v>3074</v>
      </c>
      <c r="R399" s="58">
        <v>4</v>
      </c>
      <c r="S399" s="58">
        <v>7</v>
      </c>
      <c r="T399" s="9" t="s">
        <v>3065</v>
      </c>
      <c r="U399" s="9" t="s">
        <v>4274</v>
      </c>
      <c r="V399" s="58">
        <v>4</v>
      </c>
      <c r="W399" s="9"/>
      <c r="X399" s="9"/>
      <c r="Y399" s="9"/>
      <c r="Z399" s="9"/>
    </row>
    <row r="400" spans="1:26" ht="15.75" hidden="1" customHeight="1">
      <c r="A400" s="9" t="s">
        <v>59</v>
      </c>
      <c r="B400" s="9" t="s">
        <v>4275</v>
      </c>
      <c r="C400" s="9" t="s">
        <v>60</v>
      </c>
      <c r="D400" s="9" t="s">
        <v>439</v>
      </c>
      <c r="E400" s="9"/>
      <c r="F400" s="9"/>
      <c r="G400" s="58">
        <v>3680</v>
      </c>
      <c r="H400" s="85">
        <v>0.13043478260869501</v>
      </c>
      <c r="I400" s="9">
        <v>100</v>
      </c>
      <c r="J400" s="9"/>
      <c r="K400" s="9"/>
      <c r="L400" s="9"/>
      <c r="M400" s="9"/>
      <c r="N400" s="9" t="s">
        <v>4276</v>
      </c>
      <c r="O400" s="9" t="s">
        <v>4212</v>
      </c>
      <c r="P400" s="9" t="s">
        <v>4277</v>
      </c>
      <c r="Q400" s="58" t="s">
        <v>4128</v>
      </c>
      <c r="R400" s="58">
        <v>1</v>
      </c>
      <c r="S400" s="58">
        <v>8</v>
      </c>
      <c r="T400" s="9" t="s">
        <v>4278</v>
      </c>
      <c r="U400" s="9" t="s">
        <v>4279</v>
      </c>
      <c r="V400" s="58">
        <v>1</v>
      </c>
      <c r="W400" s="9"/>
      <c r="X400" s="9"/>
      <c r="Y400" s="9"/>
      <c r="Z400" s="9"/>
    </row>
    <row r="401" spans="1:26" ht="15.75" hidden="1" customHeight="1">
      <c r="A401" s="9" t="s">
        <v>59</v>
      </c>
      <c r="B401" s="9" t="s">
        <v>4275</v>
      </c>
      <c r="C401" s="9" t="s">
        <v>60</v>
      </c>
      <c r="D401" s="9" t="s">
        <v>368</v>
      </c>
      <c r="E401" s="9" t="s">
        <v>3229</v>
      </c>
      <c r="F401" s="58" t="s">
        <v>3087</v>
      </c>
      <c r="G401" s="58">
        <v>3290</v>
      </c>
      <c r="H401" s="85">
        <v>0.38297872340425498</v>
      </c>
      <c r="I401" s="9">
        <v>100</v>
      </c>
      <c r="J401" s="9"/>
      <c r="K401" s="9"/>
      <c r="L401" s="9"/>
      <c r="M401" s="9"/>
      <c r="N401" s="9" t="s">
        <v>4276</v>
      </c>
      <c r="O401" s="9" t="s">
        <v>4212</v>
      </c>
      <c r="P401" s="9" t="s">
        <v>4280</v>
      </c>
      <c r="Q401" s="58" t="s">
        <v>3746</v>
      </c>
      <c r="R401" s="58">
        <v>3</v>
      </c>
      <c r="S401" s="58">
        <v>7</v>
      </c>
      <c r="T401" s="9" t="s">
        <v>4278</v>
      </c>
      <c r="U401" s="9" t="s">
        <v>4281</v>
      </c>
      <c r="V401" s="58">
        <v>3</v>
      </c>
      <c r="W401" s="9"/>
      <c r="X401" s="9"/>
      <c r="Y401" s="9"/>
      <c r="Z401" s="9"/>
    </row>
    <row r="402" spans="1:26" ht="15.75" hidden="1" customHeight="1">
      <c r="A402" s="9" t="s">
        <v>4282</v>
      </c>
      <c r="B402" s="9" t="s">
        <v>4283</v>
      </c>
      <c r="C402" s="9" t="s">
        <v>4284</v>
      </c>
      <c r="D402" s="9" t="s">
        <v>439</v>
      </c>
      <c r="E402" s="9"/>
      <c r="F402" s="9"/>
      <c r="G402" s="58">
        <v>12000</v>
      </c>
      <c r="H402" s="85">
        <v>0.04</v>
      </c>
      <c r="I402" s="9">
        <v>4.8</v>
      </c>
      <c r="J402" s="9"/>
      <c r="K402" s="9"/>
      <c r="L402" s="9"/>
      <c r="M402" s="9"/>
      <c r="N402" s="9" t="s">
        <v>4285</v>
      </c>
      <c r="O402" s="9" t="s">
        <v>3258</v>
      </c>
      <c r="P402" s="9" t="s">
        <v>3148</v>
      </c>
      <c r="Q402" s="58" t="s">
        <v>3143</v>
      </c>
      <c r="R402" s="58">
        <v>1</v>
      </c>
      <c r="S402" s="58">
        <v>8</v>
      </c>
      <c r="T402" s="9" t="s">
        <v>4286</v>
      </c>
      <c r="U402" s="9" t="s">
        <v>4287</v>
      </c>
      <c r="V402" s="58">
        <v>1</v>
      </c>
      <c r="W402" s="9"/>
      <c r="X402" s="9"/>
      <c r="Y402" s="9"/>
      <c r="Z402" s="9"/>
    </row>
    <row r="403" spans="1:26" ht="15.75" hidden="1" customHeight="1">
      <c r="A403" s="9" t="s">
        <v>4282</v>
      </c>
      <c r="B403" s="9" t="s">
        <v>4283</v>
      </c>
      <c r="C403" s="9" t="s">
        <v>4284</v>
      </c>
      <c r="D403" s="9" t="s">
        <v>368</v>
      </c>
      <c r="E403" s="9" t="s">
        <v>3056</v>
      </c>
      <c r="F403" s="58" t="s">
        <v>3057</v>
      </c>
      <c r="G403" s="58">
        <v>10500</v>
      </c>
      <c r="H403" s="85">
        <v>0.16</v>
      </c>
      <c r="I403" s="9">
        <v>4.8</v>
      </c>
      <c r="J403" s="9"/>
      <c r="K403" s="9"/>
      <c r="L403" s="9"/>
      <c r="M403" s="9"/>
      <c r="N403" s="9" t="s">
        <v>4285</v>
      </c>
      <c r="O403" s="9" t="s">
        <v>3258</v>
      </c>
      <c r="P403" s="9" t="s">
        <v>4288</v>
      </c>
      <c r="Q403" s="58" t="s">
        <v>3143</v>
      </c>
      <c r="R403" s="58">
        <v>4</v>
      </c>
      <c r="S403" s="58">
        <v>7</v>
      </c>
      <c r="T403" s="9" t="s">
        <v>4286</v>
      </c>
      <c r="U403" s="9" t="s">
        <v>4289</v>
      </c>
      <c r="V403" s="58">
        <v>4</v>
      </c>
      <c r="W403" s="9"/>
      <c r="X403" s="9"/>
      <c r="Y403" s="9"/>
      <c r="Z403" s="9"/>
    </row>
    <row r="404" spans="1:26" ht="15.75" hidden="1" customHeight="1">
      <c r="A404" s="9" t="s">
        <v>1578</v>
      </c>
      <c r="B404" s="9" t="s">
        <v>4290</v>
      </c>
      <c r="C404" s="9" t="s">
        <v>731</v>
      </c>
      <c r="D404" s="9" t="s">
        <v>439</v>
      </c>
      <c r="E404" s="9"/>
      <c r="F404" s="9"/>
      <c r="G404" s="58">
        <v>12000</v>
      </c>
      <c r="H404" s="85">
        <v>0.04</v>
      </c>
      <c r="I404" s="9">
        <v>30.3</v>
      </c>
      <c r="J404" s="9"/>
      <c r="K404" s="9"/>
      <c r="L404" s="9"/>
      <c r="M404" s="9"/>
      <c r="N404" s="9" t="s">
        <v>4291</v>
      </c>
      <c r="O404" s="9" t="s">
        <v>3258</v>
      </c>
      <c r="P404" s="9" t="s">
        <v>3148</v>
      </c>
      <c r="Q404" s="58" t="s">
        <v>3143</v>
      </c>
      <c r="R404" s="58">
        <v>1</v>
      </c>
      <c r="S404" s="58">
        <v>8</v>
      </c>
      <c r="T404" s="9" t="s">
        <v>3065</v>
      </c>
      <c r="U404" s="9" t="s">
        <v>4292</v>
      </c>
      <c r="V404" s="58">
        <v>1</v>
      </c>
      <c r="W404" s="9"/>
      <c r="X404" s="9"/>
      <c r="Y404" s="9"/>
      <c r="Z404" s="9"/>
    </row>
    <row r="405" spans="1:26" ht="15.75" hidden="1" customHeight="1">
      <c r="A405" s="9" t="s">
        <v>1578</v>
      </c>
      <c r="B405" s="9" t="s">
        <v>4290</v>
      </c>
      <c r="C405" s="9" t="s">
        <v>731</v>
      </c>
      <c r="D405" s="9" t="s">
        <v>368</v>
      </c>
      <c r="E405" s="9" t="s">
        <v>3402</v>
      </c>
      <c r="F405" s="58" t="s">
        <v>3057</v>
      </c>
      <c r="G405" s="58">
        <v>9100</v>
      </c>
      <c r="H405" s="85">
        <v>0.18461538461538399</v>
      </c>
      <c r="I405" s="9">
        <v>30.3</v>
      </c>
      <c r="J405" s="9"/>
      <c r="K405" s="9"/>
      <c r="L405" s="9"/>
      <c r="M405" s="9"/>
      <c r="N405" s="9" t="s">
        <v>4291</v>
      </c>
      <c r="O405" s="9" t="s">
        <v>3258</v>
      </c>
      <c r="P405" s="9" t="s">
        <v>4293</v>
      </c>
      <c r="Q405" s="58" t="s">
        <v>3064</v>
      </c>
      <c r="R405" s="58">
        <v>4</v>
      </c>
      <c r="S405" s="58">
        <v>7</v>
      </c>
      <c r="T405" s="9" t="s">
        <v>3065</v>
      </c>
      <c r="U405" s="9" t="s">
        <v>4294</v>
      </c>
      <c r="V405" s="58">
        <v>4</v>
      </c>
      <c r="W405" s="9"/>
      <c r="X405" s="9"/>
      <c r="Y405" s="9"/>
      <c r="Z405" s="9"/>
    </row>
    <row r="406" spans="1:26" ht="15.75" hidden="1" customHeight="1">
      <c r="A406" s="9" t="s">
        <v>56</v>
      </c>
      <c r="B406" s="9" t="s">
        <v>4295</v>
      </c>
      <c r="C406" s="9" t="s">
        <v>57</v>
      </c>
      <c r="D406" s="9" t="s">
        <v>439</v>
      </c>
      <c r="E406" s="9"/>
      <c r="F406" s="9"/>
      <c r="G406" s="58">
        <v>11200</v>
      </c>
      <c r="H406" s="85">
        <v>4.2857142857142802E-2</v>
      </c>
      <c r="I406" s="9">
        <v>5</v>
      </c>
      <c r="J406" s="9"/>
      <c r="K406" s="9"/>
      <c r="L406" s="9"/>
      <c r="M406" s="9"/>
      <c r="N406" s="9" t="s">
        <v>4296</v>
      </c>
      <c r="O406" s="9" t="s">
        <v>3258</v>
      </c>
      <c r="P406" s="9" t="s">
        <v>3293</v>
      </c>
      <c r="Q406" s="58" t="s">
        <v>3294</v>
      </c>
      <c r="R406" s="58">
        <v>1</v>
      </c>
      <c r="S406" s="58">
        <v>8</v>
      </c>
      <c r="T406" s="9" t="s">
        <v>4297</v>
      </c>
      <c r="U406" s="9" t="s">
        <v>4298</v>
      </c>
      <c r="V406" s="58">
        <v>1</v>
      </c>
      <c r="W406" s="9"/>
      <c r="X406" s="9"/>
      <c r="Y406" s="9"/>
      <c r="Z406" s="9"/>
    </row>
    <row r="407" spans="1:26" ht="15.75" hidden="1" customHeight="1">
      <c r="A407" s="9" t="s">
        <v>56</v>
      </c>
      <c r="B407" s="9" t="s">
        <v>4295</v>
      </c>
      <c r="C407" s="9" t="s">
        <v>57</v>
      </c>
      <c r="D407" s="9" t="s">
        <v>368</v>
      </c>
      <c r="E407" s="9" t="s">
        <v>4299</v>
      </c>
      <c r="F407" s="58" t="s">
        <v>3057</v>
      </c>
      <c r="G407" s="58">
        <v>10500</v>
      </c>
      <c r="H407" s="85">
        <v>0.16</v>
      </c>
      <c r="I407" s="9">
        <v>5</v>
      </c>
      <c r="J407" s="9"/>
      <c r="K407" s="9"/>
      <c r="L407" s="9"/>
      <c r="M407" s="9"/>
      <c r="N407" s="9" t="s">
        <v>4296</v>
      </c>
      <c r="O407" s="9" t="s">
        <v>3258</v>
      </c>
      <c r="P407" s="9" t="s">
        <v>4300</v>
      </c>
      <c r="Q407" s="58" t="s">
        <v>3143</v>
      </c>
      <c r="R407" s="58">
        <v>4</v>
      </c>
      <c r="S407" s="58">
        <v>7</v>
      </c>
      <c r="T407" s="9" t="s">
        <v>4297</v>
      </c>
      <c r="U407" s="9" t="s">
        <v>4301</v>
      </c>
      <c r="V407" s="58">
        <v>4</v>
      </c>
      <c r="W407" s="9"/>
      <c r="X407" s="9"/>
      <c r="Y407" s="9"/>
      <c r="Z407" s="9"/>
    </row>
    <row r="408" spans="1:26" ht="15.75" hidden="1" customHeight="1">
      <c r="A408" s="9" t="s">
        <v>234</v>
      </c>
      <c r="B408" s="9" t="s">
        <v>4302</v>
      </c>
      <c r="C408" s="9" t="s">
        <v>235</v>
      </c>
      <c r="D408" s="9" t="s">
        <v>439</v>
      </c>
      <c r="E408" s="9"/>
      <c r="F408" s="9"/>
      <c r="G408" s="58">
        <v>10400</v>
      </c>
      <c r="H408" s="85">
        <v>4.6153846153846101E-2</v>
      </c>
      <c r="I408" s="9">
        <v>31.4</v>
      </c>
      <c r="J408" s="9"/>
      <c r="K408" s="9"/>
      <c r="L408" s="9"/>
      <c r="M408" s="9"/>
      <c r="N408" s="9" t="s">
        <v>4303</v>
      </c>
      <c r="O408" s="9" t="s">
        <v>3258</v>
      </c>
      <c r="P408" s="9" t="s">
        <v>3063</v>
      </c>
      <c r="Q408" s="58" t="s">
        <v>3064</v>
      </c>
      <c r="R408" s="58">
        <v>1</v>
      </c>
      <c r="S408" s="58">
        <v>8</v>
      </c>
      <c r="T408" s="9" t="s">
        <v>4304</v>
      </c>
      <c r="U408" s="9" t="s">
        <v>4305</v>
      </c>
      <c r="V408" s="58">
        <v>1</v>
      </c>
      <c r="W408" s="9"/>
      <c r="X408" s="9"/>
      <c r="Y408" s="9"/>
      <c r="Z408" s="9"/>
    </row>
    <row r="409" spans="1:26" ht="15.75" hidden="1" customHeight="1">
      <c r="A409" s="9" t="s">
        <v>234</v>
      </c>
      <c r="B409" s="9" t="s">
        <v>4302</v>
      </c>
      <c r="C409" s="9" t="s">
        <v>235</v>
      </c>
      <c r="D409" s="9" t="s">
        <v>368</v>
      </c>
      <c r="E409" s="9" t="s">
        <v>3067</v>
      </c>
      <c r="F409" s="58" t="s">
        <v>3057</v>
      </c>
      <c r="G409" s="58">
        <v>8400</v>
      </c>
      <c r="H409" s="85">
        <v>0.2</v>
      </c>
      <c r="I409" s="9">
        <v>31.4</v>
      </c>
      <c r="J409" s="9"/>
      <c r="K409" s="9"/>
      <c r="L409" s="9"/>
      <c r="M409" s="9"/>
      <c r="N409" s="9" t="s">
        <v>4303</v>
      </c>
      <c r="O409" s="9" t="s">
        <v>3258</v>
      </c>
      <c r="P409" s="9" t="s">
        <v>4306</v>
      </c>
      <c r="Q409" s="58" t="s">
        <v>3074</v>
      </c>
      <c r="R409" s="58">
        <v>4</v>
      </c>
      <c r="S409" s="58">
        <v>7</v>
      </c>
      <c r="T409" s="9" t="s">
        <v>4304</v>
      </c>
      <c r="U409" s="9" t="s">
        <v>4307</v>
      </c>
      <c r="V409" s="58">
        <v>4</v>
      </c>
      <c r="W409" s="9"/>
      <c r="X409" s="9"/>
      <c r="Y409" s="9"/>
      <c r="Z409" s="9"/>
    </row>
    <row r="410" spans="1:26" ht="15.75" hidden="1" customHeight="1">
      <c r="A410" s="9" t="s">
        <v>132</v>
      </c>
      <c r="B410" s="9" t="s">
        <v>4308</v>
      </c>
      <c r="C410" s="9" t="s">
        <v>133</v>
      </c>
      <c r="D410" s="9" t="s">
        <v>368</v>
      </c>
      <c r="E410" s="9" t="s">
        <v>3067</v>
      </c>
      <c r="F410" s="58" t="s">
        <v>3057</v>
      </c>
      <c r="G410" s="58">
        <v>7000</v>
      </c>
      <c r="H410" s="85">
        <v>0.24</v>
      </c>
      <c r="I410" s="9">
        <v>10.1</v>
      </c>
      <c r="J410" s="9"/>
      <c r="K410" s="9"/>
      <c r="L410" s="9"/>
      <c r="M410" s="9"/>
      <c r="N410" s="9" t="s">
        <v>4309</v>
      </c>
      <c r="O410" s="9" t="s">
        <v>4310</v>
      </c>
      <c r="P410" s="9" t="s">
        <v>4311</v>
      </c>
      <c r="Q410" s="58" t="s">
        <v>3167</v>
      </c>
      <c r="R410" s="58">
        <v>4</v>
      </c>
      <c r="S410" s="58">
        <v>7</v>
      </c>
      <c r="T410" s="9" t="s">
        <v>3065</v>
      </c>
      <c r="U410" s="9" t="s">
        <v>4312</v>
      </c>
      <c r="V410" s="58">
        <v>4</v>
      </c>
      <c r="W410" s="9"/>
      <c r="X410" s="9"/>
      <c r="Y410" s="9"/>
      <c r="Z410" s="9"/>
    </row>
    <row r="411" spans="1:26" ht="15.75" hidden="1" customHeight="1">
      <c r="A411" s="9" t="s">
        <v>1589</v>
      </c>
      <c r="B411" s="9" t="s">
        <v>4313</v>
      </c>
      <c r="C411" s="9" t="s">
        <v>826</v>
      </c>
      <c r="D411" s="9" t="s">
        <v>439</v>
      </c>
      <c r="E411" s="9"/>
      <c r="F411" s="9"/>
      <c r="G411" s="58">
        <v>6400</v>
      </c>
      <c r="H411" s="85">
        <v>7.4999999999999997E-2</v>
      </c>
      <c r="I411" s="9">
        <v>60.6</v>
      </c>
      <c r="J411" s="9"/>
      <c r="K411" s="9"/>
      <c r="L411" s="9"/>
      <c r="M411" s="9"/>
      <c r="N411" s="9" t="s">
        <v>3105</v>
      </c>
      <c r="O411" s="9" t="s">
        <v>4310</v>
      </c>
      <c r="P411" s="9" t="s">
        <v>3190</v>
      </c>
      <c r="Q411" s="58" t="s">
        <v>3185</v>
      </c>
      <c r="R411" s="58">
        <v>1</v>
      </c>
      <c r="S411" s="58">
        <v>8</v>
      </c>
      <c r="T411" s="9" t="s">
        <v>3065</v>
      </c>
      <c r="U411" s="9" t="s">
        <v>4314</v>
      </c>
      <c r="V411" s="58">
        <v>1</v>
      </c>
      <c r="W411" s="9"/>
      <c r="X411" s="9"/>
      <c r="Y411" s="9"/>
      <c r="Z411" s="9"/>
    </row>
    <row r="412" spans="1:26" ht="15.75" hidden="1" customHeight="1">
      <c r="A412" s="9" t="s">
        <v>1589</v>
      </c>
      <c r="B412" s="9" t="s">
        <v>4313</v>
      </c>
      <c r="C412" s="9" t="s">
        <v>826</v>
      </c>
      <c r="D412" s="9" t="s">
        <v>368</v>
      </c>
      <c r="E412" s="9" t="s">
        <v>4140</v>
      </c>
      <c r="F412" s="58" t="s">
        <v>3087</v>
      </c>
      <c r="G412" s="58">
        <v>4900</v>
      </c>
      <c r="H412" s="85">
        <v>0.25714285714285701</v>
      </c>
      <c r="I412" s="9">
        <v>60.6</v>
      </c>
      <c r="J412" s="9"/>
      <c r="K412" s="9"/>
      <c r="L412" s="9"/>
      <c r="M412" s="9"/>
      <c r="N412" s="9" t="s">
        <v>3105</v>
      </c>
      <c r="O412" s="9" t="s">
        <v>4310</v>
      </c>
      <c r="P412" s="9" t="s">
        <v>4315</v>
      </c>
      <c r="Q412" s="58" t="s">
        <v>3155</v>
      </c>
      <c r="R412" s="58">
        <v>3</v>
      </c>
      <c r="S412" s="58">
        <v>7</v>
      </c>
      <c r="T412" s="9" t="s">
        <v>3065</v>
      </c>
      <c r="U412" s="9" t="s">
        <v>4316</v>
      </c>
      <c r="V412" s="58">
        <v>3</v>
      </c>
      <c r="W412" s="9"/>
      <c r="X412" s="9"/>
      <c r="Y412" s="9"/>
      <c r="Z412" s="9"/>
    </row>
    <row r="413" spans="1:26" ht="15.75" hidden="1" customHeight="1">
      <c r="A413" s="9" t="s">
        <v>4317</v>
      </c>
      <c r="B413" s="9" t="s">
        <v>4318</v>
      </c>
      <c r="C413" s="9" t="s">
        <v>4319</v>
      </c>
      <c r="D413" s="9" t="s">
        <v>439</v>
      </c>
      <c r="E413" s="9"/>
      <c r="F413" s="9"/>
      <c r="G413" s="58">
        <v>8000</v>
      </c>
      <c r="H413" s="85">
        <v>0.06</v>
      </c>
      <c r="I413" s="9">
        <v>19.399999999999999</v>
      </c>
      <c r="J413" s="9"/>
      <c r="K413" s="9"/>
      <c r="L413" s="9"/>
      <c r="M413" s="9"/>
      <c r="N413" s="9" t="s">
        <v>4320</v>
      </c>
      <c r="O413" s="9" t="s">
        <v>4212</v>
      </c>
      <c r="P413" s="9" t="s">
        <v>3415</v>
      </c>
      <c r="Q413" s="58" t="s">
        <v>3167</v>
      </c>
      <c r="R413" s="58">
        <v>1</v>
      </c>
      <c r="S413" s="58">
        <v>8</v>
      </c>
      <c r="T413" s="9" t="s">
        <v>4321</v>
      </c>
      <c r="U413" s="9" t="s">
        <v>4322</v>
      </c>
      <c r="V413" s="58">
        <v>1</v>
      </c>
      <c r="W413" s="9"/>
      <c r="X413" s="9"/>
      <c r="Y413" s="9"/>
      <c r="Z413" s="9"/>
    </row>
    <row r="414" spans="1:26" ht="15.75" hidden="1" customHeight="1">
      <c r="A414" s="9" t="s">
        <v>4317</v>
      </c>
      <c r="B414" s="9" t="s">
        <v>4318</v>
      </c>
      <c r="C414" s="9" t="s">
        <v>4319</v>
      </c>
      <c r="D414" s="9" t="s">
        <v>368</v>
      </c>
      <c r="E414" s="9" t="s">
        <v>3092</v>
      </c>
      <c r="F414" s="58" t="s">
        <v>3087</v>
      </c>
      <c r="G414" s="58">
        <v>5950</v>
      </c>
      <c r="H414" s="85">
        <v>0.28235294117646997</v>
      </c>
      <c r="I414" s="9">
        <v>19.399999999999999</v>
      </c>
      <c r="J414" s="9"/>
      <c r="K414" s="9"/>
      <c r="L414" s="9"/>
      <c r="M414" s="9"/>
      <c r="N414" s="9" t="s">
        <v>4320</v>
      </c>
      <c r="O414" s="9" t="s">
        <v>4212</v>
      </c>
      <c r="P414" s="9" t="s">
        <v>4323</v>
      </c>
      <c r="Q414" s="58" t="s">
        <v>3132</v>
      </c>
      <c r="R414" s="58">
        <v>4</v>
      </c>
      <c r="S414" s="58">
        <v>7</v>
      </c>
      <c r="T414" s="9" t="s">
        <v>4321</v>
      </c>
      <c r="U414" s="9" t="s">
        <v>4324</v>
      </c>
      <c r="V414" s="58">
        <v>4</v>
      </c>
      <c r="W414" s="9"/>
      <c r="X414" s="9"/>
      <c r="Y414" s="9"/>
      <c r="Z414" s="9"/>
    </row>
    <row r="415" spans="1:26" ht="15.75" hidden="1" customHeight="1">
      <c r="A415" s="9" t="s">
        <v>1597</v>
      </c>
      <c r="B415" s="9" t="s">
        <v>4325</v>
      </c>
      <c r="C415" s="9" t="s">
        <v>750</v>
      </c>
      <c r="D415" s="9" t="s">
        <v>439</v>
      </c>
      <c r="E415" s="9"/>
      <c r="F415" s="9"/>
      <c r="G415" s="58">
        <v>6400</v>
      </c>
      <c r="H415" s="85">
        <v>7.4999999999999997E-2</v>
      </c>
      <c r="I415" s="9">
        <v>58.1</v>
      </c>
      <c r="J415" s="9"/>
      <c r="K415" s="9"/>
      <c r="L415" s="9"/>
      <c r="M415" s="9"/>
      <c r="N415" s="9" t="s">
        <v>3105</v>
      </c>
      <c r="O415" s="9" t="s">
        <v>4212</v>
      </c>
      <c r="P415" s="9" t="s">
        <v>3190</v>
      </c>
      <c r="Q415" s="58" t="s">
        <v>3185</v>
      </c>
      <c r="R415" s="58">
        <v>1</v>
      </c>
      <c r="S415" s="58">
        <v>8</v>
      </c>
      <c r="T415" s="9" t="s">
        <v>3065</v>
      </c>
      <c r="U415" s="9" t="s">
        <v>4326</v>
      </c>
      <c r="V415" s="58">
        <v>1</v>
      </c>
      <c r="W415" s="9"/>
      <c r="X415" s="9"/>
      <c r="Y415" s="9"/>
      <c r="Z415" s="9"/>
    </row>
    <row r="416" spans="1:26" ht="15.75" hidden="1" customHeight="1">
      <c r="A416" s="9" t="s">
        <v>1597</v>
      </c>
      <c r="B416" s="9" t="s">
        <v>4325</v>
      </c>
      <c r="C416" s="9" t="s">
        <v>750</v>
      </c>
      <c r="D416" s="9" t="s">
        <v>368</v>
      </c>
      <c r="E416" s="9" t="s">
        <v>3092</v>
      </c>
      <c r="F416" s="58" t="s">
        <v>3087</v>
      </c>
      <c r="G416" s="58">
        <v>3920</v>
      </c>
      <c r="H416" s="85">
        <v>0.42857142857142799</v>
      </c>
      <c r="I416" s="9">
        <v>58.1</v>
      </c>
      <c r="J416" s="9"/>
      <c r="K416" s="9"/>
      <c r="L416" s="9"/>
      <c r="M416" s="9"/>
      <c r="N416" s="9" t="s">
        <v>3105</v>
      </c>
      <c r="O416" s="9" t="s">
        <v>4212</v>
      </c>
      <c r="P416" s="9" t="s">
        <v>4327</v>
      </c>
      <c r="Q416" s="58" t="s">
        <v>4328</v>
      </c>
      <c r="R416" s="58">
        <v>4</v>
      </c>
      <c r="S416" s="58">
        <v>7</v>
      </c>
      <c r="T416" s="9" t="s">
        <v>3065</v>
      </c>
      <c r="U416" s="9" t="s">
        <v>4329</v>
      </c>
      <c r="V416" s="58">
        <v>4</v>
      </c>
      <c r="W416" s="9"/>
      <c r="X416" s="9"/>
      <c r="Y416" s="9"/>
      <c r="Z416" s="9"/>
    </row>
    <row r="417" spans="1:26" ht="15.75" hidden="1" customHeight="1">
      <c r="A417" s="9" t="s">
        <v>4330</v>
      </c>
      <c r="B417" s="9" t="s">
        <v>4331</v>
      </c>
      <c r="C417" s="9" t="s">
        <v>4332</v>
      </c>
      <c r="D417" s="9" t="s">
        <v>368</v>
      </c>
      <c r="E417" s="9" t="s">
        <v>3067</v>
      </c>
      <c r="F417" s="58" t="s">
        <v>3057</v>
      </c>
      <c r="G417" s="58">
        <v>7000</v>
      </c>
      <c r="H417" s="85">
        <v>0.24</v>
      </c>
      <c r="I417" s="9">
        <v>10.5</v>
      </c>
      <c r="J417" s="9"/>
      <c r="K417" s="9"/>
      <c r="L417" s="9"/>
      <c r="M417" s="9"/>
      <c r="N417" s="9" t="s">
        <v>3130</v>
      </c>
      <c r="O417" s="9" t="s">
        <v>3081</v>
      </c>
      <c r="P417" s="9" t="s">
        <v>4333</v>
      </c>
      <c r="Q417" s="58" t="s">
        <v>3167</v>
      </c>
      <c r="R417" s="58">
        <v>4</v>
      </c>
      <c r="S417" s="58">
        <v>7</v>
      </c>
      <c r="T417" s="9" t="s">
        <v>4334</v>
      </c>
      <c r="U417" s="9" t="s">
        <v>4335</v>
      </c>
      <c r="V417" s="58">
        <v>4</v>
      </c>
      <c r="W417" s="9"/>
      <c r="X417" s="9"/>
      <c r="Y417" s="9"/>
      <c r="Z417" s="9"/>
    </row>
    <row r="418" spans="1:26" ht="15.75" hidden="1" customHeight="1">
      <c r="A418" s="9" t="s">
        <v>312</v>
      </c>
      <c r="B418" s="9" t="s">
        <v>4336</v>
      </c>
      <c r="C418" s="9" t="s">
        <v>313</v>
      </c>
      <c r="D418" s="9" t="s">
        <v>439</v>
      </c>
      <c r="E418" s="9"/>
      <c r="F418" s="9"/>
      <c r="G418" s="58">
        <v>16000</v>
      </c>
      <c r="H418" s="85">
        <v>0.03</v>
      </c>
      <c r="I418" s="9">
        <v>31.5</v>
      </c>
      <c r="J418" s="9"/>
      <c r="K418" s="9"/>
      <c r="L418" s="9"/>
      <c r="M418" s="9"/>
      <c r="N418" s="9" t="s">
        <v>4337</v>
      </c>
      <c r="O418" s="9" t="s">
        <v>3081</v>
      </c>
      <c r="P418" s="9" t="s">
        <v>3461</v>
      </c>
      <c r="Q418" s="58" t="s">
        <v>3462</v>
      </c>
      <c r="R418" s="58">
        <v>1</v>
      </c>
      <c r="S418" s="58">
        <v>8</v>
      </c>
      <c r="T418" s="9" t="s">
        <v>4338</v>
      </c>
      <c r="U418" s="9" t="s">
        <v>4339</v>
      </c>
      <c r="V418" s="58">
        <v>1</v>
      </c>
      <c r="W418" s="9"/>
      <c r="X418" s="9"/>
      <c r="Y418" s="9"/>
      <c r="Z418" s="9"/>
    </row>
    <row r="419" spans="1:26" ht="15.75" hidden="1" customHeight="1">
      <c r="A419" s="9" t="s">
        <v>312</v>
      </c>
      <c r="B419" s="9" t="s">
        <v>4336</v>
      </c>
      <c r="C419" s="9" t="s">
        <v>313</v>
      </c>
      <c r="D419" s="9" t="s">
        <v>368</v>
      </c>
      <c r="E419" s="9" t="s">
        <v>3067</v>
      </c>
      <c r="F419" s="58" t="s">
        <v>3057</v>
      </c>
      <c r="G419" s="58">
        <v>5950</v>
      </c>
      <c r="H419" s="85">
        <v>0.28235294117646997</v>
      </c>
      <c r="I419" s="9">
        <v>31.5</v>
      </c>
      <c r="J419" s="9"/>
      <c r="K419" s="9"/>
      <c r="L419" s="9"/>
      <c r="M419" s="9"/>
      <c r="N419" s="9" t="s">
        <v>4337</v>
      </c>
      <c r="O419" s="9" t="s">
        <v>3081</v>
      </c>
      <c r="P419" s="9" t="s">
        <v>4340</v>
      </c>
      <c r="Q419" s="58" t="s">
        <v>3132</v>
      </c>
      <c r="R419" s="58">
        <v>4</v>
      </c>
      <c r="S419" s="58">
        <v>7</v>
      </c>
      <c r="T419" s="9" t="s">
        <v>4338</v>
      </c>
      <c r="U419" s="9" t="s">
        <v>4341</v>
      </c>
      <c r="V419" s="58">
        <v>4</v>
      </c>
      <c r="W419" s="9"/>
      <c r="X419" s="9"/>
      <c r="Y419" s="9"/>
      <c r="Z419" s="9"/>
    </row>
    <row r="420" spans="1:26" ht="15.75" hidden="1" customHeight="1">
      <c r="A420" s="9" t="s">
        <v>1610</v>
      </c>
      <c r="B420" s="9" t="s">
        <v>4342</v>
      </c>
      <c r="C420" s="9" t="s">
        <v>822</v>
      </c>
      <c r="D420" s="9" t="s">
        <v>439</v>
      </c>
      <c r="E420" s="9"/>
      <c r="F420" s="9"/>
      <c r="G420" s="58">
        <v>8800</v>
      </c>
      <c r="H420" s="85">
        <v>5.4545454545454501E-2</v>
      </c>
      <c r="I420" s="9">
        <v>15.2</v>
      </c>
      <c r="J420" s="9"/>
      <c r="K420" s="9"/>
      <c r="L420" s="9"/>
      <c r="M420" s="9"/>
      <c r="N420" s="9" t="s">
        <v>4343</v>
      </c>
      <c r="O420" s="9" t="s">
        <v>4310</v>
      </c>
      <c r="P420" s="9" t="s">
        <v>4344</v>
      </c>
      <c r="Q420" s="58" t="s">
        <v>3077</v>
      </c>
      <c r="R420" s="58">
        <v>1</v>
      </c>
      <c r="S420" s="58">
        <v>8</v>
      </c>
      <c r="T420" s="9" t="s">
        <v>4345</v>
      </c>
      <c r="U420" s="9" t="s">
        <v>4346</v>
      </c>
      <c r="V420" s="58">
        <v>1</v>
      </c>
      <c r="W420" s="9"/>
      <c r="X420" s="9"/>
      <c r="Y420" s="9"/>
      <c r="Z420" s="9"/>
    </row>
    <row r="421" spans="1:26" ht="15.75" hidden="1" customHeight="1">
      <c r="A421" s="9" t="s">
        <v>1610</v>
      </c>
      <c r="B421" s="9" t="s">
        <v>4342</v>
      </c>
      <c r="C421" s="9" t="s">
        <v>822</v>
      </c>
      <c r="D421" s="9" t="s">
        <v>368</v>
      </c>
      <c r="E421" s="9" t="s">
        <v>3067</v>
      </c>
      <c r="F421" s="58" t="s">
        <v>3057</v>
      </c>
      <c r="G421" s="58">
        <v>9800</v>
      </c>
      <c r="H421" s="85">
        <v>0.17142857142857101</v>
      </c>
      <c r="I421" s="9">
        <v>15.2</v>
      </c>
      <c r="J421" s="9"/>
      <c r="K421" s="9"/>
      <c r="L421" s="9"/>
      <c r="M421" s="9"/>
      <c r="N421" s="9" t="s">
        <v>4343</v>
      </c>
      <c r="O421" s="9" t="s">
        <v>4310</v>
      </c>
      <c r="P421" s="9" t="s">
        <v>4347</v>
      </c>
      <c r="Q421" s="58" t="s">
        <v>3294</v>
      </c>
      <c r="R421" s="58">
        <v>4</v>
      </c>
      <c r="S421" s="58">
        <v>7</v>
      </c>
      <c r="T421" s="9" t="s">
        <v>4345</v>
      </c>
      <c r="U421" s="9" t="s">
        <v>4348</v>
      </c>
      <c r="V421" s="58">
        <v>4</v>
      </c>
      <c r="W421" s="9"/>
      <c r="X421" s="9"/>
      <c r="Y421" s="9"/>
      <c r="Z421" s="9"/>
    </row>
    <row r="422" spans="1:26" ht="15.75" hidden="1" customHeight="1">
      <c r="A422" s="9" t="s">
        <v>1606</v>
      </c>
      <c r="B422" s="9" t="s">
        <v>4349</v>
      </c>
      <c r="C422" s="9" t="s">
        <v>820</v>
      </c>
      <c r="D422" s="9" t="s">
        <v>439</v>
      </c>
      <c r="E422" s="9"/>
      <c r="F422" s="9"/>
      <c r="G422" s="58">
        <v>6400</v>
      </c>
      <c r="H422" s="85">
        <v>7.4999999999999997E-2</v>
      </c>
      <c r="I422" s="9">
        <v>121.2</v>
      </c>
      <c r="J422" s="9"/>
      <c r="K422" s="9"/>
      <c r="L422" s="9"/>
      <c r="M422" s="9"/>
      <c r="N422" s="9" t="s">
        <v>4350</v>
      </c>
      <c r="O422" s="9" t="s">
        <v>4310</v>
      </c>
      <c r="P422" s="9" t="s">
        <v>3190</v>
      </c>
      <c r="Q422" s="58" t="s">
        <v>3185</v>
      </c>
      <c r="R422" s="58">
        <v>1</v>
      </c>
      <c r="S422" s="58">
        <v>8</v>
      </c>
      <c r="T422" s="9" t="s">
        <v>4345</v>
      </c>
      <c r="U422" s="9" t="s">
        <v>4351</v>
      </c>
      <c r="V422" s="58">
        <v>1</v>
      </c>
      <c r="W422" s="9"/>
      <c r="X422" s="9"/>
      <c r="Y422" s="9"/>
      <c r="Z422" s="9"/>
    </row>
    <row r="423" spans="1:26" ht="15.75" hidden="1" customHeight="1">
      <c r="A423" s="9" t="s">
        <v>1606</v>
      </c>
      <c r="B423" s="9" t="s">
        <v>4349</v>
      </c>
      <c r="C423" s="9" t="s">
        <v>820</v>
      </c>
      <c r="D423" s="9" t="s">
        <v>368</v>
      </c>
      <c r="E423" s="9" t="s">
        <v>3158</v>
      </c>
      <c r="F423" s="58" t="s">
        <v>3057</v>
      </c>
      <c r="G423" s="58">
        <v>5250</v>
      </c>
      <c r="H423" s="85">
        <v>0.32</v>
      </c>
      <c r="I423" s="9">
        <v>121.2</v>
      </c>
      <c r="J423" s="9"/>
      <c r="K423" s="9"/>
      <c r="L423" s="9"/>
      <c r="M423" s="9"/>
      <c r="N423" s="9" t="s">
        <v>4350</v>
      </c>
      <c r="O423" s="9" t="s">
        <v>4310</v>
      </c>
      <c r="P423" s="9" t="s">
        <v>4352</v>
      </c>
      <c r="Q423" s="58" t="s">
        <v>3095</v>
      </c>
      <c r="R423" s="58">
        <v>4</v>
      </c>
      <c r="S423" s="58">
        <v>7</v>
      </c>
      <c r="T423" s="9" t="s">
        <v>4345</v>
      </c>
      <c r="U423" s="9" t="s">
        <v>4353</v>
      </c>
      <c r="V423" s="58">
        <v>4</v>
      </c>
      <c r="W423" s="9"/>
      <c r="X423" s="9"/>
      <c r="Y423" s="9"/>
      <c r="Z423" s="9"/>
    </row>
    <row r="424" spans="1:26" ht="15.75" hidden="1" customHeight="1">
      <c r="A424" s="9" t="s">
        <v>1613</v>
      </c>
      <c r="B424" s="9" t="s">
        <v>4354</v>
      </c>
      <c r="C424" s="9" t="s">
        <v>39</v>
      </c>
      <c r="D424" s="9" t="s">
        <v>439</v>
      </c>
      <c r="E424" s="9"/>
      <c r="F424" s="9"/>
      <c r="G424" s="58">
        <v>9600</v>
      </c>
      <c r="H424" s="85">
        <v>0.05</v>
      </c>
      <c r="I424" s="9">
        <v>11.7</v>
      </c>
      <c r="J424" s="9"/>
      <c r="K424" s="9"/>
      <c r="L424" s="9">
        <v>2.8</v>
      </c>
      <c r="M424" s="9"/>
      <c r="N424" s="9" t="s">
        <v>4355</v>
      </c>
      <c r="O424" s="9" t="s">
        <v>4098</v>
      </c>
      <c r="P424" s="9" t="s">
        <v>3073</v>
      </c>
      <c r="Q424" s="58" t="s">
        <v>3074</v>
      </c>
      <c r="R424" s="58">
        <v>1</v>
      </c>
      <c r="S424" s="58">
        <v>8</v>
      </c>
      <c r="T424" s="9" t="s">
        <v>4195</v>
      </c>
      <c r="U424" s="9" t="s">
        <v>4356</v>
      </c>
      <c r="V424" s="58">
        <v>1</v>
      </c>
      <c r="W424" s="9"/>
      <c r="X424" s="9"/>
      <c r="Y424" s="9"/>
      <c r="Z424" s="9"/>
    </row>
    <row r="425" spans="1:26" ht="15.75" hidden="1" customHeight="1">
      <c r="A425" s="9" t="s">
        <v>1613</v>
      </c>
      <c r="B425" s="9" t="s">
        <v>4354</v>
      </c>
      <c r="C425" s="9" t="s">
        <v>39</v>
      </c>
      <c r="D425" s="9" t="s">
        <v>368</v>
      </c>
      <c r="E425" s="9" t="s">
        <v>4357</v>
      </c>
      <c r="F425" s="58" t="s">
        <v>3801</v>
      </c>
      <c r="G425" s="58">
        <v>8400</v>
      </c>
      <c r="H425" s="85">
        <v>0.2</v>
      </c>
      <c r="I425" s="9">
        <v>11.7</v>
      </c>
      <c r="J425" s="9"/>
      <c r="K425" s="9"/>
      <c r="L425" s="9">
        <v>2.8</v>
      </c>
      <c r="M425" s="9"/>
      <c r="N425" s="9" t="s">
        <v>4355</v>
      </c>
      <c r="O425" s="9" t="s">
        <v>4098</v>
      </c>
      <c r="P425" s="9" t="s">
        <v>4358</v>
      </c>
      <c r="Q425" s="58" t="s">
        <v>3074</v>
      </c>
      <c r="R425" s="58">
        <v>4</v>
      </c>
      <c r="S425" s="58">
        <v>7</v>
      </c>
      <c r="T425" s="9" t="s">
        <v>4195</v>
      </c>
      <c r="U425" s="9" t="s">
        <v>4359</v>
      </c>
      <c r="V425" s="58">
        <v>4</v>
      </c>
      <c r="W425" s="9"/>
      <c r="X425" s="9"/>
      <c r="Y425" s="9"/>
      <c r="Z425" s="9"/>
    </row>
    <row r="426" spans="1:26" ht="15.75" hidden="1" customHeight="1">
      <c r="A426" s="9" t="s">
        <v>1617</v>
      </c>
      <c r="B426" s="9" t="s">
        <v>4360</v>
      </c>
      <c r="C426" s="9" t="s">
        <v>595</v>
      </c>
      <c r="D426" s="9" t="s">
        <v>439</v>
      </c>
      <c r="E426" s="9"/>
      <c r="F426" s="9"/>
      <c r="G426" s="58">
        <v>5200</v>
      </c>
      <c r="H426" s="85">
        <v>9.2307692307692299E-2</v>
      </c>
      <c r="I426" s="9">
        <v>96.6</v>
      </c>
      <c r="J426" s="9"/>
      <c r="K426" s="9"/>
      <c r="L426" s="9">
        <v>23.4</v>
      </c>
      <c r="M426" s="9"/>
      <c r="N426" s="9" t="s">
        <v>4203</v>
      </c>
      <c r="O426" s="9" t="s">
        <v>4204</v>
      </c>
      <c r="P426" s="9" t="s">
        <v>4361</v>
      </c>
      <c r="Q426" s="58" t="s">
        <v>3687</v>
      </c>
      <c r="R426" s="58">
        <v>1</v>
      </c>
      <c r="S426" s="58">
        <v>8</v>
      </c>
      <c r="T426" s="9" t="s">
        <v>4195</v>
      </c>
      <c r="U426" s="9" t="s">
        <v>4362</v>
      </c>
      <c r="V426" s="58">
        <v>1</v>
      </c>
      <c r="W426" s="9"/>
      <c r="X426" s="9"/>
      <c r="Y426" s="9"/>
      <c r="Z426" s="9"/>
    </row>
    <row r="427" spans="1:26" ht="15.75" hidden="1" customHeight="1">
      <c r="A427" s="9" t="s">
        <v>1617</v>
      </c>
      <c r="B427" s="9" t="s">
        <v>4360</v>
      </c>
      <c r="C427" s="9" t="s">
        <v>595</v>
      </c>
      <c r="D427" s="9" t="s">
        <v>368</v>
      </c>
      <c r="E427" s="9" t="s">
        <v>4197</v>
      </c>
      <c r="F427" s="58" t="s">
        <v>3057</v>
      </c>
      <c r="G427" s="58">
        <v>3500</v>
      </c>
      <c r="H427" s="85">
        <v>0.48</v>
      </c>
      <c r="I427" s="9">
        <v>96.6</v>
      </c>
      <c r="J427" s="9"/>
      <c r="K427" s="9"/>
      <c r="L427" s="9">
        <v>23.4</v>
      </c>
      <c r="M427" s="9"/>
      <c r="N427" s="9" t="s">
        <v>4203</v>
      </c>
      <c r="O427" s="9" t="s">
        <v>4204</v>
      </c>
      <c r="P427" s="9" t="s">
        <v>4207</v>
      </c>
      <c r="Q427" s="58" t="s">
        <v>3361</v>
      </c>
      <c r="R427" s="58">
        <v>4</v>
      </c>
      <c r="S427" s="58">
        <v>7</v>
      </c>
      <c r="T427" s="9" t="s">
        <v>4195</v>
      </c>
      <c r="U427" s="9" t="s">
        <v>4363</v>
      </c>
      <c r="V427" s="58">
        <v>4</v>
      </c>
      <c r="W427" s="9"/>
      <c r="X427" s="9"/>
      <c r="Y427" s="9"/>
      <c r="Z427" s="9"/>
    </row>
    <row r="428" spans="1:26" ht="15.75" hidden="1" customHeight="1">
      <c r="A428" s="9" t="s">
        <v>1618</v>
      </c>
      <c r="B428" s="9" t="s">
        <v>4364</v>
      </c>
      <c r="C428" s="9" t="s">
        <v>513</v>
      </c>
      <c r="D428" s="9" t="s">
        <v>439</v>
      </c>
      <c r="E428" s="9"/>
      <c r="F428" s="9"/>
      <c r="G428" s="58">
        <v>3600</v>
      </c>
      <c r="H428" s="85">
        <v>0.133333333333333</v>
      </c>
      <c r="I428" s="9">
        <v>155</v>
      </c>
      <c r="J428" s="9"/>
      <c r="K428" s="9"/>
      <c r="L428" s="9"/>
      <c r="M428" s="9"/>
      <c r="N428" s="9" t="s">
        <v>3105</v>
      </c>
      <c r="O428" s="9" t="s">
        <v>3081</v>
      </c>
      <c r="P428" s="9" t="s">
        <v>4365</v>
      </c>
      <c r="Q428" s="58" t="s">
        <v>3734</v>
      </c>
      <c r="R428" s="58">
        <v>1</v>
      </c>
      <c r="S428" s="58">
        <v>8</v>
      </c>
      <c r="T428" s="9" t="s">
        <v>4366</v>
      </c>
      <c r="U428" s="9" t="s">
        <v>4367</v>
      </c>
      <c r="V428" s="58">
        <v>1</v>
      </c>
      <c r="W428" s="9"/>
      <c r="X428" s="9"/>
      <c r="Y428" s="9"/>
      <c r="Z428" s="9"/>
    </row>
    <row r="429" spans="1:26" ht="15.75" hidden="1" customHeight="1">
      <c r="A429" s="9" t="s">
        <v>1618</v>
      </c>
      <c r="B429" s="9" t="s">
        <v>4364</v>
      </c>
      <c r="C429" s="9" t="s">
        <v>513</v>
      </c>
      <c r="D429" s="9" t="s">
        <v>368</v>
      </c>
      <c r="E429" s="9" t="s">
        <v>3092</v>
      </c>
      <c r="F429" s="58" t="s">
        <v>3087</v>
      </c>
      <c r="G429" s="58">
        <v>3500</v>
      </c>
      <c r="H429" s="85">
        <v>0.36</v>
      </c>
      <c r="I429" s="9">
        <v>155</v>
      </c>
      <c r="J429" s="9"/>
      <c r="K429" s="9"/>
      <c r="L429" s="9"/>
      <c r="M429" s="9"/>
      <c r="N429" s="9" t="s">
        <v>3105</v>
      </c>
      <c r="O429" s="9" t="s">
        <v>3081</v>
      </c>
      <c r="P429" s="9" t="s">
        <v>4368</v>
      </c>
      <c r="Q429" s="58" t="s">
        <v>3361</v>
      </c>
      <c r="R429" s="58">
        <v>3</v>
      </c>
      <c r="S429" s="58">
        <v>7</v>
      </c>
      <c r="T429" s="9" t="s">
        <v>4366</v>
      </c>
      <c r="U429" s="9" t="s">
        <v>4369</v>
      </c>
      <c r="V429" s="58">
        <v>3</v>
      </c>
      <c r="W429" s="9"/>
      <c r="X429" s="9"/>
      <c r="Y429" s="9"/>
      <c r="Z429" s="9"/>
    </row>
    <row r="430" spans="1:26" ht="15.75" hidden="1" customHeight="1">
      <c r="A430" s="9" t="s">
        <v>2204</v>
      </c>
      <c r="B430" s="9" t="s">
        <v>4370</v>
      </c>
      <c r="C430" s="9" t="s">
        <v>2205</v>
      </c>
      <c r="D430" s="9" t="s">
        <v>439</v>
      </c>
      <c r="E430" s="9"/>
      <c r="F430" s="9"/>
      <c r="G430" s="58">
        <v>10400</v>
      </c>
      <c r="H430" s="85">
        <v>4.6153846153846101E-2</v>
      </c>
      <c r="I430" s="9">
        <v>17.5</v>
      </c>
      <c r="J430" s="9"/>
      <c r="K430" s="9"/>
      <c r="L430" s="9"/>
      <c r="M430" s="9"/>
      <c r="N430" s="9" t="s">
        <v>3375</v>
      </c>
      <c r="O430" s="9" t="s">
        <v>3081</v>
      </c>
      <c r="P430" s="9" t="s">
        <v>3063</v>
      </c>
      <c r="Q430" s="58" t="s">
        <v>3064</v>
      </c>
      <c r="R430" s="58">
        <v>1</v>
      </c>
      <c r="S430" s="58">
        <v>8</v>
      </c>
      <c r="T430" s="9" t="s">
        <v>4371</v>
      </c>
      <c r="U430" s="9" t="s">
        <v>4372</v>
      </c>
      <c r="V430" s="58">
        <v>1</v>
      </c>
      <c r="W430" s="9"/>
      <c r="X430" s="9"/>
      <c r="Y430" s="9"/>
      <c r="Z430" s="9"/>
    </row>
    <row r="431" spans="1:26" ht="15.75" hidden="1" customHeight="1">
      <c r="A431" s="9" t="s">
        <v>2204</v>
      </c>
      <c r="B431" s="9" t="s">
        <v>4370</v>
      </c>
      <c r="C431" s="9" t="s">
        <v>2205</v>
      </c>
      <c r="D431" s="9" t="s">
        <v>368</v>
      </c>
      <c r="E431" s="9" t="s">
        <v>3067</v>
      </c>
      <c r="F431" s="58" t="s">
        <v>3057</v>
      </c>
      <c r="G431" s="58">
        <v>7700</v>
      </c>
      <c r="H431" s="85">
        <v>0.218181818181818</v>
      </c>
      <c r="I431" s="9">
        <v>17.5</v>
      </c>
      <c r="J431" s="9"/>
      <c r="K431" s="9"/>
      <c r="L431" s="9"/>
      <c r="M431" s="9"/>
      <c r="N431" s="9" t="s">
        <v>3375</v>
      </c>
      <c r="O431" s="9" t="s">
        <v>3081</v>
      </c>
      <c r="P431" s="9" t="s">
        <v>4373</v>
      </c>
      <c r="Q431" s="58" t="s">
        <v>3077</v>
      </c>
      <c r="R431" s="58">
        <v>4</v>
      </c>
      <c r="S431" s="58">
        <v>7</v>
      </c>
      <c r="T431" s="9" t="s">
        <v>4371</v>
      </c>
      <c r="U431" s="9" t="s">
        <v>4374</v>
      </c>
      <c r="V431" s="58">
        <v>4</v>
      </c>
      <c r="W431" s="9"/>
      <c r="X431" s="9"/>
      <c r="Y431" s="9"/>
      <c r="Z431" s="9"/>
    </row>
    <row r="432" spans="1:26" ht="15.75" hidden="1" customHeight="1">
      <c r="A432" s="9" t="s">
        <v>2197</v>
      </c>
      <c r="B432" s="9" t="s">
        <v>4375</v>
      </c>
      <c r="C432" s="9" t="s">
        <v>2199</v>
      </c>
      <c r="D432" s="9" t="s">
        <v>439</v>
      </c>
      <c r="E432" s="9"/>
      <c r="F432" s="9"/>
      <c r="G432" s="58">
        <v>6400</v>
      </c>
      <c r="H432" s="85">
        <v>7.4999999999999997E-2</v>
      </c>
      <c r="I432" s="9">
        <v>124</v>
      </c>
      <c r="J432" s="9"/>
      <c r="K432" s="9"/>
      <c r="L432" s="9"/>
      <c r="M432" s="9"/>
      <c r="N432" s="9" t="s">
        <v>3072</v>
      </c>
      <c r="O432" s="9" t="s">
        <v>3081</v>
      </c>
      <c r="P432" s="9" t="s">
        <v>3549</v>
      </c>
      <c r="Q432" s="58" t="s">
        <v>3185</v>
      </c>
      <c r="R432" s="58">
        <v>1</v>
      </c>
      <c r="S432" s="58">
        <v>8</v>
      </c>
      <c r="T432" s="9" t="s">
        <v>4376</v>
      </c>
      <c r="U432" s="9" t="s">
        <v>4377</v>
      </c>
      <c r="V432" s="58">
        <v>1</v>
      </c>
      <c r="W432" s="9"/>
      <c r="X432" s="9"/>
      <c r="Y432" s="9"/>
      <c r="Z432" s="9"/>
    </row>
    <row r="433" spans="1:26" ht="15.75" hidden="1" customHeight="1">
      <c r="A433" s="9" t="s">
        <v>2197</v>
      </c>
      <c r="B433" s="9" t="s">
        <v>4375</v>
      </c>
      <c r="C433" s="9" t="s">
        <v>2199</v>
      </c>
      <c r="D433" s="9" t="s">
        <v>368</v>
      </c>
      <c r="E433" s="9" t="s">
        <v>3901</v>
      </c>
      <c r="F433" s="58" t="s">
        <v>3057</v>
      </c>
      <c r="G433" s="58">
        <v>4200</v>
      </c>
      <c r="H433" s="85">
        <v>0.4</v>
      </c>
      <c r="I433" s="9">
        <v>124</v>
      </c>
      <c r="J433" s="9"/>
      <c r="K433" s="9"/>
      <c r="L433" s="9"/>
      <c r="M433" s="9"/>
      <c r="N433" s="9" t="s">
        <v>3072</v>
      </c>
      <c r="O433" s="9" t="s">
        <v>3081</v>
      </c>
      <c r="P433" s="9" t="s">
        <v>4378</v>
      </c>
      <c r="Q433" s="58" t="s">
        <v>3122</v>
      </c>
      <c r="R433" s="58">
        <v>4</v>
      </c>
      <c r="S433" s="58">
        <v>7</v>
      </c>
      <c r="T433" s="9" t="s">
        <v>4376</v>
      </c>
      <c r="U433" s="9" t="s">
        <v>4379</v>
      </c>
      <c r="V433" s="58">
        <v>4</v>
      </c>
      <c r="W433" s="9"/>
      <c r="X433" s="9"/>
      <c r="Y433" s="9"/>
      <c r="Z433" s="9"/>
    </row>
    <row r="434" spans="1:26" ht="15.75" hidden="1" customHeight="1">
      <c r="A434" s="9" t="s">
        <v>2209</v>
      </c>
      <c r="B434" s="9" t="s">
        <v>4380</v>
      </c>
      <c r="C434" s="9" t="s">
        <v>2210</v>
      </c>
      <c r="D434" s="9" t="s">
        <v>368</v>
      </c>
      <c r="E434" s="9" t="s">
        <v>3067</v>
      </c>
      <c r="F434" s="58" t="s">
        <v>3057</v>
      </c>
      <c r="G434" s="58">
        <v>9450</v>
      </c>
      <c r="H434" s="85">
        <v>0.17777777777777701</v>
      </c>
      <c r="I434" s="9">
        <v>10</v>
      </c>
      <c r="J434" s="9"/>
      <c r="K434" s="9"/>
      <c r="L434" s="9"/>
      <c r="M434" s="9"/>
      <c r="N434" s="9" t="s">
        <v>3130</v>
      </c>
      <c r="O434" s="9" t="s">
        <v>3081</v>
      </c>
      <c r="P434" s="9" t="s">
        <v>4381</v>
      </c>
      <c r="Q434" s="58" t="s">
        <v>4382</v>
      </c>
      <c r="R434" s="58">
        <v>4</v>
      </c>
      <c r="S434" s="58">
        <v>7</v>
      </c>
      <c r="T434" s="9" t="s">
        <v>4383</v>
      </c>
      <c r="U434" s="9" t="s">
        <v>4384</v>
      </c>
      <c r="V434" s="58">
        <v>4</v>
      </c>
      <c r="W434" s="9"/>
      <c r="X434" s="9"/>
      <c r="Y434" s="9"/>
      <c r="Z434" s="9"/>
    </row>
    <row r="435" spans="1:26" ht="15.75" hidden="1" customHeight="1">
      <c r="A435" s="9" t="s">
        <v>2206</v>
      </c>
      <c r="B435" s="9" t="s">
        <v>4385</v>
      </c>
      <c r="C435" s="9" t="s">
        <v>2208</v>
      </c>
      <c r="D435" s="9" t="s">
        <v>439</v>
      </c>
      <c r="E435" s="9"/>
      <c r="F435" s="9"/>
      <c r="G435" s="58">
        <v>8000</v>
      </c>
      <c r="H435" s="85">
        <v>0.06</v>
      </c>
      <c r="I435" s="9">
        <v>47</v>
      </c>
      <c r="J435" s="9"/>
      <c r="K435" s="9"/>
      <c r="L435" s="9"/>
      <c r="M435" s="9"/>
      <c r="N435" s="9" t="s">
        <v>3898</v>
      </c>
      <c r="O435" s="9" t="s">
        <v>3081</v>
      </c>
      <c r="P435" s="9" t="s">
        <v>3415</v>
      </c>
      <c r="Q435" s="58" t="s">
        <v>3167</v>
      </c>
      <c r="R435" s="58">
        <v>1</v>
      </c>
      <c r="S435" s="58">
        <v>8</v>
      </c>
      <c r="T435" s="9" t="s">
        <v>4386</v>
      </c>
      <c r="U435" s="9" t="s">
        <v>4387</v>
      </c>
      <c r="V435" s="58">
        <v>1</v>
      </c>
      <c r="W435" s="9"/>
      <c r="X435" s="9"/>
      <c r="Y435" s="9"/>
      <c r="Z435" s="9"/>
    </row>
    <row r="436" spans="1:26" ht="15.75" hidden="1" customHeight="1">
      <c r="A436" s="9" t="s">
        <v>2206</v>
      </c>
      <c r="B436" s="9" t="s">
        <v>4385</v>
      </c>
      <c r="C436" s="9" t="s">
        <v>2208</v>
      </c>
      <c r="D436" s="9" t="s">
        <v>368</v>
      </c>
      <c r="E436" s="9" t="s">
        <v>4388</v>
      </c>
      <c r="F436" s="58" t="s">
        <v>3057</v>
      </c>
      <c r="G436" s="58">
        <v>5600</v>
      </c>
      <c r="H436" s="85">
        <v>0.3</v>
      </c>
      <c r="I436" s="9">
        <v>47</v>
      </c>
      <c r="J436" s="9"/>
      <c r="K436" s="9"/>
      <c r="L436" s="9"/>
      <c r="M436" s="9"/>
      <c r="N436" s="9" t="s">
        <v>3898</v>
      </c>
      <c r="O436" s="9" t="s">
        <v>3081</v>
      </c>
      <c r="P436" s="9" t="s">
        <v>4389</v>
      </c>
      <c r="Q436" s="58" t="s">
        <v>3185</v>
      </c>
      <c r="R436" s="58">
        <v>4</v>
      </c>
      <c r="S436" s="58">
        <v>7</v>
      </c>
      <c r="T436" s="9" t="s">
        <v>4386</v>
      </c>
      <c r="U436" s="9" t="s">
        <v>4390</v>
      </c>
      <c r="V436" s="58">
        <v>4</v>
      </c>
      <c r="W436" s="9"/>
      <c r="X436" s="9"/>
      <c r="Y436" s="9"/>
      <c r="Z436" s="9"/>
    </row>
    <row r="437" spans="1:26" ht="15.75" hidden="1" customHeight="1">
      <c r="A437" s="9" t="s">
        <v>1620</v>
      </c>
      <c r="B437" s="9" t="s">
        <v>4391</v>
      </c>
      <c r="C437" s="9" t="s">
        <v>984</v>
      </c>
      <c r="D437" s="9" t="s">
        <v>439</v>
      </c>
      <c r="E437" s="9"/>
      <c r="F437" s="9"/>
      <c r="G437" s="58">
        <v>5600</v>
      </c>
      <c r="H437" s="85">
        <v>8.5714285714285701E-2</v>
      </c>
      <c r="I437" s="9">
        <v>50.5</v>
      </c>
      <c r="J437" s="9"/>
      <c r="K437" s="9"/>
      <c r="L437" s="9"/>
      <c r="M437" s="9"/>
      <c r="N437" s="9" t="s">
        <v>3105</v>
      </c>
      <c r="O437" s="9" t="s">
        <v>3081</v>
      </c>
      <c r="P437" s="9" t="s">
        <v>3154</v>
      </c>
      <c r="Q437" s="58" t="s">
        <v>3155</v>
      </c>
      <c r="R437" s="58">
        <v>1</v>
      </c>
      <c r="S437" s="58">
        <v>8</v>
      </c>
      <c r="T437" s="9" t="s">
        <v>4392</v>
      </c>
      <c r="U437" s="9" t="s">
        <v>4393</v>
      </c>
      <c r="V437" s="58">
        <v>1</v>
      </c>
      <c r="W437" s="9"/>
      <c r="X437" s="9"/>
      <c r="Y437" s="9"/>
      <c r="Z437" s="9"/>
    </row>
    <row r="438" spans="1:26" ht="15.75" hidden="1" customHeight="1">
      <c r="A438" s="9" t="s">
        <v>1620</v>
      </c>
      <c r="B438" s="9" t="s">
        <v>4391</v>
      </c>
      <c r="C438" s="9" t="s">
        <v>984</v>
      </c>
      <c r="D438" s="9" t="s">
        <v>368</v>
      </c>
      <c r="E438" s="9" t="s">
        <v>3092</v>
      </c>
      <c r="F438" s="58" t="s">
        <v>3057</v>
      </c>
      <c r="G438" s="58">
        <v>6090</v>
      </c>
      <c r="H438" s="85">
        <v>0.27586206896551702</v>
      </c>
      <c r="I438" s="9">
        <v>50.5</v>
      </c>
      <c r="J438" s="9"/>
      <c r="K438" s="9"/>
      <c r="L438" s="9"/>
      <c r="M438" s="9"/>
      <c r="N438" s="9" t="s">
        <v>3105</v>
      </c>
      <c r="O438" s="9" t="s">
        <v>3081</v>
      </c>
      <c r="P438" s="9" t="s">
        <v>4394</v>
      </c>
      <c r="Q438" s="58" t="s">
        <v>3404</v>
      </c>
      <c r="R438" s="58">
        <v>4</v>
      </c>
      <c r="S438" s="58">
        <v>7</v>
      </c>
      <c r="T438" s="9" t="s">
        <v>4392</v>
      </c>
      <c r="U438" s="9" t="s">
        <v>4395</v>
      </c>
      <c r="V438" s="58">
        <v>4</v>
      </c>
      <c r="W438" s="9"/>
      <c r="X438" s="9"/>
      <c r="Y438" s="9"/>
      <c r="Z438" s="9"/>
    </row>
    <row r="439" spans="1:26" ht="15.75" hidden="1" customHeight="1">
      <c r="A439" s="9" t="s">
        <v>204</v>
      </c>
      <c r="B439" s="9" t="s">
        <v>4396</v>
      </c>
      <c r="C439" s="9" t="s">
        <v>205</v>
      </c>
      <c r="D439" s="9" t="s">
        <v>368</v>
      </c>
      <c r="E439" s="9" t="s">
        <v>3229</v>
      </c>
      <c r="F439" s="58" t="s">
        <v>3087</v>
      </c>
      <c r="G439" s="58">
        <v>3150</v>
      </c>
      <c r="H439" s="85">
        <v>0.4</v>
      </c>
      <c r="I439" s="9">
        <v>100.3</v>
      </c>
      <c r="J439" s="9"/>
      <c r="K439" s="9"/>
      <c r="L439" s="9"/>
      <c r="M439" s="9"/>
      <c r="N439" s="9" t="s">
        <v>3752</v>
      </c>
      <c r="O439" s="9" t="s">
        <v>3081</v>
      </c>
      <c r="P439" s="9" t="s">
        <v>4397</v>
      </c>
      <c r="Q439" s="58" t="s">
        <v>3734</v>
      </c>
      <c r="R439" s="58">
        <v>3</v>
      </c>
      <c r="S439" s="58">
        <v>7</v>
      </c>
      <c r="T439" s="9" t="s">
        <v>4398</v>
      </c>
      <c r="U439" s="9" t="s">
        <v>4399</v>
      </c>
      <c r="V439" s="58">
        <v>3</v>
      </c>
      <c r="W439" s="9"/>
      <c r="X439" s="9"/>
      <c r="Y439" s="9"/>
      <c r="Z439" s="9"/>
    </row>
    <row r="440" spans="1:26" ht="15.75" hidden="1" customHeight="1">
      <c r="A440" s="9" t="s">
        <v>201</v>
      </c>
      <c r="B440" s="9" t="s">
        <v>4400</v>
      </c>
      <c r="C440" s="9" t="s">
        <v>202</v>
      </c>
      <c r="D440" s="9" t="s">
        <v>439</v>
      </c>
      <c r="E440" s="9"/>
      <c r="F440" s="9"/>
      <c r="G440" s="58">
        <v>4800</v>
      </c>
      <c r="H440" s="85">
        <v>0.1</v>
      </c>
      <c r="I440" s="9">
        <v>202</v>
      </c>
      <c r="J440" s="9"/>
      <c r="K440" s="9"/>
      <c r="L440" s="9"/>
      <c r="M440" s="9"/>
      <c r="N440" s="9" t="s">
        <v>3189</v>
      </c>
      <c r="O440" s="9" t="s">
        <v>3051</v>
      </c>
      <c r="P440" s="9" t="s">
        <v>3778</v>
      </c>
      <c r="Q440" s="58" t="s">
        <v>3122</v>
      </c>
      <c r="R440" s="58">
        <v>1</v>
      </c>
      <c r="S440" s="58">
        <v>8</v>
      </c>
      <c r="T440" s="9" t="s">
        <v>3065</v>
      </c>
      <c r="U440" s="9" t="s">
        <v>4401</v>
      </c>
      <c r="V440" s="58">
        <v>1</v>
      </c>
      <c r="W440" s="9"/>
      <c r="X440" s="9"/>
      <c r="Y440" s="9"/>
      <c r="Z440" s="9"/>
    </row>
    <row r="441" spans="1:26" ht="15.75" hidden="1" customHeight="1">
      <c r="A441" s="9" t="s">
        <v>201</v>
      </c>
      <c r="B441" s="9" t="s">
        <v>4400</v>
      </c>
      <c r="C441" s="9" t="s">
        <v>202</v>
      </c>
      <c r="D441" s="9" t="s">
        <v>368</v>
      </c>
      <c r="E441" s="9" t="s">
        <v>3402</v>
      </c>
      <c r="F441" s="58" t="s">
        <v>3057</v>
      </c>
      <c r="G441" s="58">
        <v>4410</v>
      </c>
      <c r="H441" s="85">
        <v>0.38095238095237999</v>
      </c>
      <c r="I441" s="9">
        <v>202</v>
      </c>
      <c r="J441" s="9"/>
      <c r="K441" s="9"/>
      <c r="L441" s="9"/>
      <c r="M441" s="9"/>
      <c r="N441" s="9" t="s">
        <v>3189</v>
      </c>
      <c r="O441" s="9" t="s">
        <v>3051</v>
      </c>
      <c r="P441" s="9" t="s">
        <v>4402</v>
      </c>
      <c r="Q441" s="58" t="s">
        <v>4403</v>
      </c>
      <c r="R441" s="58">
        <v>4</v>
      </c>
      <c r="S441" s="58">
        <v>7</v>
      </c>
      <c r="T441" s="9" t="s">
        <v>3065</v>
      </c>
      <c r="U441" s="9" t="s">
        <v>4404</v>
      </c>
      <c r="V441" s="58">
        <v>4</v>
      </c>
      <c r="W441" s="9"/>
      <c r="X441" s="9"/>
      <c r="Y441" s="9"/>
      <c r="Z441" s="9"/>
    </row>
    <row r="442" spans="1:26" ht="15.75" hidden="1" customHeight="1">
      <c r="A442" s="9" t="s">
        <v>207</v>
      </c>
      <c r="B442" s="9" t="s">
        <v>4405</v>
      </c>
      <c r="C442" s="9" t="s">
        <v>208</v>
      </c>
      <c r="D442" s="9" t="s">
        <v>439</v>
      </c>
      <c r="E442" s="9"/>
      <c r="F442" s="9"/>
      <c r="G442" s="58">
        <v>6400</v>
      </c>
      <c r="H442" s="85">
        <v>7.4999999999999997E-2</v>
      </c>
      <c r="I442" s="9">
        <v>30.5</v>
      </c>
      <c r="J442" s="9"/>
      <c r="K442" s="9"/>
      <c r="L442" s="9"/>
      <c r="M442" s="9"/>
      <c r="N442" s="9" t="s">
        <v>3375</v>
      </c>
      <c r="O442" s="9" t="s">
        <v>3051</v>
      </c>
      <c r="P442" s="9" t="s">
        <v>3190</v>
      </c>
      <c r="Q442" s="58" t="s">
        <v>3185</v>
      </c>
      <c r="R442" s="58">
        <v>1</v>
      </c>
      <c r="S442" s="58">
        <v>8</v>
      </c>
      <c r="T442" s="9" t="s">
        <v>4406</v>
      </c>
      <c r="U442" s="9" t="s">
        <v>4407</v>
      </c>
      <c r="V442" s="58">
        <v>1</v>
      </c>
      <c r="W442" s="9"/>
      <c r="X442" s="9"/>
      <c r="Y442" s="9"/>
      <c r="Z442" s="9"/>
    </row>
    <row r="443" spans="1:26" ht="15.75" hidden="1" customHeight="1">
      <c r="A443" s="9" t="s">
        <v>207</v>
      </c>
      <c r="B443" s="9" t="s">
        <v>4405</v>
      </c>
      <c r="C443" s="9" t="s">
        <v>208</v>
      </c>
      <c r="D443" s="9" t="s">
        <v>368</v>
      </c>
      <c r="E443" s="9" t="s">
        <v>3067</v>
      </c>
      <c r="F443" s="58" t="s">
        <v>3057</v>
      </c>
      <c r="G443" s="58">
        <v>7000</v>
      </c>
      <c r="H443" s="85">
        <v>0.24</v>
      </c>
      <c r="I443" s="9">
        <v>30.5</v>
      </c>
      <c r="J443" s="9"/>
      <c r="K443" s="9"/>
      <c r="L443" s="9"/>
      <c r="M443" s="9"/>
      <c r="N443" s="9" t="s">
        <v>3375</v>
      </c>
      <c r="O443" s="9" t="s">
        <v>3051</v>
      </c>
      <c r="P443" s="9" t="s">
        <v>4408</v>
      </c>
      <c r="Q443" s="58" t="s">
        <v>3167</v>
      </c>
      <c r="R443" s="58">
        <v>4</v>
      </c>
      <c r="S443" s="58">
        <v>7</v>
      </c>
      <c r="T443" s="9" t="s">
        <v>4406</v>
      </c>
      <c r="U443" s="9" t="s">
        <v>4409</v>
      </c>
      <c r="V443" s="58">
        <v>4</v>
      </c>
      <c r="W443" s="9"/>
      <c r="X443" s="9"/>
      <c r="Y443" s="9"/>
      <c r="Z443" s="9"/>
    </row>
    <row r="444" spans="1:26" ht="15.75" hidden="1" customHeight="1">
      <c r="A444" s="9" t="s">
        <v>210</v>
      </c>
      <c r="B444" s="9" t="s">
        <v>4410</v>
      </c>
      <c r="C444" s="9" t="s">
        <v>211</v>
      </c>
      <c r="D444" s="9" t="s">
        <v>439</v>
      </c>
      <c r="E444" s="9"/>
      <c r="F444" s="9"/>
      <c r="G444" s="58">
        <v>8000</v>
      </c>
      <c r="H444" s="85">
        <v>0.06</v>
      </c>
      <c r="I444" s="9">
        <v>100</v>
      </c>
      <c r="J444" s="9"/>
      <c r="K444" s="9"/>
      <c r="L444" s="9"/>
      <c r="M444" s="9"/>
      <c r="N444" s="9" t="s">
        <v>4411</v>
      </c>
      <c r="O444" s="9" t="s">
        <v>3081</v>
      </c>
      <c r="P444" s="9" t="s">
        <v>3415</v>
      </c>
      <c r="Q444" s="58" t="s">
        <v>3167</v>
      </c>
      <c r="R444" s="58">
        <v>1</v>
      </c>
      <c r="S444" s="58">
        <v>8</v>
      </c>
      <c r="T444" s="9" t="s">
        <v>4412</v>
      </c>
      <c r="U444" s="9" t="s">
        <v>4413</v>
      </c>
      <c r="V444" s="58">
        <v>1</v>
      </c>
      <c r="W444" s="9"/>
      <c r="X444" s="9"/>
      <c r="Y444" s="9"/>
      <c r="Z444" s="9"/>
    </row>
    <row r="445" spans="1:26" ht="15.75" hidden="1" customHeight="1">
      <c r="A445" s="9" t="s">
        <v>210</v>
      </c>
      <c r="B445" s="9" t="s">
        <v>4410</v>
      </c>
      <c r="C445" s="9" t="s">
        <v>211</v>
      </c>
      <c r="D445" s="9" t="s">
        <v>368</v>
      </c>
      <c r="E445" s="9" t="s">
        <v>4140</v>
      </c>
      <c r="F445" s="58" t="s">
        <v>3087</v>
      </c>
      <c r="G445" s="58">
        <v>4200</v>
      </c>
      <c r="H445" s="85">
        <v>0.4</v>
      </c>
      <c r="I445" s="9">
        <v>100</v>
      </c>
      <c r="J445" s="9"/>
      <c r="K445" s="9"/>
      <c r="L445" s="9"/>
      <c r="M445" s="9"/>
      <c r="N445" s="9" t="s">
        <v>4411</v>
      </c>
      <c r="O445" s="9" t="s">
        <v>3081</v>
      </c>
      <c r="P445" s="9" t="s">
        <v>4414</v>
      </c>
      <c r="Q445" s="58" t="s">
        <v>3122</v>
      </c>
      <c r="R445" s="58">
        <v>4</v>
      </c>
      <c r="S445" s="58">
        <v>7</v>
      </c>
      <c r="T445" s="9" t="s">
        <v>4412</v>
      </c>
      <c r="U445" s="9" t="s">
        <v>4415</v>
      </c>
      <c r="V445" s="58">
        <v>4</v>
      </c>
      <c r="W445" s="9"/>
      <c r="X445" s="9"/>
      <c r="Y445" s="9"/>
      <c r="Z445" s="9"/>
    </row>
    <row r="446" spans="1:26" ht="15.75" hidden="1" customHeight="1">
      <c r="A446" s="9" t="s">
        <v>213</v>
      </c>
      <c r="B446" s="9" t="s">
        <v>4416</v>
      </c>
      <c r="C446" s="9" t="s">
        <v>214</v>
      </c>
      <c r="D446" s="9" t="s">
        <v>368</v>
      </c>
      <c r="E446" s="9" t="s">
        <v>4417</v>
      </c>
      <c r="F446" s="58" t="s">
        <v>3801</v>
      </c>
      <c r="G446" s="58">
        <v>9996</v>
      </c>
      <c r="H446" s="85">
        <v>4.2016806722689003E-2</v>
      </c>
      <c r="I446" s="9">
        <v>25.3</v>
      </c>
      <c r="J446" s="9"/>
      <c r="K446" s="9"/>
      <c r="L446" s="9"/>
      <c r="M446" s="9"/>
      <c r="N446" s="9" t="s">
        <v>4418</v>
      </c>
      <c r="O446" s="9" t="s">
        <v>3351</v>
      </c>
      <c r="P446" s="9" t="s">
        <v>4419</v>
      </c>
      <c r="Q446" s="58" t="s">
        <v>4420</v>
      </c>
      <c r="R446" s="58">
        <v>1</v>
      </c>
      <c r="S446" s="58">
        <v>7</v>
      </c>
      <c r="T446" s="9" t="s">
        <v>4421</v>
      </c>
      <c r="U446" s="9" t="s">
        <v>4422</v>
      </c>
      <c r="V446" s="58">
        <v>1</v>
      </c>
      <c r="W446" s="9"/>
      <c r="X446" s="9"/>
      <c r="Y446" s="9"/>
      <c r="Z446" s="9"/>
    </row>
    <row r="447" spans="1:26" ht="15.75" hidden="1" customHeight="1">
      <c r="A447" s="9" t="s">
        <v>198</v>
      </c>
      <c r="B447" s="9" t="s">
        <v>4423</v>
      </c>
      <c r="C447" s="9" t="s">
        <v>199</v>
      </c>
      <c r="D447" s="9" t="s">
        <v>439</v>
      </c>
      <c r="E447" s="9"/>
      <c r="F447" s="9"/>
      <c r="G447" s="58">
        <v>7200</v>
      </c>
      <c r="H447" s="85">
        <v>6.6666666666666596E-2</v>
      </c>
      <c r="I447" s="9">
        <v>206</v>
      </c>
      <c r="J447" s="9"/>
      <c r="K447" s="9"/>
      <c r="L447" s="9"/>
      <c r="M447" s="9"/>
      <c r="N447" s="9" t="s">
        <v>4424</v>
      </c>
      <c r="O447" s="9" t="s">
        <v>3081</v>
      </c>
      <c r="P447" s="9" t="s">
        <v>3644</v>
      </c>
      <c r="Q447" s="58" t="s">
        <v>3069</v>
      </c>
      <c r="R447" s="58">
        <v>1</v>
      </c>
      <c r="S447" s="58">
        <v>8</v>
      </c>
      <c r="T447" s="9" t="s">
        <v>4425</v>
      </c>
      <c r="U447" s="9" t="s">
        <v>4426</v>
      </c>
      <c r="V447" s="58">
        <v>1</v>
      </c>
      <c r="W447" s="9"/>
      <c r="X447" s="9"/>
      <c r="Y447" s="9"/>
      <c r="Z447" s="9"/>
    </row>
    <row r="448" spans="1:26" ht="15.75" hidden="1" customHeight="1">
      <c r="A448" s="9" t="s">
        <v>198</v>
      </c>
      <c r="B448" s="9" t="s">
        <v>4423</v>
      </c>
      <c r="C448" s="9" t="s">
        <v>199</v>
      </c>
      <c r="D448" s="9" t="s">
        <v>368</v>
      </c>
      <c r="E448" s="9" t="s">
        <v>3086</v>
      </c>
      <c r="F448" s="58" t="s">
        <v>3087</v>
      </c>
      <c r="G448" s="58">
        <v>3360</v>
      </c>
      <c r="H448" s="85">
        <v>0.5</v>
      </c>
      <c r="I448" s="9">
        <v>206</v>
      </c>
      <c r="J448" s="9"/>
      <c r="K448" s="9"/>
      <c r="L448" s="9"/>
      <c r="M448" s="9"/>
      <c r="N448" s="9" t="s">
        <v>4424</v>
      </c>
      <c r="O448" s="9" t="s">
        <v>3081</v>
      </c>
      <c r="P448" s="9" t="s">
        <v>4427</v>
      </c>
      <c r="Q448" s="58" t="s">
        <v>3764</v>
      </c>
      <c r="R448" s="58">
        <v>4</v>
      </c>
      <c r="S448" s="58">
        <v>7</v>
      </c>
      <c r="T448" s="9" t="s">
        <v>4425</v>
      </c>
      <c r="U448" s="9" t="s">
        <v>4428</v>
      </c>
      <c r="V448" s="58">
        <v>4</v>
      </c>
      <c r="W448" s="9"/>
      <c r="X448" s="9"/>
      <c r="Y448" s="9"/>
      <c r="Z448" s="9"/>
    </row>
    <row r="449" spans="1:26" ht="15.75" hidden="1" customHeight="1">
      <c r="A449" s="9" t="s">
        <v>184</v>
      </c>
      <c r="B449" s="9" t="s">
        <v>4429</v>
      </c>
      <c r="C449" s="9" t="s">
        <v>185</v>
      </c>
      <c r="D449" s="9" t="s">
        <v>439</v>
      </c>
      <c r="E449" s="9"/>
      <c r="F449" s="9"/>
      <c r="G449" s="58">
        <v>9600</v>
      </c>
      <c r="H449" s="85">
        <v>0.05</v>
      </c>
      <c r="I449" s="9" t="s">
        <v>4430</v>
      </c>
      <c r="J449" s="9">
        <v>16</v>
      </c>
      <c r="K449" s="9">
        <v>16</v>
      </c>
      <c r="L449" s="9"/>
      <c r="M449" s="9"/>
      <c r="N449" s="9" t="s">
        <v>4431</v>
      </c>
      <c r="O449" s="9" t="s">
        <v>3051</v>
      </c>
      <c r="P449" s="9" t="s">
        <v>3073</v>
      </c>
      <c r="Q449" s="58" t="s">
        <v>3074</v>
      </c>
      <c r="R449" s="58">
        <v>1</v>
      </c>
      <c r="S449" s="58">
        <v>8</v>
      </c>
      <c r="T449" s="9" t="s">
        <v>4432</v>
      </c>
      <c r="U449" s="9" t="s">
        <v>4433</v>
      </c>
      <c r="V449" s="58">
        <v>1</v>
      </c>
      <c r="W449" s="9"/>
      <c r="X449" s="9"/>
      <c r="Y449" s="9"/>
      <c r="Z449" s="9"/>
    </row>
    <row r="450" spans="1:26" ht="15.75" hidden="1" customHeight="1">
      <c r="A450" s="9" t="s">
        <v>184</v>
      </c>
      <c r="B450" s="9" t="s">
        <v>4429</v>
      </c>
      <c r="C450" s="9" t="s">
        <v>185</v>
      </c>
      <c r="D450" s="9" t="s">
        <v>368</v>
      </c>
      <c r="E450" s="9" t="s">
        <v>3563</v>
      </c>
      <c r="F450" s="58" t="s">
        <v>3801</v>
      </c>
      <c r="G450" s="58">
        <v>3850</v>
      </c>
      <c r="H450" s="85">
        <v>0.43636363636363601</v>
      </c>
      <c r="I450" s="9" t="s">
        <v>4430</v>
      </c>
      <c r="J450" s="9">
        <v>16</v>
      </c>
      <c r="K450" s="9">
        <v>16</v>
      </c>
      <c r="L450" s="9"/>
      <c r="M450" s="9"/>
      <c r="N450" s="9" t="s">
        <v>4431</v>
      </c>
      <c r="O450" s="9" t="s">
        <v>3051</v>
      </c>
      <c r="P450" s="9" t="s">
        <v>4434</v>
      </c>
      <c r="Q450" s="58" t="s">
        <v>3226</v>
      </c>
      <c r="R450" s="58">
        <v>4</v>
      </c>
      <c r="S450" s="58">
        <v>7</v>
      </c>
      <c r="T450" s="9" t="s">
        <v>4432</v>
      </c>
      <c r="U450" s="9" t="s">
        <v>4435</v>
      </c>
      <c r="V450" s="58">
        <v>4</v>
      </c>
      <c r="W450" s="9"/>
      <c r="X450" s="9"/>
      <c r="Y450" s="9"/>
      <c r="Z450" s="9"/>
    </row>
    <row r="451" spans="1:26" ht="15.75" hidden="1" customHeight="1">
      <c r="A451" s="9" t="s">
        <v>1645</v>
      </c>
      <c r="B451" s="9" t="s">
        <v>4436</v>
      </c>
      <c r="C451" s="9" t="s">
        <v>501</v>
      </c>
      <c r="D451" s="9" t="s">
        <v>439</v>
      </c>
      <c r="E451" s="9"/>
      <c r="F451" s="9"/>
      <c r="G451" s="58">
        <v>6800</v>
      </c>
      <c r="H451" s="85">
        <v>7.0588235294117604E-2</v>
      </c>
      <c r="I451" s="9">
        <v>49.5</v>
      </c>
      <c r="J451" s="9"/>
      <c r="K451" s="9"/>
      <c r="L451" s="9"/>
      <c r="M451" s="9"/>
      <c r="N451" s="9" t="s">
        <v>3130</v>
      </c>
      <c r="O451" s="9" t="s">
        <v>3081</v>
      </c>
      <c r="P451" s="9" t="s">
        <v>3441</v>
      </c>
      <c r="Q451" s="58" t="s">
        <v>3132</v>
      </c>
      <c r="R451" s="58">
        <v>1</v>
      </c>
      <c r="S451" s="58">
        <v>8</v>
      </c>
      <c r="T451" s="9" t="s">
        <v>4437</v>
      </c>
      <c r="U451" s="9" t="s">
        <v>4438</v>
      </c>
      <c r="V451" s="58">
        <v>1</v>
      </c>
      <c r="W451" s="9"/>
      <c r="X451" s="9"/>
      <c r="Y451" s="9"/>
      <c r="Z451" s="9"/>
    </row>
    <row r="452" spans="1:26" ht="15.75" hidden="1" customHeight="1">
      <c r="A452" s="9" t="s">
        <v>1645</v>
      </c>
      <c r="B452" s="9" t="s">
        <v>4436</v>
      </c>
      <c r="C452" s="9" t="s">
        <v>501</v>
      </c>
      <c r="D452" s="9" t="s">
        <v>368</v>
      </c>
      <c r="E452" s="9" t="s">
        <v>3067</v>
      </c>
      <c r="F452" s="58" t="s">
        <v>3057</v>
      </c>
      <c r="G452" s="58">
        <v>5600</v>
      </c>
      <c r="H452" s="85">
        <v>0.3</v>
      </c>
      <c r="I452" s="9">
        <v>49.5</v>
      </c>
      <c r="J452" s="9"/>
      <c r="K452" s="9"/>
      <c r="L452" s="9"/>
      <c r="M452" s="9"/>
      <c r="N452" s="9" t="s">
        <v>3130</v>
      </c>
      <c r="O452" s="9" t="s">
        <v>3081</v>
      </c>
      <c r="P452" s="9" t="s">
        <v>4439</v>
      </c>
      <c r="Q452" s="58" t="s">
        <v>3185</v>
      </c>
      <c r="R452" s="58">
        <v>4</v>
      </c>
      <c r="S452" s="58">
        <v>7</v>
      </c>
      <c r="T452" s="9" t="s">
        <v>4437</v>
      </c>
      <c r="U452" s="9" t="s">
        <v>4440</v>
      </c>
      <c r="V452" s="58">
        <v>4</v>
      </c>
      <c r="W452" s="9"/>
      <c r="X452" s="9"/>
      <c r="Y452" s="9"/>
      <c r="Z452" s="9"/>
    </row>
    <row r="453" spans="1:26" ht="15.75" hidden="1" customHeight="1">
      <c r="A453" s="9" t="s">
        <v>2281</v>
      </c>
      <c r="B453" s="9" t="s">
        <v>4441</v>
      </c>
      <c r="C453" s="9" t="s">
        <v>501</v>
      </c>
      <c r="D453" s="9" t="s">
        <v>439</v>
      </c>
      <c r="E453" s="9"/>
      <c r="F453" s="9"/>
      <c r="G453" s="58">
        <v>6800</v>
      </c>
      <c r="H453" s="85">
        <v>7.0588235294117604E-2</v>
      </c>
      <c r="I453" s="9">
        <v>49.5</v>
      </c>
      <c r="J453" s="9"/>
      <c r="K453" s="9"/>
      <c r="L453" s="9"/>
      <c r="M453" s="9"/>
      <c r="N453" s="9" t="s">
        <v>3130</v>
      </c>
      <c r="O453" s="9" t="s">
        <v>3081</v>
      </c>
      <c r="P453" s="9" t="s">
        <v>4442</v>
      </c>
      <c r="Q453" s="58" t="s">
        <v>3132</v>
      </c>
      <c r="R453" s="58">
        <v>1</v>
      </c>
      <c r="S453" s="58">
        <v>8</v>
      </c>
      <c r="T453" s="9" t="s">
        <v>4437</v>
      </c>
      <c r="U453" s="9" t="s">
        <v>4443</v>
      </c>
      <c r="V453" s="58">
        <v>1</v>
      </c>
      <c r="W453" s="9"/>
      <c r="X453" s="9"/>
      <c r="Y453" s="9"/>
      <c r="Z453" s="9"/>
    </row>
    <row r="454" spans="1:26" ht="15.75" hidden="1" customHeight="1">
      <c r="A454" s="9" t="s">
        <v>2281</v>
      </c>
      <c r="B454" s="9" t="s">
        <v>4441</v>
      </c>
      <c r="C454" s="9" t="s">
        <v>501</v>
      </c>
      <c r="D454" s="9" t="s">
        <v>368</v>
      </c>
      <c r="E454" s="9" t="s">
        <v>3067</v>
      </c>
      <c r="F454" s="58" t="s">
        <v>3057</v>
      </c>
      <c r="G454" s="58">
        <v>5600</v>
      </c>
      <c r="H454" s="85">
        <v>0.3</v>
      </c>
      <c r="I454" s="9">
        <v>49.5</v>
      </c>
      <c r="J454" s="9"/>
      <c r="K454" s="9"/>
      <c r="L454" s="9"/>
      <c r="M454" s="9"/>
      <c r="N454" s="9" t="s">
        <v>3130</v>
      </c>
      <c r="O454" s="9" t="s">
        <v>3081</v>
      </c>
      <c r="P454" s="9" t="s">
        <v>4444</v>
      </c>
      <c r="Q454" s="58" t="s">
        <v>3185</v>
      </c>
      <c r="R454" s="58">
        <v>4</v>
      </c>
      <c r="S454" s="58">
        <v>7</v>
      </c>
      <c r="T454" s="9" t="s">
        <v>4437</v>
      </c>
      <c r="U454" s="9" t="s">
        <v>4445</v>
      </c>
      <c r="V454" s="58">
        <v>4</v>
      </c>
      <c r="W454" s="9"/>
      <c r="X454" s="9"/>
      <c r="Y454" s="9"/>
      <c r="Z454" s="9"/>
    </row>
    <row r="455" spans="1:26" ht="15.75" hidden="1" customHeight="1">
      <c r="A455" s="9" t="s">
        <v>1647</v>
      </c>
      <c r="B455" s="9" t="s">
        <v>4446</v>
      </c>
      <c r="C455" s="9" t="s">
        <v>669</v>
      </c>
      <c r="D455" s="9" t="s">
        <v>439</v>
      </c>
      <c r="E455" s="9"/>
      <c r="F455" s="9"/>
      <c r="G455" s="58">
        <v>8800</v>
      </c>
      <c r="H455" s="85">
        <v>5.4545454545454501E-2</v>
      </c>
      <c r="I455" s="9">
        <v>30</v>
      </c>
      <c r="J455" s="9"/>
      <c r="K455" s="9"/>
      <c r="L455" s="9"/>
      <c r="M455" s="9"/>
      <c r="N455" s="9" t="s">
        <v>3105</v>
      </c>
      <c r="O455" s="9" t="s">
        <v>3081</v>
      </c>
      <c r="P455" s="9" t="s">
        <v>3125</v>
      </c>
      <c r="Q455" s="58" t="s">
        <v>3077</v>
      </c>
      <c r="R455" s="58">
        <v>1</v>
      </c>
      <c r="S455" s="58">
        <v>8</v>
      </c>
      <c r="T455" s="9" t="s">
        <v>4447</v>
      </c>
      <c r="U455" s="9" t="s">
        <v>4448</v>
      </c>
      <c r="V455" s="58">
        <v>1</v>
      </c>
      <c r="W455" s="9"/>
      <c r="X455" s="9"/>
      <c r="Y455" s="9"/>
      <c r="Z455" s="9"/>
    </row>
    <row r="456" spans="1:26" ht="15.75" hidden="1" customHeight="1">
      <c r="A456" s="9" t="s">
        <v>1647</v>
      </c>
      <c r="B456" s="9" t="s">
        <v>4446</v>
      </c>
      <c r="C456" s="9" t="s">
        <v>669</v>
      </c>
      <c r="D456" s="9" t="s">
        <v>368</v>
      </c>
      <c r="E456" s="9" t="s">
        <v>3092</v>
      </c>
      <c r="F456" s="58" t="s">
        <v>3087</v>
      </c>
      <c r="G456" s="58">
        <v>4200</v>
      </c>
      <c r="H456" s="85">
        <v>0.4</v>
      </c>
      <c r="I456" s="9">
        <v>30</v>
      </c>
      <c r="J456" s="9"/>
      <c r="K456" s="9"/>
      <c r="L456" s="9"/>
      <c r="M456" s="9"/>
      <c r="N456" s="9" t="s">
        <v>3105</v>
      </c>
      <c r="O456" s="9" t="s">
        <v>3081</v>
      </c>
      <c r="P456" s="9" t="s">
        <v>4449</v>
      </c>
      <c r="Q456" s="58" t="s">
        <v>3122</v>
      </c>
      <c r="R456" s="58">
        <v>4</v>
      </c>
      <c r="S456" s="58">
        <v>7</v>
      </c>
      <c r="T456" s="9" t="s">
        <v>4447</v>
      </c>
      <c r="U456" s="9" t="s">
        <v>4450</v>
      </c>
      <c r="V456" s="58">
        <v>4</v>
      </c>
      <c r="W456" s="9"/>
      <c r="X456" s="9"/>
      <c r="Y456" s="9"/>
      <c r="Z456" s="9"/>
    </row>
    <row r="457" spans="1:26" ht="15.75" hidden="1" customHeight="1">
      <c r="A457" s="9" t="s">
        <v>1652</v>
      </c>
      <c r="B457" s="9" t="s">
        <v>4451</v>
      </c>
      <c r="C457" s="9" t="s">
        <v>778</v>
      </c>
      <c r="D457" s="9" t="s">
        <v>439</v>
      </c>
      <c r="E457" s="9"/>
      <c r="F457" s="9"/>
      <c r="G457" s="58">
        <v>5250</v>
      </c>
      <c r="H457" s="85">
        <v>0.08</v>
      </c>
      <c r="I457" s="9">
        <v>50.6</v>
      </c>
      <c r="J457" s="9"/>
      <c r="K457" s="9"/>
      <c r="L457" s="9"/>
      <c r="M457" s="9"/>
      <c r="N457" s="9" t="s">
        <v>3676</v>
      </c>
      <c r="O457" s="9" t="s">
        <v>3081</v>
      </c>
      <c r="P457" s="9" t="s">
        <v>4452</v>
      </c>
      <c r="Q457" s="58" t="s">
        <v>3095</v>
      </c>
      <c r="R457" s="9">
        <v>1</v>
      </c>
      <c r="S457" s="9">
        <v>7</v>
      </c>
      <c r="T457" s="9" t="s">
        <v>4453</v>
      </c>
      <c r="U457" s="9" t="s">
        <v>4454</v>
      </c>
      <c r="V457" s="9">
        <v>1</v>
      </c>
      <c r="W457" s="9"/>
      <c r="X457" s="9"/>
      <c r="Y457" s="9"/>
      <c r="Z457" s="9"/>
    </row>
    <row r="458" spans="1:26" ht="15.75" hidden="1" customHeight="1">
      <c r="A458" s="9" t="s">
        <v>1652</v>
      </c>
      <c r="B458" s="9" t="s">
        <v>4451</v>
      </c>
      <c r="C458" s="9" t="s">
        <v>778</v>
      </c>
      <c r="D458" s="9" t="s">
        <v>368</v>
      </c>
      <c r="E458" s="9" t="s">
        <v>4455</v>
      </c>
      <c r="F458" s="58" t="s">
        <v>3087</v>
      </c>
      <c r="G458" s="58">
        <v>5600</v>
      </c>
      <c r="H458" s="85">
        <v>0.3</v>
      </c>
      <c r="I458" s="9">
        <v>50.6</v>
      </c>
      <c r="J458" s="9"/>
      <c r="K458" s="9"/>
      <c r="L458" s="9"/>
      <c r="M458" s="9"/>
      <c r="N458" s="9" t="s">
        <v>3676</v>
      </c>
      <c r="O458" s="9" t="s">
        <v>3081</v>
      </c>
      <c r="P458" s="9" t="s">
        <v>4456</v>
      </c>
      <c r="Q458" s="58" t="s">
        <v>3185</v>
      </c>
      <c r="R458" s="9">
        <v>4</v>
      </c>
      <c r="S458" s="9">
        <v>7</v>
      </c>
      <c r="T458" s="9" t="s">
        <v>4453</v>
      </c>
      <c r="U458" s="9" t="s">
        <v>4457</v>
      </c>
      <c r="V458" s="9">
        <v>4</v>
      </c>
      <c r="W458" s="9"/>
      <c r="X458" s="9"/>
      <c r="Y458" s="9"/>
      <c r="Z458" s="9"/>
    </row>
    <row r="459" spans="1:26" ht="15.75" hidden="1" customHeight="1">
      <c r="A459" s="9" t="s">
        <v>1656</v>
      </c>
      <c r="B459" s="9" t="s">
        <v>4458</v>
      </c>
      <c r="C459" s="9" t="s">
        <v>851</v>
      </c>
      <c r="D459" s="9" t="s">
        <v>439</v>
      </c>
      <c r="E459" s="9"/>
      <c r="F459" s="9"/>
      <c r="G459" s="58">
        <v>5200</v>
      </c>
      <c r="H459" s="85">
        <v>9.2307692307692299E-2</v>
      </c>
      <c r="I459" s="9">
        <v>30.9</v>
      </c>
      <c r="J459" s="9"/>
      <c r="K459" s="9"/>
      <c r="L459" s="9"/>
      <c r="M459" s="9"/>
      <c r="N459" s="9" t="s">
        <v>3423</v>
      </c>
      <c r="O459" s="9" t="s">
        <v>3051</v>
      </c>
      <c r="P459" s="9" t="s">
        <v>4361</v>
      </c>
      <c r="Q459" s="58">
        <v>650</v>
      </c>
      <c r="R459" s="58">
        <v>1</v>
      </c>
      <c r="S459" s="58">
        <v>8</v>
      </c>
      <c r="T459" s="9" t="s">
        <v>3065</v>
      </c>
      <c r="U459" s="9" t="s">
        <v>4459</v>
      </c>
      <c r="V459" s="58">
        <v>1</v>
      </c>
      <c r="W459" s="9"/>
      <c r="X459" s="9"/>
      <c r="Y459" s="9"/>
      <c r="Z459" s="9"/>
    </row>
    <row r="460" spans="1:26" ht="15.75" hidden="1" customHeight="1">
      <c r="A460" s="9" t="s">
        <v>1656</v>
      </c>
      <c r="B460" s="9" t="s">
        <v>4458</v>
      </c>
      <c r="C460" s="9" t="s">
        <v>851</v>
      </c>
      <c r="D460" s="9" t="s">
        <v>368</v>
      </c>
      <c r="E460" s="9" t="s">
        <v>3402</v>
      </c>
      <c r="F460" s="58" t="s">
        <v>3057</v>
      </c>
      <c r="G460" s="58">
        <v>5950</v>
      </c>
      <c r="H460" s="85">
        <v>0.21176470588235199</v>
      </c>
      <c r="I460" s="9">
        <v>30.9</v>
      </c>
      <c r="J460" s="9"/>
      <c r="K460" s="9"/>
      <c r="L460" s="9"/>
      <c r="M460" s="9"/>
      <c r="N460" s="9" t="s">
        <v>3423</v>
      </c>
      <c r="O460" s="9" t="s">
        <v>3051</v>
      </c>
      <c r="P460" s="9" t="s">
        <v>4460</v>
      </c>
      <c r="Q460" s="58">
        <v>850</v>
      </c>
      <c r="R460" s="58">
        <v>3</v>
      </c>
      <c r="S460" s="58">
        <v>7</v>
      </c>
      <c r="T460" s="9" t="s">
        <v>3065</v>
      </c>
      <c r="U460" s="9" t="s">
        <v>4461</v>
      </c>
      <c r="V460" s="58">
        <v>3</v>
      </c>
      <c r="W460" s="9"/>
      <c r="X460" s="9"/>
      <c r="Y460" s="9"/>
      <c r="Z460" s="9"/>
    </row>
    <row r="461" spans="1:26" ht="15.75" hidden="1" customHeight="1">
      <c r="A461" s="9" t="s">
        <v>2429</v>
      </c>
      <c r="B461" s="9" t="s">
        <v>4462</v>
      </c>
      <c r="C461" s="9" t="s">
        <v>2431</v>
      </c>
      <c r="D461" s="9" t="s">
        <v>439</v>
      </c>
      <c r="E461" s="9"/>
      <c r="F461" s="9"/>
      <c r="G461" s="58">
        <v>9880</v>
      </c>
      <c r="H461" s="85">
        <v>4.8582995951416998E-2</v>
      </c>
      <c r="I461" s="9">
        <v>30.9</v>
      </c>
      <c r="J461" s="9"/>
      <c r="K461" s="9"/>
      <c r="L461" s="9"/>
      <c r="M461" s="9"/>
      <c r="N461" s="9" t="s">
        <v>3423</v>
      </c>
      <c r="O461" s="9" t="s">
        <v>3258</v>
      </c>
      <c r="P461" s="9" t="s">
        <v>4463</v>
      </c>
      <c r="Q461" s="58" t="s">
        <v>4464</v>
      </c>
      <c r="R461" s="58">
        <v>1</v>
      </c>
      <c r="S461" s="58">
        <v>8</v>
      </c>
      <c r="T461" s="9" t="s">
        <v>3918</v>
      </c>
      <c r="U461" s="9" t="s">
        <v>4465</v>
      </c>
      <c r="V461" s="58">
        <v>1</v>
      </c>
      <c r="W461" s="9"/>
      <c r="X461" s="9"/>
      <c r="Y461" s="9"/>
      <c r="Z461" s="9"/>
    </row>
    <row r="462" spans="1:26" ht="15.75" hidden="1" customHeight="1">
      <c r="A462" s="9" t="s">
        <v>2429</v>
      </c>
      <c r="B462" s="9" t="s">
        <v>4462</v>
      </c>
      <c r="C462" s="9" t="s">
        <v>2431</v>
      </c>
      <c r="D462" s="9" t="s">
        <v>368</v>
      </c>
      <c r="E462" s="9" t="s">
        <v>3402</v>
      </c>
      <c r="F462" s="58" t="s">
        <v>3057</v>
      </c>
      <c r="G462" s="58">
        <v>9800</v>
      </c>
      <c r="H462" s="85">
        <v>0.128571428571428</v>
      </c>
      <c r="I462" s="9">
        <v>30.9</v>
      </c>
      <c r="J462" s="9"/>
      <c r="K462" s="9"/>
      <c r="L462" s="9"/>
      <c r="M462" s="9"/>
      <c r="N462" s="9" t="s">
        <v>3423</v>
      </c>
      <c r="O462" s="9" t="s">
        <v>3258</v>
      </c>
      <c r="P462" s="9" t="s">
        <v>4466</v>
      </c>
      <c r="Q462" s="58" t="s">
        <v>3294</v>
      </c>
      <c r="R462" s="58">
        <v>3</v>
      </c>
      <c r="S462" s="58">
        <v>7</v>
      </c>
      <c r="T462" s="9" t="s">
        <v>3918</v>
      </c>
      <c r="U462" s="9" t="s">
        <v>4467</v>
      </c>
      <c r="V462" s="58">
        <v>3</v>
      </c>
      <c r="W462" s="9"/>
      <c r="X462" s="9"/>
      <c r="Y462" s="9"/>
      <c r="Z462" s="9"/>
    </row>
    <row r="463" spans="1:26" ht="15.75" hidden="1" customHeight="1">
      <c r="A463" s="9" t="s">
        <v>2456</v>
      </c>
      <c r="B463" s="9" t="s">
        <v>4468</v>
      </c>
      <c r="C463" s="9" t="s">
        <v>2458</v>
      </c>
      <c r="D463" s="9" t="s">
        <v>439</v>
      </c>
      <c r="E463" s="9"/>
      <c r="F463" s="9"/>
      <c r="G463" s="58">
        <v>10400</v>
      </c>
      <c r="H463" s="85">
        <v>4.6153846153846101E-2</v>
      </c>
      <c r="I463" s="9">
        <v>29.4</v>
      </c>
      <c r="J463" s="9"/>
      <c r="K463" s="9"/>
      <c r="L463" s="9"/>
      <c r="M463" s="9"/>
      <c r="N463" s="9" t="s">
        <v>4469</v>
      </c>
      <c r="O463" s="9" t="s">
        <v>3081</v>
      </c>
      <c r="P463" s="9" t="s">
        <v>3063</v>
      </c>
      <c r="Q463" s="58" t="s">
        <v>3064</v>
      </c>
      <c r="R463" s="58">
        <v>1</v>
      </c>
      <c r="S463" s="58">
        <v>8</v>
      </c>
      <c r="T463" s="9" t="s">
        <v>4470</v>
      </c>
      <c r="U463" s="9" t="s">
        <v>4471</v>
      </c>
      <c r="V463" s="58">
        <v>1</v>
      </c>
      <c r="W463" s="9"/>
      <c r="X463" s="9"/>
      <c r="Y463" s="9"/>
      <c r="Z463" s="9"/>
    </row>
    <row r="464" spans="1:26" ht="15.75" hidden="1" customHeight="1">
      <c r="A464" s="9" t="s">
        <v>2456</v>
      </c>
      <c r="B464" s="9" t="s">
        <v>4468</v>
      </c>
      <c r="C464" s="9" t="s">
        <v>2458</v>
      </c>
      <c r="D464" s="9" t="s">
        <v>368</v>
      </c>
      <c r="E464" s="9" t="s">
        <v>3092</v>
      </c>
      <c r="F464" s="58" t="s">
        <v>3087</v>
      </c>
      <c r="G464" s="58">
        <v>5600</v>
      </c>
      <c r="H464" s="85">
        <v>0.22500000000000001</v>
      </c>
      <c r="I464" s="9">
        <v>29.4</v>
      </c>
      <c r="J464" s="9"/>
      <c r="K464" s="9"/>
      <c r="L464" s="9"/>
      <c r="M464" s="9"/>
      <c r="N464" s="9" t="s">
        <v>4469</v>
      </c>
      <c r="O464" s="9" t="s">
        <v>3081</v>
      </c>
      <c r="P464" s="9" t="s">
        <v>4472</v>
      </c>
      <c r="Q464" s="58" t="s">
        <v>3185</v>
      </c>
      <c r="R464" s="58">
        <v>3</v>
      </c>
      <c r="S464" s="58">
        <v>7</v>
      </c>
      <c r="T464" s="9" t="s">
        <v>4470</v>
      </c>
      <c r="U464" s="9" t="s">
        <v>4473</v>
      </c>
      <c r="V464" s="58">
        <v>3</v>
      </c>
      <c r="W464" s="9"/>
      <c r="X464" s="9"/>
      <c r="Y464" s="9"/>
      <c r="Z464" s="9"/>
    </row>
    <row r="465" spans="1:26" ht="15.75" hidden="1" customHeight="1">
      <c r="A465" s="9" t="s">
        <v>1658</v>
      </c>
      <c r="B465" s="9" t="s">
        <v>4474</v>
      </c>
      <c r="C465" s="9" t="s">
        <v>570</v>
      </c>
      <c r="D465" s="9" t="s">
        <v>439</v>
      </c>
      <c r="E465" s="9"/>
      <c r="F465" s="9"/>
      <c r="G465" s="58">
        <v>6400</v>
      </c>
      <c r="H465" s="85">
        <v>7.4999999999999997E-2</v>
      </c>
      <c r="I465" s="9">
        <v>32</v>
      </c>
      <c r="J465" s="9"/>
      <c r="K465" s="9"/>
      <c r="L465" s="9"/>
      <c r="M465" s="9"/>
      <c r="N465" s="9" t="s">
        <v>3105</v>
      </c>
      <c r="O465" s="9" t="s">
        <v>3081</v>
      </c>
      <c r="P465" s="9" t="s">
        <v>3190</v>
      </c>
      <c r="Q465" s="58" t="s">
        <v>3185</v>
      </c>
      <c r="R465" s="58">
        <v>1</v>
      </c>
      <c r="S465" s="58">
        <v>8</v>
      </c>
      <c r="T465" s="9" t="s">
        <v>3065</v>
      </c>
      <c r="U465" s="9" t="s">
        <v>4475</v>
      </c>
      <c r="V465" s="58">
        <v>1</v>
      </c>
      <c r="W465" s="9"/>
      <c r="X465" s="9"/>
      <c r="Y465" s="9"/>
      <c r="Z465" s="9"/>
    </row>
    <row r="466" spans="1:26" ht="15.75" hidden="1" customHeight="1">
      <c r="A466" s="9" t="s">
        <v>1658</v>
      </c>
      <c r="B466" s="9" t="s">
        <v>4474</v>
      </c>
      <c r="C466" s="9" t="s">
        <v>570</v>
      </c>
      <c r="D466" s="9" t="s">
        <v>368</v>
      </c>
      <c r="E466" s="9" t="s">
        <v>3183</v>
      </c>
      <c r="F466" s="58" t="s">
        <v>3087</v>
      </c>
      <c r="G466" s="58">
        <v>3640</v>
      </c>
      <c r="H466" s="85">
        <v>0.46153846153846101</v>
      </c>
      <c r="I466" s="9">
        <v>32</v>
      </c>
      <c r="J466" s="9"/>
      <c r="K466" s="9"/>
      <c r="L466" s="9"/>
      <c r="M466" s="9"/>
      <c r="N466" s="9" t="s">
        <v>3105</v>
      </c>
      <c r="O466" s="9" t="s">
        <v>3081</v>
      </c>
      <c r="P466" s="9" t="s">
        <v>4476</v>
      </c>
      <c r="Q466" s="58" t="s">
        <v>4477</v>
      </c>
      <c r="R466" s="58">
        <v>4</v>
      </c>
      <c r="S466" s="58">
        <v>7</v>
      </c>
      <c r="T466" s="9" t="s">
        <v>3065</v>
      </c>
      <c r="U466" s="9" t="s">
        <v>4478</v>
      </c>
      <c r="V466" s="58">
        <v>4</v>
      </c>
      <c r="W466" s="9"/>
      <c r="X466" s="9"/>
      <c r="Y466" s="9"/>
      <c r="Z466" s="9"/>
    </row>
    <row r="467" spans="1:26" ht="15.75" hidden="1" customHeight="1">
      <c r="A467" s="9" t="s">
        <v>1663</v>
      </c>
      <c r="B467" s="9" t="s">
        <v>4479</v>
      </c>
      <c r="C467" s="9" t="s">
        <v>871</v>
      </c>
      <c r="D467" s="9" t="s">
        <v>439</v>
      </c>
      <c r="E467" s="9"/>
      <c r="F467" s="9"/>
      <c r="G467" s="58">
        <v>6400</v>
      </c>
      <c r="H467" s="85">
        <v>7.4999999999999997E-2</v>
      </c>
      <c r="I467" s="9"/>
      <c r="J467" s="9">
        <v>15</v>
      </c>
      <c r="K467" s="9">
        <v>15</v>
      </c>
      <c r="L467" s="9"/>
      <c r="M467" s="9"/>
      <c r="N467" s="9" t="s">
        <v>4480</v>
      </c>
      <c r="O467" s="9" t="s">
        <v>3051</v>
      </c>
      <c r="P467" s="9" t="s">
        <v>3650</v>
      </c>
      <c r="Q467" s="58">
        <v>800</v>
      </c>
      <c r="R467" s="58">
        <v>1</v>
      </c>
      <c r="S467" s="58">
        <v>8</v>
      </c>
      <c r="T467" s="9" t="s">
        <v>3561</v>
      </c>
      <c r="U467" s="9" t="s">
        <v>4481</v>
      </c>
      <c r="V467" s="58">
        <v>1</v>
      </c>
      <c r="W467" s="9"/>
      <c r="X467" s="9"/>
      <c r="Y467" s="9"/>
      <c r="Z467" s="9"/>
    </row>
    <row r="468" spans="1:26" ht="15.75" hidden="1" customHeight="1">
      <c r="A468" s="9" t="s">
        <v>1663</v>
      </c>
      <c r="B468" s="9" t="s">
        <v>4479</v>
      </c>
      <c r="C468" s="9" t="s">
        <v>871</v>
      </c>
      <c r="D468" s="9" t="s">
        <v>368</v>
      </c>
      <c r="E468" s="9" t="s">
        <v>3067</v>
      </c>
      <c r="F468" s="58" t="s">
        <v>3801</v>
      </c>
      <c r="G468" s="58">
        <v>3990</v>
      </c>
      <c r="H468" s="85">
        <v>0.42105263157894701</v>
      </c>
      <c r="I468" s="9"/>
      <c r="J468" s="9">
        <v>15</v>
      </c>
      <c r="K468" s="9">
        <v>15</v>
      </c>
      <c r="L468" s="9"/>
      <c r="M468" s="9"/>
      <c r="N468" s="9" t="s">
        <v>4480</v>
      </c>
      <c r="O468" s="9" t="s">
        <v>3051</v>
      </c>
      <c r="P468" s="9" t="s">
        <v>4482</v>
      </c>
      <c r="Q468" s="58">
        <v>570</v>
      </c>
      <c r="R468" s="58">
        <v>4</v>
      </c>
      <c r="S468" s="58">
        <v>7</v>
      </c>
      <c r="T468" s="9" t="s">
        <v>3561</v>
      </c>
      <c r="U468" s="9" t="s">
        <v>4483</v>
      </c>
      <c r="V468" s="58">
        <v>4</v>
      </c>
      <c r="W468" s="9"/>
      <c r="X468" s="9"/>
      <c r="Y468" s="9"/>
      <c r="Z468" s="9"/>
    </row>
    <row r="469" spans="1:26" ht="15.75" hidden="1" customHeight="1">
      <c r="A469" s="9" t="s">
        <v>268</v>
      </c>
      <c r="B469" s="9" t="s">
        <v>4484</v>
      </c>
      <c r="C469" s="9" t="s">
        <v>269</v>
      </c>
      <c r="D469" s="9" t="s">
        <v>368</v>
      </c>
      <c r="E469" s="9" t="s">
        <v>3092</v>
      </c>
      <c r="F469" s="58" t="s">
        <v>3087</v>
      </c>
      <c r="G469" s="58">
        <v>6860</v>
      </c>
      <c r="H469" s="85">
        <v>0.24489795918367299</v>
      </c>
      <c r="I469" s="9">
        <v>50</v>
      </c>
      <c r="J469" s="9"/>
      <c r="K469" s="9"/>
      <c r="L469" s="9"/>
      <c r="M469" s="9"/>
      <c r="N469" s="9" t="s">
        <v>3105</v>
      </c>
      <c r="O469" s="9" t="s">
        <v>3081</v>
      </c>
      <c r="P469" s="9" t="s">
        <v>4485</v>
      </c>
      <c r="Q469" s="58" t="s">
        <v>4486</v>
      </c>
      <c r="R469" s="58">
        <v>4</v>
      </c>
      <c r="S469" s="58">
        <v>7</v>
      </c>
      <c r="T469" s="9" t="s">
        <v>4487</v>
      </c>
      <c r="U469" s="9" t="s">
        <v>4488</v>
      </c>
      <c r="V469" s="58">
        <v>4</v>
      </c>
      <c r="W469" s="9"/>
      <c r="X469" s="9"/>
      <c r="Y469" s="9"/>
      <c r="Z469" s="9"/>
    </row>
    <row r="470" spans="1:26" ht="15.75" hidden="1" customHeight="1">
      <c r="A470" s="9" t="s">
        <v>1670</v>
      </c>
      <c r="B470" s="9" t="s">
        <v>4489</v>
      </c>
      <c r="C470" s="9" t="s">
        <v>784</v>
      </c>
      <c r="D470" s="9" t="s">
        <v>439</v>
      </c>
      <c r="E470" s="9"/>
      <c r="F470" s="9"/>
      <c r="G470" s="58">
        <v>6400</v>
      </c>
      <c r="H470" s="85">
        <v>7.4999999999999997E-2</v>
      </c>
      <c r="I470" s="9">
        <v>107</v>
      </c>
      <c r="J470" s="9"/>
      <c r="K470" s="9"/>
      <c r="L470" s="9"/>
      <c r="M470" s="9"/>
      <c r="N470" s="9" t="s">
        <v>4343</v>
      </c>
      <c r="O470" s="9" t="s">
        <v>3051</v>
      </c>
      <c r="P470" s="9" t="s">
        <v>3190</v>
      </c>
      <c r="Q470" s="58" t="s">
        <v>3185</v>
      </c>
      <c r="R470" s="58">
        <v>1</v>
      </c>
      <c r="S470" s="58">
        <v>8</v>
      </c>
      <c r="T470" s="9" t="s">
        <v>3065</v>
      </c>
      <c r="U470" s="9" t="s">
        <v>4490</v>
      </c>
      <c r="V470" s="58">
        <v>1</v>
      </c>
      <c r="W470" s="9"/>
      <c r="X470" s="9"/>
      <c r="Y470" s="9"/>
      <c r="Z470" s="9"/>
    </row>
    <row r="471" spans="1:26" ht="15.75" hidden="1" customHeight="1">
      <c r="A471" s="9" t="s">
        <v>1670</v>
      </c>
      <c r="B471" s="9" t="s">
        <v>4489</v>
      </c>
      <c r="C471" s="9" t="s">
        <v>784</v>
      </c>
      <c r="D471" s="9" t="s">
        <v>368</v>
      </c>
      <c r="E471" s="9" t="s">
        <v>3402</v>
      </c>
      <c r="F471" s="58" t="s">
        <v>3057</v>
      </c>
      <c r="G471" s="58">
        <v>4550</v>
      </c>
      <c r="H471" s="85">
        <v>0.36923076923076897</v>
      </c>
      <c r="I471" s="9">
        <v>107</v>
      </c>
      <c r="J471" s="9"/>
      <c r="K471" s="9"/>
      <c r="L471" s="9"/>
      <c r="M471" s="9"/>
      <c r="N471" s="9" t="s">
        <v>4343</v>
      </c>
      <c r="O471" s="9" t="s">
        <v>3051</v>
      </c>
      <c r="P471" s="9" t="s">
        <v>4491</v>
      </c>
      <c r="Q471" s="58" t="s">
        <v>3687</v>
      </c>
      <c r="R471" s="58">
        <v>4</v>
      </c>
      <c r="S471" s="58">
        <v>7</v>
      </c>
      <c r="T471" s="9" t="s">
        <v>3065</v>
      </c>
      <c r="U471" s="9" t="s">
        <v>4492</v>
      </c>
      <c r="V471" s="58">
        <v>4</v>
      </c>
      <c r="W471" s="9"/>
      <c r="X471" s="9"/>
      <c r="Y471" s="9"/>
      <c r="Z471" s="9"/>
    </row>
    <row r="472" spans="1:26" ht="15.75" hidden="1" customHeight="1">
      <c r="A472" s="9" t="s">
        <v>1673</v>
      </c>
      <c r="B472" s="9" t="s">
        <v>4493</v>
      </c>
      <c r="C472" s="9" t="s">
        <v>661</v>
      </c>
      <c r="D472" s="9" t="s">
        <v>368</v>
      </c>
      <c r="E472" s="9" t="s">
        <v>4494</v>
      </c>
      <c r="F472" s="58" t="s">
        <v>3087</v>
      </c>
      <c r="G472" s="58">
        <v>3640</v>
      </c>
      <c r="H472" s="85">
        <v>0.46153846153846101</v>
      </c>
      <c r="I472" s="9">
        <v>102.3</v>
      </c>
      <c r="J472" s="9"/>
      <c r="K472" s="9"/>
      <c r="L472" s="9"/>
      <c r="M472" s="9"/>
      <c r="N472" s="9" t="s">
        <v>4495</v>
      </c>
      <c r="O472" s="9" t="s">
        <v>3534</v>
      </c>
      <c r="P472" s="9" t="s">
        <v>4496</v>
      </c>
      <c r="Q472" s="58" t="s">
        <v>4477</v>
      </c>
      <c r="R472" s="58">
        <v>4</v>
      </c>
      <c r="S472" s="58">
        <v>7</v>
      </c>
      <c r="T472" s="9"/>
      <c r="U472" s="9" t="s">
        <v>4497</v>
      </c>
      <c r="V472" s="58">
        <v>4</v>
      </c>
      <c r="W472" s="9"/>
      <c r="X472" s="9"/>
      <c r="Y472" s="9"/>
      <c r="Z472" s="9"/>
    </row>
    <row r="473" spans="1:26" ht="15.75" hidden="1" customHeight="1">
      <c r="A473" s="9" t="s">
        <v>1675</v>
      </c>
      <c r="B473" s="9" t="s">
        <v>4498</v>
      </c>
      <c r="C473" s="9" t="s">
        <v>1677</v>
      </c>
      <c r="D473" s="9" t="s">
        <v>439</v>
      </c>
      <c r="E473" s="9"/>
      <c r="F473" s="9"/>
      <c r="G473" s="58">
        <v>4800</v>
      </c>
      <c r="H473" s="85">
        <v>0.1</v>
      </c>
      <c r="I473" s="9">
        <v>101.7</v>
      </c>
      <c r="J473" s="9"/>
      <c r="K473" s="9"/>
      <c r="L473" s="9"/>
      <c r="M473" s="9"/>
      <c r="N473" s="9" t="s">
        <v>3423</v>
      </c>
      <c r="O473" s="9" t="s">
        <v>3051</v>
      </c>
      <c r="P473" s="9" t="s">
        <v>4499</v>
      </c>
      <c r="Q473" s="58" t="s">
        <v>3122</v>
      </c>
      <c r="R473" s="9">
        <v>1</v>
      </c>
      <c r="S473" s="9">
        <v>8</v>
      </c>
      <c r="T473" s="9" t="s">
        <v>4500</v>
      </c>
      <c r="U473" s="9" t="s">
        <v>4501</v>
      </c>
      <c r="V473" s="9">
        <v>1</v>
      </c>
      <c r="W473" s="9"/>
      <c r="X473" s="9"/>
      <c r="Y473" s="9"/>
      <c r="Z473" s="9"/>
    </row>
    <row r="474" spans="1:26" ht="15.75" hidden="1" customHeight="1">
      <c r="A474" s="9" t="s">
        <v>1675</v>
      </c>
      <c r="B474" s="9" t="s">
        <v>4498</v>
      </c>
      <c r="C474" s="9" t="s">
        <v>1677</v>
      </c>
      <c r="D474" s="9" t="s">
        <v>368</v>
      </c>
      <c r="E474" s="9" t="s">
        <v>3270</v>
      </c>
      <c r="F474" s="58" t="s">
        <v>3057</v>
      </c>
      <c r="G474" s="58">
        <v>4550</v>
      </c>
      <c r="H474" s="85">
        <v>0.36923076923076897</v>
      </c>
      <c r="I474" s="9">
        <v>101.7</v>
      </c>
      <c r="J474" s="9"/>
      <c r="K474" s="9"/>
      <c r="L474" s="9"/>
      <c r="M474" s="9"/>
      <c r="N474" s="9" t="s">
        <v>3423</v>
      </c>
      <c r="O474" s="9" t="s">
        <v>3051</v>
      </c>
      <c r="P474" s="9" t="s">
        <v>4502</v>
      </c>
      <c r="Q474" s="58" t="s">
        <v>3687</v>
      </c>
      <c r="R474" s="9">
        <v>4</v>
      </c>
      <c r="S474" s="9">
        <v>7</v>
      </c>
      <c r="T474" s="9" t="s">
        <v>4500</v>
      </c>
      <c r="U474" s="9" t="s">
        <v>4503</v>
      </c>
      <c r="V474" s="9">
        <v>4</v>
      </c>
      <c r="W474" s="9"/>
      <c r="X474" s="9"/>
      <c r="Y474" s="9"/>
      <c r="Z474" s="9"/>
    </row>
    <row r="475" spans="1:26" ht="15.75" hidden="1" customHeight="1">
      <c r="A475" s="9" t="s">
        <v>2192</v>
      </c>
      <c r="B475" s="9" t="s">
        <v>4504</v>
      </c>
      <c r="C475" s="9" t="s">
        <v>2194</v>
      </c>
      <c r="D475" s="9" t="s">
        <v>439</v>
      </c>
      <c r="E475" s="9"/>
      <c r="F475" s="9"/>
      <c r="G475" s="58">
        <v>6400</v>
      </c>
      <c r="H475" s="85">
        <v>7.4999999999999997E-2</v>
      </c>
      <c r="I475" s="9">
        <v>98.5</v>
      </c>
      <c r="J475" s="9"/>
      <c r="K475" s="9"/>
      <c r="L475" s="9"/>
      <c r="M475" s="9"/>
      <c r="N475" s="9" t="s">
        <v>3676</v>
      </c>
      <c r="O475" s="9" t="s">
        <v>3258</v>
      </c>
      <c r="P475" s="9" t="s">
        <v>3549</v>
      </c>
      <c r="Q475" s="58" t="s">
        <v>3185</v>
      </c>
      <c r="R475" s="58">
        <v>1</v>
      </c>
      <c r="S475" s="58">
        <v>8</v>
      </c>
      <c r="T475" s="9" t="s">
        <v>4505</v>
      </c>
      <c r="U475" s="9" t="s">
        <v>4506</v>
      </c>
      <c r="V475" s="58">
        <v>1</v>
      </c>
      <c r="W475" s="9"/>
      <c r="X475" s="9"/>
      <c r="Y475" s="9"/>
      <c r="Z475" s="9"/>
    </row>
    <row r="476" spans="1:26" ht="15.75" hidden="1" customHeight="1">
      <c r="A476" s="9" t="s">
        <v>2192</v>
      </c>
      <c r="B476" s="9" t="s">
        <v>4504</v>
      </c>
      <c r="C476" s="9" t="s">
        <v>2194</v>
      </c>
      <c r="D476" s="9" t="s">
        <v>368</v>
      </c>
      <c r="E476" s="9" t="s">
        <v>3067</v>
      </c>
      <c r="F476" s="58" t="s">
        <v>3057</v>
      </c>
      <c r="G476" s="58">
        <v>4900</v>
      </c>
      <c r="H476" s="85">
        <v>0.34285714285714203</v>
      </c>
      <c r="I476" s="9">
        <v>98.5</v>
      </c>
      <c r="J476" s="9"/>
      <c r="K476" s="9"/>
      <c r="L476" s="9"/>
      <c r="M476" s="9"/>
      <c r="N476" s="9" t="s">
        <v>3676</v>
      </c>
      <c r="O476" s="9" t="s">
        <v>3258</v>
      </c>
      <c r="P476" s="9" t="s">
        <v>4507</v>
      </c>
      <c r="Q476" s="58" t="s">
        <v>3155</v>
      </c>
      <c r="R476" s="58">
        <v>4</v>
      </c>
      <c r="S476" s="58">
        <v>7</v>
      </c>
      <c r="T476" s="9" t="s">
        <v>4505</v>
      </c>
      <c r="U476" s="9" t="s">
        <v>4508</v>
      </c>
      <c r="V476" s="58">
        <v>4</v>
      </c>
      <c r="W476" s="9"/>
      <c r="X476" s="9"/>
      <c r="Y476" s="9"/>
      <c r="Z476" s="9"/>
    </row>
    <row r="477" spans="1:26" ht="15.75" hidden="1" customHeight="1">
      <c r="A477" s="9" t="s">
        <v>2237</v>
      </c>
      <c r="B477" s="9" t="s">
        <v>4509</v>
      </c>
      <c r="C477" s="9" t="s">
        <v>2239</v>
      </c>
      <c r="D477" s="9" t="s">
        <v>439</v>
      </c>
      <c r="E477" s="9"/>
      <c r="F477" s="9"/>
      <c r="G477" s="58">
        <v>6400</v>
      </c>
      <c r="H477" s="85">
        <v>7.4999999999999997E-2</v>
      </c>
      <c r="I477" s="9">
        <v>98.5</v>
      </c>
      <c r="J477" s="9"/>
      <c r="K477" s="9"/>
      <c r="L477" s="9"/>
      <c r="M477" s="9"/>
      <c r="N477" s="9" t="s">
        <v>3676</v>
      </c>
      <c r="O477" s="9" t="s">
        <v>3051</v>
      </c>
      <c r="P477" s="9" t="s">
        <v>3549</v>
      </c>
      <c r="Q477" s="58" t="s">
        <v>3185</v>
      </c>
      <c r="R477" s="58">
        <v>1</v>
      </c>
      <c r="S477" s="58">
        <v>8</v>
      </c>
      <c r="T477" s="9" t="s">
        <v>4510</v>
      </c>
      <c r="U477" s="9" t="s">
        <v>4511</v>
      </c>
      <c r="V477" s="58">
        <v>1</v>
      </c>
      <c r="W477" s="9"/>
      <c r="X477" s="9"/>
      <c r="Y477" s="9"/>
      <c r="Z477" s="9"/>
    </row>
    <row r="478" spans="1:26" ht="15.75" hidden="1" customHeight="1">
      <c r="A478" s="9" t="s">
        <v>2237</v>
      </c>
      <c r="B478" s="9" t="s">
        <v>4509</v>
      </c>
      <c r="C478" s="9" t="s">
        <v>2239</v>
      </c>
      <c r="D478" s="9" t="s">
        <v>368</v>
      </c>
      <c r="E478" s="9" t="s">
        <v>3402</v>
      </c>
      <c r="F478" s="58" t="s">
        <v>3057</v>
      </c>
      <c r="G478" s="58">
        <v>4550</v>
      </c>
      <c r="H478" s="85">
        <v>0.36923076923076897</v>
      </c>
      <c r="I478" s="9">
        <v>98.5</v>
      </c>
      <c r="J478" s="9"/>
      <c r="K478" s="9"/>
      <c r="L478" s="9"/>
      <c r="M478" s="9"/>
      <c r="N478" s="9" t="s">
        <v>3676</v>
      </c>
      <c r="O478" s="9" t="s">
        <v>3051</v>
      </c>
      <c r="P478" s="9" t="s">
        <v>4512</v>
      </c>
      <c r="Q478" s="58" t="s">
        <v>3687</v>
      </c>
      <c r="R478" s="58">
        <v>4</v>
      </c>
      <c r="S478" s="58">
        <v>7</v>
      </c>
      <c r="T478" s="9" t="s">
        <v>4510</v>
      </c>
      <c r="U478" s="9" t="s">
        <v>4513</v>
      </c>
      <c r="V478" s="58">
        <v>4</v>
      </c>
      <c r="W478" s="9"/>
      <c r="X478" s="9"/>
      <c r="Y478" s="9"/>
      <c r="Z478" s="9"/>
    </row>
    <row r="479" spans="1:26" ht="15.75" hidden="1" customHeight="1">
      <c r="A479" s="9" t="s">
        <v>1680</v>
      </c>
      <c r="B479" s="9" t="s">
        <v>4514</v>
      </c>
      <c r="C479" s="9" t="s">
        <v>536</v>
      </c>
      <c r="D479" s="9" t="s">
        <v>439</v>
      </c>
      <c r="E479" s="9"/>
      <c r="F479" s="9"/>
      <c r="G479" s="58">
        <v>4800</v>
      </c>
      <c r="H479" s="85">
        <v>0.1</v>
      </c>
      <c r="I479" s="9">
        <v>30</v>
      </c>
      <c r="J479" s="9"/>
      <c r="K479" s="9"/>
      <c r="L479" s="9"/>
      <c r="M479" s="9"/>
      <c r="N479" s="9" t="s">
        <v>3548</v>
      </c>
      <c r="O479" s="9" t="s">
        <v>3051</v>
      </c>
      <c r="P479" s="9" t="s">
        <v>4499</v>
      </c>
      <c r="Q479" s="58" t="s">
        <v>3122</v>
      </c>
      <c r="R479" s="9">
        <v>1</v>
      </c>
      <c r="S479" s="9">
        <v>8</v>
      </c>
      <c r="T479" s="9" t="s">
        <v>4515</v>
      </c>
      <c r="U479" s="9" t="s">
        <v>4516</v>
      </c>
      <c r="V479" s="9">
        <v>1</v>
      </c>
      <c r="W479" s="9"/>
      <c r="X479" s="9"/>
      <c r="Y479" s="9"/>
      <c r="Z479" s="9"/>
    </row>
    <row r="480" spans="1:26" ht="15.75" hidden="1" customHeight="1">
      <c r="A480" s="9" t="s">
        <v>1680</v>
      </c>
      <c r="B480" s="9" t="s">
        <v>4514</v>
      </c>
      <c r="C480" s="9" t="s">
        <v>536</v>
      </c>
      <c r="D480" s="9" t="s">
        <v>368</v>
      </c>
      <c r="E480" s="9"/>
      <c r="F480" s="9"/>
      <c r="G480" s="58">
        <v>4200</v>
      </c>
      <c r="H480" s="85">
        <v>0.4</v>
      </c>
      <c r="I480" s="9">
        <v>30</v>
      </c>
      <c r="J480" s="9"/>
      <c r="K480" s="9"/>
      <c r="L480" s="9"/>
      <c r="M480" s="9"/>
      <c r="N480" s="9" t="s">
        <v>3548</v>
      </c>
      <c r="O480" s="9" t="s">
        <v>3051</v>
      </c>
      <c r="P480" s="9" t="s">
        <v>4517</v>
      </c>
      <c r="Q480" s="58" t="s">
        <v>3122</v>
      </c>
      <c r="R480" s="9">
        <v>4</v>
      </c>
      <c r="S480" s="9">
        <v>7</v>
      </c>
      <c r="T480" s="9" t="s">
        <v>4515</v>
      </c>
      <c r="U480" s="9" t="s">
        <v>4518</v>
      </c>
      <c r="V480" s="9">
        <v>4</v>
      </c>
      <c r="W480" s="9"/>
      <c r="X480" s="9"/>
      <c r="Y480" s="9"/>
      <c r="Z480" s="9"/>
    </row>
    <row r="481" spans="1:26" ht="15.75" hidden="1" customHeight="1">
      <c r="A481" s="9" t="s">
        <v>1682</v>
      </c>
      <c r="B481" s="9" t="s">
        <v>4519</v>
      </c>
      <c r="C481" s="9" t="s">
        <v>859</v>
      </c>
      <c r="D481" s="9" t="s">
        <v>439</v>
      </c>
      <c r="E481" s="9"/>
      <c r="F481" s="9"/>
      <c r="G481" s="58">
        <v>4800</v>
      </c>
      <c r="H481" s="85">
        <v>0.1</v>
      </c>
      <c r="I481" s="9">
        <v>50.3</v>
      </c>
      <c r="J481" s="9"/>
      <c r="K481" s="9"/>
      <c r="L481" s="9"/>
      <c r="M481" s="9"/>
      <c r="N481" s="9" t="s">
        <v>3548</v>
      </c>
      <c r="O481" s="9" t="s">
        <v>3051</v>
      </c>
      <c r="P481" s="9" t="s">
        <v>4499</v>
      </c>
      <c r="Q481" s="58" t="s">
        <v>3122</v>
      </c>
      <c r="R481" s="58">
        <v>1</v>
      </c>
      <c r="S481" s="58">
        <v>8</v>
      </c>
      <c r="T481" s="9" t="s">
        <v>4520</v>
      </c>
      <c r="U481" s="9" t="s">
        <v>4521</v>
      </c>
      <c r="V481" s="58">
        <v>1</v>
      </c>
      <c r="W481" s="9"/>
      <c r="X481" s="9"/>
      <c r="Y481" s="9"/>
      <c r="Z481" s="9"/>
    </row>
    <row r="482" spans="1:26" ht="15.75" hidden="1" customHeight="1">
      <c r="A482" s="9" t="s">
        <v>1682</v>
      </c>
      <c r="B482" s="9" t="s">
        <v>4519</v>
      </c>
      <c r="C482" s="9" t="s">
        <v>859</v>
      </c>
      <c r="D482" s="9" t="s">
        <v>368</v>
      </c>
      <c r="E482" s="9" t="s">
        <v>3067</v>
      </c>
      <c r="F482" s="58" t="s">
        <v>3057</v>
      </c>
      <c r="G482" s="58">
        <v>5600</v>
      </c>
      <c r="H482" s="85">
        <v>0.3</v>
      </c>
      <c r="I482" s="9">
        <v>50.3</v>
      </c>
      <c r="J482" s="9"/>
      <c r="K482" s="9"/>
      <c r="L482" s="9"/>
      <c r="M482" s="9"/>
      <c r="N482" s="9" t="s">
        <v>3548</v>
      </c>
      <c r="O482" s="9" t="s">
        <v>3051</v>
      </c>
      <c r="P482" s="9" t="s">
        <v>4522</v>
      </c>
      <c r="Q482" s="58" t="s">
        <v>3185</v>
      </c>
      <c r="R482" s="58">
        <v>4</v>
      </c>
      <c r="S482" s="58">
        <v>7</v>
      </c>
      <c r="T482" s="9" t="s">
        <v>4520</v>
      </c>
      <c r="U482" s="9" t="s">
        <v>4523</v>
      </c>
      <c r="V482" s="58">
        <v>4</v>
      </c>
      <c r="W482" s="9"/>
      <c r="X482" s="9"/>
      <c r="Y482" s="9"/>
      <c r="Z482" s="9"/>
    </row>
    <row r="483" spans="1:26" ht="15.75" hidden="1" customHeight="1">
      <c r="A483" s="9" t="s">
        <v>1684</v>
      </c>
      <c r="B483" s="9" t="s">
        <v>4524</v>
      </c>
      <c r="C483" s="9" t="s">
        <v>523</v>
      </c>
      <c r="D483" s="9" t="s">
        <v>439</v>
      </c>
      <c r="E483" s="9"/>
      <c r="F483" s="9"/>
      <c r="G483" s="58">
        <v>6400</v>
      </c>
      <c r="H483" s="85">
        <v>7.4999999999999997E-2</v>
      </c>
      <c r="I483" s="9">
        <v>17.5</v>
      </c>
      <c r="J483" s="9"/>
      <c r="K483" s="9"/>
      <c r="L483" s="9"/>
      <c r="M483" s="9"/>
      <c r="N483" s="9" t="s">
        <v>4525</v>
      </c>
      <c r="O483" s="9" t="s">
        <v>3051</v>
      </c>
      <c r="P483" s="9" t="s">
        <v>3190</v>
      </c>
      <c r="Q483" s="58" t="s">
        <v>3185</v>
      </c>
      <c r="R483" s="58">
        <v>1</v>
      </c>
      <c r="S483" s="58">
        <v>8</v>
      </c>
      <c r="T483" s="9" t="s">
        <v>4526</v>
      </c>
      <c r="U483" s="9" t="s">
        <v>4527</v>
      </c>
      <c r="V483" s="58">
        <v>1</v>
      </c>
      <c r="W483" s="9"/>
      <c r="X483" s="9"/>
      <c r="Y483" s="9"/>
      <c r="Z483" s="9"/>
    </row>
    <row r="484" spans="1:26" ht="15.75" hidden="1" customHeight="1">
      <c r="A484" s="9" t="s">
        <v>1684</v>
      </c>
      <c r="B484" s="9" t="s">
        <v>4524</v>
      </c>
      <c r="C484" s="9" t="s">
        <v>523</v>
      </c>
      <c r="D484" s="9" t="s">
        <v>368</v>
      </c>
      <c r="E484" s="9" t="s">
        <v>3067</v>
      </c>
      <c r="F484" s="58" t="s">
        <v>3057</v>
      </c>
      <c r="G484" s="58">
        <v>6650</v>
      </c>
      <c r="H484" s="85">
        <v>0.25263157894736799</v>
      </c>
      <c r="I484" s="9">
        <v>17.5</v>
      </c>
      <c r="J484" s="9"/>
      <c r="K484" s="9"/>
      <c r="L484" s="9"/>
      <c r="M484" s="9"/>
      <c r="N484" s="9" t="s">
        <v>4525</v>
      </c>
      <c r="O484" s="9" t="s">
        <v>3051</v>
      </c>
      <c r="P484" s="9" t="s">
        <v>4528</v>
      </c>
      <c r="Q484" s="58" t="s">
        <v>3409</v>
      </c>
      <c r="R484" s="58">
        <v>4</v>
      </c>
      <c r="S484" s="58">
        <v>7</v>
      </c>
      <c r="T484" s="9" t="s">
        <v>4526</v>
      </c>
      <c r="U484" s="9" t="s">
        <v>4529</v>
      </c>
      <c r="V484" s="58">
        <v>4</v>
      </c>
      <c r="W484" s="9"/>
      <c r="X484" s="9"/>
      <c r="Y484" s="9"/>
      <c r="Z484" s="9"/>
    </row>
    <row r="485" spans="1:26" ht="15.75" hidden="1" customHeight="1">
      <c r="A485" s="9" t="s">
        <v>1686</v>
      </c>
      <c r="B485" s="9" t="s">
        <v>4530</v>
      </c>
      <c r="C485" s="9" t="s">
        <v>546</v>
      </c>
      <c r="D485" s="9" t="s">
        <v>439</v>
      </c>
      <c r="E485" s="9"/>
      <c r="F485" s="9"/>
      <c r="G485" s="58">
        <v>9600</v>
      </c>
      <c r="H485" s="85">
        <v>0.05</v>
      </c>
      <c r="I485" s="9">
        <v>30</v>
      </c>
      <c r="J485" s="9"/>
      <c r="K485" s="9"/>
      <c r="L485" s="9"/>
      <c r="M485" s="9"/>
      <c r="N485" s="9" t="s">
        <v>4531</v>
      </c>
      <c r="O485" s="9" t="s">
        <v>3081</v>
      </c>
      <c r="P485" s="9" t="s">
        <v>3073</v>
      </c>
      <c r="Q485" s="58" t="s">
        <v>3074</v>
      </c>
      <c r="R485" s="58">
        <v>1</v>
      </c>
      <c r="S485" s="58">
        <v>8</v>
      </c>
      <c r="T485" s="9" t="s">
        <v>3631</v>
      </c>
      <c r="U485" s="9" t="s">
        <v>4532</v>
      </c>
      <c r="V485" s="58">
        <v>1</v>
      </c>
      <c r="W485" s="9"/>
      <c r="X485" s="9"/>
      <c r="Y485" s="9"/>
      <c r="Z485" s="9"/>
    </row>
    <row r="486" spans="1:26" ht="15.75" hidden="1" customHeight="1">
      <c r="A486" s="86" t="s">
        <v>1686</v>
      </c>
      <c r="B486" s="9" t="s">
        <v>4530</v>
      </c>
      <c r="C486" s="9" t="s">
        <v>546</v>
      </c>
      <c r="D486" s="9" t="s">
        <v>368</v>
      </c>
      <c r="E486" s="9" t="s">
        <v>3092</v>
      </c>
      <c r="F486" s="58" t="s">
        <v>3087</v>
      </c>
      <c r="G486" s="58">
        <v>4760</v>
      </c>
      <c r="H486" s="85">
        <v>0.35294117647058798</v>
      </c>
      <c r="I486" s="9">
        <v>30</v>
      </c>
      <c r="J486" s="9"/>
      <c r="K486" s="9"/>
      <c r="L486" s="9"/>
      <c r="M486" s="9"/>
      <c r="N486" s="9" t="s">
        <v>4531</v>
      </c>
      <c r="O486" s="9" t="s">
        <v>3081</v>
      </c>
      <c r="P486" s="9" t="s">
        <v>4533</v>
      </c>
      <c r="Q486" s="58" t="s">
        <v>3490</v>
      </c>
      <c r="R486" s="58">
        <v>4</v>
      </c>
      <c r="S486" s="58">
        <v>7</v>
      </c>
      <c r="T486" s="9" t="s">
        <v>3631</v>
      </c>
      <c r="U486" s="9" t="s">
        <v>4534</v>
      </c>
      <c r="V486" s="58">
        <v>4</v>
      </c>
      <c r="W486" s="9"/>
      <c r="X486" s="9"/>
      <c r="Y486" s="9"/>
      <c r="Z486" s="9"/>
    </row>
    <row r="487" spans="1:26" ht="15.75" hidden="1" customHeight="1">
      <c r="A487" s="9" t="s">
        <v>1691</v>
      </c>
      <c r="B487" s="9" t="s">
        <v>4535</v>
      </c>
      <c r="C487" s="9" t="s">
        <v>475</v>
      </c>
      <c r="D487" s="9" t="s">
        <v>439</v>
      </c>
      <c r="E487" s="9"/>
      <c r="F487" s="9"/>
      <c r="G487" s="58">
        <v>6400</v>
      </c>
      <c r="H487" s="85">
        <v>7.4999999999999997E-2</v>
      </c>
      <c r="I487" s="9">
        <v>33</v>
      </c>
      <c r="J487" s="9"/>
      <c r="K487" s="9"/>
      <c r="L487" s="9"/>
      <c r="M487" s="9"/>
      <c r="N487" s="9" t="s">
        <v>3105</v>
      </c>
      <c r="O487" s="9" t="s">
        <v>3081</v>
      </c>
      <c r="P487" s="9" t="s">
        <v>3549</v>
      </c>
      <c r="Q487" s="58" t="s">
        <v>3185</v>
      </c>
      <c r="R487" s="58">
        <v>1</v>
      </c>
      <c r="S487" s="58">
        <v>8</v>
      </c>
      <c r="T487" s="9" t="s">
        <v>4536</v>
      </c>
      <c r="U487" s="9" t="s">
        <v>4537</v>
      </c>
      <c r="V487" s="58">
        <v>1</v>
      </c>
      <c r="W487" s="9"/>
      <c r="X487" s="9"/>
      <c r="Y487" s="9"/>
      <c r="Z487" s="9"/>
    </row>
    <row r="488" spans="1:26" ht="15.75" hidden="1" customHeight="1">
      <c r="A488" s="9" t="s">
        <v>1691</v>
      </c>
      <c r="B488" s="9" t="s">
        <v>4535</v>
      </c>
      <c r="C488" s="9" t="s">
        <v>475</v>
      </c>
      <c r="D488" s="9" t="s">
        <v>368</v>
      </c>
      <c r="E488" s="9" t="s">
        <v>3092</v>
      </c>
      <c r="F488" s="58" t="s">
        <v>3087</v>
      </c>
      <c r="G488" s="58">
        <v>6300</v>
      </c>
      <c r="H488" s="85">
        <v>0.266666666666666</v>
      </c>
      <c r="I488" s="9">
        <v>33</v>
      </c>
      <c r="J488" s="9"/>
      <c r="K488" s="9"/>
      <c r="L488" s="9"/>
      <c r="M488" s="9"/>
      <c r="N488" s="9" t="s">
        <v>3105</v>
      </c>
      <c r="O488" s="9" t="s">
        <v>3081</v>
      </c>
      <c r="P488" s="9" t="s">
        <v>4538</v>
      </c>
      <c r="Q488" s="58" t="s">
        <v>3069</v>
      </c>
      <c r="R488" s="58">
        <v>4</v>
      </c>
      <c r="S488" s="58">
        <v>7</v>
      </c>
      <c r="T488" s="9" t="s">
        <v>4536</v>
      </c>
      <c r="U488" s="9" t="s">
        <v>4539</v>
      </c>
      <c r="V488" s="58">
        <v>4</v>
      </c>
      <c r="W488" s="9"/>
      <c r="X488" s="9"/>
      <c r="Y488" s="9"/>
      <c r="Z488" s="9"/>
    </row>
    <row r="489" spans="1:26" ht="15.75" hidden="1" customHeight="1">
      <c r="A489" s="9" t="s">
        <v>2322</v>
      </c>
      <c r="B489" s="9" t="s">
        <v>4540</v>
      </c>
      <c r="C489" s="9" t="s">
        <v>546</v>
      </c>
      <c r="D489" s="9" t="s">
        <v>439</v>
      </c>
      <c r="E489" s="9"/>
      <c r="F489" s="9"/>
      <c r="G489" s="58">
        <v>11200</v>
      </c>
      <c r="H489" s="85">
        <v>4.2857142857142802E-2</v>
      </c>
      <c r="I489" s="9">
        <v>30</v>
      </c>
      <c r="J489" s="9"/>
      <c r="K489" s="9"/>
      <c r="L489" s="9"/>
      <c r="M489" s="9"/>
      <c r="N489" s="9" t="s">
        <v>4531</v>
      </c>
      <c r="O489" s="9" t="s">
        <v>3081</v>
      </c>
      <c r="P489" s="9" t="s">
        <v>3293</v>
      </c>
      <c r="Q489" s="58" t="s">
        <v>3294</v>
      </c>
      <c r="R489" s="58">
        <v>1</v>
      </c>
      <c r="S489" s="58">
        <v>8</v>
      </c>
      <c r="T489" s="9" t="s">
        <v>4505</v>
      </c>
      <c r="U489" s="9" t="s">
        <v>4541</v>
      </c>
      <c r="V489" s="58">
        <v>1</v>
      </c>
      <c r="W489" s="9"/>
      <c r="X489" s="9"/>
      <c r="Y489" s="9"/>
      <c r="Z489" s="9"/>
    </row>
    <row r="490" spans="1:26" ht="15.75" hidden="1" customHeight="1">
      <c r="A490" s="9" t="s">
        <v>2322</v>
      </c>
      <c r="B490" s="9" t="s">
        <v>4540</v>
      </c>
      <c r="C490" s="9" t="s">
        <v>546</v>
      </c>
      <c r="D490" s="9" t="s">
        <v>368</v>
      </c>
      <c r="E490" s="9" t="s">
        <v>3092</v>
      </c>
      <c r="F490" s="58" t="s">
        <v>3087</v>
      </c>
      <c r="G490" s="58">
        <v>5950</v>
      </c>
      <c r="H490" s="85">
        <v>0.28235294117646997</v>
      </c>
      <c r="I490" s="9">
        <v>30</v>
      </c>
      <c r="J490" s="9"/>
      <c r="K490" s="9"/>
      <c r="L490" s="9"/>
      <c r="M490" s="9"/>
      <c r="N490" s="9" t="s">
        <v>4531</v>
      </c>
      <c r="O490" s="9" t="s">
        <v>3081</v>
      </c>
      <c r="P490" s="9" t="s">
        <v>4542</v>
      </c>
      <c r="Q490" s="58" t="s">
        <v>3132</v>
      </c>
      <c r="R490" s="58">
        <v>4</v>
      </c>
      <c r="S490" s="58">
        <v>7</v>
      </c>
      <c r="T490" s="9" t="s">
        <v>4505</v>
      </c>
      <c r="U490" s="9" t="s">
        <v>4543</v>
      </c>
      <c r="V490" s="58">
        <v>4</v>
      </c>
      <c r="W490" s="9"/>
      <c r="X490" s="9"/>
      <c r="Y490" s="9"/>
      <c r="Z490" s="9"/>
    </row>
    <row r="491" spans="1:26" ht="15.75" hidden="1" customHeight="1">
      <c r="A491" s="9" t="s">
        <v>4544</v>
      </c>
      <c r="B491" s="9" t="s">
        <v>4545</v>
      </c>
      <c r="C491" s="9" t="s">
        <v>4546</v>
      </c>
      <c r="D491" s="9" t="s">
        <v>439</v>
      </c>
      <c r="E491" s="9"/>
      <c r="F491" s="9"/>
      <c r="G491" s="58">
        <v>9600</v>
      </c>
      <c r="H491" s="85">
        <v>0.05</v>
      </c>
      <c r="I491" s="9">
        <v>20.6</v>
      </c>
      <c r="J491" s="9"/>
      <c r="K491" s="9"/>
      <c r="L491" s="9"/>
      <c r="M491" s="9"/>
      <c r="N491" s="9" t="s">
        <v>3206</v>
      </c>
      <c r="O491" s="9" t="s">
        <v>3051</v>
      </c>
      <c r="P491" s="9" t="s">
        <v>3073</v>
      </c>
      <c r="Q491" s="58" t="s">
        <v>3074</v>
      </c>
      <c r="R491" s="58">
        <v>1</v>
      </c>
      <c r="S491" s="58">
        <v>8</v>
      </c>
      <c r="T491" s="9" t="s">
        <v>3065</v>
      </c>
      <c r="U491" s="9" t="s">
        <v>4547</v>
      </c>
      <c r="V491" s="58">
        <v>1</v>
      </c>
      <c r="W491" s="9"/>
      <c r="X491" s="9"/>
      <c r="Y491" s="9"/>
      <c r="Z491" s="9"/>
    </row>
    <row r="492" spans="1:26" ht="15.75" hidden="1" customHeight="1">
      <c r="A492" s="9" t="s">
        <v>4544</v>
      </c>
      <c r="B492" s="9" t="s">
        <v>4545</v>
      </c>
      <c r="C492" s="9" t="s">
        <v>4546</v>
      </c>
      <c r="D492" s="9" t="s">
        <v>368</v>
      </c>
      <c r="E492" s="9" t="s">
        <v>3158</v>
      </c>
      <c r="F492" s="58" t="s">
        <v>3057</v>
      </c>
      <c r="G492" s="58">
        <v>4900</v>
      </c>
      <c r="H492" s="85">
        <v>0.34285714285714203</v>
      </c>
      <c r="I492" s="9">
        <v>20.6</v>
      </c>
      <c r="J492" s="9"/>
      <c r="K492" s="9"/>
      <c r="L492" s="9"/>
      <c r="M492" s="9"/>
      <c r="N492" s="9" t="s">
        <v>3206</v>
      </c>
      <c r="O492" s="9" t="s">
        <v>3051</v>
      </c>
      <c r="P492" s="9" t="s">
        <v>4548</v>
      </c>
      <c r="Q492" s="58" t="s">
        <v>3155</v>
      </c>
      <c r="R492" s="58">
        <v>4</v>
      </c>
      <c r="S492" s="58">
        <v>7</v>
      </c>
      <c r="T492" s="9" t="s">
        <v>3065</v>
      </c>
      <c r="U492" s="9" t="s">
        <v>4549</v>
      </c>
      <c r="V492" s="58">
        <v>4</v>
      </c>
      <c r="W492" s="9"/>
      <c r="X492" s="9"/>
      <c r="Y492" s="9"/>
      <c r="Z492" s="9"/>
    </row>
    <row r="493" spans="1:26" ht="15.75" hidden="1" customHeight="1">
      <c r="A493" s="9" t="s">
        <v>1695</v>
      </c>
      <c r="B493" s="9" t="s">
        <v>4550</v>
      </c>
      <c r="C493" s="9" t="s">
        <v>861</v>
      </c>
      <c r="D493" s="9" t="s">
        <v>439</v>
      </c>
      <c r="E493" s="9"/>
      <c r="F493" s="9"/>
      <c r="G493" s="58">
        <v>5600</v>
      </c>
      <c r="H493" s="85">
        <v>8.5714285714285701E-2</v>
      </c>
      <c r="I493" s="9">
        <v>309</v>
      </c>
      <c r="J493" s="9"/>
      <c r="K493" s="9"/>
      <c r="L493" s="9"/>
      <c r="M493" s="9"/>
      <c r="N493" s="9" t="s">
        <v>3206</v>
      </c>
      <c r="O493" s="9" t="s">
        <v>3051</v>
      </c>
      <c r="P493" s="9" t="s">
        <v>3154</v>
      </c>
      <c r="Q493" s="58" t="s">
        <v>3155</v>
      </c>
      <c r="R493" s="58">
        <v>1</v>
      </c>
      <c r="S493" s="58">
        <v>8</v>
      </c>
      <c r="T493" s="9" t="s">
        <v>3065</v>
      </c>
      <c r="U493" s="9" t="s">
        <v>4551</v>
      </c>
      <c r="V493" s="58">
        <v>1</v>
      </c>
      <c r="W493" s="9"/>
      <c r="X493" s="9"/>
      <c r="Y493" s="9"/>
      <c r="Z493" s="9"/>
    </row>
    <row r="494" spans="1:26" ht="15.75" hidden="1" customHeight="1">
      <c r="A494" s="9" t="s">
        <v>1695</v>
      </c>
      <c r="B494" s="9" t="s">
        <v>4550</v>
      </c>
      <c r="C494" s="9" t="s">
        <v>861</v>
      </c>
      <c r="D494" s="9" t="s">
        <v>368</v>
      </c>
      <c r="E494" s="9" t="s">
        <v>3158</v>
      </c>
      <c r="F494" s="58" t="s">
        <v>3057</v>
      </c>
      <c r="G494" s="58">
        <v>2100</v>
      </c>
      <c r="H494" s="85">
        <v>0.6</v>
      </c>
      <c r="I494" s="9">
        <v>309</v>
      </c>
      <c r="J494" s="9"/>
      <c r="K494" s="9"/>
      <c r="L494" s="9"/>
      <c r="M494" s="9"/>
      <c r="N494" s="9" t="s">
        <v>3206</v>
      </c>
      <c r="O494" s="9" t="s">
        <v>3051</v>
      </c>
      <c r="P494" s="9" t="s">
        <v>4552</v>
      </c>
      <c r="Q494" s="58" t="s">
        <v>3236</v>
      </c>
      <c r="R494" s="58">
        <v>3</v>
      </c>
      <c r="S494" s="58">
        <v>7</v>
      </c>
      <c r="T494" s="9" t="s">
        <v>3065</v>
      </c>
      <c r="U494" s="9" t="s">
        <v>4553</v>
      </c>
      <c r="V494" s="58">
        <v>3</v>
      </c>
      <c r="W494" s="9"/>
      <c r="X494" s="9"/>
      <c r="Y494" s="9"/>
      <c r="Z494" s="9"/>
    </row>
    <row r="495" spans="1:26" ht="15.75" hidden="1" customHeight="1">
      <c r="A495" s="9" t="s">
        <v>1698</v>
      </c>
      <c r="B495" s="9" t="s">
        <v>4554</v>
      </c>
      <c r="C495" s="9" t="s">
        <v>863</v>
      </c>
      <c r="D495" s="9" t="s">
        <v>439</v>
      </c>
      <c r="E495" s="9"/>
      <c r="F495" s="9"/>
      <c r="G495" s="58">
        <v>9600</v>
      </c>
      <c r="H495" s="85">
        <v>0.05</v>
      </c>
      <c r="I495" s="9">
        <v>19.399999999999999</v>
      </c>
      <c r="J495" s="9"/>
      <c r="K495" s="9"/>
      <c r="L495" s="9"/>
      <c r="M495" s="9"/>
      <c r="N495" s="9" t="s">
        <v>3446</v>
      </c>
      <c r="O495" s="9" t="s">
        <v>3081</v>
      </c>
      <c r="P495" s="9" t="s">
        <v>3073</v>
      </c>
      <c r="Q495" s="58" t="s">
        <v>3074</v>
      </c>
      <c r="R495" s="58">
        <v>1</v>
      </c>
      <c r="S495" s="58">
        <v>8</v>
      </c>
      <c r="T495" s="9" t="s">
        <v>3065</v>
      </c>
      <c r="U495" s="9" t="s">
        <v>4555</v>
      </c>
      <c r="V495" s="58">
        <v>1</v>
      </c>
      <c r="W495" s="9"/>
      <c r="X495" s="9"/>
      <c r="Y495" s="9"/>
      <c r="Z495" s="9"/>
    </row>
    <row r="496" spans="1:26" ht="15.75" hidden="1" customHeight="1">
      <c r="A496" s="9" t="s">
        <v>1698</v>
      </c>
      <c r="B496" s="9" t="s">
        <v>4554</v>
      </c>
      <c r="C496" s="9" t="s">
        <v>863</v>
      </c>
      <c r="D496" s="9" t="s">
        <v>368</v>
      </c>
      <c r="E496" s="9" t="s">
        <v>3092</v>
      </c>
      <c r="F496" s="58" t="s">
        <v>3087</v>
      </c>
      <c r="G496" s="58">
        <v>5600</v>
      </c>
      <c r="H496" s="85">
        <v>0.3</v>
      </c>
      <c r="I496" s="9">
        <v>19.399999999999999</v>
      </c>
      <c r="J496" s="9"/>
      <c r="K496" s="9"/>
      <c r="L496" s="9"/>
      <c r="M496" s="9"/>
      <c r="N496" s="9" t="s">
        <v>3446</v>
      </c>
      <c r="O496" s="9" t="s">
        <v>3081</v>
      </c>
      <c r="P496" s="9" t="s">
        <v>4556</v>
      </c>
      <c r="Q496" s="58" t="s">
        <v>3185</v>
      </c>
      <c r="R496" s="58">
        <v>4</v>
      </c>
      <c r="S496" s="58">
        <v>7</v>
      </c>
      <c r="T496" s="9" t="s">
        <v>3065</v>
      </c>
      <c r="U496" s="9" t="s">
        <v>4557</v>
      </c>
      <c r="V496" s="58">
        <v>4</v>
      </c>
      <c r="W496" s="9"/>
      <c r="X496" s="9"/>
      <c r="Y496" s="9"/>
      <c r="Z496" s="9"/>
    </row>
    <row r="497" spans="1:26" ht="15.75" hidden="1" customHeight="1">
      <c r="A497" s="9" t="s">
        <v>4558</v>
      </c>
      <c r="B497" s="9" t="s">
        <v>4559</v>
      </c>
      <c r="C497" s="9" t="s">
        <v>4560</v>
      </c>
      <c r="D497" s="9" t="s">
        <v>439</v>
      </c>
      <c r="E497" s="9"/>
      <c r="F497" s="9"/>
      <c r="G497" s="58">
        <v>6800</v>
      </c>
      <c r="H497" s="85">
        <v>7.0588235294117604E-2</v>
      </c>
      <c r="I497" s="9">
        <v>285</v>
      </c>
      <c r="J497" s="9"/>
      <c r="K497" s="9"/>
      <c r="L497" s="9"/>
      <c r="M497" s="9"/>
      <c r="N497" s="9" t="s">
        <v>4561</v>
      </c>
      <c r="O497" s="9" t="s">
        <v>3081</v>
      </c>
      <c r="P497" s="9" t="s">
        <v>3441</v>
      </c>
      <c r="Q497" s="58" t="s">
        <v>3132</v>
      </c>
      <c r="R497" s="58">
        <v>1</v>
      </c>
      <c r="S497" s="58">
        <v>8</v>
      </c>
      <c r="T497" s="9" t="s">
        <v>3065</v>
      </c>
      <c r="U497" s="9" t="s">
        <v>4562</v>
      </c>
      <c r="V497" s="58">
        <v>1</v>
      </c>
      <c r="W497" s="9"/>
      <c r="X497" s="9"/>
      <c r="Y497" s="9"/>
      <c r="Z497" s="9"/>
    </row>
    <row r="498" spans="1:26" ht="15.75" hidden="1" customHeight="1">
      <c r="A498" s="9" t="s">
        <v>4558</v>
      </c>
      <c r="B498" s="9" t="s">
        <v>4559</v>
      </c>
      <c r="C498" s="9" t="s">
        <v>4560</v>
      </c>
      <c r="D498" s="9" t="s">
        <v>368</v>
      </c>
      <c r="E498" s="9" t="s">
        <v>3229</v>
      </c>
      <c r="F498" s="58" t="s">
        <v>3087</v>
      </c>
      <c r="G498" s="58">
        <v>2100</v>
      </c>
      <c r="H498" s="85">
        <v>0.6</v>
      </c>
      <c r="I498" s="9">
        <v>285</v>
      </c>
      <c r="J498" s="9"/>
      <c r="K498" s="9"/>
      <c r="L498" s="9"/>
      <c r="M498" s="9"/>
      <c r="N498" s="9" t="s">
        <v>4561</v>
      </c>
      <c r="O498" s="9" t="s">
        <v>3081</v>
      </c>
      <c r="P498" s="9" t="s">
        <v>4563</v>
      </c>
      <c r="Q498" s="58" t="s">
        <v>3236</v>
      </c>
      <c r="R498" s="58">
        <v>3</v>
      </c>
      <c r="S498" s="58">
        <v>7</v>
      </c>
      <c r="T498" s="9" t="s">
        <v>3065</v>
      </c>
      <c r="U498" s="9" t="s">
        <v>4564</v>
      </c>
      <c r="V498" s="58">
        <v>3</v>
      </c>
      <c r="W498" s="9"/>
      <c r="X498" s="9"/>
      <c r="Y498" s="9"/>
      <c r="Z498" s="9"/>
    </row>
    <row r="499" spans="1:26" ht="15.75" hidden="1" customHeight="1">
      <c r="A499" s="9" t="s">
        <v>1702</v>
      </c>
      <c r="B499" s="9" t="s">
        <v>4565</v>
      </c>
      <c r="C499" s="9" t="s">
        <v>530</v>
      </c>
      <c r="D499" s="9" t="s">
        <v>439</v>
      </c>
      <c r="E499" s="9"/>
      <c r="F499" s="9"/>
      <c r="G499" s="58">
        <v>8000</v>
      </c>
      <c r="H499" s="85">
        <v>0.06</v>
      </c>
      <c r="I499" s="9">
        <v>150</v>
      </c>
      <c r="J499" s="9"/>
      <c r="K499" s="9"/>
      <c r="L499" s="9"/>
      <c r="M499" s="9"/>
      <c r="N499" s="9" t="s">
        <v>4566</v>
      </c>
      <c r="O499" s="9" t="s">
        <v>3081</v>
      </c>
      <c r="P499" s="9" t="s">
        <v>3415</v>
      </c>
      <c r="Q499" s="58" t="s">
        <v>3167</v>
      </c>
      <c r="R499" s="58">
        <v>1</v>
      </c>
      <c r="S499" s="58">
        <v>8</v>
      </c>
      <c r="T499" s="9" t="s">
        <v>4567</v>
      </c>
      <c r="U499" s="9" t="s">
        <v>4568</v>
      </c>
      <c r="V499" s="58">
        <v>1</v>
      </c>
      <c r="W499" s="9"/>
      <c r="X499" s="9"/>
      <c r="Y499" s="9"/>
      <c r="Z499" s="9"/>
    </row>
    <row r="500" spans="1:26" ht="15.75" hidden="1" customHeight="1">
      <c r="A500" s="9" t="s">
        <v>1702</v>
      </c>
      <c r="B500" s="9" t="s">
        <v>4565</v>
      </c>
      <c r="C500" s="9" t="s">
        <v>530</v>
      </c>
      <c r="D500" s="9" t="s">
        <v>368</v>
      </c>
      <c r="E500" s="9" t="s">
        <v>3229</v>
      </c>
      <c r="F500" s="58" t="s">
        <v>3087</v>
      </c>
      <c r="G500" s="58">
        <v>3850</v>
      </c>
      <c r="H500" s="85">
        <v>0.32727272727272699</v>
      </c>
      <c r="I500" s="9">
        <v>150</v>
      </c>
      <c r="J500" s="9"/>
      <c r="K500" s="9"/>
      <c r="L500" s="9"/>
      <c r="M500" s="9"/>
      <c r="N500" s="9" t="s">
        <v>4566</v>
      </c>
      <c r="O500" s="9" t="s">
        <v>3081</v>
      </c>
      <c r="P500" s="9" t="s">
        <v>4569</v>
      </c>
      <c r="Q500" s="58" t="s">
        <v>3226</v>
      </c>
      <c r="R500" s="58">
        <v>3</v>
      </c>
      <c r="S500" s="58">
        <v>7</v>
      </c>
      <c r="T500" s="9" t="s">
        <v>4567</v>
      </c>
      <c r="U500" s="9" t="s">
        <v>4570</v>
      </c>
      <c r="V500" s="58">
        <v>3</v>
      </c>
      <c r="W500" s="9"/>
      <c r="X500" s="9"/>
      <c r="Y500" s="9"/>
      <c r="Z500" s="9"/>
    </row>
    <row r="501" spans="1:26" ht="15.75" hidden="1" customHeight="1">
      <c r="A501" s="9" t="s">
        <v>217</v>
      </c>
      <c r="B501" s="9" t="s">
        <v>4571</v>
      </c>
      <c r="C501" s="9" t="s">
        <v>218</v>
      </c>
      <c r="D501" s="9" t="s">
        <v>368</v>
      </c>
      <c r="E501" s="9" t="s">
        <v>3067</v>
      </c>
      <c r="F501" s="58" t="s">
        <v>3057</v>
      </c>
      <c r="G501" s="58">
        <v>4900</v>
      </c>
      <c r="H501" s="85">
        <v>0.25714285714285701</v>
      </c>
      <c r="I501" s="9">
        <v>51.5</v>
      </c>
      <c r="J501" s="9"/>
      <c r="K501" s="9"/>
      <c r="L501" s="9"/>
      <c r="M501" s="9"/>
      <c r="N501" s="9" t="s">
        <v>4572</v>
      </c>
      <c r="O501" s="9" t="s">
        <v>3081</v>
      </c>
      <c r="P501" s="9" t="s">
        <v>4573</v>
      </c>
      <c r="Q501" s="58" t="s">
        <v>3155</v>
      </c>
      <c r="R501" s="58">
        <v>3</v>
      </c>
      <c r="S501" s="58">
        <v>7</v>
      </c>
      <c r="T501" s="9" t="s">
        <v>4574</v>
      </c>
      <c r="U501" s="9" t="s">
        <v>4575</v>
      </c>
      <c r="V501" s="58">
        <v>3</v>
      </c>
      <c r="W501" s="9"/>
      <c r="X501" s="9"/>
      <c r="Y501" s="9"/>
      <c r="Z501" s="9"/>
    </row>
    <row r="502" spans="1:26" ht="15.75" hidden="1" customHeight="1">
      <c r="A502" s="9" t="s">
        <v>142</v>
      </c>
      <c r="B502" s="9" t="s">
        <v>4576</v>
      </c>
      <c r="C502" s="9" t="s">
        <v>143</v>
      </c>
      <c r="D502" s="9" t="s">
        <v>439</v>
      </c>
      <c r="E502" s="9"/>
      <c r="F502" s="9"/>
      <c r="G502" s="58">
        <v>6400</v>
      </c>
      <c r="H502" s="85">
        <v>7.4999999999999997E-2</v>
      </c>
      <c r="I502" s="9">
        <v>175</v>
      </c>
      <c r="J502" s="9"/>
      <c r="K502" s="9"/>
      <c r="L502" s="9"/>
      <c r="M502" s="9"/>
      <c r="N502" s="9" t="s">
        <v>4577</v>
      </c>
      <c r="O502" s="9" t="s">
        <v>3081</v>
      </c>
      <c r="P502" s="9" t="s">
        <v>3190</v>
      </c>
      <c r="Q502" s="58" t="s">
        <v>3185</v>
      </c>
      <c r="R502" s="58">
        <v>1</v>
      </c>
      <c r="S502" s="58">
        <v>8</v>
      </c>
      <c r="T502" s="9" t="s">
        <v>4578</v>
      </c>
      <c r="U502" s="9" t="s">
        <v>4579</v>
      </c>
      <c r="V502" s="58">
        <v>1</v>
      </c>
      <c r="W502" s="9"/>
      <c r="X502" s="9"/>
      <c r="Y502" s="9"/>
      <c r="Z502" s="9"/>
    </row>
    <row r="503" spans="1:26" ht="15.75" hidden="1" customHeight="1">
      <c r="A503" s="9" t="s">
        <v>142</v>
      </c>
      <c r="B503" s="9" t="s">
        <v>4576</v>
      </c>
      <c r="C503" s="9" t="s">
        <v>143</v>
      </c>
      <c r="D503" s="9" t="s">
        <v>368</v>
      </c>
      <c r="E503" s="9" t="s">
        <v>3092</v>
      </c>
      <c r="F503" s="58" t="s">
        <v>3087</v>
      </c>
      <c r="G503" s="58">
        <v>3500</v>
      </c>
      <c r="H503" s="85">
        <v>0.36</v>
      </c>
      <c r="I503" s="9">
        <v>175</v>
      </c>
      <c r="J503" s="9"/>
      <c r="K503" s="9"/>
      <c r="L503" s="9"/>
      <c r="M503" s="9"/>
      <c r="N503" s="9" t="s">
        <v>4577</v>
      </c>
      <c r="O503" s="9" t="s">
        <v>3081</v>
      </c>
      <c r="P503" s="9" t="s">
        <v>4580</v>
      </c>
      <c r="Q503" s="58" t="s">
        <v>3361</v>
      </c>
      <c r="R503" s="58">
        <v>3</v>
      </c>
      <c r="S503" s="58">
        <v>7</v>
      </c>
      <c r="T503" s="9" t="s">
        <v>4578</v>
      </c>
      <c r="U503" s="9" t="s">
        <v>4581</v>
      </c>
      <c r="V503" s="58">
        <v>3</v>
      </c>
      <c r="W503" s="9"/>
      <c r="X503" s="9"/>
      <c r="Y503" s="9"/>
      <c r="Z503" s="9"/>
    </row>
    <row r="504" spans="1:26" ht="15.75" hidden="1" customHeight="1">
      <c r="A504" s="9" t="s">
        <v>1709</v>
      </c>
      <c r="B504" s="9" t="s">
        <v>4582</v>
      </c>
      <c r="C504" s="9" t="s">
        <v>1711</v>
      </c>
      <c r="D504" s="9" t="s">
        <v>439</v>
      </c>
      <c r="E504" s="9"/>
      <c r="F504" s="9"/>
      <c r="G504" s="58">
        <v>11200</v>
      </c>
      <c r="H504" s="85">
        <v>4.2857142857142802E-2</v>
      </c>
      <c r="I504" s="9">
        <v>101</v>
      </c>
      <c r="J504" s="9"/>
      <c r="K504" s="9"/>
      <c r="L504" s="9"/>
      <c r="M504" s="9"/>
      <c r="N504" s="9" t="s">
        <v>4583</v>
      </c>
      <c r="O504" s="9" t="s">
        <v>4228</v>
      </c>
      <c r="P504" s="9" t="s">
        <v>3293</v>
      </c>
      <c r="Q504" s="58" t="s">
        <v>3294</v>
      </c>
      <c r="R504" s="58">
        <v>1</v>
      </c>
      <c r="S504" s="58">
        <v>8</v>
      </c>
      <c r="T504" s="9" t="s">
        <v>4584</v>
      </c>
      <c r="U504" s="9" t="s">
        <v>4585</v>
      </c>
      <c r="V504" s="58">
        <v>1</v>
      </c>
      <c r="W504" s="9"/>
      <c r="X504" s="9"/>
      <c r="Y504" s="9"/>
      <c r="Z504" s="9"/>
    </row>
    <row r="505" spans="1:26" ht="15.75" hidden="1" customHeight="1">
      <c r="A505" s="9" t="s">
        <v>1709</v>
      </c>
      <c r="B505" s="9" t="s">
        <v>4582</v>
      </c>
      <c r="C505" s="9" t="s">
        <v>1711</v>
      </c>
      <c r="D505" s="9" t="s">
        <v>368</v>
      </c>
      <c r="E505" s="9" t="s">
        <v>3092</v>
      </c>
      <c r="F505" s="58" t="s">
        <v>3057</v>
      </c>
      <c r="G505" s="58">
        <v>4550</v>
      </c>
      <c r="H505" s="85">
        <v>0.36923076923076897</v>
      </c>
      <c r="I505" s="9">
        <v>101</v>
      </c>
      <c r="J505" s="9"/>
      <c r="K505" s="9"/>
      <c r="L505" s="9"/>
      <c r="M505" s="9"/>
      <c r="N505" s="9" t="s">
        <v>4583</v>
      </c>
      <c r="O505" s="9" t="s">
        <v>4228</v>
      </c>
      <c r="P505" s="9" t="s">
        <v>4586</v>
      </c>
      <c r="Q505" s="58" t="s">
        <v>3687</v>
      </c>
      <c r="R505" s="58">
        <v>4</v>
      </c>
      <c r="S505" s="58">
        <v>7</v>
      </c>
      <c r="T505" s="9" t="s">
        <v>4584</v>
      </c>
      <c r="U505" s="9" t="s">
        <v>4587</v>
      </c>
      <c r="V505" s="58">
        <v>4</v>
      </c>
      <c r="W505" s="9"/>
      <c r="X505" s="9"/>
      <c r="Y505" s="9"/>
      <c r="Z505" s="9"/>
    </row>
    <row r="506" spans="1:26" ht="15.75" hidden="1" customHeight="1">
      <c r="A506" s="9" t="s">
        <v>1713</v>
      </c>
      <c r="B506" s="9" t="s">
        <v>4588</v>
      </c>
      <c r="C506" s="9" t="s">
        <v>218</v>
      </c>
      <c r="D506" s="9" t="s">
        <v>368</v>
      </c>
      <c r="E506" s="9" t="s">
        <v>3067</v>
      </c>
      <c r="F506" s="58" t="s">
        <v>3057</v>
      </c>
      <c r="G506" s="58">
        <v>4900</v>
      </c>
      <c r="H506" s="85">
        <v>0.25714285714285701</v>
      </c>
      <c r="I506" s="9">
        <v>51.5</v>
      </c>
      <c r="J506" s="9"/>
      <c r="K506" s="9"/>
      <c r="L506" s="9"/>
      <c r="M506" s="9"/>
      <c r="N506" s="9" t="s">
        <v>4572</v>
      </c>
      <c r="O506" s="9" t="s">
        <v>3081</v>
      </c>
      <c r="P506" s="9" t="s">
        <v>4573</v>
      </c>
      <c r="Q506" s="58" t="s">
        <v>3155</v>
      </c>
      <c r="R506" s="58">
        <v>3</v>
      </c>
      <c r="S506" s="58">
        <v>7</v>
      </c>
      <c r="T506" s="9" t="s">
        <v>4574</v>
      </c>
      <c r="U506" s="9" t="s">
        <v>4589</v>
      </c>
      <c r="V506" s="58">
        <v>3</v>
      </c>
      <c r="W506" s="9"/>
      <c r="X506" s="9"/>
      <c r="Y506" s="9"/>
      <c r="Z506" s="9"/>
    </row>
    <row r="507" spans="1:26" ht="15.75" hidden="1" customHeight="1">
      <c r="A507" s="9" t="s">
        <v>1715</v>
      </c>
      <c r="B507" s="9" t="s">
        <v>4590</v>
      </c>
      <c r="C507" s="9" t="s">
        <v>927</v>
      </c>
      <c r="D507" s="9" t="s">
        <v>368</v>
      </c>
      <c r="E507" s="9"/>
      <c r="F507" s="9"/>
      <c r="G507" s="58">
        <v>6300</v>
      </c>
      <c r="H507" s="85">
        <v>0.266666666666666</v>
      </c>
      <c r="I507" s="9">
        <v>59.4</v>
      </c>
      <c r="J507" s="9"/>
      <c r="K507" s="9"/>
      <c r="L507" s="9"/>
      <c r="M507" s="9"/>
      <c r="N507" s="9" t="s">
        <v>4591</v>
      </c>
      <c r="O507" s="9" t="s">
        <v>3081</v>
      </c>
      <c r="P507" s="9" t="s">
        <v>4592</v>
      </c>
      <c r="Q507" s="58" t="s">
        <v>3069</v>
      </c>
      <c r="R507" s="9">
        <v>4</v>
      </c>
      <c r="S507" s="9">
        <v>7</v>
      </c>
      <c r="T507" s="9" t="s">
        <v>4593</v>
      </c>
      <c r="U507" s="9" t="s">
        <v>4594</v>
      </c>
      <c r="V507" s="9">
        <v>4</v>
      </c>
      <c r="W507" s="9"/>
      <c r="X507" s="9"/>
      <c r="Y507" s="9"/>
      <c r="Z507" s="9"/>
    </row>
    <row r="508" spans="1:26" ht="15.75" customHeight="1">
      <c r="A508" s="9" t="s">
        <v>2298</v>
      </c>
      <c r="B508" s="9" t="s">
        <v>4595</v>
      </c>
      <c r="C508" s="9" t="s">
        <v>2300</v>
      </c>
      <c r="D508" s="9" t="s">
        <v>4596</v>
      </c>
      <c r="E508" s="9"/>
      <c r="F508" s="9"/>
      <c r="G508" s="58">
        <v>3600</v>
      </c>
      <c r="H508" s="85">
        <v>0.133333333333333</v>
      </c>
      <c r="I508" s="9">
        <v>30.9</v>
      </c>
      <c r="J508" s="9"/>
      <c r="K508" s="9"/>
      <c r="L508" s="9"/>
      <c r="M508" s="9"/>
      <c r="N508" s="9" t="s">
        <v>4597</v>
      </c>
      <c r="O508" s="9" t="s">
        <v>3051</v>
      </c>
      <c r="P508" s="9" t="s">
        <v>4598</v>
      </c>
      <c r="Q508" s="58" t="s">
        <v>3734</v>
      </c>
      <c r="R508" s="58">
        <v>1</v>
      </c>
      <c r="S508" s="58">
        <v>8</v>
      </c>
      <c r="T508" s="9" t="s">
        <v>4599</v>
      </c>
      <c r="U508" s="9" t="s">
        <v>4600</v>
      </c>
      <c r="V508" s="58">
        <v>1</v>
      </c>
      <c r="W508" s="9"/>
      <c r="X508" s="9"/>
      <c r="Y508" s="9"/>
      <c r="Z508" s="9"/>
    </row>
    <row r="509" spans="1:26" ht="15.75" hidden="1" customHeight="1">
      <c r="A509" s="9" t="s">
        <v>2298</v>
      </c>
      <c r="B509" s="9" t="s">
        <v>4595</v>
      </c>
      <c r="C509" s="9" t="s">
        <v>2300</v>
      </c>
      <c r="D509" s="9" t="s">
        <v>439</v>
      </c>
      <c r="E509" s="9"/>
      <c r="F509" s="9"/>
      <c r="G509" s="58">
        <v>9600</v>
      </c>
      <c r="H509" s="85">
        <v>0.05</v>
      </c>
      <c r="I509" s="9">
        <v>30.9</v>
      </c>
      <c r="J509" s="9"/>
      <c r="K509" s="9"/>
      <c r="L509" s="9"/>
      <c r="M509" s="9"/>
      <c r="N509" s="9" t="s">
        <v>4597</v>
      </c>
      <c r="O509" s="9" t="s">
        <v>3051</v>
      </c>
      <c r="P509" s="9" t="s">
        <v>3073</v>
      </c>
      <c r="Q509" s="58" t="s">
        <v>3074</v>
      </c>
      <c r="R509" s="58">
        <v>1</v>
      </c>
      <c r="S509" s="58">
        <v>8</v>
      </c>
      <c r="T509" s="9" t="s">
        <v>4599</v>
      </c>
      <c r="U509" s="9" t="s">
        <v>4601</v>
      </c>
      <c r="V509" s="58">
        <v>1</v>
      </c>
      <c r="W509" s="9"/>
      <c r="X509" s="9"/>
      <c r="Y509" s="9"/>
      <c r="Z509" s="9"/>
    </row>
    <row r="510" spans="1:26" ht="15.75" hidden="1" customHeight="1">
      <c r="A510" s="9" t="s">
        <v>2298</v>
      </c>
      <c r="B510" s="9" t="s">
        <v>4595</v>
      </c>
      <c r="C510" s="9" t="s">
        <v>2300</v>
      </c>
      <c r="D510" s="9" t="s">
        <v>368</v>
      </c>
      <c r="E510" s="9" t="s">
        <v>3402</v>
      </c>
      <c r="F510" s="58" t="s">
        <v>3057</v>
      </c>
      <c r="G510" s="58">
        <v>7000</v>
      </c>
      <c r="H510" s="85">
        <v>0.24</v>
      </c>
      <c r="I510" s="9">
        <v>30.9</v>
      </c>
      <c r="J510" s="9"/>
      <c r="K510" s="9"/>
      <c r="L510" s="9"/>
      <c r="M510" s="9"/>
      <c r="N510" s="9" t="s">
        <v>4597</v>
      </c>
      <c r="O510" s="9" t="s">
        <v>3051</v>
      </c>
      <c r="P510" s="9" t="s">
        <v>4602</v>
      </c>
      <c r="Q510" s="58" t="s">
        <v>3167</v>
      </c>
      <c r="R510" s="58">
        <v>4</v>
      </c>
      <c r="S510" s="58">
        <v>7</v>
      </c>
      <c r="T510" s="9" t="s">
        <v>4599</v>
      </c>
      <c r="U510" s="9" t="s">
        <v>4603</v>
      </c>
      <c r="V510" s="58">
        <v>4</v>
      </c>
      <c r="W510" s="9"/>
      <c r="X510" s="9"/>
      <c r="Y510" s="9"/>
      <c r="Z510" s="9"/>
    </row>
    <row r="511" spans="1:26" ht="15.75" customHeight="1">
      <c r="A511" s="9" t="s">
        <v>2301</v>
      </c>
      <c r="B511" s="9" t="s">
        <v>4604</v>
      </c>
      <c r="C511" s="9" t="s">
        <v>2303</v>
      </c>
      <c r="D511" s="9" t="s">
        <v>4596</v>
      </c>
      <c r="E511" s="9"/>
      <c r="F511" s="9"/>
      <c r="G511" s="58">
        <v>3600</v>
      </c>
      <c r="H511" s="85">
        <v>0.133333333333333</v>
      </c>
      <c r="I511" s="9">
        <v>31</v>
      </c>
      <c r="J511" s="9"/>
      <c r="K511" s="9"/>
      <c r="L511" s="9"/>
      <c r="M511" s="9"/>
      <c r="N511" s="9" t="s">
        <v>4597</v>
      </c>
      <c r="O511" s="9" t="s">
        <v>4098</v>
      </c>
      <c r="P511" s="9" t="s">
        <v>4598</v>
      </c>
      <c r="Q511" s="58" t="s">
        <v>3734</v>
      </c>
      <c r="R511" s="58">
        <v>1</v>
      </c>
      <c r="S511" s="58">
        <v>8</v>
      </c>
      <c r="T511" s="9" t="s">
        <v>4605</v>
      </c>
      <c r="U511" s="9" t="s">
        <v>4606</v>
      </c>
      <c r="V511" s="58">
        <v>1</v>
      </c>
      <c r="W511" s="9"/>
      <c r="X511" s="9"/>
      <c r="Y511" s="9"/>
      <c r="Z511" s="9"/>
    </row>
    <row r="512" spans="1:26" ht="15.75" hidden="1" customHeight="1">
      <c r="A512" s="9" t="s">
        <v>2301</v>
      </c>
      <c r="B512" s="9" t="s">
        <v>4604</v>
      </c>
      <c r="C512" s="9" t="s">
        <v>2303</v>
      </c>
      <c r="D512" s="9" t="s">
        <v>439</v>
      </c>
      <c r="E512" s="9"/>
      <c r="F512" s="9"/>
      <c r="G512" s="58">
        <v>9600</v>
      </c>
      <c r="H512" s="85">
        <v>0.05</v>
      </c>
      <c r="I512" s="9">
        <v>31</v>
      </c>
      <c r="J512" s="9"/>
      <c r="K512" s="9"/>
      <c r="L512" s="9"/>
      <c r="M512" s="9"/>
      <c r="N512" s="9" t="s">
        <v>4597</v>
      </c>
      <c r="O512" s="9" t="s">
        <v>4098</v>
      </c>
      <c r="P512" s="9" t="s">
        <v>3073</v>
      </c>
      <c r="Q512" s="58" t="s">
        <v>3074</v>
      </c>
      <c r="R512" s="58">
        <v>1</v>
      </c>
      <c r="S512" s="58">
        <v>8</v>
      </c>
      <c r="T512" s="9" t="s">
        <v>4605</v>
      </c>
      <c r="U512" s="9" t="s">
        <v>4607</v>
      </c>
      <c r="V512" s="58">
        <v>1</v>
      </c>
      <c r="W512" s="9"/>
      <c r="X512" s="9"/>
      <c r="Y512" s="9"/>
      <c r="Z512" s="9"/>
    </row>
    <row r="513" spans="1:26" ht="15.75" hidden="1" customHeight="1">
      <c r="A513" s="9" t="s">
        <v>2301</v>
      </c>
      <c r="B513" s="9" t="s">
        <v>4604</v>
      </c>
      <c r="C513" s="9" t="s">
        <v>2303</v>
      </c>
      <c r="D513" s="9" t="s">
        <v>368</v>
      </c>
      <c r="E513" s="9" t="s">
        <v>3402</v>
      </c>
      <c r="F513" s="58" t="s">
        <v>3057</v>
      </c>
      <c r="G513" s="58">
        <v>7000</v>
      </c>
      <c r="H513" s="85">
        <v>0.24</v>
      </c>
      <c r="I513" s="9">
        <v>31</v>
      </c>
      <c r="J513" s="9"/>
      <c r="K513" s="9"/>
      <c r="L513" s="9"/>
      <c r="M513" s="9"/>
      <c r="N513" s="9" t="s">
        <v>4597</v>
      </c>
      <c r="O513" s="9" t="s">
        <v>4098</v>
      </c>
      <c r="P513" s="9" t="s">
        <v>4602</v>
      </c>
      <c r="Q513" s="58" t="s">
        <v>3167</v>
      </c>
      <c r="R513" s="58">
        <v>4</v>
      </c>
      <c r="S513" s="58">
        <v>7</v>
      </c>
      <c r="T513" s="9" t="s">
        <v>4605</v>
      </c>
      <c r="U513" s="9" t="s">
        <v>4608</v>
      </c>
      <c r="V513" s="58">
        <v>4</v>
      </c>
      <c r="W513" s="9"/>
      <c r="X513" s="9"/>
      <c r="Y513" s="9"/>
      <c r="Z513" s="9"/>
    </row>
    <row r="514" spans="1:26" ht="15.75" hidden="1" customHeight="1">
      <c r="A514" s="9" t="s">
        <v>2367</v>
      </c>
      <c r="B514" s="9" t="s">
        <v>4609</v>
      </c>
      <c r="C514" s="9" t="s">
        <v>2369</v>
      </c>
      <c r="D514" s="9" t="s">
        <v>439</v>
      </c>
      <c r="E514" s="9"/>
      <c r="F514" s="9"/>
      <c r="G514" s="58">
        <v>8000</v>
      </c>
      <c r="H514" s="85">
        <v>0.06</v>
      </c>
      <c r="I514" s="9">
        <v>36.200000000000003</v>
      </c>
      <c r="J514" s="9"/>
      <c r="K514" s="9"/>
      <c r="L514" s="9"/>
      <c r="M514" s="9"/>
      <c r="N514" s="9" t="s">
        <v>4610</v>
      </c>
      <c r="O514" s="9" t="s">
        <v>4611</v>
      </c>
      <c r="P514" s="9" t="s">
        <v>3415</v>
      </c>
      <c r="Q514" s="58" t="s">
        <v>3167</v>
      </c>
      <c r="R514" s="58">
        <v>1</v>
      </c>
      <c r="S514" s="58">
        <v>8</v>
      </c>
      <c r="T514" s="9" t="s">
        <v>4612</v>
      </c>
      <c r="U514" s="9" t="s">
        <v>4613</v>
      </c>
      <c r="V514" s="58">
        <v>1</v>
      </c>
      <c r="W514" s="9"/>
      <c r="X514" s="9"/>
      <c r="Y514" s="9"/>
      <c r="Z514" s="9"/>
    </row>
    <row r="515" spans="1:26" ht="15.75" hidden="1" customHeight="1">
      <c r="A515" s="9" t="s">
        <v>2367</v>
      </c>
      <c r="B515" s="9" t="s">
        <v>4609</v>
      </c>
      <c r="C515" s="9" t="s">
        <v>2369</v>
      </c>
      <c r="D515" s="9" t="s">
        <v>368</v>
      </c>
      <c r="E515" s="9" t="s">
        <v>4140</v>
      </c>
      <c r="F515" s="58" t="s">
        <v>3087</v>
      </c>
      <c r="G515" s="58">
        <v>5600</v>
      </c>
      <c r="H515" s="85">
        <v>0.3</v>
      </c>
      <c r="I515" s="9">
        <v>36.200000000000003</v>
      </c>
      <c r="J515" s="9"/>
      <c r="K515" s="9"/>
      <c r="L515" s="9"/>
      <c r="M515" s="9"/>
      <c r="N515" s="9" t="s">
        <v>4610</v>
      </c>
      <c r="O515" s="9" t="s">
        <v>4611</v>
      </c>
      <c r="P515" s="9" t="s">
        <v>4614</v>
      </c>
      <c r="Q515" s="58" t="s">
        <v>3185</v>
      </c>
      <c r="R515" s="58">
        <v>4</v>
      </c>
      <c r="S515" s="58">
        <v>7</v>
      </c>
      <c r="T515" s="9" t="s">
        <v>4612</v>
      </c>
      <c r="U515" s="9" t="s">
        <v>4615</v>
      </c>
      <c r="V515" s="58">
        <v>4</v>
      </c>
      <c r="W515" s="9"/>
      <c r="X515" s="9"/>
      <c r="Y515" s="9"/>
      <c r="Z515" s="9"/>
    </row>
    <row r="516" spans="1:26" ht="15.75" customHeight="1">
      <c r="A516" s="9" t="s">
        <v>2361</v>
      </c>
      <c r="B516" s="9" t="s">
        <v>4616</v>
      </c>
      <c r="C516" s="9" t="s">
        <v>2363</v>
      </c>
      <c r="D516" s="9" t="s">
        <v>559</v>
      </c>
      <c r="E516" s="9" t="s">
        <v>3042</v>
      </c>
      <c r="F516" s="58" t="s">
        <v>3043</v>
      </c>
      <c r="G516" s="58">
        <v>4992</v>
      </c>
      <c r="H516" s="85">
        <v>9.6153846153846104E-2</v>
      </c>
      <c r="I516" s="9">
        <v>12.4</v>
      </c>
      <c r="J516" s="9"/>
      <c r="K516" s="9"/>
      <c r="L516" s="9"/>
      <c r="M516" s="9"/>
      <c r="N516" s="9" t="s">
        <v>4617</v>
      </c>
      <c r="O516" s="9" t="s">
        <v>4611</v>
      </c>
      <c r="P516" s="9" t="s">
        <v>3044</v>
      </c>
      <c r="Q516" s="58" t="s">
        <v>3045</v>
      </c>
      <c r="R516" s="58">
        <v>1</v>
      </c>
      <c r="S516" s="58">
        <v>8</v>
      </c>
      <c r="T516" s="9" t="s">
        <v>4618</v>
      </c>
      <c r="U516" s="9" t="s">
        <v>4619</v>
      </c>
      <c r="V516" s="58">
        <v>1</v>
      </c>
      <c r="W516" s="9"/>
      <c r="X516" s="9"/>
      <c r="Y516" s="9"/>
      <c r="Z516" s="9"/>
    </row>
    <row r="517" spans="1:26" ht="15.75" hidden="1" customHeight="1">
      <c r="A517" s="9" t="s">
        <v>2361</v>
      </c>
      <c r="B517" s="9" t="s">
        <v>4616</v>
      </c>
      <c r="C517" s="9" t="s">
        <v>2363</v>
      </c>
      <c r="D517" s="9" t="s">
        <v>439</v>
      </c>
      <c r="E517" s="9"/>
      <c r="F517" s="9"/>
      <c r="G517" s="58">
        <v>8000</v>
      </c>
      <c r="H517" s="85">
        <v>0.06</v>
      </c>
      <c r="I517" s="9">
        <v>12.4</v>
      </c>
      <c r="J517" s="9"/>
      <c r="K517" s="9"/>
      <c r="L517" s="9"/>
      <c r="M517" s="9"/>
      <c r="N517" s="9" t="s">
        <v>4617</v>
      </c>
      <c r="O517" s="9" t="s">
        <v>4611</v>
      </c>
      <c r="P517" s="9" t="s">
        <v>3415</v>
      </c>
      <c r="Q517" s="58" t="s">
        <v>3167</v>
      </c>
      <c r="R517" s="58">
        <v>1</v>
      </c>
      <c r="S517" s="58">
        <v>8</v>
      </c>
      <c r="T517" s="9" t="s">
        <v>4618</v>
      </c>
      <c r="U517" s="9" t="s">
        <v>4620</v>
      </c>
      <c r="V517" s="58">
        <v>1</v>
      </c>
      <c r="W517" s="9"/>
      <c r="X517" s="9"/>
      <c r="Y517" s="9"/>
      <c r="Z517" s="9"/>
    </row>
    <row r="518" spans="1:26" ht="15.75" hidden="1" customHeight="1">
      <c r="A518" s="9" t="s">
        <v>2361</v>
      </c>
      <c r="B518" s="9" t="s">
        <v>4616</v>
      </c>
      <c r="C518" s="9" t="s">
        <v>2363</v>
      </c>
      <c r="D518" s="9" t="s">
        <v>368</v>
      </c>
      <c r="E518" s="9" t="s">
        <v>3092</v>
      </c>
      <c r="F518" s="58" t="s">
        <v>3087</v>
      </c>
      <c r="G518" s="58">
        <v>6650</v>
      </c>
      <c r="H518" s="85">
        <v>0.25263157894736799</v>
      </c>
      <c r="I518" s="9">
        <v>12.4</v>
      </c>
      <c r="J518" s="9"/>
      <c r="K518" s="9"/>
      <c r="L518" s="9"/>
      <c r="M518" s="9"/>
      <c r="N518" s="9" t="s">
        <v>4617</v>
      </c>
      <c r="O518" s="9" t="s">
        <v>4611</v>
      </c>
      <c r="P518" s="9" t="s">
        <v>4621</v>
      </c>
      <c r="Q518" s="58" t="s">
        <v>3409</v>
      </c>
      <c r="R518" s="58">
        <v>4</v>
      </c>
      <c r="S518" s="58">
        <v>7</v>
      </c>
      <c r="T518" s="9" t="s">
        <v>4618</v>
      </c>
      <c r="U518" s="9" t="s">
        <v>4622</v>
      </c>
      <c r="V518" s="58">
        <v>4</v>
      </c>
      <c r="W518" s="9"/>
      <c r="X518" s="9"/>
      <c r="Y518" s="9"/>
      <c r="Z518" s="9"/>
    </row>
    <row r="519" spans="1:26" ht="15.75" hidden="1" customHeight="1">
      <c r="A519" s="9" t="s">
        <v>2537</v>
      </c>
      <c r="B519" s="9" t="s">
        <v>4623</v>
      </c>
      <c r="C519" s="9" t="s">
        <v>2300</v>
      </c>
      <c r="D519" s="9" t="s">
        <v>439</v>
      </c>
      <c r="E519" s="9"/>
      <c r="F519" s="9"/>
      <c r="G519" s="58">
        <v>9600</v>
      </c>
      <c r="H519" s="85">
        <v>0.05</v>
      </c>
      <c r="I519" s="9">
        <v>31.2</v>
      </c>
      <c r="J519" s="9"/>
      <c r="K519" s="9"/>
      <c r="L519" s="9"/>
      <c r="M519" s="9"/>
      <c r="N519" s="9" t="s">
        <v>4597</v>
      </c>
      <c r="O519" s="9" t="s">
        <v>4098</v>
      </c>
      <c r="P519" s="9" t="s">
        <v>3073</v>
      </c>
      <c r="Q519" s="58" t="s">
        <v>3074</v>
      </c>
      <c r="R519" s="58">
        <v>1</v>
      </c>
      <c r="S519" s="58">
        <v>8</v>
      </c>
      <c r="T519" s="9" t="s">
        <v>4624</v>
      </c>
      <c r="U519" s="9" t="s">
        <v>4625</v>
      </c>
      <c r="V519" s="58">
        <v>1</v>
      </c>
      <c r="W519" s="9"/>
      <c r="X519" s="9"/>
      <c r="Y519" s="9"/>
      <c r="Z519" s="9"/>
    </row>
    <row r="520" spans="1:26" ht="15.75" hidden="1" customHeight="1">
      <c r="A520" s="9" t="s">
        <v>2537</v>
      </c>
      <c r="B520" s="9" t="s">
        <v>4623</v>
      </c>
      <c r="C520" s="9" t="s">
        <v>2300</v>
      </c>
      <c r="D520" s="9" t="s">
        <v>368</v>
      </c>
      <c r="E520" s="9" t="s">
        <v>3402</v>
      </c>
      <c r="F520" s="58" t="s">
        <v>3057</v>
      </c>
      <c r="G520" s="58">
        <v>9100</v>
      </c>
      <c r="H520" s="85">
        <v>0.18461538461538399</v>
      </c>
      <c r="I520" s="9">
        <v>31.2</v>
      </c>
      <c r="J520" s="9"/>
      <c r="K520" s="9"/>
      <c r="L520" s="9"/>
      <c r="M520" s="9"/>
      <c r="N520" s="9" t="s">
        <v>4597</v>
      </c>
      <c r="O520" s="9" t="s">
        <v>4098</v>
      </c>
      <c r="P520" s="9" t="s">
        <v>4626</v>
      </c>
      <c r="Q520" s="58" t="s">
        <v>3064</v>
      </c>
      <c r="R520" s="58">
        <v>4</v>
      </c>
      <c r="S520" s="58">
        <v>7</v>
      </c>
      <c r="T520" s="9" t="s">
        <v>4624</v>
      </c>
      <c r="U520" s="9" t="s">
        <v>4627</v>
      </c>
      <c r="V520" s="58">
        <v>4</v>
      </c>
      <c r="W520" s="9"/>
      <c r="X520" s="9"/>
      <c r="Y520" s="9"/>
      <c r="Z520" s="9"/>
    </row>
    <row r="521" spans="1:26" ht="15.75" hidden="1" customHeight="1">
      <c r="A521" s="9" t="s">
        <v>2534</v>
      </c>
      <c r="B521" s="9" t="s">
        <v>4628</v>
      </c>
      <c r="C521" s="9" t="s">
        <v>2303</v>
      </c>
      <c r="D521" s="9" t="s">
        <v>439</v>
      </c>
      <c r="E521" s="9"/>
      <c r="F521" s="9"/>
      <c r="G521" s="58">
        <v>9600</v>
      </c>
      <c r="H521" s="85">
        <v>0.05</v>
      </c>
      <c r="I521" s="9">
        <v>31.5</v>
      </c>
      <c r="J521" s="9"/>
      <c r="K521" s="9"/>
      <c r="L521" s="9"/>
      <c r="M521" s="9"/>
      <c r="N521" s="9" t="s">
        <v>3676</v>
      </c>
      <c r="O521" s="9" t="s">
        <v>4629</v>
      </c>
      <c r="P521" s="9" t="s">
        <v>3073</v>
      </c>
      <c r="Q521" s="58" t="s">
        <v>3074</v>
      </c>
      <c r="R521" s="58">
        <v>1</v>
      </c>
      <c r="S521" s="58">
        <v>8</v>
      </c>
      <c r="T521" s="9" t="s">
        <v>4630</v>
      </c>
      <c r="U521" s="9" t="s">
        <v>4631</v>
      </c>
      <c r="V521" s="58">
        <v>1</v>
      </c>
      <c r="W521" s="9"/>
      <c r="X521" s="9"/>
      <c r="Y521" s="9"/>
      <c r="Z521" s="9"/>
    </row>
    <row r="522" spans="1:26" ht="15.75" hidden="1" customHeight="1">
      <c r="A522" s="9" t="s">
        <v>2534</v>
      </c>
      <c r="B522" s="9" t="s">
        <v>4628</v>
      </c>
      <c r="C522" s="9" t="s">
        <v>2303</v>
      </c>
      <c r="D522" s="9" t="s">
        <v>368</v>
      </c>
      <c r="E522" s="9" t="s">
        <v>3402</v>
      </c>
      <c r="F522" s="58" t="s">
        <v>3057</v>
      </c>
      <c r="G522" s="58">
        <v>9100</v>
      </c>
      <c r="H522" s="85">
        <v>0.18461538461538399</v>
      </c>
      <c r="I522" s="9">
        <v>31.5</v>
      </c>
      <c r="J522" s="9"/>
      <c r="K522" s="9"/>
      <c r="L522" s="9"/>
      <c r="M522" s="9"/>
      <c r="N522" s="9" t="s">
        <v>3676</v>
      </c>
      <c r="O522" s="9" t="s">
        <v>4629</v>
      </c>
      <c r="P522" s="9" t="s">
        <v>4626</v>
      </c>
      <c r="Q522" s="58" t="s">
        <v>3064</v>
      </c>
      <c r="R522" s="58">
        <v>4</v>
      </c>
      <c r="S522" s="58">
        <v>7</v>
      </c>
      <c r="T522" s="9" t="s">
        <v>4630</v>
      </c>
      <c r="U522" s="9" t="s">
        <v>4632</v>
      </c>
      <c r="V522" s="58">
        <v>4</v>
      </c>
      <c r="W522" s="9"/>
      <c r="X522" s="9"/>
      <c r="Y522" s="9"/>
      <c r="Z522" s="9"/>
    </row>
    <row r="523" spans="1:26" ht="15.75" hidden="1" customHeight="1">
      <c r="A523" s="9" t="s">
        <v>2540</v>
      </c>
      <c r="B523" s="9" t="s">
        <v>4633</v>
      </c>
      <c r="C523" s="9" t="s">
        <v>2300</v>
      </c>
      <c r="D523" s="9" t="s">
        <v>439</v>
      </c>
      <c r="E523" s="9"/>
      <c r="F523" s="9"/>
      <c r="G523" s="58">
        <v>9600</v>
      </c>
      <c r="H523" s="85">
        <v>0.05</v>
      </c>
      <c r="I523" s="9">
        <v>31.2</v>
      </c>
      <c r="J523" s="9"/>
      <c r="K523" s="9"/>
      <c r="L523" s="9"/>
      <c r="M523" s="9"/>
      <c r="N523" s="9" t="s">
        <v>4597</v>
      </c>
      <c r="O523" s="9" t="s">
        <v>4098</v>
      </c>
      <c r="P523" s="9" t="s">
        <v>3073</v>
      </c>
      <c r="Q523" s="58" t="s">
        <v>3074</v>
      </c>
      <c r="R523" s="58">
        <v>1</v>
      </c>
      <c r="S523" s="58">
        <v>8</v>
      </c>
      <c r="T523" s="9" t="s">
        <v>3065</v>
      </c>
      <c r="U523" s="9" t="s">
        <v>4634</v>
      </c>
      <c r="V523" s="58">
        <v>1</v>
      </c>
      <c r="W523" s="9"/>
      <c r="X523" s="9"/>
      <c r="Y523" s="9"/>
      <c r="Z523" s="9"/>
    </row>
    <row r="524" spans="1:26" ht="15.75" hidden="1" customHeight="1">
      <c r="A524" s="9" t="s">
        <v>2540</v>
      </c>
      <c r="B524" s="9" t="s">
        <v>4633</v>
      </c>
      <c r="C524" s="9" t="s">
        <v>2300</v>
      </c>
      <c r="D524" s="9" t="s">
        <v>368</v>
      </c>
      <c r="E524" s="9" t="s">
        <v>3402</v>
      </c>
      <c r="F524" s="58" t="s">
        <v>3057</v>
      </c>
      <c r="G524" s="58">
        <v>9100</v>
      </c>
      <c r="H524" s="85">
        <v>0.18461538461538399</v>
      </c>
      <c r="I524" s="9">
        <v>31.2</v>
      </c>
      <c r="J524" s="9"/>
      <c r="K524" s="9"/>
      <c r="L524" s="9"/>
      <c r="M524" s="9"/>
      <c r="N524" s="9" t="s">
        <v>4597</v>
      </c>
      <c r="O524" s="9" t="s">
        <v>4098</v>
      </c>
      <c r="P524" s="9" t="s">
        <v>4626</v>
      </c>
      <c r="Q524" s="58" t="s">
        <v>3064</v>
      </c>
      <c r="R524" s="58">
        <v>4</v>
      </c>
      <c r="S524" s="58">
        <v>7</v>
      </c>
      <c r="T524" s="9" t="s">
        <v>3065</v>
      </c>
      <c r="U524" s="9" t="s">
        <v>4635</v>
      </c>
      <c r="V524" s="58">
        <v>4</v>
      </c>
      <c r="W524" s="9"/>
      <c r="X524" s="9"/>
      <c r="Y524" s="9"/>
      <c r="Z524" s="9"/>
    </row>
    <row r="525" spans="1:26" ht="15.75" hidden="1" customHeight="1">
      <c r="A525" s="9" t="s">
        <v>4636</v>
      </c>
      <c r="B525" s="9" t="s">
        <v>4637</v>
      </c>
      <c r="C525" s="9" t="s">
        <v>4638</v>
      </c>
      <c r="D525" s="9" t="s">
        <v>368</v>
      </c>
      <c r="E525" s="9" t="s">
        <v>3092</v>
      </c>
      <c r="F525" s="58" t="s">
        <v>3087</v>
      </c>
      <c r="G525" s="58">
        <v>7000</v>
      </c>
      <c r="H525" s="85">
        <v>0.24</v>
      </c>
      <c r="I525" s="9">
        <v>10.1</v>
      </c>
      <c r="J525" s="9"/>
      <c r="K525" s="9"/>
      <c r="L525" s="9"/>
      <c r="M525" s="9"/>
      <c r="N525" s="9" t="s">
        <v>4639</v>
      </c>
      <c r="O525" s="9" t="s">
        <v>3081</v>
      </c>
      <c r="P525" s="9" t="s">
        <v>4640</v>
      </c>
      <c r="Q525" s="58" t="s">
        <v>3167</v>
      </c>
      <c r="R525" s="58">
        <v>4</v>
      </c>
      <c r="S525" s="58">
        <v>7</v>
      </c>
      <c r="T525" s="9" t="s">
        <v>3695</v>
      </c>
      <c r="U525" s="9" t="s">
        <v>4641</v>
      </c>
      <c r="V525" s="58">
        <v>4</v>
      </c>
      <c r="W525" s="9"/>
      <c r="X525" s="9"/>
      <c r="Y525" s="9"/>
      <c r="Z525" s="9"/>
    </row>
    <row r="526" spans="1:26" ht="15.75" hidden="1" customHeight="1">
      <c r="A526" s="9" t="s">
        <v>2135</v>
      </c>
      <c r="B526" s="9" t="s">
        <v>4642</v>
      </c>
      <c r="C526" s="9" t="s">
        <v>2137</v>
      </c>
      <c r="D526" s="9" t="s">
        <v>368</v>
      </c>
      <c r="E526" s="9" t="s">
        <v>3092</v>
      </c>
      <c r="F526" s="58" t="s">
        <v>3087</v>
      </c>
      <c r="G526" s="58">
        <v>7000</v>
      </c>
      <c r="H526" s="85">
        <v>0.24</v>
      </c>
      <c r="I526" s="9">
        <v>40.4</v>
      </c>
      <c r="J526" s="9"/>
      <c r="K526" s="9"/>
      <c r="L526" s="9"/>
      <c r="M526" s="9"/>
      <c r="N526" s="9" t="s">
        <v>3691</v>
      </c>
      <c r="O526" s="9" t="s">
        <v>3081</v>
      </c>
      <c r="P526" s="9" t="s">
        <v>4643</v>
      </c>
      <c r="Q526" s="58" t="s">
        <v>3167</v>
      </c>
      <c r="R526" s="58">
        <v>4</v>
      </c>
      <c r="S526" s="58">
        <v>7</v>
      </c>
      <c r="T526" s="9" t="s">
        <v>3695</v>
      </c>
      <c r="U526" s="9" t="s">
        <v>4644</v>
      </c>
      <c r="V526" s="58">
        <v>4</v>
      </c>
      <c r="W526" s="9"/>
      <c r="X526" s="9"/>
      <c r="Y526" s="9"/>
      <c r="Z526" s="9"/>
    </row>
    <row r="527" spans="1:26" ht="15.75" hidden="1" customHeight="1">
      <c r="A527" s="9" t="s">
        <v>2227</v>
      </c>
      <c r="B527" s="9" t="s">
        <v>4645</v>
      </c>
      <c r="C527" s="9" t="s">
        <v>927</v>
      </c>
      <c r="D527" s="9" t="s">
        <v>368</v>
      </c>
      <c r="E527" s="9" t="s">
        <v>3067</v>
      </c>
      <c r="F527" s="58" t="s">
        <v>3057</v>
      </c>
      <c r="G527" s="58">
        <v>4900</v>
      </c>
      <c r="H527" s="85">
        <v>0.34285714285714203</v>
      </c>
      <c r="I527" s="9">
        <v>60</v>
      </c>
      <c r="J527" s="9"/>
      <c r="K527" s="9"/>
      <c r="L527" s="9"/>
      <c r="M527" s="9"/>
      <c r="N527" s="9" t="s">
        <v>3130</v>
      </c>
      <c r="O527" s="9" t="s">
        <v>3081</v>
      </c>
      <c r="P527" s="9" t="s">
        <v>4646</v>
      </c>
      <c r="Q527" s="58" t="s">
        <v>3155</v>
      </c>
      <c r="R527" s="58">
        <v>4</v>
      </c>
      <c r="S527" s="58">
        <v>7</v>
      </c>
      <c r="T527" s="9" t="s">
        <v>3695</v>
      </c>
      <c r="U527" s="9" t="s">
        <v>4647</v>
      </c>
      <c r="V527" s="58">
        <v>4</v>
      </c>
      <c r="W527" s="9"/>
      <c r="X527" s="9"/>
      <c r="Y527" s="9"/>
      <c r="Z527" s="9"/>
    </row>
    <row r="528" spans="1:26" ht="15.75" hidden="1" customHeight="1">
      <c r="A528" s="9" t="s">
        <v>4648</v>
      </c>
      <c r="B528" s="9" t="s">
        <v>4649</v>
      </c>
      <c r="C528" s="9" t="s">
        <v>4638</v>
      </c>
      <c r="D528" s="9" t="s">
        <v>368</v>
      </c>
      <c r="E528" s="9" t="s">
        <v>3092</v>
      </c>
      <c r="F528" s="58" t="s">
        <v>3087</v>
      </c>
      <c r="G528" s="58">
        <v>7000</v>
      </c>
      <c r="H528" s="85">
        <v>0.24</v>
      </c>
      <c r="I528" s="9">
        <v>10.1</v>
      </c>
      <c r="J528" s="9"/>
      <c r="K528" s="9"/>
      <c r="L528" s="9"/>
      <c r="M528" s="9"/>
      <c r="N528" s="9" t="s">
        <v>4639</v>
      </c>
      <c r="O528" s="9" t="s">
        <v>3081</v>
      </c>
      <c r="P528" s="9" t="s">
        <v>4650</v>
      </c>
      <c r="Q528" s="58" t="s">
        <v>3167</v>
      </c>
      <c r="R528" s="58">
        <v>4</v>
      </c>
      <c r="S528" s="58">
        <v>7</v>
      </c>
      <c r="T528" s="9" t="s">
        <v>4651</v>
      </c>
      <c r="U528" s="9" t="s">
        <v>4652</v>
      </c>
      <c r="V528" s="58">
        <v>4</v>
      </c>
      <c r="W528" s="9"/>
      <c r="X528" s="9"/>
      <c r="Y528" s="9"/>
      <c r="Z528" s="9"/>
    </row>
    <row r="529" spans="1:26" ht="15.75" hidden="1" customHeight="1">
      <c r="A529" s="9" t="s">
        <v>2139</v>
      </c>
      <c r="B529" s="9" t="s">
        <v>4653</v>
      </c>
      <c r="C529" s="9" t="s">
        <v>2137</v>
      </c>
      <c r="D529" s="9" t="s">
        <v>368</v>
      </c>
      <c r="E529" s="9" t="s">
        <v>3092</v>
      </c>
      <c r="F529" s="58" t="s">
        <v>3087</v>
      </c>
      <c r="G529" s="58">
        <v>6300</v>
      </c>
      <c r="H529" s="85">
        <v>0.266666666666666</v>
      </c>
      <c r="I529" s="9">
        <v>40.4</v>
      </c>
      <c r="J529" s="9"/>
      <c r="K529" s="9"/>
      <c r="L529" s="9"/>
      <c r="M529" s="9"/>
      <c r="N529" s="9" t="s">
        <v>3691</v>
      </c>
      <c r="O529" s="9" t="s">
        <v>3081</v>
      </c>
      <c r="P529" s="9" t="s">
        <v>4654</v>
      </c>
      <c r="Q529" s="58" t="s">
        <v>3069</v>
      </c>
      <c r="R529" s="58">
        <v>4</v>
      </c>
      <c r="S529" s="58">
        <v>7</v>
      </c>
      <c r="T529" s="9" t="s">
        <v>4651</v>
      </c>
      <c r="U529" s="9" t="s">
        <v>4655</v>
      </c>
      <c r="V529" s="58">
        <v>4</v>
      </c>
      <c r="W529" s="9"/>
      <c r="X529" s="9"/>
      <c r="Y529" s="9"/>
      <c r="Z529" s="9"/>
    </row>
    <row r="530" spans="1:26" ht="15.75" hidden="1" customHeight="1">
      <c r="A530" s="9" t="s">
        <v>1720</v>
      </c>
      <c r="B530" s="9" t="s">
        <v>4656</v>
      </c>
      <c r="C530" s="9" t="s">
        <v>647</v>
      </c>
      <c r="D530" s="9" t="s">
        <v>439</v>
      </c>
      <c r="E530" s="9"/>
      <c r="F530" s="9"/>
      <c r="G530" s="58">
        <v>24000</v>
      </c>
      <c r="H530" s="85">
        <v>0.02</v>
      </c>
      <c r="I530" s="9">
        <v>10</v>
      </c>
      <c r="J530" s="9"/>
      <c r="K530" s="9"/>
      <c r="L530" s="9"/>
      <c r="M530" s="9"/>
      <c r="N530" s="9" t="s">
        <v>4657</v>
      </c>
      <c r="O530" s="9" t="s">
        <v>3051</v>
      </c>
      <c r="P530" s="9" t="s">
        <v>4229</v>
      </c>
      <c r="Q530" s="58" t="s">
        <v>4230</v>
      </c>
      <c r="R530" s="58">
        <v>1</v>
      </c>
      <c r="S530" s="58">
        <v>8</v>
      </c>
      <c r="T530" s="9" t="s">
        <v>4658</v>
      </c>
      <c r="U530" s="9" t="s">
        <v>4659</v>
      </c>
      <c r="V530" s="58">
        <v>1</v>
      </c>
      <c r="W530" s="9"/>
      <c r="X530" s="9"/>
      <c r="Y530" s="9"/>
      <c r="Z530" s="9"/>
    </row>
    <row r="531" spans="1:26" ht="15.75" hidden="1" customHeight="1">
      <c r="A531" s="9" t="s">
        <v>1720</v>
      </c>
      <c r="B531" s="9" t="s">
        <v>4656</v>
      </c>
      <c r="C531" s="9" t="s">
        <v>647</v>
      </c>
      <c r="D531" s="9" t="s">
        <v>368</v>
      </c>
      <c r="E531" s="9" t="s">
        <v>3067</v>
      </c>
      <c r="F531" s="58" t="s">
        <v>3057</v>
      </c>
      <c r="G531" s="58">
        <v>10850</v>
      </c>
      <c r="H531" s="85">
        <v>0.11612903225806399</v>
      </c>
      <c r="I531" s="9">
        <v>10</v>
      </c>
      <c r="J531" s="9"/>
      <c r="K531" s="9"/>
      <c r="L531" s="9"/>
      <c r="M531" s="9"/>
      <c r="N531" s="9" t="s">
        <v>4657</v>
      </c>
      <c r="O531" s="9" t="s">
        <v>3051</v>
      </c>
      <c r="P531" s="9" t="s">
        <v>4660</v>
      </c>
      <c r="Q531" s="58" t="s">
        <v>3348</v>
      </c>
      <c r="R531" s="58">
        <v>3</v>
      </c>
      <c r="S531" s="58">
        <v>7</v>
      </c>
      <c r="T531" s="9" t="s">
        <v>4658</v>
      </c>
      <c r="U531" s="9" t="s">
        <v>4661</v>
      </c>
      <c r="V531" s="58">
        <v>3</v>
      </c>
      <c r="W531" s="9"/>
      <c r="X531" s="9"/>
      <c r="Y531" s="9"/>
      <c r="Z531" s="9"/>
    </row>
    <row r="532" spans="1:26" ht="15.75" hidden="1" customHeight="1">
      <c r="A532" s="9" t="s">
        <v>1720</v>
      </c>
      <c r="B532" s="9" t="s">
        <v>4656</v>
      </c>
      <c r="C532" s="9" t="s">
        <v>647</v>
      </c>
      <c r="D532" s="9" t="s">
        <v>526</v>
      </c>
      <c r="E532" s="9"/>
      <c r="F532" s="9"/>
      <c r="G532" s="58">
        <v>7700</v>
      </c>
      <c r="H532" s="85">
        <v>5.4545454545454501E-2</v>
      </c>
      <c r="I532" s="9">
        <v>10</v>
      </c>
      <c r="J532" s="9"/>
      <c r="K532" s="9"/>
      <c r="L532" s="9"/>
      <c r="M532" s="9"/>
      <c r="N532" s="9" t="s">
        <v>4657</v>
      </c>
      <c r="O532" s="9" t="s">
        <v>3051</v>
      </c>
      <c r="P532" s="9" t="s">
        <v>4662</v>
      </c>
      <c r="Q532" s="58" t="s">
        <v>3077</v>
      </c>
      <c r="R532" s="58">
        <v>1</v>
      </c>
      <c r="S532" s="58">
        <v>7</v>
      </c>
      <c r="T532" s="9" t="s">
        <v>4658</v>
      </c>
      <c r="U532" s="9" t="s">
        <v>4663</v>
      </c>
      <c r="V532" s="58">
        <v>1</v>
      </c>
      <c r="W532" s="9"/>
      <c r="X532" s="9"/>
      <c r="Y532" s="9"/>
      <c r="Z532" s="9"/>
    </row>
    <row r="533" spans="1:26" ht="15.75" hidden="1" customHeight="1">
      <c r="A533" s="9" t="s">
        <v>4664</v>
      </c>
      <c r="B533" s="9" t="s">
        <v>4665</v>
      </c>
      <c r="C533" s="9" t="s">
        <v>4666</v>
      </c>
      <c r="D533" s="9" t="s">
        <v>439</v>
      </c>
      <c r="E533" s="9"/>
      <c r="F533" s="9"/>
      <c r="G533" s="58">
        <v>9600</v>
      </c>
      <c r="H533" s="85">
        <v>0.05</v>
      </c>
      <c r="I533" s="9">
        <v>10</v>
      </c>
      <c r="J533" s="9"/>
      <c r="K533" s="9"/>
      <c r="L533" s="9"/>
      <c r="M533" s="9"/>
      <c r="N533" s="9" t="s">
        <v>4667</v>
      </c>
      <c r="O533" s="9" t="s">
        <v>3051</v>
      </c>
      <c r="P533" s="9" t="s">
        <v>3073</v>
      </c>
      <c r="Q533" s="58" t="s">
        <v>3074</v>
      </c>
      <c r="R533" s="58">
        <v>1</v>
      </c>
      <c r="S533" s="58">
        <v>8</v>
      </c>
      <c r="T533" s="9" t="s">
        <v>4658</v>
      </c>
      <c r="U533" s="9" t="s">
        <v>4668</v>
      </c>
      <c r="V533" s="58">
        <v>1</v>
      </c>
      <c r="W533" s="9"/>
      <c r="X533" s="9"/>
      <c r="Y533" s="9"/>
      <c r="Z533" s="9"/>
    </row>
    <row r="534" spans="1:26" ht="15.75" hidden="1" customHeight="1">
      <c r="A534" s="9" t="s">
        <v>4664</v>
      </c>
      <c r="B534" s="9" t="s">
        <v>4665</v>
      </c>
      <c r="C534" s="9" t="s">
        <v>4666</v>
      </c>
      <c r="D534" s="9" t="s">
        <v>368</v>
      </c>
      <c r="E534" s="9" t="s">
        <v>3067</v>
      </c>
      <c r="F534" s="58" t="s">
        <v>3057</v>
      </c>
      <c r="G534" s="58">
        <v>7000</v>
      </c>
      <c r="H534" s="85">
        <v>0.24</v>
      </c>
      <c r="I534" s="9">
        <v>10</v>
      </c>
      <c r="J534" s="9"/>
      <c r="K534" s="9"/>
      <c r="L534" s="9"/>
      <c r="M534" s="9"/>
      <c r="N534" s="9" t="s">
        <v>4667</v>
      </c>
      <c r="O534" s="9" t="s">
        <v>3051</v>
      </c>
      <c r="P534" s="9" t="s">
        <v>4669</v>
      </c>
      <c r="Q534" s="58" t="s">
        <v>3167</v>
      </c>
      <c r="R534" s="58">
        <v>4</v>
      </c>
      <c r="S534" s="58">
        <v>7</v>
      </c>
      <c r="T534" s="9" t="s">
        <v>4658</v>
      </c>
      <c r="U534" s="9" t="s">
        <v>4670</v>
      </c>
      <c r="V534" s="58">
        <v>4</v>
      </c>
      <c r="W534" s="9"/>
      <c r="X534" s="9"/>
      <c r="Y534" s="9"/>
      <c r="Z534" s="9"/>
    </row>
    <row r="535" spans="1:26" ht="15.75" hidden="1" customHeight="1">
      <c r="A535" s="9" t="s">
        <v>4664</v>
      </c>
      <c r="B535" s="9" t="s">
        <v>4665</v>
      </c>
      <c r="C535" s="9" t="s">
        <v>4666</v>
      </c>
      <c r="D535" s="9" t="s">
        <v>526</v>
      </c>
      <c r="E535" s="9"/>
      <c r="F535" s="9"/>
      <c r="G535" s="58">
        <v>7000</v>
      </c>
      <c r="H535" s="85">
        <v>0.06</v>
      </c>
      <c r="I535" s="9">
        <v>10</v>
      </c>
      <c r="J535" s="9"/>
      <c r="K535" s="9"/>
      <c r="L535" s="9"/>
      <c r="M535" s="9"/>
      <c r="N535" s="9" t="s">
        <v>4667</v>
      </c>
      <c r="O535" s="9" t="s">
        <v>3051</v>
      </c>
      <c r="P535" s="9" t="s">
        <v>4671</v>
      </c>
      <c r="Q535" s="58" t="s">
        <v>3167</v>
      </c>
      <c r="R535" s="58">
        <v>1</v>
      </c>
      <c r="S535" s="58">
        <v>7</v>
      </c>
      <c r="T535" s="9" t="s">
        <v>4658</v>
      </c>
      <c r="U535" s="9" t="s">
        <v>4672</v>
      </c>
      <c r="V535" s="58">
        <v>1</v>
      </c>
      <c r="W535" s="9"/>
      <c r="X535" s="9"/>
      <c r="Y535" s="9"/>
      <c r="Z535" s="9"/>
    </row>
    <row r="536" spans="1:26" ht="15.75" hidden="1" customHeight="1">
      <c r="A536" s="9" t="s">
        <v>304</v>
      </c>
      <c r="B536" s="9" t="s">
        <v>4673</v>
      </c>
      <c r="C536" s="9" t="s">
        <v>305</v>
      </c>
      <c r="D536" s="9" t="s">
        <v>439</v>
      </c>
      <c r="E536" s="9"/>
      <c r="F536" s="9"/>
      <c r="G536" s="58">
        <v>7200</v>
      </c>
      <c r="H536" s="85">
        <v>6.6666666666666596E-2</v>
      </c>
      <c r="I536" s="9">
        <v>35.5</v>
      </c>
      <c r="J536" s="9"/>
      <c r="K536" s="9"/>
      <c r="L536" s="9"/>
      <c r="M536" s="9"/>
      <c r="N536" s="9" t="s">
        <v>3509</v>
      </c>
      <c r="O536" s="9" t="s">
        <v>4212</v>
      </c>
      <c r="P536" s="9" t="s">
        <v>3644</v>
      </c>
      <c r="Q536" s="58" t="s">
        <v>3069</v>
      </c>
      <c r="R536" s="58">
        <v>1</v>
      </c>
      <c r="S536" s="58">
        <v>8</v>
      </c>
      <c r="T536" s="9" t="s">
        <v>4674</v>
      </c>
      <c r="U536" s="9" t="s">
        <v>4675</v>
      </c>
      <c r="V536" s="58">
        <v>1</v>
      </c>
      <c r="W536" s="9"/>
      <c r="X536" s="9"/>
      <c r="Y536" s="9"/>
      <c r="Z536" s="9"/>
    </row>
    <row r="537" spans="1:26" ht="15.75" hidden="1" customHeight="1">
      <c r="A537" s="9" t="s">
        <v>304</v>
      </c>
      <c r="B537" s="9" t="s">
        <v>4673</v>
      </c>
      <c r="C537" s="9" t="s">
        <v>305</v>
      </c>
      <c r="D537" s="9" t="s">
        <v>368</v>
      </c>
      <c r="E537" s="9" t="s">
        <v>4140</v>
      </c>
      <c r="F537" s="58" t="s">
        <v>3087</v>
      </c>
      <c r="G537" s="58">
        <v>4830</v>
      </c>
      <c r="H537" s="85">
        <v>0.26086956521739102</v>
      </c>
      <c r="I537" s="9">
        <v>35.5</v>
      </c>
      <c r="J537" s="9"/>
      <c r="K537" s="9"/>
      <c r="L537" s="9"/>
      <c r="M537" s="9"/>
      <c r="N537" s="9" t="s">
        <v>3509</v>
      </c>
      <c r="O537" s="9" t="s">
        <v>4212</v>
      </c>
      <c r="P537" s="9" t="s">
        <v>4676</v>
      </c>
      <c r="Q537" s="58" t="s">
        <v>4677</v>
      </c>
      <c r="R537" s="58">
        <v>3</v>
      </c>
      <c r="S537" s="58">
        <v>7</v>
      </c>
      <c r="T537" s="9" t="s">
        <v>4674</v>
      </c>
      <c r="U537" s="9" t="s">
        <v>4678</v>
      </c>
      <c r="V537" s="58">
        <v>3</v>
      </c>
      <c r="W537" s="9"/>
      <c r="X537" s="9"/>
      <c r="Y537" s="9"/>
      <c r="Z537" s="9"/>
    </row>
    <row r="538" spans="1:26" ht="15.75" hidden="1" customHeight="1">
      <c r="A538" s="9" t="s">
        <v>287</v>
      </c>
      <c r="B538" s="9" t="s">
        <v>4679</v>
      </c>
      <c r="C538" s="9" t="s">
        <v>288</v>
      </c>
      <c r="D538" s="9" t="s">
        <v>439</v>
      </c>
      <c r="E538" s="9"/>
      <c r="F538" s="9"/>
      <c r="G538" s="58">
        <v>9600</v>
      </c>
      <c r="H538" s="85">
        <v>0.05</v>
      </c>
      <c r="I538" s="9">
        <v>35.5</v>
      </c>
      <c r="J538" s="9"/>
      <c r="K538" s="9"/>
      <c r="L538" s="9"/>
      <c r="M538" s="9"/>
      <c r="N538" s="9" t="s">
        <v>4411</v>
      </c>
      <c r="O538" s="9" t="s">
        <v>4212</v>
      </c>
      <c r="P538" s="9" t="s">
        <v>3073</v>
      </c>
      <c r="Q538" s="58" t="s">
        <v>3074</v>
      </c>
      <c r="R538" s="58">
        <v>1</v>
      </c>
      <c r="S538" s="58">
        <v>8</v>
      </c>
      <c r="T538" s="9" t="s">
        <v>4680</v>
      </c>
      <c r="U538" s="9" t="s">
        <v>4681</v>
      </c>
      <c r="V538" s="58">
        <v>1</v>
      </c>
      <c r="W538" s="9"/>
      <c r="X538" s="9"/>
      <c r="Y538" s="9"/>
      <c r="Z538" s="9"/>
    </row>
    <row r="539" spans="1:26" ht="15.75" hidden="1" customHeight="1">
      <c r="A539" s="9" t="s">
        <v>287</v>
      </c>
      <c r="B539" s="9" t="s">
        <v>4679</v>
      </c>
      <c r="C539" s="9" t="s">
        <v>288</v>
      </c>
      <c r="D539" s="9" t="s">
        <v>368</v>
      </c>
      <c r="E539" s="9" t="s">
        <v>4140</v>
      </c>
      <c r="F539" s="58" t="s">
        <v>3087</v>
      </c>
      <c r="G539" s="58">
        <v>4900</v>
      </c>
      <c r="H539" s="85">
        <v>0.25714285714285701</v>
      </c>
      <c r="I539" s="9">
        <v>35.5</v>
      </c>
      <c r="J539" s="9"/>
      <c r="K539" s="9"/>
      <c r="L539" s="9"/>
      <c r="M539" s="9"/>
      <c r="N539" s="9" t="s">
        <v>4411</v>
      </c>
      <c r="O539" s="9" t="s">
        <v>4212</v>
      </c>
      <c r="P539" s="9" t="s">
        <v>4682</v>
      </c>
      <c r="Q539" s="58" t="s">
        <v>3155</v>
      </c>
      <c r="R539" s="58">
        <v>3</v>
      </c>
      <c r="S539" s="58">
        <v>7</v>
      </c>
      <c r="T539" s="9" t="s">
        <v>4680</v>
      </c>
      <c r="U539" s="9" t="s">
        <v>4683</v>
      </c>
      <c r="V539" s="58">
        <v>3</v>
      </c>
      <c r="W539" s="9"/>
      <c r="X539" s="9"/>
      <c r="Y539" s="9"/>
      <c r="Z539" s="9"/>
    </row>
    <row r="540" spans="1:26" ht="15.75" hidden="1" customHeight="1">
      <c r="A540" s="9" t="s">
        <v>1728</v>
      </c>
      <c r="B540" s="9" t="s">
        <v>4684</v>
      </c>
      <c r="C540" s="9" t="s">
        <v>492</v>
      </c>
      <c r="D540" s="9" t="s">
        <v>439</v>
      </c>
      <c r="E540" s="9"/>
      <c r="F540" s="9"/>
      <c r="G540" s="58">
        <v>8800</v>
      </c>
      <c r="H540" s="85">
        <v>5.4545454545454501E-2</v>
      </c>
      <c r="I540" s="9">
        <v>28</v>
      </c>
      <c r="J540" s="9"/>
      <c r="K540" s="9"/>
      <c r="L540" s="9"/>
      <c r="M540" s="9"/>
      <c r="N540" s="9" t="s">
        <v>3130</v>
      </c>
      <c r="O540" s="9" t="s">
        <v>4212</v>
      </c>
      <c r="P540" s="9" t="s">
        <v>3125</v>
      </c>
      <c r="Q540" s="58" t="s">
        <v>3077</v>
      </c>
      <c r="R540" s="58">
        <v>1</v>
      </c>
      <c r="S540" s="58">
        <v>8</v>
      </c>
      <c r="T540" s="9" t="s">
        <v>4685</v>
      </c>
      <c r="U540" s="9" t="s">
        <v>4686</v>
      </c>
      <c r="V540" s="58">
        <v>1</v>
      </c>
      <c r="W540" s="9"/>
      <c r="X540" s="9"/>
      <c r="Y540" s="9"/>
      <c r="Z540" s="9"/>
    </row>
    <row r="541" spans="1:26" ht="15.75" hidden="1" customHeight="1">
      <c r="A541" s="9" t="s">
        <v>1728</v>
      </c>
      <c r="B541" s="9" t="s">
        <v>4684</v>
      </c>
      <c r="C541" s="9" t="s">
        <v>492</v>
      </c>
      <c r="D541" s="9" t="s">
        <v>368</v>
      </c>
      <c r="E541" s="9" t="s">
        <v>3402</v>
      </c>
      <c r="F541" s="58" t="s">
        <v>3057</v>
      </c>
      <c r="G541" s="58">
        <v>5950</v>
      </c>
      <c r="H541" s="85">
        <v>0.21176470588235199</v>
      </c>
      <c r="I541" s="9">
        <v>28</v>
      </c>
      <c r="J541" s="9"/>
      <c r="K541" s="9"/>
      <c r="L541" s="9"/>
      <c r="M541" s="9"/>
      <c r="N541" s="9" t="s">
        <v>3130</v>
      </c>
      <c r="O541" s="9" t="s">
        <v>4212</v>
      </c>
      <c r="P541" s="9" t="s">
        <v>4687</v>
      </c>
      <c r="Q541" s="58" t="s">
        <v>3132</v>
      </c>
      <c r="R541" s="58">
        <v>3</v>
      </c>
      <c r="S541" s="58">
        <v>7</v>
      </c>
      <c r="T541" s="9" t="s">
        <v>4685</v>
      </c>
      <c r="U541" s="9" t="s">
        <v>4688</v>
      </c>
      <c r="V541" s="58">
        <v>3</v>
      </c>
      <c r="W541" s="9"/>
      <c r="X541" s="9"/>
      <c r="Y541" s="9"/>
      <c r="Z541" s="9"/>
    </row>
    <row r="542" spans="1:26" ht="15.75" hidden="1" customHeight="1">
      <c r="A542" s="9" t="s">
        <v>1730</v>
      </c>
      <c r="B542" s="9" t="s">
        <v>4689</v>
      </c>
      <c r="C542" s="9" t="s">
        <v>494</v>
      </c>
      <c r="D542" s="9" t="s">
        <v>439</v>
      </c>
      <c r="E542" s="9"/>
      <c r="F542" s="9"/>
      <c r="G542" s="58">
        <v>8800</v>
      </c>
      <c r="H542" s="85">
        <v>5.4545454545454501E-2</v>
      </c>
      <c r="I542" s="9">
        <v>28</v>
      </c>
      <c r="J542" s="9"/>
      <c r="K542" s="9"/>
      <c r="L542" s="9"/>
      <c r="M542" s="9"/>
      <c r="N542" s="9" t="s">
        <v>3676</v>
      </c>
      <c r="O542" s="9" t="s">
        <v>4212</v>
      </c>
      <c r="P542" s="9" t="s">
        <v>3125</v>
      </c>
      <c r="Q542" s="58" t="s">
        <v>3077</v>
      </c>
      <c r="R542" s="58">
        <v>1</v>
      </c>
      <c r="S542" s="58">
        <v>8</v>
      </c>
      <c r="T542" s="9" t="s">
        <v>4690</v>
      </c>
      <c r="U542" s="9" t="s">
        <v>4691</v>
      </c>
      <c r="V542" s="58">
        <v>1</v>
      </c>
      <c r="W542" s="9"/>
      <c r="X542" s="9"/>
      <c r="Y542" s="9"/>
      <c r="Z542" s="9"/>
    </row>
    <row r="543" spans="1:26" ht="15.75" hidden="1" customHeight="1">
      <c r="A543" s="9" t="s">
        <v>1730</v>
      </c>
      <c r="B543" s="9" t="s">
        <v>4689</v>
      </c>
      <c r="C543" s="9" t="s">
        <v>494</v>
      </c>
      <c r="D543" s="9" t="s">
        <v>368</v>
      </c>
      <c r="E543" s="9" t="s">
        <v>3402</v>
      </c>
      <c r="F543" s="58" t="s">
        <v>3057</v>
      </c>
      <c r="G543" s="58">
        <v>5950</v>
      </c>
      <c r="H543" s="85">
        <v>0.21176470588235199</v>
      </c>
      <c r="I543" s="9">
        <v>28</v>
      </c>
      <c r="J543" s="9"/>
      <c r="K543" s="9"/>
      <c r="L543" s="9"/>
      <c r="M543" s="9"/>
      <c r="N543" s="9" t="s">
        <v>3676</v>
      </c>
      <c r="O543" s="9" t="s">
        <v>4212</v>
      </c>
      <c r="P543" s="9" t="s">
        <v>4687</v>
      </c>
      <c r="Q543" s="58" t="s">
        <v>3132</v>
      </c>
      <c r="R543" s="58">
        <v>3</v>
      </c>
      <c r="S543" s="58">
        <v>7</v>
      </c>
      <c r="T543" s="9" t="s">
        <v>4690</v>
      </c>
      <c r="U543" s="9" t="s">
        <v>4692</v>
      </c>
      <c r="V543" s="58">
        <v>3</v>
      </c>
      <c r="W543" s="9"/>
      <c r="X543" s="9"/>
      <c r="Y543" s="9"/>
      <c r="Z543" s="9"/>
    </row>
    <row r="544" spans="1:26" ht="15.75" hidden="1" customHeight="1">
      <c r="A544" s="9" t="s">
        <v>1732</v>
      </c>
      <c r="B544" s="9" t="s">
        <v>4693</v>
      </c>
      <c r="C544" s="9" t="s">
        <v>503</v>
      </c>
      <c r="D544" s="9" t="s">
        <v>439</v>
      </c>
      <c r="E544" s="9"/>
      <c r="F544" s="9"/>
      <c r="G544" s="58">
        <v>8800</v>
      </c>
      <c r="H544" s="85">
        <v>5.4545454545454501E-2</v>
      </c>
      <c r="I544" s="9">
        <v>5</v>
      </c>
      <c r="J544" s="9"/>
      <c r="K544" s="9"/>
      <c r="L544" s="9"/>
      <c r="M544" s="9"/>
      <c r="N544" s="9" t="s">
        <v>4694</v>
      </c>
      <c r="O544" s="9" t="s">
        <v>3051</v>
      </c>
      <c r="P544" s="9" t="s">
        <v>3125</v>
      </c>
      <c r="Q544" s="58" t="s">
        <v>3077</v>
      </c>
      <c r="R544" s="58">
        <v>1</v>
      </c>
      <c r="S544" s="58">
        <v>8</v>
      </c>
      <c r="T544" s="9" t="s">
        <v>4695</v>
      </c>
      <c r="U544" s="9" t="s">
        <v>4696</v>
      </c>
      <c r="V544" s="58">
        <v>1</v>
      </c>
      <c r="W544" s="9"/>
      <c r="X544" s="9"/>
      <c r="Y544" s="9"/>
      <c r="Z544" s="9"/>
    </row>
    <row r="545" spans="1:26" ht="15.75" hidden="1" customHeight="1">
      <c r="A545" s="9" t="s">
        <v>1732</v>
      </c>
      <c r="B545" s="9" t="s">
        <v>4693</v>
      </c>
      <c r="C545" s="9" t="s">
        <v>503</v>
      </c>
      <c r="D545" s="9" t="s">
        <v>368</v>
      </c>
      <c r="E545" s="9" t="s">
        <v>3067</v>
      </c>
      <c r="F545" s="58" t="s">
        <v>3057</v>
      </c>
      <c r="G545" s="58">
        <v>8400</v>
      </c>
      <c r="H545" s="85">
        <v>0.2</v>
      </c>
      <c r="I545" s="9">
        <v>5</v>
      </c>
      <c r="J545" s="9"/>
      <c r="K545" s="9"/>
      <c r="L545" s="9"/>
      <c r="M545" s="9"/>
      <c r="N545" s="9" t="s">
        <v>4694</v>
      </c>
      <c r="O545" s="9" t="s">
        <v>3051</v>
      </c>
      <c r="P545" s="9" t="s">
        <v>4697</v>
      </c>
      <c r="Q545" s="58" t="s">
        <v>3074</v>
      </c>
      <c r="R545" s="58">
        <v>4</v>
      </c>
      <c r="S545" s="58">
        <v>7</v>
      </c>
      <c r="T545" s="9" t="s">
        <v>4695</v>
      </c>
      <c r="U545" s="9" t="s">
        <v>4698</v>
      </c>
      <c r="V545" s="58">
        <v>4</v>
      </c>
      <c r="W545" s="9"/>
      <c r="X545" s="9"/>
      <c r="Y545" s="9"/>
      <c r="Z545" s="9"/>
    </row>
    <row r="546" spans="1:26" ht="15.75" hidden="1" customHeight="1">
      <c r="A546" s="9" t="s">
        <v>324</v>
      </c>
      <c r="B546" s="9" t="s">
        <v>4699</v>
      </c>
      <c r="C546" s="9" t="s">
        <v>325</v>
      </c>
      <c r="D546" s="9" t="s">
        <v>439</v>
      </c>
      <c r="E546" s="9"/>
      <c r="F546" s="9"/>
      <c r="G546" s="58">
        <v>6240</v>
      </c>
      <c r="H546" s="85">
        <v>7.69230769230769E-2</v>
      </c>
      <c r="I546" s="9">
        <v>48.2</v>
      </c>
      <c r="J546" s="9"/>
      <c r="K546" s="9"/>
      <c r="L546" s="9"/>
      <c r="M546" s="9"/>
      <c r="N546" s="9" t="s">
        <v>3105</v>
      </c>
      <c r="O546" s="9" t="s">
        <v>3081</v>
      </c>
      <c r="P546" s="9" t="s">
        <v>4700</v>
      </c>
      <c r="Q546" s="58" t="s">
        <v>3520</v>
      </c>
      <c r="R546" s="58">
        <v>1</v>
      </c>
      <c r="S546" s="58">
        <v>8</v>
      </c>
      <c r="T546" s="9" t="s">
        <v>4701</v>
      </c>
      <c r="U546" s="9" t="s">
        <v>4702</v>
      </c>
      <c r="V546" s="58">
        <v>1</v>
      </c>
      <c r="W546" s="9"/>
      <c r="X546" s="9"/>
      <c r="Y546" s="9"/>
      <c r="Z546" s="9"/>
    </row>
    <row r="547" spans="1:26" ht="15.75" hidden="1" customHeight="1">
      <c r="A547" s="9" t="s">
        <v>324</v>
      </c>
      <c r="B547" s="9" t="s">
        <v>4699</v>
      </c>
      <c r="C547" s="9" t="s">
        <v>325</v>
      </c>
      <c r="D547" s="9" t="s">
        <v>368</v>
      </c>
      <c r="E547" s="9" t="s">
        <v>3092</v>
      </c>
      <c r="F547" s="58" t="s">
        <v>3087</v>
      </c>
      <c r="G547" s="58">
        <v>4550</v>
      </c>
      <c r="H547" s="85">
        <v>0.36923076923076897</v>
      </c>
      <c r="I547" s="9">
        <v>48.2</v>
      </c>
      <c r="J547" s="9"/>
      <c r="K547" s="9"/>
      <c r="L547" s="9"/>
      <c r="M547" s="9"/>
      <c r="N547" s="9" t="s">
        <v>3105</v>
      </c>
      <c r="O547" s="9" t="s">
        <v>3081</v>
      </c>
      <c r="P547" s="9" t="s">
        <v>4703</v>
      </c>
      <c r="Q547" s="58" t="s">
        <v>3687</v>
      </c>
      <c r="R547" s="58">
        <v>4</v>
      </c>
      <c r="S547" s="58">
        <v>7</v>
      </c>
      <c r="T547" s="9" t="s">
        <v>4701</v>
      </c>
      <c r="U547" s="9" t="s">
        <v>4704</v>
      </c>
      <c r="V547" s="58">
        <v>4</v>
      </c>
      <c r="W547" s="9"/>
      <c r="X547" s="9"/>
      <c r="Y547" s="9"/>
      <c r="Z547" s="9"/>
    </row>
    <row r="548" spans="1:26" ht="15.75" hidden="1" customHeight="1">
      <c r="A548" s="9" t="s">
        <v>1739</v>
      </c>
      <c r="B548" s="9" t="s">
        <v>4705</v>
      </c>
      <c r="C548" s="9" t="s">
        <v>618</v>
      </c>
      <c r="D548" s="9" t="s">
        <v>439</v>
      </c>
      <c r="E548" s="9"/>
      <c r="F548" s="9"/>
      <c r="G548" s="58">
        <v>12000</v>
      </c>
      <c r="H548" s="85">
        <v>0.04</v>
      </c>
      <c r="I548" s="9">
        <v>4</v>
      </c>
      <c r="J548" s="9"/>
      <c r="K548" s="9"/>
      <c r="L548" s="9"/>
      <c r="M548" s="9"/>
      <c r="N548" s="9" t="s">
        <v>3332</v>
      </c>
      <c r="O548" s="9" t="s">
        <v>3051</v>
      </c>
      <c r="P548" s="9" t="s">
        <v>3148</v>
      </c>
      <c r="Q548" s="58" t="s">
        <v>3143</v>
      </c>
      <c r="R548" s="58">
        <v>1</v>
      </c>
      <c r="S548" s="58">
        <v>8</v>
      </c>
      <c r="T548" s="9" t="s">
        <v>3065</v>
      </c>
      <c r="U548" s="9" t="s">
        <v>4706</v>
      </c>
      <c r="V548" s="58">
        <v>1</v>
      </c>
      <c r="W548" s="9"/>
      <c r="X548" s="9"/>
      <c r="Y548" s="9"/>
      <c r="Z548" s="9"/>
    </row>
    <row r="549" spans="1:26" ht="15.75" hidden="1" customHeight="1">
      <c r="A549" s="9" t="s">
        <v>1739</v>
      </c>
      <c r="B549" s="9" t="s">
        <v>4705</v>
      </c>
      <c r="C549" s="9" t="s">
        <v>618</v>
      </c>
      <c r="D549" s="9" t="s">
        <v>368</v>
      </c>
      <c r="E549" s="9" t="s">
        <v>3067</v>
      </c>
      <c r="F549" s="58" t="s">
        <v>3057</v>
      </c>
      <c r="G549" s="58">
        <v>7700</v>
      </c>
      <c r="H549" s="85">
        <v>0.163636363636363</v>
      </c>
      <c r="I549" s="9">
        <v>4</v>
      </c>
      <c r="J549" s="9"/>
      <c r="K549" s="9"/>
      <c r="L549" s="9"/>
      <c r="M549" s="9"/>
      <c r="N549" s="9" t="s">
        <v>3332</v>
      </c>
      <c r="O549" s="9" t="s">
        <v>3051</v>
      </c>
      <c r="P549" s="9" t="s">
        <v>4707</v>
      </c>
      <c r="Q549" s="58" t="s">
        <v>3077</v>
      </c>
      <c r="R549" s="58">
        <v>3</v>
      </c>
      <c r="S549" s="58">
        <v>7</v>
      </c>
      <c r="T549" s="9" t="s">
        <v>3065</v>
      </c>
      <c r="U549" s="9" t="s">
        <v>4708</v>
      </c>
      <c r="V549" s="58">
        <v>3</v>
      </c>
      <c r="W549" s="9"/>
      <c r="X549" s="9"/>
      <c r="Y549" s="9"/>
      <c r="Z549" s="9"/>
    </row>
    <row r="550" spans="1:26" ht="15.75" hidden="1" customHeight="1">
      <c r="A550" s="9" t="s">
        <v>1744</v>
      </c>
      <c r="B550" s="9" t="s">
        <v>4709</v>
      </c>
      <c r="C550" s="9" t="s">
        <v>516</v>
      </c>
      <c r="D550" s="9" t="s">
        <v>439</v>
      </c>
      <c r="E550" s="9"/>
      <c r="F550" s="9"/>
      <c r="G550" s="58">
        <v>8800</v>
      </c>
      <c r="H550" s="85">
        <v>5.4545454545454501E-2</v>
      </c>
      <c r="I550" s="9">
        <v>15</v>
      </c>
      <c r="J550" s="9"/>
      <c r="K550" s="9"/>
      <c r="L550" s="9"/>
      <c r="M550" s="9"/>
      <c r="N550" s="9" t="s">
        <v>4710</v>
      </c>
      <c r="O550" s="9" t="s">
        <v>3051</v>
      </c>
      <c r="P550" s="9" t="s">
        <v>4344</v>
      </c>
      <c r="Q550" s="58" t="s">
        <v>3077</v>
      </c>
      <c r="R550" s="9">
        <v>1</v>
      </c>
      <c r="S550" s="9">
        <v>8</v>
      </c>
      <c r="T550" s="9" t="s">
        <v>4711</v>
      </c>
      <c r="U550" s="9" t="s">
        <v>4712</v>
      </c>
      <c r="V550" s="9">
        <v>1</v>
      </c>
      <c r="W550" s="9"/>
      <c r="X550" s="9"/>
      <c r="Y550" s="9"/>
      <c r="Z550" s="9"/>
    </row>
    <row r="551" spans="1:26" ht="15.75" hidden="1" customHeight="1">
      <c r="A551" s="9" t="s">
        <v>1744</v>
      </c>
      <c r="B551" s="9" t="s">
        <v>4709</v>
      </c>
      <c r="C551" s="9" t="s">
        <v>516</v>
      </c>
      <c r="D551" s="9" t="s">
        <v>368</v>
      </c>
      <c r="E551" s="9" t="s">
        <v>4037</v>
      </c>
      <c r="F551" s="58" t="s">
        <v>3057</v>
      </c>
      <c r="G551" s="58">
        <v>5250</v>
      </c>
      <c r="H551" s="85">
        <v>0.16</v>
      </c>
      <c r="I551" s="9">
        <v>15</v>
      </c>
      <c r="J551" s="9"/>
      <c r="K551" s="9"/>
      <c r="L551" s="9"/>
      <c r="M551" s="9"/>
      <c r="N551" s="9" t="s">
        <v>4710</v>
      </c>
      <c r="O551" s="9" t="s">
        <v>3051</v>
      </c>
      <c r="P551" s="9" t="s">
        <v>4713</v>
      </c>
      <c r="Q551" s="58" t="s">
        <v>3095</v>
      </c>
      <c r="R551" s="9">
        <v>2</v>
      </c>
      <c r="S551" s="9">
        <v>7</v>
      </c>
      <c r="T551" s="9" t="s">
        <v>4711</v>
      </c>
      <c r="U551" s="9" t="s">
        <v>4714</v>
      </c>
      <c r="V551" s="9">
        <v>2</v>
      </c>
      <c r="W551" s="9"/>
      <c r="X551" s="9"/>
      <c r="Y551" s="9"/>
      <c r="Z551" s="9"/>
    </row>
    <row r="552" spans="1:26" ht="15.75" hidden="1" customHeight="1">
      <c r="A552" s="9" t="s">
        <v>1745</v>
      </c>
      <c r="B552" s="9" t="s">
        <v>4715</v>
      </c>
      <c r="C552" s="9" t="s">
        <v>933</v>
      </c>
      <c r="D552" s="9" t="s">
        <v>439</v>
      </c>
      <c r="E552" s="9"/>
      <c r="F552" s="9"/>
      <c r="G552" s="58">
        <v>16000</v>
      </c>
      <c r="H552" s="85">
        <v>0.03</v>
      </c>
      <c r="I552" s="9">
        <v>30</v>
      </c>
      <c r="J552" s="9"/>
      <c r="K552" s="9"/>
      <c r="L552" s="9"/>
      <c r="M552" s="9"/>
      <c r="N552" s="9" t="s">
        <v>4716</v>
      </c>
      <c r="O552" s="9" t="s">
        <v>3051</v>
      </c>
      <c r="P552" s="9" t="s">
        <v>3461</v>
      </c>
      <c r="Q552" s="58" t="s">
        <v>3462</v>
      </c>
      <c r="R552" s="9">
        <v>1</v>
      </c>
      <c r="S552" s="9">
        <v>8</v>
      </c>
      <c r="T552" s="9" t="s">
        <v>4711</v>
      </c>
      <c r="U552" s="9" t="s">
        <v>4717</v>
      </c>
      <c r="V552" s="9">
        <v>1</v>
      </c>
      <c r="W552" s="9"/>
      <c r="X552" s="9"/>
      <c r="Y552" s="9"/>
      <c r="Z552" s="9"/>
    </row>
    <row r="553" spans="1:26" ht="15.75" hidden="1" customHeight="1">
      <c r="A553" s="9" t="s">
        <v>1745</v>
      </c>
      <c r="B553" s="9" t="s">
        <v>4715</v>
      </c>
      <c r="C553" s="9" t="s">
        <v>933</v>
      </c>
      <c r="D553" s="9" t="s">
        <v>368</v>
      </c>
      <c r="E553" s="9" t="s">
        <v>4718</v>
      </c>
      <c r="F553" s="58" t="s">
        <v>3057</v>
      </c>
      <c r="G553" s="58">
        <v>8400</v>
      </c>
      <c r="H553" s="85">
        <v>0.2</v>
      </c>
      <c r="I553" s="9">
        <v>30</v>
      </c>
      <c r="J553" s="9"/>
      <c r="K553" s="9"/>
      <c r="L553" s="9"/>
      <c r="M553" s="9"/>
      <c r="N553" s="9" t="s">
        <v>4716</v>
      </c>
      <c r="O553" s="9" t="s">
        <v>3051</v>
      </c>
      <c r="P553" s="9" t="s">
        <v>4719</v>
      </c>
      <c r="Q553" s="58" t="s">
        <v>3074</v>
      </c>
      <c r="R553" s="9">
        <v>4</v>
      </c>
      <c r="S553" s="9">
        <v>7</v>
      </c>
      <c r="T553" s="9" t="s">
        <v>4711</v>
      </c>
      <c r="U553" s="9" t="s">
        <v>4720</v>
      </c>
      <c r="V553" s="9">
        <v>4</v>
      </c>
      <c r="W553" s="9"/>
      <c r="X553" s="9"/>
      <c r="Y553" s="9"/>
      <c r="Z553" s="9"/>
    </row>
    <row r="554" spans="1:26" ht="15.75" hidden="1" customHeight="1">
      <c r="A554" s="9" t="s">
        <v>1747</v>
      </c>
      <c r="B554" s="9" t="s">
        <v>4721</v>
      </c>
      <c r="C554" s="9" t="s">
        <v>625</v>
      </c>
      <c r="D554" s="9" t="s">
        <v>439</v>
      </c>
      <c r="E554" s="9"/>
      <c r="F554" s="9"/>
      <c r="G554" s="58">
        <v>16000</v>
      </c>
      <c r="H554" s="85">
        <v>0.03</v>
      </c>
      <c r="I554" s="9">
        <v>3</v>
      </c>
      <c r="J554" s="9"/>
      <c r="K554" s="9"/>
      <c r="L554" s="9"/>
      <c r="M554" s="9"/>
      <c r="N554" s="9" t="s">
        <v>3136</v>
      </c>
      <c r="O554" s="9" t="s">
        <v>3051</v>
      </c>
      <c r="P554" s="9" t="s">
        <v>3461</v>
      </c>
      <c r="Q554" s="58" t="s">
        <v>3462</v>
      </c>
      <c r="R554" s="58">
        <v>1</v>
      </c>
      <c r="S554" s="58">
        <v>8</v>
      </c>
      <c r="T554" s="9" t="s">
        <v>3065</v>
      </c>
      <c r="U554" s="9" t="s">
        <v>4722</v>
      </c>
      <c r="V554" s="58">
        <v>1</v>
      </c>
      <c r="W554" s="9"/>
      <c r="X554" s="9"/>
      <c r="Y554" s="9"/>
      <c r="Z554" s="9"/>
    </row>
    <row r="555" spans="1:26" ht="15.75" hidden="1" customHeight="1">
      <c r="A555" s="9" t="s">
        <v>1747</v>
      </c>
      <c r="B555" s="9" t="s">
        <v>4721</v>
      </c>
      <c r="C555" s="9" t="s">
        <v>625</v>
      </c>
      <c r="D555" s="9" t="s">
        <v>368</v>
      </c>
      <c r="E555" s="9" t="s">
        <v>3297</v>
      </c>
      <c r="F555" s="58" t="s">
        <v>3057</v>
      </c>
      <c r="G555" s="58">
        <v>5600</v>
      </c>
      <c r="H555" s="85">
        <v>0.3</v>
      </c>
      <c r="I555" s="9">
        <v>3</v>
      </c>
      <c r="J555" s="9"/>
      <c r="K555" s="9"/>
      <c r="L555" s="9"/>
      <c r="M555" s="9"/>
      <c r="N555" s="9" t="s">
        <v>3136</v>
      </c>
      <c r="O555" s="9" t="s">
        <v>3051</v>
      </c>
      <c r="P555" s="9" t="s">
        <v>4723</v>
      </c>
      <c r="Q555" s="58" t="s">
        <v>3185</v>
      </c>
      <c r="R555" s="58">
        <v>4</v>
      </c>
      <c r="S555" s="58">
        <v>7</v>
      </c>
      <c r="T555" s="9" t="s">
        <v>3065</v>
      </c>
      <c r="U555" s="9" t="s">
        <v>4724</v>
      </c>
      <c r="V555" s="58">
        <v>4</v>
      </c>
      <c r="W555" s="9"/>
      <c r="X555" s="9"/>
      <c r="Y555" s="9"/>
      <c r="Z555" s="9"/>
    </row>
    <row r="556" spans="1:26" ht="15.75" hidden="1" customHeight="1">
      <c r="A556" s="9" t="s">
        <v>2181</v>
      </c>
      <c r="B556" s="9" t="s">
        <v>4725</v>
      </c>
      <c r="C556" s="9" t="s">
        <v>2183</v>
      </c>
      <c r="D556" s="9" t="s">
        <v>439</v>
      </c>
      <c r="E556" s="9"/>
      <c r="F556" s="9"/>
      <c r="G556" s="58">
        <v>6400</v>
      </c>
      <c r="H556" s="85">
        <v>7.4999999999999997E-2</v>
      </c>
      <c r="I556" s="9">
        <v>188</v>
      </c>
      <c r="J556" s="9"/>
      <c r="K556" s="9"/>
      <c r="L556" s="9"/>
      <c r="M556" s="9"/>
      <c r="N556" s="9" t="s">
        <v>4726</v>
      </c>
      <c r="O556" s="9" t="s">
        <v>3081</v>
      </c>
      <c r="P556" s="9" t="s">
        <v>3549</v>
      </c>
      <c r="Q556" s="58" t="s">
        <v>3185</v>
      </c>
      <c r="R556" s="58">
        <v>1</v>
      </c>
      <c r="S556" s="58">
        <v>8</v>
      </c>
      <c r="T556" s="9" t="s">
        <v>4727</v>
      </c>
      <c r="U556" s="9" t="s">
        <v>4728</v>
      </c>
      <c r="V556" s="58">
        <v>1</v>
      </c>
      <c r="W556" s="9"/>
      <c r="X556" s="9"/>
      <c r="Y556" s="9"/>
      <c r="Z556" s="9"/>
    </row>
    <row r="557" spans="1:26" ht="15.75" hidden="1" customHeight="1">
      <c r="A557" s="9" t="s">
        <v>2181</v>
      </c>
      <c r="B557" s="9" t="s">
        <v>4725</v>
      </c>
      <c r="C557" s="9" t="s">
        <v>2183</v>
      </c>
      <c r="D557" s="9" t="s">
        <v>368</v>
      </c>
      <c r="E557" s="9" t="s">
        <v>3092</v>
      </c>
      <c r="F557" s="58" t="s">
        <v>3087</v>
      </c>
      <c r="G557" s="58">
        <v>4200</v>
      </c>
      <c r="H557" s="85">
        <v>0.4</v>
      </c>
      <c r="I557" s="9">
        <v>188</v>
      </c>
      <c r="J557" s="9"/>
      <c r="K557" s="9"/>
      <c r="L557" s="9"/>
      <c r="M557" s="9"/>
      <c r="N557" s="9" t="s">
        <v>4726</v>
      </c>
      <c r="O557" s="9" t="s">
        <v>3081</v>
      </c>
      <c r="P557" s="9" t="s">
        <v>4729</v>
      </c>
      <c r="Q557" s="58" t="s">
        <v>3122</v>
      </c>
      <c r="R557" s="58">
        <v>4</v>
      </c>
      <c r="S557" s="58">
        <v>7</v>
      </c>
      <c r="T557" s="9" t="s">
        <v>4727</v>
      </c>
      <c r="U557" s="9" t="s">
        <v>4730</v>
      </c>
      <c r="V557" s="58">
        <v>4</v>
      </c>
      <c r="W557" s="9"/>
      <c r="X557" s="9"/>
      <c r="Y557" s="9"/>
      <c r="Z557" s="9"/>
    </row>
    <row r="558" spans="1:26" ht="15.75" hidden="1" customHeight="1">
      <c r="A558" s="9" t="s">
        <v>4731</v>
      </c>
      <c r="B558" s="9" t="s">
        <v>4732</v>
      </c>
      <c r="C558" s="9" t="s">
        <v>4733</v>
      </c>
      <c r="D558" s="9" t="s">
        <v>439</v>
      </c>
      <c r="E558" s="9"/>
      <c r="F558" s="9"/>
      <c r="G558" s="58">
        <v>4000</v>
      </c>
      <c r="H558" s="85">
        <v>0.12</v>
      </c>
      <c r="I558" s="9">
        <v>1060</v>
      </c>
      <c r="J558" s="9"/>
      <c r="K558" s="9"/>
      <c r="L558" s="9"/>
      <c r="M558" s="9"/>
      <c r="N558" s="9" t="s">
        <v>4734</v>
      </c>
      <c r="O558" s="9" t="s">
        <v>3258</v>
      </c>
      <c r="P558" s="9" t="s">
        <v>4735</v>
      </c>
      <c r="Q558" s="58" t="s">
        <v>3361</v>
      </c>
      <c r="R558" s="58">
        <v>1</v>
      </c>
      <c r="S558" s="58">
        <v>8</v>
      </c>
      <c r="T558" s="9" t="s">
        <v>4736</v>
      </c>
      <c r="U558" s="9" t="s">
        <v>4737</v>
      </c>
      <c r="V558" s="58">
        <v>1</v>
      </c>
      <c r="W558" s="9"/>
      <c r="X558" s="9"/>
      <c r="Y558" s="9"/>
      <c r="Z558" s="9"/>
    </row>
    <row r="559" spans="1:26" ht="15.75" hidden="1" customHeight="1">
      <c r="A559" s="9" t="s">
        <v>4731</v>
      </c>
      <c r="B559" s="9" t="s">
        <v>4732</v>
      </c>
      <c r="C559" s="9" t="s">
        <v>4733</v>
      </c>
      <c r="D559" s="9" t="s">
        <v>368</v>
      </c>
      <c r="E559" s="9" t="s">
        <v>4738</v>
      </c>
      <c r="F559" s="58" t="s">
        <v>3087</v>
      </c>
      <c r="G559" s="58">
        <v>2100</v>
      </c>
      <c r="H559" s="85">
        <v>0.6</v>
      </c>
      <c r="I559" s="9">
        <v>1060</v>
      </c>
      <c r="J559" s="9"/>
      <c r="K559" s="9"/>
      <c r="L559" s="9"/>
      <c r="M559" s="9"/>
      <c r="N559" s="9" t="s">
        <v>4734</v>
      </c>
      <c r="O559" s="9" t="s">
        <v>3258</v>
      </c>
      <c r="P559" s="9" t="s">
        <v>4739</v>
      </c>
      <c r="Q559" s="58" t="s">
        <v>3236</v>
      </c>
      <c r="R559" s="58">
        <v>3</v>
      </c>
      <c r="S559" s="58">
        <v>7</v>
      </c>
      <c r="T559" s="9" t="s">
        <v>4736</v>
      </c>
      <c r="U559" s="9" t="s">
        <v>4740</v>
      </c>
      <c r="V559" s="58">
        <v>3</v>
      </c>
      <c r="W559" s="9"/>
      <c r="X559" s="9"/>
      <c r="Y559" s="9"/>
      <c r="Z559" s="9"/>
    </row>
    <row r="560" spans="1:26" ht="15.75" hidden="1" customHeight="1">
      <c r="A560" s="9" t="s">
        <v>2409</v>
      </c>
      <c r="B560" s="9" t="s">
        <v>4741</v>
      </c>
      <c r="C560" s="9" t="s">
        <v>2411</v>
      </c>
      <c r="D560" s="9" t="s">
        <v>439</v>
      </c>
      <c r="E560" s="9"/>
      <c r="F560" s="9"/>
      <c r="G560" s="58">
        <v>4000</v>
      </c>
      <c r="H560" s="85">
        <v>0.12</v>
      </c>
      <c r="I560" s="9">
        <v>1060</v>
      </c>
      <c r="J560" s="9"/>
      <c r="K560" s="9"/>
      <c r="L560" s="9"/>
      <c r="M560" s="9"/>
      <c r="N560" s="9" t="s">
        <v>4734</v>
      </c>
      <c r="O560" s="9" t="s">
        <v>3258</v>
      </c>
      <c r="P560" s="9" t="s">
        <v>4735</v>
      </c>
      <c r="Q560" s="58" t="s">
        <v>3361</v>
      </c>
      <c r="R560" s="58">
        <v>1</v>
      </c>
      <c r="S560" s="58">
        <v>8</v>
      </c>
      <c r="T560" s="9" t="s">
        <v>4736</v>
      </c>
      <c r="U560" s="9" t="s">
        <v>4742</v>
      </c>
      <c r="V560" s="58">
        <v>1</v>
      </c>
      <c r="W560" s="9"/>
      <c r="X560" s="9"/>
      <c r="Y560" s="9"/>
      <c r="Z560" s="9"/>
    </row>
    <row r="561" spans="1:26" ht="15.75" hidden="1" customHeight="1">
      <c r="A561" s="9" t="s">
        <v>2409</v>
      </c>
      <c r="B561" s="9" t="s">
        <v>4741</v>
      </c>
      <c r="C561" s="9" t="s">
        <v>2411</v>
      </c>
      <c r="D561" s="9" t="s">
        <v>368</v>
      </c>
      <c r="E561" s="9" t="s">
        <v>4738</v>
      </c>
      <c r="F561" s="58" t="s">
        <v>3087</v>
      </c>
      <c r="G561" s="58">
        <v>2100</v>
      </c>
      <c r="H561" s="85">
        <v>0.6</v>
      </c>
      <c r="I561" s="9">
        <v>1060</v>
      </c>
      <c r="J561" s="9"/>
      <c r="K561" s="9"/>
      <c r="L561" s="9"/>
      <c r="M561" s="9"/>
      <c r="N561" s="9" t="s">
        <v>4734</v>
      </c>
      <c r="O561" s="9" t="s">
        <v>3258</v>
      </c>
      <c r="P561" s="9" t="s">
        <v>4739</v>
      </c>
      <c r="Q561" s="58" t="s">
        <v>3236</v>
      </c>
      <c r="R561" s="58">
        <v>3</v>
      </c>
      <c r="S561" s="58">
        <v>7</v>
      </c>
      <c r="T561" s="9" t="s">
        <v>4736</v>
      </c>
      <c r="U561" s="9" t="s">
        <v>4743</v>
      </c>
      <c r="V561" s="58">
        <v>3</v>
      </c>
      <c r="W561" s="9"/>
      <c r="X561" s="9"/>
      <c r="Y561" s="9"/>
      <c r="Z561" s="9"/>
    </row>
    <row r="562" spans="1:26" ht="15.75" hidden="1" customHeight="1">
      <c r="A562" s="9" t="s">
        <v>4744</v>
      </c>
      <c r="B562" s="9" t="s">
        <v>4745</v>
      </c>
      <c r="C562" s="9" t="s">
        <v>4746</v>
      </c>
      <c r="D562" s="9" t="s">
        <v>439</v>
      </c>
      <c r="E562" s="9"/>
      <c r="F562" s="9"/>
      <c r="G562" s="58">
        <v>4000</v>
      </c>
      <c r="H562" s="85">
        <v>0.12</v>
      </c>
      <c r="I562" s="9">
        <v>1020</v>
      </c>
      <c r="J562" s="9"/>
      <c r="K562" s="9"/>
      <c r="L562" s="9"/>
      <c r="M562" s="9"/>
      <c r="N562" s="9" t="s">
        <v>4734</v>
      </c>
      <c r="O562" s="9" t="s">
        <v>3258</v>
      </c>
      <c r="P562" s="9" t="s">
        <v>4735</v>
      </c>
      <c r="Q562" s="58" t="s">
        <v>3361</v>
      </c>
      <c r="R562" s="58">
        <v>1</v>
      </c>
      <c r="S562" s="58">
        <v>8</v>
      </c>
      <c r="T562" s="9" t="s">
        <v>4736</v>
      </c>
      <c r="U562" s="9" t="s">
        <v>4747</v>
      </c>
      <c r="V562" s="58">
        <v>1</v>
      </c>
      <c r="W562" s="9"/>
      <c r="X562" s="9"/>
      <c r="Y562" s="9"/>
      <c r="Z562" s="9"/>
    </row>
    <row r="563" spans="1:26" ht="15.75" hidden="1" customHeight="1">
      <c r="A563" s="9" t="s">
        <v>4744</v>
      </c>
      <c r="B563" s="9" t="s">
        <v>4745</v>
      </c>
      <c r="C563" s="9" t="s">
        <v>4746</v>
      </c>
      <c r="D563" s="9" t="s">
        <v>368</v>
      </c>
      <c r="E563" s="9" t="s">
        <v>4738</v>
      </c>
      <c r="F563" s="58" t="s">
        <v>3087</v>
      </c>
      <c r="G563" s="58">
        <v>2100</v>
      </c>
      <c r="H563" s="85">
        <v>0.6</v>
      </c>
      <c r="I563" s="9">
        <v>1020</v>
      </c>
      <c r="J563" s="9"/>
      <c r="K563" s="9"/>
      <c r="L563" s="9"/>
      <c r="M563" s="9"/>
      <c r="N563" s="9" t="s">
        <v>4734</v>
      </c>
      <c r="O563" s="9" t="s">
        <v>3258</v>
      </c>
      <c r="P563" s="9" t="s">
        <v>4739</v>
      </c>
      <c r="Q563" s="58" t="s">
        <v>3236</v>
      </c>
      <c r="R563" s="58">
        <v>3</v>
      </c>
      <c r="S563" s="58">
        <v>7</v>
      </c>
      <c r="T563" s="9" t="s">
        <v>4736</v>
      </c>
      <c r="U563" s="9" t="s">
        <v>4748</v>
      </c>
      <c r="V563" s="58">
        <v>3</v>
      </c>
      <c r="W563" s="9"/>
      <c r="X563" s="9"/>
      <c r="Y563" s="9"/>
      <c r="Z563" s="9"/>
    </row>
    <row r="564" spans="1:26" ht="15.75" hidden="1" customHeight="1">
      <c r="A564" s="9" t="s">
        <v>2414</v>
      </c>
      <c r="B564" s="9" t="s">
        <v>4749</v>
      </c>
      <c r="C564" s="9" t="s">
        <v>2416</v>
      </c>
      <c r="D564" s="9" t="s">
        <v>439</v>
      </c>
      <c r="E564" s="9"/>
      <c r="F564" s="9"/>
      <c r="G564" s="58">
        <v>4000</v>
      </c>
      <c r="H564" s="85">
        <v>0.12</v>
      </c>
      <c r="I564" s="9">
        <v>1020</v>
      </c>
      <c r="J564" s="9"/>
      <c r="K564" s="9"/>
      <c r="L564" s="9"/>
      <c r="M564" s="9"/>
      <c r="N564" s="9" t="s">
        <v>4734</v>
      </c>
      <c r="O564" s="9" t="s">
        <v>3258</v>
      </c>
      <c r="P564" s="9" t="s">
        <v>4735</v>
      </c>
      <c r="Q564" s="58" t="s">
        <v>3361</v>
      </c>
      <c r="R564" s="58">
        <v>1</v>
      </c>
      <c r="S564" s="58">
        <v>8</v>
      </c>
      <c r="T564" s="9" t="s">
        <v>4736</v>
      </c>
      <c r="U564" s="9" t="s">
        <v>4750</v>
      </c>
      <c r="V564" s="58">
        <v>1</v>
      </c>
      <c r="W564" s="9"/>
      <c r="X564" s="9"/>
      <c r="Y564" s="9"/>
      <c r="Z564" s="9"/>
    </row>
    <row r="565" spans="1:26" ht="15.75" hidden="1" customHeight="1">
      <c r="A565" s="9" t="s">
        <v>2414</v>
      </c>
      <c r="B565" s="9" t="s">
        <v>4749</v>
      </c>
      <c r="C565" s="9" t="s">
        <v>2416</v>
      </c>
      <c r="D565" s="9" t="s">
        <v>368</v>
      </c>
      <c r="E565" s="9" t="s">
        <v>4738</v>
      </c>
      <c r="F565" s="58" t="s">
        <v>3087</v>
      </c>
      <c r="G565" s="58">
        <v>2100</v>
      </c>
      <c r="H565" s="85">
        <v>0.6</v>
      </c>
      <c r="I565" s="9">
        <v>1020</v>
      </c>
      <c r="J565" s="9"/>
      <c r="K565" s="9"/>
      <c r="L565" s="9"/>
      <c r="M565" s="9"/>
      <c r="N565" s="9" t="s">
        <v>4734</v>
      </c>
      <c r="O565" s="9" t="s">
        <v>3258</v>
      </c>
      <c r="P565" s="9" t="s">
        <v>4739</v>
      </c>
      <c r="Q565" s="58" t="s">
        <v>3236</v>
      </c>
      <c r="R565" s="58">
        <v>3</v>
      </c>
      <c r="S565" s="58">
        <v>7</v>
      </c>
      <c r="T565" s="9" t="s">
        <v>4736</v>
      </c>
      <c r="U565" s="9" t="s">
        <v>4751</v>
      </c>
      <c r="V565" s="58">
        <v>3</v>
      </c>
      <c r="W565" s="9"/>
      <c r="X565" s="9"/>
      <c r="Y565" s="9"/>
      <c r="Z565" s="9"/>
    </row>
    <row r="566" spans="1:26" ht="15.75" hidden="1" customHeight="1">
      <c r="A566" s="9" t="s">
        <v>1749</v>
      </c>
      <c r="B566" s="9" t="s">
        <v>4752</v>
      </c>
      <c r="C566" s="9" t="s">
        <v>961</v>
      </c>
      <c r="D566" s="9" t="s">
        <v>439</v>
      </c>
      <c r="E566" s="9"/>
      <c r="F566" s="9"/>
      <c r="G566" s="58">
        <v>2800</v>
      </c>
      <c r="H566" s="85">
        <v>0.15</v>
      </c>
      <c r="I566" s="9">
        <v>13.5</v>
      </c>
      <c r="J566" s="9"/>
      <c r="K566" s="9"/>
      <c r="L566" s="9"/>
      <c r="M566" s="9"/>
      <c r="N566" s="9" t="s">
        <v>3710</v>
      </c>
      <c r="O566" s="9" t="s">
        <v>3258</v>
      </c>
      <c r="P566" s="9" t="s">
        <v>4753</v>
      </c>
      <c r="Q566" s="58" t="s">
        <v>3240</v>
      </c>
      <c r="R566" s="9">
        <v>1</v>
      </c>
      <c r="S566" s="9">
        <v>7</v>
      </c>
      <c r="T566" s="9" t="s">
        <v>4754</v>
      </c>
      <c r="U566" s="9" t="s">
        <v>4755</v>
      </c>
      <c r="V566" s="9">
        <v>1</v>
      </c>
      <c r="W566" s="9"/>
      <c r="X566" s="9"/>
      <c r="Y566" s="9"/>
      <c r="Z566" s="9"/>
    </row>
    <row r="567" spans="1:26" ht="15.75" hidden="1" customHeight="1">
      <c r="A567" s="9" t="s">
        <v>1749</v>
      </c>
      <c r="B567" s="9" t="s">
        <v>4752</v>
      </c>
      <c r="C567" s="9" t="s">
        <v>961</v>
      </c>
      <c r="D567" s="9" t="s">
        <v>368</v>
      </c>
      <c r="E567" s="9" t="s">
        <v>3270</v>
      </c>
      <c r="F567" s="58" t="s">
        <v>3057</v>
      </c>
      <c r="G567" s="58">
        <v>7700</v>
      </c>
      <c r="H567" s="85">
        <v>0.163636363636363</v>
      </c>
      <c r="I567" s="9">
        <v>13.5</v>
      </c>
      <c r="J567" s="9"/>
      <c r="K567" s="9"/>
      <c r="L567" s="9"/>
      <c r="M567" s="9"/>
      <c r="N567" s="9" t="s">
        <v>3710</v>
      </c>
      <c r="O567" s="9" t="s">
        <v>3258</v>
      </c>
      <c r="P567" s="9" t="s">
        <v>4756</v>
      </c>
      <c r="Q567" s="58" t="s">
        <v>3077</v>
      </c>
      <c r="R567" s="9">
        <v>3</v>
      </c>
      <c r="S567" s="9">
        <v>7</v>
      </c>
      <c r="T567" s="9" t="s">
        <v>4754</v>
      </c>
      <c r="U567" s="9" t="s">
        <v>4757</v>
      </c>
      <c r="V567" s="9">
        <v>3</v>
      </c>
      <c r="W567" s="9"/>
      <c r="X567" s="9"/>
      <c r="Y567" s="9"/>
      <c r="Z567" s="9"/>
    </row>
    <row r="568" spans="1:26" ht="15.75" hidden="1" customHeight="1">
      <c r="A568" s="9" t="s">
        <v>1754</v>
      </c>
      <c r="B568" s="9" t="s">
        <v>4758</v>
      </c>
      <c r="C568" s="9" t="s">
        <v>608</v>
      </c>
      <c r="D568" s="9" t="s">
        <v>439</v>
      </c>
      <c r="E568" s="9"/>
      <c r="F568" s="9"/>
      <c r="G568" s="58">
        <v>4000</v>
      </c>
      <c r="H568" s="85">
        <v>0.12</v>
      </c>
      <c r="I568" s="9">
        <v>151</v>
      </c>
      <c r="J568" s="9"/>
      <c r="K568" s="9"/>
      <c r="L568" s="9"/>
      <c r="M568" s="9"/>
      <c r="N568" s="9" t="s">
        <v>4759</v>
      </c>
      <c r="O568" s="9" t="s">
        <v>3051</v>
      </c>
      <c r="P568" s="9" t="s">
        <v>3360</v>
      </c>
      <c r="Q568" s="58" t="s">
        <v>3361</v>
      </c>
      <c r="R568" s="58">
        <v>1</v>
      </c>
      <c r="S568" s="58">
        <v>8</v>
      </c>
      <c r="T568" s="9" t="s">
        <v>4760</v>
      </c>
      <c r="U568" s="9" t="s">
        <v>4761</v>
      </c>
      <c r="V568" s="58">
        <v>1</v>
      </c>
      <c r="W568" s="9"/>
      <c r="X568" s="9"/>
      <c r="Y568" s="9"/>
      <c r="Z568" s="9"/>
    </row>
    <row r="569" spans="1:26" ht="15.75" hidden="1" customHeight="1">
      <c r="A569" s="9" t="s">
        <v>1754</v>
      </c>
      <c r="B569" s="9" t="s">
        <v>4758</v>
      </c>
      <c r="C569" s="9" t="s">
        <v>608</v>
      </c>
      <c r="D569" s="9" t="s">
        <v>368</v>
      </c>
      <c r="E569" s="9" t="s">
        <v>3158</v>
      </c>
      <c r="F569" s="58" t="s">
        <v>3057</v>
      </c>
      <c r="G569" s="58">
        <v>4480</v>
      </c>
      <c r="H569" s="85">
        <v>0.375</v>
      </c>
      <c r="I569" s="9">
        <v>151</v>
      </c>
      <c r="J569" s="9"/>
      <c r="K569" s="9"/>
      <c r="L569" s="9"/>
      <c r="M569" s="9"/>
      <c r="N569" s="9" t="s">
        <v>4759</v>
      </c>
      <c r="O569" s="9" t="s">
        <v>3051</v>
      </c>
      <c r="P569" s="9" t="s">
        <v>4762</v>
      </c>
      <c r="Q569" s="58" t="s">
        <v>4106</v>
      </c>
      <c r="R569" s="58">
        <v>4</v>
      </c>
      <c r="S569" s="58">
        <v>7</v>
      </c>
      <c r="T569" s="9" t="s">
        <v>4760</v>
      </c>
      <c r="U569" s="9" t="s">
        <v>4763</v>
      </c>
      <c r="V569" s="58">
        <v>4</v>
      </c>
      <c r="W569" s="9"/>
      <c r="X569" s="9"/>
      <c r="Y569" s="9"/>
      <c r="Z569" s="9"/>
    </row>
    <row r="570" spans="1:26" ht="15.75" hidden="1" customHeight="1">
      <c r="A570" s="9" t="s">
        <v>4764</v>
      </c>
      <c r="B570" s="9" t="s">
        <v>4765</v>
      </c>
      <c r="C570" s="9" t="s">
        <v>4766</v>
      </c>
      <c r="D570" s="9" t="s">
        <v>439</v>
      </c>
      <c r="E570" s="9"/>
      <c r="F570" s="9"/>
      <c r="G570" s="58">
        <v>11200</v>
      </c>
      <c r="H570" s="85">
        <v>4.2857142857142802E-2</v>
      </c>
      <c r="I570" s="9">
        <v>3.6</v>
      </c>
      <c r="J570" s="9"/>
      <c r="K570" s="9"/>
      <c r="L570" s="9"/>
      <c r="M570" s="9"/>
      <c r="N570" s="9" t="s">
        <v>3325</v>
      </c>
      <c r="O570" s="9" t="s">
        <v>3051</v>
      </c>
      <c r="P570" s="9" t="s">
        <v>3293</v>
      </c>
      <c r="Q570" s="58" t="s">
        <v>3294</v>
      </c>
      <c r="R570" s="58">
        <v>1</v>
      </c>
      <c r="S570" s="58">
        <v>8</v>
      </c>
      <c r="T570" s="9" t="s">
        <v>4767</v>
      </c>
      <c r="U570" s="9" t="s">
        <v>4768</v>
      </c>
      <c r="V570" s="58">
        <v>1</v>
      </c>
      <c r="W570" s="9"/>
      <c r="X570" s="9"/>
      <c r="Y570" s="9"/>
      <c r="Z570" s="9"/>
    </row>
    <row r="571" spans="1:26" ht="15.75" hidden="1" customHeight="1">
      <c r="A571" s="9" t="s">
        <v>4764</v>
      </c>
      <c r="B571" s="9" t="s">
        <v>4765</v>
      </c>
      <c r="C571" s="9" t="s">
        <v>4766</v>
      </c>
      <c r="D571" s="9" t="s">
        <v>368</v>
      </c>
      <c r="E571" s="9" t="s">
        <v>3056</v>
      </c>
      <c r="F571" s="58" t="s">
        <v>3057</v>
      </c>
      <c r="G571" s="58">
        <v>8400</v>
      </c>
      <c r="H571" s="85">
        <v>0.15</v>
      </c>
      <c r="I571" s="9">
        <v>3.6</v>
      </c>
      <c r="J571" s="9"/>
      <c r="K571" s="9"/>
      <c r="L571" s="9"/>
      <c r="M571" s="9"/>
      <c r="N571" s="9" t="s">
        <v>3325</v>
      </c>
      <c r="O571" s="9" t="s">
        <v>3051</v>
      </c>
      <c r="P571" s="9" t="s">
        <v>4769</v>
      </c>
      <c r="Q571" s="58" t="s">
        <v>3074</v>
      </c>
      <c r="R571" s="58">
        <v>3</v>
      </c>
      <c r="S571" s="58">
        <v>7</v>
      </c>
      <c r="T571" s="9" t="s">
        <v>4767</v>
      </c>
      <c r="U571" s="9" t="s">
        <v>4770</v>
      </c>
      <c r="V571" s="58">
        <v>3</v>
      </c>
      <c r="W571" s="9"/>
      <c r="X571" s="9"/>
      <c r="Y571" s="9"/>
      <c r="Z571" s="9"/>
    </row>
    <row r="572" spans="1:26" ht="15.75" hidden="1" customHeight="1">
      <c r="A572" s="9" t="s">
        <v>114</v>
      </c>
      <c r="B572" s="9" t="s">
        <v>4771</v>
      </c>
      <c r="C572" s="9" t="s">
        <v>115</v>
      </c>
      <c r="D572" s="9" t="s">
        <v>439</v>
      </c>
      <c r="E572" s="9"/>
      <c r="F572" s="9"/>
      <c r="G572" s="58">
        <v>4560</v>
      </c>
      <c r="H572" s="85">
        <v>0.105263157894736</v>
      </c>
      <c r="I572" s="9">
        <v>32.4</v>
      </c>
      <c r="J572" s="9"/>
      <c r="K572" s="9"/>
      <c r="L572" s="9"/>
      <c r="M572" s="9"/>
      <c r="N572" s="9" t="s">
        <v>3189</v>
      </c>
      <c r="O572" s="9" t="s">
        <v>3051</v>
      </c>
      <c r="P572" s="9" t="s">
        <v>3929</v>
      </c>
      <c r="Q572" s="58" t="s">
        <v>3930</v>
      </c>
      <c r="R572" s="58">
        <v>1</v>
      </c>
      <c r="S572" s="58">
        <v>8</v>
      </c>
      <c r="T572" s="9" t="s">
        <v>4767</v>
      </c>
      <c r="U572" s="9" t="s">
        <v>4772</v>
      </c>
      <c r="V572" s="58">
        <v>1</v>
      </c>
      <c r="W572" s="9"/>
      <c r="X572" s="9"/>
      <c r="Y572" s="9"/>
      <c r="Z572" s="9"/>
    </row>
    <row r="573" spans="1:26" ht="15.75" hidden="1" customHeight="1">
      <c r="A573" s="9" t="s">
        <v>114</v>
      </c>
      <c r="B573" s="9" t="s">
        <v>4771</v>
      </c>
      <c r="C573" s="9" t="s">
        <v>115</v>
      </c>
      <c r="D573" s="9" t="s">
        <v>368</v>
      </c>
      <c r="E573" s="9" t="s">
        <v>3402</v>
      </c>
      <c r="F573" s="58" t="s">
        <v>3057</v>
      </c>
      <c r="G573" s="58">
        <v>7000</v>
      </c>
      <c r="H573" s="85">
        <v>0.24</v>
      </c>
      <c r="I573" s="9">
        <v>32.4</v>
      </c>
      <c r="J573" s="9"/>
      <c r="K573" s="9"/>
      <c r="L573" s="9"/>
      <c r="M573" s="9"/>
      <c r="N573" s="9" t="s">
        <v>3189</v>
      </c>
      <c r="O573" s="9" t="s">
        <v>3051</v>
      </c>
      <c r="P573" s="9" t="s">
        <v>4773</v>
      </c>
      <c r="Q573" s="58" t="s">
        <v>3167</v>
      </c>
      <c r="R573" s="58">
        <v>4</v>
      </c>
      <c r="S573" s="58">
        <v>7</v>
      </c>
      <c r="T573" s="9" t="s">
        <v>4767</v>
      </c>
      <c r="U573" s="9" t="s">
        <v>4774</v>
      </c>
      <c r="V573" s="58">
        <v>4</v>
      </c>
      <c r="W573" s="9"/>
      <c r="X573" s="9"/>
      <c r="Y573" s="9"/>
      <c r="Z573" s="9"/>
    </row>
    <row r="574" spans="1:26" ht="15.75" hidden="1" customHeight="1">
      <c r="A574" s="9" t="s">
        <v>4775</v>
      </c>
      <c r="B574" s="9" t="s">
        <v>4776</v>
      </c>
      <c r="C574" s="9" t="s">
        <v>4777</v>
      </c>
      <c r="D574" s="9" t="s">
        <v>439</v>
      </c>
      <c r="E574" s="9"/>
      <c r="F574" s="9"/>
      <c r="G574" s="58">
        <v>11200</v>
      </c>
      <c r="H574" s="85">
        <v>4.2857142857142802E-2</v>
      </c>
      <c r="I574" s="9">
        <v>3.6</v>
      </c>
      <c r="J574" s="9"/>
      <c r="K574" s="9"/>
      <c r="L574" s="9"/>
      <c r="M574" s="9"/>
      <c r="N574" s="9" t="s">
        <v>3130</v>
      </c>
      <c r="O574" s="9" t="s">
        <v>3051</v>
      </c>
      <c r="P574" s="9" t="s">
        <v>3293</v>
      </c>
      <c r="Q574" s="58" t="s">
        <v>3294</v>
      </c>
      <c r="R574" s="58">
        <v>1</v>
      </c>
      <c r="S574" s="58">
        <v>8</v>
      </c>
      <c r="T574" s="9" t="s">
        <v>3065</v>
      </c>
      <c r="U574" s="9" t="s">
        <v>4778</v>
      </c>
      <c r="V574" s="58">
        <v>1</v>
      </c>
      <c r="W574" s="9"/>
      <c r="X574" s="9"/>
      <c r="Y574" s="9"/>
      <c r="Z574" s="9"/>
    </row>
    <row r="575" spans="1:26" ht="15.75" hidden="1" customHeight="1">
      <c r="A575" s="9" t="s">
        <v>4775</v>
      </c>
      <c r="B575" s="9" t="s">
        <v>4776</v>
      </c>
      <c r="C575" s="9" t="s">
        <v>4777</v>
      </c>
      <c r="D575" s="9" t="s">
        <v>368</v>
      </c>
      <c r="E575" s="9" t="s">
        <v>3056</v>
      </c>
      <c r="F575" s="58" t="s">
        <v>3057</v>
      </c>
      <c r="G575" s="58">
        <v>8400</v>
      </c>
      <c r="H575" s="85">
        <v>0.15</v>
      </c>
      <c r="I575" s="9">
        <v>3.6</v>
      </c>
      <c r="J575" s="9"/>
      <c r="K575" s="9"/>
      <c r="L575" s="9"/>
      <c r="M575" s="9"/>
      <c r="N575" s="9" t="s">
        <v>3130</v>
      </c>
      <c r="O575" s="9" t="s">
        <v>3051</v>
      </c>
      <c r="P575" s="9" t="s">
        <v>4779</v>
      </c>
      <c r="Q575" s="58" t="s">
        <v>3074</v>
      </c>
      <c r="R575" s="58">
        <v>3</v>
      </c>
      <c r="S575" s="58">
        <v>7</v>
      </c>
      <c r="T575" s="9" t="s">
        <v>3065</v>
      </c>
      <c r="U575" s="9" t="s">
        <v>4780</v>
      </c>
      <c r="V575" s="58">
        <v>3</v>
      </c>
      <c r="W575" s="9"/>
      <c r="X575" s="9"/>
      <c r="Y575" s="9"/>
      <c r="Z575" s="9"/>
    </row>
    <row r="576" spans="1:26" ht="15.75" hidden="1" customHeight="1">
      <c r="A576" s="9" t="s">
        <v>327</v>
      </c>
      <c r="B576" s="9" t="s">
        <v>4781</v>
      </c>
      <c r="C576" s="9" t="s">
        <v>328</v>
      </c>
      <c r="D576" s="9" t="s">
        <v>439</v>
      </c>
      <c r="E576" s="9"/>
      <c r="F576" s="9"/>
      <c r="G576" s="58">
        <v>13600</v>
      </c>
      <c r="H576" s="85">
        <v>3.5294117647058802E-2</v>
      </c>
      <c r="I576" s="9">
        <v>30.2</v>
      </c>
      <c r="J576" s="9"/>
      <c r="K576" s="9"/>
      <c r="L576" s="9"/>
      <c r="M576" s="9"/>
      <c r="N576" s="9" t="s">
        <v>4782</v>
      </c>
      <c r="O576" s="9" t="s">
        <v>3051</v>
      </c>
      <c r="P576" s="9" t="s">
        <v>3052</v>
      </c>
      <c r="Q576" s="58" t="s">
        <v>3053</v>
      </c>
      <c r="R576" s="58">
        <v>1</v>
      </c>
      <c r="S576" s="58">
        <v>8</v>
      </c>
      <c r="T576" s="9" t="s">
        <v>4783</v>
      </c>
      <c r="U576" s="9" t="s">
        <v>4784</v>
      </c>
      <c r="V576" s="58">
        <v>1</v>
      </c>
      <c r="W576" s="9"/>
      <c r="X576" s="9"/>
      <c r="Y576" s="9"/>
      <c r="Z576" s="9"/>
    </row>
    <row r="577" spans="1:26" ht="15.75" hidden="1" customHeight="1">
      <c r="A577" s="9" t="s">
        <v>327</v>
      </c>
      <c r="B577" s="9" t="s">
        <v>4781</v>
      </c>
      <c r="C577" s="9" t="s">
        <v>328</v>
      </c>
      <c r="D577" s="9" t="s">
        <v>368</v>
      </c>
      <c r="E577" s="9" t="s">
        <v>3402</v>
      </c>
      <c r="F577" s="58" t="s">
        <v>3057</v>
      </c>
      <c r="G577" s="58">
        <v>6650</v>
      </c>
      <c r="H577" s="85">
        <v>0.25263157894736799</v>
      </c>
      <c r="I577" s="9">
        <v>30.2</v>
      </c>
      <c r="J577" s="9"/>
      <c r="K577" s="9"/>
      <c r="L577" s="9"/>
      <c r="M577" s="9"/>
      <c r="N577" s="9" t="s">
        <v>4782</v>
      </c>
      <c r="O577" s="9" t="s">
        <v>3051</v>
      </c>
      <c r="P577" s="9" t="s">
        <v>4785</v>
      </c>
      <c r="Q577" s="58" t="s">
        <v>3409</v>
      </c>
      <c r="R577" s="58">
        <v>4</v>
      </c>
      <c r="S577" s="58">
        <v>7</v>
      </c>
      <c r="T577" s="9" t="s">
        <v>4783</v>
      </c>
      <c r="U577" s="9" t="s">
        <v>4786</v>
      </c>
      <c r="V577" s="58">
        <v>4</v>
      </c>
      <c r="W577" s="9"/>
      <c r="X577" s="9"/>
      <c r="Y577" s="9"/>
      <c r="Z577" s="9"/>
    </row>
    <row r="578" spans="1:26" ht="15.75" hidden="1" customHeight="1">
      <c r="A578" s="9" t="s">
        <v>4787</v>
      </c>
      <c r="B578" s="9" t="s">
        <v>4788</v>
      </c>
      <c r="C578" s="9" t="s">
        <v>4789</v>
      </c>
      <c r="D578" s="9" t="s">
        <v>439</v>
      </c>
      <c r="E578" s="9"/>
      <c r="F578" s="9"/>
      <c r="G578" s="58">
        <v>11200</v>
      </c>
      <c r="H578" s="85">
        <v>4.2857142857142802E-2</v>
      </c>
      <c r="I578" s="9">
        <v>3.6</v>
      </c>
      <c r="J578" s="9"/>
      <c r="K578" s="9"/>
      <c r="L578" s="9"/>
      <c r="M578" s="9"/>
      <c r="N578" s="9" t="s">
        <v>3332</v>
      </c>
      <c r="O578" s="9" t="s">
        <v>3051</v>
      </c>
      <c r="P578" s="9" t="s">
        <v>3293</v>
      </c>
      <c r="Q578" s="58" t="s">
        <v>3294</v>
      </c>
      <c r="R578" s="58">
        <v>1</v>
      </c>
      <c r="S578" s="58">
        <v>8</v>
      </c>
      <c r="T578" s="9" t="s">
        <v>3065</v>
      </c>
      <c r="U578" s="9" t="s">
        <v>4790</v>
      </c>
      <c r="V578" s="58">
        <v>1</v>
      </c>
      <c r="W578" s="9"/>
      <c r="X578" s="9"/>
      <c r="Y578" s="9"/>
      <c r="Z578" s="9"/>
    </row>
    <row r="579" spans="1:26" ht="15.75" hidden="1" customHeight="1">
      <c r="A579" s="9" t="s">
        <v>4787</v>
      </c>
      <c r="B579" s="9" t="s">
        <v>4788</v>
      </c>
      <c r="C579" s="9" t="s">
        <v>4789</v>
      </c>
      <c r="D579" s="9" t="s">
        <v>368</v>
      </c>
      <c r="E579" s="9" t="s">
        <v>3056</v>
      </c>
      <c r="F579" s="58" t="s">
        <v>3057</v>
      </c>
      <c r="G579" s="58">
        <v>8400</v>
      </c>
      <c r="H579" s="85">
        <v>0.15</v>
      </c>
      <c r="I579" s="9">
        <v>3.6</v>
      </c>
      <c r="J579" s="9"/>
      <c r="K579" s="9"/>
      <c r="L579" s="9"/>
      <c r="M579" s="9"/>
      <c r="N579" s="9" t="s">
        <v>3332</v>
      </c>
      <c r="O579" s="9" t="s">
        <v>3051</v>
      </c>
      <c r="P579" s="9" t="s">
        <v>4791</v>
      </c>
      <c r="Q579" s="58" t="s">
        <v>3074</v>
      </c>
      <c r="R579" s="58">
        <v>3</v>
      </c>
      <c r="S579" s="58">
        <v>7</v>
      </c>
      <c r="T579" s="9" t="s">
        <v>3065</v>
      </c>
      <c r="U579" s="9" t="s">
        <v>4792</v>
      </c>
      <c r="V579" s="58">
        <v>3</v>
      </c>
      <c r="W579" s="9"/>
      <c r="X579" s="9"/>
      <c r="Y579" s="9"/>
      <c r="Z579" s="9"/>
    </row>
    <row r="580" spans="1:26" ht="15.75" hidden="1" customHeight="1">
      <c r="A580" s="9" t="s">
        <v>1759</v>
      </c>
      <c r="B580" s="9" t="s">
        <v>4793</v>
      </c>
      <c r="C580" s="9" t="s">
        <v>616</v>
      </c>
      <c r="D580" s="9" t="s">
        <v>439</v>
      </c>
      <c r="E580" s="9"/>
      <c r="F580" s="9"/>
      <c r="G580" s="58">
        <v>8000</v>
      </c>
      <c r="H580" s="85">
        <v>0.06</v>
      </c>
      <c r="I580" s="9">
        <v>30.9</v>
      </c>
      <c r="J580" s="9"/>
      <c r="K580" s="9"/>
      <c r="L580" s="9"/>
      <c r="M580" s="9"/>
      <c r="N580" s="9" t="s">
        <v>3555</v>
      </c>
      <c r="O580" s="9" t="s">
        <v>3051</v>
      </c>
      <c r="P580" s="9" t="s">
        <v>3415</v>
      </c>
      <c r="Q580" s="58" t="s">
        <v>3167</v>
      </c>
      <c r="R580" s="58">
        <v>1</v>
      </c>
      <c r="S580" s="58">
        <v>8</v>
      </c>
      <c r="T580" s="9" t="s">
        <v>3065</v>
      </c>
      <c r="U580" s="9" t="s">
        <v>4794</v>
      </c>
      <c r="V580" s="58">
        <v>1</v>
      </c>
      <c r="W580" s="9"/>
      <c r="X580" s="9"/>
      <c r="Y580" s="9"/>
      <c r="Z580" s="9"/>
    </row>
    <row r="581" spans="1:26" ht="15.75" hidden="1" customHeight="1">
      <c r="A581" s="9" t="s">
        <v>1759</v>
      </c>
      <c r="B581" s="9" t="s">
        <v>4793</v>
      </c>
      <c r="C581" s="9" t="s">
        <v>616</v>
      </c>
      <c r="D581" s="9" t="s">
        <v>368</v>
      </c>
      <c r="E581" s="9" t="s">
        <v>3402</v>
      </c>
      <c r="F581" s="58" t="s">
        <v>3057</v>
      </c>
      <c r="G581" s="58">
        <v>7700</v>
      </c>
      <c r="H581" s="85">
        <v>0.218181818181818</v>
      </c>
      <c r="I581" s="9">
        <v>30.9</v>
      </c>
      <c r="J581" s="9"/>
      <c r="K581" s="9"/>
      <c r="L581" s="9"/>
      <c r="M581" s="9"/>
      <c r="N581" s="9" t="s">
        <v>3555</v>
      </c>
      <c r="O581" s="9" t="s">
        <v>3051</v>
      </c>
      <c r="P581" s="9" t="s">
        <v>4795</v>
      </c>
      <c r="Q581" s="58" t="s">
        <v>3077</v>
      </c>
      <c r="R581" s="58">
        <v>4</v>
      </c>
      <c r="S581" s="58">
        <v>7</v>
      </c>
      <c r="T581" s="9" t="s">
        <v>3065</v>
      </c>
      <c r="U581" s="9" t="s">
        <v>4796</v>
      </c>
      <c r="V581" s="58">
        <v>4</v>
      </c>
      <c r="W581" s="9"/>
      <c r="X581" s="9"/>
      <c r="Y581" s="9"/>
      <c r="Z581" s="9"/>
    </row>
    <row r="582" spans="1:26" ht="15.75" hidden="1" customHeight="1">
      <c r="A582" s="9" t="s">
        <v>1764</v>
      </c>
      <c r="B582" s="9" t="s">
        <v>4797</v>
      </c>
      <c r="C582" s="9" t="s">
        <v>611</v>
      </c>
      <c r="D582" s="9" t="s">
        <v>439</v>
      </c>
      <c r="E582" s="9"/>
      <c r="F582" s="9"/>
      <c r="G582" s="58">
        <v>7680</v>
      </c>
      <c r="H582" s="85">
        <v>6.25E-2</v>
      </c>
      <c r="I582" s="9">
        <v>33.5</v>
      </c>
      <c r="J582" s="9"/>
      <c r="K582" s="9"/>
      <c r="L582" s="9"/>
      <c r="M582" s="9"/>
      <c r="N582" s="9" t="s">
        <v>4798</v>
      </c>
      <c r="O582" s="9" t="s">
        <v>3051</v>
      </c>
      <c r="P582" s="9" t="s">
        <v>4799</v>
      </c>
      <c r="Q582" s="58" t="s">
        <v>4800</v>
      </c>
      <c r="R582" s="58">
        <v>1</v>
      </c>
      <c r="S582" s="58">
        <v>8</v>
      </c>
      <c r="T582" s="9" t="s">
        <v>4801</v>
      </c>
      <c r="U582" s="9" t="s">
        <v>4802</v>
      </c>
      <c r="V582" s="58">
        <v>1</v>
      </c>
      <c r="W582" s="9"/>
      <c r="X582" s="9"/>
      <c r="Y582" s="9"/>
      <c r="Z582" s="9"/>
    </row>
    <row r="583" spans="1:26" ht="15.75" hidden="1" customHeight="1">
      <c r="A583" s="9" t="s">
        <v>1764</v>
      </c>
      <c r="B583" s="9" t="s">
        <v>4797</v>
      </c>
      <c r="C583" s="9" t="s">
        <v>611</v>
      </c>
      <c r="D583" s="9" t="s">
        <v>368</v>
      </c>
      <c r="E583" s="9" t="s">
        <v>3067</v>
      </c>
      <c r="F583" s="58" t="s">
        <v>3057</v>
      </c>
      <c r="G583" s="58">
        <v>6230</v>
      </c>
      <c r="H583" s="85">
        <v>0.26966292134831399</v>
      </c>
      <c r="I583" s="9">
        <v>33.5</v>
      </c>
      <c r="J583" s="9"/>
      <c r="K583" s="9"/>
      <c r="L583" s="9"/>
      <c r="M583" s="9"/>
      <c r="N583" s="9" t="s">
        <v>4798</v>
      </c>
      <c r="O583" s="9" t="s">
        <v>3051</v>
      </c>
      <c r="P583" s="9" t="s">
        <v>4803</v>
      </c>
      <c r="Q583" s="58" t="s">
        <v>4804</v>
      </c>
      <c r="R583" s="58">
        <v>4</v>
      </c>
      <c r="S583" s="58">
        <v>7</v>
      </c>
      <c r="T583" s="9" t="s">
        <v>4801</v>
      </c>
      <c r="U583" s="9" t="s">
        <v>4805</v>
      </c>
      <c r="V583" s="58">
        <v>4</v>
      </c>
      <c r="W583" s="9"/>
      <c r="X583" s="9"/>
      <c r="Y583" s="9"/>
      <c r="Z583" s="9"/>
    </row>
    <row r="584" spans="1:26" ht="15.75" hidden="1" customHeight="1">
      <c r="A584" s="9" t="s">
        <v>1768</v>
      </c>
      <c r="B584" s="9" t="s">
        <v>4806</v>
      </c>
      <c r="C584" s="9" t="s">
        <v>613</v>
      </c>
      <c r="D584" s="9" t="s">
        <v>439</v>
      </c>
      <c r="E584" s="9"/>
      <c r="F584" s="9"/>
      <c r="G584" s="58">
        <v>10400</v>
      </c>
      <c r="H584" s="85">
        <v>4.6153846153846101E-2</v>
      </c>
      <c r="I584" s="9">
        <v>50</v>
      </c>
      <c r="J584" s="9"/>
      <c r="K584" s="9"/>
      <c r="L584" s="9"/>
      <c r="M584" s="9"/>
      <c r="N584" s="9" t="s">
        <v>3555</v>
      </c>
      <c r="O584" s="9" t="s">
        <v>3081</v>
      </c>
      <c r="P584" s="9" t="s">
        <v>3063</v>
      </c>
      <c r="Q584" s="58" t="s">
        <v>3064</v>
      </c>
      <c r="R584" s="58">
        <v>1</v>
      </c>
      <c r="S584" s="58">
        <v>8</v>
      </c>
      <c r="T584" s="9" t="s">
        <v>3065</v>
      </c>
      <c r="U584" s="9" t="s">
        <v>4807</v>
      </c>
      <c r="V584" s="58">
        <v>1</v>
      </c>
      <c r="W584" s="9"/>
      <c r="X584" s="9"/>
      <c r="Y584" s="9"/>
      <c r="Z584" s="9"/>
    </row>
    <row r="585" spans="1:26" ht="15.75" hidden="1" customHeight="1">
      <c r="A585" s="9" t="s">
        <v>1768</v>
      </c>
      <c r="B585" s="9" t="s">
        <v>4806</v>
      </c>
      <c r="C585" s="9" t="s">
        <v>613</v>
      </c>
      <c r="D585" s="9" t="s">
        <v>368</v>
      </c>
      <c r="E585" s="9" t="s">
        <v>3402</v>
      </c>
      <c r="F585" s="58" t="s">
        <v>3057</v>
      </c>
      <c r="G585" s="58">
        <v>4900</v>
      </c>
      <c r="H585" s="85">
        <v>0.34285714285714203</v>
      </c>
      <c r="I585" s="9">
        <v>50</v>
      </c>
      <c r="J585" s="9"/>
      <c r="K585" s="9"/>
      <c r="L585" s="9"/>
      <c r="M585" s="9"/>
      <c r="N585" s="9" t="s">
        <v>3555</v>
      </c>
      <c r="O585" s="9" t="s">
        <v>3081</v>
      </c>
      <c r="P585" s="9" t="s">
        <v>4808</v>
      </c>
      <c r="Q585" s="58" t="s">
        <v>3155</v>
      </c>
      <c r="R585" s="58">
        <v>4</v>
      </c>
      <c r="S585" s="58">
        <v>7</v>
      </c>
      <c r="T585" s="9" t="s">
        <v>3065</v>
      </c>
      <c r="U585" s="9" t="s">
        <v>4809</v>
      </c>
      <c r="V585" s="58">
        <v>4</v>
      </c>
      <c r="W585" s="9"/>
      <c r="X585" s="9"/>
      <c r="Y585" s="9"/>
      <c r="Z585" s="9"/>
    </row>
    <row r="586" spans="1:26" ht="15.75" hidden="1" customHeight="1">
      <c r="A586" s="9" t="s">
        <v>1770</v>
      </c>
      <c r="B586" s="9" t="s">
        <v>4810</v>
      </c>
      <c r="C586" s="9" t="s">
        <v>727</v>
      </c>
      <c r="D586" s="9" t="s">
        <v>439</v>
      </c>
      <c r="E586" s="9"/>
      <c r="F586" s="9"/>
      <c r="G586" s="58">
        <v>8800</v>
      </c>
      <c r="H586" s="85">
        <v>5.4545454545454501E-2</v>
      </c>
      <c r="I586" s="9">
        <v>121.2</v>
      </c>
      <c r="J586" s="9"/>
      <c r="K586" s="9"/>
      <c r="L586" s="9"/>
      <c r="M586" s="9"/>
      <c r="N586" s="9" t="s">
        <v>3325</v>
      </c>
      <c r="O586" s="9" t="s">
        <v>3051</v>
      </c>
      <c r="P586" s="9" t="s">
        <v>3125</v>
      </c>
      <c r="Q586" s="58" t="s">
        <v>3077</v>
      </c>
      <c r="R586" s="58">
        <v>1</v>
      </c>
      <c r="S586" s="58">
        <v>8</v>
      </c>
      <c r="T586" s="9" t="s">
        <v>4811</v>
      </c>
      <c r="U586" s="9" t="s">
        <v>4812</v>
      </c>
      <c r="V586" s="58">
        <v>1</v>
      </c>
      <c r="W586" s="9"/>
      <c r="X586" s="9"/>
      <c r="Y586" s="9"/>
      <c r="Z586" s="9"/>
    </row>
    <row r="587" spans="1:26" ht="15.75" hidden="1" customHeight="1">
      <c r="A587" s="9" t="s">
        <v>1770</v>
      </c>
      <c r="B587" s="9" t="s">
        <v>4810</v>
      </c>
      <c r="C587" s="9" t="s">
        <v>727</v>
      </c>
      <c r="D587" s="9" t="s">
        <v>368</v>
      </c>
      <c r="E587" s="9" t="s">
        <v>3067</v>
      </c>
      <c r="F587" s="58" t="s">
        <v>3057</v>
      </c>
      <c r="G587" s="58">
        <v>5110</v>
      </c>
      <c r="H587" s="85">
        <v>0.32876712328767099</v>
      </c>
      <c r="I587" s="9">
        <v>121.2</v>
      </c>
      <c r="J587" s="9"/>
      <c r="K587" s="9"/>
      <c r="L587" s="9"/>
      <c r="M587" s="9"/>
      <c r="N587" s="9" t="s">
        <v>3325</v>
      </c>
      <c r="O587" s="9" t="s">
        <v>3051</v>
      </c>
      <c r="P587" s="9" t="s">
        <v>4813</v>
      </c>
      <c r="Q587" s="58" t="s">
        <v>4814</v>
      </c>
      <c r="R587" s="58">
        <v>4</v>
      </c>
      <c r="S587" s="58">
        <v>7</v>
      </c>
      <c r="T587" s="9" t="s">
        <v>4811</v>
      </c>
      <c r="U587" s="9" t="s">
        <v>4815</v>
      </c>
      <c r="V587" s="58">
        <v>4</v>
      </c>
      <c r="W587" s="9"/>
      <c r="X587" s="9"/>
      <c r="Y587" s="9"/>
      <c r="Z587" s="9"/>
    </row>
    <row r="588" spans="1:26" ht="15.75" customHeight="1">
      <c r="A588" s="9" t="s">
        <v>1773</v>
      </c>
      <c r="B588" s="9" t="s">
        <v>4816</v>
      </c>
      <c r="C588" s="9" t="s">
        <v>729</v>
      </c>
      <c r="D588" s="9" t="s">
        <v>4817</v>
      </c>
      <c r="E588" s="9"/>
      <c r="F588" s="9"/>
      <c r="G588" s="58">
        <v>7200</v>
      </c>
      <c r="H588" s="85">
        <v>6.6666666666666596E-2</v>
      </c>
      <c r="I588" s="9">
        <v>33.5</v>
      </c>
      <c r="J588" s="9">
        <v>8.9</v>
      </c>
      <c r="K588" s="9"/>
      <c r="L588" s="9"/>
      <c r="M588" s="9"/>
      <c r="N588" s="9" t="s">
        <v>4818</v>
      </c>
      <c r="O588" s="9" t="s">
        <v>3051</v>
      </c>
      <c r="P588" s="9" t="s">
        <v>4819</v>
      </c>
      <c r="Q588" s="58" t="s">
        <v>3069</v>
      </c>
      <c r="R588" s="58">
        <v>1</v>
      </c>
      <c r="S588" s="58">
        <v>8</v>
      </c>
      <c r="T588" s="9" t="s">
        <v>4820</v>
      </c>
      <c r="U588" s="9" t="s">
        <v>4821</v>
      </c>
      <c r="V588" s="58">
        <v>1</v>
      </c>
      <c r="W588" s="9"/>
      <c r="X588" s="9"/>
      <c r="Y588" s="9"/>
      <c r="Z588" s="9"/>
    </row>
    <row r="589" spans="1:26" ht="15.75" customHeight="1">
      <c r="A589" s="9" t="s">
        <v>1773</v>
      </c>
      <c r="B589" s="9" t="s">
        <v>4816</v>
      </c>
      <c r="C589" s="9" t="s">
        <v>729</v>
      </c>
      <c r="D589" s="9" t="s">
        <v>4822</v>
      </c>
      <c r="E589" s="9"/>
      <c r="F589" s="9"/>
      <c r="G589" s="58">
        <v>8000</v>
      </c>
      <c r="H589" s="85">
        <v>0.06</v>
      </c>
      <c r="I589" s="9">
        <v>33.5</v>
      </c>
      <c r="J589" s="9">
        <v>8.9</v>
      </c>
      <c r="K589" s="9"/>
      <c r="L589" s="9"/>
      <c r="M589" s="9"/>
      <c r="N589" s="9" t="s">
        <v>4818</v>
      </c>
      <c r="O589" s="9" t="s">
        <v>3051</v>
      </c>
      <c r="P589" s="9" t="s">
        <v>3583</v>
      </c>
      <c r="Q589" s="58" t="s">
        <v>3167</v>
      </c>
      <c r="R589" s="58">
        <v>1</v>
      </c>
      <c r="S589" s="58">
        <v>8</v>
      </c>
      <c r="T589" s="9" t="s">
        <v>4820</v>
      </c>
      <c r="U589" s="9" t="s">
        <v>4823</v>
      </c>
      <c r="V589" s="58">
        <v>1</v>
      </c>
      <c r="W589" s="9"/>
      <c r="X589" s="9"/>
      <c r="Y589" s="9"/>
      <c r="Z589" s="9"/>
    </row>
    <row r="590" spans="1:26" ht="15.75" customHeight="1">
      <c r="A590" s="9" t="s">
        <v>1773</v>
      </c>
      <c r="B590" s="9" t="s">
        <v>4816</v>
      </c>
      <c r="C590" s="9" t="s">
        <v>729</v>
      </c>
      <c r="D590" s="9" t="s">
        <v>4824</v>
      </c>
      <c r="E590" s="9"/>
      <c r="F590" s="9"/>
      <c r="G590" s="58">
        <v>5360</v>
      </c>
      <c r="H590" s="85">
        <v>8.9552238805970102E-2</v>
      </c>
      <c r="I590" s="9">
        <v>33.5</v>
      </c>
      <c r="J590" s="9">
        <v>8.9</v>
      </c>
      <c r="K590" s="9"/>
      <c r="L590" s="9"/>
      <c r="M590" s="9"/>
      <c r="N590" s="9" t="s">
        <v>4818</v>
      </c>
      <c r="O590" s="9" t="s">
        <v>3051</v>
      </c>
      <c r="P590" s="9" t="s">
        <v>4825</v>
      </c>
      <c r="Q590" s="58" t="s">
        <v>3770</v>
      </c>
      <c r="R590" s="58">
        <v>1</v>
      </c>
      <c r="S590" s="58">
        <v>8</v>
      </c>
      <c r="T590" s="9" t="s">
        <v>4820</v>
      </c>
      <c r="U590" s="9" t="s">
        <v>4826</v>
      </c>
      <c r="V590" s="58">
        <v>1</v>
      </c>
      <c r="W590" s="9"/>
      <c r="X590" s="9"/>
      <c r="Y590" s="9"/>
      <c r="Z590" s="9"/>
    </row>
    <row r="591" spans="1:26" ht="15.75" hidden="1" customHeight="1">
      <c r="A591" s="9" t="s">
        <v>1773</v>
      </c>
      <c r="B591" s="9" t="s">
        <v>4816</v>
      </c>
      <c r="C591" s="9" t="s">
        <v>729</v>
      </c>
      <c r="D591" s="9" t="s">
        <v>368</v>
      </c>
      <c r="E591" s="9" t="s">
        <v>3563</v>
      </c>
      <c r="F591" s="58" t="s">
        <v>3801</v>
      </c>
      <c r="G591" s="58">
        <v>1750</v>
      </c>
      <c r="H591" s="85">
        <v>0.96</v>
      </c>
      <c r="I591" s="9">
        <v>33.5</v>
      </c>
      <c r="J591" s="9">
        <v>8.9</v>
      </c>
      <c r="K591" s="9"/>
      <c r="L591" s="9"/>
      <c r="M591" s="9"/>
      <c r="N591" s="9" t="s">
        <v>4818</v>
      </c>
      <c r="O591" s="9" t="s">
        <v>3051</v>
      </c>
      <c r="P591" s="9" t="s">
        <v>4827</v>
      </c>
      <c r="Q591" s="58" t="s">
        <v>4828</v>
      </c>
      <c r="R591" s="58">
        <v>4</v>
      </c>
      <c r="S591" s="58">
        <v>7</v>
      </c>
      <c r="T591" s="9" t="s">
        <v>4820</v>
      </c>
      <c r="U591" s="9" t="s">
        <v>4829</v>
      </c>
      <c r="V591" s="58">
        <v>4</v>
      </c>
      <c r="W591" s="9"/>
      <c r="X591" s="9"/>
      <c r="Y591" s="9"/>
      <c r="Z591" s="9"/>
    </row>
    <row r="592" spans="1:26" ht="15.75" hidden="1" customHeight="1">
      <c r="A592" s="9" t="s">
        <v>1781</v>
      </c>
      <c r="B592" s="9" t="s">
        <v>4830</v>
      </c>
      <c r="C592" s="9" t="s">
        <v>733</v>
      </c>
      <c r="D592" s="9" t="s">
        <v>439</v>
      </c>
      <c r="E592" s="9"/>
      <c r="F592" s="9"/>
      <c r="G592" s="58">
        <v>7200</v>
      </c>
      <c r="H592" s="85">
        <v>6.6666666666666596E-2</v>
      </c>
      <c r="I592" s="9">
        <v>50</v>
      </c>
      <c r="J592" s="9"/>
      <c r="K592" s="9"/>
      <c r="L592" s="9"/>
      <c r="M592" s="9"/>
      <c r="N592" s="9" t="s">
        <v>4411</v>
      </c>
      <c r="O592" s="9" t="s">
        <v>3081</v>
      </c>
      <c r="P592" s="9" t="s">
        <v>3644</v>
      </c>
      <c r="Q592" s="58" t="s">
        <v>3069</v>
      </c>
      <c r="R592" s="58">
        <v>1</v>
      </c>
      <c r="S592" s="58">
        <v>8</v>
      </c>
      <c r="T592" s="9" t="s">
        <v>4811</v>
      </c>
      <c r="U592" s="9" t="s">
        <v>4831</v>
      </c>
      <c r="V592" s="58">
        <v>1</v>
      </c>
      <c r="W592" s="9"/>
      <c r="X592" s="9"/>
      <c r="Y592" s="9"/>
      <c r="Z592" s="9"/>
    </row>
    <row r="593" spans="1:26" ht="15.75" hidden="1" customHeight="1">
      <c r="A593" s="9" t="s">
        <v>1781</v>
      </c>
      <c r="B593" s="9" t="s">
        <v>4830</v>
      </c>
      <c r="C593" s="9" t="s">
        <v>733</v>
      </c>
      <c r="D593" s="9" t="s">
        <v>368</v>
      </c>
      <c r="E593" s="9" t="s">
        <v>3092</v>
      </c>
      <c r="F593" s="58" t="s">
        <v>3087</v>
      </c>
      <c r="G593" s="58">
        <v>6650</v>
      </c>
      <c r="H593" s="85">
        <v>0.25263157894736799</v>
      </c>
      <c r="I593" s="9">
        <v>50</v>
      </c>
      <c r="J593" s="9"/>
      <c r="K593" s="9"/>
      <c r="L593" s="9"/>
      <c r="M593" s="9"/>
      <c r="N593" s="9" t="s">
        <v>4411</v>
      </c>
      <c r="O593" s="9" t="s">
        <v>3081</v>
      </c>
      <c r="P593" s="9" t="s">
        <v>4832</v>
      </c>
      <c r="Q593" s="58" t="s">
        <v>3409</v>
      </c>
      <c r="R593" s="58">
        <v>4</v>
      </c>
      <c r="S593" s="58">
        <v>7</v>
      </c>
      <c r="T593" s="9" t="s">
        <v>4811</v>
      </c>
      <c r="U593" s="9" t="s">
        <v>4833</v>
      </c>
      <c r="V593" s="58">
        <v>4</v>
      </c>
      <c r="W593" s="9"/>
      <c r="X593" s="9"/>
      <c r="Y593" s="9"/>
      <c r="Z593" s="9"/>
    </row>
    <row r="594" spans="1:26" ht="15.75" customHeight="1">
      <c r="A594" s="9" t="s">
        <v>1783</v>
      </c>
      <c r="B594" s="9" t="s">
        <v>4834</v>
      </c>
      <c r="C594" s="9" t="s">
        <v>737</v>
      </c>
      <c r="D594" s="9" t="s">
        <v>559</v>
      </c>
      <c r="E594" s="9" t="s">
        <v>3042</v>
      </c>
      <c r="F594" s="58" t="s">
        <v>3043</v>
      </c>
      <c r="G594" s="58">
        <v>4992</v>
      </c>
      <c r="H594" s="85">
        <v>9.6153846153846104E-2</v>
      </c>
      <c r="I594" s="9">
        <v>31</v>
      </c>
      <c r="J594" s="9"/>
      <c r="K594" s="9"/>
      <c r="L594" s="9"/>
      <c r="M594" s="9"/>
      <c r="N594" s="9" t="s">
        <v>3423</v>
      </c>
      <c r="O594" s="9" t="s">
        <v>3258</v>
      </c>
      <c r="P594" s="9" t="s">
        <v>3044</v>
      </c>
      <c r="Q594" s="58" t="s">
        <v>3045</v>
      </c>
      <c r="R594" s="58">
        <v>1</v>
      </c>
      <c r="S594" s="58">
        <v>8</v>
      </c>
      <c r="T594" s="9" t="s">
        <v>4835</v>
      </c>
      <c r="U594" s="9" t="s">
        <v>4836</v>
      </c>
      <c r="V594" s="58">
        <v>1</v>
      </c>
      <c r="W594" s="9"/>
      <c r="X594" s="9"/>
      <c r="Y594" s="9"/>
      <c r="Z594" s="9"/>
    </row>
    <row r="595" spans="1:26" ht="15.75" hidden="1" customHeight="1">
      <c r="A595" s="9" t="s">
        <v>1783</v>
      </c>
      <c r="B595" s="9" t="s">
        <v>4834</v>
      </c>
      <c r="C595" s="9" t="s">
        <v>737</v>
      </c>
      <c r="D595" s="9" t="s">
        <v>439</v>
      </c>
      <c r="E595" s="9"/>
      <c r="F595" s="9"/>
      <c r="G595" s="58">
        <v>9880</v>
      </c>
      <c r="H595" s="85">
        <v>4.8582995951416998E-2</v>
      </c>
      <c r="I595" s="9">
        <v>31</v>
      </c>
      <c r="J595" s="9"/>
      <c r="K595" s="9"/>
      <c r="L595" s="9"/>
      <c r="M595" s="9"/>
      <c r="N595" s="9" t="s">
        <v>3423</v>
      </c>
      <c r="O595" s="9" t="s">
        <v>3258</v>
      </c>
      <c r="P595" s="9" t="s">
        <v>4463</v>
      </c>
      <c r="Q595" s="58" t="s">
        <v>4464</v>
      </c>
      <c r="R595" s="58">
        <v>1</v>
      </c>
      <c r="S595" s="58">
        <v>8</v>
      </c>
      <c r="T595" s="9" t="s">
        <v>4835</v>
      </c>
      <c r="U595" s="9" t="s">
        <v>4837</v>
      </c>
      <c r="V595" s="58">
        <v>1</v>
      </c>
      <c r="W595" s="9"/>
      <c r="X595" s="9"/>
      <c r="Y595" s="9"/>
      <c r="Z595" s="9"/>
    </row>
    <row r="596" spans="1:26" ht="15.75" hidden="1" customHeight="1">
      <c r="A596" s="9" t="s">
        <v>1783</v>
      </c>
      <c r="B596" s="9" t="s">
        <v>4834</v>
      </c>
      <c r="C596" s="9" t="s">
        <v>737</v>
      </c>
      <c r="D596" s="9" t="s">
        <v>368</v>
      </c>
      <c r="E596" s="9" t="s">
        <v>3402</v>
      </c>
      <c r="F596" s="58" t="s">
        <v>3057</v>
      </c>
      <c r="G596" s="58">
        <v>5600</v>
      </c>
      <c r="H596" s="85">
        <v>0.22500000000000001</v>
      </c>
      <c r="I596" s="9">
        <v>31</v>
      </c>
      <c r="J596" s="9"/>
      <c r="K596" s="9"/>
      <c r="L596" s="9"/>
      <c r="M596" s="9"/>
      <c r="N596" s="9" t="s">
        <v>3423</v>
      </c>
      <c r="O596" s="9" t="s">
        <v>3258</v>
      </c>
      <c r="P596" s="9" t="s">
        <v>4838</v>
      </c>
      <c r="Q596" s="58" t="s">
        <v>3185</v>
      </c>
      <c r="R596" s="58">
        <v>3</v>
      </c>
      <c r="S596" s="58">
        <v>7</v>
      </c>
      <c r="T596" s="9" t="s">
        <v>4835</v>
      </c>
      <c r="U596" s="9" t="s">
        <v>4839</v>
      </c>
      <c r="V596" s="58">
        <v>3</v>
      </c>
      <c r="W596" s="9"/>
      <c r="X596" s="9"/>
      <c r="Y596" s="9"/>
      <c r="Z596" s="9"/>
    </row>
    <row r="597" spans="1:26" ht="15.75" hidden="1" customHeight="1">
      <c r="A597" s="9" t="s">
        <v>1788</v>
      </c>
      <c r="B597" s="9" t="s">
        <v>4840</v>
      </c>
      <c r="C597" s="9" t="s">
        <v>739</v>
      </c>
      <c r="D597" s="9" t="s">
        <v>439</v>
      </c>
      <c r="E597" s="9"/>
      <c r="F597" s="9"/>
      <c r="G597" s="58">
        <v>21600</v>
      </c>
      <c r="H597" s="85">
        <v>2.2222222222222199E-2</v>
      </c>
      <c r="I597" s="9">
        <v>25</v>
      </c>
      <c r="J597" s="9"/>
      <c r="K597" s="9"/>
      <c r="L597" s="9"/>
      <c r="M597" s="9"/>
      <c r="N597" s="9" t="s">
        <v>3267</v>
      </c>
      <c r="O597" s="9" t="s">
        <v>3051</v>
      </c>
      <c r="P597" s="9" t="s">
        <v>3259</v>
      </c>
      <c r="Q597" s="58" t="s">
        <v>3260</v>
      </c>
      <c r="R597" s="9">
        <v>1</v>
      </c>
      <c r="S597" s="9">
        <v>8</v>
      </c>
      <c r="T597" s="9" t="s">
        <v>4841</v>
      </c>
      <c r="U597" s="9" t="s">
        <v>4842</v>
      </c>
      <c r="V597" s="9">
        <v>1</v>
      </c>
      <c r="W597" s="9"/>
      <c r="X597" s="9"/>
      <c r="Y597" s="9"/>
      <c r="Z597" s="9"/>
    </row>
    <row r="598" spans="1:26" ht="15.75" hidden="1" customHeight="1">
      <c r="A598" s="9" t="s">
        <v>1788</v>
      </c>
      <c r="B598" s="9" t="s">
        <v>4840</v>
      </c>
      <c r="C598" s="9" t="s">
        <v>739</v>
      </c>
      <c r="D598" s="9" t="s">
        <v>368</v>
      </c>
      <c r="E598" s="9" t="s">
        <v>3270</v>
      </c>
      <c r="F598" s="58" t="s">
        <v>3057</v>
      </c>
      <c r="G598" s="58">
        <v>7700</v>
      </c>
      <c r="H598" s="85">
        <v>0.163636363636363</v>
      </c>
      <c r="I598" s="9">
        <v>25</v>
      </c>
      <c r="J598" s="9"/>
      <c r="K598" s="9"/>
      <c r="L598" s="9"/>
      <c r="M598" s="9"/>
      <c r="N598" s="9" t="s">
        <v>3267</v>
      </c>
      <c r="O598" s="9" t="s">
        <v>3051</v>
      </c>
      <c r="P598" s="9" t="s">
        <v>3721</v>
      </c>
      <c r="Q598" s="58" t="s">
        <v>3077</v>
      </c>
      <c r="R598" s="9">
        <v>3</v>
      </c>
      <c r="S598" s="9">
        <v>7</v>
      </c>
      <c r="T598" s="9" t="s">
        <v>4841</v>
      </c>
      <c r="U598" s="9" t="s">
        <v>4843</v>
      </c>
      <c r="V598" s="9">
        <v>3</v>
      </c>
      <c r="W598" s="9"/>
      <c r="X598" s="9"/>
      <c r="Y598" s="9"/>
      <c r="Z598" s="9"/>
    </row>
    <row r="599" spans="1:26" ht="15.75" hidden="1" customHeight="1">
      <c r="A599" s="9" t="s">
        <v>4844</v>
      </c>
      <c r="B599" s="9" t="s">
        <v>4845</v>
      </c>
      <c r="C599" s="9" t="s">
        <v>4846</v>
      </c>
      <c r="D599" s="9" t="s">
        <v>439</v>
      </c>
      <c r="E599" s="9"/>
      <c r="F599" s="9"/>
      <c r="G599" s="58">
        <v>8000</v>
      </c>
      <c r="H599" s="85">
        <v>0.06</v>
      </c>
      <c r="I599" s="9">
        <v>40.6</v>
      </c>
      <c r="J599" s="9"/>
      <c r="K599" s="9"/>
      <c r="L599" s="9"/>
      <c r="M599" s="9"/>
      <c r="N599" s="9" t="s">
        <v>4847</v>
      </c>
      <c r="O599" s="9" t="s">
        <v>4098</v>
      </c>
      <c r="P599" s="9" t="s">
        <v>3583</v>
      </c>
      <c r="Q599" s="58" t="s">
        <v>3167</v>
      </c>
      <c r="R599" s="58">
        <v>1</v>
      </c>
      <c r="S599" s="58">
        <v>8</v>
      </c>
      <c r="T599" s="9" t="s">
        <v>4848</v>
      </c>
      <c r="U599" s="9" t="s">
        <v>4849</v>
      </c>
      <c r="V599" s="58">
        <v>1</v>
      </c>
      <c r="W599" s="9"/>
      <c r="X599" s="9"/>
      <c r="Y599" s="9"/>
      <c r="Z599" s="9"/>
    </row>
    <row r="600" spans="1:26" ht="15.75" hidden="1" customHeight="1">
      <c r="A600" s="9" t="s">
        <v>4844</v>
      </c>
      <c r="B600" s="9" t="s">
        <v>4845</v>
      </c>
      <c r="C600" s="9" t="s">
        <v>4846</v>
      </c>
      <c r="D600" s="9" t="s">
        <v>368</v>
      </c>
      <c r="E600" s="9" t="s">
        <v>3158</v>
      </c>
      <c r="F600" s="58" t="s">
        <v>3087</v>
      </c>
      <c r="G600" s="58">
        <v>7000</v>
      </c>
      <c r="H600" s="85">
        <v>0.24</v>
      </c>
      <c r="I600" s="9">
        <v>40.6</v>
      </c>
      <c r="J600" s="9"/>
      <c r="K600" s="9"/>
      <c r="L600" s="9"/>
      <c r="M600" s="9"/>
      <c r="N600" s="9" t="s">
        <v>4847</v>
      </c>
      <c r="O600" s="9" t="s">
        <v>4098</v>
      </c>
      <c r="P600" s="9" t="s">
        <v>4850</v>
      </c>
      <c r="Q600" s="58" t="s">
        <v>3167</v>
      </c>
      <c r="R600" s="58">
        <v>4</v>
      </c>
      <c r="S600" s="58">
        <v>7</v>
      </c>
      <c r="T600" s="9" t="s">
        <v>4848</v>
      </c>
      <c r="U600" s="9" t="s">
        <v>4851</v>
      </c>
      <c r="V600" s="58">
        <v>4</v>
      </c>
      <c r="W600" s="9"/>
      <c r="X600" s="9"/>
      <c r="Y600" s="9"/>
      <c r="Z600" s="9"/>
    </row>
    <row r="601" spans="1:26" ht="15.75" hidden="1" customHeight="1">
      <c r="A601" s="9" t="s">
        <v>2146</v>
      </c>
      <c r="B601" s="9" t="s">
        <v>4852</v>
      </c>
      <c r="C601" s="9" t="s">
        <v>2148</v>
      </c>
      <c r="D601" s="9" t="s">
        <v>439</v>
      </c>
      <c r="E601" s="9"/>
      <c r="F601" s="9"/>
      <c r="G601" s="58">
        <v>6400</v>
      </c>
      <c r="H601" s="85">
        <v>7.4999999999999997E-2</v>
      </c>
      <c r="I601" s="9">
        <v>147.80000000000001</v>
      </c>
      <c r="J601" s="9"/>
      <c r="K601" s="9"/>
      <c r="L601" s="9"/>
      <c r="M601" s="9"/>
      <c r="N601" s="9" t="s">
        <v>4853</v>
      </c>
      <c r="O601" s="9" t="s">
        <v>4098</v>
      </c>
      <c r="P601" s="9" t="s">
        <v>3549</v>
      </c>
      <c r="Q601" s="58" t="s">
        <v>3185</v>
      </c>
      <c r="R601" s="58">
        <v>1</v>
      </c>
      <c r="S601" s="58">
        <v>8</v>
      </c>
      <c r="T601" s="9" t="s">
        <v>4854</v>
      </c>
      <c r="U601" s="9" t="s">
        <v>4855</v>
      </c>
      <c r="V601" s="58">
        <v>1</v>
      </c>
      <c r="W601" s="9"/>
      <c r="X601" s="9"/>
      <c r="Y601" s="9"/>
      <c r="Z601" s="9"/>
    </row>
    <row r="602" spans="1:26" ht="15.75" hidden="1" customHeight="1">
      <c r="A602" s="9" t="s">
        <v>2146</v>
      </c>
      <c r="B602" s="9" t="s">
        <v>4852</v>
      </c>
      <c r="C602" s="9" t="s">
        <v>2148</v>
      </c>
      <c r="D602" s="9" t="s">
        <v>368</v>
      </c>
      <c r="E602" s="9" t="s">
        <v>4856</v>
      </c>
      <c r="F602" s="58" t="s">
        <v>3087</v>
      </c>
      <c r="G602" s="58">
        <v>4060</v>
      </c>
      <c r="H602" s="85">
        <v>0.41379310344827502</v>
      </c>
      <c r="I602" s="9">
        <v>147.80000000000001</v>
      </c>
      <c r="J602" s="9"/>
      <c r="K602" s="9"/>
      <c r="L602" s="9"/>
      <c r="M602" s="9"/>
      <c r="N602" s="9" t="s">
        <v>4853</v>
      </c>
      <c r="O602" s="9" t="s">
        <v>4098</v>
      </c>
      <c r="P602" s="9" t="s">
        <v>4857</v>
      </c>
      <c r="Q602" s="58" t="s">
        <v>4858</v>
      </c>
      <c r="R602" s="58">
        <v>4</v>
      </c>
      <c r="S602" s="58">
        <v>7</v>
      </c>
      <c r="T602" s="9" t="s">
        <v>4854</v>
      </c>
      <c r="U602" s="9" t="s">
        <v>4859</v>
      </c>
      <c r="V602" s="58">
        <v>4</v>
      </c>
      <c r="W602" s="9"/>
      <c r="X602" s="9"/>
      <c r="Y602" s="9"/>
      <c r="Z602" s="9"/>
    </row>
    <row r="603" spans="1:26" ht="15.75" hidden="1" customHeight="1">
      <c r="A603" s="9" t="s">
        <v>4860</v>
      </c>
      <c r="B603" s="9" t="s">
        <v>4861</v>
      </c>
      <c r="C603" s="9" t="s">
        <v>4862</v>
      </c>
      <c r="D603" s="9" t="s">
        <v>439</v>
      </c>
      <c r="E603" s="9"/>
      <c r="F603" s="9"/>
      <c r="G603" s="58">
        <v>8000</v>
      </c>
      <c r="H603" s="85">
        <v>0.06</v>
      </c>
      <c r="I603" s="9">
        <v>14.1</v>
      </c>
      <c r="J603" s="9"/>
      <c r="K603" s="9"/>
      <c r="L603" s="9"/>
      <c r="M603" s="9"/>
      <c r="N603" s="9" t="s">
        <v>4166</v>
      </c>
      <c r="O603" s="9" t="s">
        <v>3258</v>
      </c>
      <c r="P603" s="9" t="s">
        <v>3583</v>
      </c>
      <c r="Q603" s="58" t="s">
        <v>3167</v>
      </c>
      <c r="R603" s="58">
        <v>1</v>
      </c>
      <c r="S603" s="58">
        <v>8</v>
      </c>
      <c r="T603" s="9" t="s">
        <v>4863</v>
      </c>
      <c r="U603" s="9" t="s">
        <v>4864</v>
      </c>
      <c r="V603" s="58">
        <v>1</v>
      </c>
      <c r="W603" s="9"/>
      <c r="X603" s="9"/>
      <c r="Y603" s="9"/>
      <c r="Z603" s="9"/>
    </row>
    <row r="604" spans="1:26" ht="15.75" hidden="1" customHeight="1">
      <c r="A604" s="9" t="s">
        <v>4860</v>
      </c>
      <c r="B604" s="9" t="s">
        <v>4861</v>
      </c>
      <c r="C604" s="9" t="s">
        <v>4862</v>
      </c>
      <c r="D604" s="9" t="s">
        <v>368</v>
      </c>
      <c r="E604" s="9" t="s">
        <v>4169</v>
      </c>
      <c r="F604" s="58" t="s">
        <v>3057</v>
      </c>
      <c r="G604" s="58">
        <v>8400</v>
      </c>
      <c r="H604" s="85">
        <v>0.2</v>
      </c>
      <c r="I604" s="9">
        <v>14.1</v>
      </c>
      <c r="J604" s="9"/>
      <c r="K604" s="9"/>
      <c r="L604" s="9"/>
      <c r="M604" s="9"/>
      <c r="N604" s="9" t="s">
        <v>4166</v>
      </c>
      <c r="O604" s="9" t="s">
        <v>3258</v>
      </c>
      <c r="P604" s="9" t="s">
        <v>4865</v>
      </c>
      <c r="Q604" s="58" t="s">
        <v>3074</v>
      </c>
      <c r="R604" s="58">
        <v>4</v>
      </c>
      <c r="S604" s="58">
        <v>7</v>
      </c>
      <c r="T604" s="9" t="s">
        <v>4863</v>
      </c>
      <c r="U604" s="9" t="s">
        <v>4866</v>
      </c>
      <c r="V604" s="58">
        <v>4</v>
      </c>
      <c r="W604" s="9"/>
      <c r="X604" s="9"/>
      <c r="Y604" s="9"/>
      <c r="Z604" s="9"/>
    </row>
    <row r="605" spans="1:26" ht="15.75" hidden="1" customHeight="1">
      <c r="A605" s="9" t="s">
        <v>2405</v>
      </c>
      <c r="B605" s="9" t="s">
        <v>4867</v>
      </c>
      <c r="C605" s="9" t="s">
        <v>2407</v>
      </c>
      <c r="D605" s="9" t="s">
        <v>439</v>
      </c>
      <c r="E605" s="9"/>
      <c r="F605" s="9"/>
      <c r="G605" s="58">
        <v>7200</v>
      </c>
      <c r="H605" s="85">
        <v>6.6666666666666596E-2</v>
      </c>
      <c r="I605" s="9">
        <v>121.2</v>
      </c>
      <c r="J605" s="9"/>
      <c r="K605" s="9"/>
      <c r="L605" s="9"/>
      <c r="M605" s="9"/>
      <c r="N605" s="9" t="s">
        <v>4868</v>
      </c>
      <c r="O605" s="9" t="s">
        <v>3051</v>
      </c>
      <c r="P605" s="9" t="s">
        <v>3644</v>
      </c>
      <c r="Q605" s="58" t="s">
        <v>3069</v>
      </c>
      <c r="R605" s="58">
        <v>1</v>
      </c>
      <c r="S605" s="58">
        <v>8</v>
      </c>
      <c r="T605" s="9" t="s">
        <v>4869</v>
      </c>
      <c r="U605" s="9" t="s">
        <v>4870</v>
      </c>
      <c r="V605" s="58">
        <v>1</v>
      </c>
      <c r="W605" s="9"/>
      <c r="X605" s="9"/>
      <c r="Y605" s="9"/>
      <c r="Z605" s="9"/>
    </row>
    <row r="606" spans="1:26" ht="15.75" hidden="1" customHeight="1">
      <c r="A606" s="9" t="s">
        <v>2405</v>
      </c>
      <c r="B606" s="9" t="s">
        <v>4867</v>
      </c>
      <c r="C606" s="9" t="s">
        <v>2407</v>
      </c>
      <c r="D606" s="9" t="s">
        <v>368</v>
      </c>
      <c r="E606" s="9" t="s">
        <v>3920</v>
      </c>
      <c r="F606" s="58" t="s">
        <v>3057</v>
      </c>
      <c r="G606" s="58">
        <v>5250</v>
      </c>
      <c r="H606" s="85">
        <v>0.32</v>
      </c>
      <c r="I606" s="9">
        <v>121.2</v>
      </c>
      <c r="J606" s="9"/>
      <c r="K606" s="9"/>
      <c r="L606" s="9"/>
      <c r="M606" s="9"/>
      <c r="N606" s="9" t="s">
        <v>4868</v>
      </c>
      <c r="O606" s="9" t="s">
        <v>3051</v>
      </c>
      <c r="P606" s="9" t="s">
        <v>4871</v>
      </c>
      <c r="Q606" s="58" t="s">
        <v>3095</v>
      </c>
      <c r="R606" s="58">
        <v>4</v>
      </c>
      <c r="S606" s="58">
        <v>7</v>
      </c>
      <c r="T606" s="9" t="s">
        <v>4869</v>
      </c>
      <c r="U606" s="9" t="s">
        <v>4872</v>
      </c>
      <c r="V606" s="58">
        <v>4</v>
      </c>
      <c r="W606" s="9"/>
      <c r="X606" s="9"/>
      <c r="Y606" s="9"/>
      <c r="Z606" s="9"/>
    </row>
    <row r="607" spans="1:26" ht="15.75" hidden="1" customHeight="1">
      <c r="A607" s="9" t="s">
        <v>4873</v>
      </c>
      <c r="B607" s="9" t="s">
        <v>4874</v>
      </c>
      <c r="C607" s="9" t="s">
        <v>4875</v>
      </c>
      <c r="D607" s="9" t="s">
        <v>439</v>
      </c>
      <c r="E607" s="9"/>
      <c r="F607" s="9"/>
      <c r="G607" s="58">
        <v>16000</v>
      </c>
      <c r="H607" s="85">
        <v>0.03</v>
      </c>
      <c r="I607" s="9" t="s">
        <v>4876</v>
      </c>
      <c r="J607" s="9"/>
      <c r="K607" s="9"/>
      <c r="L607" s="9"/>
      <c r="M607" s="9"/>
      <c r="N607" s="9" t="s">
        <v>4877</v>
      </c>
      <c r="O607" s="9" t="s">
        <v>3258</v>
      </c>
      <c r="P607" s="9" t="s">
        <v>3461</v>
      </c>
      <c r="Q607" s="58" t="s">
        <v>3462</v>
      </c>
      <c r="R607" s="58">
        <v>1</v>
      </c>
      <c r="S607" s="58">
        <v>8</v>
      </c>
      <c r="T607" s="9" t="s">
        <v>4878</v>
      </c>
      <c r="U607" s="9" t="s">
        <v>4879</v>
      </c>
      <c r="V607" s="58">
        <v>1</v>
      </c>
      <c r="W607" s="9"/>
      <c r="X607" s="9"/>
      <c r="Y607" s="9"/>
      <c r="Z607" s="9"/>
    </row>
    <row r="608" spans="1:26" ht="15.75" hidden="1" customHeight="1">
      <c r="A608" s="9" t="s">
        <v>4873</v>
      </c>
      <c r="B608" s="9" t="s">
        <v>4874</v>
      </c>
      <c r="C608" s="9" t="s">
        <v>4875</v>
      </c>
      <c r="D608" s="9" t="s">
        <v>368</v>
      </c>
      <c r="E608" s="9" t="s">
        <v>3563</v>
      </c>
      <c r="F608" s="58" t="s">
        <v>3057</v>
      </c>
      <c r="G608" s="58">
        <v>6650</v>
      </c>
      <c r="H608" s="85">
        <v>0.25263157894736799</v>
      </c>
      <c r="I608" s="9" t="s">
        <v>4876</v>
      </c>
      <c r="J608" s="9"/>
      <c r="K608" s="9"/>
      <c r="L608" s="9"/>
      <c r="M608" s="9"/>
      <c r="N608" s="9" t="s">
        <v>4877</v>
      </c>
      <c r="O608" s="9" t="s">
        <v>3258</v>
      </c>
      <c r="P608" s="9" t="s">
        <v>4880</v>
      </c>
      <c r="Q608" s="58" t="s">
        <v>3409</v>
      </c>
      <c r="R608" s="58">
        <v>4</v>
      </c>
      <c r="S608" s="58">
        <v>7</v>
      </c>
      <c r="T608" s="9" t="s">
        <v>4878</v>
      </c>
      <c r="U608" s="9" t="s">
        <v>4881</v>
      </c>
      <c r="V608" s="58">
        <v>4</v>
      </c>
      <c r="W608" s="9"/>
      <c r="X608" s="9"/>
      <c r="Y608" s="9"/>
      <c r="Z608" s="9"/>
    </row>
    <row r="609" spans="1:26" ht="15.75" hidden="1" customHeight="1">
      <c r="A609" s="9" t="s">
        <v>2388</v>
      </c>
      <c r="B609" s="9" t="s">
        <v>4882</v>
      </c>
      <c r="C609" s="9" t="s">
        <v>2390</v>
      </c>
      <c r="D609" s="9" t="s">
        <v>439</v>
      </c>
      <c r="E609" s="9"/>
      <c r="F609" s="9"/>
      <c r="G609" s="58">
        <v>6800</v>
      </c>
      <c r="H609" s="85">
        <v>7.0588235294117604E-2</v>
      </c>
      <c r="I609" s="9" t="s">
        <v>4883</v>
      </c>
      <c r="J609" s="9"/>
      <c r="K609" s="9"/>
      <c r="L609" s="9"/>
      <c r="M609" s="9"/>
      <c r="N609" s="9" t="s">
        <v>4877</v>
      </c>
      <c r="O609" s="9" t="s">
        <v>3258</v>
      </c>
      <c r="P609" s="9" t="s">
        <v>4442</v>
      </c>
      <c r="Q609" s="58" t="s">
        <v>3132</v>
      </c>
      <c r="R609" s="58">
        <v>1</v>
      </c>
      <c r="S609" s="58">
        <v>8</v>
      </c>
      <c r="T609" s="9" t="s">
        <v>4884</v>
      </c>
      <c r="U609" s="9" t="s">
        <v>4885</v>
      </c>
      <c r="V609" s="58">
        <v>1</v>
      </c>
      <c r="W609" s="9"/>
      <c r="X609" s="9"/>
      <c r="Y609" s="9"/>
      <c r="Z609" s="9"/>
    </row>
    <row r="610" spans="1:26" ht="15.75" hidden="1" customHeight="1">
      <c r="A610" s="9" t="s">
        <v>2388</v>
      </c>
      <c r="B610" s="9" t="s">
        <v>4882</v>
      </c>
      <c r="C610" s="9" t="s">
        <v>2390</v>
      </c>
      <c r="D610" s="9" t="s">
        <v>368</v>
      </c>
      <c r="E610" s="9" t="s">
        <v>4886</v>
      </c>
      <c r="F610" s="58" t="s">
        <v>3057</v>
      </c>
      <c r="G610" s="58">
        <v>4200</v>
      </c>
      <c r="H610" s="85">
        <v>0.4</v>
      </c>
      <c r="I610" s="9" t="s">
        <v>4883</v>
      </c>
      <c r="J610" s="9"/>
      <c r="K610" s="9"/>
      <c r="L610" s="9"/>
      <c r="M610" s="9"/>
      <c r="N610" s="9" t="s">
        <v>4877</v>
      </c>
      <c r="O610" s="9" t="s">
        <v>3258</v>
      </c>
      <c r="P610" s="9" t="s">
        <v>4887</v>
      </c>
      <c r="Q610" s="58" t="s">
        <v>3122</v>
      </c>
      <c r="R610" s="58">
        <v>4</v>
      </c>
      <c r="S610" s="58">
        <v>7</v>
      </c>
      <c r="T610" s="9" t="s">
        <v>4884</v>
      </c>
      <c r="U610" s="9" t="s">
        <v>4888</v>
      </c>
      <c r="V610" s="58">
        <v>4</v>
      </c>
      <c r="W610" s="9"/>
      <c r="X610" s="9"/>
      <c r="Y610" s="9"/>
      <c r="Z610" s="9"/>
    </row>
    <row r="611" spans="1:26" ht="15.75" hidden="1" customHeight="1">
      <c r="A611" s="9" t="s">
        <v>2255</v>
      </c>
      <c r="B611" s="9" t="s">
        <v>4889</v>
      </c>
      <c r="C611" s="9" t="s">
        <v>2257</v>
      </c>
      <c r="D611" s="9" t="s">
        <v>439</v>
      </c>
      <c r="E611" s="9"/>
      <c r="F611" s="9"/>
      <c r="G611" s="58">
        <v>8000</v>
      </c>
      <c r="H611" s="85">
        <v>0.06</v>
      </c>
      <c r="I611" s="9">
        <v>37.1</v>
      </c>
      <c r="J611" s="9"/>
      <c r="K611" s="9"/>
      <c r="L611" s="9"/>
      <c r="M611" s="9"/>
      <c r="N611" s="9" t="s">
        <v>3375</v>
      </c>
      <c r="O611" s="9" t="s">
        <v>4098</v>
      </c>
      <c r="P611" s="9" t="s">
        <v>3415</v>
      </c>
      <c r="Q611" s="58" t="s">
        <v>3167</v>
      </c>
      <c r="R611" s="58">
        <v>1</v>
      </c>
      <c r="S611" s="58">
        <v>8</v>
      </c>
      <c r="T611" s="9" t="s">
        <v>4890</v>
      </c>
      <c r="U611" s="9" t="s">
        <v>4891</v>
      </c>
      <c r="V611" s="58">
        <v>1</v>
      </c>
      <c r="W611" s="9"/>
      <c r="X611" s="9"/>
      <c r="Y611" s="9"/>
      <c r="Z611" s="9"/>
    </row>
    <row r="612" spans="1:26" ht="15.75" hidden="1" customHeight="1">
      <c r="A612" s="9" t="s">
        <v>2255</v>
      </c>
      <c r="B612" s="9" t="s">
        <v>4889</v>
      </c>
      <c r="C612" s="9" t="s">
        <v>2257</v>
      </c>
      <c r="D612" s="9" t="s">
        <v>368</v>
      </c>
      <c r="E612" s="9" t="s">
        <v>3067</v>
      </c>
      <c r="F612" s="58" t="s">
        <v>3057</v>
      </c>
      <c r="G612" s="58">
        <v>7700</v>
      </c>
      <c r="H612" s="85">
        <v>0.163636363636363</v>
      </c>
      <c r="I612" s="9">
        <v>37.1</v>
      </c>
      <c r="J612" s="9"/>
      <c r="K612" s="9"/>
      <c r="L612" s="9"/>
      <c r="M612" s="9"/>
      <c r="N612" s="9" t="s">
        <v>3375</v>
      </c>
      <c r="O612" s="9" t="s">
        <v>4098</v>
      </c>
      <c r="P612" s="9" t="s">
        <v>4892</v>
      </c>
      <c r="Q612" s="58" t="s">
        <v>3077</v>
      </c>
      <c r="R612" s="58">
        <v>3</v>
      </c>
      <c r="S612" s="58">
        <v>7</v>
      </c>
      <c r="T612" s="9" t="s">
        <v>4890</v>
      </c>
      <c r="U612" s="9" t="s">
        <v>4893</v>
      </c>
      <c r="V612" s="58">
        <v>3</v>
      </c>
      <c r="W612" s="9"/>
      <c r="X612" s="9"/>
      <c r="Y612" s="9"/>
      <c r="Z612" s="9"/>
    </row>
    <row r="613" spans="1:26" ht="15.75" hidden="1" customHeight="1">
      <c r="A613" s="9" t="s">
        <v>4894</v>
      </c>
      <c r="B613" s="9" t="s">
        <v>4895</v>
      </c>
      <c r="C613" s="9" t="s">
        <v>2396</v>
      </c>
      <c r="D613" s="9" t="s">
        <v>439</v>
      </c>
      <c r="E613" s="9"/>
      <c r="F613" s="9"/>
      <c r="G613" s="58">
        <v>8000</v>
      </c>
      <c r="H613" s="85">
        <v>0.06</v>
      </c>
      <c r="I613" s="9" t="s">
        <v>2396</v>
      </c>
      <c r="J613" s="9"/>
      <c r="K613" s="9"/>
      <c r="L613" s="9"/>
      <c r="M613" s="9"/>
      <c r="N613" s="9" t="s">
        <v>2396</v>
      </c>
      <c r="O613" s="9" t="s">
        <v>2396</v>
      </c>
      <c r="P613" s="9" t="s">
        <v>3583</v>
      </c>
      <c r="Q613" s="58" t="s">
        <v>3167</v>
      </c>
      <c r="R613" s="58">
        <v>1</v>
      </c>
      <c r="S613" s="58">
        <v>8</v>
      </c>
      <c r="T613" s="9" t="s">
        <v>2396</v>
      </c>
      <c r="U613" s="9" t="s">
        <v>4896</v>
      </c>
      <c r="V613" s="58">
        <v>1</v>
      </c>
      <c r="W613" s="9"/>
      <c r="X613" s="9"/>
      <c r="Y613" s="9"/>
      <c r="Z613" s="9"/>
    </row>
    <row r="614" spans="1:26" ht="15.75" hidden="1" customHeight="1">
      <c r="A614" s="9" t="s">
        <v>4894</v>
      </c>
      <c r="B614" s="9" t="s">
        <v>4895</v>
      </c>
      <c r="C614" s="9" t="s">
        <v>2396</v>
      </c>
      <c r="D614" s="9" t="s">
        <v>368</v>
      </c>
      <c r="E614" s="9" t="s">
        <v>4897</v>
      </c>
      <c r="F614" s="58" t="s">
        <v>3087</v>
      </c>
      <c r="G614" s="58" t="s">
        <v>2396</v>
      </c>
      <c r="H614" s="85" t="s">
        <v>2396</v>
      </c>
      <c r="I614" s="9" t="s">
        <v>2396</v>
      </c>
      <c r="J614" s="9"/>
      <c r="K614" s="9"/>
      <c r="L614" s="9"/>
      <c r="M614" s="9"/>
      <c r="N614" s="9" t="s">
        <v>2396</v>
      </c>
      <c r="O614" s="9" t="s">
        <v>2396</v>
      </c>
      <c r="P614" s="9" t="s">
        <v>2396</v>
      </c>
      <c r="Q614" s="58" t="s">
        <v>2396</v>
      </c>
      <c r="R614" s="58">
        <v>4</v>
      </c>
      <c r="S614" s="58">
        <v>7</v>
      </c>
      <c r="T614" s="9" t="s">
        <v>2396</v>
      </c>
      <c r="U614" s="9" t="s">
        <v>4898</v>
      </c>
      <c r="V614" s="58">
        <v>4</v>
      </c>
      <c r="W614" s="9"/>
      <c r="X614" s="9"/>
      <c r="Y614" s="9"/>
      <c r="Z614" s="9"/>
    </row>
    <row r="615" spans="1:26" ht="15.75" hidden="1" customHeight="1">
      <c r="A615" s="9" t="s">
        <v>2400</v>
      </c>
      <c r="B615" s="9" t="s">
        <v>4899</v>
      </c>
      <c r="C615" s="9" t="s">
        <v>2402</v>
      </c>
      <c r="D615" s="9" t="s">
        <v>439</v>
      </c>
      <c r="E615" s="9"/>
      <c r="F615" s="9"/>
      <c r="G615" s="58">
        <v>8800</v>
      </c>
      <c r="H615" s="85">
        <v>5.4545454545454501E-2</v>
      </c>
      <c r="I615" s="9">
        <v>60</v>
      </c>
      <c r="J615" s="9"/>
      <c r="K615" s="9"/>
      <c r="L615" s="9"/>
      <c r="M615" s="9"/>
      <c r="N615" s="9" t="s">
        <v>4900</v>
      </c>
      <c r="O615" s="9" t="s">
        <v>3081</v>
      </c>
      <c r="P615" s="9" t="s">
        <v>3125</v>
      </c>
      <c r="Q615" s="58" t="s">
        <v>3077</v>
      </c>
      <c r="R615" s="58">
        <v>1</v>
      </c>
      <c r="S615" s="58">
        <v>8</v>
      </c>
      <c r="T615" s="9" t="s">
        <v>4869</v>
      </c>
      <c r="U615" s="9" t="s">
        <v>4901</v>
      </c>
      <c r="V615" s="58">
        <v>1</v>
      </c>
      <c r="W615" s="9"/>
      <c r="X615" s="9"/>
      <c r="Y615" s="9"/>
      <c r="Z615" s="9"/>
    </row>
    <row r="616" spans="1:26" ht="15.75" hidden="1" customHeight="1">
      <c r="A616" s="9" t="s">
        <v>2400</v>
      </c>
      <c r="B616" s="9" t="s">
        <v>4899</v>
      </c>
      <c r="C616" s="9" t="s">
        <v>2402</v>
      </c>
      <c r="D616" s="9" t="s">
        <v>368</v>
      </c>
      <c r="E616" s="9" t="s">
        <v>4902</v>
      </c>
      <c r="F616" s="58" t="s">
        <v>3087</v>
      </c>
      <c r="G616" s="58">
        <v>5250</v>
      </c>
      <c r="H616" s="85">
        <v>0.32</v>
      </c>
      <c r="I616" s="9">
        <v>60</v>
      </c>
      <c r="J616" s="9"/>
      <c r="K616" s="9"/>
      <c r="L616" s="9"/>
      <c r="M616" s="9"/>
      <c r="N616" s="9" t="s">
        <v>4900</v>
      </c>
      <c r="O616" s="9" t="s">
        <v>3081</v>
      </c>
      <c r="P616" s="9" t="s">
        <v>4903</v>
      </c>
      <c r="Q616" s="58" t="s">
        <v>3095</v>
      </c>
      <c r="R616" s="58">
        <v>4</v>
      </c>
      <c r="S616" s="58">
        <v>7</v>
      </c>
      <c r="T616" s="9" t="s">
        <v>4869</v>
      </c>
      <c r="U616" s="9" t="s">
        <v>4904</v>
      </c>
      <c r="V616" s="58">
        <v>4</v>
      </c>
      <c r="W616" s="9"/>
      <c r="X616" s="9"/>
      <c r="Y616" s="9"/>
      <c r="Z616" s="9"/>
    </row>
    <row r="617" spans="1:26" ht="15.75" hidden="1" customHeight="1">
      <c r="A617" s="9" t="s">
        <v>2258</v>
      </c>
      <c r="B617" s="9" t="s">
        <v>4905</v>
      </c>
      <c r="C617" s="9" t="s">
        <v>2260</v>
      </c>
      <c r="D617" s="9" t="s">
        <v>439</v>
      </c>
      <c r="E617" s="9"/>
      <c r="F617" s="9"/>
      <c r="G617" s="58">
        <v>7200</v>
      </c>
      <c r="H617" s="85">
        <v>6.6666666666666596E-2</v>
      </c>
      <c r="I617" s="9">
        <v>50.7</v>
      </c>
      <c r="J617" s="9"/>
      <c r="K617" s="9"/>
      <c r="L617" s="9"/>
      <c r="M617" s="9"/>
      <c r="N617" s="9" t="s">
        <v>4906</v>
      </c>
      <c r="O617" s="9" t="s">
        <v>3081</v>
      </c>
      <c r="P617" s="9" t="s">
        <v>3644</v>
      </c>
      <c r="Q617" s="58" t="s">
        <v>3069</v>
      </c>
      <c r="R617" s="58">
        <v>1</v>
      </c>
      <c r="S617" s="58">
        <v>8</v>
      </c>
      <c r="T617" s="9" t="s">
        <v>4907</v>
      </c>
      <c r="U617" s="9" t="s">
        <v>4908</v>
      </c>
      <c r="V617" s="58">
        <v>1</v>
      </c>
      <c r="W617" s="9"/>
      <c r="X617" s="9"/>
      <c r="Y617" s="9"/>
      <c r="Z617" s="9"/>
    </row>
    <row r="618" spans="1:26" ht="15.75" hidden="1" customHeight="1">
      <c r="A618" s="9" t="s">
        <v>2258</v>
      </c>
      <c r="B618" s="9" t="s">
        <v>4905</v>
      </c>
      <c r="C618" s="9" t="s">
        <v>2260</v>
      </c>
      <c r="D618" s="9" t="s">
        <v>368</v>
      </c>
      <c r="E618" s="9" t="s">
        <v>3092</v>
      </c>
      <c r="F618" s="58" t="s">
        <v>3087</v>
      </c>
      <c r="G618" s="58">
        <v>4200</v>
      </c>
      <c r="H618" s="85">
        <v>0.3</v>
      </c>
      <c r="I618" s="9">
        <v>50.7</v>
      </c>
      <c r="J618" s="9"/>
      <c r="K618" s="9"/>
      <c r="L618" s="9"/>
      <c r="M618" s="9"/>
      <c r="N618" s="9" t="s">
        <v>4906</v>
      </c>
      <c r="O618" s="9" t="s">
        <v>3081</v>
      </c>
      <c r="P618" s="9" t="s">
        <v>4909</v>
      </c>
      <c r="Q618" s="58" t="s">
        <v>3122</v>
      </c>
      <c r="R618" s="58">
        <v>3</v>
      </c>
      <c r="S618" s="58">
        <v>7</v>
      </c>
      <c r="T618" s="9" t="s">
        <v>4907</v>
      </c>
      <c r="U618" s="9" t="s">
        <v>4910</v>
      </c>
      <c r="V618" s="58">
        <v>3</v>
      </c>
      <c r="W618" s="9"/>
      <c r="X618" s="9"/>
      <c r="Y618" s="9"/>
      <c r="Z618" s="9"/>
    </row>
    <row r="619" spans="1:26" ht="15.75" hidden="1" customHeight="1">
      <c r="A619" s="9" t="s">
        <v>2261</v>
      </c>
      <c r="B619" s="9" t="s">
        <v>4911</v>
      </c>
      <c r="C619" s="9" t="s">
        <v>2263</v>
      </c>
      <c r="D619" s="9" t="s">
        <v>368</v>
      </c>
      <c r="E619" s="9" t="s">
        <v>3067</v>
      </c>
      <c r="F619" s="58" t="s">
        <v>3057</v>
      </c>
      <c r="G619" s="58">
        <v>5600</v>
      </c>
      <c r="H619" s="85">
        <v>0.3</v>
      </c>
      <c r="I619" s="9">
        <v>29.4</v>
      </c>
      <c r="J619" s="9"/>
      <c r="K619" s="9"/>
      <c r="L619" s="9"/>
      <c r="M619" s="9"/>
      <c r="N619" s="9" t="s">
        <v>4912</v>
      </c>
      <c r="O619" s="9" t="s">
        <v>3081</v>
      </c>
      <c r="P619" s="9" t="s">
        <v>4913</v>
      </c>
      <c r="Q619" s="58" t="s">
        <v>3185</v>
      </c>
      <c r="R619" s="58">
        <v>4</v>
      </c>
      <c r="S619" s="58">
        <v>7</v>
      </c>
      <c r="T619" s="9" t="s">
        <v>3695</v>
      </c>
      <c r="U619" s="9" t="s">
        <v>4914</v>
      </c>
      <c r="V619" s="58">
        <v>4</v>
      </c>
      <c r="W619" s="9"/>
      <c r="X619" s="9"/>
      <c r="Y619" s="9"/>
      <c r="Z619" s="9"/>
    </row>
    <row r="620" spans="1:26" ht="15.75" hidden="1" customHeight="1">
      <c r="A620" s="9" t="s">
        <v>4915</v>
      </c>
      <c r="B620" s="9" t="s">
        <v>4916</v>
      </c>
      <c r="C620" s="9" t="s">
        <v>4917</v>
      </c>
      <c r="D620" s="9" t="s">
        <v>368</v>
      </c>
      <c r="E620" s="9" t="s">
        <v>3092</v>
      </c>
      <c r="F620" s="58" t="s">
        <v>3057</v>
      </c>
      <c r="G620" s="58">
        <v>4200</v>
      </c>
      <c r="H620" s="85">
        <v>0.3</v>
      </c>
      <c r="I620" s="9">
        <v>4.9000000000000004</v>
      </c>
      <c r="J620" s="9"/>
      <c r="K620" s="9"/>
      <c r="L620" s="9"/>
      <c r="M620" s="9"/>
      <c r="N620" s="9" t="s">
        <v>4918</v>
      </c>
      <c r="O620" s="9" t="s">
        <v>3081</v>
      </c>
      <c r="P620" s="9" t="s">
        <v>4919</v>
      </c>
      <c r="Q620" s="58" t="s">
        <v>3122</v>
      </c>
      <c r="R620" s="58">
        <v>3</v>
      </c>
      <c r="S620" s="58">
        <v>7</v>
      </c>
      <c r="T620" s="9" t="s">
        <v>4920</v>
      </c>
      <c r="U620" s="9" t="s">
        <v>4921</v>
      </c>
      <c r="V620" s="58">
        <v>3</v>
      </c>
      <c r="W620" s="9"/>
      <c r="X620" s="9"/>
      <c r="Y620" s="9"/>
      <c r="Z620" s="9"/>
    </row>
    <row r="621" spans="1:26" ht="15.75" hidden="1" customHeight="1">
      <c r="A621" s="9" t="s">
        <v>1791</v>
      </c>
      <c r="B621" s="9" t="s">
        <v>4922</v>
      </c>
      <c r="C621" s="9" t="s">
        <v>946</v>
      </c>
      <c r="D621" s="9" t="s">
        <v>368</v>
      </c>
      <c r="E621" s="9" t="s">
        <v>3092</v>
      </c>
      <c r="F621" s="58" t="s">
        <v>3057</v>
      </c>
      <c r="G621" s="58">
        <v>5600</v>
      </c>
      <c r="H621" s="85">
        <v>0.22500000000000001</v>
      </c>
      <c r="I621" s="9">
        <v>49.1</v>
      </c>
      <c r="J621" s="9"/>
      <c r="K621" s="9"/>
      <c r="L621" s="9"/>
      <c r="M621" s="9"/>
      <c r="N621" s="9" t="s">
        <v>3105</v>
      </c>
      <c r="O621" s="9" t="s">
        <v>3081</v>
      </c>
      <c r="P621" s="9" t="s">
        <v>4923</v>
      </c>
      <c r="Q621" s="58" t="s">
        <v>3185</v>
      </c>
      <c r="R621" s="58">
        <v>3</v>
      </c>
      <c r="S621" s="58">
        <v>7</v>
      </c>
      <c r="T621" s="9" t="s">
        <v>4924</v>
      </c>
      <c r="U621" s="9" t="s">
        <v>4925</v>
      </c>
      <c r="V621" s="58">
        <v>3</v>
      </c>
      <c r="W621" s="9"/>
      <c r="X621" s="9"/>
      <c r="Y621" s="9"/>
      <c r="Z621" s="9"/>
    </row>
    <row r="622" spans="1:26" ht="15.75" hidden="1" customHeight="1">
      <c r="A622" s="9" t="s">
        <v>1798</v>
      </c>
      <c r="B622" s="9" t="s">
        <v>4926</v>
      </c>
      <c r="C622" s="9" t="s">
        <v>914</v>
      </c>
      <c r="D622" s="9" t="s">
        <v>368</v>
      </c>
      <c r="E622" s="9" t="s">
        <v>3229</v>
      </c>
      <c r="F622" s="58" t="s">
        <v>3087</v>
      </c>
      <c r="G622" s="58">
        <v>3640</v>
      </c>
      <c r="H622" s="85">
        <v>0.34615384615384598</v>
      </c>
      <c r="I622" s="9">
        <v>206</v>
      </c>
      <c r="J622" s="9"/>
      <c r="K622" s="9"/>
      <c r="L622" s="9"/>
      <c r="M622" s="9"/>
      <c r="N622" s="9" t="s">
        <v>3224</v>
      </c>
      <c r="O622" s="9" t="s">
        <v>3081</v>
      </c>
      <c r="P622" s="9" t="s">
        <v>4927</v>
      </c>
      <c r="Q622" s="58" t="s">
        <v>4477</v>
      </c>
      <c r="R622" s="58">
        <v>3</v>
      </c>
      <c r="S622" s="58">
        <v>7</v>
      </c>
      <c r="T622" s="9" t="s">
        <v>4928</v>
      </c>
      <c r="U622" s="9" t="s">
        <v>4929</v>
      </c>
      <c r="V622" s="58">
        <v>3</v>
      </c>
      <c r="W622" s="9"/>
      <c r="X622" s="9"/>
      <c r="Y622" s="9"/>
      <c r="Z622" s="9"/>
    </row>
    <row r="623" spans="1:26" ht="15.75" hidden="1" customHeight="1">
      <c r="A623" s="9" t="s">
        <v>4930</v>
      </c>
      <c r="B623" s="9" t="s">
        <v>4931</v>
      </c>
      <c r="C623" s="9" t="s">
        <v>4932</v>
      </c>
      <c r="D623" s="9" t="s">
        <v>439</v>
      </c>
      <c r="E623" s="9"/>
      <c r="F623" s="9"/>
      <c r="G623" s="58">
        <v>4800</v>
      </c>
      <c r="H623" s="85">
        <v>0.1</v>
      </c>
      <c r="I623" s="9">
        <v>206</v>
      </c>
      <c r="J623" s="9"/>
      <c r="K623" s="9"/>
      <c r="L623" s="9"/>
      <c r="M623" s="9"/>
      <c r="N623" s="9" t="s">
        <v>3224</v>
      </c>
      <c r="O623" s="9" t="s">
        <v>3081</v>
      </c>
      <c r="P623" s="9" t="s">
        <v>3778</v>
      </c>
      <c r="Q623" s="58" t="s">
        <v>3122</v>
      </c>
      <c r="R623" s="58">
        <v>1</v>
      </c>
      <c r="S623" s="58">
        <v>8</v>
      </c>
      <c r="T623" s="9" t="s">
        <v>4928</v>
      </c>
      <c r="U623" s="9" t="s">
        <v>4933</v>
      </c>
      <c r="V623" s="58">
        <v>1</v>
      </c>
      <c r="W623" s="9"/>
      <c r="X623" s="9"/>
      <c r="Y623" s="9"/>
      <c r="Z623" s="9"/>
    </row>
    <row r="624" spans="1:26" ht="15.75" hidden="1" customHeight="1">
      <c r="A624" s="9" t="s">
        <v>4930</v>
      </c>
      <c r="B624" s="9" t="s">
        <v>4931</v>
      </c>
      <c r="C624" s="9" t="s">
        <v>4932</v>
      </c>
      <c r="D624" s="9" t="s">
        <v>368</v>
      </c>
      <c r="E624" s="9" t="s">
        <v>4738</v>
      </c>
      <c r="F624" s="58" t="s">
        <v>3087</v>
      </c>
      <c r="G624" s="58">
        <v>2800</v>
      </c>
      <c r="H624" s="85">
        <v>0.45</v>
      </c>
      <c r="I624" s="9">
        <v>206</v>
      </c>
      <c r="J624" s="9"/>
      <c r="K624" s="9"/>
      <c r="L624" s="9"/>
      <c r="M624" s="9"/>
      <c r="N624" s="9" t="s">
        <v>3224</v>
      </c>
      <c r="O624" s="9" t="s">
        <v>3081</v>
      </c>
      <c r="P624" s="9" t="s">
        <v>4934</v>
      </c>
      <c r="Q624" s="58" t="s">
        <v>3240</v>
      </c>
      <c r="R624" s="58">
        <v>3</v>
      </c>
      <c r="S624" s="58">
        <v>7</v>
      </c>
      <c r="T624" s="9" t="s">
        <v>4928</v>
      </c>
      <c r="U624" s="9" t="s">
        <v>4935</v>
      </c>
      <c r="V624" s="58">
        <v>3</v>
      </c>
      <c r="W624" s="9"/>
      <c r="X624" s="9"/>
      <c r="Y624" s="9"/>
      <c r="Z624" s="9"/>
    </row>
    <row r="625" spans="1:26" ht="15.75" hidden="1" customHeight="1">
      <c r="A625" s="9" t="s">
        <v>1800</v>
      </c>
      <c r="B625" s="9" t="s">
        <v>4936</v>
      </c>
      <c r="C625" s="9" t="s">
        <v>916</v>
      </c>
      <c r="D625" s="9" t="s">
        <v>439</v>
      </c>
      <c r="E625" s="9"/>
      <c r="F625" s="9"/>
      <c r="G625" s="58">
        <v>4800</v>
      </c>
      <c r="H625" s="85">
        <v>0.1</v>
      </c>
      <c r="I625" s="9">
        <v>490</v>
      </c>
      <c r="J625" s="9"/>
      <c r="K625" s="9"/>
      <c r="L625" s="9"/>
      <c r="M625" s="9"/>
      <c r="N625" s="9" t="s">
        <v>3224</v>
      </c>
      <c r="O625" s="9" t="s">
        <v>3081</v>
      </c>
      <c r="P625" s="9" t="s">
        <v>3778</v>
      </c>
      <c r="Q625" s="58" t="s">
        <v>3122</v>
      </c>
      <c r="R625" s="58">
        <v>1</v>
      </c>
      <c r="S625" s="58">
        <v>8</v>
      </c>
      <c r="T625" s="9" t="s">
        <v>4937</v>
      </c>
      <c r="U625" s="9" t="s">
        <v>4938</v>
      </c>
      <c r="V625" s="58">
        <v>1</v>
      </c>
      <c r="W625" s="9"/>
      <c r="X625" s="9"/>
      <c r="Y625" s="9"/>
      <c r="Z625" s="9"/>
    </row>
    <row r="626" spans="1:26" ht="15.75" hidden="1" customHeight="1">
      <c r="A626" s="9" t="s">
        <v>1800</v>
      </c>
      <c r="B626" s="9" t="s">
        <v>4936</v>
      </c>
      <c r="C626" s="9" t="s">
        <v>916</v>
      </c>
      <c r="D626" s="9" t="s">
        <v>368</v>
      </c>
      <c r="E626" s="9" t="s">
        <v>3229</v>
      </c>
      <c r="F626" s="58" t="s">
        <v>3087</v>
      </c>
      <c r="G626" s="58">
        <v>1400</v>
      </c>
      <c r="H626" s="85">
        <v>0.9</v>
      </c>
      <c r="I626" s="9">
        <v>490</v>
      </c>
      <c r="J626" s="9"/>
      <c r="K626" s="9"/>
      <c r="L626" s="9"/>
      <c r="M626" s="9"/>
      <c r="N626" s="9" t="s">
        <v>3224</v>
      </c>
      <c r="O626" s="9" t="s">
        <v>3081</v>
      </c>
      <c r="P626" s="9" t="s">
        <v>4939</v>
      </c>
      <c r="Q626" s="58" t="s">
        <v>3231</v>
      </c>
      <c r="R626" s="58">
        <v>3</v>
      </c>
      <c r="S626" s="58">
        <v>7</v>
      </c>
      <c r="T626" s="9" t="s">
        <v>4937</v>
      </c>
      <c r="U626" s="9" t="s">
        <v>4940</v>
      </c>
      <c r="V626" s="58">
        <v>3</v>
      </c>
      <c r="W626" s="9"/>
      <c r="X626" s="9"/>
      <c r="Y626" s="9"/>
      <c r="Z626" s="9"/>
    </row>
    <row r="627" spans="1:26" ht="15.75" hidden="1" customHeight="1">
      <c r="A627" s="9" t="s">
        <v>4941</v>
      </c>
      <c r="B627" s="9" t="s">
        <v>4942</v>
      </c>
      <c r="C627" s="9" t="s">
        <v>4943</v>
      </c>
      <c r="D627" s="9" t="s">
        <v>439</v>
      </c>
      <c r="E627" s="9"/>
      <c r="F627" s="9"/>
      <c r="G627" s="58">
        <v>4000</v>
      </c>
      <c r="H627" s="85">
        <v>0.12</v>
      </c>
      <c r="I627" s="9">
        <v>490</v>
      </c>
      <c r="J627" s="9"/>
      <c r="K627" s="9"/>
      <c r="L627" s="9"/>
      <c r="M627" s="9"/>
      <c r="N627" s="9" t="s">
        <v>3224</v>
      </c>
      <c r="O627" s="9" t="s">
        <v>3081</v>
      </c>
      <c r="P627" s="9" t="s">
        <v>3360</v>
      </c>
      <c r="Q627" s="58" t="s">
        <v>3361</v>
      </c>
      <c r="R627" s="58">
        <v>1</v>
      </c>
      <c r="S627" s="58">
        <v>8</v>
      </c>
      <c r="T627" s="9" t="s">
        <v>4944</v>
      </c>
      <c r="U627" s="9" t="s">
        <v>4945</v>
      </c>
      <c r="V627" s="58">
        <v>1</v>
      </c>
      <c r="W627" s="9"/>
      <c r="X627" s="9"/>
      <c r="Y627" s="9"/>
      <c r="Z627" s="9"/>
    </row>
    <row r="628" spans="1:26" ht="15.75" hidden="1" customHeight="1">
      <c r="A628" s="9" t="s">
        <v>4941</v>
      </c>
      <c r="B628" s="9" t="s">
        <v>4942</v>
      </c>
      <c r="C628" s="9" t="s">
        <v>4943</v>
      </c>
      <c r="D628" s="9" t="s">
        <v>368</v>
      </c>
      <c r="E628" s="9" t="s">
        <v>4738</v>
      </c>
      <c r="F628" s="58" t="s">
        <v>3087</v>
      </c>
      <c r="G628" s="58">
        <v>1050</v>
      </c>
      <c r="H628" s="85">
        <v>1.2</v>
      </c>
      <c r="I628" s="9">
        <v>490</v>
      </c>
      <c r="J628" s="9"/>
      <c r="K628" s="9"/>
      <c r="L628" s="9"/>
      <c r="M628" s="9"/>
      <c r="N628" s="9" t="s">
        <v>3224</v>
      </c>
      <c r="O628" s="9" t="s">
        <v>3081</v>
      </c>
      <c r="P628" s="9" t="s">
        <v>4946</v>
      </c>
      <c r="Q628" s="58" t="s">
        <v>4947</v>
      </c>
      <c r="R628" s="58">
        <v>3</v>
      </c>
      <c r="S628" s="58">
        <v>7</v>
      </c>
      <c r="T628" s="9" t="s">
        <v>4944</v>
      </c>
      <c r="U628" s="9" t="s">
        <v>4948</v>
      </c>
      <c r="V628" s="58">
        <v>3</v>
      </c>
      <c r="W628" s="9"/>
      <c r="X628" s="9"/>
      <c r="Y628" s="9"/>
      <c r="Z628" s="9"/>
    </row>
    <row r="629" spans="1:26" ht="15.75" hidden="1" customHeight="1">
      <c r="A629" s="9" t="s">
        <v>1795</v>
      </c>
      <c r="B629" s="9" t="s">
        <v>4949</v>
      </c>
      <c r="C629" s="9" t="s">
        <v>833</v>
      </c>
      <c r="D629" s="9" t="s">
        <v>439</v>
      </c>
      <c r="E629" s="9"/>
      <c r="F629" s="9"/>
      <c r="G629" s="58">
        <v>3200</v>
      </c>
      <c r="H629" s="85">
        <v>0.15</v>
      </c>
      <c r="I629" s="9">
        <v>5000</v>
      </c>
      <c r="J629" s="9"/>
      <c r="K629" s="9"/>
      <c r="L629" s="9"/>
      <c r="M629" s="9"/>
      <c r="N629" s="9" t="s">
        <v>3224</v>
      </c>
      <c r="O629" s="9" t="s">
        <v>3081</v>
      </c>
      <c r="P629" s="9" t="s">
        <v>3878</v>
      </c>
      <c r="Q629" s="58" t="s">
        <v>3240</v>
      </c>
      <c r="R629" s="58">
        <v>1</v>
      </c>
      <c r="S629" s="58">
        <v>8</v>
      </c>
      <c r="T629" s="9" t="s">
        <v>4950</v>
      </c>
      <c r="U629" s="9" t="s">
        <v>4951</v>
      </c>
      <c r="V629" s="58">
        <v>1</v>
      </c>
      <c r="W629" s="9"/>
      <c r="X629" s="9"/>
      <c r="Y629" s="9"/>
      <c r="Z629" s="9"/>
    </row>
    <row r="630" spans="1:26" ht="15.75" hidden="1" customHeight="1">
      <c r="A630" s="9" t="s">
        <v>1795</v>
      </c>
      <c r="B630" s="9" t="s">
        <v>4949</v>
      </c>
      <c r="C630" s="9" t="s">
        <v>833</v>
      </c>
      <c r="D630" s="9" t="s">
        <v>368</v>
      </c>
      <c r="E630" s="9" t="s">
        <v>3229</v>
      </c>
      <c r="F630" s="58" t="s">
        <v>3087</v>
      </c>
      <c r="G630" s="58">
        <v>140</v>
      </c>
      <c r="H630" s="85">
        <v>9</v>
      </c>
      <c r="I630" s="9">
        <v>5000</v>
      </c>
      <c r="J630" s="9"/>
      <c r="K630" s="9"/>
      <c r="L630" s="9"/>
      <c r="M630" s="9"/>
      <c r="N630" s="9" t="s">
        <v>3224</v>
      </c>
      <c r="O630" s="9" t="s">
        <v>3081</v>
      </c>
      <c r="P630" s="9" t="s">
        <v>4952</v>
      </c>
      <c r="Q630" s="58" t="s">
        <v>4953</v>
      </c>
      <c r="R630" s="58">
        <v>3</v>
      </c>
      <c r="S630" s="58">
        <v>7</v>
      </c>
      <c r="T630" s="9" t="s">
        <v>4950</v>
      </c>
      <c r="U630" s="9" t="s">
        <v>4954</v>
      </c>
      <c r="V630" s="58">
        <v>3</v>
      </c>
      <c r="W630" s="9"/>
      <c r="X630" s="9"/>
      <c r="Y630" s="9"/>
      <c r="Z630" s="9"/>
    </row>
    <row r="631" spans="1:26" ht="15.75" hidden="1" customHeight="1">
      <c r="A631" s="9" t="s">
        <v>1801</v>
      </c>
      <c r="B631" s="9" t="s">
        <v>4955</v>
      </c>
      <c r="C631" s="9" t="s">
        <v>959</v>
      </c>
      <c r="D631" s="9" t="s">
        <v>368</v>
      </c>
      <c r="E631" s="9" t="s">
        <v>3092</v>
      </c>
      <c r="F631" s="58" t="s">
        <v>3087</v>
      </c>
      <c r="G631" s="58">
        <v>2800</v>
      </c>
      <c r="H631" s="85">
        <v>0.3</v>
      </c>
      <c r="I631" s="9">
        <v>30</v>
      </c>
      <c r="J631" s="9"/>
      <c r="K631" s="9"/>
      <c r="L631" s="9"/>
      <c r="M631" s="9"/>
      <c r="N631" s="9" t="s">
        <v>3105</v>
      </c>
      <c r="O631" s="9" t="s">
        <v>3081</v>
      </c>
      <c r="P631" s="9" t="s">
        <v>4956</v>
      </c>
      <c r="Q631" s="58" t="s">
        <v>3240</v>
      </c>
      <c r="R631" s="58">
        <v>2</v>
      </c>
      <c r="S631" s="58">
        <v>7</v>
      </c>
      <c r="T631" s="9" t="s">
        <v>4957</v>
      </c>
      <c r="U631" s="9" t="s">
        <v>4958</v>
      </c>
      <c r="V631" s="58">
        <v>2</v>
      </c>
      <c r="W631" s="9"/>
      <c r="X631" s="9"/>
      <c r="Y631" s="9"/>
      <c r="Z631" s="9"/>
    </row>
    <row r="632" spans="1:26" ht="15.75" hidden="1" customHeight="1">
      <c r="A632" s="9" t="s">
        <v>1803</v>
      </c>
      <c r="B632" s="9" t="s">
        <v>4959</v>
      </c>
      <c r="C632" s="9" t="s">
        <v>957</v>
      </c>
      <c r="D632" s="9" t="s">
        <v>439</v>
      </c>
      <c r="E632" s="9"/>
      <c r="F632" s="9"/>
      <c r="G632" s="58">
        <v>5600</v>
      </c>
      <c r="H632" s="85">
        <v>8.5714285714285701E-2</v>
      </c>
      <c r="I632" s="9">
        <v>194</v>
      </c>
      <c r="J632" s="9"/>
      <c r="K632" s="9"/>
      <c r="L632" s="9"/>
      <c r="M632" s="9"/>
      <c r="N632" s="9" t="s">
        <v>4960</v>
      </c>
      <c r="O632" s="9" t="s">
        <v>3081</v>
      </c>
      <c r="P632" s="9" t="s">
        <v>3154</v>
      </c>
      <c r="Q632" s="58" t="s">
        <v>3155</v>
      </c>
      <c r="R632" s="58">
        <v>1</v>
      </c>
      <c r="S632" s="58">
        <v>8</v>
      </c>
      <c r="T632" s="9" t="s">
        <v>4961</v>
      </c>
      <c r="U632" s="9" t="s">
        <v>4962</v>
      </c>
      <c r="V632" s="58">
        <v>1</v>
      </c>
      <c r="W632" s="9"/>
      <c r="X632" s="9"/>
      <c r="Y632" s="9"/>
      <c r="Z632" s="9"/>
    </row>
    <row r="633" spans="1:26" ht="15.75" hidden="1" customHeight="1">
      <c r="A633" s="9" t="s">
        <v>1803</v>
      </c>
      <c r="B633" s="9" t="s">
        <v>4959</v>
      </c>
      <c r="C633" s="9" t="s">
        <v>957</v>
      </c>
      <c r="D633" s="9" t="s">
        <v>368</v>
      </c>
      <c r="E633" s="9" t="s">
        <v>3092</v>
      </c>
      <c r="F633" s="58" t="s">
        <v>3057</v>
      </c>
      <c r="G633" s="58">
        <v>3500</v>
      </c>
      <c r="H633" s="85">
        <v>0.36</v>
      </c>
      <c r="I633" s="9">
        <v>194</v>
      </c>
      <c r="J633" s="9"/>
      <c r="K633" s="9"/>
      <c r="L633" s="9"/>
      <c r="M633" s="9"/>
      <c r="N633" s="9" t="s">
        <v>4960</v>
      </c>
      <c r="O633" s="9" t="s">
        <v>3081</v>
      </c>
      <c r="P633" s="9" t="s">
        <v>4963</v>
      </c>
      <c r="Q633" s="58" t="s">
        <v>3361</v>
      </c>
      <c r="R633" s="58">
        <v>3</v>
      </c>
      <c r="S633" s="58">
        <v>7</v>
      </c>
      <c r="T633" s="9" t="s">
        <v>4961</v>
      </c>
      <c r="U633" s="9" t="s">
        <v>4964</v>
      </c>
      <c r="V633" s="58">
        <v>3</v>
      </c>
      <c r="W633" s="9"/>
      <c r="X633" s="9"/>
      <c r="Y633" s="9"/>
      <c r="Z633" s="9"/>
    </row>
    <row r="634" spans="1:26" ht="15.75" hidden="1" customHeight="1">
      <c r="A634" s="9" t="s">
        <v>1807</v>
      </c>
      <c r="B634" s="9" t="s">
        <v>4965</v>
      </c>
      <c r="C634" s="9" t="s">
        <v>601</v>
      </c>
      <c r="D634" s="9" t="s">
        <v>439</v>
      </c>
      <c r="E634" s="9"/>
      <c r="F634" s="9"/>
      <c r="G634" s="58">
        <v>5200</v>
      </c>
      <c r="H634" s="85">
        <v>9.2307692307692299E-2</v>
      </c>
      <c r="I634" s="9">
        <v>30.6</v>
      </c>
      <c r="J634" s="9"/>
      <c r="K634" s="9"/>
      <c r="L634" s="9"/>
      <c r="M634" s="9"/>
      <c r="N634" s="9" t="s">
        <v>3423</v>
      </c>
      <c r="O634" s="9" t="s">
        <v>3051</v>
      </c>
      <c r="P634" s="9" t="s">
        <v>4040</v>
      </c>
      <c r="Q634" s="58" t="s">
        <v>3687</v>
      </c>
      <c r="R634" s="58">
        <v>1</v>
      </c>
      <c r="S634" s="58">
        <v>8</v>
      </c>
      <c r="T634" s="9" t="s">
        <v>4711</v>
      </c>
      <c r="U634" s="9" t="s">
        <v>4966</v>
      </c>
      <c r="V634" s="58">
        <v>1</v>
      </c>
      <c r="W634" s="9"/>
      <c r="X634" s="9"/>
      <c r="Y634" s="9"/>
      <c r="Z634" s="9"/>
    </row>
    <row r="635" spans="1:26" ht="15.75" hidden="1" customHeight="1">
      <c r="A635" s="9" t="s">
        <v>1807</v>
      </c>
      <c r="B635" s="9" t="s">
        <v>4965</v>
      </c>
      <c r="C635" s="9" t="s">
        <v>601</v>
      </c>
      <c r="D635" s="9" t="s">
        <v>368</v>
      </c>
      <c r="E635" s="9" t="s">
        <v>3402</v>
      </c>
      <c r="F635" s="58" t="s">
        <v>3057</v>
      </c>
      <c r="G635" s="58">
        <v>7700</v>
      </c>
      <c r="H635" s="85">
        <v>0.163636363636363</v>
      </c>
      <c r="I635" s="9">
        <v>30.6</v>
      </c>
      <c r="J635" s="9"/>
      <c r="K635" s="9"/>
      <c r="L635" s="9"/>
      <c r="M635" s="9"/>
      <c r="N635" s="9" t="s">
        <v>3423</v>
      </c>
      <c r="O635" s="9" t="s">
        <v>3051</v>
      </c>
      <c r="P635" s="9" t="s">
        <v>4967</v>
      </c>
      <c r="Q635" s="58" t="s">
        <v>3077</v>
      </c>
      <c r="R635" s="58">
        <v>3</v>
      </c>
      <c r="S635" s="58">
        <v>7</v>
      </c>
      <c r="T635" s="9" t="s">
        <v>4711</v>
      </c>
      <c r="U635" s="9" t="s">
        <v>4968</v>
      </c>
      <c r="V635" s="58">
        <v>3</v>
      </c>
      <c r="W635" s="9"/>
      <c r="X635" s="9"/>
      <c r="Y635" s="9"/>
      <c r="Z635" s="9"/>
    </row>
    <row r="636" spans="1:26" ht="15.75" hidden="1" customHeight="1">
      <c r="A636" s="9" t="s">
        <v>1810</v>
      </c>
      <c r="B636" s="9" t="s">
        <v>4969</v>
      </c>
      <c r="C636" s="9" t="s">
        <v>603</v>
      </c>
      <c r="D636" s="9" t="s">
        <v>439</v>
      </c>
      <c r="E636" s="9"/>
      <c r="F636" s="9"/>
      <c r="G636" s="58">
        <v>4800</v>
      </c>
      <c r="H636" s="85">
        <v>0.1</v>
      </c>
      <c r="I636" s="9">
        <v>47.6</v>
      </c>
      <c r="J636" s="9"/>
      <c r="K636" s="9"/>
      <c r="L636" s="9"/>
      <c r="M636" s="9"/>
      <c r="N636" s="9" t="s">
        <v>3446</v>
      </c>
      <c r="O636" s="9" t="s">
        <v>3081</v>
      </c>
      <c r="P636" s="9" t="s">
        <v>3778</v>
      </c>
      <c r="Q636" s="58" t="s">
        <v>3122</v>
      </c>
      <c r="R636" s="58">
        <v>1</v>
      </c>
      <c r="S636" s="58">
        <v>8</v>
      </c>
      <c r="T636" s="9" t="s">
        <v>3065</v>
      </c>
      <c r="U636" s="9" t="s">
        <v>4970</v>
      </c>
      <c r="V636" s="58">
        <v>1</v>
      </c>
      <c r="W636" s="9"/>
      <c r="X636" s="9"/>
      <c r="Y636" s="9"/>
      <c r="Z636" s="9"/>
    </row>
    <row r="637" spans="1:26" ht="15.75" hidden="1" customHeight="1">
      <c r="A637" s="9" t="s">
        <v>1810</v>
      </c>
      <c r="B637" s="9" t="s">
        <v>4969</v>
      </c>
      <c r="C637" s="9" t="s">
        <v>603</v>
      </c>
      <c r="D637" s="9" t="s">
        <v>368</v>
      </c>
      <c r="E637" s="9" t="s">
        <v>3092</v>
      </c>
      <c r="F637" s="58" t="s">
        <v>3057</v>
      </c>
      <c r="G637" s="58">
        <v>3850</v>
      </c>
      <c r="H637" s="85">
        <v>0.43636363636363601</v>
      </c>
      <c r="I637" s="9">
        <v>47.6</v>
      </c>
      <c r="J637" s="9"/>
      <c r="K637" s="9"/>
      <c r="L637" s="9"/>
      <c r="M637" s="9"/>
      <c r="N637" s="9" t="s">
        <v>3446</v>
      </c>
      <c r="O637" s="9" t="s">
        <v>3081</v>
      </c>
      <c r="P637" s="9" t="s">
        <v>4971</v>
      </c>
      <c r="Q637" s="58" t="s">
        <v>3226</v>
      </c>
      <c r="R637" s="58">
        <v>4</v>
      </c>
      <c r="S637" s="58">
        <v>7</v>
      </c>
      <c r="T637" s="9" t="s">
        <v>3065</v>
      </c>
      <c r="U637" s="9" t="s">
        <v>4972</v>
      </c>
      <c r="V637" s="58">
        <v>4</v>
      </c>
      <c r="W637" s="9"/>
      <c r="X637" s="9"/>
      <c r="Y637" s="9"/>
      <c r="Z637" s="9"/>
    </row>
    <row r="638" spans="1:26" ht="15.75" hidden="1" customHeight="1">
      <c r="A638" s="9" t="s">
        <v>1813</v>
      </c>
      <c r="B638" s="9" t="s">
        <v>4973</v>
      </c>
      <c r="C638" s="9" t="s">
        <v>805</v>
      </c>
      <c r="D638" s="9" t="s">
        <v>439</v>
      </c>
      <c r="E638" s="9"/>
      <c r="F638" s="9"/>
      <c r="G638" s="58">
        <v>7200</v>
      </c>
      <c r="H638" s="85">
        <v>6.6666666666666596E-2</v>
      </c>
      <c r="I638" s="9"/>
      <c r="J638" s="9">
        <v>16.5</v>
      </c>
      <c r="K638" s="9">
        <v>16.5</v>
      </c>
      <c r="L638" s="9"/>
      <c r="M638" s="9"/>
      <c r="N638" s="9" t="s">
        <v>4974</v>
      </c>
      <c r="O638" s="9" t="s">
        <v>3051</v>
      </c>
      <c r="P638" s="9" t="s">
        <v>3644</v>
      </c>
      <c r="Q638" s="58" t="s">
        <v>3069</v>
      </c>
      <c r="R638" s="58">
        <v>1</v>
      </c>
      <c r="S638" s="58">
        <v>8</v>
      </c>
      <c r="T638" s="9" t="s">
        <v>4975</v>
      </c>
      <c r="U638" s="9" t="s">
        <v>4976</v>
      </c>
      <c r="V638" s="58">
        <v>1</v>
      </c>
      <c r="W638" s="9"/>
      <c r="X638" s="9"/>
      <c r="Y638" s="9"/>
      <c r="Z638" s="9"/>
    </row>
    <row r="639" spans="1:26" ht="15.75" hidden="1" customHeight="1">
      <c r="A639" s="9" t="s">
        <v>1813</v>
      </c>
      <c r="B639" s="9" t="s">
        <v>4973</v>
      </c>
      <c r="C639" s="9" t="s">
        <v>805</v>
      </c>
      <c r="D639" s="9" t="s">
        <v>368</v>
      </c>
      <c r="E639" s="9" t="s">
        <v>3563</v>
      </c>
      <c r="F639" s="58" t="s">
        <v>3801</v>
      </c>
      <c r="G639" s="58">
        <v>4410</v>
      </c>
      <c r="H639" s="85">
        <v>0.38095238095237999</v>
      </c>
      <c r="I639" s="9"/>
      <c r="J639" s="9">
        <v>16.5</v>
      </c>
      <c r="K639" s="9">
        <v>16.5</v>
      </c>
      <c r="L639" s="9"/>
      <c r="M639" s="9"/>
      <c r="N639" s="9" t="s">
        <v>4974</v>
      </c>
      <c r="O639" s="9" t="s">
        <v>3051</v>
      </c>
      <c r="P639" s="9" t="s">
        <v>4977</v>
      </c>
      <c r="Q639" s="58" t="s">
        <v>4403</v>
      </c>
      <c r="R639" s="58">
        <v>4</v>
      </c>
      <c r="S639" s="58">
        <v>7</v>
      </c>
      <c r="T639" s="9" t="s">
        <v>4975</v>
      </c>
      <c r="U639" s="9" t="s">
        <v>4978</v>
      </c>
      <c r="V639" s="58">
        <v>4</v>
      </c>
      <c r="W639" s="9"/>
      <c r="X639" s="9"/>
      <c r="Y639" s="9"/>
      <c r="Z639" s="9"/>
    </row>
    <row r="640" spans="1:26" ht="15.75" hidden="1" customHeight="1">
      <c r="A640" s="9" t="s">
        <v>1818</v>
      </c>
      <c r="B640" s="9" t="s">
        <v>4979</v>
      </c>
      <c r="C640" s="9" t="s">
        <v>691</v>
      </c>
      <c r="D640" s="9" t="s">
        <v>439</v>
      </c>
      <c r="E640" s="9"/>
      <c r="F640" s="9"/>
      <c r="G640" s="58">
        <v>6400</v>
      </c>
      <c r="H640" s="85">
        <v>7.4999999999999997E-2</v>
      </c>
      <c r="I640" s="9">
        <v>35.5</v>
      </c>
      <c r="J640" s="9"/>
      <c r="K640" s="9"/>
      <c r="L640" s="9"/>
      <c r="M640" s="9"/>
      <c r="N640" s="9" t="s">
        <v>4980</v>
      </c>
      <c r="O640" s="9" t="s">
        <v>4981</v>
      </c>
      <c r="P640" s="9" t="s">
        <v>3190</v>
      </c>
      <c r="Q640" s="58" t="s">
        <v>3185</v>
      </c>
      <c r="R640" s="58">
        <v>1</v>
      </c>
      <c r="S640" s="58">
        <v>8</v>
      </c>
      <c r="T640" s="9" t="s">
        <v>4982</v>
      </c>
      <c r="U640" s="9" t="s">
        <v>4983</v>
      </c>
      <c r="V640" s="58">
        <v>1</v>
      </c>
      <c r="W640" s="9"/>
      <c r="X640" s="9"/>
      <c r="Y640" s="9"/>
      <c r="Z640" s="9"/>
    </row>
    <row r="641" spans="1:26" ht="15.75" hidden="1" customHeight="1">
      <c r="A641" s="9" t="s">
        <v>1818</v>
      </c>
      <c r="B641" s="9" t="s">
        <v>4979</v>
      </c>
      <c r="C641" s="9" t="s">
        <v>691</v>
      </c>
      <c r="D641" s="9" t="s">
        <v>368</v>
      </c>
      <c r="E641" s="9" t="s">
        <v>3402</v>
      </c>
      <c r="F641" s="58" t="s">
        <v>3057</v>
      </c>
      <c r="G641" s="58">
        <v>6020</v>
      </c>
      <c r="H641" s="85">
        <v>0.209302325581395</v>
      </c>
      <c r="I641" s="9">
        <v>35.5</v>
      </c>
      <c r="J641" s="9"/>
      <c r="K641" s="9"/>
      <c r="L641" s="9"/>
      <c r="M641" s="9"/>
      <c r="N641" s="9" t="s">
        <v>4980</v>
      </c>
      <c r="O641" s="9" t="s">
        <v>4981</v>
      </c>
      <c r="P641" s="9" t="s">
        <v>4984</v>
      </c>
      <c r="Q641" s="58" t="s">
        <v>3083</v>
      </c>
      <c r="R641" s="58">
        <v>3</v>
      </c>
      <c r="S641" s="58">
        <v>7</v>
      </c>
      <c r="T641" s="9" t="s">
        <v>4982</v>
      </c>
      <c r="U641" s="9" t="s">
        <v>4985</v>
      </c>
      <c r="V641" s="58">
        <v>3</v>
      </c>
      <c r="W641" s="9"/>
      <c r="X641" s="9"/>
      <c r="Y641" s="9"/>
      <c r="Z641" s="9"/>
    </row>
    <row r="642" spans="1:26" ht="15.75" hidden="1" customHeight="1">
      <c r="A642" s="9" t="s">
        <v>1823</v>
      </c>
      <c r="B642" s="9" t="s">
        <v>4986</v>
      </c>
      <c r="C642" s="9" t="s">
        <v>807</v>
      </c>
      <c r="D642" s="9" t="s">
        <v>439</v>
      </c>
      <c r="E642" s="9"/>
      <c r="F642" s="9"/>
      <c r="G642" s="58">
        <v>8000</v>
      </c>
      <c r="H642" s="85">
        <v>0.06</v>
      </c>
      <c r="I642" s="9">
        <v>40</v>
      </c>
      <c r="J642" s="9"/>
      <c r="K642" s="9"/>
      <c r="L642" s="9"/>
      <c r="M642" s="9"/>
      <c r="N642" s="9" t="s">
        <v>3130</v>
      </c>
      <c r="O642" s="9" t="s">
        <v>3258</v>
      </c>
      <c r="P642" s="9" t="s">
        <v>3583</v>
      </c>
      <c r="Q642" s="58" t="s">
        <v>3167</v>
      </c>
      <c r="R642" s="9">
        <v>1</v>
      </c>
      <c r="S642" s="9">
        <v>8</v>
      </c>
      <c r="T642" s="9" t="s">
        <v>4987</v>
      </c>
      <c r="U642" s="9" t="s">
        <v>4988</v>
      </c>
      <c r="V642" s="9">
        <v>1</v>
      </c>
      <c r="W642" s="9"/>
      <c r="X642" s="9"/>
      <c r="Y642" s="9"/>
      <c r="Z642" s="9"/>
    </row>
    <row r="643" spans="1:26" ht="15.75" hidden="1" customHeight="1">
      <c r="A643" s="9" t="s">
        <v>1823</v>
      </c>
      <c r="B643" s="9" t="s">
        <v>4986</v>
      </c>
      <c r="C643" s="9" t="s">
        <v>807</v>
      </c>
      <c r="D643" s="9" t="s">
        <v>368</v>
      </c>
      <c r="E643" s="9" t="s">
        <v>3270</v>
      </c>
      <c r="F643" s="58" t="s">
        <v>3057</v>
      </c>
      <c r="G643" s="58">
        <v>6300</v>
      </c>
      <c r="H643" s="85">
        <v>0.266666666666666</v>
      </c>
      <c r="I643" s="9">
        <v>40</v>
      </c>
      <c r="J643" s="9"/>
      <c r="K643" s="9"/>
      <c r="L643" s="9"/>
      <c r="M643" s="9"/>
      <c r="N643" s="9" t="s">
        <v>3130</v>
      </c>
      <c r="O643" s="9" t="s">
        <v>3258</v>
      </c>
      <c r="P643" s="9" t="s">
        <v>4989</v>
      </c>
      <c r="Q643" s="58" t="s">
        <v>3069</v>
      </c>
      <c r="R643" s="9">
        <v>4</v>
      </c>
      <c r="S643" s="9">
        <v>7</v>
      </c>
      <c r="T643" s="9" t="s">
        <v>4987</v>
      </c>
      <c r="U643" s="9" t="s">
        <v>4990</v>
      </c>
      <c r="V643" s="9">
        <v>4</v>
      </c>
      <c r="W643" s="9"/>
      <c r="X643" s="9"/>
      <c r="Y643" s="9"/>
      <c r="Z643" s="9"/>
    </row>
    <row r="644" spans="1:26" ht="15.75" hidden="1" customHeight="1">
      <c r="A644" s="9" t="s">
        <v>1825</v>
      </c>
      <c r="B644" s="9" t="s">
        <v>4991</v>
      </c>
      <c r="C644" s="9" t="s">
        <v>974</v>
      </c>
      <c r="D644" s="9" t="s">
        <v>439</v>
      </c>
      <c r="E644" s="9"/>
      <c r="F644" s="9"/>
      <c r="G644" s="58">
        <v>6000</v>
      </c>
      <c r="H644" s="85">
        <v>0.08</v>
      </c>
      <c r="I644" s="9">
        <v>50</v>
      </c>
      <c r="J644" s="9"/>
      <c r="K644" s="9"/>
      <c r="L644" s="9"/>
      <c r="M644" s="9"/>
      <c r="N644" s="9" t="s">
        <v>3105</v>
      </c>
      <c r="O644" s="9" t="s">
        <v>3081</v>
      </c>
      <c r="P644" s="9" t="s">
        <v>4452</v>
      </c>
      <c r="Q644" s="58" t="s">
        <v>3095</v>
      </c>
      <c r="R644" s="9">
        <v>1</v>
      </c>
      <c r="S644" s="9">
        <v>8</v>
      </c>
      <c r="T644" s="9" t="s">
        <v>4992</v>
      </c>
      <c r="U644" s="9" t="s">
        <v>4993</v>
      </c>
      <c r="V644" s="9">
        <v>1</v>
      </c>
      <c r="W644" s="9"/>
      <c r="X644" s="9"/>
      <c r="Y644" s="9"/>
      <c r="Z644" s="9"/>
    </row>
    <row r="645" spans="1:26" ht="15.75" hidden="1" customHeight="1">
      <c r="A645" s="9" t="s">
        <v>1825</v>
      </c>
      <c r="B645" s="9" t="s">
        <v>4991</v>
      </c>
      <c r="C645" s="9" t="s">
        <v>974</v>
      </c>
      <c r="D645" s="9" t="s">
        <v>368</v>
      </c>
      <c r="E645" s="9" t="s">
        <v>3270</v>
      </c>
      <c r="F645" s="58" t="s">
        <v>3057</v>
      </c>
      <c r="G645" s="58">
        <v>4900</v>
      </c>
      <c r="H645" s="85">
        <v>0.34285714285714203</v>
      </c>
      <c r="I645" s="9">
        <v>50</v>
      </c>
      <c r="J645" s="9"/>
      <c r="K645" s="9"/>
      <c r="L645" s="9"/>
      <c r="M645" s="9"/>
      <c r="N645" s="9" t="s">
        <v>3105</v>
      </c>
      <c r="O645" s="9" t="s">
        <v>3081</v>
      </c>
      <c r="P645" s="9" t="s">
        <v>4994</v>
      </c>
      <c r="Q645" s="58" t="s">
        <v>3155</v>
      </c>
      <c r="R645" s="9">
        <v>4</v>
      </c>
      <c r="S645" s="9">
        <v>7</v>
      </c>
      <c r="T645" s="9" t="s">
        <v>4992</v>
      </c>
      <c r="U645" s="9" t="s">
        <v>4995</v>
      </c>
      <c r="V645" s="9">
        <v>4</v>
      </c>
      <c r="W645" s="9"/>
      <c r="X645" s="9"/>
      <c r="Y645" s="9"/>
      <c r="Z645" s="9"/>
    </row>
    <row r="646" spans="1:26" ht="15.75" hidden="1" customHeight="1">
      <c r="A646" s="9" t="s">
        <v>1829</v>
      </c>
      <c r="B646" s="9" t="s">
        <v>4996</v>
      </c>
      <c r="C646" s="9" t="s">
        <v>801</v>
      </c>
      <c r="D646" s="9" t="s">
        <v>439</v>
      </c>
      <c r="E646" s="9"/>
      <c r="F646" s="9"/>
      <c r="G646" s="58">
        <v>4400</v>
      </c>
      <c r="H646" s="85">
        <v>0.109090909090909</v>
      </c>
      <c r="I646" s="9">
        <v>60.6</v>
      </c>
      <c r="J646" s="9"/>
      <c r="K646" s="9"/>
      <c r="L646" s="9"/>
      <c r="M646" s="9"/>
      <c r="N646" s="9" t="s">
        <v>3325</v>
      </c>
      <c r="O646" s="9" t="s">
        <v>3051</v>
      </c>
      <c r="P646" s="9" t="s">
        <v>3225</v>
      </c>
      <c r="Q646" s="58" t="s">
        <v>3226</v>
      </c>
      <c r="R646" s="58">
        <v>1</v>
      </c>
      <c r="S646" s="58">
        <v>8</v>
      </c>
      <c r="T646" s="9" t="s">
        <v>4997</v>
      </c>
      <c r="U646" s="9" t="s">
        <v>4998</v>
      </c>
      <c r="V646" s="58">
        <v>1</v>
      </c>
      <c r="W646" s="9"/>
      <c r="X646" s="9"/>
      <c r="Y646" s="9"/>
      <c r="Z646" s="9"/>
    </row>
    <row r="647" spans="1:26" ht="15.75" hidden="1" customHeight="1">
      <c r="A647" s="9" t="s">
        <v>1829</v>
      </c>
      <c r="B647" s="9" t="s">
        <v>4996</v>
      </c>
      <c r="C647" s="9" t="s">
        <v>801</v>
      </c>
      <c r="D647" s="9" t="s">
        <v>368</v>
      </c>
      <c r="E647" s="9" t="s">
        <v>3067</v>
      </c>
      <c r="F647" s="58" t="s">
        <v>3057</v>
      </c>
      <c r="G647" s="58">
        <v>5390</v>
      </c>
      <c r="H647" s="85">
        <v>0.31168831168831101</v>
      </c>
      <c r="I647" s="9">
        <v>60.6</v>
      </c>
      <c r="J647" s="9"/>
      <c r="K647" s="9"/>
      <c r="L647" s="9"/>
      <c r="M647" s="9"/>
      <c r="N647" s="9" t="s">
        <v>3325</v>
      </c>
      <c r="O647" s="9" t="s">
        <v>3051</v>
      </c>
      <c r="P647" s="9" t="s">
        <v>4999</v>
      </c>
      <c r="Q647" s="58" t="s">
        <v>3221</v>
      </c>
      <c r="R647" s="58">
        <v>4</v>
      </c>
      <c r="S647" s="58">
        <v>7</v>
      </c>
      <c r="T647" s="9" t="s">
        <v>4997</v>
      </c>
      <c r="U647" s="9" t="s">
        <v>5000</v>
      </c>
      <c r="V647" s="58">
        <v>4</v>
      </c>
      <c r="W647" s="9"/>
      <c r="X647" s="9"/>
      <c r="Y647" s="9"/>
      <c r="Z647" s="9"/>
    </row>
    <row r="648" spans="1:26" ht="15.75" hidden="1" customHeight="1">
      <c r="A648" s="9" t="s">
        <v>5001</v>
      </c>
      <c r="B648" s="9" t="s">
        <v>4996</v>
      </c>
      <c r="C648" s="9" t="s">
        <v>5002</v>
      </c>
      <c r="D648" s="9" t="s">
        <v>439</v>
      </c>
      <c r="E648" s="9"/>
      <c r="F648" s="9"/>
      <c r="G648" s="58">
        <v>4400</v>
      </c>
      <c r="H648" s="85">
        <v>0.109090909090909</v>
      </c>
      <c r="I648" s="9">
        <v>60.6</v>
      </c>
      <c r="J648" s="9"/>
      <c r="K648" s="9"/>
      <c r="L648" s="9"/>
      <c r="M648" s="9"/>
      <c r="N648" s="9" t="s">
        <v>3325</v>
      </c>
      <c r="O648" s="9" t="s">
        <v>3051</v>
      </c>
      <c r="P648" s="9" t="s">
        <v>3225</v>
      </c>
      <c r="Q648" s="58" t="s">
        <v>3226</v>
      </c>
      <c r="R648" s="58">
        <v>1</v>
      </c>
      <c r="S648" s="58">
        <v>8</v>
      </c>
      <c r="T648" s="9" t="s">
        <v>4997</v>
      </c>
      <c r="U648" s="9" t="s">
        <v>5003</v>
      </c>
      <c r="V648" s="58">
        <v>1</v>
      </c>
      <c r="W648" s="9"/>
      <c r="X648" s="9"/>
      <c r="Y648" s="9"/>
      <c r="Z648" s="9"/>
    </row>
    <row r="649" spans="1:26" ht="15.75" hidden="1" customHeight="1">
      <c r="A649" s="9" t="s">
        <v>5001</v>
      </c>
      <c r="B649" s="9" t="s">
        <v>4996</v>
      </c>
      <c r="C649" s="9" t="s">
        <v>5002</v>
      </c>
      <c r="D649" s="9" t="s">
        <v>368</v>
      </c>
      <c r="E649" s="9" t="s">
        <v>3067</v>
      </c>
      <c r="F649" s="58" t="s">
        <v>3057</v>
      </c>
      <c r="G649" s="58">
        <v>5390</v>
      </c>
      <c r="H649" s="85">
        <v>0.31168831168831101</v>
      </c>
      <c r="I649" s="9">
        <v>60.6</v>
      </c>
      <c r="J649" s="9"/>
      <c r="K649" s="9"/>
      <c r="L649" s="9"/>
      <c r="M649" s="9"/>
      <c r="N649" s="9" t="s">
        <v>3325</v>
      </c>
      <c r="O649" s="9" t="s">
        <v>3051</v>
      </c>
      <c r="P649" s="9" t="s">
        <v>4999</v>
      </c>
      <c r="Q649" s="58" t="s">
        <v>3221</v>
      </c>
      <c r="R649" s="58">
        <v>4</v>
      </c>
      <c r="S649" s="58">
        <v>7</v>
      </c>
      <c r="T649" s="9" t="s">
        <v>4997</v>
      </c>
      <c r="U649" s="9" t="s">
        <v>5004</v>
      </c>
      <c r="V649" s="58">
        <v>4</v>
      </c>
      <c r="W649" s="9"/>
      <c r="X649" s="9"/>
      <c r="Y649" s="9"/>
      <c r="Z649" s="9"/>
    </row>
    <row r="650" spans="1:26" ht="15.75" hidden="1" customHeight="1">
      <c r="A650" s="9" t="s">
        <v>1834</v>
      </c>
      <c r="B650" s="9" t="s">
        <v>5005</v>
      </c>
      <c r="C650" s="9" t="s">
        <v>745</v>
      </c>
      <c r="D650" s="9" t="s">
        <v>439</v>
      </c>
      <c r="E650" s="9" t="s">
        <v>3067</v>
      </c>
      <c r="F650" s="58" t="s">
        <v>3057</v>
      </c>
      <c r="G650" s="58">
        <v>5600</v>
      </c>
      <c r="H650" s="85">
        <v>7.4999999999999997E-2</v>
      </c>
      <c r="I650" s="9">
        <v>60.6</v>
      </c>
      <c r="J650" s="9"/>
      <c r="K650" s="9"/>
      <c r="L650" s="9"/>
      <c r="M650" s="9"/>
      <c r="N650" s="9" t="s">
        <v>3325</v>
      </c>
      <c r="O650" s="9" t="s">
        <v>3051</v>
      </c>
      <c r="P650" s="9" t="s">
        <v>3190</v>
      </c>
      <c r="Q650" s="58" t="s">
        <v>3185</v>
      </c>
      <c r="R650" s="58">
        <v>1</v>
      </c>
      <c r="S650" s="58">
        <v>7</v>
      </c>
      <c r="T650" s="9" t="s">
        <v>4997</v>
      </c>
      <c r="U650" s="9" t="s">
        <v>5006</v>
      </c>
      <c r="V650" s="58">
        <v>1</v>
      </c>
      <c r="W650" s="9"/>
      <c r="X650" s="9"/>
      <c r="Y650" s="9"/>
      <c r="Z650" s="9"/>
    </row>
    <row r="651" spans="1:26" ht="15.75" hidden="1" customHeight="1">
      <c r="A651" s="9" t="s">
        <v>1834</v>
      </c>
      <c r="B651" s="9" t="s">
        <v>5005</v>
      </c>
      <c r="C651" s="9" t="s">
        <v>745</v>
      </c>
      <c r="D651" s="9" t="s">
        <v>368</v>
      </c>
      <c r="E651" s="9" t="s">
        <v>3067</v>
      </c>
      <c r="F651" s="58" t="s">
        <v>3057</v>
      </c>
      <c r="G651" s="58">
        <v>5600</v>
      </c>
      <c r="H651" s="85">
        <v>0.3</v>
      </c>
      <c r="I651" s="9">
        <v>60.6</v>
      </c>
      <c r="J651" s="9"/>
      <c r="K651" s="9"/>
      <c r="L651" s="9"/>
      <c r="M651" s="9"/>
      <c r="N651" s="9" t="s">
        <v>3325</v>
      </c>
      <c r="O651" s="9" t="s">
        <v>3051</v>
      </c>
      <c r="P651" s="9" t="s">
        <v>5007</v>
      </c>
      <c r="Q651" s="58" t="s">
        <v>3185</v>
      </c>
      <c r="R651" s="58">
        <v>4</v>
      </c>
      <c r="S651" s="58">
        <v>7</v>
      </c>
      <c r="T651" s="9" t="s">
        <v>4997</v>
      </c>
      <c r="U651" s="9" t="s">
        <v>5008</v>
      </c>
      <c r="V651" s="58">
        <v>4</v>
      </c>
      <c r="W651" s="9"/>
      <c r="X651" s="9"/>
      <c r="Y651" s="9"/>
      <c r="Z651" s="9"/>
    </row>
    <row r="652" spans="1:26" ht="15.75" hidden="1" customHeight="1">
      <c r="A652" s="9" t="s">
        <v>1836</v>
      </c>
      <c r="B652" s="9" t="s">
        <v>5009</v>
      </c>
      <c r="C652" s="9" t="s">
        <v>743</v>
      </c>
      <c r="D652" s="9" t="s">
        <v>439</v>
      </c>
      <c r="E652" s="9"/>
      <c r="F652" s="9"/>
      <c r="G652" s="58">
        <v>5600</v>
      </c>
      <c r="H652" s="85">
        <v>8.5714285714285701E-2</v>
      </c>
      <c r="I652" s="9">
        <v>40</v>
      </c>
      <c r="J652" s="9"/>
      <c r="K652" s="9"/>
      <c r="L652" s="9"/>
      <c r="M652" s="9"/>
      <c r="N652" s="9" t="s">
        <v>5010</v>
      </c>
      <c r="O652" s="9" t="s">
        <v>3081</v>
      </c>
      <c r="P652" s="9" t="s">
        <v>3244</v>
      </c>
      <c r="Q652" s="58" t="s">
        <v>3155</v>
      </c>
      <c r="R652" s="58">
        <v>1</v>
      </c>
      <c r="S652" s="58">
        <v>8</v>
      </c>
      <c r="T652" s="9" t="s">
        <v>5011</v>
      </c>
      <c r="U652" s="9" t="s">
        <v>5012</v>
      </c>
      <c r="V652" s="58">
        <v>1</v>
      </c>
      <c r="W652" s="9"/>
      <c r="X652" s="9"/>
      <c r="Y652" s="9"/>
      <c r="Z652" s="9"/>
    </row>
    <row r="653" spans="1:26" ht="15.75" hidden="1" customHeight="1">
      <c r="A653" s="9" t="s">
        <v>1836</v>
      </c>
      <c r="B653" s="9" t="s">
        <v>5009</v>
      </c>
      <c r="C653" s="9" t="s">
        <v>743</v>
      </c>
      <c r="D653" s="9" t="s">
        <v>368</v>
      </c>
      <c r="E653" s="9" t="s">
        <v>3092</v>
      </c>
      <c r="F653" s="58" t="s">
        <v>3057</v>
      </c>
      <c r="G653" s="58">
        <v>6160</v>
      </c>
      <c r="H653" s="85">
        <v>0.27272727272727199</v>
      </c>
      <c r="I653" s="9">
        <v>40</v>
      </c>
      <c r="J653" s="9"/>
      <c r="K653" s="9"/>
      <c r="L653" s="9"/>
      <c r="M653" s="9"/>
      <c r="N653" s="9" t="s">
        <v>5010</v>
      </c>
      <c r="O653" s="9" t="s">
        <v>3081</v>
      </c>
      <c r="P653" s="9" t="s">
        <v>5013</v>
      </c>
      <c r="Q653" s="58" t="s">
        <v>4057</v>
      </c>
      <c r="R653" s="58">
        <v>4</v>
      </c>
      <c r="S653" s="58">
        <v>7</v>
      </c>
      <c r="T653" s="9" t="s">
        <v>5011</v>
      </c>
      <c r="U653" s="9" t="s">
        <v>5014</v>
      </c>
      <c r="V653" s="58">
        <v>4</v>
      </c>
      <c r="W653" s="9"/>
      <c r="X653" s="9"/>
      <c r="Y653" s="9"/>
      <c r="Z653" s="9"/>
    </row>
    <row r="654" spans="1:26" ht="15.75" hidden="1" customHeight="1">
      <c r="A654" s="9" t="s">
        <v>2154</v>
      </c>
      <c r="B654" s="9" t="s">
        <v>5015</v>
      </c>
      <c r="C654" s="9" t="s">
        <v>2156</v>
      </c>
      <c r="D654" s="9" t="s">
        <v>439</v>
      </c>
      <c r="E654" s="9"/>
      <c r="F654" s="9"/>
      <c r="G654" s="58">
        <v>5600</v>
      </c>
      <c r="H654" s="85">
        <v>8.5714285714285701E-2</v>
      </c>
      <c r="I654" s="9">
        <v>40</v>
      </c>
      <c r="J654" s="9"/>
      <c r="K654" s="9"/>
      <c r="L654" s="9"/>
      <c r="M654" s="9"/>
      <c r="N654" s="9" t="s">
        <v>5016</v>
      </c>
      <c r="O654" s="9" t="s">
        <v>3081</v>
      </c>
      <c r="P654" s="9" t="s">
        <v>3244</v>
      </c>
      <c r="Q654" s="58" t="s">
        <v>3155</v>
      </c>
      <c r="R654" s="58">
        <v>1</v>
      </c>
      <c r="S654" s="58">
        <v>8</v>
      </c>
      <c r="T654" s="9" t="s">
        <v>5017</v>
      </c>
      <c r="U654" s="9" t="s">
        <v>5018</v>
      </c>
      <c r="V654" s="58">
        <v>1</v>
      </c>
      <c r="W654" s="9"/>
      <c r="X654" s="9"/>
      <c r="Y654" s="9"/>
      <c r="Z654" s="9"/>
    </row>
    <row r="655" spans="1:26" ht="15.75" hidden="1" customHeight="1">
      <c r="A655" s="9" t="s">
        <v>2154</v>
      </c>
      <c r="B655" s="9" t="s">
        <v>5015</v>
      </c>
      <c r="C655" s="9" t="s">
        <v>2156</v>
      </c>
      <c r="D655" s="9" t="s">
        <v>368</v>
      </c>
      <c r="E655" s="9" t="s">
        <v>3092</v>
      </c>
      <c r="F655" s="58" t="s">
        <v>3057</v>
      </c>
      <c r="G655" s="58">
        <v>6160</v>
      </c>
      <c r="H655" s="85">
        <v>0.27272727272727199</v>
      </c>
      <c r="I655" s="9">
        <v>40</v>
      </c>
      <c r="J655" s="9"/>
      <c r="K655" s="9"/>
      <c r="L655" s="9"/>
      <c r="M655" s="9"/>
      <c r="N655" s="9" t="s">
        <v>5016</v>
      </c>
      <c r="O655" s="9" t="s">
        <v>3081</v>
      </c>
      <c r="P655" s="9" t="s">
        <v>5019</v>
      </c>
      <c r="Q655" s="58" t="s">
        <v>4057</v>
      </c>
      <c r="R655" s="58">
        <v>4</v>
      </c>
      <c r="S655" s="58">
        <v>7</v>
      </c>
      <c r="T655" s="9" t="s">
        <v>5017</v>
      </c>
      <c r="U655" s="9" t="s">
        <v>5020</v>
      </c>
      <c r="V655" s="58">
        <v>4</v>
      </c>
      <c r="W655" s="9"/>
      <c r="X655" s="9"/>
      <c r="Y655" s="9"/>
      <c r="Z655" s="9"/>
    </row>
    <row r="656" spans="1:26" ht="15.75" hidden="1" customHeight="1">
      <c r="A656" s="9" t="s">
        <v>1838</v>
      </c>
      <c r="B656" s="9" t="s">
        <v>5021</v>
      </c>
      <c r="C656" s="9" t="s">
        <v>741</v>
      </c>
      <c r="D656" s="9" t="s">
        <v>439</v>
      </c>
      <c r="E656" s="9"/>
      <c r="F656" s="9"/>
      <c r="G656" s="58">
        <v>3840</v>
      </c>
      <c r="H656" s="85">
        <v>0.125</v>
      </c>
      <c r="I656" s="9">
        <v>50</v>
      </c>
      <c r="J656" s="9"/>
      <c r="K656" s="9"/>
      <c r="L656" s="9"/>
      <c r="M656" s="9"/>
      <c r="N656" s="9" t="s">
        <v>5022</v>
      </c>
      <c r="O656" s="9" t="s">
        <v>3081</v>
      </c>
      <c r="P656" s="9" t="s">
        <v>5023</v>
      </c>
      <c r="Q656" s="58" t="s">
        <v>3764</v>
      </c>
      <c r="R656" s="58">
        <v>1</v>
      </c>
      <c r="S656" s="58">
        <v>8</v>
      </c>
      <c r="T656" s="9" t="s">
        <v>3065</v>
      </c>
      <c r="U656" s="9" t="s">
        <v>5024</v>
      </c>
      <c r="V656" s="58">
        <v>1</v>
      </c>
      <c r="W656" s="9"/>
      <c r="X656" s="9"/>
      <c r="Y656" s="9"/>
      <c r="Z656" s="9"/>
    </row>
    <row r="657" spans="1:26" ht="15.75" hidden="1" customHeight="1">
      <c r="A657" s="9" t="s">
        <v>1838</v>
      </c>
      <c r="B657" s="9" t="s">
        <v>5021</v>
      </c>
      <c r="C657" s="9" t="s">
        <v>741</v>
      </c>
      <c r="D657" s="9" t="s">
        <v>368</v>
      </c>
      <c r="E657" s="9" t="s">
        <v>5025</v>
      </c>
      <c r="F657" s="58" t="s">
        <v>3087</v>
      </c>
      <c r="G657" s="58">
        <v>5110</v>
      </c>
      <c r="H657" s="85">
        <v>0.32876712328767099</v>
      </c>
      <c r="I657" s="9">
        <v>50</v>
      </c>
      <c r="J657" s="9"/>
      <c r="K657" s="9"/>
      <c r="L657" s="9"/>
      <c r="M657" s="9"/>
      <c r="N657" s="9" t="s">
        <v>5022</v>
      </c>
      <c r="O657" s="9" t="s">
        <v>3081</v>
      </c>
      <c r="P657" s="9" t="s">
        <v>5026</v>
      </c>
      <c r="Q657" s="58" t="s">
        <v>4814</v>
      </c>
      <c r="R657" s="58">
        <v>4</v>
      </c>
      <c r="S657" s="58">
        <v>7</v>
      </c>
      <c r="T657" s="9" t="s">
        <v>3065</v>
      </c>
      <c r="U657" s="9" t="s">
        <v>5027</v>
      </c>
      <c r="V657" s="58">
        <v>4</v>
      </c>
      <c r="W657" s="9"/>
      <c r="X657" s="9"/>
      <c r="Y657" s="9"/>
      <c r="Z657" s="9"/>
    </row>
    <row r="658" spans="1:26" ht="15.75" hidden="1" customHeight="1">
      <c r="A658" s="9" t="s">
        <v>5028</v>
      </c>
      <c r="B658" s="9" t="s">
        <v>5029</v>
      </c>
      <c r="C658" s="9" t="s">
        <v>2702</v>
      </c>
      <c r="D658" s="9" t="s">
        <v>439</v>
      </c>
      <c r="E658" s="9"/>
      <c r="F658" s="9"/>
      <c r="G658" s="58">
        <v>4560</v>
      </c>
      <c r="H658" s="85">
        <v>0.105263157894736</v>
      </c>
      <c r="I658" s="9">
        <v>485</v>
      </c>
      <c r="J658" s="9"/>
      <c r="K658" s="9"/>
      <c r="L658" s="9"/>
      <c r="M658" s="9"/>
      <c r="N658" s="9" t="s">
        <v>5030</v>
      </c>
      <c r="O658" s="9" t="s">
        <v>3081</v>
      </c>
      <c r="P658" s="9" t="s">
        <v>5031</v>
      </c>
      <c r="Q658" s="58" t="s">
        <v>3930</v>
      </c>
      <c r="R658" s="58">
        <v>1</v>
      </c>
      <c r="S658" s="58">
        <v>8</v>
      </c>
      <c r="T658" s="9" t="s">
        <v>5032</v>
      </c>
      <c r="U658" s="9" t="s">
        <v>5033</v>
      </c>
      <c r="V658" s="58">
        <v>1</v>
      </c>
      <c r="W658" s="9"/>
      <c r="X658" s="9"/>
      <c r="Y658" s="9"/>
      <c r="Z658" s="9"/>
    </row>
    <row r="659" spans="1:26" ht="15.75" hidden="1" customHeight="1">
      <c r="A659" s="9" t="s">
        <v>5028</v>
      </c>
      <c r="B659" s="9" t="s">
        <v>5029</v>
      </c>
      <c r="C659" s="9" t="s">
        <v>2702</v>
      </c>
      <c r="D659" s="9" t="s">
        <v>368</v>
      </c>
      <c r="E659" s="9" t="s">
        <v>3229</v>
      </c>
      <c r="F659" s="58" t="s">
        <v>3087</v>
      </c>
      <c r="G659" s="58">
        <v>2800</v>
      </c>
      <c r="H659" s="85">
        <v>0.6</v>
      </c>
      <c r="I659" s="9">
        <v>485</v>
      </c>
      <c r="J659" s="9"/>
      <c r="K659" s="9"/>
      <c r="L659" s="9"/>
      <c r="M659" s="9"/>
      <c r="N659" s="9" t="s">
        <v>5030</v>
      </c>
      <c r="O659" s="9" t="s">
        <v>3081</v>
      </c>
      <c r="P659" s="9" t="s">
        <v>5034</v>
      </c>
      <c r="Q659" s="58" t="s">
        <v>3240</v>
      </c>
      <c r="R659" s="58">
        <v>4</v>
      </c>
      <c r="S659" s="58">
        <v>7</v>
      </c>
      <c r="T659" s="9" t="s">
        <v>5032</v>
      </c>
      <c r="U659" s="9" t="s">
        <v>5035</v>
      </c>
      <c r="V659" s="58">
        <v>4</v>
      </c>
      <c r="W659" s="9"/>
      <c r="X659" s="9"/>
      <c r="Y659" s="9"/>
      <c r="Z659" s="9"/>
    </row>
    <row r="660" spans="1:26" ht="15.75" hidden="1" customHeight="1">
      <c r="A660" s="9" t="s">
        <v>2157</v>
      </c>
      <c r="B660" s="9" t="s">
        <v>5036</v>
      </c>
      <c r="C660" s="9" t="s">
        <v>2159</v>
      </c>
      <c r="D660" s="9" t="s">
        <v>439</v>
      </c>
      <c r="E660" s="9"/>
      <c r="F660" s="9"/>
      <c r="G660" s="58">
        <v>3840</v>
      </c>
      <c r="H660" s="85">
        <v>0.125</v>
      </c>
      <c r="I660" s="9">
        <v>49.5</v>
      </c>
      <c r="J660" s="9"/>
      <c r="K660" s="9"/>
      <c r="L660" s="9"/>
      <c r="M660" s="9"/>
      <c r="N660" s="9" t="s">
        <v>5037</v>
      </c>
      <c r="O660" s="9" t="s">
        <v>3081</v>
      </c>
      <c r="P660" s="9" t="s">
        <v>5038</v>
      </c>
      <c r="Q660" s="58" t="s">
        <v>3764</v>
      </c>
      <c r="R660" s="58">
        <v>1</v>
      </c>
      <c r="S660" s="58">
        <v>8</v>
      </c>
      <c r="T660" s="9" t="s">
        <v>5039</v>
      </c>
      <c r="U660" s="9" t="s">
        <v>5040</v>
      </c>
      <c r="V660" s="58">
        <v>1</v>
      </c>
      <c r="W660" s="9"/>
      <c r="X660" s="9"/>
      <c r="Y660" s="9"/>
      <c r="Z660" s="9"/>
    </row>
    <row r="661" spans="1:26" ht="15.75" hidden="1" customHeight="1">
      <c r="A661" s="9" t="s">
        <v>2157</v>
      </c>
      <c r="B661" s="9" t="s">
        <v>5036</v>
      </c>
      <c r="C661" s="9" t="s">
        <v>2159</v>
      </c>
      <c r="D661" s="9" t="s">
        <v>368</v>
      </c>
      <c r="E661" s="9" t="s">
        <v>5025</v>
      </c>
      <c r="F661" s="58" t="s">
        <v>3087</v>
      </c>
      <c r="G661" s="58">
        <v>5600</v>
      </c>
      <c r="H661" s="85">
        <v>0.3</v>
      </c>
      <c r="I661" s="9">
        <v>49.5</v>
      </c>
      <c r="J661" s="9"/>
      <c r="K661" s="9"/>
      <c r="L661" s="9"/>
      <c r="M661" s="9"/>
      <c r="N661" s="9" t="s">
        <v>5037</v>
      </c>
      <c r="O661" s="9" t="s">
        <v>3081</v>
      </c>
      <c r="P661" s="9" t="s">
        <v>5041</v>
      </c>
      <c r="Q661" s="58" t="s">
        <v>3185</v>
      </c>
      <c r="R661" s="58">
        <v>4</v>
      </c>
      <c r="S661" s="58">
        <v>7</v>
      </c>
      <c r="T661" s="9" t="s">
        <v>5039</v>
      </c>
      <c r="U661" s="9" t="s">
        <v>5042</v>
      </c>
      <c r="V661" s="58">
        <v>4</v>
      </c>
      <c r="W661" s="9"/>
      <c r="X661" s="9"/>
      <c r="Y661" s="9"/>
      <c r="Z661" s="9"/>
    </row>
    <row r="662" spans="1:26" ht="15.75" hidden="1" customHeight="1">
      <c r="A662" s="9" t="s">
        <v>1843</v>
      </c>
      <c r="B662" s="9" t="s">
        <v>5043</v>
      </c>
      <c r="C662" s="9" t="s">
        <v>803</v>
      </c>
      <c r="D662" s="9" t="s">
        <v>439</v>
      </c>
      <c r="E662" s="9"/>
      <c r="F662" s="9"/>
      <c r="G662" s="58">
        <v>6400</v>
      </c>
      <c r="H662" s="85">
        <v>7.4999999999999997E-2</v>
      </c>
      <c r="I662" s="9">
        <v>60.6</v>
      </c>
      <c r="J662" s="9"/>
      <c r="K662" s="9"/>
      <c r="L662" s="9"/>
      <c r="M662" s="9"/>
      <c r="N662" s="9" t="s">
        <v>3189</v>
      </c>
      <c r="O662" s="9" t="s">
        <v>3051</v>
      </c>
      <c r="P662" s="9" t="s">
        <v>3190</v>
      </c>
      <c r="Q662" s="58" t="s">
        <v>3185</v>
      </c>
      <c r="R662" s="58">
        <v>1</v>
      </c>
      <c r="S662" s="58">
        <v>8</v>
      </c>
      <c r="T662" s="9" t="s">
        <v>4997</v>
      </c>
      <c r="U662" s="9" t="s">
        <v>5044</v>
      </c>
      <c r="V662" s="58">
        <v>1</v>
      </c>
      <c r="W662" s="9"/>
      <c r="X662" s="9"/>
      <c r="Y662" s="9"/>
      <c r="Z662" s="9"/>
    </row>
    <row r="663" spans="1:26" ht="15.75" hidden="1" customHeight="1">
      <c r="A663" s="9" t="s">
        <v>1843</v>
      </c>
      <c r="B663" s="9" t="s">
        <v>5043</v>
      </c>
      <c r="C663" s="9" t="s">
        <v>803</v>
      </c>
      <c r="D663" s="9" t="s">
        <v>368</v>
      </c>
      <c r="E663" s="9" t="s">
        <v>3067</v>
      </c>
      <c r="F663" s="58" t="s">
        <v>3057</v>
      </c>
      <c r="G663" s="58">
        <v>5600</v>
      </c>
      <c r="H663" s="85">
        <v>0.3</v>
      </c>
      <c r="I663" s="9">
        <v>60.6</v>
      </c>
      <c r="J663" s="9"/>
      <c r="K663" s="9"/>
      <c r="L663" s="9"/>
      <c r="M663" s="9"/>
      <c r="N663" s="9" t="s">
        <v>3189</v>
      </c>
      <c r="O663" s="9" t="s">
        <v>3051</v>
      </c>
      <c r="P663" s="9" t="s">
        <v>5007</v>
      </c>
      <c r="Q663" s="58" t="s">
        <v>3185</v>
      </c>
      <c r="R663" s="58">
        <v>4</v>
      </c>
      <c r="S663" s="58">
        <v>7</v>
      </c>
      <c r="T663" s="9" t="s">
        <v>4997</v>
      </c>
      <c r="U663" s="9" t="s">
        <v>5045</v>
      </c>
      <c r="V663" s="58">
        <v>4</v>
      </c>
      <c r="W663" s="9"/>
      <c r="X663" s="9"/>
      <c r="Y663" s="9"/>
      <c r="Z663" s="9"/>
    </row>
    <row r="664" spans="1:26" ht="15.75" hidden="1" customHeight="1">
      <c r="A664" s="9" t="s">
        <v>5046</v>
      </c>
      <c r="B664" s="9" t="s">
        <v>5043</v>
      </c>
      <c r="C664" s="9" t="s">
        <v>5047</v>
      </c>
      <c r="D664" s="9" t="s">
        <v>439</v>
      </c>
      <c r="E664" s="9"/>
      <c r="F664" s="9"/>
      <c r="G664" s="58">
        <v>6400</v>
      </c>
      <c r="H664" s="85">
        <v>7.4999999999999997E-2</v>
      </c>
      <c r="I664" s="9">
        <v>60.6</v>
      </c>
      <c r="J664" s="9"/>
      <c r="K664" s="9"/>
      <c r="L664" s="9"/>
      <c r="M664" s="9"/>
      <c r="N664" s="9" t="s">
        <v>3189</v>
      </c>
      <c r="O664" s="9" t="s">
        <v>3051</v>
      </c>
      <c r="P664" s="9" t="s">
        <v>3190</v>
      </c>
      <c r="Q664" s="58" t="s">
        <v>3185</v>
      </c>
      <c r="R664" s="58">
        <v>1</v>
      </c>
      <c r="S664" s="58">
        <v>8</v>
      </c>
      <c r="T664" s="9" t="s">
        <v>4997</v>
      </c>
      <c r="U664" s="9" t="s">
        <v>5048</v>
      </c>
      <c r="V664" s="58">
        <v>1</v>
      </c>
      <c r="W664" s="9"/>
      <c r="X664" s="9"/>
      <c r="Y664" s="9"/>
      <c r="Z664" s="9"/>
    </row>
    <row r="665" spans="1:26" ht="15.75" hidden="1" customHeight="1">
      <c r="A665" s="9" t="s">
        <v>5046</v>
      </c>
      <c r="B665" s="9" t="s">
        <v>5043</v>
      </c>
      <c r="C665" s="9" t="s">
        <v>5047</v>
      </c>
      <c r="D665" s="9" t="s">
        <v>368</v>
      </c>
      <c r="E665" s="9" t="s">
        <v>3067</v>
      </c>
      <c r="F665" s="58" t="s">
        <v>3057</v>
      </c>
      <c r="G665" s="58">
        <v>5600</v>
      </c>
      <c r="H665" s="85">
        <v>0.3</v>
      </c>
      <c r="I665" s="9">
        <v>60.6</v>
      </c>
      <c r="J665" s="9"/>
      <c r="K665" s="9"/>
      <c r="L665" s="9"/>
      <c r="M665" s="9"/>
      <c r="N665" s="9" t="s">
        <v>3189</v>
      </c>
      <c r="O665" s="9" t="s">
        <v>3051</v>
      </c>
      <c r="P665" s="9" t="s">
        <v>5007</v>
      </c>
      <c r="Q665" s="58" t="s">
        <v>3185</v>
      </c>
      <c r="R665" s="58">
        <v>4</v>
      </c>
      <c r="S665" s="58">
        <v>7</v>
      </c>
      <c r="T665" s="9" t="s">
        <v>4997</v>
      </c>
      <c r="U665" s="9" t="s">
        <v>5049</v>
      </c>
      <c r="V665" s="58">
        <v>4</v>
      </c>
      <c r="W665" s="9"/>
      <c r="X665" s="9"/>
      <c r="Y665" s="9"/>
      <c r="Z665" s="9"/>
    </row>
    <row r="666" spans="1:26" ht="15.75" hidden="1" customHeight="1">
      <c r="A666" s="9" t="s">
        <v>1845</v>
      </c>
      <c r="B666" s="9" t="s">
        <v>5050</v>
      </c>
      <c r="C666" s="9" t="s">
        <v>745</v>
      </c>
      <c r="D666" s="9" t="s">
        <v>439</v>
      </c>
      <c r="E666" s="9" t="s">
        <v>3067</v>
      </c>
      <c r="F666" s="58" t="s">
        <v>3057</v>
      </c>
      <c r="G666" s="58">
        <v>5600</v>
      </c>
      <c r="H666" s="85">
        <v>7.4999999999999997E-2</v>
      </c>
      <c r="I666" s="9">
        <v>60.6</v>
      </c>
      <c r="J666" s="9"/>
      <c r="K666" s="9"/>
      <c r="L666" s="9"/>
      <c r="M666" s="9"/>
      <c r="N666" s="9" t="s">
        <v>3189</v>
      </c>
      <c r="O666" s="9" t="s">
        <v>3051</v>
      </c>
      <c r="P666" s="9" t="s">
        <v>3190</v>
      </c>
      <c r="Q666" s="58" t="s">
        <v>3185</v>
      </c>
      <c r="R666" s="58">
        <v>1</v>
      </c>
      <c r="S666" s="58">
        <v>7</v>
      </c>
      <c r="T666" s="9" t="s">
        <v>5051</v>
      </c>
      <c r="U666" s="9" t="s">
        <v>5052</v>
      </c>
      <c r="V666" s="58">
        <v>1</v>
      </c>
      <c r="W666" s="9"/>
      <c r="X666" s="9"/>
      <c r="Y666" s="9"/>
      <c r="Z666" s="9"/>
    </row>
    <row r="667" spans="1:26" ht="15.75" hidden="1" customHeight="1">
      <c r="A667" s="9" t="s">
        <v>1845</v>
      </c>
      <c r="B667" s="9" t="s">
        <v>5050</v>
      </c>
      <c r="C667" s="9" t="s">
        <v>745</v>
      </c>
      <c r="D667" s="9" t="s">
        <v>368</v>
      </c>
      <c r="E667" s="9" t="s">
        <v>3067</v>
      </c>
      <c r="F667" s="58" t="s">
        <v>3057</v>
      </c>
      <c r="G667" s="58">
        <v>5600</v>
      </c>
      <c r="H667" s="85">
        <v>0.3</v>
      </c>
      <c r="I667" s="9">
        <v>60.6</v>
      </c>
      <c r="J667" s="9"/>
      <c r="K667" s="9"/>
      <c r="L667" s="9"/>
      <c r="M667" s="9"/>
      <c r="N667" s="9" t="s">
        <v>3189</v>
      </c>
      <c r="O667" s="9" t="s">
        <v>3051</v>
      </c>
      <c r="P667" s="9" t="s">
        <v>5007</v>
      </c>
      <c r="Q667" s="58" t="s">
        <v>3185</v>
      </c>
      <c r="R667" s="58">
        <v>4</v>
      </c>
      <c r="S667" s="58">
        <v>7</v>
      </c>
      <c r="T667" s="9" t="s">
        <v>5051</v>
      </c>
      <c r="U667" s="9" t="s">
        <v>5053</v>
      </c>
      <c r="V667" s="58">
        <v>4</v>
      </c>
      <c r="W667" s="9"/>
      <c r="X667" s="9"/>
      <c r="Y667" s="9"/>
      <c r="Z667" s="9"/>
    </row>
    <row r="668" spans="1:26" ht="15.75" hidden="1" customHeight="1">
      <c r="A668" s="9" t="s">
        <v>1848</v>
      </c>
      <c r="B668" s="9" t="s">
        <v>5054</v>
      </c>
      <c r="C668" s="9" t="s">
        <v>623</v>
      </c>
      <c r="D668" s="9" t="s">
        <v>439</v>
      </c>
      <c r="E668" s="9"/>
      <c r="F668" s="9"/>
      <c r="G668" s="58">
        <v>18400</v>
      </c>
      <c r="H668" s="85">
        <v>2.6086956521739101E-2</v>
      </c>
      <c r="I668" s="9">
        <v>29.4</v>
      </c>
      <c r="J668" s="9"/>
      <c r="K668" s="9"/>
      <c r="L668" s="9"/>
      <c r="M668" s="9"/>
      <c r="N668" s="9" t="s">
        <v>3710</v>
      </c>
      <c r="O668" s="9" t="s">
        <v>3051</v>
      </c>
      <c r="P668" s="9" t="s">
        <v>5055</v>
      </c>
      <c r="Q668" s="58" t="s">
        <v>5056</v>
      </c>
      <c r="R668" s="58">
        <v>1</v>
      </c>
      <c r="S668" s="58">
        <v>8</v>
      </c>
      <c r="T668" s="9" t="s">
        <v>5057</v>
      </c>
      <c r="U668" s="9" t="s">
        <v>5058</v>
      </c>
      <c r="V668" s="58">
        <v>1</v>
      </c>
      <c r="W668" s="9"/>
      <c r="X668" s="9"/>
      <c r="Y668" s="9"/>
      <c r="Z668" s="9"/>
    </row>
    <row r="669" spans="1:26" ht="15.75" hidden="1" customHeight="1">
      <c r="A669" s="9" t="s">
        <v>1848</v>
      </c>
      <c r="B669" s="9" t="s">
        <v>5054</v>
      </c>
      <c r="C669" s="9" t="s">
        <v>623</v>
      </c>
      <c r="D669" s="9" t="s">
        <v>368</v>
      </c>
      <c r="E669" s="9" t="s">
        <v>3715</v>
      </c>
      <c r="F669" s="58" t="s">
        <v>3355</v>
      </c>
      <c r="G669" s="58">
        <v>7700</v>
      </c>
      <c r="H669" s="85">
        <v>0.218181818181818</v>
      </c>
      <c r="I669" s="9">
        <v>29.4</v>
      </c>
      <c r="J669" s="9"/>
      <c r="K669" s="9"/>
      <c r="L669" s="9"/>
      <c r="M669" s="9"/>
      <c r="N669" s="9" t="s">
        <v>3710</v>
      </c>
      <c r="O669" s="9" t="s">
        <v>3051</v>
      </c>
      <c r="P669" s="9" t="s">
        <v>3271</v>
      </c>
      <c r="Q669" s="58" t="s">
        <v>3077</v>
      </c>
      <c r="R669" s="58">
        <v>4</v>
      </c>
      <c r="S669" s="58">
        <v>7</v>
      </c>
      <c r="T669" s="9" t="s">
        <v>5057</v>
      </c>
      <c r="U669" s="9" t="s">
        <v>5059</v>
      </c>
      <c r="V669" s="58">
        <v>4</v>
      </c>
      <c r="W669" s="9"/>
      <c r="X669" s="9"/>
      <c r="Y669" s="9"/>
      <c r="Z669" s="9"/>
    </row>
    <row r="670" spans="1:26" ht="15.75" customHeight="1">
      <c r="A670" s="9" t="s">
        <v>1850</v>
      </c>
      <c r="B670" s="9" t="s">
        <v>5060</v>
      </c>
      <c r="C670" s="9" t="s">
        <v>525</v>
      </c>
      <c r="D670" s="9" t="s">
        <v>484</v>
      </c>
      <c r="E670" s="9" t="s">
        <v>4455</v>
      </c>
      <c r="F670" s="58" t="s">
        <v>3087</v>
      </c>
      <c r="G670" s="58">
        <v>2760</v>
      </c>
      <c r="H670" s="85">
        <v>0.17391304347826</v>
      </c>
      <c r="I670" s="9">
        <v>150</v>
      </c>
      <c r="J670" s="9"/>
      <c r="K670" s="9"/>
      <c r="L670" s="9"/>
      <c r="M670" s="9"/>
      <c r="N670" s="9" t="s">
        <v>5061</v>
      </c>
      <c r="O670" s="9" t="s">
        <v>3534</v>
      </c>
      <c r="P670" s="9" t="s">
        <v>5062</v>
      </c>
      <c r="Q670" s="58" t="s">
        <v>5063</v>
      </c>
      <c r="R670" s="9">
        <v>1</v>
      </c>
      <c r="S670" s="9">
        <v>8</v>
      </c>
      <c r="T670" s="9" t="s">
        <v>5064</v>
      </c>
      <c r="U670" s="9" t="s">
        <v>5065</v>
      </c>
      <c r="V670" s="9">
        <v>1</v>
      </c>
      <c r="W670" s="9"/>
      <c r="X670" s="9"/>
      <c r="Y670" s="9"/>
      <c r="Z670" s="9"/>
    </row>
    <row r="671" spans="1:26" ht="15.75" hidden="1" customHeight="1">
      <c r="A671" s="9" t="s">
        <v>1850</v>
      </c>
      <c r="B671" s="9" t="s">
        <v>5060</v>
      </c>
      <c r="C671" s="9" t="s">
        <v>525</v>
      </c>
      <c r="D671" s="9" t="s">
        <v>368</v>
      </c>
      <c r="E671" s="9" t="s">
        <v>4455</v>
      </c>
      <c r="F671" s="58" t="s">
        <v>3087</v>
      </c>
      <c r="G671" s="58">
        <v>1750</v>
      </c>
      <c r="H671" s="85">
        <v>0.24</v>
      </c>
      <c r="I671" s="9">
        <v>150</v>
      </c>
      <c r="J671" s="9"/>
      <c r="K671" s="9"/>
      <c r="L671" s="9"/>
      <c r="M671" s="9"/>
      <c r="N671" s="9" t="s">
        <v>5061</v>
      </c>
      <c r="O671" s="9" t="s">
        <v>3534</v>
      </c>
      <c r="P671" s="9" t="s">
        <v>5066</v>
      </c>
      <c r="Q671" s="58" t="s">
        <v>4828</v>
      </c>
      <c r="R671" s="9">
        <v>1</v>
      </c>
      <c r="S671" s="9">
        <v>7</v>
      </c>
      <c r="T671" s="9" t="s">
        <v>5064</v>
      </c>
      <c r="U671" s="9" t="s">
        <v>5067</v>
      </c>
      <c r="V671" s="9">
        <v>1</v>
      </c>
      <c r="W671" s="9"/>
      <c r="X671" s="9"/>
      <c r="Y671" s="9"/>
      <c r="Z671" s="9"/>
    </row>
    <row r="672" spans="1:26" ht="15.75" hidden="1" customHeight="1">
      <c r="A672" s="9" t="s">
        <v>1850</v>
      </c>
      <c r="B672" s="9" t="s">
        <v>5060</v>
      </c>
      <c r="C672" s="9" t="s">
        <v>525</v>
      </c>
      <c r="D672" s="9" t="s">
        <v>526</v>
      </c>
      <c r="E672" s="9" t="s">
        <v>4455</v>
      </c>
      <c r="F672" s="58" t="s">
        <v>3087</v>
      </c>
      <c r="G672" s="58">
        <v>8000</v>
      </c>
      <c r="H672" s="85">
        <v>0.18</v>
      </c>
      <c r="I672" s="9">
        <v>150</v>
      </c>
      <c r="J672" s="9"/>
      <c r="K672" s="9"/>
      <c r="L672" s="9"/>
      <c r="M672" s="9"/>
      <c r="N672" s="9" t="s">
        <v>5061</v>
      </c>
      <c r="O672" s="9" t="s">
        <v>3534</v>
      </c>
      <c r="P672" s="9" t="s">
        <v>5068</v>
      </c>
      <c r="Q672" s="58" t="s">
        <v>3167</v>
      </c>
      <c r="R672" s="9">
        <v>3</v>
      </c>
      <c r="S672" s="9">
        <v>8</v>
      </c>
      <c r="T672" s="9" t="s">
        <v>5064</v>
      </c>
      <c r="U672" s="9" t="s">
        <v>5069</v>
      </c>
      <c r="V672" s="9">
        <v>3</v>
      </c>
      <c r="W672" s="9"/>
      <c r="X672" s="9"/>
      <c r="Y672" s="9"/>
      <c r="Z672" s="9"/>
    </row>
    <row r="673" spans="1:26" ht="15.75" hidden="1" customHeight="1">
      <c r="A673" s="9" t="s">
        <v>1854</v>
      </c>
      <c r="B673" s="9" t="s">
        <v>5070</v>
      </c>
      <c r="C673" s="9" t="s">
        <v>710</v>
      </c>
      <c r="D673" s="9" t="s">
        <v>368</v>
      </c>
      <c r="E673" s="9" t="s">
        <v>3092</v>
      </c>
      <c r="F673" s="58" t="s">
        <v>3087</v>
      </c>
      <c r="G673" s="58">
        <v>5460</v>
      </c>
      <c r="H673" s="85">
        <v>0.30769230769230699</v>
      </c>
      <c r="I673" s="9">
        <v>50.2</v>
      </c>
      <c r="J673" s="9"/>
      <c r="K673" s="9"/>
      <c r="L673" s="9"/>
      <c r="M673" s="9"/>
      <c r="N673" s="9" t="s">
        <v>3446</v>
      </c>
      <c r="O673" s="9" t="s">
        <v>3081</v>
      </c>
      <c r="P673" s="9" t="s">
        <v>5071</v>
      </c>
      <c r="Q673" s="58" t="s">
        <v>3520</v>
      </c>
      <c r="R673" s="58">
        <v>4</v>
      </c>
      <c r="S673" s="58">
        <v>7</v>
      </c>
      <c r="T673" s="9" t="s">
        <v>5072</v>
      </c>
      <c r="U673" s="9" t="s">
        <v>5073</v>
      </c>
      <c r="V673" s="58">
        <v>4</v>
      </c>
      <c r="W673" s="9"/>
      <c r="X673" s="9"/>
      <c r="Y673" s="9"/>
      <c r="Z673" s="9"/>
    </row>
    <row r="674" spans="1:26" ht="15.75" customHeight="1">
      <c r="A674" s="9" t="s">
        <v>5074</v>
      </c>
      <c r="B674" s="9" t="s">
        <v>5074</v>
      </c>
      <c r="C674" s="9" t="s">
        <v>2396</v>
      </c>
      <c r="D674" s="9" t="s">
        <v>484</v>
      </c>
      <c r="E674" s="9" t="s">
        <v>5075</v>
      </c>
      <c r="F674" s="58" t="s">
        <v>3087</v>
      </c>
      <c r="G674" s="58">
        <v>2760</v>
      </c>
      <c r="H674" s="85">
        <v>0.17391304347826</v>
      </c>
      <c r="I674" s="9" t="s">
        <v>2396</v>
      </c>
      <c r="J674" s="9"/>
      <c r="K674" s="9"/>
      <c r="L674" s="9"/>
      <c r="M674" s="9"/>
      <c r="N674" s="9" t="s">
        <v>2396</v>
      </c>
      <c r="O674" s="9" t="s">
        <v>2396</v>
      </c>
      <c r="P674" s="9" t="s">
        <v>5062</v>
      </c>
      <c r="Q674" s="58" t="s">
        <v>5063</v>
      </c>
      <c r="R674" s="9">
        <v>1</v>
      </c>
      <c r="S674" s="9">
        <v>8</v>
      </c>
      <c r="T674" s="9" t="s">
        <v>2396</v>
      </c>
      <c r="U674" s="9" t="s">
        <v>5076</v>
      </c>
      <c r="V674" s="9">
        <v>1</v>
      </c>
      <c r="W674" s="9"/>
      <c r="X674" s="9"/>
      <c r="Y674" s="9"/>
      <c r="Z674" s="9"/>
    </row>
    <row r="675" spans="1:26" ht="15.75" hidden="1" customHeight="1">
      <c r="A675" s="9" t="s">
        <v>2612</v>
      </c>
      <c r="B675" s="9" t="s">
        <v>5074</v>
      </c>
      <c r="C675" s="9" t="s">
        <v>2614</v>
      </c>
      <c r="D675" s="9" t="s">
        <v>368</v>
      </c>
      <c r="E675" s="9" t="s">
        <v>5075</v>
      </c>
      <c r="F675" s="58" t="s">
        <v>3087</v>
      </c>
      <c r="G675" s="58">
        <v>1540</v>
      </c>
      <c r="H675" s="85">
        <v>0.81818181818181801</v>
      </c>
      <c r="I675" s="9">
        <v>150</v>
      </c>
      <c r="J675" s="9"/>
      <c r="K675" s="9"/>
      <c r="L675" s="9"/>
      <c r="M675" s="9"/>
      <c r="N675" s="9" t="s">
        <v>5077</v>
      </c>
      <c r="O675" s="9" t="s">
        <v>3534</v>
      </c>
      <c r="P675" s="9" t="s">
        <v>5078</v>
      </c>
      <c r="Q675" s="58" t="s">
        <v>5079</v>
      </c>
      <c r="R675" s="9">
        <v>3</v>
      </c>
      <c r="S675" s="9">
        <v>7</v>
      </c>
      <c r="T675" s="9" t="s">
        <v>5080</v>
      </c>
      <c r="U675" s="9" t="s">
        <v>5081</v>
      </c>
      <c r="V675" s="9">
        <v>3</v>
      </c>
      <c r="W675" s="9"/>
      <c r="X675" s="9"/>
      <c r="Y675" s="9"/>
      <c r="Z675" s="9"/>
    </row>
    <row r="676" spans="1:26" ht="15.75" hidden="1" customHeight="1">
      <c r="A676" s="9" t="s">
        <v>5074</v>
      </c>
      <c r="B676" s="9" t="s">
        <v>5074</v>
      </c>
      <c r="C676" s="9" t="s">
        <v>2396</v>
      </c>
      <c r="D676" s="9" t="s">
        <v>526</v>
      </c>
      <c r="E676" s="9" t="s">
        <v>5082</v>
      </c>
      <c r="F676" s="58" t="s">
        <v>3087</v>
      </c>
      <c r="G676" s="58">
        <v>8000</v>
      </c>
      <c r="H676" s="85">
        <v>0.12</v>
      </c>
      <c r="I676" s="9" t="s">
        <v>2396</v>
      </c>
      <c r="J676" s="9"/>
      <c r="K676" s="9"/>
      <c r="L676" s="9"/>
      <c r="M676" s="9"/>
      <c r="N676" s="9" t="s">
        <v>2396</v>
      </c>
      <c r="O676" s="9" t="s">
        <v>2396</v>
      </c>
      <c r="P676" s="9" t="s">
        <v>5083</v>
      </c>
      <c r="Q676" s="58" t="s">
        <v>3167</v>
      </c>
      <c r="R676" s="9">
        <v>2</v>
      </c>
      <c r="S676" s="9">
        <v>8</v>
      </c>
      <c r="T676" s="9" t="s">
        <v>2396</v>
      </c>
      <c r="U676" s="9" t="s">
        <v>5084</v>
      </c>
      <c r="V676" s="9">
        <v>2</v>
      </c>
      <c r="W676" s="9"/>
      <c r="X676" s="9"/>
      <c r="Y676" s="9"/>
      <c r="Z676" s="9"/>
    </row>
    <row r="677" spans="1:26" ht="15.75" hidden="1" customHeight="1">
      <c r="A677" s="9" t="s">
        <v>2488</v>
      </c>
      <c r="B677" s="9" t="s">
        <v>5085</v>
      </c>
      <c r="C677" s="9" t="s">
        <v>2490</v>
      </c>
      <c r="D677" s="9" t="s">
        <v>439</v>
      </c>
      <c r="E677" s="9"/>
      <c r="F677" s="9"/>
      <c r="G677" s="58">
        <v>6400</v>
      </c>
      <c r="H677" s="85">
        <v>7.4999999999999997E-2</v>
      </c>
      <c r="I677" s="9">
        <v>33.5</v>
      </c>
      <c r="J677" s="9"/>
      <c r="K677" s="9"/>
      <c r="L677" s="9"/>
      <c r="M677" s="9"/>
      <c r="N677" s="9" t="s">
        <v>3446</v>
      </c>
      <c r="O677" s="9" t="s">
        <v>2724</v>
      </c>
      <c r="P677" s="9" t="s">
        <v>3549</v>
      </c>
      <c r="Q677" s="58" t="s">
        <v>3185</v>
      </c>
      <c r="R677" s="58">
        <v>1</v>
      </c>
      <c r="S677" s="58">
        <v>8</v>
      </c>
      <c r="T677" s="9" t="s">
        <v>5086</v>
      </c>
      <c r="U677" s="9" t="s">
        <v>5087</v>
      </c>
      <c r="V677" s="58">
        <v>1</v>
      </c>
      <c r="W677" s="9"/>
      <c r="X677" s="9"/>
      <c r="Y677" s="9"/>
      <c r="Z677" s="9"/>
    </row>
    <row r="678" spans="1:26" ht="15.75" hidden="1" customHeight="1">
      <c r="A678" s="9" t="s">
        <v>2488</v>
      </c>
      <c r="B678" s="9" t="s">
        <v>5085</v>
      </c>
      <c r="C678" s="9" t="s">
        <v>2490</v>
      </c>
      <c r="D678" s="9" t="s">
        <v>368</v>
      </c>
      <c r="E678" s="9" t="s">
        <v>3092</v>
      </c>
      <c r="F678" s="58" t="s">
        <v>3057</v>
      </c>
      <c r="G678" s="58">
        <v>5600</v>
      </c>
      <c r="H678" s="85">
        <v>0.3</v>
      </c>
      <c r="I678" s="9">
        <v>33.5</v>
      </c>
      <c r="J678" s="9"/>
      <c r="K678" s="9"/>
      <c r="L678" s="9"/>
      <c r="M678" s="9"/>
      <c r="N678" s="9" t="s">
        <v>3446</v>
      </c>
      <c r="O678" s="9" t="s">
        <v>2724</v>
      </c>
      <c r="P678" s="9" t="s">
        <v>5088</v>
      </c>
      <c r="Q678" s="58" t="s">
        <v>3185</v>
      </c>
      <c r="R678" s="58">
        <v>4</v>
      </c>
      <c r="S678" s="58">
        <v>7</v>
      </c>
      <c r="T678" s="9" t="s">
        <v>5086</v>
      </c>
      <c r="U678" s="9" t="s">
        <v>5089</v>
      </c>
      <c r="V678" s="58">
        <v>4</v>
      </c>
      <c r="W678" s="9"/>
      <c r="X678" s="9"/>
      <c r="Y678" s="9"/>
      <c r="Z678" s="9"/>
    </row>
    <row r="679" spans="1:26" ht="15.75" hidden="1" customHeight="1">
      <c r="A679" s="9" t="s">
        <v>2494</v>
      </c>
      <c r="B679" s="9" t="s">
        <v>5090</v>
      </c>
      <c r="C679" s="9" t="s">
        <v>2496</v>
      </c>
      <c r="D679" s="9" t="s">
        <v>439</v>
      </c>
      <c r="E679" s="9"/>
      <c r="F679" s="9"/>
      <c r="G679" s="58">
        <v>6400</v>
      </c>
      <c r="H679" s="85">
        <v>7.4999999999999997E-2</v>
      </c>
      <c r="I679" s="9">
        <v>35</v>
      </c>
      <c r="J679" s="9"/>
      <c r="K679" s="9"/>
      <c r="L679" s="9"/>
      <c r="M679" s="9"/>
      <c r="N679" s="9" t="s">
        <v>5091</v>
      </c>
      <c r="O679" s="9" t="s">
        <v>3081</v>
      </c>
      <c r="P679" s="9" t="s">
        <v>3549</v>
      </c>
      <c r="Q679" s="58" t="s">
        <v>3185</v>
      </c>
      <c r="R679" s="58">
        <v>1</v>
      </c>
      <c r="S679" s="58">
        <v>8</v>
      </c>
      <c r="T679" s="9" t="s">
        <v>5092</v>
      </c>
      <c r="U679" s="9" t="s">
        <v>5093</v>
      </c>
      <c r="V679" s="58">
        <v>1</v>
      </c>
      <c r="W679" s="9"/>
      <c r="X679" s="9"/>
      <c r="Y679" s="9"/>
      <c r="Z679" s="9"/>
    </row>
    <row r="680" spans="1:26" ht="15.75" hidden="1" customHeight="1">
      <c r="A680" s="9" t="s">
        <v>2494</v>
      </c>
      <c r="B680" s="9" t="s">
        <v>5090</v>
      </c>
      <c r="C680" s="9" t="s">
        <v>2496</v>
      </c>
      <c r="D680" s="9" t="s">
        <v>368</v>
      </c>
      <c r="E680" s="9" t="s">
        <v>3092</v>
      </c>
      <c r="F680" s="58" t="s">
        <v>3087</v>
      </c>
      <c r="G680" s="58">
        <v>6300</v>
      </c>
      <c r="H680" s="85">
        <v>0.266666666666666</v>
      </c>
      <c r="I680" s="9">
        <v>35</v>
      </c>
      <c r="J680" s="9"/>
      <c r="K680" s="9"/>
      <c r="L680" s="9"/>
      <c r="M680" s="9"/>
      <c r="N680" s="9" t="s">
        <v>5091</v>
      </c>
      <c r="O680" s="9" t="s">
        <v>3081</v>
      </c>
      <c r="P680" s="9" t="s">
        <v>5094</v>
      </c>
      <c r="Q680" s="58" t="s">
        <v>3069</v>
      </c>
      <c r="R680" s="58">
        <v>4</v>
      </c>
      <c r="S680" s="58">
        <v>7</v>
      </c>
      <c r="T680" s="9" t="s">
        <v>5092</v>
      </c>
      <c r="U680" s="9" t="s">
        <v>5095</v>
      </c>
      <c r="V680" s="58">
        <v>4</v>
      </c>
      <c r="W680" s="9"/>
      <c r="X680" s="9"/>
      <c r="Y680" s="9"/>
      <c r="Z680" s="9"/>
    </row>
    <row r="681" spans="1:26" ht="15.75" hidden="1" customHeight="1">
      <c r="A681" s="9" t="s">
        <v>5096</v>
      </c>
      <c r="B681" s="9" t="s">
        <v>5097</v>
      </c>
      <c r="C681" s="9" t="s">
        <v>5098</v>
      </c>
      <c r="D681" s="9" t="s">
        <v>439</v>
      </c>
      <c r="E681" s="9"/>
      <c r="F681" s="9"/>
      <c r="G681" s="58">
        <v>21600</v>
      </c>
      <c r="H681" s="85">
        <v>2.2222222222222199E-2</v>
      </c>
      <c r="I681" s="9">
        <v>28.6</v>
      </c>
      <c r="J681" s="9"/>
      <c r="K681" s="9"/>
      <c r="L681" s="9"/>
      <c r="M681" s="9"/>
      <c r="N681" s="9" t="s">
        <v>3849</v>
      </c>
      <c r="O681" s="9" t="s">
        <v>3351</v>
      </c>
      <c r="P681" s="9" t="s">
        <v>3259</v>
      </c>
      <c r="Q681" s="58" t="s">
        <v>3260</v>
      </c>
      <c r="R681" s="58">
        <v>1</v>
      </c>
      <c r="S681" s="58">
        <v>8</v>
      </c>
      <c r="T681" s="9" t="s">
        <v>5099</v>
      </c>
      <c r="U681" s="9" t="s">
        <v>5100</v>
      </c>
      <c r="V681" s="58">
        <v>1</v>
      </c>
      <c r="W681" s="9"/>
      <c r="X681" s="9"/>
      <c r="Y681" s="9"/>
      <c r="Z681" s="9"/>
    </row>
    <row r="682" spans="1:26" ht="15.75" hidden="1" customHeight="1">
      <c r="A682" s="9" t="s">
        <v>5096</v>
      </c>
      <c r="B682" s="9" t="s">
        <v>5097</v>
      </c>
      <c r="C682" s="9" t="s">
        <v>5098</v>
      </c>
      <c r="D682" s="9" t="s">
        <v>368</v>
      </c>
      <c r="E682" s="9" t="s">
        <v>3715</v>
      </c>
      <c r="F682" s="58" t="s">
        <v>3057</v>
      </c>
      <c r="G682" s="58">
        <v>7000</v>
      </c>
      <c r="H682" s="85">
        <v>0.12</v>
      </c>
      <c r="I682" s="9">
        <v>28.6</v>
      </c>
      <c r="J682" s="9"/>
      <c r="K682" s="9"/>
      <c r="L682" s="9"/>
      <c r="M682" s="9"/>
      <c r="N682" s="9" t="s">
        <v>3849</v>
      </c>
      <c r="O682" s="9" t="s">
        <v>3351</v>
      </c>
      <c r="P682" s="9" t="s">
        <v>5101</v>
      </c>
      <c r="Q682" s="58" t="s">
        <v>3167</v>
      </c>
      <c r="R682" s="58">
        <v>2</v>
      </c>
      <c r="S682" s="58">
        <v>7</v>
      </c>
      <c r="T682" s="9" t="s">
        <v>5099</v>
      </c>
      <c r="U682" s="9" t="s">
        <v>5102</v>
      </c>
      <c r="V682" s="58">
        <v>2</v>
      </c>
      <c r="W682" s="9"/>
      <c r="X682" s="9"/>
      <c r="Y682" s="9"/>
      <c r="Z682" s="9"/>
    </row>
    <row r="683" spans="1:26" ht="15.75" hidden="1" customHeight="1">
      <c r="A683" s="9" t="s">
        <v>5096</v>
      </c>
      <c r="B683" s="9" t="s">
        <v>5097</v>
      </c>
      <c r="C683" s="9" t="s">
        <v>5098</v>
      </c>
      <c r="D683" s="9" t="s">
        <v>526</v>
      </c>
      <c r="E683" s="9" t="s">
        <v>3854</v>
      </c>
      <c r="F683" s="9"/>
      <c r="G683" s="58">
        <v>12000</v>
      </c>
      <c r="H683" s="85">
        <v>0.12</v>
      </c>
      <c r="I683" s="9">
        <v>28.6</v>
      </c>
      <c r="J683" s="9"/>
      <c r="K683" s="9"/>
      <c r="L683" s="9"/>
      <c r="M683" s="9"/>
      <c r="N683" s="9" t="s">
        <v>3849</v>
      </c>
      <c r="O683" s="9" t="s">
        <v>3351</v>
      </c>
      <c r="P683" s="9" t="s">
        <v>5103</v>
      </c>
      <c r="Q683" s="58" t="s">
        <v>3143</v>
      </c>
      <c r="R683" s="58">
        <v>3</v>
      </c>
      <c r="S683" s="58">
        <v>8</v>
      </c>
      <c r="T683" s="9" t="s">
        <v>5099</v>
      </c>
      <c r="U683" s="9" t="s">
        <v>5104</v>
      </c>
      <c r="V683" s="58">
        <v>3</v>
      </c>
      <c r="W683" s="9"/>
      <c r="X683" s="9"/>
      <c r="Y683" s="9"/>
      <c r="Z683" s="9"/>
    </row>
    <row r="684" spans="1:26" ht="15.75" hidden="1" customHeight="1">
      <c r="A684" s="9" t="s">
        <v>2483</v>
      </c>
      <c r="B684" s="9" t="s">
        <v>5105</v>
      </c>
      <c r="C684" s="9" t="s">
        <v>2485</v>
      </c>
      <c r="D684" s="9" t="s">
        <v>439</v>
      </c>
      <c r="E684" s="9"/>
      <c r="F684" s="9"/>
      <c r="G684" s="58">
        <v>21600</v>
      </c>
      <c r="H684" s="85">
        <v>2.2222222222222199E-2</v>
      </c>
      <c r="I684" s="9">
        <v>28.6</v>
      </c>
      <c r="J684" s="9"/>
      <c r="K684" s="9"/>
      <c r="L684" s="9"/>
      <c r="M684" s="9"/>
      <c r="N684" s="9" t="s">
        <v>3849</v>
      </c>
      <c r="O684" s="9" t="s">
        <v>3351</v>
      </c>
      <c r="P684" s="9" t="s">
        <v>3259</v>
      </c>
      <c r="Q684" s="58" t="s">
        <v>3260</v>
      </c>
      <c r="R684" s="58">
        <v>1</v>
      </c>
      <c r="S684" s="58">
        <v>8</v>
      </c>
      <c r="T684" s="9" t="s">
        <v>5106</v>
      </c>
      <c r="U684" s="9" t="s">
        <v>5107</v>
      </c>
      <c r="V684" s="58">
        <v>1</v>
      </c>
      <c r="W684" s="9"/>
      <c r="X684" s="9"/>
      <c r="Y684" s="9"/>
      <c r="Z684" s="9"/>
    </row>
    <row r="685" spans="1:26" ht="15.75" hidden="1" customHeight="1">
      <c r="A685" s="9" t="s">
        <v>2483</v>
      </c>
      <c r="B685" s="9" t="s">
        <v>5105</v>
      </c>
      <c r="C685" s="9" t="s">
        <v>2485</v>
      </c>
      <c r="D685" s="9" t="s">
        <v>368</v>
      </c>
      <c r="E685" s="9" t="s">
        <v>3715</v>
      </c>
      <c r="F685" s="58" t="s">
        <v>3057</v>
      </c>
      <c r="G685" s="58">
        <v>7000</v>
      </c>
      <c r="H685" s="85">
        <v>0.12</v>
      </c>
      <c r="I685" s="9">
        <v>28.6</v>
      </c>
      <c r="J685" s="9"/>
      <c r="K685" s="9"/>
      <c r="L685" s="9"/>
      <c r="M685" s="9"/>
      <c r="N685" s="9" t="s">
        <v>3849</v>
      </c>
      <c r="O685" s="9" t="s">
        <v>3351</v>
      </c>
      <c r="P685" s="9" t="s">
        <v>5108</v>
      </c>
      <c r="Q685" s="58" t="s">
        <v>3167</v>
      </c>
      <c r="R685" s="58">
        <v>2</v>
      </c>
      <c r="S685" s="58">
        <v>7</v>
      </c>
      <c r="T685" s="9" t="s">
        <v>5106</v>
      </c>
      <c r="U685" s="9" t="s">
        <v>5109</v>
      </c>
      <c r="V685" s="58">
        <v>2</v>
      </c>
      <c r="W685" s="9"/>
      <c r="X685" s="9"/>
      <c r="Y685" s="9"/>
      <c r="Z685" s="9"/>
    </row>
    <row r="686" spans="1:26" ht="15.75" hidden="1" customHeight="1">
      <c r="A686" s="9" t="s">
        <v>2483</v>
      </c>
      <c r="B686" s="9" t="s">
        <v>5105</v>
      </c>
      <c r="C686" s="9" t="s">
        <v>2485</v>
      </c>
      <c r="D686" s="9" t="s">
        <v>526</v>
      </c>
      <c r="E686" s="9" t="s">
        <v>3854</v>
      </c>
      <c r="F686" s="9"/>
      <c r="G686" s="58">
        <v>12000</v>
      </c>
      <c r="H686" s="85">
        <v>0.08</v>
      </c>
      <c r="I686" s="9">
        <v>28.6</v>
      </c>
      <c r="J686" s="9"/>
      <c r="K686" s="9"/>
      <c r="L686" s="9"/>
      <c r="M686" s="9"/>
      <c r="N686" s="9" t="s">
        <v>3849</v>
      </c>
      <c r="O686" s="9" t="s">
        <v>3351</v>
      </c>
      <c r="P686" s="9" t="s">
        <v>5110</v>
      </c>
      <c r="Q686" s="58" t="s">
        <v>3143</v>
      </c>
      <c r="R686" s="58">
        <v>2</v>
      </c>
      <c r="S686" s="58">
        <v>8</v>
      </c>
      <c r="T686" s="9" t="s">
        <v>5106</v>
      </c>
      <c r="U686" s="9" t="s">
        <v>5111</v>
      </c>
      <c r="V686" s="58">
        <v>2</v>
      </c>
      <c r="W686" s="9"/>
      <c r="X686" s="9"/>
      <c r="Y686" s="9"/>
      <c r="Z686" s="9"/>
    </row>
    <row r="687" spans="1:26" ht="15.75" hidden="1" customHeight="1">
      <c r="A687" s="9" t="s">
        <v>1857</v>
      </c>
      <c r="B687" s="9" t="s">
        <v>5112</v>
      </c>
      <c r="C687" s="9" t="s">
        <v>835</v>
      </c>
      <c r="D687" s="9" t="s">
        <v>368</v>
      </c>
      <c r="E687" s="9" t="s">
        <v>3263</v>
      </c>
      <c r="F687" s="58" t="s">
        <v>3057</v>
      </c>
      <c r="G687" s="58">
        <v>8750</v>
      </c>
      <c r="H687" s="85">
        <v>9.6000000000000002E-2</v>
      </c>
      <c r="I687" s="9">
        <v>27.5</v>
      </c>
      <c r="J687" s="9"/>
      <c r="K687" s="9"/>
      <c r="L687" s="9"/>
      <c r="M687" s="9"/>
      <c r="N687" s="9" t="s">
        <v>3274</v>
      </c>
      <c r="O687" s="9" t="s">
        <v>3051</v>
      </c>
      <c r="P687" s="9" t="s">
        <v>5113</v>
      </c>
      <c r="Q687" s="58" t="s">
        <v>5114</v>
      </c>
      <c r="R687" s="58">
        <v>2</v>
      </c>
      <c r="S687" s="58">
        <v>7</v>
      </c>
      <c r="T687" s="9" t="s">
        <v>5115</v>
      </c>
      <c r="U687" s="9" t="s">
        <v>5116</v>
      </c>
      <c r="V687" s="58">
        <v>2</v>
      </c>
      <c r="W687" s="9"/>
      <c r="X687" s="9"/>
      <c r="Y687" s="9"/>
      <c r="Z687" s="9"/>
    </row>
    <row r="688" spans="1:26" ht="15.75" hidden="1" customHeight="1">
      <c r="A688" s="9" t="s">
        <v>5117</v>
      </c>
      <c r="B688" s="9" t="s">
        <v>5118</v>
      </c>
      <c r="C688" s="9" t="s">
        <v>5119</v>
      </c>
      <c r="D688" s="9" t="s">
        <v>368</v>
      </c>
      <c r="E688" s="9" t="s">
        <v>3263</v>
      </c>
      <c r="F688" s="58" t="s">
        <v>3057</v>
      </c>
      <c r="G688" s="58">
        <v>10500</v>
      </c>
      <c r="H688" s="85">
        <v>0.08</v>
      </c>
      <c r="I688" s="9">
        <v>27.5</v>
      </c>
      <c r="J688" s="9"/>
      <c r="K688" s="9"/>
      <c r="L688" s="9"/>
      <c r="M688" s="9"/>
      <c r="N688" s="9" t="s">
        <v>3274</v>
      </c>
      <c r="O688" s="9" t="s">
        <v>3051</v>
      </c>
      <c r="P688" s="9" t="s">
        <v>5120</v>
      </c>
      <c r="Q688" s="58" t="s">
        <v>3143</v>
      </c>
      <c r="R688" s="58">
        <v>2</v>
      </c>
      <c r="S688" s="58">
        <v>7</v>
      </c>
      <c r="T688" s="9" t="s">
        <v>5115</v>
      </c>
      <c r="U688" s="9" t="s">
        <v>5121</v>
      </c>
      <c r="V688" s="58">
        <v>2</v>
      </c>
      <c r="W688" s="9"/>
      <c r="X688" s="9"/>
      <c r="Y688" s="9"/>
      <c r="Z688" s="9"/>
    </row>
    <row r="689" spans="1:26" ht="15.75" hidden="1" customHeight="1">
      <c r="A689" s="9" t="s">
        <v>5122</v>
      </c>
      <c r="B689" s="9" t="s">
        <v>5122</v>
      </c>
      <c r="C689" s="9" t="s">
        <v>5123</v>
      </c>
      <c r="D689" s="9" t="s">
        <v>368</v>
      </c>
      <c r="E689" s="9" t="s">
        <v>3263</v>
      </c>
      <c r="F689" s="58" t="s">
        <v>3057</v>
      </c>
      <c r="G689" s="58">
        <v>8750</v>
      </c>
      <c r="H689" s="85">
        <v>9.6000000000000002E-2</v>
      </c>
      <c r="I689" s="9">
        <v>25</v>
      </c>
      <c r="J689" s="9"/>
      <c r="K689" s="9"/>
      <c r="L689" s="9"/>
      <c r="M689" s="9"/>
      <c r="N689" s="9" t="s">
        <v>3274</v>
      </c>
      <c r="O689" s="9" t="s">
        <v>3051</v>
      </c>
      <c r="P689" s="9" t="s">
        <v>5113</v>
      </c>
      <c r="Q689" s="58" t="s">
        <v>5114</v>
      </c>
      <c r="R689" s="58">
        <v>2</v>
      </c>
      <c r="S689" s="58">
        <v>7</v>
      </c>
      <c r="T689" s="9" t="s">
        <v>5115</v>
      </c>
      <c r="U689" s="9" t="s">
        <v>5124</v>
      </c>
      <c r="V689" s="58">
        <v>2</v>
      </c>
      <c r="W689" s="9"/>
      <c r="X689" s="9"/>
      <c r="Y689" s="9"/>
      <c r="Z689" s="9"/>
    </row>
    <row r="690" spans="1:26" ht="15.75" hidden="1" customHeight="1">
      <c r="A690" s="9" t="s">
        <v>5122</v>
      </c>
      <c r="B690" s="9" t="s">
        <v>5122</v>
      </c>
      <c r="C690" s="9" t="s">
        <v>817</v>
      </c>
      <c r="D690" s="9" t="s">
        <v>368</v>
      </c>
      <c r="E690" s="9" t="s">
        <v>3263</v>
      </c>
      <c r="F690" s="58" t="s">
        <v>3057</v>
      </c>
      <c r="G690" s="58">
        <v>10500</v>
      </c>
      <c r="H690" s="85">
        <v>0.08</v>
      </c>
      <c r="I690" s="9">
        <v>25</v>
      </c>
      <c r="J690" s="9"/>
      <c r="K690" s="9"/>
      <c r="L690" s="9"/>
      <c r="M690" s="9"/>
      <c r="N690" s="9" t="s">
        <v>3274</v>
      </c>
      <c r="O690" s="9" t="s">
        <v>3051</v>
      </c>
      <c r="P690" s="9" t="s">
        <v>5120</v>
      </c>
      <c r="Q690" s="58" t="s">
        <v>3143</v>
      </c>
      <c r="R690" s="58">
        <v>2</v>
      </c>
      <c r="S690" s="58">
        <v>7</v>
      </c>
      <c r="T690" s="9" t="s">
        <v>5115</v>
      </c>
      <c r="U690" s="9" t="s">
        <v>5125</v>
      </c>
      <c r="V690" s="58">
        <v>2</v>
      </c>
      <c r="W690" s="9"/>
      <c r="X690" s="9"/>
      <c r="Y690" s="9"/>
      <c r="Z690" s="9"/>
    </row>
    <row r="691" spans="1:26" ht="15.75" hidden="1" customHeight="1">
      <c r="A691" s="9" t="s">
        <v>5126</v>
      </c>
      <c r="B691" s="9" t="s">
        <v>5127</v>
      </c>
      <c r="C691" s="9" t="s">
        <v>5123</v>
      </c>
      <c r="D691" s="9" t="s">
        <v>439</v>
      </c>
      <c r="E691" s="9"/>
      <c r="F691" s="9"/>
      <c r="G691" s="58">
        <v>21600</v>
      </c>
      <c r="H691" s="85">
        <v>2.2222222222222199E-2</v>
      </c>
      <c r="I691" s="9">
        <v>25</v>
      </c>
      <c r="J691" s="9"/>
      <c r="K691" s="9"/>
      <c r="L691" s="9"/>
      <c r="M691" s="9"/>
      <c r="N691" s="9" t="s">
        <v>3849</v>
      </c>
      <c r="O691" s="9" t="s">
        <v>3051</v>
      </c>
      <c r="P691" s="9" t="s">
        <v>3259</v>
      </c>
      <c r="Q691" s="58" t="s">
        <v>3260</v>
      </c>
      <c r="R691" s="58">
        <v>1</v>
      </c>
      <c r="S691" s="58">
        <v>8</v>
      </c>
      <c r="T691" s="9" t="s">
        <v>5115</v>
      </c>
      <c r="U691" s="9" t="s">
        <v>5128</v>
      </c>
      <c r="V691" s="58">
        <v>1</v>
      </c>
      <c r="W691" s="9"/>
      <c r="X691" s="9"/>
      <c r="Y691" s="9"/>
      <c r="Z691" s="9"/>
    </row>
    <row r="692" spans="1:26" ht="15.75" hidden="1" customHeight="1">
      <c r="A692" s="9" t="s">
        <v>5126</v>
      </c>
      <c r="B692" s="9" t="s">
        <v>5127</v>
      </c>
      <c r="C692" s="9" t="s">
        <v>5123</v>
      </c>
      <c r="D692" s="9" t="s">
        <v>368</v>
      </c>
      <c r="E692" s="9" t="s">
        <v>3344</v>
      </c>
      <c r="F692" s="58" t="s">
        <v>3057</v>
      </c>
      <c r="G692" s="58">
        <v>7000</v>
      </c>
      <c r="H692" s="85">
        <v>0.12</v>
      </c>
      <c r="I692" s="9">
        <v>25</v>
      </c>
      <c r="J692" s="9"/>
      <c r="K692" s="9"/>
      <c r="L692" s="9"/>
      <c r="M692" s="9"/>
      <c r="N692" s="9" t="s">
        <v>3849</v>
      </c>
      <c r="O692" s="9" t="s">
        <v>3051</v>
      </c>
      <c r="P692" s="9" t="s">
        <v>5129</v>
      </c>
      <c r="Q692" s="58" t="s">
        <v>3167</v>
      </c>
      <c r="R692" s="58">
        <v>2</v>
      </c>
      <c r="S692" s="58">
        <v>7</v>
      </c>
      <c r="T692" s="9" t="s">
        <v>5115</v>
      </c>
      <c r="U692" s="9" t="s">
        <v>5124</v>
      </c>
      <c r="V692" s="58">
        <v>2</v>
      </c>
      <c r="W692" s="9"/>
      <c r="X692" s="9"/>
      <c r="Y692" s="9"/>
      <c r="Z692" s="9"/>
    </row>
    <row r="693" spans="1:26" ht="15.75" hidden="1" customHeight="1">
      <c r="A693" s="9" t="s">
        <v>1860</v>
      </c>
      <c r="B693" s="9" t="s">
        <v>5130</v>
      </c>
      <c r="C693" s="9" t="s">
        <v>817</v>
      </c>
      <c r="D693" s="9" t="s">
        <v>439</v>
      </c>
      <c r="E693" s="9"/>
      <c r="F693" s="9"/>
      <c r="G693" s="58">
        <v>21600</v>
      </c>
      <c r="H693" s="85">
        <v>2.2222222222222199E-2</v>
      </c>
      <c r="I693" s="9">
        <v>25</v>
      </c>
      <c r="J693" s="9"/>
      <c r="K693" s="9"/>
      <c r="L693" s="9"/>
      <c r="M693" s="9"/>
      <c r="N693" s="9" t="s">
        <v>3849</v>
      </c>
      <c r="O693" s="9" t="s">
        <v>3051</v>
      </c>
      <c r="P693" s="9" t="s">
        <v>3259</v>
      </c>
      <c r="Q693" s="58" t="s">
        <v>3260</v>
      </c>
      <c r="R693" s="58">
        <v>1</v>
      </c>
      <c r="S693" s="58">
        <v>8</v>
      </c>
      <c r="T693" s="9" t="s">
        <v>5115</v>
      </c>
      <c r="U693" s="9" t="s">
        <v>5131</v>
      </c>
      <c r="V693" s="58">
        <v>1</v>
      </c>
      <c r="W693" s="9"/>
      <c r="X693" s="9"/>
      <c r="Y693" s="9"/>
      <c r="Z693" s="9"/>
    </row>
    <row r="694" spans="1:26" ht="15.75" hidden="1" customHeight="1">
      <c r="A694" s="9" t="s">
        <v>1860</v>
      </c>
      <c r="B694" s="9" t="s">
        <v>5130</v>
      </c>
      <c r="C694" s="9" t="s">
        <v>817</v>
      </c>
      <c r="D694" s="9" t="s">
        <v>368</v>
      </c>
      <c r="E694" s="9" t="s">
        <v>3344</v>
      </c>
      <c r="F694" s="58" t="s">
        <v>3057</v>
      </c>
      <c r="G694" s="58">
        <v>7000</v>
      </c>
      <c r="H694" s="85">
        <v>0.12</v>
      </c>
      <c r="I694" s="9">
        <v>25</v>
      </c>
      <c r="J694" s="9"/>
      <c r="K694" s="9"/>
      <c r="L694" s="9"/>
      <c r="M694" s="9"/>
      <c r="N694" s="9" t="s">
        <v>3849</v>
      </c>
      <c r="O694" s="9" t="s">
        <v>3051</v>
      </c>
      <c r="P694" s="9" t="s">
        <v>5129</v>
      </c>
      <c r="Q694" s="58" t="s">
        <v>3167</v>
      </c>
      <c r="R694" s="58">
        <v>2</v>
      </c>
      <c r="S694" s="58">
        <v>7</v>
      </c>
      <c r="T694" s="9" t="s">
        <v>5115</v>
      </c>
      <c r="U694" s="9" t="s">
        <v>5125</v>
      </c>
      <c r="V694" s="58">
        <v>2</v>
      </c>
      <c r="W694" s="9"/>
      <c r="X694" s="9"/>
      <c r="Y694" s="9"/>
      <c r="Z694" s="9"/>
    </row>
    <row r="695" spans="1:26" ht="15.75" hidden="1" customHeight="1">
      <c r="A695" s="9" t="s">
        <v>1864</v>
      </c>
      <c r="B695" s="9" t="s">
        <v>5132</v>
      </c>
      <c r="C695" s="9" t="s">
        <v>982</v>
      </c>
      <c r="D695" s="9" t="s">
        <v>439</v>
      </c>
      <c r="E695" s="9"/>
      <c r="F695" s="9"/>
      <c r="G695" s="58">
        <v>6000</v>
      </c>
      <c r="H695" s="85">
        <v>0.08</v>
      </c>
      <c r="I695" s="9">
        <v>150</v>
      </c>
      <c r="J695" s="9"/>
      <c r="K695" s="9"/>
      <c r="L695" s="9"/>
      <c r="M695" s="9"/>
      <c r="N695" s="9" t="s">
        <v>3153</v>
      </c>
      <c r="O695" s="9" t="s">
        <v>3258</v>
      </c>
      <c r="P695" s="9" t="s">
        <v>4452</v>
      </c>
      <c r="Q695" s="58" t="s">
        <v>3095</v>
      </c>
      <c r="R695" s="58">
        <v>1</v>
      </c>
      <c r="S695" s="58">
        <v>8</v>
      </c>
      <c r="T695" s="9" t="s">
        <v>3065</v>
      </c>
      <c r="U695" s="9" t="s">
        <v>5133</v>
      </c>
      <c r="V695" s="58">
        <v>1</v>
      </c>
      <c r="W695" s="9"/>
      <c r="X695" s="9"/>
      <c r="Y695" s="9"/>
      <c r="Z695" s="9"/>
    </row>
    <row r="696" spans="1:26" ht="15.75" hidden="1" customHeight="1">
      <c r="A696" s="9" t="s">
        <v>1864</v>
      </c>
      <c r="B696" s="9" t="s">
        <v>5132</v>
      </c>
      <c r="C696" s="9" t="s">
        <v>982</v>
      </c>
      <c r="D696" s="9" t="s">
        <v>368</v>
      </c>
      <c r="E696" s="9" t="s">
        <v>3158</v>
      </c>
      <c r="F696" s="58" t="s">
        <v>3057</v>
      </c>
      <c r="G696" s="58">
        <v>4900</v>
      </c>
      <c r="H696" s="85">
        <v>0.34285714285714203</v>
      </c>
      <c r="I696" s="9">
        <v>150</v>
      </c>
      <c r="J696" s="9"/>
      <c r="K696" s="9"/>
      <c r="L696" s="9"/>
      <c r="M696" s="9"/>
      <c r="N696" s="9" t="s">
        <v>3153</v>
      </c>
      <c r="O696" s="9" t="s">
        <v>3258</v>
      </c>
      <c r="P696" s="9" t="s">
        <v>4507</v>
      </c>
      <c r="Q696" s="58" t="s">
        <v>3155</v>
      </c>
      <c r="R696" s="58">
        <v>4</v>
      </c>
      <c r="S696" s="58">
        <v>7</v>
      </c>
      <c r="T696" s="9" t="s">
        <v>3065</v>
      </c>
      <c r="U696" s="9" t="s">
        <v>5134</v>
      </c>
      <c r="V696" s="58">
        <v>4</v>
      </c>
      <c r="W696" s="9"/>
      <c r="X696" s="9"/>
      <c r="Y696" s="9"/>
      <c r="Z696" s="9"/>
    </row>
    <row r="697" spans="1:26" ht="15.75" hidden="1" customHeight="1">
      <c r="A697" s="9" t="s">
        <v>1868</v>
      </c>
      <c r="B697" s="9" t="s">
        <v>5135</v>
      </c>
      <c r="C697" s="9" t="s">
        <v>980</v>
      </c>
      <c r="D697" s="9" t="s">
        <v>439</v>
      </c>
      <c r="E697" s="9"/>
      <c r="F697" s="9"/>
      <c r="G697" s="58">
        <v>12000</v>
      </c>
      <c r="H697" s="85">
        <v>0.04</v>
      </c>
      <c r="I697" s="9">
        <v>107</v>
      </c>
      <c r="J697" s="9"/>
      <c r="K697" s="9"/>
      <c r="L697" s="9"/>
      <c r="M697" s="9"/>
      <c r="N697" s="9" t="s">
        <v>5136</v>
      </c>
      <c r="O697" s="9" t="s">
        <v>3081</v>
      </c>
      <c r="P697" s="9" t="s">
        <v>3148</v>
      </c>
      <c r="Q697" s="58" t="s">
        <v>3143</v>
      </c>
      <c r="R697" s="58">
        <v>1</v>
      </c>
      <c r="S697" s="58">
        <v>8</v>
      </c>
      <c r="T697" s="9" t="s">
        <v>3065</v>
      </c>
      <c r="U697" s="9" t="s">
        <v>5137</v>
      </c>
      <c r="V697" s="58">
        <v>1</v>
      </c>
      <c r="W697" s="9"/>
      <c r="X697" s="9"/>
      <c r="Y697" s="9"/>
      <c r="Z697" s="9"/>
    </row>
    <row r="698" spans="1:26" ht="15.75" hidden="1" customHeight="1">
      <c r="A698" s="9" t="s">
        <v>1868</v>
      </c>
      <c r="B698" s="9" t="s">
        <v>5135</v>
      </c>
      <c r="C698" s="9" t="s">
        <v>980</v>
      </c>
      <c r="D698" s="9" t="s">
        <v>368</v>
      </c>
      <c r="E698" s="9" t="s">
        <v>3092</v>
      </c>
      <c r="F698" s="58" t="s">
        <v>3087</v>
      </c>
      <c r="G698" s="58">
        <v>4200</v>
      </c>
      <c r="H698" s="85">
        <v>0.3</v>
      </c>
      <c r="I698" s="9">
        <v>107</v>
      </c>
      <c r="J698" s="9"/>
      <c r="K698" s="9"/>
      <c r="L698" s="9"/>
      <c r="M698" s="9"/>
      <c r="N698" s="9" t="s">
        <v>5136</v>
      </c>
      <c r="O698" s="9" t="s">
        <v>3081</v>
      </c>
      <c r="P698" s="9" t="s">
        <v>5138</v>
      </c>
      <c r="Q698" s="58" t="s">
        <v>3122</v>
      </c>
      <c r="R698" s="58">
        <v>3</v>
      </c>
      <c r="S698" s="58">
        <v>7</v>
      </c>
      <c r="T698" s="9" t="s">
        <v>3065</v>
      </c>
      <c r="U698" s="9" t="s">
        <v>5139</v>
      </c>
      <c r="V698" s="58">
        <v>3</v>
      </c>
      <c r="W698" s="9"/>
      <c r="X698" s="9"/>
      <c r="Y698" s="9"/>
      <c r="Z698" s="9"/>
    </row>
    <row r="699" spans="1:26" ht="15.75" hidden="1" customHeight="1">
      <c r="A699" s="9" t="s">
        <v>2160</v>
      </c>
      <c r="B699" s="9" t="s">
        <v>5140</v>
      </c>
      <c r="C699" s="9" t="s">
        <v>2162</v>
      </c>
      <c r="D699" s="9" t="s">
        <v>368</v>
      </c>
      <c r="E699" s="9" t="s">
        <v>3092</v>
      </c>
      <c r="F699" s="58" t="s">
        <v>3087</v>
      </c>
      <c r="G699" s="58">
        <v>3850</v>
      </c>
      <c r="H699" s="85">
        <v>0.43636363636363601</v>
      </c>
      <c r="I699" s="9">
        <v>100</v>
      </c>
      <c r="J699" s="9"/>
      <c r="K699" s="9"/>
      <c r="L699" s="9"/>
      <c r="M699" s="9"/>
      <c r="N699" s="9" t="s">
        <v>3446</v>
      </c>
      <c r="O699" s="9" t="s">
        <v>3081</v>
      </c>
      <c r="P699" s="9" t="s">
        <v>5141</v>
      </c>
      <c r="Q699" s="58" t="s">
        <v>3226</v>
      </c>
      <c r="R699" s="9">
        <v>4</v>
      </c>
      <c r="S699" s="9">
        <v>7</v>
      </c>
      <c r="T699" s="9" t="s">
        <v>5142</v>
      </c>
      <c r="U699" s="9" t="s">
        <v>5143</v>
      </c>
      <c r="V699" s="9">
        <v>4</v>
      </c>
      <c r="W699" s="9"/>
      <c r="X699" s="9"/>
      <c r="Y699" s="9"/>
      <c r="Z699" s="9"/>
    </row>
    <row r="700" spans="1:26" ht="15.75" hidden="1" customHeight="1">
      <c r="A700" s="9" t="s">
        <v>1872</v>
      </c>
      <c r="B700" s="9" t="s">
        <v>5144</v>
      </c>
      <c r="C700" s="9" t="s">
        <v>718</v>
      </c>
      <c r="D700" s="9" t="s">
        <v>439</v>
      </c>
      <c r="E700" s="9"/>
      <c r="F700" s="9"/>
      <c r="G700" s="58">
        <v>6800</v>
      </c>
      <c r="H700" s="85">
        <v>7.0588235294117604E-2</v>
      </c>
      <c r="I700" s="9">
        <v>120</v>
      </c>
      <c r="J700" s="9"/>
      <c r="K700" s="9"/>
      <c r="L700" s="9"/>
      <c r="M700" s="9"/>
      <c r="N700" s="9" t="s">
        <v>3325</v>
      </c>
      <c r="O700" s="9" t="s">
        <v>3051</v>
      </c>
      <c r="P700" s="9" t="s">
        <v>3441</v>
      </c>
      <c r="Q700" s="58" t="s">
        <v>3132</v>
      </c>
      <c r="R700" s="58">
        <v>1</v>
      </c>
      <c r="S700" s="58">
        <v>8</v>
      </c>
      <c r="T700" s="9" t="s">
        <v>5145</v>
      </c>
      <c r="U700" s="9" t="s">
        <v>5146</v>
      </c>
      <c r="V700" s="58">
        <v>1</v>
      </c>
      <c r="W700" s="9"/>
      <c r="X700" s="9"/>
      <c r="Y700" s="9"/>
      <c r="Z700" s="9"/>
    </row>
    <row r="701" spans="1:26" ht="15.75" hidden="1" customHeight="1">
      <c r="A701" s="9" t="s">
        <v>1872</v>
      </c>
      <c r="B701" s="9" t="s">
        <v>5144</v>
      </c>
      <c r="C701" s="9" t="s">
        <v>718</v>
      </c>
      <c r="D701" s="9" t="s">
        <v>368</v>
      </c>
      <c r="E701" s="9" t="s">
        <v>3067</v>
      </c>
      <c r="F701" s="58" t="s">
        <v>3057</v>
      </c>
      <c r="G701" s="58">
        <v>5600</v>
      </c>
      <c r="H701" s="85">
        <v>0.3</v>
      </c>
      <c r="I701" s="9">
        <v>120</v>
      </c>
      <c r="J701" s="9"/>
      <c r="K701" s="9"/>
      <c r="L701" s="9"/>
      <c r="M701" s="9"/>
      <c r="N701" s="9" t="s">
        <v>3325</v>
      </c>
      <c r="O701" s="9" t="s">
        <v>3051</v>
      </c>
      <c r="P701" s="9" t="s">
        <v>5147</v>
      </c>
      <c r="Q701" s="58" t="s">
        <v>3185</v>
      </c>
      <c r="R701" s="58">
        <v>4</v>
      </c>
      <c r="S701" s="58">
        <v>7</v>
      </c>
      <c r="T701" s="9" t="s">
        <v>5145</v>
      </c>
      <c r="U701" s="9" t="s">
        <v>5148</v>
      </c>
      <c r="V701" s="58">
        <v>4</v>
      </c>
      <c r="W701" s="9"/>
      <c r="X701" s="9"/>
      <c r="Y701" s="9"/>
      <c r="Z701" s="9"/>
    </row>
    <row r="702" spans="1:26" ht="15.75" hidden="1" customHeight="1">
      <c r="A702" s="9" t="s">
        <v>1875</v>
      </c>
      <c r="B702" s="9" t="s">
        <v>5149</v>
      </c>
      <c r="C702" s="9" t="s">
        <v>795</v>
      </c>
      <c r="D702" s="9" t="s">
        <v>439</v>
      </c>
      <c r="E702" s="9"/>
      <c r="F702" s="9"/>
      <c r="G702" s="58">
        <v>8000</v>
      </c>
      <c r="H702" s="85">
        <v>0.06</v>
      </c>
      <c r="I702" s="9">
        <v>29</v>
      </c>
      <c r="J702" s="9"/>
      <c r="K702" s="9"/>
      <c r="L702" s="9"/>
      <c r="M702" s="9"/>
      <c r="N702" s="9" t="s">
        <v>3375</v>
      </c>
      <c r="O702" s="9" t="s">
        <v>3051</v>
      </c>
      <c r="P702" s="9" t="s">
        <v>3415</v>
      </c>
      <c r="Q702" s="58" t="s">
        <v>3167</v>
      </c>
      <c r="R702" s="58">
        <v>1</v>
      </c>
      <c r="S702" s="58">
        <v>8</v>
      </c>
      <c r="T702" s="9" t="s">
        <v>5150</v>
      </c>
      <c r="U702" s="9" t="s">
        <v>5151</v>
      </c>
      <c r="V702" s="58">
        <v>1</v>
      </c>
      <c r="W702" s="9"/>
      <c r="X702" s="9"/>
      <c r="Y702" s="9"/>
      <c r="Z702" s="9"/>
    </row>
    <row r="703" spans="1:26" ht="15.75" hidden="1" customHeight="1">
      <c r="A703" s="9" t="s">
        <v>1875</v>
      </c>
      <c r="B703" s="9" t="s">
        <v>5149</v>
      </c>
      <c r="C703" s="9" t="s">
        <v>795</v>
      </c>
      <c r="D703" s="9" t="s">
        <v>368</v>
      </c>
      <c r="E703" s="9" t="s">
        <v>3402</v>
      </c>
      <c r="F703" s="58" t="s">
        <v>3057</v>
      </c>
      <c r="G703" s="58">
        <v>7000</v>
      </c>
      <c r="H703" s="85">
        <v>0.18</v>
      </c>
      <c r="I703" s="9">
        <v>29</v>
      </c>
      <c r="J703" s="9"/>
      <c r="K703" s="9"/>
      <c r="L703" s="9"/>
      <c r="M703" s="9"/>
      <c r="N703" s="9" t="s">
        <v>3375</v>
      </c>
      <c r="O703" s="9" t="s">
        <v>3051</v>
      </c>
      <c r="P703" s="9" t="s">
        <v>5152</v>
      </c>
      <c r="Q703" s="58" t="s">
        <v>3167</v>
      </c>
      <c r="R703" s="58">
        <v>3</v>
      </c>
      <c r="S703" s="58">
        <v>7</v>
      </c>
      <c r="T703" s="9" t="s">
        <v>5150</v>
      </c>
      <c r="U703" s="9" t="s">
        <v>5153</v>
      </c>
      <c r="V703" s="58">
        <v>3</v>
      </c>
      <c r="W703" s="9"/>
      <c r="X703" s="9"/>
      <c r="Y703" s="9"/>
      <c r="Z703" s="9"/>
    </row>
    <row r="704" spans="1:26" ht="15.75" hidden="1" customHeight="1">
      <c r="A704" s="9" t="s">
        <v>1878</v>
      </c>
      <c r="B704" s="9" t="s">
        <v>5154</v>
      </c>
      <c r="C704" s="9" t="s">
        <v>793</v>
      </c>
      <c r="D704" s="9" t="s">
        <v>439</v>
      </c>
      <c r="E704" s="9"/>
      <c r="F704" s="9"/>
      <c r="G704" s="58">
        <v>11200</v>
      </c>
      <c r="H704" s="85">
        <v>4.2857142857142802E-2</v>
      </c>
      <c r="I704" s="9">
        <v>49.5</v>
      </c>
      <c r="J704" s="9"/>
      <c r="K704" s="9"/>
      <c r="L704" s="9"/>
      <c r="M704" s="9"/>
      <c r="N704" s="9" t="s">
        <v>3446</v>
      </c>
      <c r="O704" s="9" t="s">
        <v>3081</v>
      </c>
      <c r="P704" s="9" t="s">
        <v>3293</v>
      </c>
      <c r="Q704" s="58" t="s">
        <v>3294</v>
      </c>
      <c r="R704" s="58">
        <v>1</v>
      </c>
      <c r="S704" s="58">
        <v>8</v>
      </c>
      <c r="T704" s="9" t="s">
        <v>5155</v>
      </c>
      <c r="U704" s="9" t="s">
        <v>5156</v>
      </c>
      <c r="V704" s="58">
        <v>1</v>
      </c>
      <c r="W704" s="9"/>
      <c r="X704" s="9"/>
      <c r="Y704" s="9"/>
      <c r="Z704" s="9"/>
    </row>
    <row r="705" spans="1:26" ht="15.75" hidden="1" customHeight="1">
      <c r="A705" s="9" t="s">
        <v>1878</v>
      </c>
      <c r="B705" s="9" t="s">
        <v>5154</v>
      </c>
      <c r="C705" s="9" t="s">
        <v>793</v>
      </c>
      <c r="D705" s="9" t="s">
        <v>368</v>
      </c>
      <c r="E705" s="9" t="s">
        <v>3092</v>
      </c>
      <c r="F705" s="58" t="s">
        <v>3057</v>
      </c>
      <c r="G705" s="58">
        <v>6300</v>
      </c>
      <c r="H705" s="85">
        <v>0.266666666666666</v>
      </c>
      <c r="I705" s="9">
        <v>49.5</v>
      </c>
      <c r="J705" s="9"/>
      <c r="K705" s="9"/>
      <c r="L705" s="9"/>
      <c r="M705" s="9"/>
      <c r="N705" s="9" t="s">
        <v>3446</v>
      </c>
      <c r="O705" s="9" t="s">
        <v>3081</v>
      </c>
      <c r="P705" s="9" t="s">
        <v>5157</v>
      </c>
      <c r="Q705" s="58" t="s">
        <v>3069</v>
      </c>
      <c r="R705" s="58">
        <v>4</v>
      </c>
      <c r="S705" s="58">
        <v>7</v>
      </c>
      <c r="T705" s="9" t="s">
        <v>5155</v>
      </c>
      <c r="U705" s="9" t="s">
        <v>5158</v>
      </c>
      <c r="V705" s="58">
        <v>4</v>
      </c>
      <c r="W705" s="9"/>
      <c r="X705" s="9"/>
      <c r="Y705" s="9"/>
      <c r="Z705" s="9"/>
    </row>
    <row r="706" spans="1:26" ht="15.75" hidden="1" customHeight="1">
      <c r="A706" s="9" t="s">
        <v>1881</v>
      </c>
      <c r="B706" s="9" t="s">
        <v>5159</v>
      </c>
      <c r="C706" s="9" t="s">
        <v>685</v>
      </c>
      <c r="D706" s="9" t="s">
        <v>439</v>
      </c>
      <c r="E706" s="9"/>
      <c r="F706" s="9"/>
      <c r="G706" s="58">
        <v>11200</v>
      </c>
      <c r="H706" s="85">
        <v>4.2857142857142802E-2</v>
      </c>
      <c r="I706" s="9">
        <v>30</v>
      </c>
      <c r="J706" s="9"/>
      <c r="K706" s="9"/>
      <c r="L706" s="9"/>
      <c r="M706" s="9"/>
      <c r="N706" s="9" t="s">
        <v>3446</v>
      </c>
      <c r="O706" s="9" t="s">
        <v>3081</v>
      </c>
      <c r="P706" s="9" t="s">
        <v>3293</v>
      </c>
      <c r="Q706" s="58" t="s">
        <v>3294</v>
      </c>
      <c r="R706" s="58">
        <v>1</v>
      </c>
      <c r="S706" s="58">
        <v>8</v>
      </c>
      <c r="T706" s="9" t="s">
        <v>5155</v>
      </c>
      <c r="U706" s="9" t="s">
        <v>5160</v>
      </c>
      <c r="V706" s="58">
        <v>1</v>
      </c>
      <c r="W706" s="9"/>
      <c r="X706" s="9"/>
      <c r="Y706" s="9"/>
      <c r="Z706" s="9"/>
    </row>
    <row r="707" spans="1:26" ht="15.75" hidden="1" customHeight="1">
      <c r="A707" s="9" t="s">
        <v>1881</v>
      </c>
      <c r="B707" s="9" t="s">
        <v>5159</v>
      </c>
      <c r="C707" s="9" t="s">
        <v>685</v>
      </c>
      <c r="D707" s="9" t="s">
        <v>368</v>
      </c>
      <c r="E707" s="9" t="s">
        <v>3092</v>
      </c>
      <c r="F707" s="58" t="s">
        <v>3057</v>
      </c>
      <c r="G707" s="58">
        <v>4550</v>
      </c>
      <c r="H707" s="85">
        <v>0.27692307692307599</v>
      </c>
      <c r="I707" s="9">
        <v>30</v>
      </c>
      <c r="J707" s="9"/>
      <c r="K707" s="9"/>
      <c r="L707" s="9"/>
      <c r="M707" s="9"/>
      <c r="N707" s="9" t="s">
        <v>3446</v>
      </c>
      <c r="O707" s="9" t="s">
        <v>3081</v>
      </c>
      <c r="P707" s="9" t="s">
        <v>5161</v>
      </c>
      <c r="Q707" s="58" t="s">
        <v>3687</v>
      </c>
      <c r="R707" s="58">
        <v>3</v>
      </c>
      <c r="S707" s="58">
        <v>7</v>
      </c>
      <c r="T707" s="9" t="s">
        <v>5155</v>
      </c>
      <c r="U707" s="9" t="s">
        <v>5162</v>
      </c>
      <c r="V707" s="58">
        <v>3</v>
      </c>
      <c r="W707" s="9"/>
      <c r="X707" s="9"/>
      <c r="Y707" s="9"/>
      <c r="Z707" s="9"/>
    </row>
    <row r="708" spans="1:26" ht="15.75" hidden="1" customHeight="1">
      <c r="A708" s="9" t="s">
        <v>1884</v>
      </c>
      <c r="B708" s="9" t="s">
        <v>5163</v>
      </c>
      <c r="C708" s="9" t="s">
        <v>941</v>
      </c>
      <c r="D708" s="9" t="s">
        <v>368</v>
      </c>
      <c r="E708" s="9"/>
      <c r="F708" s="9"/>
      <c r="G708" s="58">
        <v>1260</v>
      </c>
      <c r="H708" s="85">
        <v>0.66666666666666596</v>
      </c>
      <c r="I708" s="9">
        <v>47.7</v>
      </c>
      <c r="J708" s="9"/>
      <c r="K708" s="9"/>
      <c r="L708" s="9"/>
      <c r="M708" s="9"/>
      <c r="N708" s="9" t="s">
        <v>3105</v>
      </c>
      <c r="O708" s="9" t="s">
        <v>3081</v>
      </c>
      <c r="P708" s="9" t="s">
        <v>5164</v>
      </c>
      <c r="Q708" s="58" t="s">
        <v>4019</v>
      </c>
      <c r="R708" s="9">
        <v>2</v>
      </c>
      <c r="S708" s="9">
        <v>7</v>
      </c>
      <c r="T708" s="9" t="s">
        <v>5165</v>
      </c>
      <c r="U708" s="9" t="s">
        <v>5166</v>
      </c>
      <c r="V708" s="9">
        <v>2</v>
      </c>
      <c r="W708" s="9"/>
      <c r="X708" s="9"/>
      <c r="Y708" s="9"/>
      <c r="Z708" s="9"/>
    </row>
    <row r="709" spans="1:26" ht="15.75" hidden="1" customHeight="1">
      <c r="A709" s="9" t="s">
        <v>1890</v>
      </c>
      <c r="B709" s="9" t="s">
        <v>5167</v>
      </c>
      <c r="C709" s="9" t="s">
        <v>944</v>
      </c>
      <c r="D709" s="9" t="s">
        <v>439</v>
      </c>
      <c r="E709" s="9"/>
      <c r="F709" s="9"/>
      <c r="G709" s="58">
        <v>8000</v>
      </c>
      <c r="H709" s="85">
        <v>0.06</v>
      </c>
      <c r="I709" s="9">
        <v>49.5</v>
      </c>
      <c r="J709" s="9"/>
      <c r="K709" s="9"/>
      <c r="L709" s="9"/>
      <c r="M709" s="9"/>
      <c r="N709" s="9" t="s">
        <v>5168</v>
      </c>
      <c r="O709" s="9" t="s">
        <v>3051</v>
      </c>
      <c r="P709" s="9" t="s">
        <v>3583</v>
      </c>
      <c r="Q709" s="58" t="s">
        <v>3167</v>
      </c>
      <c r="R709" s="58">
        <v>1</v>
      </c>
      <c r="S709" s="58">
        <v>8</v>
      </c>
      <c r="T709" s="9" t="s">
        <v>5169</v>
      </c>
      <c r="U709" s="9" t="s">
        <v>5170</v>
      </c>
      <c r="V709" s="58">
        <v>1</v>
      </c>
      <c r="W709" s="9"/>
      <c r="X709" s="9"/>
      <c r="Y709" s="9"/>
      <c r="Z709" s="9"/>
    </row>
    <row r="710" spans="1:26" ht="15.75" hidden="1" customHeight="1">
      <c r="A710" s="9" t="s">
        <v>1890</v>
      </c>
      <c r="B710" s="9" t="s">
        <v>5167</v>
      </c>
      <c r="C710" s="9" t="s">
        <v>944</v>
      </c>
      <c r="D710" s="9" t="s">
        <v>368</v>
      </c>
      <c r="E710" s="9" t="s">
        <v>3402</v>
      </c>
      <c r="F710" s="58" t="s">
        <v>3057</v>
      </c>
      <c r="G710" s="58">
        <v>7000</v>
      </c>
      <c r="H710" s="85">
        <v>0.24</v>
      </c>
      <c r="I710" s="9">
        <v>49.5</v>
      </c>
      <c r="J710" s="9"/>
      <c r="K710" s="9"/>
      <c r="L710" s="9"/>
      <c r="M710" s="9"/>
      <c r="N710" s="9" t="s">
        <v>5168</v>
      </c>
      <c r="O710" s="9" t="s">
        <v>3051</v>
      </c>
      <c r="P710" s="9" t="s">
        <v>5171</v>
      </c>
      <c r="Q710" s="58" t="s">
        <v>3167</v>
      </c>
      <c r="R710" s="58">
        <v>4</v>
      </c>
      <c r="S710" s="58">
        <v>7</v>
      </c>
      <c r="T710" s="9" t="s">
        <v>5169</v>
      </c>
      <c r="U710" s="9" t="s">
        <v>5172</v>
      </c>
      <c r="V710" s="58">
        <v>4</v>
      </c>
      <c r="W710" s="9"/>
      <c r="X710" s="9"/>
      <c r="Y710" s="9"/>
      <c r="Z710" s="9"/>
    </row>
    <row r="711" spans="1:26" ht="15.75" customHeight="1">
      <c r="A711" s="9" t="s">
        <v>1892</v>
      </c>
      <c r="B711" s="9" t="s">
        <v>5173</v>
      </c>
      <c r="C711" s="9" t="s">
        <v>1894</v>
      </c>
      <c r="D711" s="9" t="s">
        <v>5174</v>
      </c>
      <c r="E711" s="9"/>
      <c r="F711" s="9"/>
      <c r="G711" s="58">
        <v>11600</v>
      </c>
      <c r="H711" s="85">
        <v>4.1379310344827502E-2</v>
      </c>
      <c r="I711" s="9">
        <v>33.5</v>
      </c>
      <c r="J711" s="9">
        <v>8.9</v>
      </c>
      <c r="K711" s="9"/>
      <c r="L711" s="9"/>
      <c r="M711" s="9"/>
      <c r="N711" s="9" t="s">
        <v>5175</v>
      </c>
      <c r="O711" s="9" t="s">
        <v>3051</v>
      </c>
      <c r="P711" s="9" t="s">
        <v>5176</v>
      </c>
      <c r="Q711" s="58" t="s">
        <v>5177</v>
      </c>
      <c r="R711" s="58">
        <v>1</v>
      </c>
      <c r="S711" s="58">
        <v>8</v>
      </c>
      <c r="T711" s="9" t="s">
        <v>3065</v>
      </c>
      <c r="U711" s="9" t="s">
        <v>5178</v>
      </c>
      <c r="V711" s="58">
        <v>1</v>
      </c>
      <c r="W711" s="9"/>
      <c r="X711" s="9"/>
      <c r="Y711" s="9"/>
      <c r="Z711" s="9"/>
    </row>
    <row r="712" spans="1:26" ht="15.75" customHeight="1">
      <c r="A712" s="9" t="s">
        <v>1892</v>
      </c>
      <c r="B712" s="9" t="s">
        <v>5173</v>
      </c>
      <c r="C712" s="9" t="s">
        <v>1894</v>
      </c>
      <c r="D712" s="9" t="s">
        <v>4824</v>
      </c>
      <c r="E712" s="9"/>
      <c r="F712" s="9"/>
      <c r="G712" s="58">
        <v>7200</v>
      </c>
      <c r="H712" s="85">
        <v>6.6666666666666596E-2</v>
      </c>
      <c r="I712" s="9">
        <v>33.5</v>
      </c>
      <c r="J712" s="9">
        <v>8.9</v>
      </c>
      <c r="K712" s="9"/>
      <c r="L712" s="9"/>
      <c r="M712" s="9"/>
      <c r="N712" s="9" t="s">
        <v>5175</v>
      </c>
      <c r="O712" s="9" t="s">
        <v>3051</v>
      </c>
      <c r="P712" s="9" t="s">
        <v>4819</v>
      </c>
      <c r="Q712" s="58" t="s">
        <v>3069</v>
      </c>
      <c r="R712" s="58">
        <v>1</v>
      </c>
      <c r="S712" s="58">
        <v>8</v>
      </c>
      <c r="T712" s="9" t="s">
        <v>3065</v>
      </c>
      <c r="U712" s="9" t="s">
        <v>5179</v>
      </c>
      <c r="V712" s="58">
        <v>1</v>
      </c>
      <c r="W712" s="9"/>
      <c r="X712" s="9"/>
      <c r="Y712" s="9"/>
      <c r="Z712" s="9"/>
    </row>
    <row r="713" spans="1:26" ht="15.75" hidden="1" customHeight="1">
      <c r="A713" s="9" t="s">
        <v>1892</v>
      </c>
      <c r="B713" s="9" t="s">
        <v>5173</v>
      </c>
      <c r="C713" s="9" t="s">
        <v>1894</v>
      </c>
      <c r="D713" s="9" t="s">
        <v>368</v>
      </c>
      <c r="E713" s="9" t="s">
        <v>3563</v>
      </c>
      <c r="F713" s="58" t="s">
        <v>3801</v>
      </c>
      <c r="G713" s="58">
        <v>3150</v>
      </c>
      <c r="H713" s="85">
        <v>0.66666666666666596</v>
      </c>
      <c r="I713" s="9">
        <v>33.5</v>
      </c>
      <c r="J713" s="9">
        <v>8.9</v>
      </c>
      <c r="K713" s="9"/>
      <c r="L713" s="9"/>
      <c r="M713" s="9"/>
      <c r="N713" s="9" t="s">
        <v>5175</v>
      </c>
      <c r="O713" s="9" t="s">
        <v>3051</v>
      </c>
      <c r="P713" s="9" t="s">
        <v>5180</v>
      </c>
      <c r="Q713" s="58" t="s">
        <v>3734</v>
      </c>
      <c r="R713" s="58">
        <v>5</v>
      </c>
      <c r="S713" s="58">
        <v>7</v>
      </c>
      <c r="T713" s="9" t="s">
        <v>3065</v>
      </c>
      <c r="U713" s="9" t="s">
        <v>5181</v>
      </c>
      <c r="V713" s="58">
        <v>5</v>
      </c>
      <c r="W713" s="9"/>
      <c r="X713" s="9"/>
      <c r="Y713" s="9"/>
      <c r="Z713" s="9"/>
    </row>
    <row r="714" spans="1:26" ht="15.75" hidden="1" customHeight="1">
      <c r="A714" s="9" t="s">
        <v>1895</v>
      </c>
      <c r="B714" s="9" t="s">
        <v>5182</v>
      </c>
      <c r="C714" s="9" t="s">
        <v>986</v>
      </c>
      <c r="D714" s="9" t="s">
        <v>368</v>
      </c>
      <c r="E714" s="9"/>
      <c r="F714" s="9"/>
      <c r="G714" s="58">
        <v>320000</v>
      </c>
      <c r="H714" s="85">
        <v>1.5E-3</v>
      </c>
      <c r="I714" s="9">
        <v>180</v>
      </c>
      <c r="J714" s="9"/>
      <c r="K714" s="9"/>
      <c r="L714" s="9"/>
      <c r="M714" s="9"/>
      <c r="N714" s="9" t="s">
        <v>3176</v>
      </c>
      <c r="O714" s="9" t="s">
        <v>3176</v>
      </c>
      <c r="P714" s="9" t="s">
        <v>3176</v>
      </c>
      <c r="Q714" s="58">
        <v>40000</v>
      </c>
      <c r="R714" s="9">
        <v>1</v>
      </c>
      <c r="S714" s="9">
        <v>8</v>
      </c>
      <c r="T714" s="9" t="s">
        <v>3176</v>
      </c>
      <c r="U714" s="9" t="s">
        <v>5183</v>
      </c>
      <c r="V714" s="9">
        <v>1</v>
      </c>
      <c r="W714" s="9"/>
      <c r="X714" s="9"/>
      <c r="Y714" s="9"/>
      <c r="Z714" s="9"/>
    </row>
    <row r="715" spans="1:26" ht="15.75" hidden="1" customHeight="1">
      <c r="A715" s="9" t="s">
        <v>1898</v>
      </c>
      <c r="B715" s="9" t="s">
        <v>5184</v>
      </c>
      <c r="C715" s="9" t="s">
        <v>877</v>
      </c>
      <c r="D715" s="9" t="s">
        <v>439</v>
      </c>
      <c r="E715" s="9"/>
      <c r="F715" s="9"/>
      <c r="G715" s="58">
        <v>12000</v>
      </c>
      <c r="H715" s="85">
        <v>0.04</v>
      </c>
      <c r="I715" s="9">
        <v>49</v>
      </c>
      <c r="J715" s="9"/>
      <c r="K715" s="9"/>
      <c r="L715" s="9"/>
      <c r="M715" s="9"/>
      <c r="N715" s="9" t="s">
        <v>5185</v>
      </c>
      <c r="O715" s="9" t="s">
        <v>3081</v>
      </c>
      <c r="P715" s="9" t="s">
        <v>3148</v>
      </c>
      <c r="Q715" s="58" t="s">
        <v>3143</v>
      </c>
      <c r="R715" s="9">
        <v>1</v>
      </c>
      <c r="S715" s="9">
        <v>8</v>
      </c>
      <c r="T715" s="9" t="s">
        <v>5186</v>
      </c>
      <c r="U715" s="9" t="s">
        <v>5187</v>
      </c>
      <c r="V715" s="9">
        <v>1</v>
      </c>
      <c r="W715" s="9"/>
      <c r="X715" s="9"/>
      <c r="Y715" s="9"/>
      <c r="Z715" s="9"/>
    </row>
    <row r="716" spans="1:26" ht="15.75" hidden="1" customHeight="1">
      <c r="A716" s="9" t="s">
        <v>1898</v>
      </c>
      <c r="B716" s="9" t="s">
        <v>5184</v>
      </c>
      <c r="C716" s="9" t="s">
        <v>877</v>
      </c>
      <c r="D716" s="9" t="s">
        <v>368</v>
      </c>
      <c r="E716" s="9" t="s">
        <v>5188</v>
      </c>
      <c r="F716" s="58" t="s">
        <v>3057</v>
      </c>
      <c r="G716" s="58">
        <v>7000</v>
      </c>
      <c r="H716" s="85">
        <v>0.24</v>
      </c>
      <c r="I716" s="9">
        <v>49</v>
      </c>
      <c r="J716" s="9"/>
      <c r="K716" s="9"/>
      <c r="L716" s="9"/>
      <c r="M716" s="9"/>
      <c r="N716" s="9" t="s">
        <v>5185</v>
      </c>
      <c r="O716" s="9" t="s">
        <v>3081</v>
      </c>
      <c r="P716" s="9" t="s">
        <v>5189</v>
      </c>
      <c r="Q716" s="58" t="s">
        <v>3167</v>
      </c>
      <c r="R716" s="9">
        <v>4</v>
      </c>
      <c r="S716" s="9">
        <v>7</v>
      </c>
      <c r="T716" s="9" t="s">
        <v>5186</v>
      </c>
      <c r="U716" s="9" t="s">
        <v>5190</v>
      </c>
      <c r="V716" s="9">
        <v>4</v>
      </c>
      <c r="W716" s="9"/>
      <c r="X716" s="9"/>
      <c r="Y716" s="9"/>
      <c r="Z716" s="9"/>
    </row>
    <row r="717" spans="1:26" ht="15.75" hidden="1" customHeight="1">
      <c r="A717" s="9" t="s">
        <v>1903</v>
      </c>
      <c r="B717" s="9" t="s">
        <v>5191</v>
      </c>
      <c r="C717" s="9" t="s">
        <v>869</v>
      </c>
      <c r="D717" s="9" t="s">
        <v>439</v>
      </c>
      <c r="E717" s="9"/>
      <c r="F717" s="9"/>
      <c r="G717" s="58">
        <v>12800</v>
      </c>
      <c r="H717" s="85">
        <v>3.7499999999999999E-2</v>
      </c>
      <c r="I717" s="9">
        <v>31.5</v>
      </c>
      <c r="J717" s="9"/>
      <c r="K717" s="9"/>
      <c r="L717" s="9"/>
      <c r="M717" s="9"/>
      <c r="N717" s="9" t="s">
        <v>3130</v>
      </c>
      <c r="O717" s="9" t="s">
        <v>3081</v>
      </c>
      <c r="P717" s="9" t="s">
        <v>5192</v>
      </c>
      <c r="Q717" s="58" t="s">
        <v>3545</v>
      </c>
      <c r="R717" s="58">
        <v>1</v>
      </c>
      <c r="S717" s="58">
        <v>8</v>
      </c>
      <c r="T717" s="9" t="s">
        <v>5193</v>
      </c>
      <c r="U717" s="9" t="s">
        <v>5194</v>
      </c>
      <c r="V717" s="58">
        <v>1</v>
      </c>
      <c r="W717" s="9"/>
      <c r="X717" s="9"/>
      <c r="Y717" s="9"/>
      <c r="Z717" s="9"/>
    </row>
    <row r="718" spans="1:26" ht="15.75" hidden="1" customHeight="1">
      <c r="A718" s="9" t="s">
        <v>1903</v>
      </c>
      <c r="B718" s="9" t="s">
        <v>5191</v>
      </c>
      <c r="C718" s="9" t="s">
        <v>869</v>
      </c>
      <c r="D718" s="9" t="s">
        <v>368</v>
      </c>
      <c r="E718" s="9" t="s">
        <v>3067</v>
      </c>
      <c r="F718" s="58" t="s">
        <v>3057</v>
      </c>
      <c r="G718" s="58">
        <v>5600</v>
      </c>
      <c r="H718" s="85">
        <v>0.3</v>
      </c>
      <c r="I718" s="9">
        <v>31.5</v>
      </c>
      <c r="J718" s="9"/>
      <c r="K718" s="9"/>
      <c r="L718" s="9"/>
      <c r="M718" s="9"/>
      <c r="N718" s="9" t="s">
        <v>3130</v>
      </c>
      <c r="O718" s="9" t="s">
        <v>3081</v>
      </c>
      <c r="P718" s="9" t="s">
        <v>5195</v>
      </c>
      <c r="Q718" s="58" t="s">
        <v>3185</v>
      </c>
      <c r="R718" s="58">
        <v>4</v>
      </c>
      <c r="S718" s="58">
        <v>7</v>
      </c>
      <c r="T718" s="9" t="s">
        <v>5193</v>
      </c>
      <c r="U718" s="9" t="s">
        <v>5196</v>
      </c>
      <c r="V718" s="58">
        <v>4</v>
      </c>
      <c r="W718" s="9"/>
      <c r="X718" s="9"/>
      <c r="Y718" s="9"/>
      <c r="Z718" s="9"/>
    </row>
    <row r="719" spans="1:26" ht="15.75" hidden="1" customHeight="1">
      <c r="A719" s="9" t="s">
        <v>5197</v>
      </c>
      <c r="B719" s="9" t="s">
        <v>5191</v>
      </c>
      <c r="C719" s="9" t="s">
        <v>5198</v>
      </c>
      <c r="D719" s="9" t="s">
        <v>439</v>
      </c>
      <c r="E719" s="9"/>
      <c r="F719" s="9"/>
      <c r="G719" s="58">
        <v>12800</v>
      </c>
      <c r="H719" s="85">
        <v>3.7499999999999999E-2</v>
      </c>
      <c r="I719" s="9">
        <v>31.5</v>
      </c>
      <c r="J719" s="9"/>
      <c r="K719" s="9"/>
      <c r="L719" s="9"/>
      <c r="M719" s="9"/>
      <c r="N719" s="9" t="s">
        <v>3130</v>
      </c>
      <c r="O719" s="9" t="s">
        <v>3081</v>
      </c>
      <c r="P719" s="9" t="s">
        <v>5192</v>
      </c>
      <c r="Q719" s="58" t="s">
        <v>3545</v>
      </c>
      <c r="R719" s="58">
        <v>1</v>
      </c>
      <c r="S719" s="58">
        <v>8</v>
      </c>
      <c r="T719" s="9" t="s">
        <v>5199</v>
      </c>
      <c r="U719" s="9" t="s">
        <v>5200</v>
      </c>
      <c r="V719" s="58">
        <v>1</v>
      </c>
      <c r="W719" s="9"/>
      <c r="X719" s="9"/>
      <c r="Y719" s="9"/>
      <c r="Z719" s="9"/>
    </row>
    <row r="720" spans="1:26" ht="15.75" hidden="1" customHeight="1">
      <c r="A720" s="9" t="s">
        <v>5197</v>
      </c>
      <c r="B720" s="9" t="s">
        <v>5191</v>
      </c>
      <c r="C720" s="9" t="s">
        <v>5198</v>
      </c>
      <c r="D720" s="9" t="s">
        <v>368</v>
      </c>
      <c r="E720" s="9" t="s">
        <v>3067</v>
      </c>
      <c r="F720" s="9" t="s">
        <v>477</v>
      </c>
      <c r="G720" s="58">
        <v>5600</v>
      </c>
      <c r="H720" s="85">
        <v>0.3</v>
      </c>
      <c r="I720" s="9">
        <v>31.5</v>
      </c>
      <c r="J720" s="9"/>
      <c r="K720" s="9"/>
      <c r="L720" s="9"/>
      <c r="M720" s="9"/>
      <c r="N720" s="9" t="s">
        <v>3130</v>
      </c>
      <c r="O720" s="9" t="s">
        <v>3081</v>
      </c>
      <c r="P720" s="9" t="s">
        <v>5195</v>
      </c>
      <c r="Q720" s="58" t="s">
        <v>3185</v>
      </c>
      <c r="R720" s="58">
        <v>4</v>
      </c>
      <c r="S720" s="58">
        <v>7</v>
      </c>
      <c r="T720" s="9" t="s">
        <v>5199</v>
      </c>
      <c r="U720" s="9" t="s">
        <v>5201</v>
      </c>
      <c r="V720" s="58">
        <v>4</v>
      </c>
      <c r="W720" s="9"/>
      <c r="X720" s="9"/>
      <c r="Y720" s="9"/>
      <c r="Z720" s="9"/>
    </row>
    <row r="721" spans="1:26" ht="15.75" hidden="1" customHeight="1">
      <c r="A721" s="9" t="s">
        <v>5202</v>
      </c>
      <c r="B721" s="9" t="s">
        <v>5203</v>
      </c>
      <c r="C721" s="9" t="s">
        <v>5204</v>
      </c>
      <c r="D721" s="9" t="s">
        <v>439</v>
      </c>
      <c r="E721" s="9"/>
      <c r="F721" s="9"/>
      <c r="G721" s="58">
        <v>12800</v>
      </c>
      <c r="H721" s="85">
        <v>3.7499999999999999E-2</v>
      </c>
      <c r="I721" s="9">
        <v>31.5</v>
      </c>
      <c r="J721" s="9"/>
      <c r="K721" s="9"/>
      <c r="L721" s="9"/>
      <c r="M721" s="9"/>
      <c r="N721" s="9" t="s">
        <v>3130</v>
      </c>
      <c r="O721" s="9" t="s">
        <v>3081</v>
      </c>
      <c r="P721" s="9" t="s">
        <v>5192</v>
      </c>
      <c r="Q721" s="58" t="s">
        <v>3545</v>
      </c>
      <c r="R721" s="58">
        <v>1</v>
      </c>
      <c r="S721" s="58">
        <v>8</v>
      </c>
      <c r="T721" s="9" t="s">
        <v>5199</v>
      </c>
      <c r="U721" s="9" t="s">
        <v>5205</v>
      </c>
      <c r="V721" s="58">
        <v>1</v>
      </c>
      <c r="W721" s="9"/>
      <c r="X721" s="9"/>
      <c r="Y721" s="9"/>
      <c r="Z721" s="9"/>
    </row>
    <row r="722" spans="1:26" ht="15.75" hidden="1" customHeight="1">
      <c r="A722" s="9" t="s">
        <v>5202</v>
      </c>
      <c r="B722" s="9" t="s">
        <v>5203</v>
      </c>
      <c r="C722" s="9" t="s">
        <v>5204</v>
      </c>
      <c r="D722" s="9" t="s">
        <v>368</v>
      </c>
      <c r="E722" s="9" t="s">
        <v>3067</v>
      </c>
      <c r="F722" s="58" t="s">
        <v>3057</v>
      </c>
      <c r="G722" s="58">
        <v>5600</v>
      </c>
      <c r="H722" s="85">
        <v>0.3</v>
      </c>
      <c r="I722" s="9">
        <v>31.5</v>
      </c>
      <c r="J722" s="9"/>
      <c r="K722" s="9"/>
      <c r="L722" s="9"/>
      <c r="M722" s="9"/>
      <c r="N722" s="9" t="s">
        <v>3130</v>
      </c>
      <c r="O722" s="9" t="s">
        <v>3081</v>
      </c>
      <c r="P722" s="9" t="s">
        <v>5195</v>
      </c>
      <c r="Q722" s="58" t="s">
        <v>3185</v>
      </c>
      <c r="R722" s="58">
        <v>4</v>
      </c>
      <c r="S722" s="58">
        <v>7</v>
      </c>
      <c r="T722" s="9" t="s">
        <v>5199</v>
      </c>
      <c r="U722" s="9" t="s">
        <v>5206</v>
      </c>
      <c r="V722" s="58">
        <v>4</v>
      </c>
      <c r="W722" s="9"/>
      <c r="X722" s="9"/>
      <c r="Y722" s="9"/>
      <c r="Z722" s="9"/>
    </row>
    <row r="723" spans="1:26" ht="15.75" hidden="1" customHeight="1">
      <c r="A723" s="9" t="s">
        <v>5207</v>
      </c>
      <c r="B723" s="9" t="s">
        <v>5208</v>
      </c>
      <c r="C723" s="9" t="s">
        <v>5209</v>
      </c>
      <c r="D723" s="9" t="s">
        <v>439</v>
      </c>
      <c r="E723" s="9"/>
      <c r="F723" s="9"/>
      <c r="G723" s="58">
        <v>11200</v>
      </c>
      <c r="H723" s="85">
        <v>4.2857142857142802E-2</v>
      </c>
      <c r="I723" s="9">
        <v>31.5</v>
      </c>
      <c r="J723" s="9"/>
      <c r="K723" s="9"/>
      <c r="L723" s="9"/>
      <c r="M723" s="9"/>
      <c r="N723" s="9" t="s">
        <v>3130</v>
      </c>
      <c r="O723" s="9" t="s">
        <v>3081</v>
      </c>
      <c r="P723" s="9" t="s">
        <v>3293</v>
      </c>
      <c r="Q723" s="58" t="s">
        <v>3294</v>
      </c>
      <c r="R723" s="58">
        <v>1</v>
      </c>
      <c r="S723" s="58">
        <v>8</v>
      </c>
      <c r="T723" s="9" t="s">
        <v>5210</v>
      </c>
      <c r="U723" s="9" t="s">
        <v>5211</v>
      </c>
      <c r="V723" s="58">
        <v>1</v>
      </c>
      <c r="W723" s="9"/>
      <c r="X723" s="9"/>
      <c r="Y723" s="9"/>
      <c r="Z723" s="9"/>
    </row>
    <row r="724" spans="1:26" ht="15.75" hidden="1" customHeight="1">
      <c r="A724" s="9" t="s">
        <v>5207</v>
      </c>
      <c r="B724" s="9" t="s">
        <v>5208</v>
      </c>
      <c r="C724" s="9" t="s">
        <v>5209</v>
      </c>
      <c r="D724" s="9" t="s">
        <v>368</v>
      </c>
      <c r="E724" s="9" t="s">
        <v>3067</v>
      </c>
      <c r="F724" s="58" t="s">
        <v>3057</v>
      </c>
      <c r="G724" s="58">
        <v>7000</v>
      </c>
      <c r="H724" s="85">
        <v>0.24</v>
      </c>
      <c r="I724" s="9">
        <v>31.5</v>
      </c>
      <c r="J724" s="9"/>
      <c r="K724" s="9"/>
      <c r="L724" s="9"/>
      <c r="M724" s="9"/>
      <c r="N724" s="9" t="s">
        <v>3130</v>
      </c>
      <c r="O724" s="9" t="s">
        <v>3081</v>
      </c>
      <c r="P724" s="9" t="s">
        <v>5212</v>
      </c>
      <c r="Q724" s="58" t="s">
        <v>3167</v>
      </c>
      <c r="R724" s="58">
        <v>4</v>
      </c>
      <c r="S724" s="58">
        <v>7</v>
      </c>
      <c r="T724" s="9" t="s">
        <v>5210</v>
      </c>
      <c r="U724" s="9" t="s">
        <v>5213</v>
      </c>
      <c r="V724" s="58">
        <v>4</v>
      </c>
      <c r="W724" s="9"/>
      <c r="X724" s="9"/>
      <c r="Y724" s="9"/>
      <c r="Z724" s="9"/>
    </row>
    <row r="725" spans="1:26" ht="15.75" hidden="1" customHeight="1">
      <c r="A725" s="9" t="s">
        <v>5214</v>
      </c>
      <c r="B725" s="9" t="s">
        <v>5215</v>
      </c>
      <c r="C725" s="9" t="s">
        <v>5216</v>
      </c>
      <c r="D725" s="9" t="s">
        <v>439</v>
      </c>
      <c r="E725" s="9"/>
      <c r="F725" s="9"/>
      <c r="G725" s="58">
        <v>11200</v>
      </c>
      <c r="H725" s="85">
        <v>4.2857142857142802E-2</v>
      </c>
      <c r="I725" s="9">
        <v>31.5</v>
      </c>
      <c r="J725" s="9"/>
      <c r="K725" s="9"/>
      <c r="L725" s="9"/>
      <c r="M725" s="9"/>
      <c r="N725" s="9" t="s">
        <v>3130</v>
      </c>
      <c r="O725" s="9" t="s">
        <v>3081</v>
      </c>
      <c r="P725" s="9" t="s">
        <v>3293</v>
      </c>
      <c r="Q725" s="58" t="s">
        <v>3294</v>
      </c>
      <c r="R725" s="58">
        <v>1</v>
      </c>
      <c r="S725" s="58">
        <v>8</v>
      </c>
      <c r="T725" s="9" t="s">
        <v>5217</v>
      </c>
      <c r="U725" s="9" t="s">
        <v>5218</v>
      </c>
      <c r="V725" s="58">
        <v>1</v>
      </c>
      <c r="W725" s="9"/>
      <c r="X725" s="9"/>
      <c r="Y725" s="9"/>
      <c r="Z725" s="9"/>
    </row>
    <row r="726" spans="1:26" ht="15.75" hidden="1" customHeight="1">
      <c r="A726" s="9" t="s">
        <v>5214</v>
      </c>
      <c r="B726" s="9" t="s">
        <v>5215</v>
      </c>
      <c r="C726" s="9" t="s">
        <v>5216</v>
      </c>
      <c r="D726" s="9" t="s">
        <v>368</v>
      </c>
      <c r="E726" s="9" t="s">
        <v>3067</v>
      </c>
      <c r="F726" s="58" t="s">
        <v>3057</v>
      </c>
      <c r="G726" s="58">
        <v>7000</v>
      </c>
      <c r="H726" s="85">
        <v>0.24</v>
      </c>
      <c r="I726" s="9">
        <v>31.5</v>
      </c>
      <c r="J726" s="9"/>
      <c r="K726" s="9"/>
      <c r="L726" s="9"/>
      <c r="M726" s="9"/>
      <c r="N726" s="9" t="s">
        <v>3130</v>
      </c>
      <c r="O726" s="9" t="s">
        <v>3081</v>
      </c>
      <c r="P726" s="9" t="s">
        <v>5212</v>
      </c>
      <c r="Q726" s="58" t="s">
        <v>3167</v>
      </c>
      <c r="R726" s="58">
        <v>4</v>
      </c>
      <c r="S726" s="58">
        <v>7</v>
      </c>
      <c r="T726" s="9" t="s">
        <v>5217</v>
      </c>
      <c r="U726" s="9" t="s">
        <v>5219</v>
      </c>
      <c r="V726" s="58">
        <v>4</v>
      </c>
      <c r="W726" s="9"/>
      <c r="X726" s="9"/>
      <c r="Y726" s="9"/>
      <c r="Z726" s="9"/>
    </row>
    <row r="727" spans="1:26" ht="15.75" hidden="1" customHeight="1">
      <c r="A727" s="9" t="s">
        <v>5220</v>
      </c>
      <c r="B727" s="9" t="s">
        <v>5221</v>
      </c>
      <c r="C727" s="9" t="s">
        <v>5222</v>
      </c>
      <c r="D727" s="9" t="s">
        <v>439</v>
      </c>
      <c r="E727" s="9"/>
      <c r="F727" s="9"/>
      <c r="G727" s="58">
        <v>12000</v>
      </c>
      <c r="H727" s="85">
        <v>0.04</v>
      </c>
      <c r="I727" s="9">
        <v>8.4</v>
      </c>
      <c r="J727" s="9"/>
      <c r="K727" s="9"/>
      <c r="L727" s="9"/>
      <c r="M727" s="9"/>
      <c r="N727" s="9" t="s">
        <v>5223</v>
      </c>
      <c r="O727" s="9" t="s">
        <v>4098</v>
      </c>
      <c r="P727" s="9" t="s">
        <v>3251</v>
      </c>
      <c r="Q727" s="58" t="s">
        <v>3143</v>
      </c>
      <c r="R727" s="58">
        <v>1</v>
      </c>
      <c r="S727" s="58">
        <v>8</v>
      </c>
      <c r="T727" s="9" t="s">
        <v>5224</v>
      </c>
      <c r="U727" s="9" t="s">
        <v>5225</v>
      </c>
      <c r="V727" s="58">
        <v>1</v>
      </c>
      <c r="W727" s="9"/>
      <c r="X727" s="9"/>
      <c r="Y727" s="9"/>
      <c r="Z727" s="9"/>
    </row>
    <row r="728" spans="1:26" ht="15.75" hidden="1" customHeight="1">
      <c r="A728" s="9" t="s">
        <v>5220</v>
      </c>
      <c r="B728" s="9" t="s">
        <v>5221</v>
      </c>
      <c r="C728" s="9" t="s">
        <v>5222</v>
      </c>
      <c r="D728" s="9" t="s">
        <v>368</v>
      </c>
      <c r="E728" s="9" t="s">
        <v>3067</v>
      </c>
      <c r="F728" s="58" t="s">
        <v>3057</v>
      </c>
      <c r="G728" s="58">
        <v>6650</v>
      </c>
      <c r="H728" s="85">
        <v>0.25263157894736799</v>
      </c>
      <c r="I728" s="9">
        <v>8.4</v>
      </c>
      <c r="J728" s="9"/>
      <c r="K728" s="9"/>
      <c r="L728" s="9"/>
      <c r="M728" s="9"/>
      <c r="N728" s="9" t="s">
        <v>5223</v>
      </c>
      <c r="O728" s="9" t="s">
        <v>4098</v>
      </c>
      <c r="P728" s="9" t="s">
        <v>5226</v>
      </c>
      <c r="Q728" s="58" t="s">
        <v>3409</v>
      </c>
      <c r="R728" s="58">
        <v>4</v>
      </c>
      <c r="S728" s="58">
        <v>7</v>
      </c>
      <c r="T728" s="9" t="s">
        <v>5224</v>
      </c>
      <c r="U728" s="9" t="s">
        <v>5227</v>
      </c>
      <c r="V728" s="58">
        <v>4</v>
      </c>
      <c r="W728" s="9"/>
      <c r="X728" s="9"/>
      <c r="Y728" s="9"/>
      <c r="Z728" s="9"/>
    </row>
    <row r="729" spans="1:26" ht="15.75" hidden="1" customHeight="1">
      <c r="A729" s="9" t="s">
        <v>5228</v>
      </c>
      <c r="B729" s="9" t="s">
        <v>5229</v>
      </c>
      <c r="C729" s="9" t="s">
        <v>5230</v>
      </c>
      <c r="D729" s="9" t="s">
        <v>439</v>
      </c>
      <c r="E729" s="9"/>
      <c r="F729" s="9"/>
      <c r="G729" s="58">
        <v>12000</v>
      </c>
      <c r="H729" s="85">
        <v>0.04</v>
      </c>
      <c r="I729" s="9">
        <v>8.5</v>
      </c>
      <c r="J729" s="9"/>
      <c r="K729" s="9"/>
      <c r="L729" s="9"/>
      <c r="M729" s="9"/>
      <c r="N729" s="9" t="s">
        <v>5223</v>
      </c>
      <c r="O729" s="9" t="s">
        <v>4098</v>
      </c>
      <c r="P729" s="9" t="s">
        <v>3251</v>
      </c>
      <c r="Q729" s="58" t="s">
        <v>3143</v>
      </c>
      <c r="R729" s="58">
        <v>1</v>
      </c>
      <c r="S729" s="58">
        <v>8</v>
      </c>
      <c r="T729" s="9" t="s">
        <v>5224</v>
      </c>
      <c r="U729" s="9" t="s">
        <v>5231</v>
      </c>
      <c r="V729" s="58">
        <v>1</v>
      </c>
      <c r="W729" s="9"/>
      <c r="X729" s="9"/>
      <c r="Y729" s="9"/>
      <c r="Z729" s="9"/>
    </row>
    <row r="730" spans="1:26" ht="15.75" hidden="1" customHeight="1">
      <c r="A730" s="9" t="s">
        <v>5228</v>
      </c>
      <c r="B730" s="9" t="s">
        <v>5229</v>
      </c>
      <c r="C730" s="9" t="s">
        <v>5230</v>
      </c>
      <c r="D730" s="9" t="s">
        <v>368</v>
      </c>
      <c r="E730" s="9" t="s">
        <v>3067</v>
      </c>
      <c r="F730" s="58" t="s">
        <v>3057</v>
      </c>
      <c r="G730" s="58">
        <v>6650</v>
      </c>
      <c r="H730" s="85">
        <v>0.25263157894736799</v>
      </c>
      <c r="I730" s="9">
        <v>8.5</v>
      </c>
      <c r="J730" s="9"/>
      <c r="K730" s="9"/>
      <c r="L730" s="9"/>
      <c r="M730" s="9"/>
      <c r="N730" s="9" t="s">
        <v>5223</v>
      </c>
      <c r="O730" s="9" t="s">
        <v>4098</v>
      </c>
      <c r="P730" s="9" t="s">
        <v>5226</v>
      </c>
      <c r="Q730" s="58" t="s">
        <v>3409</v>
      </c>
      <c r="R730" s="58">
        <v>4</v>
      </c>
      <c r="S730" s="58">
        <v>7</v>
      </c>
      <c r="T730" s="9" t="s">
        <v>5224</v>
      </c>
      <c r="U730" s="9" t="s">
        <v>5232</v>
      </c>
      <c r="V730" s="58">
        <v>4</v>
      </c>
      <c r="W730" s="9"/>
      <c r="X730" s="9"/>
      <c r="Y730" s="9"/>
      <c r="Z730" s="9"/>
    </row>
    <row r="731" spans="1:26" ht="15.75" hidden="1" customHeight="1">
      <c r="A731" s="9" t="s">
        <v>5233</v>
      </c>
      <c r="B731" s="9" t="s">
        <v>5234</v>
      </c>
      <c r="C731" s="9" t="s">
        <v>5235</v>
      </c>
      <c r="D731" s="9" t="s">
        <v>439</v>
      </c>
      <c r="E731" s="9"/>
      <c r="F731" s="9"/>
      <c r="G731" s="58">
        <v>12000</v>
      </c>
      <c r="H731" s="85">
        <v>0.04</v>
      </c>
      <c r="I731" s="9">
        <v>8</v>
      </c>
      <c r="J731" s="9"/>
      <c r="K731" s="9"/>
      <c r="L731" s="9"/>
      <c r="M731" s="9"/>
      <c r="N731" s="9" t="s">
        <v>5223</v>
      </c>
      <c r="O731" s="9" t="s">
        <v>4098</v>
      </c>
      <c r="P731" s="9" t="s">
        <v>3251</v>
      </c>
      <c r="Q731" s="58" t="s">
        <v>3143</v>
      </c>
      <c r="R731" s="58">
        <v>1</v>
      </c>
      <c r="S731" s="58">
        <v>8</v>
      </c>
      <c r="T731" s="9" t="s">
        <v>5224</v>
      </c>
      <c r="U731" s="9" t="s">
        <v>5236</v>
      </c>
      <c r="V731" s="58">
        <v>1</v>
      </c>
      <c r="W731" s="9"/>
      <c r="X731" s="9"/>
      <c r="Y731" s="9"/>
      <c r="Z731" s="9"/>
    </row>
    <row r="732" spans="1:26" ht="15.75" hidden="1" customHeight="1">
      <c r="A732" s="9" t="s">
        <v>5233</v>
      </c>
      <c r="B732" s="9" t="s">
        <v>5234</v>
      </c>
      <c r="C732" s="9" t="s">
        <v>5235</v>
      </c>
      <c r="D732" s="9" t="s">
        <v>368</v>
      </c>
      <c r="E732" s="9" t="s">
        <v>3067</v>
      </c>
      <c r="F732" s="58" t="s">
        <v>3057</v>
      </c>
      <c r="G732" s="58">
        <v>6650</v>
      </c>
      <c r="H732" s="85">
        <v>0.25263157894736799</v>
      </c>
      <c r="I732" s="9">
        <v>8</v>
      </c>
      <c r="J732" s="9"/>
      <c r="K732" s="9"/>
      <c r="L732" s="9"/>
      <c r="M732" s="9"/>
      <c r="N732" s="9" t="s">
        <v>5223</v>
      </c>
      <c r="O732" s="9" t="s">
        <v>4098</v>
      </c>
      <c r="P732" s="9" t="s">
        <v>5226</v>
      </c>
      <c r="Q732" s="58" t="s">
        <v>3409</v>
      </c>
      <c r="R732" s="58">
        <v>4</v>
      </c>
      <c r="S732" s="58">
        <v>7</v>
      </c>
      <c r="T732" s="9" t="s">
        <v>5224</v>
      </c>
      <c r="U732" s="9" t="s">
        <v>5237</v>
      </c>
      <c r="V732" s="58">
        <v>4</v>
      </c>
      <c r="W732" s="9"/>
      <c r="X732" s="9"/>
      <c r="Y732" s="9"/>
      <c r="Z732" s="9"/>
    </row>
    <row r="733" spans="1:26" ht="15.75" hidden="1" customHeight="1">
      <c r="A733" s="9" t="s">
        <v>1905</v>
      </c>
      <c r="B733" s="9" t="s">
        <v>5238</v>
      </c>
      <c r="C733" s="9" t="s">
        <v>857</v>
      </c>
      <c r="D733" s="9" t="s">
        <v>439</v>
      </c>
      <c r="E733" s="9"/>
      <c r="F733" s="9"/>
      <c r="G733" s="58">
        <v>12800</v>
      </c>
      <c r="H733" s="85">
        <v>3.7499999999999999E-2</v>
      </c>
      <c r="I733" s="9">
        <v>7</v>
      </c>
      <c r="J733" s="9"/>
      <c r="K733" s="9"/>
      <c r="L733" s="9"/>
      <c r="M733" s="9"/>
      <c r="N733" s="9" t="s">
        <v>5239</v>
      </c>
      <c r="O733" s="9" t="s">
        <v>5240</v>
      </c>
      <c r="P733" s="9" t="s">
        <v>5192</v>
      </c>
      <c r="Q733" s="58" t="s">
        <v>3545</v>
      </c>
      <c r="R733" s="58">
        <v>1</v>
      </c>
      <c r="S733" s="58">
        <v>8</v>
      </c>
      <c r="T733" s="9" t="s">
        <v>5241</v>
      </c>
      <c r="U733" s="9" t="s">
        <v>5242</v>
      </c>
      <c r="V733" s="58">
        <v>1</v>
      </c>
      <c r="W733" s="9"/>
      <c r="X733" s="9"/>
      <c r="Y733" s="9"/>
      <c r="Z733" s="9"/>
    </row>
    <row r="734" spans="1:26" ht="15.75" hidden="1" customHeight="1">
      <c r="A734" s="9" t="s">
        <v>1905</v>
      </c>
      <c r="B734" s="9" t="s">
        <v>5238</v>
      </c>
      <c r="C734" s="9" t="s">
        <v>857</v>
      </c>
      <c r="D734" s="9" t="s">
        <v>368</v>
      </c>
      <c r="E734" s="9" t="s">
        <v>3067</v>
      </c>
      <c r="F734" s="58" t="s">
        <v>3057</v>
      </c>
      <c r="G734" s="58">
        <v>8400</v>
      </c>
      <c r="H734" s="85">
        <v>0.2</v>
      </c>
      <c r="I734" s="9">
        <v>7</v>
      </c>
      <c r="J734" s="9"/>
      <c r="K734" s="9"/>
      <c r="L734" s="9"/>
      <c r="M734" s="9"/>
      <c r="N734" s="9" t="s">
        <v>5239</v>
      </c>
      <c r="O734" s="9" t="s">
        <v>5240</v>
      </c>
      <c r="P734" s="9" t="s">
        <v>5243</v>
      </c>
      <c r="Q734" s="58" t="s">
        <v>3074</v>
      </c>
      <c r="R734" s="58">
        <v>4</v>
      </c>
      <c r="S734" s="58">
        <v>7</v>
      </c>
      <c r="T734" s="9" t="s">
        <v>5241</v>
      </c>
      <c r="U734" s="9" t="s">
        <v>5244</v>
      </c>
      <c r="V734" s="58">
        <v>4</v>
      </c>
      <c r="W734" s="9"/>
      <c r="X734" s="9"/>
      <c r="Y734" s="9"/>
      <c r="Z734" s="9"/>
    </row>
    <row r="735" spans="1:26" ht="15.75" hidden="1" customHeight="1">
      <c r="A735" s="9" t="s">
        <v>2271</v>
      </c>
      <c r="B735" s="9" t="s">
        <v>5245</v>
      </c>
      <c r="C735" s="9" t="s">
        <v>2273</v>
      </c>
      <c r="D735" s="9" t="s">
        <v>439</v>
      </c>
      <c r="E735" s="9"/>
      <c r="F735" s="9"/>
      <c r="G735" s="58">
        <v>9600</v>
      </c>
      <c r="H735" s="85">
        <v>0.05</v>
      </c>
      <c r="I735" s="9">
        <v>20.2</v>
      </c>
      <c r="J735" s="9"/>
      <c r="K735" s="9"/>
      <c r="L735" s="9"/>
      <c r="M735" s="9"/>
      <c r="N735" s="9" t="s">
        <v>3599</v>
      </c>
      <c r="O735" s="9" t="s">
        <v>2724</v>
      </c>
      <c r="P735" s="9" t="s">
        <v>3073</v>
      </c>
      <c r="Q735" s="58" t="s">
        <v>3074</v>
      </c>
      <c r="R735" s="58">
        <v>1</v>
      </c>
      <c r="S735" s="58">
        <v>8</v>
      </c>
      <c r="T735" s="9" t="s">
        <v>5246</v>
      </c>
      <c r="U735" s="9" t="s">
        <v>5247</v>
      </c>
      <c r="V735" s="58">
        <v>1</v>
      </c>
      <c r="W735" s="9"/>
      <c r="X735" s="9"/>
      <c r="Y735" s="9"/>
      <c r="Z735" s="9"/>
    </row>
    <row r="736" spans="1:26" ht="15.75" hidden="1" customHeight="1">
      <c r="A736" s="9" t="s">
        <v>2271</v>
      </c>
      <c r="B736" s="9" t="s">
        <v>5245</v>
      </c>
      <c r="C736" s="9" t="s">
        <v>2273</v>
      </c>
      <c r="D736" s="9" t="s">
        <v>368</v>
      </c>
      <c r="E736" s="9" t="s">
        <v>3067</v>
      </c>
      <c r="F736" s="58" t="s">
        <v>3057</v>
      </c>
      <c r="G736" s="58">
        <v>8750</v>
      </c>
      <c r="H736" s="85">
        <v>0.192</v>
      </c>
      <c r="I736" s="9">
        <v>20.2</v>
      </c>
      <c r="J736" s="9"/>
      <c r="K736" s="9"/>
      <c r="L736" s="9"/>
      <c r="M736" s="9"/>
      <c r="N736" s="9" t="s">
        <v>3599</v>
      </c>
      <c r="O736" s="9" t="s">
        <v>2724</v>
      </c>
      <c r="P736" s="9" t="s">
        <v>5248</v>
      </c>
      <c r="Q736" s="58" t="s">
        <v>5114</v>
      </c>
      <c r="R736" s="58">
        <v>4</v>
      </c>
      <c r="S736" s="58">
        <v>7</v>
      </c>
      <c r="T736" s="9" t="s">
        <v>5246</v>
      </c>
      <c r="U736" s="9" t="s">
        <v>5249</v>
      </c>
      <c r="V736" s="58">
        <v>4</v>
      </c>
      <c r="W736" s="9"/>
      <c r="X736" s="9"/>
      <c r="Y736" s="9"/>
      <c r="Z736" s="9"/>
    </row>
    <row r="737" spans="1:26" ht="15.75" hidden="1" customHeight="1">
      <c r="A737" s="9" t="s">
        <v>1908</v>
      </c>
      <c r="B737" s="9" t="s">
        <v>5250</v>
      </c>
      <c r="C737" s="9" t="s">
        <v>853</v>
      </c>
      <c r="D737" s="9" t="s">
        <v>439</v>
      </c>
      <c r="E737" s="9"/>
      <c r="F737" s="9"/>
      <c r="G737" s="58">
        <v>12800</v>
      </c>
      <c r="H737" s="85">
        <v>3.7499999999999999E-2</v>
      </c>
      <c r="I737" s="9">
        <v>7</v>
      </c>
      <c r="J737" s="9"/>
      <c r="K737" s="9"/>
      <c r="L737" s="9"/>
      <c r="M737" s="9"/>
      <c r="N737" s="9" t="s">
        <v>3105</v>
      </c>
      <c r="O737" s="9" t="s">
        <v>3081</v>
      </c>
      <c r="P737" s="9" t="s">
        <v>5192</v>
      </c>
      <c r="Q737" s="58" t="s">
        <v>3545</v>
      </c>
      <c r="R737" s="58">
        <v>1</v>
      </c>
      <c r="S737" s="58">
        <v>8</v>
      </c>
      <c r="T737" s="9" t="s">
        <v>5251</v>
      </c>
      <c r="U737" s="9" t="s">
        <v>5252</v>
      </c>
      <c r="V737" s="58">
        <v>1</v>
      </c>
      <c r="W737" s="9"/>
      <c r="X737" s="9"/>
      <c r="Y737" s="9"/>
      <c r="Z737" s="9"/>
    </row>
    <row r="738" spans="1:26" ht="15.75" hidden="1" customHeight="1">
      <c r="A738" s="9" t="s">
        <v>1908</v>
      </c>
      <c r="B738" s="9" t="s">
        <v>5250</v>
      </c>
      <c r="C738" s="9" t="s">
        <v>853</v>
      </c>
      <c r="D738" s="9" t="s">
        <v>368</v>
      </c>
      <c r="E738" s="9" t="s">
        <v>3092</v>
      </c>
      <c r="F738" s="58" t="s">
        <v>3087</v>
      </c>
      <c r="G738" s="58">
        <v>8400</v>
      </c>
      <c r="H738" s="85">
        <v>0.2</v>
      </c>
      <c r="I738" s="9">
        <v>7</v>
      </c>
      <c r="J738" s="9"/>
      <c r="K738" s="9"/>
      <c r="L738" s="9"/>
      <c r="M738" s="9"/>
      <c r="N738" s="9" t="s">
        <v>3105</v>
      </c>
      <c r="O738" s="9" t="s">
        <v>3081</v>
      </c>
      <c r="P738" s="9" t="s">
        <v>5243</v>
      </c>
      <c r="Q738" s="58" t="s">
        <v>3074</v>
      </c>
      <c r="R738" s="58">
        <v>4</v>
      </c>
      <c r="S738" s="58">
        <v>7</v>
      </c>
      <c r="T738" s="9" t="s">
        <v>5251</v>
      </c>
      <c r="U738" s="9" t="s">
        <v>5253</v>
      </c>
      <c r="V738" s="58">
        <v>4</v>
      </c>
      <c r="W738" s="9"/>
      <c r="X738" s="9"/>
      <c r="Y738" s="9"/>
      <c r="Z738" s="9"/>
    </row>
    <row r="739" spans="1:26" ht="15.75" hidden="1" customHeight="1">
      <c r="A739" s="9" t="s">
        <v>2144</v>
      </c>
      <c r="B739" s="9" t="s">
        <v>5254</v>
      </c>
      <c r="C739" s="9" t="s">
        <v>2145</v>
      </c>
      <c r="D739" s="9" t="s">
        <v>368</v>
      </c>
      <c r="E739" s="9" t="s">
        <v>3092</v>
      </c>
      <c r="F739" s="58" t="s">
        <v>3087</v>
      </c>
      <c r="G739" s="58">
        <v>6300</v>
      </c>
      <c r="H739" s="85">
        <v>0.2</v>
      </c>
      <c r="I739" s="9">
        <v>49.5</v>
      </c>
      <c r="J739" s="9"/>
      <c r="K739" s="9"/>
      <c r="L739" s="9"/>
      <c r="M739" s="9"/>
      <c r="N739" s="9" t="s">
        <v>3446</v>
      </c>
      <c r="O739" s="9" t="s">
        <v>3081</v>
      </c>
      <c r="P739" s="9" t="s">
        <v>5255</v>
      </c>
      <c r="Q739" s="58" t="s">
        <v>3069</v>
      </c>
      <c r="R739" s="58">
        <v>3</v>
      </c>
      <c r="S739" s="58">
        <v>7</v>
      </c>
      <c r="T739" s="9" t="s">
        <v>5256</v>
      </c>
      <c r="U739" s="9" t="s">
        <v>5257</v>
      </c>
      <c r="V739" s="58">
        <v>3</v>
      </c>
      <c r="W739" s="9"/>
      <c r="X739" s="9"/>
      <c r="Y739" s="9"/>
      <c r="Z739" s="9"/>
    </row>
    <row r="740" spans="1:26" ht="15.75" hidden="1" customHeight="1">
      <c r="A740" s="9" t="s">
        <v>1910</v>
      </c>
      <c r="B740" s="9" t="s">
        <v>5258</v>
      </c>
      <c r="C740" s="9" t="s">
        <v>855</v>
      </c>
      <c r="D740" s="9" t="s">
        <v>439</v>
      </c>
      <c r="E740" s="9"/>
      <c r="F740" s="9"/>
      <c r="G740" s="58">
        <v>12800</v>
      </c>
      <c r="H740" s="85">
        <v>3.7499999999999999E-2</v>
      </c>
      <c r="I740" s="9">
        <v>7</v>
      </c>
      <c r="J740" s="9"/>
      <c r="K740" s="9"/>
      <c r="L740" s="9"/>
      <c r="M740" s="9"/>
      <c r="N740" s="9" t="s">
        <v>3105</v>
      </c>
      <c r="O740" s="9" t="s">
        <v>3081</v>
      </c>
      <c r="P740" s="9" t="s">
        <v>5192</v>
      </c>
      <c r="Q740" s="58" t="s">
        <v>3545</v>
      </c>
      <c r="R740" s="58">
        <v>1</v>
      </c>
      <c r="S740" s="58">
        <v>8</v>
      </c>
      <c r="T740" s="9" t="s">
        <v>5251</v>
      </c>
      <c r="U740" s="9" t="s">
        <v>5259</v>
      </c>
      <c r="V740" s="58">
        <v>1</v>
      </c>
      <c r="W740" s="9"/>
      <c r="X740" s="9"/>
      <c r="Y740" s="9"/>
      <c r="Z740" s="9"/>
    </row>
    <row r="741" spans="1:26" ht="15.75" hidden="1" customHeight="1">
      <c r="A741" s="9" t="s">
        <v>1910</v>
      </c>
      <c r="B741" s="9" t="s">
        <v>5258</v>
      </c>
      <c r="C741" s="9" t="s">
        <v>855</v>
      </c>
      <c r="D741" s="9" t="s">
        <v>368</v>
      </c>
      <c r="E741" s="9" t="s">
        <v>3092</v>
      </c>
      <c r="F741" s="58" t="s">
        <v>3087</v>
      </c>
      <c r="G741" s="58">
        <v>8400</v>
      </c>
      <c r="H741" s="85">
        <v>0.2</v>
      </c>
      <c r="I741" s="9">
        <v>7</v>
      </c>
      <c r="J741" s="9"/>
      <c r="K741" s="9"/>
      <c r="L741" s="9"/>
      <c r="M741" s="9"/>
      <c r="N741" s="9" t="s">
        <v>3105</v>
      </c>
      <c r="O741" s="9" t="s">
        <v>3081</v>
      </c>
      <c r="P741" s="9" t="s">
        <v>5243</v>
      </c>
      <c r="Q741" s="58" t="s">
        <v>3074</v>
      </c>
      <c r="R741" s="58">
        <v>4</v>
      </c>
      <c r="S741" s="58">
        <v>7</v>
      </c>
      <c r="T741" s="9" t="s">
        <v>5251</v>
      </c>
      <c r="U741" s="9" t="s">
        <v>5260</v>
      </c>
      <c r="V741" s="58">
        <v>4</v>
      </c>
      <c r="W741" s="9"/>
      <c r="X741" s="9"/>
      <c r="Y741" s="9"/>
      <c r="Z741" s="9"/>
    </row>
    <row r="742" spans="1:26" ht="15.75" hidden="1" customHeight="1">
      <c r="A742" s="9" t="s">
        <v>2231</v>
      </c>
      <c r="B742" s="9" t="s">
        <v>5261</v>
      </c>
      <c r="C742" s="9" t="s">
        <v>2233</v>
      </c>
      <c r="D742" s="9" t="s">
        <v>368</v>
      </c>
      <c r="E742" s="9" t="s">
        <v>3092</v>
      </c>
      <c r="F742" s="58" t="s">
        <v>3057</v>
      </c>
      <c r="G742" s="58">
        <v>5810</v>
      </c>
      <c r="H742" s="85">
        <v>0.28915662650602397</v>
      </c>
      <c r="I742" s="9">
        <v>50</v>
      </c>
      <c r="J742" s="9"/>
      <c r="K742" s="9"/>
      <c r="L742" s="9"/>
      <c r="M742" s="9"/>
      <c r="N742" s="9" t="s">
        <v>3446</v>
      </c>
      <c r="O742" s="9" t="s">
        <v>3081</v>
      </c>
      <c r="P742" s="9" t="s">
        <v>5262</v>
      </c>
      <c r="Q742" s="58" t="s">
        <v>5263</v>
      </c>
      <c r="R742" s="58">
        <v>4</v>
      </c>
      <c r="S742" s="58">
        <v>7</v>
      </c>
      <c r="T742" s="9" t="s">
        <v>5256</v>
      </c>
      <c r="U742" s="9" t="s">
        <v>5264</v>
      </c>
      <c r="V742" s="58">
        <v>4</v>
      </c>
      <c r="W742" s="9"/>
      <c r="X742" s="9"/>
      <c r="Y742" s="9"/>
      <c r="Z742" s="9"/>
    </row>
    <row r="743" spans="1:26" ht="15.75" hidden="1" customHeight="1">
      <c r="A743" s="9" t="s">
        <v>2211</v>
      </c>
      <c r="B743" s="9" t="s">
        <v>5265</v>
      </c>
      <c r="C743" s="9" t="s">
        <v>2213</v>
      </c>
      <c r="D743" s="9" t="s">
        <v>368</v>
      </c>
      <c r="E743" s="9"/>
      <c r="F743" s="9"/>
      <c r="G743" s="58">
        <v>320000</v>
      </c>
      <c r="H743" s="85">
        <v>1.5E-3</v>
      </c>
      <c r="I743" s="9" t="s">
        <v>5266</v>
      </c>
      <c r="J743" s="9"/>
      <c r="K743" s="9"/>
      <c r="L743" s="9"/>
      <c r="M743" s="9"/>
      <c r="N743" s="9" t="s">
        <v>5266</v>
      </c>
      <c r="O743" s="9" t="s">
        <v>5267</v>
      </c>
      <c r="P743" s="9" t="s">
        <v>5266</v>
      </c>
      <c r="Q743" s="58">
        <v>40000</v>
      </c>
      <c r="R743" s="9">
        <v>1</v>
      </c>
      <c r="S743" s="9">
        <v>8</v>
      </c>
      <c r="T743" s="9" t="s">
        <v>5268</v>
      </c>
      <c r="U743" s="9" t="s">
        <v>5269</v>
      </c>
      <c r="V743" s="9">
        <v>1</v>
      </c>
      <c r="W743" s="9"/>
      <c r="X743" s="9"/>
      <c r="Y743" s="9"/>
      <c r="Z743" s="9"/>
    </row>
    <row r="744" spans="1:26" ht="15.75" hidden="1" customHeight="1">
      <c r="A744" s="9" t="s">
        <v>2215</v>
      </c>
      <c r="B744" s="9" t="s">
        <v>5270</v>
      </c>
      <c r="C744" s="9" t="s">
        <v>2217</v>
      </c>
      <c r="D744" s="9" t="s">
        <v>368</v>
      </c>
      <c r="E744" s="9"/>
      <c r="F744" s="9"/>
      <c r="G744" s="58">
        <v>320000</v>
      </c>
      <c r="H744" s="85">
        <v>1.5E-3</v>
      </c>
      <c r="I744" s="9" t="s">
        <v>5266</v>
      </c>
      <c r="J744" s="9"/>
      <c r="K744" s="9"/>
      <c r="L744" s="9"/>
      <c r="M744" s="9"/>
      <c r="N744" s="9" t="s">
        <v>5266</v>
      </c>
      <c r="O744" s="9" t="s">
        <v>3081</v>
      </c>
      <c r="P744" s="9" t="s">
        <v>5266</v>
      </c>
      <c r="Q744" s="58">
        <v>40000</v>
      </c>
      <c r="R744" s="9">
        <v>1</v>
      </c>
      <c r="S744" s="9">
        <v>8</v>
      </c>
      <c r="T744" s="9" t="s">
        <v>5266</v>
      </c>
      <c r="U744" s="9" t="s">
        <v>5271</v>
      </c>
      <c r="V744" s="9">
        <v>1</v>
      </c>
      <c r="W744" s="9"/>
      <c r="X744" s="9"/>
      <c r="Y744" s="9"/>
      <c r="Z744" s="9"/>
    </row>
    <row r="745" spans="1:26" ht="15.75" hidden="1" customHeight="1">
      <c r="A745" s="9" t="s">
        <v>2218</v>
      </c>
      <c r="B745" s="9" t="s">
        <v>5272</v>
      </c>
      <c r="C745" s="9" t="s">
        <v>2220</v>
      </c>
      <c r="D745" s="9" t="s">
        <v>368</v>
      </c>
      <c r="E745" s="9"/>
      <c r="F745" s="9"/>
      <c r="G745" s="58">
        <v>320000</v>
      </c>
      <c r="H745" s="85">
        <v>1.5E-3</v>
      </c>
      <c r="I745" s="9" t="s">
        <v>5266</v>
      </c>
      <c r="J745" s="9"/>
      <c r="K745" s="9"/>
      <c r="L745" s="9"/>
      <c r="M745" s="9"/>
      <c r="N745" s="9" t="s">
        <v>5266</v>
      </c>
      <c r="O745" s="9" t="s">
        <v>3081</v>
      </c>
      <c r="P745" s="9" t="s">
        <v>5266</v>
      </c>
      <c r="Q745" s="58">
        <v>40000</v>
      </c>
      <c r="R745" s="9">
        <v>1</v>
      </c>
      <c r="S745" s="9">
        <v>8</v>
      </c>
      <c r="T745" s="9" t="s">
        <v>5266</v>
      </c>
      <c r="U745" s="9" t="s">
        <v>5273</v>
      </c>
      <c r="V745" s="9">
        <v>1</v>
      </c>
      <c r="W745" s="9"/>
      <c r="X745" s="9"/>
      <c r="Y745" s="9"/>
      <c r="Z745" s="9"/>
    </row>
    <row r="746" spans="1:26" ht="15.75" hidden="1" customHeight="1">
      <c r="A746" s="9" t="s">
        <v>2221</v>
      </c>
      <c r="B746" s="9" t="s">
        <v>5274</v>
      </c>
      <c r="C746" s="9" t="s">
        <v>2223</v>
      </c>
      <c r="D746" s="9" t="s">
        <v>368</v>
      </c>
      <c r="E746" s="9"/>
      <c r="F746" s="9"/>
      <c r="G746" s="58">
        <v>320000</v>
      </c>
      <c r="H746" s="85">
        <v>1.5E-3</v>
      </c>
      <c r="I746" s="9" t="s">
        <v>5266</v>
      </c>
      <c r="J746" s="9"/>
      <c r="K746" s="9"/>
      <c r="L746" s="9"/>
      <c r="M746" s="9"/>
      <c r="N746" s="9" t="s">
        <v>5266</v>
      </c>
      <c r="O746" s="9" t="s">
        <v>3081</v>
      </c>
      <c r="P746" s="9" t="s">
        <v>5266</v>
      </c>
      <c r="Q746" s="58">
        <v>40000</v>
      </c>
      <c r="R746" s="9">
        <v>1</v>
      </c>
      <c r="S746" s="9">
        <v>8</v>
      </c>
      <c r="T746" s="9" t="s">
        <v>5266</v>
      </c>
      <c r="U746" s="9" t="s">
        <v>5275</v>
      </c>
      <c r="V746" s="9">
        <v>1</v>
      </c>
      <c r="W746" s="9"/>
      <c r="X746" s="9"/>
      <c r="Y746" s="9"/>
      <c r="Z746" s="9"/>
    </row>
    <row r="747" spans="1:26" ht="15.75" hidden="1" customHeight="1">
      <c r="A747" s="9" t="s">
        <v>1915</v>
      </c>
      <c r="B747" s="9" t="s">
        <v>5276</v>
      </c>
      <c r="C747" s="9" t="s">
        <v>939</v>
      </c>
      <c r="D747" s="9" t="s">
        <v>368</v>
      </c>
      <c r="E747" s="9"/>
      <c r="F747" s="9"/>
      <c r="G747" s="58">
        <v>320000</v>
      </c>
      <c r="H747" s="85">
        <v>1.5E-3</v>
      </c>
      <c r="I747" s="9"/>
      <c r="J747" s="9"/>
      <c r="K747" s="9"/>
      <c r="L747" s="9"/>
      <c r="M747" s="9"/>
      <c r="N747" s="9" t="s">
        <v>5277</v>
      </c>
      <c r="O747" s="9" t="s">
        <v>3051</v>
      </c>
      <c r="P747" s="9" t="s">
        <v>5277</v>
      </c>
      <c r="Q747" s="58">
        <v>40000</v>
      </c>
      <c r="R747" s="9">
        <v>1</v>
      </c>
      <c r="S747" s="9">
        <v>8</v>
      </c>
      <c r="T747" s="9" t="s">
        <v>5277</v>
      </c>
      <c r="U747" s="9" t="s">
        <v>5278</v>
      </c>
      <c r="V747" s="9">
        <v>1</v>
      </c>
      <c r="W747" s="9"/>
      <c r="X747" s="9"/>
      <c r="Y747" s="9"/>
      <c r="Z747" s="9"/>
    </row>
    <row r="748" spans="1:26" ht="15.75" hidden="1" customHeight="1">
      <c r="A748" s="9" t="s">
        <v>5279</v>
      </c>
      <c r="B748" s="9" t="s">
        <v>5280</v>
      </c>
      <c r="C748" s="9" t="s">
        <v>5281</v>
      </c>
      <c r="D748" s="9" t="s">
        <v>368</v>
      </c>
      <c r="E748" s="9" t="s">
        <v>3067</v>
      </c>
      <c r="F748" s="58" t="s">
        <v>3057</v>
      </c>
      <c r="G748" s="58">
        <v>7000</v>
      </c>
      <c r="H748" s="85">
        <v>0.24</v>
      </c>
      <c r="I748" s="9">
        <v>10.5</v>
      </c>
      <c r="J748" s="9"/>
      <c r="K748" s="9"/>
      <c r="L748" s="9"/>
      <c r="M748" s="9"/>
      <c r="N748" s="9" t="s">
        <v>3130</v>
      </c>
      <c r="O748" s="9" t="s">
        <v>4098</v>
      </c>
      <c r="P748" s="9" t="s">
        <v>5282</v>
      </c>
      <c r="Q748" s="58" t="s">
        <v>3167</v>
      </c>
      <c r="R748" s="58">
        <v>4</v>
      </c>
      <c r="S748" s="58">
        <v>7</v>
      </c>
      <c r="T748" s="9" t="s">
        <v>5283</v>
      </c>
      <c r="U748" s="9" t="s">
        <v>5284</v>
      </c>
      <c r="V748" s="58">
        <v>4</v>
      </c>
      <c r="W748" s="9"/>
      <c r="X748" s="9"/>
      <c r="Y748" s="9"/>
      <c r="Z748" s="9"/>
    </row>
    <row r="749" spans="1:26" ht="15.75" hidden="1" customHeight="1">
      <c r="A749" s="9" t="s">
        <v>2283</v>
      </c>
      <c r="B749" s="9" t="s">
        <v>5285</v>
      </c>
      <c r="C749" s="9" t="s">
        <v>2285</v>
      </c>
      <c r="D749" s="9" t="s">
        <v>439</v>
      </c>
      <c r="E749" s="9"/>
      <c r="F749" s="9"/>
      <c r="G749" s="58">
        <v>12800</v>
      </c>
      <c r="H749" s="85">
        <v>3.7499999999999999E-2</v>
      </c>
      <c r="I749" s="9">
        <v>28.8</v>
      </c>
      <c r="J749" s="9"/>
      <c r="K749" s="9"/>
      <c r="L749" s="9"/>
      <c r="M749" s="9"/>
      <c r="N749" s="9" t="s">
        <v>3130</v>
      </c>
      <c r="O749" s="9" t="s">
        <v>4098</v>
      </c>
      <c r="P749" s="9" t="s">
        <v>3650</v>
      </c>
      <c r="Q749" s="58" t="s">
        <v>3545</v>
      </c>
      <c r="R749" s="58">
        <v>1</v>
      </c>
      <c r="S749" s="58">
        <v>8</v>
      </c>
      <c r="T749" s="9" t="s">
        <v>5286</v>
      </c>
      <c r="U749" s="9" t="s">
        <v>5287</v>
      </c>
      <c r="V749" s="58">
        <v>1</v>
      </c>
      <c r="W749" s="9"/>
      <c r="X749" s="9"/>
      <c r="Y749" s="9"/>
      <c r="Z749" s="9"/>
    </row>
    <row r="750" spans="1:26" ht="15.75" hidden="1" customHeight="1">
      <c r="A750" s="9" t="s">
        <v>2283</v>
      </c>
      <c r="B750" s="9" t="s">
        <v>5285</v>
      </c>
      <c r="C750" s="9" t="s">
        <v>2285</v>
      </c>
      <c r="D750" s="9" t="s">
        <v>368</v>
      </c>
      <c r="E750" s="9" t="s">
        <v>3067</v>
      </c>
      <c r="F750" s="58" t="s">
        <v>3057</v>
      </c>
      <c r="G750" s="58">
        <v>5950</v>
      </c>
      <c r="H750" s="85">
        <v>0.21176470588235199</v>
      </c>
      <c r="I750" s="9">
        <v>28.8</v>
      </c>
      <c r="J750" s="9"/>
      <c r="K750" s="9"/>
      <c r="L750" s="9"/>
      <c r="M750" s="9"/>
      <c r="N750" s="9" t="s">
        <v>3130</v>
      </c>
      <c r="O750" s="9" t="s">
        <v>4098</v>
      </c>
      <c r="P750" s="9" t="s">
        <v>5288</v>
      </c>
      <c r="Q750" s="58" t="s">
        <v>3132</v>
      </c>
      <c r="R750" s="58">
        <v>3</v>
      </c>
      <c r="S750" s="58">
        <v>7</v>
      </c>
      <c r="T750" s="9" t="s">
        <v>5286</v>
      </c>
      <c r="U750" s="9" t="s">
        <v>5289</v>
      </c>
      <c r="V750" s="58">
        <v>3</v>
      </c>
      <c r="W750" s="9"/>
      <c r="X750" s="9"/>
      <c r="Y750" s="9"/>
      <c r="Z750" s="9"/>
    </row>
    <row r="751" spans="1:26" ht="15.75" hidden="1" customHeight="1">
      <c r="A751" s="9" t="s">
        <v>2312</v>
      </c>
      <c r="B751" s="9" t="s">
        <v>5290</v>
      </c>
      <c r="C751" s="9" t="s">
        <v>2314</v>
      </c>
      <c r="D751" s="9" t="s">
        <v>439</v>
      </c>
      <c r="E751" s="9"/>
      <c r="F751" s="9"/>
      <c r="G751" s="58">
        <v>9600</v>
      </c>
      <c r="H751" s="85">
        <v>0.05</v>
      </c>
      <c r="I751" s="9">
        <v>30.6</v>
      </c>
      <c r="J751" s="9"/>
      <c r="K751" s="9"/>
      <c r="L751" s="9"/>
      <c r="M751" s="9"/>
      <c r="N751" s="9" t="s">
        <v>3676</v>
      </c>
      <c r="O751" s="9" t="s">
        <v>3081</v>
      </c>
      <c r="P751" s="9" t="s">
        <v>3111</v>
      </c>
      <c r="Q751" s="58" t="s">
        <v>3074</v>
      </c>
      <c r="R751" s="58">
        <v>1</v>
      </c>
      <c r="S751" s="58">
        <v>8</v>
      </c>
      <c r="T751" s="9" t="s">
        <v>3065</v>
      </c>
      <c r="U751" s="9" t="s">
        <v>5291</v>
      </c>
      <c r="V751" s="58">
        <v>1</v>
      </c>
      <c r="W751" s="9"/>
      <c r="X751" s="9"/>
      <c r="Y751" s="9"/>
      <c r="Z751" s="9"/>
    </row>
    <row r="752" spans="1:26" ht="15.75" hidden="1" customHeight="1">
      <c r="A752" s="9" t="s">
        <v>2312</v>
      </c>
      <c r="B752" s="9" t="s">
        <v>5290</v>
      </c>
      <c r="C752" s="9" t="s">
        <v>2314</v>
      </c>
      <c r="D752" s="9" t="s">
        <v>368</v>
      </c>
      <c r="E752" s="9" t="s">
        <v>3402</v>
      </c>
      <c r="F752" s="58" t="s">
        <v>3057</v>
      </c>
      <c r="G752" s="58">
        <v>8400</v>
      </c>
      <c r="H752" s="85">
        <v>0.2</v>
      </c>
      <c r="I752" s="9">
        <v>30.6</v>
      </c>
      <c r="J752" s="9"/>
      <c r="K752" s="9"/>
      <c r="L752" s="9"/>
      <c r="M752" s="9"/>
      <c r="N752" s="9" t="s">
        <v>3676</v>
      </c>
      <c r="O752" s="9" t="s">
        <v>3081</v>
      </c>
      <c r="P752" s="9" t="s">
        <v>5292</v>
      </c>
      <c r="Q752" s="58" t="s">
        <v>3074</v>
      </c>
      <c r="R752" s="58">
        <v>4</v>
      </c>
      <c r="S752" s="58">
        <v>7</v>
      </c>
      <c r="T752" s="9" t="s">
        <v>3065</v>
      </c>
      <c r="U752" s="9" t="s">
        <v>5293</v>
      </c>
      <c r="V752" s="58">
        <v>4</v>
      </c>
      <c r="W752" s="9"/>
      <c r="X752" s="9"/>
      <c r="Y752" s="9"/>
      <c r="Z752" s="9"/>
    </row>
    <row r="753" spans="1:26" ht="15.75" hidden="1" customHeight="1">
      <c r="A753" s="9" t="s">
        <v>2332</v>
      </c>
      <c r="B753" s="9" t="s">
        <v>5294</v>
      </c>
      <c r="C753" s="9" t="s">
        <v>2333</v>
      </c>
      <c r="D753" s="9" t="s">
        <v>439</v>
      </c>
      <c r="E753" s="9"/>
      <c r="F753" s="9"/>
      <c r="G753" s="58">
        <v>12000</v>
      </c>
      <c r="H753" s="85">
        <v>0.04</v>
      </c>
      <c r="I753" s="9">
        <v>50</v>
      </c>
      <c r="J753" s="9"/>
      <c r="K753" s="9"/>
      <c r="L753" s="9"/>
      <c r="M753" s="9"/>
      <c r="N753" s="9" t="s">
        <v>4173</v>
      </c>
      <c r="O753" s="9" t="s">
        <v>3051</v>
      </c>
      <c r="P753" s="9" t="s">
        <v>3148</v>
      </c>
      <c r="Q753" s="58" t="s">
        <v>3143</v>
      </c>
      <c r="R753" s="58">
        <v>1</v>
      </c>
      <c r="S753" s="58">
        <v>8</v>
      </c>
      <c r="T753" s="9" t="s">
        <v>5295</v>
      </c>
      <c r="U753" s="9" t="s">
        <v>5296</v>
      </c>
      <c r="V753" s="58">
        <v>1</v>
      </c>
      <c r="W753" s="9"/>
      <c r="X753" s="9"/>
      <c r="Y753" s="9"/>
      <c r="Z753" s="9"/>
    </row>
    <row r="754" spans="1:26" ht="15.75" hidden="1" customHeight="1">
      <c r="A754" s="9" t="s">
        <v>2332</v>
      </c>
      <c r="B754" s="9" t="s">
        <v>5294</v>
      </c>
      <c r="C754" s="9" t="s">
        <v>2333</v>
      </c>
      <c r="D754" s="9" t="s">
        <v>368</v>
      </c>
      <c r="E754" s="9" t="s">
        <v>3920</v>
      </c>
      <c r="F754" s="58" t="s">
        <v>3057</v>
      </c>
      <c r="G754" s="58">
        <v>7000</v>
      </c>
      <c r="H754" s="85">
        <v>0.24</v>
      </c>
      <c r="I754" s="9">
        <v>50</v>
      </c>
      <c r="J754" s="9"/>
      <c r="K754" s="9"/>
      <c r="L754" s="9"/>
      <c r="M754" s="9"/>
      <c r="N754" s="9" t="s">
        <v>4173</v>
      </c>
      <c r="O754" s="9" t="s">
        <v>3051</v>
      </c>
      <c r="P754" s="9" t="s">
        <v>5297</v>
      </c>
      <c r="Q754" s="58" t="s">
        <v>3167</v>
      </c>
      <c r="R754" s="58">
        <v>4</v>
      </c>
      <c r="S754" s="58">
        <v>7</v>
      </c>
      <c r="T754" s="9" t="s">
        <v>5295</v>
      </c>
      <c r="U754" s="9" t="s">
        <v>5298</v>
      </c>
      <c r="V754" s="58">
        <v>4</v>
      </c>
      <c r="W754" s="9"/>
      <c r="X754" s="9"/>
      <c r="Y754" s="9"/>
      <c r="Z754" s="9"/>
    </row>
    <row r="755" spans="1:26" ht="15.75" hidden="1" customHeight="1">
      <c r="A755" s="9" t="s">
        <v>2328</v>
      </c>
      <c r="B755" s="9" t="s">
        <v>5299</v>
      </c>
      <c r="C755" s="9" t="s">
        <v>2330</v>
      </c>
      <c r="D755" s="9" t="s">
        <v>439</v>
      </c>
      <c r="E755" s="9"/>
      <c r="F755" s="9"/>
      <c r="G755" s="58">
        <v>11200</v>
      </c>
      <c r="H755" s="85">
        <v>4.2857142857142802E-2</v>
      </c>
      <c r="I755" s="9">
        <v>100</v>
      </c>
      <c r="J755" s="9"/>
      <c r="K755" s="9"/>
      <c r="L755" s="9"/>
      <c r="M755" s="9"/>
      <c r="N755" s="9" t="s">
        <v>4173</v>
      </c>
      <c r="O755" s="9" t="s">
        <v>3051</v>
      </c>
      <c r="P755" s="9" t="s">
        <v>3293</v>
      </c>
      <c r="Q755" s="58" t="s">
        <v>3294</v>
      </c>
      <c r="R755" s="58">
        <v>1</v>
      </c>
      <c r="S755" s="58">
        <v>8</v>
      </c>
      <c r="T755" s="9" t="s">
        <v>5295</v>
      </c>
      <c r="U755" s="9" t="s">
        <v>5300</v>
      </c>
      <c r="V755" s="58">
        <v>1</v>
      </c>
      <c r="W755" s="9"/>
      <c r="X755" s="9"/>
      <c r="Y755" s="9"/>
      <c r="Z755" s="9"/>
    </row>
    <row r="756" spans="1:26" ht="15.75" hidden="1" customHeight="1">
      <c r="A756" s="9" t="s">
        <v>2328</v>
      </c>
      <c r="B756" s="9" t="s">
        <v>5299</v>
      </c>
      <c r="C756" s="9" t="s">
        <v>2330</v>
      </c>
      <c r="D756" s="9" t="s">
        <v>368</v>
      </c>
      <c r="E756" s="9" t="s">
        <v>3920</v>
      </c>
      <c r="F756" s="58" t="s">
        <v>3057</v>
      </c>
      <c r="G756" s="58">
        <v>5950</v>
      </c>
      <c r="H756" s="85">
        <v>0.28235294117646997</v>
      </c>
      <c r="I756" s="9">
        <v>100</v>
      </c>
      <c r="J756" s="9"/>
      <c r="K756" s="9"/>
      <c r="L756" s="9"/>
      <c r="M756" s="9"/>
      <c r="N756" s="9" t="s">
        <v>4173</v>
      </c>
      <c r="O756" s="9" t="s">
        <v>3051</v>
      </c>
      <c r="P756" s="9" t="s">
        <v>5301</v>
      </c>
      <c r="Q756" s="58" t="s">
        <v>3132</v>
      </c>
      <c r="R756" s="58">
        <v>4</v>
      </c>
      <c r="S756" s="58">
        <v>7</v>
      </c>
      <c r="T756" s="9" t="s">
        <v>5295</v>
      </c>
      <c r="U756" s="9" t="s">
        <v>5302</v>
      </c>
      <c r="V756" s="58">
        <v>4</v>
      </c>
      <c r="W756" s="9"/>
      <c r="X756" s="9"/>
      <c r="Y756" s="9"/>
      <c r="Z756" s="9"/>
    </row>
    <row r="757" spans="1:26" ht="15.75" hidden="1" customHeight="1">
      <c r="A757" s="9" t="s">
        <v>2337</v>
      </c>
      <c r="B757" s="9" t="s">
        <v>5303</v>
      </c>
      <c r="C757" s="9" t="s">
        <v>2338</v>
      </c>
      <c r="D757" s="9" t="s">
        <v>439</v>
      </c>
      <c r="E757" s="9"/>
      <c r="F757" s="9"/>
      <c r="G757" s="58">
        <v>9600</v>
      </c>
      <c r="H757" s="85">
        <v>0.05</v>
      </c>
      <c r="I757" s="9">
        <v>15.6</v>
      </c>
      <c r="J757" s="9"/>
      <c r="K757" s="9"/>
      <c r="L757" s="9"/>
      <c r="M757" s="9"/>
      <c r="N757" s="9" t="s">
        <v>5304</v>
      </c>
      <c r="O757" s="9" t="s">
        <v>3051</v>
      </c>
      <c r="P757" s="9" t="s">
        <v>3073</v>
      </c>
      <c r="Q757" s="58" t="s">
        <v>3074</v>
      </c>
      <c r="R757" s="58">
        <v>1</v>
      </c>
      <c r="S757" s="58">
        <v>8</v>
      </c>
      <c r="T757" s="9" t="s">
        <v>5305</v>
      </c>
      <c r="U757" s="9" t="s">
        <v>5306</v>
      </c>
      <c r="V757" s="58">
        <v>1</v>
      </c>
      <c r="W757" s="9"/>
      <c r="X757" s="9"/>
      <c r="Y757" s="9"/>
      <c r="Z757" s="9"/>
    </row>
    <row r="758" spans="1:26" ht="15.75" hidden="1" customHeight="1">
      <c r="A758" s="9" t="s">
        <v>2337</v>
      </c>
      <c r="B758" s="9" t="s">
        <v>5303</v>
      </c>
      <c r="C758" s="9" t="s">
        <v>2338</v>
      </c>
      <c r="D758" s="9" t="s">
        <v>368</v>
      </c>
      <c r="E758" s="9" t="s">
        <v>4169</v>
      </c>
      <c r="F758" s="58" t="s">
        <v>3057</v>
      </c>
      <c r="G758" s="58">
        <v>9800</v>
      </c>
      <c r="H758" s="85">
        <v>0.128571428571428</v>
      </c>
      <c r="I758" s="9">
        <v>15.6</v>
      </c>
      <c r="J758" s="9"/>
      <c r="K758" s="9"/>
      <c r="L758" s="9"/>
      <c r="M758" s="9"/>
      <c r="N758" s="9" t="s">
        <v>5304</v>
      </c>
      <c r="O758" s="9" t="s">
        <v>3051</v>
      </c>
      <c r="P758" s="9" t="s">
        <v>5307</v>
      </c>
      <c r="Q758" s="58" t="s">
        <v>3294</v>
      </c>
      <c r="R758" s="58">
        <v>3</v>
      </c>
      <c r="S758" s="58">
        <v>7</v>
      </c>
      <c r="T758" s="9" t="s">
        <v>5305</v>
      </c>
      <c r="U758" s="9" t="s">
        <v>5308</v>
      </c>
      <c r="V758" s="58">
        <v>3</v>
      </c>
      <c r="W758" s="9"/>
      <c r="X758" s="9"/>
      <c r="Y758" s="9"/>
      <c r="Z758" s="9"/>
    </row>
    <row r="759" spans="1:26" ht="15.75" hidden="1" customHeight="1">
      <c r="A759" s="9" t="s">
        <v>2334</v>
      </c>
      <c r="B759" s="9" t="s">
        <v>5309</v>
      </c>
      <c r="C759" s="9" t="s">
        <v>2336</v>
      </c>
      <c r="D759" s="9" t="s">
        <v>439</v>
      </c>
      <c r="E759" s="9"/>
      <c r="F759" s="9"/>
      <c r="G759" s="58">
        <v>12000</v>
      </c>
      <c r="H759" s="85">
        <v>0.04</v>
      </c>
      <c r="I759" s="9">
        <v>31.2</v>
      </c>
      <c r="J759" s="9"/>
      <c r="K759" s="9"/>
      <c r="L759" s="9"/>
      <c r="M759" s="9"/>
      <c r="N759" s="9" t="s">
        <v>5310</v>
      </c>
      <c r="O759" s="9" t="s">
        <v>3051</v>
      </c>
      <c r="P759" s="9" t="s">
        <v>3148</v>
      </c>
      <c r="Q759" s="58" t="s">
        <v>3143</v>
      </c>
      <c r="R759" s="58">
        <v>1</v>
      </c>
      <c r="S759" s="58">
        <v>8</v>
      </c>
      <c r="T759" s="9" t="s">
        <v>5311</v>
      </c>
      <c r="U759" s="9" t="s">
        <v>5312</v>
      </c>
      <c r="V759" s="58">
        <v>1</v>
      </c>
      <c r="W759" s="9"/>
      <c r="X759" s="9"/>
      <c r="Y759" s="9"/>
      <c r="Z759" s="9"/>
    </row>
    <row r="760" spans="1:26" ht="15.75" hidden="1" customHeight="1">
      <c r="A760" s="9" t="s">
        <v>2334</v>
      </c>
      <c r="B760" s="9" t="s">
        <v>5309</v>
      </c>
      <c r="C760" s="9" t="s">
        <v>2336</v>
      </c>
      <c r="D760" s="9" t="s">
        <v>368</v>
      </c>
      <c r="E760" s="9" t="s">
        <v>3920</v>
      </c>
      <c r="F760" s="58" t="s">
        <v>3057</v>
      </c>
      <c r="G760" s="58">
        <v>9100</v>
      </c>
      <c r="H760" s="85">
        <v>0.138461538461538</v>
      </c>
      <c r="I760" s="9">
        <v>31.2</v>
      </c>
      <c r="J760" s="9"/>
      <c r="K760" s="9"/>
      <c r="L760" s="9"/>
      <c r="M760" s="9"/>
      <c r="N760" s="9" t="s">
        <v>5310</v>
      </c>
      <c r="O760" s="9" t="s">
        <v>3051</v>
      </c>
      <c r="P760" s="9" t="s">
        <v>5313</v>
      </c>
      <c r="Q760" s="58" t="s">
        <v>3064</v>
      </c>
      <c r="R760" s="58">
        <v>3</v>
      </c>
      <c r="S760" s="58">
        <v>7</v>
      </c>
      <c r="T760" s="9" t="s">
        <v>5311</v>
      </c>
      <c r="U760" s="9" t="s">
        <v>5314</v>
      </c>
      <c r="V760" s="58">
        <v>3</v>
      </c>
      <c r="W760" s="9"/>
      <c r="X760" s="9"/>
      <c r="Y760" s="9"/>
      <c r="Z760" s="9"/>
    </row>
    <row r="761" spans="1:26" ht="15.75" hidden="1" customHeight="1">
      <c r="A761" s="9" t="s">
        <v>2345</v>
      </c>
      <c r="B761" s="9" t="s">
        <v>5315</v>
      </c>
      <c r="C761" s="9" t="s">
        <v>2346</v>
      </c>
      <c r="D761" s="9" t="s">
        <v>439</v>
      </c>
      <c r="E761" s="9"/>
      <c r="F761" s="9"/>
      <c r="G761" s="58">
        <v>11200</v>
      </c>
      <c r="H761" s="85">
        <v>4.2857142857142802E-2</v>
      </c>
      <c r="I761" s="9">
        <v>30.3</v>
      </c>
      <c r="J761" s="9"/>
      <c r="K761" s="9"/>
      <c r="L761" s="9"/>
      <c r="M761" s="9"/>
      <c r="N761" s="9" t="s">
        <v>5316</v>
      </c>
      <c r="O761" s="9" t="s">
        <v>4611</v>
      </c>
      <c r="P761" s="9" t="s">
        <v>3293</v>
      </c>
      <c r="Q761" s="58" t="s">
        <v>3294</v>
      </c>
      <c r="R761" s="58">
        <v>1</v>
      </c>
      <c r="S761" s="58">
        <v>8</v>
      </c>
      <c r="T761" s="9" t="s">
        <v>5295</v>
      </c>
      <c r="U761" s="9" t="s">
        <v>5317</v>
      </c>
      <c r="V761" s="58">
        <v>1</v>
      </c>
      <c r="W761" s="9"/>
      <c r="X761" s="9"/>
      <c r="Y761" s="9"/>
      <c r="Z761" s="9"/>
    </row>
    <row r="762" spans="1:26" ht="15.75" hidden="1" customHeight="1">
      <c r="A762" s="9" t="s">
        <v>2345</v>
      </c>
      <c r="B762" s="9" t="s">
        <v>5315</v>
      </c>
      <c r="C762" s="9" t="s">
        <v>2346</v>
      </c>
      <c r="D762" s="9" t="s">
        <v>368</v>
      </c>
      <c r="E762" s="9" t="s">
        <v>4902</v>
      </c>
      <c r="F762" s="58" t="s">
        <v>3087</v>
      </c>
      <c r="G762" s="58">
        <v>6300</v>
      </c>
      <c r="H762" s="85">
        <v>0.266666666666666</v>
      </c>
      <c r="I762" s="9">
        <v>30.3</v>
      </c>
      <c r="J762" s="9"/>
      <c r="K762" s="9"/>
      <c r="L762" s="9"/>
      <c r="M762" s="9"/>
      <c r="N762" s="9" t="s">
        <v>5316</v>
      </c>
      <c r="O762" s="9" t="s">
        <v>4611</v>
      </c>
      <c r="P762" s="9" t="s">
        <v>5318</v>
      </c>
      <c r="Q762" s="58" t="s">
        <v>3069</v>
      </c>
      <c r="R762" s="58">
        <v>4</v>
      </c>
      <c r="S762" s="58">
        <v>7</v>
      </c>
      <c r="T762" s="9" t="s">
        <v>5295</v>
      </c>
      <c r="U762" s="9" t="s">
        <v>5319</v>
      </c>
      <c r="V762" s="58">
        <v>4</v>
      </c>
      <c r="W762" s="9"/>
      <c r="X762" s="9"/>
      <c r="Y762" s="9"/>
      <c r="Z762" s="9"/>
    </row>
    <row r="763" spans="1:26" ht="15.75" hidden="1" customHeight="1">
      <c r="A763" s="9" t="s">
        <v>2339</v>
      </c>
      <c r="B763" s="9" t="s">
        <v>5320</v>
      </c>
      <c r="C763" s="9" t="s">
        <v>2341</v>
      </c>
      <c r="D763" s="9" t="s">
        <v>439</v>
      </c>
      <c r="E763" s="9"/>
      <c r="F763" s="9"/>
      <c r="G763" s="58">
        <v>9600</v>
      </c>
      <c r="H763" s="85">
        <v>0.05</v>
      </c>
      <c r="I763" s="9">
        <v>50.5</v>
      </c>
      <c r="J763" s="9"/>
      <c r="K763" s="9"/>
      <c r="L763" s="9"/>
      <c r="M763" s="9"/>
      <c r="N763" s="9" t="s">
        <v>5321</v>
      </c>
      <c r="O763" s="9" t="s">
        <v>4611</v>
      </c>
      <c r="P763" s="9" t="s">
        <v>3073</v>
      </c>
      <c r="Q763" s="58" t="s">
        <v>3074</v>
      </c>
      <c r="R763" s="58">
        <v>1</v>
      </c>
      <c r="S763" s="58">
        <v>8</v>
      </c>
      <c r="T763" s="9" t="s">
        <v>5295</v>
      </c>
      <c r="U763" s="9" t="s">
        <v>5322</v>
      </c>
      <c r="V763" s="58">
        <v>1</v>
      </c>
      <c r="W763" s="9"/>
      <c r="X763" s="9"/>
      <c r="Y763" s="9"/>
      <c r="Z763" s="9"/>
    </row>
    <row r="764" spans="1:26" ht="15.75" hidden="1" customHeight="1">
      <c r="A764" s="9" t="s">
        <v>2339</v>
      </c>
      <c r="B764" s="9" t="s">
        <v>5320</v>
      </c>
      <c r="C764" s="9" t="s">
        <v>2341</v>
      </c>
      <c r="D764" s="9" t="s">
        <v>368</v>
      </c>
      <c r="E764" s="9" t="s">
        <v>4902</v>
      </c>
      <c r="F764" s="58" t="s">
        <v>3087</v>
      </c>
      <c r="G764" s="58">
        <v>5600</v>
      </c>
      <c r="H764" s="85">
        <v>0.3</v>
      </c>
      <c r="I764" s="9">
        <v>50.5</v>
      </c>
      <c r="J764" s="9"/>
      <c r="K764" s="9"/>
      <c r="L764" s="9"/>
      <c r="M764" s="9"/>
      <c r="N764" s="9" t="s">
        <v>5321</v>
      </c>
      <c r="O764" s="9" t="s">
        <v>4611</v>
      </c>
      <c r="P764" s="9" t="s">
        <v>5323</v>
      </c>
      <c r="Q764" s="58" t="s">
        <v>3185</v>
      </c>
      <c r="R764" s="58">
        <v>4</v>
      </c>
      <c r="S764" s="58">
        <v>7</v>
      </c>
      <c r="T764" s="9" t="s">
        <v>5295</v>
      </c>
      <c r="U764" s="9" t="s">
        <v>5324</v>
      </c>
      <c r="V764" s="58">
        <v>4</v>
      </c>
      <c r="W764" s="9"/>
      <c r="X764" s="9"/>
      <c r="Y764" s="9"/>
      <c r="Z764" s="9"/>
    </row>
    <row r="765" spans="1:26" ht="15.75" hidden="1" customHeight="1">
      <c r="A765" s="9" t="s">
        <v>2353</v>
      </c>
      <c r="B765" s="9" t="s">
        <v>5325</v>
      </c>
      <c r="C765" s="9" t="s">
        <v>2354</v>
      </c>
      <c r="D765" s="9" t="s">
        <v>439</v>
      </c>
      <c r="E765" s="9"/>
      <c r="F765" s="9"/>
      <c r="G765" s="58">
        <v>9600</v>
      </c>
      <c r="H765" s="85">
        <v>0.05</v>
      </c>
      <c r="I765" s="9">
        <v>29.7</v>
      </c>
      <c r="J765" s="9"/>
      <c r="K765" s="9"/>
      <c r="L765" s="9"/>
      <c r="M765" s="9"/>
      <c r="N765" s="9" t="s">
        <v>5326</v>
      </c>
      <c r="O765" s="9" t="s">
        <v>3081</v>
      </c>
      <c r="P765" s="9" t="s">
        <v>3073</v>
      </c>
      <c r="Q765" s="58" t="s">
        <v>3074</v>
      </c>
      <c r="R765" s="58">
        <v>1</v>
      </c>
      <c r="S765" s="58">
        <v>8</v>
      </c>
      <c r="T765" s="9" t="s">
        <v>5327</v>
      </c>
      <c r="U765" s="9" t="s">
        <v>5328</v>
      </c>
      <c r="V765" s="58">
        <v>1</v>
      </c>
      <c r="W765" s="9"/>
      <c r="X765" s="9"/>
      <c r="Y765" s="9"/>
      <c r="Z765" s="9"/>
    </row>
    <row r="766" spans="1:26" ht="15.75" hidden="1" customHeight="1">
      <c r="A766" s="9" t="s">
        <v>2353</v>
      </c>
      <c r="B766" s="9" t="s">
        <v>5325</v>
      </c>
      <c r="C766" s="9" t="s">
        <v>2354</v>
      </c>
      <c r="D766" s="9" t="s">
        <v>368</v>
      </c>
      <c r="E766" s="9" t="s">
        <v>4897</v>
      </c>
      <c r="F766" s="58" t="s">
        <v>3057</v>
      </c>
      <c r="G766" s="58">
        <v>5950</v>
      </c>
      <c r="H766" s="85">
        <v>0.21176470588235199</v>
      </c>
      <c r="I766" s="9">
        <v>29.7</v>
      </c>
      <c r="J766" s="9"/>
      <c r="K766" s="9"/>
      <c r="L766" s="9"/>
      <c r="M766" s="9"/>
      <c r="N766" s="9" t="s">
        <v>5326</v>
      </c>
      <c r="O766" s="9" t="s">
        <v>3081</v>
      </c>
      <c r="P766" s="9" t="s">
        <v>5329</v>
      </c>
      <c r="Q766" s="58" t="s">
        <v>3132</v>
      </c>
      <c r="R766" s="58">
        <v>3</v>
      </c>
      <c r="S766" s="58">
        <v>7</v>
      </c>
      <c r="T766" s="9" t="s">
        <v>5327</v>
      </c>
      <c r="U766" s="9" t="s">
        <v>5330</v>
      </c>
      <c r="V766" s="58">
        <v>3</v>
      </c>
      <c r="W766" s="9"/>
      <c r="X766" s="9"/>
      <c r="Y766" s="9"/>
      <c r="Z766" s="9"/>
    </row>
    <row r="767" spans="1:26" ht="15.75" hidden="1" customHeight="1">
      <c r="A767" s="9" t="s">
        <v>2347</v>
      </c>
      <c r="B767" s="9" t="s">
        <v>5331</v>
      </c>
      <c r="C767" s="9" t="s">
        <v>2349</v>
      </c>
      <c r="D767" s="9" t="s">
        <v>439</v>
      </c>
      <c r="E767" s="9"/>
      <c r="F767" s="9"/>
      <c r="G767" s="58">
        <v>13600</v>
      </c>
      <c r="H767" s="85">
        <v>3.5294117647058802E-2</v>
      </c>
      <c r="I767" s="9">
        <v>49.5</v>
      </c>
      <c r="J767" s="9"/>
      <c r="K767" s="9"/>
      <c r="L767" s="9"/>
      <c r="M767" s="9"/>
      <c r="N767" s="9" t="s">
        <v>5326</v>
      </c>
      <c r="O767" s="9" t="s">
        <v>3081</v>
      </c>
      <c r="P767" s="9" t="s">
        <v>3052</v>
      </c>
      <c r="Q767" s="58" t="s">
        <v>3053</v>
      </c>
      <c r="R767" s="58">
        <v>1</v>
      </c>
      <c r="S767" s="58">
        <v>8</v>
      </c>
      <c r="T767" s="9" t="s">
        <v>5327</v>
      </c>
      <c r="U767" s="9" t="s">
        <v>5332</v>
      </c>
      <c r="V767" s="58">
        <v>1</v>
      </c>
      <c r="W767" s="9"/>
      <c r="X767" s="9"/>
      <c r="Y767" s="9"/>
      <c r="Z767" s="9"/>
    </row>
    <row r="768" spans="1:26" ht="15.75" hidden="1" customHeight="1">
      <c r="A768" s="9" t="s">
        <v>2347</v>
      </c>
      <c r="B768" s="9" t="s">
        <v>5331</v>
      </c>
      <c r="C768" s="9" t="s">
        <v>2349</v>
      </c>
      <c r="D768" s="9" t="s">
        <v>368</v>
      </c>
      <c r="E768" s="9" t="s">
        <v>4897</v>
      </c>
      <c r="F768" s="58" t="s">
        <v>3057</v>
      </c>
      <c r="G768" s="58">
        <v>5600</v>
      </c>
      <c r="H768" s="85">
        <v>0.3</v>
      </c>
      <c r="I768" s="9">
        <v>49.5</v>
      </c>
      <c r="J768" s="9"/>
      <c r="K768" s="9"/>
      <c r="L768" s="9"/>
      <c r="M768" s="9"/>
      <c r="N768" s="9" t="s">
        <v>5326</v>
      </c>
      <c r="O768" s="9" t="s">
        <v>3081</v>
      </c>
      <c r="P768" s="9" t="s">
        <v>5333</v>
      </c>
      <c r="Q768" s="58" t="s">
        <v>3185</v>
      </c>
      <c r="R768" s="58">
        <v>4</v>
      </c>
      <c r="S768" s="58">
        <v>7</v>
      </c>
      <c r="T768" s="9" t="s">
        <v>5327</v>
      </c>
      <c r="U768" s="9" t="s">
        <v>5334</v>
      </c>
      <c r="V768" s="58">
        <v>4</v>
      </c>
      <c r="W768" s="9"/>
      <c r="X768" s="9"/>
      <c r="Y768" s="9"/>
      <c r="Z768" s="9"/>
    </row>
    <row r="769" spans="1:26" ht="15.75" hidden="1" customHeight="1">
      <c r="A769" s="9" t="s">
        <v>2356</v>
      </c>
      <c r="B769" s="9" t="s">
        <v>5335</v>
      </c>
      <c r="C769" s="9" t="s">
        <v>2358</v>
      </c>
      <c r="D769" s="9" t="s">
        <v>439</v>
      </c>
      <c r="E769" s="9"/>
      <c r="F769" s="9"/>
      <c r="G769" s="58">
        <v>9600</v>
      </c>
      <c r="H769" s="85">
        <v>0.05</v>
      </c>
      <c r="I769" s="9">
        <v>48</v>
      </c>
      <c r="J769" s="9"/>
      <c r="K769" s="9"/>
      <c r="L769" s="9"/>
      <c r="M769" s="9"/>
      <c r="N769" s="9" t="s">
        <v>5326</v>
      </c>
      <c r="O769" s="9" t="s">
        <v>3081</v>
      </c>
      <c r="P769" s="9" t="s">
        <v>3073</v>
      </c>
      <c r="Q769" s="58" t="s">
        <v>3074</v>
      </c>
      <c r="R769" s="58">
        <v>1</v>
      </c>
      <c r="S769" s="58">
        <v>8</v>
      </c>
      <c r="T769" s="9" t="s">
        <v>5327</v>
      </c>
      <c r="U769" s="9" t="s">
        <v>5336</v>
      </c>
      <c r="V769" s="58">
        <v>1</v>
      </c>
      <c r="W769" s="9"/>
      <c r="X769" s="9"/>
      <c r="Y769" s="9"/>
      <c r="Z769" s="9"/>
    </row>
    <row r="770" spans="1:26" ht="15.75" hidden="1" customHeight="1">
      <c r="A770" s="9" t="s">
        <v>2356</v>
      </c>
      <c r="B770" s="9" t="s">
        <v>5335</v>
      </c>
      <c r="C770" s="9" t="s">
        <v>2358</v>
      </c>
      <c r="D770" s="9" t="s">
        <v>368</v>
      </c>
      <c r="E770" s="9" t="s">
        <v>4897</v>
      </c>
      <c r="F770" s="58" t="s">
        <v>3057</v>
      </c>
      <c r="G770" s="58">
        <v>5950</v>
      </c>
      <c r="H770" s="85">
        <v>0.21176470588235199</v>
      </c>
      <c r="I770" s="9">
        <v>48</v>
      </c>
      <c r="J770" s="9"/>
      <c r="K770" s="9"/>
      <c r="L770" s="9"/>
      <c r="M770" s="9"/>
      <c r="N770" s="9" t="s">
        <v>5326</v>
      </c>
      <c r="O770" s="9" t="s">
        <v>3081</v>
      </c>
      <c r="P770" s="9" t="s">
        <v>5337</v>
      </c>
      <c r="Q770" s="58" t="s">
        <v>3132</v>
      </c>
      <c r="R770" s="58">
        <v>3</v>
      </c>
      <c r="S770" s="58">
        <v>7</v>
      </c>
      <c r="T770" s="9" t="s">
        <v>5327</v>
      </c>
      <c r="U770" s="9" t="s">
        <v>5338</v>
      </c>
      <c r="V770" s="58">
        <v>3</v>
      </c>
      <c r="W770" s="9"/>
      <c r="X770" s="9"/>
      <c r="Y770" s="9"/>
      <c r="Z770" s="9"/>
    </row>
    <row r="771" spans="1:26" ht="15.75" hidden="1" customHeight="1">
      <c r="A771" s="9" t="s">
        <v>2318</v>
      </c>
      <c r="B771" s="9" t="s">
        <v>5339</v>
      </c>
      <c r="C771" s="9" t="s">
        <v>2320</v>
      </c>
      <c r="D771" s="9" t="s">
        <v>439</v>
      </c>
      <c r="E771" s="9"/>
      <c r="F771" s="9"/>
      <c r="G771" s="58">
        <v>16000</v>
      </c>
      <c r="H771" s="85">
        <v>0.03</v>
      </c>
      <c r="I771" s="9">
        <v>9.1</v>
      </c>
      <c r="J771" s="9"/>
      <c r="K771" s="9"/>
      <c r="L771" s="9"/>
      <c r="M771" s="9"/>
      <c r="N771" s="9" t="s">
        <v>5340</v>
      </c>
      <c r="O771" s="9" t="s">
        <v>3051</v>
      </c>
      <c r="P771" s="9" t="s">
        <v>3461</v>
      </c>
      <c r="Q771" s="58" t="s">
        <v>3462</v>
      </c>
      <c r="R771" s="58">
        <v>1</v>
      </c>
      <c r="S771" s="58">
        <v>8</v>
      </c>
      <c r="T771" s="9" t="s">
        <v>5341</v>
      </c>
      <c r="U771" s="9" t="s">
        <v>5342</v>
      </c>
      <c r="V771" s="58">
        <v>1</v>
      </c>
      <c r="W771" s="9"/>
      <c r="X771" s="9"/>
      <c r="Y771" s="9"/>
      <c r="Z771" s="9"/>
    </row>
    <row r="772" spans="1:26" ht="15.75" hidden="1" customHeight="1">
      <c r="A772" s="9" t="s">
        <v>2318</v>
      </c>
      <c r="B772" s="9" t="s">
        <v>5339</v>
      </c>
      <c r="C772" s="9" t="s">
        <v>2320</v>
      </c>
      <c r="D772" s="9" t="s">
        <v>368</v>
      </c>
      <c r="E772" s="9" t="s">
        <v>3150</v>
      </c>
      <c r="F772" s="58" t="s">
        <v>3057</v>
      </c>
      <c r="G772" s="58">
        <v>8400</v>
      </c>
      <c r="H772" s="85">
        <v>0.15</v>
      </c>
      <c r="I772" s="9">
        <v>9.1</v>
      </c>
      <c r="J772" s="9"/>
      <c r="K772" s="9"/>
      <c r="L772" s="9"/>
      <c r="M772" s="9"/>
      <c r="N772" s="9" t="s">
        <v>5340</v>
      </c>
      <c r="O772" s="9" t="s">
        <v>3051</v>
      </c>
      <c r="P772" s="9" t="s">
        <v>5343</v>
      </c>
      <c r="Q772" s="58" t="s">
        <v>3074</v>
      </c>
      <c r="R772" s="58">
        <v>3</v>
      </c>
      <c r="S772" s="58">
        <v>7</v>
      </c>
      <c r="T772" s="9" t="s">
        <v>5341</v>
      </c>
      <c r="U772" s="9" t="s">
        <v>5344</v>
      </c>
      <c r="V772" s="58">
        <v>3</v>
      </c>
      <c r="W772" s="9"/>
      <c r="X772" s="9"/>
      <c r="Y772" s="9"/>
      <c r="Z772" s="9"/>
    </row>
    <row r="773" spans="1:26" ht="15.75" hidden="1" customHeight="1">
      <c r="A773" s="9" t="s">
        <v>5345</v>
      </c>
      <c r="B773" s="9" t="s">
        <v>5346</v>
      </c>
      <c r="C773" s="9" t="s">
        <v>5347</v>
      </c>
      <c r="D773" s="9" t="s">
        <v>439</v>
      </c>
      <c r="E773" s="9"/>
      <c r="F773" s="9"/>
      <c r="G773" s="58">
        <v>16000</v>
      </c>
      <c r="H773" s="85">
        <v>0.03</v>
      </c>
      <c r="I773" s="9">
        <v>10.1</v>
      </c>
      <c r="J773" s="9"/>
      <c r="K773" s="9"/>
      <c r="L773" s="9"/>
      <c r="M773" s="9"/>
      <c r="N773" s="9" t="s">
        <v>5340</v>
      </c>
      <c r="O773" s="9" t="s">
        <v>3051</v>
      </c>
      <c r="P773" s="9" t="s">
        <v>5348</v>
      </c>
      <c r="Q773" s="58" t="s">
        <v>3462</v>
      </c>
      <c r="R773" s="58">
        <v>1</v>
      </c>
      <c r="S773" s="58">
        <v>8</v>
      </c>
      <c r="T773" s="9" t="s">
        <v>5341</v>
      </c>
      <c r="U773" s="9" t="s">
        <v>5349</v>
      </c>
      <c r="V773" s="58">
        <v>1</v>
      </c>
      <c r="W773" s="9"/>
      <c r="X773" s="9"/>
      <c r="Y773" s="9"/>
      <c r="Z773" s="9"/>
    </row>
    <row r="774" spans="1:26" ht="15.75" hidden="1" customHeight="1">
      <c r="A774" s="9" t="s">
        <v>5345</v>
      </c>
      <c r="B774" s="9" t="s">
        <v>5346</v>
      </c>
      <c r="C774" s="9" t="s">
        <v>5347</v>
      </c>
      <c r="D774" s="9" t="s">
        <v>368</v>
      </c>
      <c r="E774" s="9" t="s">
        <v>3150</v>
      </c>
      <c r="F774" s="58" t="s">
        <v>3057</v>
      </c>
      <c r="G774" s="58">
        <v>8400</v>
      </c>
      <c r="H774" s="85">
        <v>0.15</v>
      </c>
      <c r="I774" s="9">
        <v>10.1</v>
      </c>
      <c r="J774" s="9"/>
      <c r="K774" s="9"/>
      <c r="L774" s="9"/>
      <c r="M774" s="9"/>
      <c r="N774" s="9" t="s">
        <v>5340</v>
      </c>
      <c r="O774" s="9" t="s">
        <v>3051</v>
      </c>
      <c r="P774" s="9" t="s">
        <v>5350</v>
      </c>
      <c r="Q774" s="58" t="s">
        <v>3074</v>
      </c>
      <c r="R774" s="58">
        <v>3</v>
      </c>
      <c r="S774" s="58">
        <v>7</v>
      </c>
      <c r="T774" s="9" t="s">
        <v>5341</v>
      </c>
      <c r="U774" s="9" t="s">
        <v>5351</v>
      </c>
      <c r="V774" s="58">
        <v>3</v>
      </c>
      <c r="W774" s="9"/>
      <c r="X774" s="9"/>
      <c r="Y774" s="9"/>
      <c r="Z774" s="9"/>
    </row>
    <row r="775" spans="1:26" ht="15.75" hidden="1" customHeight="1">
      <c r="A775" s="9" t="s">
        <v>2542</v>
      </c>
      <c r="B775" s="9" t="s">
        <v>5352</v>
      </c>
      <c r="C775" s="9" t="s">
        <v>2320</v>
      </c>
      <c r="D775" s="9" t="s">
        <v>439</v>
      </c>
      <c r="E775" s="9"/>
      <c r="F775" s="9"/>
      <c r="G775" s="58">
        <v>16000</v>
      </c>
      <c r="H775" s="85">
        <v>0.03</v>
      </c>
      <c r="I775" s="9">
        <v>9.1</v>
      </c>
      <c r="J775" s="9"/>
      <c r="K775" s="9"/>
      <c r="L775" s="9"/>
      <c r="M775" s="9"/>
      <c r="N775" s="9" t="s">
        <v>5340</v>
      </c>
      <c r="O775" s="9" t="s">
        <v>3051</v>
      </c>
      <c r="P775" s="9" t="s">
        <v>3461</v>
      </c>
      <c r="Q775" s="58" t="s">
        <v>3462</v>
      </c>
      <c r="R775" s="58">
        <v>1</v>
      </c>
      <c r="S775" s="58">
        <v>8</v>
      </c>
      <c r="T775" s="9" t="s">
        <v>5341</v>
      </c>
      <c r="U775" s="9" t="s">
        <v>5353</v>
      </c>
      <c r="V775" s="58">
        <v>1</v>
      </c>
      <c r="W775" s="9"/>
      <c r="X775" s="9"/>
      <c r="Y775" s="9"/>
      <c r="Z775" s="9"/>
    </row>
    <row r="776" spans="1:26" ht="15.75" hidden="1" customHeight="1">
      <c r="A776" s="9" t="s">
        <v>2542</v>
      </c>
      <c r="B776" s="9" t="s">
        <v>5352</v>
      </c>
      <c r="C776" s="9" t="s">
        <v>2320</v>
      </c>
      <c r="D776" s="9" t="s">
        <v>368</v>
      </c>
      <c r="E776" s="9" t="s">
        <v>3150</v>
      </c>
      <c r="F776" s="58" t="s">
        <v>3057</v>
      </c>
      <c r="G776" s="58">
        <v>9800</v>
      </c>
      <c r="H776" s="85">
        <v>0.128571428571428</v>
      </c>
      <c r="I776" s="9">
        <v>9.1</v>
      </c>
      <c r="J776" s="9"/>
      <c r="K776" s="9"/>
      <c r="L776" s="9"/>
      <c r="M776" s="9"/>
      <c r="N776" s="9" t="s">
        <v>5340</v>
      </c>
      <c r="O776" s="9" t="s">
        <v>3051</v>
      </c>
      <c r="P776" s="9" t="s">
        <v>5354</v>
      </c>
      <c r="Q776" s="58" t="s">
        <v>3294</v>
      </c>
      <c r="R776" s="58">
        <v>3</v>
      </c>
      <c r="S776" s="58">
        <v>7</v>
      </c>
      <c r="T776" s="9" t="s">
        <v>5341</v>
      </c>
      <c r="U776" s="9" t="s">
        <v>5355</v>
      </c>
      <c r="V776" s="58">
        <v>3</v>
      </c>
      <c r="W776" s="9"/>
      <c r="X776" s="9"/>
      <c r="Y776" s="9"/>
      <c r="Z776" s="9"/>
    </row>
    <row r="777" spans="1:26" ht="15.75" hidden="1" customHeight="1">
      <c r="A777" s="9" t="s">
        <v>2581</v>
      </c>
      <c r="B777" s="9" t="s">
        <v>5356</v>
      </c>
      <c r="C777" s="9" t="s">
        <v>2583</v>
      </c>
      <c r="D777" s="9" t="s">
        <v>439</v>
      </c>
      <c r="E777" s="9"/>
      <c r="F777" s="9"/>
      <c r="G777" s="58">
        <v>10400</v>
      </c>
      <c r="H777" s="85">
        <v>4.6153846153846101E-2</v>
      </c>
      <c r="I777" s="9" t="s">
        <v>5357</v>
      </c>
      <c r="J777" s="9"/>
      <c r="K777" s="9"/>
      <c r="L777" s="9"/>
      <c r="M777" s="9"/>
      <c r="N777" s="9" t="s">
        <v>3827</v>
      </c>
      <c r="O777" s="9" t="s">
        <v>3051</v>
      </c>
      <c r="P777" s="9" t="s">
        <v>5358</v>
      </c>
      <c r="Q777" s="58" t="s">
        <v>3064</v>
      </c>
      <c r="R777" s="58">
        <v>1</v>
      </c>
      <c r="S777" s="58">
        <v>8</v>
      </c>
      <c r="T777" s="9" t="s">
        <v>5359</v>
      </c>
      <c r="U777" s="9" t="s">
        <v>5360</v>
      </c>
      <c r="V777" s="58">
        <v>1</v>
      </c>
      <c r="W777" s="9"/>
      <c r="X777" s="9"/>
      <c r="Y777" s="9"/>
      <c r="Z777" s="9"/>
    </row>
    <row r="778" spans="1:26" ht="15.75" hidden="1" customHeight="1">
      <c r="A778" s="9" t="s">
        <v>2581</v>
      </c>
      <c r="B778" s="9" t="s">
        <v>5356</v>
      </c>
      <c r="C778" s="9" t="s">
        <v>2583</v>
      </c>
      <c r="D778" s="9" t="s">
        <v>368</v>
      </c>
      <c r="E778" s="9" t="s">
        <v>3283</v>
      </c>
      <c r="F778" s="58" t="s">
        <v>3087</v>
      </c>
      <c r="G778" s="58">
        <v>5600</v>
      </c>
      <c r="H778" s="85">
        <v>0.3</v>
      </c>
      <c r="I778" s="9" t="s">
        <v>5357</v>
      </c>
      <c r="J778" s="9"/>
      <c r="K778" s="9"/>
      <c r="L778" s="9"/>
      <c r="M778" s="9"/>
      <c r="N778" s="9" t="s">
        <v>3827</v>
      </c>
      <c r="O778" s="9" t="s">
        <v>3051</v>
      </c>
      <c r="P778" s="9" t="s">
        <v>5361</v>
      </c>
      <c r="Q778" s="58" t="s">
        <v>3185</v>
      </c>
      <c r="R778" s="58">
        <v>4</v>
      </c>
      <c r="S778" s="58">
        <v>7</v>
      </c>
      <c r="T778" s="9" t="s">
        <v>5359</v>
      </c>
      <c r="U778" s="9" t="s">
        <v>5362</v>
      </c>
      <c r="V778" s="58">
        <v>4</v>
      </c>
      <c r="W778" s="9"/>
      <c r="X778" s="9"/>
      <c r="Y778" s="9"/>
      <c r="Z778" s="9"/>
    </row>
    <row r="779" spans="1:26" ht="15.75" hidden="1" customHeight="1">
      <c r="A779" s="9" t="s">
        <v>1919</v>
      </c>
      <c r="B779" s="9" t="s">
        <v>5363</v>
      </c>
      <c r="C779" s="9" t="s">
        <v>1921</v>
      </c>
      <c r="D779" s="9" t="s">
        <v>439</v>
      </c>
      <c r="E779" s="9"/>
      <c r="F779" s="9"/>
      <c r="G779" s="58">
        <v>8800</v>
      </c>
      <c r="H779" s="85">
        <v>5.4545454545454501E-2</v>
      </c>
      <c r="I779" s="9">
        <v>30</v>
      </c>
      <c r="J779" s="9"/>
      <c r="K779" s="9"/>
      <c r="L779" s="9"/>
      <c r="M779" s="9"/>
      <c r="N779" s="9" t="s">
        <v>3375</v>
      </c>
      <c r="O779" s="9" t="s">
        <v>3258</v>
      </c>
      <c r="P779" s="9" t="s">
        <v>3125</v>
      </c>
      <c r="Q779" s="58" t="s">
        <v>3077</v>
      </c>
      <c r="R779" s="58">
        <v>1</v>
      </c>
      <c r="S779" s="58">
        <v>8</v>
      </c>
      <c r="T779" s="9" t="s">
        <v>5364</v>
      </c>
      <c r="U779" s="9" t="s">
        <v>5365</v>
      </c>
      <c r="V779" s="58">
        <v>1</v>
      </c>
      <c r="W779" s="9"/>
      <c r="X779" s="9"/>
      <c r="Y779" s="9"/>
      <c r="Z779" s="9"/>
    </row>
    <row r="780" spans="1:26" ht="15.75" hidden="1" customHeight="1">
      <c r="A780" s="9" t="s">
        <v>1919</v>
      </c>
      <c r="B780" s="9" t="s">
        <v>5363</v>
      </c>
      <c r="C780" s="9" t="s">
        <v>1921</v>
      </c>
      <c r="D780" s="9" t="s">
        <v>368</v>
      </c>
      <c r="E780" s="9" t="s">
        <v>3402</v>
      </c>
      <c r="F780" s="58" t="s">
        <v>3057</v>
      </c>
      <c r="G780" s="58">
        <v>8400</v>
      </c>
      <c r="H780" s="85">
        <v>0.2</v>
      </c>
      <c r="I780" s="9">
        <v>30</v>
      </c>
      <c r="J780" s="9"/>
      <c r="K780" s="9"/>
      <c r="L780" s="9"/>
      <c r="M780" s="9"/>
      <c r="N780" s="9" t="s">
        <v>3375</v>
      </c>
      <c r="O780" s="9" t="s">
        <v>3258</v>
      </c>
      <c r="P780" s="9" t="s">
        <v>5366</v>
      </c>
      <c r="Q780" s="58" t="s">
        <v>3074</v>
      </c>
      <c r="R780" s="58">
        <v>4</v>
      </c>
      <c r="S780" s="58">
        <v>7</v>
      </c>
      <c r="T780" s="9" t="s">
        <v>5364</v>
      </c>
      <c r="U780" s="9" t="s">
        <v>5367</v>
      </c>
      <c r="V780" s="58">
        <v>4</v>
      </c>
      <c r="W780" s="9"/>
      <c r="X780" s="9"/>
      <c r="Y780" s="9"/>
      <c r="Z780" s="9"/>
    </row>
    <row r="781" spans="1:26" ht="15.75" hidden="1" customHeight="1">
      <c r="A781" s="9" t="s">
        <v>2471</v>
      </c>
      <c r="B781" s="9" t="s">
        <v>5368</v>
      </c>
      <c r="C781" s="9" t="s">
        <v>2473</v>
      </c>
      <c r="D781" s="9" t="s">
        <v>439</v>
      </c>
      <c r="E781" s="9"/>
      <c r="F781" s="9"/>
      <c r="G781" s="58">
        <v>5200</v>
      </c>
      <c r="H781" s="85">
        <v>9.2307692307692299E-2</v>
      </c>
      <c r="I781" s="9">
        <v>535</v>
      </c>
      <c r="J781" s="9"/>
      <c r="K781" s="9"/>
      <c r="L781" s="9"/>
      <c r="M781" s="9"/>
      <c r="N781" s="9" t="s">
        <v>5369</v>
      </c>
      <c r="O781" s="9" t="s">
        <v>3051</v>
      </c>
      <c r="P781" s="9" t="s">
        <v>5370</v>
      </c>
      <c r="Q781" s="58" t="s">
        <v>3687</v>
      </c>
      <c r="R781" s="58">
        <v>1</v>
      </c>
      <c r="S781" s="58">
        <v>8</v>
      </c>
      <c r="T781" s="9" t="s">
        <v>5371</v>
      </c>
      <c r="U781" s="9" t="s">
        <v>5372</v>
      </c>
      <c r="V781" s="58">
        <v>1</v>
      </c>
      <c r="W781" s="9"/>
      <c r="X781" s="9"/>
      <c r="Y781" s="9"/>
      <c r="Z781" s="9"/>
    </row>
    <row r="782" spans="1:26" ht="15.75" hidden="1" customHeight="1">
      <c r="A782" s="9" t="s">
        <v>2471</v>
      </c>
      <c r="B782" s="9" t="s">
        <v>5368</v>
      </c>
      <c r="C782" s="9" t="s">
        <v>2473</v>
      </c>
      <c r="D782" s="9" t="s">
        <v>368</v>
      </c>
      <c r="E782" s="9" t="s">
        <v>3086</v>
      </c>
      <c r="F782" s="58" t="s">
        <v>3087</v>
      </c>
      <c r="G782" s="58">
        <v>1190</v>
      </c>
      <c r="H782" s="85">
        <v>0.70588235294117596</v>
      </c>
      <c r="I782" s="9">
        <v>535</v>
      </c>
      <c r="J782" s="9"/>
      <c r="K782" s="9"/>
      <c r="L782" s="9"/>
      <c r="M782" s="9"/>
      <c r="N782" s="9" t="s">
        <v>5369</v>
      </c>
      <c r="O782" s="9" t="s">
        <v>3051</v>
      </c>
      <c r="P782" s="9" t="s">
        <v>5373</v>
      </c>
      <c r="Q782" s="58" t="s">
        <v>5374</v>
      </c>
      <c r="R782" s="58">
        <v>2</v>
      </c>
      <c r="S782" s="58">
        <v>7</v>
      </c>
      <c r="T782" s="9" t="s">
        <v>5371</v>
      </c>
      <c r="U782" s="9" t="s">
        <v>5375</v>
      </c>
      <c r="V782" s="58">
        <v>2</v>
      </c>
      <c r="W782" s="9"/>
      <c r="X782" s="9"/>
      <c r="Y782" s="9"/>
      <c r="Z782" s="9"/>
    </row>
    <row r="783" spans="1:26" ht="15.75" hidden="1" customHeight="1">
      <c r="A783" s="9" t="s">
        <v>2476</v>
      </c>
      <c r="B783" s="9" t="s">
        <v>5376</v>
      </c>
      <c r="C783" s="9" t="s">
        <v>2477</v>
      </c>
      <c r="D783" s="9" t="s">
        <v>439</v>
      </c>
      <c r="E783" s="9"/>
      <c r="F783" s="9"/>
      <c r="G783" s="58">
        <v>6400</v>
      </c>
      <c r="H783" s="85">
        <v>7.4999999999999997E-2</v>
      </c>
      <c r="I783" s="9">
        <v>4000</v>
      </c>
      <c r="J783" s="9"/>
      <c r="K783" s="9"/>
      <c r="L783" s="9"/>
      <c r="M783" s="9"/>
      <c r="N783" s="9" t="s">
        <v>5377</v>
      </c>
      <c r="O783" s="9" t="s">
        <v>3051</v>
      </c>
      <c r="P783" s="9" t="s">
        <v>3549</v>
      </c>
      <c r="Q783" s="58" t="s">
        <v>3185</v>
      </c>
      <c r="R783" s="58">
        <v>1</v>
      </c>
      <c r="S783" s="58">
        <v>8</v>
      </c>
      <c r="T783" s="9" t="s">
        <v>5378</v>
      </c>
      <c r="U783" s="9" t="s">
        <v>5379</v>
      </c>
      <c r="V783" s="58">
        <v>1</v>
      </c>
      <c r="W783" s="9"/>
      <c r="X783" s="9"/>
      <c r="Y783" s="9"/>
      <c r="Z783" s="9"/>
    </row>
    <row r="784" spans="1:26" ht="15.75" hidden="1" customHeight="1">
      <c r="A784" s="9" t="s">
        <v>2476</v>
      </c>
      <c r="B784" s="9" t="s">
        <v>5376</v>
      </c>
      <c r="C784" s="9" t="s">
        <v>2477</v>
      </c>
      <c r="D784" s="9" t="s">
        <v>368</v>
      </c>
      <c r="E784" s="9" t="s">
        <v>3229</v>
      </c>
      <c r="F784" s="58" t="s">
        <v>3087</v>
      </c>
      <c r="G784" s="58">
        <v>490</v>
      </c>
      <c r="H784" s="85">
        <v>2.5714285714285698</v>
      </c>
      <c r="I784" s="9">
        <v>4000</v>
      </c>
      <c r="J784" s="9"/>
      <c r="K784" s="9"/>
      <c r="L784" s="9"/>
      <c r="M784" s="9"/>
      <c r="N784" s="9" t="s">
        <v>5377</v>
      </c>
      <c r="O784" s="9" t="s">
        <v>3051</v>
      </c>
      <c r="P784" s="9" t="s">
        <v>5380</v>
      </c>
      <c r="Q784" s="58" t="s">
        <v>5381</v>
      </c>
      <c r="R784" s="58">
        <v>3</v>
      </c>
      <c r="S784" s="58">
        <v>7</v>
      </c>
      <c r="T784" s="9" t="s">
        <v>5378</v>
      </c>
      <c r="U784" s="9" t="s">
        <v>5382</v>
      </c>
      <c r="V784" s="58">
        <v>3</v>
      </c>
      <c r="W784" s="9"/>
      <c r="X784" s="9"/>
      <c r="Y784" s="9"/>
      <c r="Z784" s="9"/>
    </row>
    <row r="785" spans="1:26" ht="15.75" hidden="1" customHeight="1">
      <c r="A785" s="9" t="s">
        <v>2478</v>
      </c>
      <c r="B785" s="9" t="s">
        <v>5383</v>
      </c>
      <c r="C785" s="9" t="s">
        <v>2480</v>
      </c>
      <c r="D785" s="9" t="s">
        <v>439</v>
      </c>
      <c r="E785" s="9"/>
      <c r="F785" s="9"/>
      <c r="G785" s="58">
        <v>5200</v>
      </c>
      <c r="H785" s="85">
        <v>9.2307692307692299E-2</v>
      </c>
      <c r="I785" s="9">
        <v>535</v>
      </c>
      <c r="J785" s="9"/>
      <c r="K785" s="9"/>
      <c r="L785" s="9"/>
      <c r="M785" s="9"/>
      <c r="N785" s="9" t="s">
        <v>5377</v>
      </c>
      <c r="O785" s="9" t="s">
        <v>3051</v>
      </c>
      <c r="P785" s="9" t="s">
        <v>5370</v>
      </c>
      <c r="Q785" s="58" t="s">
        <v>3687</v>
      </c>
      <c r="R785" s="58">
        <v>1</v>
      </c>
      <c r="S785" s="58">
        <v>8</v>
      </c>
      <c r="T785" s="9" t="s">
        <v>5371</v>
      </c>
      <c r="U785" s="9" t="s">
        <v>5384</v>
      </c>
      <c r="V785" s="58">
        <v>1</v>
      </c>
      <c r="W785" s="9"/>
      <c r="X785" s="9"/>
      <c r="Y785" s="9"/>
      <c r="Z785" s="9"/>
    </row>
    <row r="786" spans="1:26" ht="15.75" hidden="1" customHeight="1">
      <c r="A786" s="9" t="s">
        <v>2478</v>
      </c>
      <c r="B786" s="9" t="s">
        <v>5383</v>
      </c>
      <c r="C786" s="9" t="s">
        <v>2480</v>
      </c>
      <c r="D786" s="9" t="s">
        <v>368</v>
      </c>
      <c r="E786" s="9" t="s">
        <v>3086</v>
      </c>
      <c r="F786" s="58" t="s">
        <v>3087</v>
      </c>
      <c r="G786" s="58">
        <v>1190</v>
      </c>
      <c r="H786" s="85">
        <v>0.70588235294117596</v>
      </c>
      <c r="I786" s="9">
        <v>535</v>
      </c>
      <c r="J786" s="9"/>
      <c r="K786" s="9"/>
      <c r="L786" s="9"/>
      <c r="M786" s="9"/>
      <c r="N786" s="9" t="s">
        <v>5377</v>
      </c>
      <c r="O786" s="9" t="s">
        <v>3051</v>
      </c>
      <c r="P786" s="9" t="s">
        <v>5373</v>
      </c>
      <c r="Q786" s="58" t="s">
        <v>5374</v>
      </c>
      <c r="R786" s="58">
        <v>2</v>
      </c>
      <c r="S786" s="58">
        <v>7</v>
      </c>
      <c r="T786" s="9" t="s">
        <v>5371</v>
      </c>
      <c r="U786" s="9" t="s">
        <v>5385</v>
      </c>
      <c r="V786" s="58">
        <v>2</v>
      </c>
      <c r="W786" s="9"/>
      <c r="X786" s="9"/>
      <c r="Y786" s="9"/>
      <c r="Z786" s="9"/>
    </row>
    <row r="787" spans="1:26" ht="15.75" hidden="1" customHeight="1">
      <c r="A787" s="9" t="s">
        <v>2481</v>
      </c>
      <c r="B787" s="9" t="s">
        <v>5386</v>
      </c>
      <c r="C787" s="9" t="s">
        <v>2482</v>
      </c>
      <c r="D787" s="9" t="s">
        <v>439</v>
      </c>
      <c r="E787" s="9"/>
      <c r="F787" s="9"/>
      <c r="G787" s="58">
        <v>6400</v>
      </c>
      <c r="H787" s="85">
        <v>7.4999999999999997E-2</v>
      </c>
      <c r="I787" s="9">
        <v>4000</v>
      </c>
      <c r="J787" s="9"/>
      <c r="K787" s="9"/>
      <c r="L787" s="9"/>
      <c r="M787" s="9"/>
      <c r="N787" s="9" t="s">
        <v>5377</v>
      </c>
      <c r="O787" s="9" t="s">
        <v>3051</v>
      </c>
      <c r="P787" s="9" t="s">
        <v>3549</v>
      </c>
      <c r="Q787" s="58" t="s">
        <v>3185</v>
      </c>
      <c r="R787" s="58">
        <v>1</v>
      </c>
      <c r="S787" s="58">
        <v>8</v>
      </c>
      <c r="T787" s="9" t="s">
        <v>5378</v>
      </c>
      <c r="U787" s="9" t="s">
        <v>5387</v>
      </c>
      <c r="V787" s="58">
        <v>1</v>
      </c>
      <c r="W787" s="9"/>
      <c r="X787" s="9"/>
      <c r="Y787" s="9"/>
      <c r="Z787" s="9"/>
    </row>
    <row r="788" spans="1:26" ht="15.75" hidden="1" customHeight="1">
      <c r="A788" s="9" t="s">
        <v>2481</v>
      </c>
      <c r="B788" s="9" t="s">
        <v>5386</v>
      </c>
      <c r="C788" s="9" t="s">
        <v>2482</v>
      </c>
      <c r="D788" s="9" t="s">
        <v>368</v>
      </c>
      <c r="E788" s="9" t="s">
        <v>3229</v>
      </c>
      <c r="F788" s="58" t="s">
        <v>3087</v>
      </c>
      <c r="G788" s="58">
        <v>490</v>
      </c>
      <c r="H788" s="85">
        <v>2.5714285714285698</v>
      </c>
      <c r="I788" s="9">
        <v>4000</v>
      </c>
      <c r="J788" s="9"/>
      <c r="K788" s="9"/>
      <c r="L788" s="9"/>
      <c r="M788" s="9"/>
      <c r="N788" s="9" t="s">
        <v>5377</v>
      </c>
      <c r="O788" s="9" t="s">
        <v>3051</v>
      </c>
      <c r="P788" s="9" t="s">
        <v>5380</v>
      </c>
      <c r="Q788" s="58" t="s">
        <v>5381</v>
      </c>
      <c r="R788" s="58">
        <v>3</v>
      </c>
      <c r="S788" s="58">
        <v>7</v>
      </c>
      <c r="T788" s="9" t="s">
        <v>5378</v>
      </c>
      <c r="U788" s="9" t="s">
        <v>5388</v>
      </c>
      <c r="V788" s="58">
        <v>3</v>
      </c>
      <c r="W788" s="9"/>
      <c r="X788" s="9"/>
      <c r="Y788" s="9"/>
      <c r="Z788" s="9"/>
    </row>
    <row r="789" spans="1:26" ht="15.75" hidden="1" customHeight="1">
      <c r="A789" s="9" t="s">
        <v>2453</v>
      </c>
      <c r="B789" s="9" t="s">
        <v>5389</v>
      </c>
      <c r="C789" s="9" t="s">
        <v>2455</v>
      </c>
      <c r="D789" s="9" t="s">
        <v>439</v>
      </c>
      <c r="E789" s="9"/>
      <c r="F789" s="9"/>
      <c r="G789" s="58">
        <v>4400</v>
      </c>
      <c r="H789" s="85">
        <v>0.109090909090909</v>
      </c>
      <c r="I789" s="9">
        <v>500</v>
      </c>
      <c r="J789" s="9"/>
      <c r="K789" s="9"/>
      <c r="L789" s="9"/>
      <c r="M789" s="9"/>
      <c r="N789" s="9" t="s">
        <v>5390</v>
      </c>
      <c r="O789" s="9" t="s">
        <v>3051</v>
      </c>
      <c r="P789" s="9" t="s">
        <v>3225</v>
      </c>
      <c r="Q789" s="58" t="s">
        <v>3226</v>
      </c>
      <c r="R789" s="58">
        <v>1</v>
      </c>
      <c r="S789" s="58">
        <v>8</v>
      </c>
      <c r="T789" s="9" t="s">
        <v>5391</v>
      </c>
      <c r="U789" s="9" t="s">
        <v>5392</v>
      </c>
      <c r="V789" s="58">
        <v>1</v>
      </c>
      <c r="W789" s="9"/>
      <c r="X789" s="9"/>
      <c r="Y789" s="9"/>
      <c r="Z789" s="9"/>
    </row>
    <row r="790" spans="1:26" ht="15.75" hidden="1" customHeight="1">
      <c r="A790" s="9" t="s">
        <v>2453</v>
      </c>
      <c r="B790" s="9" t="s">
        <v>5389</v>
      </c>
      <c r="C790" s="9" t="s">
        <v>2455</v>
      </c>
      <c r="D790" s="9" t="s">
        <v>368</v>
      </c>
      <c r="E790" s="9" t="s">
        <v>5393</v>
      </c>
      <c r="F790" s="58" t="s">
        <v>3087</v>
      </c>
      <c r="G790" s="58">
        <v>2800</v>
      </c>
      <c r="H790" s="85">
        <v>0.45</v>
      </c>
      <c r="I790" s="9">
        <v>500</v>
      </c>
      <c r="J790" s="9"/>
      <c r="K790" s="9"/>
      <c r="L790" s="9"/>
      <c r="M790" s="9"/>
      <c r="N790" s="9" t="s">
        <v>5390</v>
      </c>
      <c r="O790" s="9" t="s">
        <v>3051</v>
      </c>
      <c r="P790" s="9" t="s">
        <v>5394</v>
      </c>
      <c r="Q790" s="58" t="s">
        <v>3240</v>
      </c>
      <c r="R790" s="58">
        <v>3</v>
      </c>
      <c r="S790" s="58">
        <v>7</v>
      </c>
      <c r="T790" s="9" t="s">
        <v>5391</v>
      </c>
      <c r="U790" s="9" t="s">
        <v>5395</v>
      </c>
      <c r="V790" s="58">
        <v>3</v>
      </c>
      <c r="W790" s="9"/>
      <c r="X790" s="9"/>
      <c r="Y790" s="9"/>
      <c r="Z790" s="9"/>
    </row>
    <row r="791" spans="1:26" ht="15.75" hidden="1" customHeight="1">
      <c r="A791" s="9" t="s">
        <v>2450</v>
      </c>
      <c r="B791" s="9" t="s">
        <v>5396</v>
      </c>
      <c r="C791" s="9" t="s">
        <v>2452</v>
      </c>
      <c r="D791" s="9" t="s">
        <v>439</v>
      </c>
      <c r="E791" s="9"/>
      <c r="F791" s="9"/>
      <c r="G791" s="58">
        <v>4400</v>
      </c>
      <c r="H791" s="85">
        <v>0.109090909090909</v>
      </c>
      <c r="I791" s="9">
        <v>500</v>
      </c>
      <c r="J791" s="9"/>
      <c r="K791" s="9"/>
      <c r="L791" s="9"/>
      <c r="M791" s="9"/>
      <c r="N791" s="9" t="s">
        <v>5390</v>
      </c>
      <c r="O791" s="9" t="s">
        <v>3051</v>
      </c>
      <c r="P791" s="9" t="s">
        <v>3225</v>
      </c>
      <c r="Q791" s="58" t="s">
        <v>3226</v>
      </c>
      <c r="R791" s="58">
        <v>1</v>
      </c>
      <c r="S791" s="58">
        <v>8</v>
      </c>
      <c r="T791" s="9" t="s">
        <v>5391</v>
      </c>
      <c r="U791" s="9" t="s">
        <v>5397</v>
      </c>
      <c r="V791" s="58">
        <v>1</v>
      </c>
      <c r="W791" s="9"/>
      <c r="X791" s="9"/>
      <c r="Y791" s="9"/>
      <c r="Z791" s="9"/>
    </row>
    <row r="792" spans="1:26" ht="15.75" hidden="1" customHeight="1">
      <c r="A792" s="9" t="s">
        <v>2450</v>
      </c>
      <c r="B792" s="9" t="s">
        <v>5396</v>
      </c>
      <c r="C792" s="9" t="s">
        <v>2452</v>
      </c>
      <c r="D792" s="9" t="s">
        <v>368</v>
      </c>
      <c r="E792" s="9" t="s">
        <v>5393</v>
      </c>
      <c r="F792" s="58" t="s">
        <v>3087</v>
      </c>
      <c r="G792" s="58">
        <v>2800</v>
      </c>
      <c r="H792" s="85">
        <v>0.45</v>
      </c>
      <c r="I792" s="9">
        <v>500</v>
      </c>
      <c r="J792" s="9"/>
      <c r="K792" s="9"/>
      <c r="L792" s="9"/>
      <c r="M792" s="9"/>
      <c r="N792" s="9" t="s">
        <v>5390</v>
      </c>
      <c r="O792" s="9" t="s">
        <v>3051</v>
      </c>
      <c r="P792" s="9" t="s">
        <v>5394</v>
      </c>
      <c r="Q792" s="58" t="s">
        <v>3240</v>
      </c>
      <c r="R792" s="58">
        <v>3</v>
      </c>
      <c r="S792" s="58">
        <v>7</v>
      </c>
      <c r="T792" s="9" t="s">
        <v>5391</v>
      </c>
      <c r="U792" s="9" t="s">
        <v>5398</v>
      </c>
      <c r="V792" s="58">
        <v>3</v>
      </c>
      <c r="W792" s="9"/>
      <c r="X792" s="9"/>
      <c r="Y792" s="9"/>
      <c r="Z792" s="9"/>
    </row>
    <row r="793" spans="1:26" ht="15.75" hidden="1" customHeight="1">
      <c r="A793" s="9" t="s">
        <v>2532</v>
      </c>
      <c r="B793" s="9" t="s">
        <v>5399</v>
      </c>
      <c r="C793" s="9" t="s">
        <v>2533</v>
      </c>
      <c r="D793" s="9" t="s">
        <v>439</v>
      </c>
      <c r="E793" s="9"/>
      <c r="F793" s="9"/>
      <c r="G793" s="58">
        <v>12800</v>
      </c>
      <c r="H793" s="85">
        <v>3.7499999999999999E-2</v>
      </c>
      <c r="I793" s="9">
        <v>100</v>
      </c>
      <c r="J793" s="9"/>
      <c r="K793" s="9"/>
      <c r="L793" s="9"/>
      <c r="M793" s="9"/>
      <c r="N793" s="9" t="s">
        <v>5400</v>
      </c>
      <c r="O793" s="9" t="s">
        <v>3051</v>
      </c>
      <c r="P793" s="9" t="s">
        <v>3650</v>
      </c>
      <c r="Q793" s="58" t="s">
        <v>3545</v>
      </c>
      <c r="R793" s="58">
        <v>1</v>
      </c>
      <c r="S793" s="58">
        <v>8</v>
      </c>
      <c r="T793" s="9" t="s">
        <v>5401</v>
      </c>
      <c r="U793" s="9" t="s">
        <v>5402</v>
      </c>
      <c r="V793" s="58">
        <v>1</v>
      </c>
      <c r="W793" s="9"/>
      <c r="X793" s="9"/>
      <c r="Y793" s="9"/>
      <c r="Z793" s="9"/>
    </row>
    <row r="794" spans="1:26" ht="15.75" hidden="1" customHeight="1">
      <c r="A794" s="9" t="s">
        <v>2532</v>
      </c>
      <c r="B794" s="9" t="s">
        <v>5399</v>
      </c>
      <c r="C794" s="9" t="s">
        <v>2533</v>
      </c>
      <c r="D794" s="9" t="s">
        <v>368</v>
      </c>
      <c r="E794" s="9" t="s">
        <v>5403</v>
      </c>
      <c r="F794" s="58" t="s">
        <v>3057</v>
      </c>
      <c r="G794" s="58">
        <v>6650</v>
      </c>
      <c r="H794" s="85">
        <v>0.18947368421052599</v>
      </c>
      <c r="I794" s="9">
        <v>100</v>
      </c>
      <c r="J794" s="9"/>
      <c r="K794" s="9"/>
      <c r="L794" s="9"/>
      <c r="M794" s="9"/>
      <c r="N794" s="9" t="s">
        <v>5400</v>
      </c>
      <c r="O794" s="9" t="s">
        <v>3051</v>
      </c>
      <c r="P794" s="9" t="s">
        <v>5404</v>
      </c>
      <c r="Q794" s="58" t="s">
        <v>3409</v>
      </c>
      <c r="R794" s="58">
        <v>3</v>
      </c>
      <c r="S794" s="58">
        <v>7</v>
      </c>
      <c r="T794" s="9" t="s">
        <v>5401</v>
      </c>
      <c r="U794" s="9" t="s">
        <v>5405</v>
      </c>
      <c r="V794" s="58">
        <v>3</v>
      </c>
      <c r="W794" s="9"/>
      <c r="X794" s="9"/>
      <c r="Y794" s="9"/>
      <c r="Z794" s="9"/>
    </row>
    <row r="795" spans="1:26" ht="15.75" hidden="1" customHeight="1">
      <c r="A795" s="9" t="s">
        <v>2527</v>
      </c>
      <c r="B795" s="9" t="s">
        <v>5406</v>
      </c>
      <c r="C795" s="9" t="s">
        <v>2529</v>
      </c>
      <c r="D795" s="9" t="s">
        <v>439</v>
      </c>
      <c r="E795" s="9"/>
      <c r="F795" s="9"/>
      <c r="G795" s="58">
        <v>12800</v>
      </c>
      <c r="H795" s="85">
        <v>3.7499999999999999E-2</v>
      </c>
      <c r="I795" s="9">
        <v>100</v>
      </c>
      <c r="J795" s="9"/>
      <c r="K795" s="9"/>
      <c r="L795" s="9"/>
      <c r="M795" s="9"/>
      <c r="N795" s="9" t="s">
        <v>5400</v>
      </c>
      <c r="O795" s="9" t="s">
        <v>3051</v>
      </c>
      <c r="P795" s="9" t="s">
        <v>3650</v>
      </c>
      <c r="Q795" s="58" t="s">
        <v>3545</v>
      </c>
      <c r="R795" s="58">
        <v>1</v>
      </c>
      <c r="S795" s="58">
        <v>8</v>
      </c>
      <c r="T795" s="9" t="s">
        <v>5401</v>
      </c>
      <c r="U795" s="9" t="s">
        <v>5407</v>
      </c>
      <c r="V795" s="58">
        <v>1</v>
      </c>
      <c r="W795" s="9"/>
      <c r="X795" s="9"/>
      <c r="Y795" s="9"/>
      <c r="Z795" s="9"/>
    </row>
    <row r="796" spans="1:26" ht="15.75" hidden="1" customHeight="1">
      <c r="A796" s="9" t="s">
        <v>2527</v>
      </c>
      <c r="B796" s="9" t="s">
        <v>5406</v>
      </c>
      <c r="C796" s="9" t="s">
        <v>2529</v>
      </c>
      <c r="D796" s="9" t="s">
        <v>368</v>
      </c>
      <c r="E796" s="9" t="s">
        <v>5403</v>
      </c>
      <c r="F796" s="58" t="s">
        <v>3057</v>
      </c>
      <c r="G796" s="58">
        <v>6650</v>
      </c>
      <c r="H796" s="85">
        <v>0.18947368421052599</v>
      </c>
      <c r="I796" s="9">
        <v>100</v>
      </c>
      <c r="J796" s="9"/>
      <c r="K796" s="9"/>
      <c r="L796" s="9"/>
      <c r="M796" s="9"/>
      <c r="N796" s="9" t="s">
        <v>5400</v>
      </c>
      <c r="O796" s="9" t="s">
        <v>3051</v>
      </c>
      <c r="P796" s="9" t="s">
        <v>5404</v>
      </c>
      <c r="Q796" s="58" t="s">
        <v>3409</v>
      </c>
      <c r="R796" s="58">
        <v>3</v>
      </c>
      <c r="S796" s="58">
        <v>7</v>
      </c>
      <c r="T796" s="9" t="s">
        <v>5401</v>
      </c>
      <c r="U796" s="9" t="s">
        <v>5408</v>
      </c>
      <c r="V796" s="58">
        <v>3</v>
      </c>
      <c r="W796" s="9"/>
      <c r="X796" s="9"/>
      <c r="Y796" s="9"/>
      <c r="Z796" s="9"/>
    </row>
    <row r="797" spans="1:26" ht="15.75" hidden="1" customHeight="1">
      <c r="A797" s="9" t="s">
        <v>2522</v>
      </c>
      <c r="B797" s="9" t="s">
        <v>5409</v>
      </c>
      <c r="C797" s="9" t="s">
        <v>2524</v>
      </c>
      <c r="D797" s="9" t="s">
        <v>368</v>
      </c>
      <c r="E797" s="9" t="s">
        <v>4388</v>
      </c>
      <c r="F797" s="58" t="s">
        <v>3057</v>
      </c>
      <c r="G797" s="58">
        <v>11200</v>
      </c>
      <c r="H797" s="85">
        <v>0.15</v>
      </c>
      <c r="I797" s="9">
        <v>30</v>
      </c>
      <c r="J797" s="9"/>
      <c r="K797" s="9"/>
      <c r="L797" s="9"/>
      <c r="M797" s="9"/>
      <c r="N797" s="9" t="s">
        <v>3599</v>
      </c>
      <c r="O797" s="9" t="s">
        <v>4152</v>
      </c>
      <c r="P797" s="9" t="s">
        <v>5410</v>
      </c>
      <c r="Q797" s="58" t="s">
        <v>3545</v>
      </c>
      <c r="R797" s="9">
        <v>4</v>
      </c>
      <c r="S797" s="9">
        <v>7</v>
      </c>
      <c r="T797" s="9" t="s">
        <v>5411</v>
      </c>
      <c r="U797" s="9" t="s">
        <v>5412</v>
      </c>
      <c r="V797" s="9">
        <v>4</v>
      </c>
      <c r="W797" s="9"/>
      <c r="X797" s="9"/>
      <c r="Y797" s="9"/>
      <c r="Z797" s="9"/>
    </row>
    <row r="798" spans="1:26" ht="15.75" hidden="1" customHeight="1">
      <c r="A798" s="9" t="s">
        <v>227</v>
      </c>
      <c r="B798" s="9" t="s">
        <v>5413</v>
      </c>
      <c r="C798" s="9" t="s">
        <v>228</v>
      </c>
      <c r="D798" s="9" t="s">
        <v>439</v>
      </c>
      <c r="E798" s="9" t="s">
        <v>3183</v>
      </c>
      <c r="F798" s="58" t="s">
        <v>3087</v>
      </c>
      <c r="G798" s="58">
        <v>5360</v>
      </c>
      <c r="H798" s="85">
        <v>8.9552238805970102E-2</v>
      </c>
      <c r="I798" s="9">
        <v>312</v>
      </c>
      <c r="J798" s="9"/>
      <c r="K798" s="9"/>
      <c r="L798" s="9"/>
      <c r="M798" s="9"/>
      <c r="N798" s="9" t="s">
        <v>3153</v>
      </c>
      <c r="O798" s="9" t="s">
        <v>3258</v>
      </c>
      <c r="P798" s="9" t="s">
        <v>3785</v>
      </c>
      <c r="Q798" s="58" t="s">
        <v>3770</v>
      </c>
      <c r="R798" s="58">
        <v>1</v>
      </c>
      <c r="S798" s="58">
        <v>8</v>
      </c>
      <c r="T798" s="9" t="s">
        <v>5414</v>
      </c>
      <c r="U798" s="9" t="s">
        <v>5415</v>
      </c>
      <c r="V798" s="58">
        <v>1</v>
      </c>
      <c r="W798" s="9"/>
      <c r="X798" s="9"/>
      <c r="Y798" s="9"/>
      <c r="Z798" s="9"/>
    </row>
    <row r="799" spans="1:26" ht="15.75" hidden="1" customHeight="1">
      <c r="A799" s="9" t="s">
        <v>227</v>
      </c>
      <c r="B799" s="9" t="s">
        <v>5413</v>
      </c>
      <c r="C799" s="9" t="s">
        <v>228</v>
      </c>
      <c r="D799" s="9" t="s">
        <v>368</v>
      </c>
      <c r="E799" s="9" t="s">
        <v>3183</v>
      </c>
      <c r="F799" s="58" t="s">
        <v>3087</v>
      </c>
      <c r="G799" s="58">
        <v>3010</v>
      </c>
      <c r="H799" s="85">
        <v>0.41860465116279</v>
      </c>
      <c r="I799" s="9">
        <v>312</v>
      </c>
      <c r="J799" s="9"/>
      <c r="K799" s="9"/>
      <c r="L799" s="9"/>
      <c r="M799" s="9"/>
      <c r="N799" s="9" t="s">
        <v>3153</v>
      </c>
      <c r="O799" s="9" t="s">
        <v>3258</v>
      </c>
      <c r="P799" s="9" t="s">
        <v>5416</v>
      </c>
      <c r="Q799" s="58" t="s">
        <v>5417</v>
      </c>
      <c r="R799" s="58">
        <v>3</v>
      </c>
      <c r="S799" s="58">
        <v>7</v>
      </c>
      <c r="T799" s="9" t="s">
        <v>5414</v>
      </c>
      <c r="U799" s="9" t="s">
        <v>5418</v>
      </c>
      <c r="V799" s="58">
        <v>3</v>
      </c>
      <c r="W799" s="9"/>
      <c r="X799" s="9"/>
      <c r="Y799" s="9"/>
      <c r="Z799" s="9"/>
    </row>
    <row r="800" spans="1:26" ht="15.75" hidden="1" customHeight="1">
      <c r="A800" s="9" t="s">
        <v>237</v>
      </c>
      <c r="B800" s="9" t="s">
        <v>5419</v>
      </c>
      <c r="C800" s="9" t="s">
        <v>238</v>
      </c>
      <c r="D800" s="9" t="s">
        <v>439</v>
      </c>
      <c r="E800" s="9"/>
      <c r="F800" s="9"/>
      <c r="G800" s="58">
        <v>5200</v>
      </c>
      <c r="H800" s="85">
        <v>9.2307692307692299E-2</v>
      </c>
      <c r="I800" s="9" t="s">
        <v>410</v>
      </c>
      <c r="J800" s="9"/>
      <c r="K800" s="9"/>
      <c r="L800" s="9"/>
      <c r="M800" s="9"/>
      <c r="N800" s="9" t="s">
        <v>3423</v>
      </c>
      <c r="O800" s="9" t="s">
        <v>3051</v>
      </c>
      <c r="P800" s="9" t="s">
        <v>4040</v>
      </c>
      <c r="Q800" s="58" t="s">
        <v>3687</v>
      </c>
      <c r="R800" s="58">
        <v>1</v>
      </c>
      <c r="S800" s="58">
        <v>8</v>
      </c>
      <c r="T800" s="9" t="s">
        <v>3065</v>
      </c>
      <c r="U800" s="9" t="s">
        <v>5420</v>
      </c>
      <c r="V800" s="58">
        <v>1</v>
      </c>
      <c r="W800" s="9"/>
      <c r="X800" s="9"/>
      <c r="Y800" s="9"/>
      <c r="Z800" s="9"/>
    </row>
    <row r="801" spans="1:26" ht="15.75" hidden="1" customHeight="1">
      <c r="A801" s="9" t="s">
        <v>237</v>
      </c>
      <c r="B801" s="9" t="s">
        <v>5419</v>
      </c>
      <c r="C801" s="9" t="s">
        <v>238</v>
      </c>
      <c r="D801" s="9" t="s">
        <v>368</v>
      </c>
      <c r="E801" s="9" t="s">
        <v>3402</v>
      </c>
      <c r="F801" s="58" t="s">
        <v>3057</v>
      </c>
      <c r="G801" s="58">
        <v>5950</v>
      </c>
      <c r="H801" s="85">
        <v>0.21176470588235199</v>
      </c>
      <c r="I801" s="9" t="s">
        <v>410</v>
      </c>
      <c r="J801" s="9"/>
      <c r="K801" s="9"/>
      <c r="L801" s="9"/>
      <c r="M801" s="9"/>
      <c r="N801" s="9" t="s">
        <v>3423</v>
      </c>
      <c r="O801" s="9" t="s">
        <v>3051</v>
      </c>
      <c r="P801" s="9" t="s">
        <v>5421</v>
      </c>
      <c r="Q801" s="58" t="s">
        <v>3132</v>
      </c>
      <c r="R801" s="58">
        <v>3</v>
      </c>
      <c r="S801" s="58">
        <v>7</v>
      </c>
      <c r="T801" s="9" t="s">
        <v>3065</v>
      </c>
      <c r="U801" s="9" t="s">
        <v>5422</v>
      </c>
      <c r="V801" s="58">
        <v>3</v>
      </c>
      <c r="W801" s="9"/>
      <c r="X801" s="9"/>
      <c r="Y801" s="9"/>
      <c r="Z801" s="9"/>
    </row>
    <row r="802" spans="1:26" ht="15.75" hidden="1" customHeight="1">
      <c r="A802" s="9" t="s">
        <v>5423</v>
      </c>
      <c r="B802" s="9" t="s">
        <v>5424</v>
      </c>
      <c r="C802" s="9" t="s">
        <v>5425</v>
      </c>
      <c r="D802" s="9" t="s">
        <v>439</v>
      </c>
      <c r="E802" s="9"/>
      <c r="F802" s="9"/>
      <c r="G802" s="58">
        <v>5200</v>
      </c>
      <c r="H802" s="85">
        <v>9.2307692307692299E-2</v>
      </c>
      <c r="I802" s="9" t="s">
        <v>410</v>
      </c>
      <c r="J802" s="9"/>
      <c r="K802" s="9"/>
      <c r="L802" s="9"/>
      <c r="M802" s="9"/>
      <c r="N802" s="9" t="s">
        <v>3423</v>
      </c>
      <c r="O802" s="9" t="s">
        <v>3051</v>
      </c>
      <c r="P802" s="9" t="s">
        <v>4040</v>
      </c>
      <c r="Q802" s="58" t="s">
        <v>3687</v>
      </c>
      <c r="R802" s="58">
        <v>1</v>
      </c>
      <c r="S802" s="58">
        <v>8</v>
      </c>
      <c r="T802" s="9" t="s">
        <v>3065</v>
      </c>
      <c r="U802" s="9" t="s">
        <v>5426</v>
      </c>
      <c r="V802" s="58">
        <v>1</v>
      </c>
      <c r="W802" s="9"/>
      <c r="X802" s="9"/>
      <c r="Y802" s="9"/>
      <c r="Z802" s="9"/>
    </row>
    <row r="803" spans="1:26" ht="15.75" hidden="1" customHeight="1">
      <c r="A803" s="9" t="s">
        <v>5423</v>
      </c>
      <c r="B803" s="9" t="s">
        <v>5424</v>
      </c>
      <c r="C803" s="9" t="s">
        <v>5425</v>
      </c>
      <c r="D803" s="9" t="s">
        <v>368</v>
      </c>
      <c r="E803" s="9" t="s">
        <v>3402</v>
      </c>
      <c r="F803" s="58" t="s">
        <v>3057</v>
      </c>
      <c r="G803" s="58">
        <v>8400</v>
      </c>
      <c r="H803" s="85">
        <v>0.15</v>
      </c>
      <c r="I803" s="9" t="s">
        <v>410</v>
      </c>
      <c r="J803" s="9"/>
      <c r="K803" s="9"/>
      <c r="L803" s="9"/>
      <c r="M803" s="9"/>
      <c r="N803" s="9" t="s">
        <v>3423</v>
      </c>
      <c r="O803" s="9" t="s">
        <v>3051</v>
      </c>
      <c r="P803" s="9" t="s">
        <v>5427</v>
      </c>
      <c r="Q803" s="58" t="s">
        <v>3074</v>
      </c>
      <c r="R803" s="58">
        <v>3</v>
      </c>
      <c r="S803" s="58">
        <v>7</v>
      </c>
      <c r="T803" s="9" t="s">
        <v>3065</v>
      </c>
      <c r="U803" s="9" t="s">
        <v>5428</v>
      </c>
      <c r="V803" s="58">
        <v>3</v>
      </c>
      <c r="W803" s="9"/>
      <c r="X803" s="9"/>
      <c r="Y803" s="9"/>
      <c r="Z803" s="9"/>
    </row>
    <row r="804" spans="1:26" ht="15.75" hidden="1" customHeight="1">
      <c r="A804" s="9" t="s">
        <v>1934</v>
      </c>
      <c r="B804" s="9" t="s">
        <v>5429</v>
      </c>
      <c r="C804" s="9" t="s">
        <v>782</v>
      </c>
      <c r="D804" s="9" t="s">
        <v>439</v>
      </c>
      <c r="E804" s="9"/>
      <c r="F804" s="9"/>
      <c r="G804" s="58">
        <v>5200</v>
      </c>
      <c r="H804" s="85">
        <v>9.2307692307692299E-2</v>
      </c>
      <c r="I804" s="9">
        <v>30</v>
      </c>
      <c r="J804" s="9"/>
      <c r="K804" s="9"/>
      <c r="L804" s="9"/>
      <c r="M804" s="9"/>
      <c r="N804" s="9" t="s">
        <v>4258</v>
      </c>
      <c r="O804" s="9" t="s">
        <v>3051</v>
      </c>
      <c r="P804" s="9" t="s">
        <v>4040</v>
      </c>
      <c r="Q804" s="58" t="s">
        <v>3687</v>
      </c>
      <c r="R804" s="58">
        <v>1</v>
      </c>
      <c r="S804" s="58">
        <v>8</v>
      </c>
      <c r="T804" s="9" t="s">
        <v>5430</v>
      </c>
      <c r="U804" s="9" t="s">
        <v>5431</v>
      </c>
      <c r="V804" s="58">
        <v>1</v>
      </c>
      <c r="W804" s="9"/>
      <c r="X804" s="9"/>
      <c r="Y804" s="9"/>
      <c r="Z804" s="9"/>
    </row>
    <row r="805" spans="1:26" ht="15.75" hidden="1" customHeight="1">
      <c r="A805" s="9" t="s">
        <v>1934</v>
      </c>
      <c r="B805" s="9" t="s">
        <v>5429</v>
      </c>
      <c r="C805" s="9" t="s">
        <v>782</v>
      </c>
      <c r="D805" s="9" t="s">
        <v>368</v>
      </c>
      <c r="E805" s="9" t="s">
        <v>3402</v>
      </c>
      <c r="F805" s="58" t="s">
        <v>3057</v>
      </c>
      <c r="G805" s="58">
        <v>12600</v>
      </c>
      <c r="H805" s="85">
        <v>0.1</v>
      </c>
      <c r="I805" s="9">
        <v>30</v>
      </c>
      <c r="J805" s="9"/>
      <c r="K805" s="9"/>
      <c r="L805" s="9"/>
      <c r="M805" s="9"/>
      <c r="N805" s="9" t="s">
        <v>4258</v>
      </c>
      <c r="O805" s="9" t="s">
        <v>3051</v>
      </c>
      <c r="P805" s="9" t="s">
        <v>5432</v>
      </c>
      <c r="Q805" s="58" t="s">
        <v>3465</v>
      </c>
      <c r="R805" s="58">
        <v>3</v>
      </c>
      <c r="S805" s="58">
        <v>7</v>
      </c>
      <c r="T805" s="9" t="s">
        <v>5430</v>
      </c>
      <c r="U805" s="9" t="s">
        <v>5433</v>
      </c>
      <c r="V805" s="58">
        <v>3</v>
      </c>
      <c r="W805" s="9"/>
      <c r="X805" s="9"/>
      <c r="Y805" s="9"/>
      <c r="Z805" s="9"/>
    </row>
    <row r="806" spans="1:26" ht="15.75" hidden="1" customHeight="1">
      <c r="A806" s="9" t="s">
        <v>1934</v>
      </c>
      <c r="B806" s="9" t="s">
        <v>5429</v>
      </c>
      <c r="C806" s="9" t="s">
        <v>782</v>
      </c>
      <c r="D806" s="9" t="s">
        <v>368</v>
      </c>
      <c r="E806" s="9" t="s">
        <v>5434</v>
      </c>
      <c r="F806" s="58" t="s">
        <v>3057</v>
      </c>
      <c r="G806" s="58">
        <v>5460</v>
      </c>
      <c r="H806" s="85">
        <v>0.15384615384615299</v>
      </c>
      <c r="I806" s="9">
        <v>30</v>
      </c>
      <c r="J806" s="9"/>
      <c r="K806" s="9"/>
      <c r="L806" s="9"/>
      <c r="M806" s="9"/>
      <c r="N806" s="9" t="s">
        <v>4258</v>
      </c>
      <c r="O806" s="9" t="s">
        <v>3051</v>
      </c>
      <c r="P806" s="9" t="s">
        <v>5435</v>
      </c>
      <c r="Q806" s="58" t="s">
        <v>3520</v>
      </c>
      <c r="R806" s="58">
        <v>2</v>
      </c>
      <c r="S806" s="58">
        <v>7</v>
      </c>
      <c r="T806" s="9" t="s">
        <v>5430</v>
      </c>
      <c r="U806" s="9" t="s">
        <v>5433</v>
      </c>
      <c r="V806" s="58">
        <v>2</v>
      </c>
      <c r="W806" s="9"/>
      <c r="X806" s="9"/>
      <c r="Y806" s="9"/>
      <c r="Z806" s="9"/>
    </row>
    <row r="807" spans="1:26" ht="15.75" hidden="1" customHeight="1">
      <c r="A807" s="9" t="s">
        <v>5436</v>
      </c>
      <c r="B807" s="9" t="s">
        <v>5437</v>
      </c>
      <c r="C807" s="9" t="s">
        <v>5438</v>
      </c>
      <c r="D807" s="9" t="s">
        <v>439</v>
      </c>
      <c r="E807" s="9"/>
      <c r="F807" s="9"/>
      <c r="G807" s="58">
        <v>9600</v>
      </c>
      <c r="H807" s="85">
        <v>0.05</v>
      </c>
      <c r="I807" s="9">
        <v>50</v>
      </c>
      <c r="J807" s="9"/>
      <c r="K807" s="9"/>
      <c r="L807" s="9"/>
      <c r="M807" s="9"/>
      <c r="N807" s="9" t="s">
        <v>5439</v>
      </c>
      <c r="O807" s="9" t="s">
        <v>3258</v>
      </c>
      <c r="P807" s="9" t="s">
        <v>3111</v>
      </c>
      <c r="Q807" s="58" t="s">
        <v>3074</v>
      </c>
      <c r="R807" s="9">
        <v>1</v>
      </c>
      <c r="S807" s="9">
        <v>8</v>
      </c>
      <c r="T807" s="9" t="s">
        <v>3065</v>
      </c>
      <c r="U807" s="9" t="s">
        <v>5440</v>
      </c>
      <c r="V807" s="9">
        <v>1</v>
      </c>
      <c r="W807" s="9"/>
      <c r="X807" s="9"/>
      <c r="Y807" s="9"/>
      <c r="Z807" s="9"/>
    </row>
    <row r="808" spans="1:26" ht="15.75" hidden="1" customHeight="1">
      <c r="A808" s="9" t="s">
        <v>5436</v>
      </c>
      <c r="B808" s="9" t="s">
        <v>5437</v>
      </c>
      <c r="C808" s="9" t="s">
        <v>5438</v>
      </c>
      <c r="D808" s="9" t="s">
        <v>368</v>
      </c>
      <c r="E808" s="9"/>
      <c r="F808" s="58" t="s">
        <v>3057</v>
      </c>
      <c r="G808" s="58">
        <v>4900</v>
      </c>
      <c r="H808" s="85">
        <v>0.25714285714285701</v>
      </c>
      <c r="I808" s="9">
        <v>50</v>
      </c>
      <c r="J808" s="9"/>
      <c r="K808" s="9"/>
      <c r="L808" s="9"/>
      <c r="M808" s="9"/>
      <c r="N808" s="9" t="s">
        <v>5439</v>
      </c>
      <c r="O808" s="9" t="s">
        <v>3258</v>
      </c>
      <c r="P808" s="9" t="s">
        <v>5441</v>
      </c>
      <c r="Q808" s="58" t="s">
        <v>3155</v>
      </c>
      <c r="R808" s="9">
        <v>3</v>
      </c>
      <c r="S808" s="9">
        <v>7</v>
      </c>
      <c r="T808" s="9" t="s">
        <v>3065</v>
      </c>
      <c r="U808" s="9" t="s">
        <v>5442</v>
      </c>
      <c r="V808" s="9">
        <v>3</v>
      </c>
      <c r="W808" s="9"/>
      <c r="X808" s="9"/>
      <c r="Y808" s="9"/>
      <c r="Z808" s="9"/>
    </row>
    <row r="809" spans="1:26" ht="15.75" hidden="1" customHeight="1">
      <c r="A809" s="9" t="s">
        <v>5443</v>
      </c>
      <c r="B809" s="9" t="s">
        <v>5444</v>
      </c>
      <c r="C809" s="9" t="s">
        <v>5445</v>
      </c>
      <c r="D809" s="9" t="s">
        <v>439</v>
      </c>
      <c r="E809" s="9"/>
      <c r="F809" s="9"/>
      <c r="G809" s="58">
        <v>6400</v>
      </c>
      <c r="H809" s="85">
        <v>7.4999999999999997E-2</v>
      </c>
      <c r="I809" s="9">
        <v>95</v>
      </c>
      <c r="J809" s="9"/>
      <c r="K809" s="9"/>
      <c r="L809" s="9"/>
      <c r="M809" s="9"/>
      <c r="N809" s="9" t="s">
        <v>5446</v>
      </c>
      <c r="O809" s="9" t="s">
        <v>3051</v>
      </c>
      <c r="P809" s="9" t="s">
        <v>3549</v>
      </c>
      <c r="Q809" s="58" t="s">
        <v>3185</v>
      </c>
      <c r="R809" s="9">
        <v>1</v>
      </c>
      <c r="S809" s="9">
        <v>8</v>
      </c>
      <c r="T809" s="9" t="s">
        <v>3065</v>
      </c>
      <c r="U809" s="9" t="s">
        <v>5447</v>
      </c>
      <c r="V809" s="9">
        <v>1</v>
      </c>
      <c r="W809" s="9"/>
      <c r="X809" s="9"/>
      <c r="Y809" s="9"/>
      <c r="Z809" s="9"/>
    </row>
    <row r="810" spans="1:26" ht="15.75" hidden="1" customHeight="1">
      <c r="A810" s="9" t="s">
        <v>5443</v>
      </c>
      <c r="B810" s="9" t="s">
        <v>5444</v>
      </c>
      <c r="C810" s="9" t="s">
        <v>5445</v>
      </c>
      <c r="D810" s="9" t="s">
        <v>368</v>
      </c>
      <c r="E810" s="9" t="s">
        <v>3402</v>
      </c>
      <c r="F810" s="58" t="s">
        <v>3057</v>
      </c>
      <c r="G810" s="58">
        <v>4900</v>
      </c>
      <c r="H810" s="85">
        <v>0.25714285714285701</v>
      </c>
      <c r="I810" s="9">
        <v>95</v>
      </c>
      <c r="J810" s="9"/>
      <c r="K810" s="9"/>
      <c r="L810" s="9"/>
      <c r="M810" s="9"/>
      <c r="N810" s="9" t="s">
        <v>5446</v>
      </c>
      <c r="O810" s="9" t="s">
        <v>3051</v>
      </c>
      <c r="P810" s="9" t="s">
        <v>5448</v>
      </c>
      <c r="Q810" s="58" t="s">
        <v>3155</v>
      </c>
      <c r="R810" s="9">
        <v>3</v>
      </c>
      <c r="S810" s="9">
        <v>7</v>
      </c>
      <c r="T810" s="9" t="s">
        <v>3065</v>
      </c>
      <c r="U810" s="9" t="s">
        <v>5449</v>
      </c>
      <c r="V810" s="9">
        <v>3</v>
      </c>
      <c r="W810" s="9"/>
      <c r="X810" s="9"/>
      <c r="Y810" s="9"/>
      <c r="Z810" s="9"/>
    </row>
    <row r="811" spans="1:26" ht="15.75" hidden="1" customHeight="1">
      <c r="A811" s="9" t="s">
        <v>62</v>
      </c>
      <c r="B811" s="9" t="s">
        <v>5450</v>
      </c>
      <c r="C811" s="9" t="s">
        <v>63</v>
      </c>
      <c r="D811" s="9" t="s">
        <v>368</v>
      </c>
      <c r="E811" s="9" t="s">
        <v>3183</v>
      </c>
      <c r="F811" s="58" t="s">
        <v>3087</v>
      </c>
      <c r="G811" s="58">
        <v>7000</v>
      </c>
      <c r="H811" s="85">
        <v>0.24</v>
      </c>
      <c r="I811" s="9">
        <v>15</v>
      </c>
      <c r="J811" s="9"/>
      <c r="K811" s="9"/>
      <c r="L811" s="9"/>
      <c r="M811" s="9"/>
      <c r="N811" s="9" t="s">
        <v>3105</v>
      </c>
      <c r="O811" s="9" t="s">
        <v>3081</v>
      </c>
      <c r="P811" s="9" t="s">
        <v>5451</v>
      </c>
      <c r="Q811" s="58" t="s">
        <v>3167</v>
      </c>
      <c r="R811" s="58">
        <v>4</v>
      </c>
      <c r="S811" s="58">
        <v>7</v>
      </c>
      <c r="T811" s="9" t="s">
        <v>5452</v>
      </c>
      <c r="U811" s="9" t="s">
        <v>5453</v>
      </c>
      <c r="V811" s="58">
        <v>4</v>
      </c>
      <c r="W811" s="9"/>
      <c r="X811" s="9"/>
      <c r="Y811" s="9"/>
      <c r="Z811" s="9"/>
    </row>
    <row r="812" spans="1:26" ht="15.75" hidden="1" customHeight="1">
      <c r="A812" s="9" t="s">
        <v>1936</v>
      </c>
      <c r="B812" s="9" t="s">
        <v>5454</v>
      </c>
      <c r="C812" s="9" t="s">
        <v>63</v>
      </c>
      <c r="D812" s="9" t="s">
        <v>368</v>
      </c>
      <c r="E812" s="9"/>
      <c r="F812" s="9"/>
      <c r="G812" s="58">
        <v>320000</v>
      </c>
      <c r="H812" s="85">
        <v>1.5E-3</v>
      </c>
      <c r="I812" s="9">
        <v>180</v>
      </c>
      <c r="J812" s="9"/>
      <c r="K812" s="9"/>
      <c r="L812" s="9"/>
      <c r="M812" s="9"/>
      <c r="N812" s="9" t="s">
        <v>3176</v>
      </c>
      <c r="O812" s="9" t="s">
        <v>3176</v>
      </c>
      <c r="P812" s="9" t="s">
        <v>3176</v>
      </c>
      <c r="Q812" s="58">
        <v>40000</v>
      </c>
      <c r="R812" s="9">
        <v>1</v>
      </c>
      <c r="S812" s="9">
        <v>8</v>
      </c>
      <c r="T812" s="9"/>
      <c r="U812" s="9" t="s">
        <v>5455</v>
      </c>
      <c r="V812" s="9">
        <v>1</v>
      </c>
      <c r="W812" s="9"/>
      <c r="X812" s="9"/>
      <c r="Y812" s="9"/>
      <c r="Z812" s="9"/>
    </row>
    <row r="813" spans="1:26" ht="15.75" hidden="1" customHeight="1">
      <c r="A813" s="9" t="s">
        <v>1936</v>
      </c>
      <c r="B813" s="9" t="s">
        <v>5454</v>
      </c>
      <c r="C813" s="9" t="s">
        <v>63</v>
      </c>
      <c r="D813" s="9" t="s">
        <v>368</v>
      </c>
      <c r="E813" s="9"/>
      <c r="F813" s="9"/>
      <c r="G813" s="58">
        <v>100000</v>
      </c>
      <c r="H813" s="85">
        <v>0</v>
      </c>
      <c r="I813" s="9">
        <v>50</v>
      </c>
      <c r="J813" s="9"/>
      <c r="K813" s="9"/>
      <c r="L813" s="9"/>
      <c r="M813" s="9"/>
      <c r="N813" s="9" t="s">
        <v>3176</v>
      </c>
      <c r="O813" s="9" t="s">
        <v>3176</v>
      </c>
      <c r="P813" s="9" t="s">
        <v>3176</v>
      </c>
      <c r="Q813" s="9"/>
      <c r="R813" s="9"/>
      <c r="S813" s="9"/>
      <c r="T813" s="9"/>
      <c r="U813" s="9" t="s">
        <v>5455</v>
      </c>
      <c r="V813" s="9"/>
      <c r="W813" s="9"/>
      <c r="X813" s="9"/>
      <c r="Y813" s="9"/>
      <c r="Z813" s="9"/>
    </row>
    <row r="814" spans="1:26" ht="15.75" hidden="1" customHeight="1">
      <c r="A814" s="9" t="s">
        <v>46</v>
      </c>
      <c r="B814" s="9" t="s">
        <v>5456</v>
      </c>
      <c r="C814" s="9" t="s">
        <v>47</v>
      </c>
      <c r="D814" s="9" t="s">
        <v>368</v>
      </c>
      <c r="E814" s="9" t="s">
        <v>3067</v>
      </c>
      <c r="F814" s="58" t="s">
        <v>3057</v>
      </c>
      <c r="G814" s="58">
        <v>2940</v>
      </c>
      <c r="H814" s="85">
        <v>0.42857142857142799</v>
      </c>
      <c r="I814" s="9">
        <v>42.5</v>
      </c>
      <c r="J814" s="9"/>
      <c r="K814" s="9"/>
      <c r="L814" s="9"/>
      <c r="M814" s="9"/>
      <c r="N814" s="9" t="s">
        <v>5457</v>
      </c>
      <c r="O814" s="9" t="s">
        <v>3081</v>
      </c>
      <c r="P814" s="9" t="s">
        <v>5458</v>
      </c>
      <c r="Q814" s="58">
        <v>420</v>
      </c>
      <c r="R814" s="58">
        <v>3</v>
      </c>
      <c r="S814" s="58">
        <v>7</v>
      </c>
      <c r="T814" s="9" t="s">
        <v>5459</v>
      </c>
      <c r="U814" s="9" t="s">
        <v>5460</v>
      </c>
      <c r="V814" s="58">
        <v>3</v>
      </c>
      <c r="W814" s="9"/>
      <c r="X814" s="9"/>
      <c r="Y814" s="9"/>
      <c r="Z814" s="9"/>
    </row>
    <row r="815" spans="1:26" ht="15.75" customHeight="1">
      <c r="A815" s="9" t="s">
        <v>1941</v>
      </c>
      <c r="B815" s="9" t="s">
        <v>5461</v>
      </c>
      <c r="C815" s="9" t="s">
        <v>847</v>
      </c>
      <c r="D815" s="9" t="s">
        <v>484</v>
      </c>
      <c r="E815" s="9"/>
      <c r="F815" s="9"/>
      <c r="G815" s="58">
        <v>16000</v>
      </c>
      <c r="H815" s="85">
        <v>0.03</v>
      </c>
      <c r="I815" s="9">
        <v>49.5</v>
      </c>
      <c r="J815" s="9"/>
      <c r="K815" s="9"/>
      <c r="L815" s="9"/>
      <c r="M815" s="9"/>
      <c r="N815" s="9" t="s">
        <v>3446</v>
      </c>
      <c r="O815" s="9" t="s">
        <v>3081</v>
      </c>
      <c r="P815" s="9" t="s">
        <v>5462</v>
      </c>
      <c r="Q815" s="58" t="s">
        <v>3462</v>
      </c>
      <c r="R815" s="58">
        <v>1</v>
      </c>
      <c r="S815" s="58">
        <v>8</v>
      </c>
      <c r="T815" s="9" t="s">
        <v>3065</v>
      </c>
      <c r="U815" s="9" t="s">
        <v>5463</v>
      </c>
      <c r="V815" s="58">
        <v>1</v>
      </c>
      <c r="W815" s="9"/>
      <c r="X815" s="9"/>
      <c r="Y815" s="9"/>
      <c r="Z815" s="9"/>
    </row>
    <row r="816" spans="1:26" ht="15.75" hidden="1" customHeight="1">
      <c r="A816" s="9" t="s">
        <v>1940</v>
      </c>
      <c r="B816" s="9" t="s">
        <v>5461</v>
      </c>
      <c r="C816" s="9" t="s">
        <v>847</v>
      </c>
      <c r="D816" s="9" t="s">
        <v>439</v>
      </c>
      <c r="E816" s="9"/>
      <c r="F816" s="9"/>
      <c r="G816" s="58">
        <v>6400</v>
      </c>
      <c r="H816" s="85">
        <v>7.4999999999999997E-2</v>
      </c>
      <c r="I816" s="9">
        <v>49.5</v>
      </c>
      <c r="J816" s="9"/>
      <c r="K816" s="9"/>
      <c r="L816" s="9"/>
      <c r="M816" s="9"/>
      <c r="N816" s="9" t="s">
        <v>3446</v>
      </c>
      <c r="O816" s="9" t="s">
        <v>3081</v>
      </c>
      <c r="P816" s="9" t="s">
        <v>3190</v>
      </c>
      <c r="Q816" s="58" t="s">
        <v>3185</v>
      </c>
      <c r="R816" s="58">
        <v>1</v>
      </c>
      <c r="S816" s="58">
        <v>8</v>
      </c>
      <c r="T816" s="9" t="s">
        <v>3065</v>
      </c>
      <c r="U816" s="9" t="s">
        <v>5464</v>
      </c>
      <c r="V816" s="58">
        <v>1</v>
      </c>
      <c r="W816" s="9"/>
      <c r="X816" s="9"/>
      <c r="Y816" s="9"/>
      <c r="Z816" s="9"/>
    </row>
    <row r="817" spans="1:26" ht="15.75" hidden="1" customHeight="1">
      <c r="A817" s="9" t="s">
        <v>1940</v>
      </c>
      <c r="B817" s="9" t="s">
        <v>5461</v>
      </c>
      <c r="C817" s="9" t="s">
        <v>847</v>
      </c>
      <c r="D817" s="9" t="s">
        <v>368</v>
      </c>
      <c r="E817" s="9" t="s">
        <v>3092</v>
      </c>
      <c r="F817" s="58" t="s">
        <v>3087</v>
      </c>
      <c r="G817" s="58">
        <v>4900</v>
      </c>
      <c r="H817" s="85">
        <v>0.34285714285714203</v>
      </c>
      <c r="I817" s="9">
        <v>49.5</v>
      </c>
      <c r="J817" s="9"/>
      <c r="K817" s="9"/>
      <c r="L817" s="9"/>
      <c r="M817" s="9"/>
      <c r="N817" s="9" t="s">
        <v>3446</v>
      </c>
      <c r="O817" s="9" t="s">
        <v>3081</v>
      </c>
      <c r="P817" s="9" t="s">
        <v>5465</v>
      </c>
      <c r="Q817" s="58" t="s">
        <v>3155</v>
      </c>
      <c r="R817" s="58">
        <v>4</v>
      </c>
      <c r="S817" s="58">
        <v>7</v>
      </c>
      <c r="T817" s="9" t="s">
        <v>3065</v>
      </c>
      <c r="U817" s="9" t="s">
        <v>5466</v>
      </c>
      <c r="V817" s="58">
        <v>4</v>
      </c>
      <c r="W817" s="9"/>
      <c r="X817" s="9"/>
      <c r="Y817" s="9"/>
      <c r="Z817" s="9"/>
    </row>
    <row r="818" spans="1:26" ht="15.75" hidden="1" customHeight="1">
      <c r="A818" s="9" t="s">
        <v>1943</v>
      </c>
      <c r="B818" s="9" t="s">
        <v>5467</v>
      </c>
      <c r="C818" s="9" t="s">
        <v>849</v>
      </c>
      <c r="D818" s="9" t="s">
        <v>439</v>
      </c>
      <c r="E818" s="9"/>
      <c r="F818" s="9"/>
      <c r="G818" s="58">
        <v>7200</v>
      </c>
      <c r="H818" s="85">
        <v>6.6666666666666596E-2</v>
      </c>
      <c r="I818" s="9">
        <v>47</v>
      </c>
      <c r="J818" s="9"/>
      <c r="K818" s="9"/>
      <c r="L818" s="9"/>
      <c r="M818" s="9"/>
      <c r="N818" s="9" t="s">
        <v>4411</v>
      </c>
      <c r="O818" s="9" t="s">
        <v>3081</v>
      </c>
      <c r="P818" s="9" t="s">
        <v>3644</v>
      </c>
      <c r="Q818" s="58" t="s">
        <v>3069</v>
      </c>
      <c r="R818" s="58">
        <v>1</v>
      </c>
      <c r="S818" s="58">
        <v>8</v>
      </c>
      <c r="T818" s="9" t="s">
        <v>5468</v>
      </c>
      <c r="U818" s="9" t="s">
        <v>5469</v>
      </c>
      <c r="V818" s="58">
        <v>1</v>
      </c>
      <c r="W818" s="9"/>
      <c r="X818" s="9"/>
      <c r="Y818" s="9"/>
      <c r="Z818" s="9"/>
    </row>
    <row r="819" spans="1:26" ht="15.75" hidden="1" customHeight="1">
      <c r="A819" s="9" t="s">
        <v>1943</v>
      </c>
      <c r="B819" s="9" t="s">
        <v>5467</v>
      </c>
      <c r="C819" s="9" t="s">
        <v>849</v>
      </c>
      <c r="D819" s="9" t="s">
        <v>368</v>
      </c>
      <c r="E819" s="9" t="s">
        <v>3092</v>
      </c>
      <c r="F819" s="58" t="s">
        <v>3087</v>
      </c>
      <c r="G819" s="58">
        <v>6300</v>
      </c>
      <c r="H819" s="85">
        <v>0.266666666666666</v>
      </c>
      <c r="I819" s="9">
        <v>47</v>
      </c>
      <c r="J819" s="9"/>
      <c r="K819" s="9"/>
      <c r="L819" s="9"/>
      <c r="M819" s="9"/>
      <c r="N819" s="9" t="s">
        <v>4411</v>
      </c>
      <c r="O819" s="9" t="s">
        <v>3081</v>
      </c>
      <c r="P819" s="9" t="s">
        <v>5470</v>
      </c>
      <c r="Q819" s="58" t="s">
        <v>3069</v>
      </c>
      <c r="R819" s="58">
        <v>4</v>
      </c>
      <c r="S819" s="58">
        <v>7</v>
      </c>
      <c r="T819" s="9" t="s">
        <v>5468</v>
      </c>
      <c r="U819" s="9" t="s">
        <v>5471</v>
      </c>
      <c r="V819" s="58">
        <v>4</v>
      </c>
      <c r="W819" s="9"/>
      <c r="X819" s="9"/>
      <c r="Y819" s="9"/>
      <c r="Z819" s="9"/>
    </row>
    <row r="820" spans="1:26" ht="15.75" hidden="1" customHeight="1">
      <c r="A820" s="9" t="s">
        <v>1945</v>
      </c>
      <c r="B820" s="9" t="s">
        <v>5472</v>
      </c>
      <c r="C820" s="9" t="s">
        <v>469</v>
      </c>
      <c r="D820" s="9" t="s">
        <v>439</v>
      </c>
      <c r="E820" s="9"/>
      <c r="F820" s="9"/>
      <c r="G820" s="58">
        <v>5600</v>
      </c>
      <c r="H820" s="85">
        <v>8.5714285714285701E-2</v>
      </c>
      <c r="I820" s="9" t="s">
        <v>5473</v>
      </c>
      <c r="J820" s="9"/>
      <c r="K820" s="9"/>
      <c r="L820" s="9"/>
      <c r="M820" s="9"/>
      <c r="N820" s="9" t="s">
        <v>5474</v>
      </c>
      <c r="O820" s="9" t="s">
        <v>4981</v>
      </c>
      <c r="P820" s="9" t="s">
        <v>3154</v>
      </c>
      <c r="Q820" s="58" t="s">
        <v>3155</v>
      </c>
      <c r="R820" s="58">
        <v>1</v>
      </c>
      <c r="S820" s="58">
        <v>8</v>
      </c>
      <c r="T820" s="9" t="s">
        <v>5475</v>
      </c>
      <c r="U820" s="9" t="s">
        <v>5476</v>
      </c>
      <c r="V820" s="58">
        <v>1</v>
      </c>
      <c r="W820" s="9"/>
      <c r="X820" s="9"/>
      <c r="Y820" s="9"/>
      <c r="Z820" s="9"/>
    </row>
    <row r="821" spans="1:26" ht="15.75" hidden="1" customHeight="1">
      <c r="A821" s="9" t="s">
        <v>1945</v>
      </c>
      <c r="B821" s="9" t="s">
        <v>5472</v>
      </c>
      <c r="C821" s="9" t="s">
        <v>469</v>
      </c>
      <c r="D821" s="9" t="s">
        <v>368</v>
      </c>
      <c r="E821" s="9" t="s">
        <v>3402</v>
      </c>
      <c r="F821" s="58" t="s">
        <v>3057</v>
      </c>
      <c r="G821" s="58">
        <v>9800</v>
      </c>
      <c r="H821" s="85">
        <v>0.17142857142857101</v>
      </c>
      <c r="I821" s="9" t="s">
        <v>5473</v>
      </c>
      <c r="J821" s="9"/>
      <c r="K821" s="9"/>
      <c r="L821" s="9"/>
      <c r="M821" s="9"/>
      <c r="N821" s="9" t="s">
        <v>5474</v>
      </c>
      <c r="O821" s="9" t="s">
        <v>4981</v>
      </c>
      <c r="P821" s="9" t="s">
        <v>5477</v>
      </c>
      <c r="Q821" s="58" t="s">
        <v>3294</v>
      </c>
      <c r="R821" s="58">
        <v>4</v>
      </c>
      <c r="S821" s="58">
        <v>7</v>
      </c>
      <c r="T821" s="9" t="s">
        <v>5475</v>
      </c>
      <c r="U821" s="9" t="s">
        <v>5478</v>
      </c>
      <c r="V821" s="58">
        <v>4</v>
      </c>
      <c r="W821" s="9"/>
      <c r="X821" s="9"/>
      <c r="Y821" s="9"/>
      <c r="Z821" s="9"/>
    </row>
    <row r="822" spans="1:26" ht="15.75" hidden="1" customHeight="1">
      <c r="A822" s="9" t="s">
        <v>2275</v>
      </c>
      <c r="B822" s="9" t="s">
        <v>5479</v>
      </c>
      <c r="C822" s="9" t="s">
        <v>2277</v>
      </c>
      <c r="D822" s="9" t="s">
        <v>439</v>
      </c>
      <c r="E822" s="9"/>
      <c r="F822" s="9"/>
      <c r="G822" s="58">
        <v>6400</v>
      </c>
      <c r="H822" s="85">
        <v>7.4999999999999997E-2</v>
      </c>
      <c r="I822" s="9">
        <v>30</v>
      </c>
      <c r="J822" s="9"/>
      <c r="K822" s="9"/>
      <c r="L822" s="9"/>
      <c r="M822" s="9"/>
      <c r="N822" s="9" t="s">
        <v>4798</v>
      </c>
      <c r="O822" s="9" t="s">
        <v>4098</v>
      </c>
      <c r="P822" s="9" t="s">
        <v>3549</v>
      </c>
      <c r="Q822" s="58" t="s">
        <v>3185</v>
      </c>
      <c r="R822" s="58">
        <v>1</v>
      </c>
      <c r="S822" s="58">
        <v>8</v>
      </c>
      <c r="T822" s="9" t="s">
        <v>5480</v>
      </c>
      <c r="U822" s="9" t="s">
        <v>5481</v>
      </c>
      <c r="V822" s="58">
        <v>1</v>
      </c>
      <c r="W822" s="9"/>
      <c r="X822" s="9"/>
      <c r="Y822" s="9"/>
      <c r="Z822" s="9"/>
    </row>
    <row r="823" spans="1:26" ht="15.75" hidden="1" customHeight="1">
      <c r="A823" s="9" t="s">
        <v>2275</v>
      </c>
      <c r="B823" s="9" t="s">
        <v>5479</v>
      </c>
      <c r="C823" s="9" t="s">
        <v>2277</v>
      </c>
      <c r="D823" s="9" t="s">
        <v>368</v>
      </c>
      <c r="E823" s="9" t="s">
        <v>3067</v>
      </c>
      <c r="F823" s="58" t="s">
        <v>3057</v>
      </c>
      <c r="G823" s="58">
        <v>7000</v>
      </c>
      <c r="H823" s="85">
        <v>0.24</v>
      </c>
      <c r="I823" s="9">
        <v>30</v>
      </c>
      <c r="J823" s="9"/>
      <c r="K823" s="9"/>
      <c r="L823" s="9"/>
      <c r="M823" s="9"/>
      <c r="N823" s="9" t="s">
        <v>4798</v>
      </c>
      <c r="O823" s="9" t="s">
        <v>4098</v>
      </c>
      <c r="P823" s="9" t="s">
        <v>5482</v>
      </c>
      <c r="Q823" s="58" t="s">
        <v>3167</v>
      </c>
      <c r="R823" s="58">
        <v>4</v>
      </c>
      <c r="S823" s="58">
        <v>7</v>
      </c>
      <c r="T823" s="9" t="s">
        <v>5480</v>
      </c>
      <c r="U823" s="9" t="s">
        <v>5483</v>
      </c>
      <c r="V823" s="58">
        <v>4</v>
      </c>
      <c r="W823" s="9"/>
      <c r="X823" s="9"/>
      <c r="Y823" s="9"/>
      <c r="Z823" s="9"/>
    </row>
    <row r="824" spans="1:26" ht="15.75" hidden="1" customHeight="1">
      <c r="A824" s="9" t="s">
        <v>1951</v>
      </c>
      <c r="B824" s="9" t="s">
        <v>5484</v>
      </c>
      <c r="C824" s="9" t="s">
        <v>498</v>
      </c>
      <c r="D824" s="9" t="s">
        <v>368</v>
      </c>
      <c r="E824" s="9" t="s">
        <v>3092</v>
      </c>
      <c r="F824" s="58" t="s">
        <v>3087</v>
      </c>
      <c r="G824" s="58">
        <v>6300</v>
      </c>
      <c r="H824" s="85">
        <v>0.266666666666666</v>
      </c>
      <c r="I824" s="9"/>
      <c r="J824" s="9">
        <v>12</v>
      </c>
      <c r="K824" s="9"/>
      <c r="L824" s="9"/>
      <c r="M824" s="9"/>
      <c r="N824" s="9" t="s">
        <v>5485</v>
      </c>
      <c r="O824" s="9" t="s">
        <v>3081</v>
      </c>
      <c r="P824" s="9" t="s">
        <v>5486</v>
      </c>
      <c r="Q824" s="58" t="s">
        <v>3069</v>
      </c>
      <c r="R824" s="58">
        <v>4</v>
      </c>
      <c r="S824" s="58">
        <v>7</v>
      </c>
      <c r="T824" s="9" t="s">
        <v>5487</v>
      </c>
      <c r="U824" s="9" t="s">
        <v>5488</v>
      </c>
      <c r="V824" s="58">
        <v>4</v>
      </c>
      <c r="W824" s="9"/>
      <c r="X824" s="9"/>
      <c r="Y824" s="9"/>
      <c r="Z824" s="9"/>
    </row>
    <row r="825" spans="1:26" ht="15.75" hidden="1" customHeight="1">
      <c r="A825" s="9" t="s">
        <v>1955</v>
      </c>
      <c r="B825" s="9" t="s">
        <v>5489</v>
      </c>
      <c r="C825" s="9" t="s">
        <v>724</v>
      </c>
      <c r="D825" s="9" t="s">
        <v>439</v>
      </c>
      <c r="E825" s="9"/>
      <c r="F825" s="9"/>
      <c r="G825" s="58">
        <v>5200</v>
      </c>
      <c r="H825" s="85">
        <v>9.2307692307692299E-2</v>
      </c>
      <c r="I825" s="9">
        <v>30.3</v>
      </c>
      <c r="J825" s="9"/>
      <c r="K825" s="9"/>
      <c r="L825" s="9"/>
      <c r="M825" s="9"/>
      <c r="N825" s="9" t="s">
        <v>3423</v>
      </c>
      <c r="O825" s="9" t="s">
        <v>5240</v>
      </c>
      <c r="P825" s="9" t="s">
        <v>4361</v>
      </c>
      <c r="Q825" s="58" t="s">
        <v>3687</v>
      </c>
      <c r="R825" s="9">
        <v>1</v>
      </c>
      <c r="S825" s="9">
        <v>8</v>
      </c>
      <c r="T825" s="9"/>
      <c r="U825" s="9" t="s">
        <v>5490</v>
      </c>
      <c r="V825" s="9">
        <v>1</v>
      </c>
      <c r="W825" s="9"/>
      <c r="X825" s="9"/>
      <c r="Y825" s="9"/>
      <c r="Z825" s="9"/>
    </row>
    <row r="826" spans="1:26" ht="15.75" hidden="1" customHeight="1">
      <c r="A826" s="9" t="s">
        <v>1955</v>
      </c>
      <c r="B826" s="9" t="s">
        <v>5489</v>
      </c>
      <c r="C826" s="9" t="s">
        <v>724</v>
      </c>
      <c r="D826" s="9" t="s">
        <v>368</v>
      </c>
      <c r="E826" s="9"/>
      <c r="F826" s="9"/>
      <c r="G826" s="58">
        <v>11200</v>
      </c>
      <c r="H826" s="85">
        <v>0.15</v>
      </c>
      <c r="I826" s="9">
        <v>30.3</v>
      </c>
      <c r="J826" s="9"/>
      <c r="K826" s="9"/>
      <c r="L826" s="9"/>
      <c r="M826" s="9"/>
      <c r="N826" s="9" t="s">
        <v>3423</v>
      </c>
      <c r="O826" s="9" t="s">
        <v>5240</v>
      </c>
      <c r="P826" s="9" t="s">
        <v>5410</v>
      </c>
      <c r="Q826" s="58" t="s">
        <v>3545</v>
      </c>
      <c r="R826" s="9">
        <v>4</v>
      </c>
      <c r="S826" s="9">
        <v>7</v>
      </c>
      <c r="T826" s="9"/>
      <c r="U826" s="9" t="s">
        <v>5491</v>
      </c>
      <c r="V826" s="9">
        <v>4</v>
      </c>
      <c r="W826" s="9"/>
      <c r="X826" s="9"/>
      <c r="Y826" s="9"/>
      <c r="Z826" s="9"/>
    </row>
    <row r="827" spans="1:26" ht="15.75" hidden="1" customHeight="1">
      <c r="A827" s="9" t="s">
        <v>5492</v>
      </c>
      <c r="B827" s="9" t="s">
        <v>5493</v>
      </c>
      <c r="C827" s="9" t="s">
        <v>5494</v>
      </c>
      <c r="D827" s="9" t="s">
        <v>439</v>
      </c>
      <c r="E827" s="9"/>
      <c r="F827" s="9"/>
      <c r="G827" s="58">
        <v>5200</v>
      </c>
      <c r="H827" s="85">
        <v>9.2307692307692299E-2</v>
      </c>
      <c r="I827" s="9">
        <v>30.3</v>
      </c>
      <c r="J827" s="9"/>
      <c r="K827" s="9"/>
      <c r="L827" s="9"/>
      <c r="M827" s="9"/>
      <c r="N827" s="9" t="s">
        <v>3423</v>
      </c>
      <c r="O827" s="9" t="s">
        <v>5240</v>
      </c>
      <c r="P827" s="9" t="s">
        <v>4361</v>
      </c>
      <c r="Q827" s="58" t="s">
        <v>3687</v>
      </c>
      <c r="R827" s="9">
        <v>1</v>
      </c>
      <c r="S827" s="9">
        <v>8</v>
      </c>
      <c r="T827" s="9"/>
      <c r="U827" s="9" t="s">
        <v>5495</v>
      </c>
      <c r="V827" s="9">
        <v>1</v>
      </c>
      <c r="W827" s="9"/>
      <c r="X827" s="9"/>
      <c r="Y827" s="9"/>
      <c r="Z827" s="9"/>
    </row>
    <row r="828" spans="1:26" ht="15.75" hidden="1" customHeight="1">
      <c r="A828" s="9" t="s">
        <v>5492</v>
      </c>
      <c r="B828" s="9" t="s">
        <v>5493</v>
      </c>
      <c r="C828" s="9" t="s">
        <v>5494</v>
      </c>
      <c r="D828" s="9" t="s">
        <v>368</v>
      </c>
      <c r="E828" s="9"/>
      <c r="F828" s="9"/>
      <c r="G828" s="58">
        <v>11200</v>
      </c>
      <c r="H828" s="85">
        <v>0.15</v>
      </c>
      <c r="I828" s="9">
        <v>30.3</v>
      </c>
      <c r="J828" s="9"/>
      <c r="K828" s="9"/>
      <c r="L828" s="9"/>
      <c r="M828" s="9"/>
      <c r="N828" s="9" t="s">
        <v>3423</v>
      </c>
      <c r="O828" s="9" t="s">
        <v>5240</v>
      </c>
      <c r="P828" s="9" t="s">
        <v>5410</v>
      </c>
      <c r="Q828" s="58" t="s">
        <v>3545</v>
      </c>
      <c r="R828" s="9">
        <v>4</v>
      </c>
      <c r="S828" s="9">
        <v>7</v>
      </c>
      <c r="T828" s="9"/>
      <c r="U828" s="9" t="s">
        <v>5496</v>
      </c>
      <c r="V828" s="9">
        <v>4</v>
      </c>
      <c r="W828" s="9"/>
      <c r="X828" s="9"/>
      <c r="Y828" s="9"/>
      <c r="Z828" s="9"/>
    </row>
    <row r="829" spans="1:26" ht="15.75" hidden="1" customHeight="1">
      <c r="A829" s="9" t="s">
        <v>1957</v>
      </c>
      <c r="B829" s="9" t="s">
        <v>5497</v>
      </c>
      <c r="C829" s="9" t="s">
        <v>724</v>
      </c>
      <c r="D829" s="9" t="s">
        <v>439</v>
      </c>
      <c r="E829" s="9"/>
      <c r="F829" s="9"/>
      <c r="G829" s="58">
        <v>11200</v>
      </c>
      <c r="H829" s="85">
        <v>4.2857142857142802E-2</v>
      </c>
      <c r="I829" s="9">
        <v>30.3</v>
      </c>
      <c r="J829" s="9"/>
      <c r="K829" s="9"/>
      <c r="L829" s="9"/>
      <c r="M829" s="9"/>
      <c r="N829" s="9" t="s">
        <v>3599</v>
      </c>
      <c r="O829" s="9" t="s">
        <v>5240</v>
      </c>
      <c r="P829" s="9" t="s">
        <v>3293</v>
      </c>
      <c r="Q829" s="58" t="s">
        <v>3294</v>
      </c>
      <c r="R829" s="9">
        <v>1</v>
      </c>
      <c r="S829" s="9">
        <v>8</v>
      </c>
      <c r="T829" s="9" t="s">
        <v>5498</v>
      </c>
      <c r="U829" s="9" t="s">
        <v>5499</v>
      </c>
      <c r="V829" s="9">
        <v>1</v>
      </c>
      <c r="W829" s="9"/>
      <c r="X829" s="9"/>
      <c r="Y829" s="9"/>
      <c r="Z829" s="9"/>
    </row>
    <row r="830" spans="1:26" ht="15.75" hidden="1" customHeight="1">
      <c r="A830" s="9" t="s">
        <v>1957</v>
      </c>
      <c r="B830" s="9" t="s">
        <v>5497</v>
      </c>
      <c r="C830" s="9" t="s">
        <v>724</v>
      </c>
      <c r="D830" s="9" t="s">
        <v>368</v>
      </c>
      <c r="E830" s="9" t="s">
        <v>3901</v>
      </c>
      <c r="F830" s="58" t="s">
        <v>3057</v>
      </c>
      <c r="G830" s="58">
        <v>11200</v>
      </c>
      <c r="H830" s="85">
        <v>0.15</v>
      </c>
      <c r="I830" s="9">
        <v>30.3</v>
      </c>
      <c r="J830" s="9"/>
      <c r="K830" s="9"/>
      <c r="L830" s="9"/>
      <c r="M830" s="9"/>
      <c r="N830" s="9" t="s">
        <v>3599</v>
      </c>
      <c r="O830" s="9" t="s">
        <v>5240</v>
      </c>
      <c r="P830" s="9" t="s">
        <v>5410</v>
      </c>
      <c r="Q830" s="58" t="s">
        <v>3545</v>
      </c>
      <c r="R830" s="9">
        <v>4</v>
      </c>
      <c r="S830" s="9">
        <v>7</v>
      </c>
      <c r="T830" s="9" t="s">
        <v>5498</v>
      </c>
      <c r="U830" s="9" t="s">
        <v>5500</v>
      </c>
      <c r="V830" s="9">
        <v>4</v>
      </c>
      <c r="W830" s="9"/>
      <c r="X830" s="9"/>
      <c r="Y830" s="9"/>
      <c r="Z830" s="9"/>
    </row>
    <row r="831" spans="1:26" ht="15.75" hidden="1" customHeight="1">
      <c r="A831" s="9" t="s">
        <v>2522</v>
      </c>
      <c r="B831" s="9" t="s">
        <v>5501</v>
      </c>
      <c r="C831" s="9" t="s">
        <v>2524</v>
      </c>
      <c r="D831" s="9" t="s">
        <v>439</v>
      </c>
      <c r="E831" s="9"/>
      <c r="F831" s="9"/>
      <c r="G831" s="58">
        <v>11200</v>
      </c>
      <c r="H831" s="85">
        <v>4.2857142857142802E-2</v>
      </c>
      <c r="I831" s="9">
        <v>30</v>
      </c>
      <c r="J831" s="9"/>
      <c r="K831" s="9"/>
      <c r="L831" s="9"/>
      <c r="M831" s="9"/>
      <c r="N831" s="9" t="s">
        <v>5502</v>
      </c>
      <c r="O831" s="9" t="s">
        <v>4098</v>
      </c>
      <c r="P831" s="9" t="s">
        <v>3293</v>
      </c>
      <c r="Q831" s="58" t="s">
        <v>3294</v>
      </c>
      <c r="R831" s="9">
        <v>1</v>
      </c>
      <c r="S831" s="9">
        <v>8</v>
      </c>
      <c r="T831" s="9" t="s">
        <v>5503</v>
      </c>
      <c r="U831" s="9" t="s">
        <v>5504</v>
      </c>
      <c r="V831" s="9">
        <v>1</v>
      </c>
      <c r="W831" s="9"/>
      <c r="X831" s="9"/>
      <c r="Y831" s="9"/>
      <c r="Z831" s="9"/>
    </row>
    <row r="832" spans="1:26" ht="15.75" hidden="1" customHeight="1">
      <c r="A832" s="9" t="s">
        <v>2522</v>
      </c>
      <c r="B832" s="9" t="s">
        <v>5501</v>
      </c>
      <c r="C832" s="9" t="s">
        <v>2524</v>
      </c>
      <c r="D832" s="9" t="s">
        <v>368</v>
      </c>
      <c r="E832" s="9" t="s">
        <v>5505</v>
      </c>
      <c r="F832" s="58" t="s">
        <v>3057</v>
      </c>
      <c r="G832" s="58">
        <v>5250</v>
      </c>
      <c r="H832" s="85">
        <v>0.16</v>
      </c>
      <c r="I832" s="9">
        <v>30</v>
      </c>
      <c r="J832" s="9"/>
      <c r="K832" s="9"/>
      <c r="L832" s="9"/>
      <c r="M832" s="9"/>
      <c r="N832" s="9" t="s">
        <v>5502</v>
      </c>
      <c r="O832" s="9" t="s">
        <v>4098</v>
      </c>
      <c r="P832" s="9" t="s">
        <v>5506</v>
      </c>
      <c r="Q832" s="58" t="s">
        <v>3095</v>
      </c>
      <c r="R832" s="9">
        <v>2</v>
      </c>
      <c r="S832" s="9">
        <v>7</v>
      </c>
      <c r="T832" s="9" t="s">
        <v>5503</v>
      </c>
      <c r="U832" s="9" t="s">
        <v>5412</v>
      </c>
      <c r="V832" s="9">
        <v>2</v>
      </c>
      <c r="W832" s="9"/>
      <c r="X832" s="9"/>
      <c r="Y832" s="9"/>
      <c r="Z832" s="9"/>
    </row>
    <row r="833" spans="1:26" ht="15.75" hidden="1" customHeight="1">
      <c r="A833" s="9" t="s">
        <v>1959</v>
      </c>
      <c r="B833" s="9" t="s">
        <v>5507</v>
      </c>
      <c r="C833" s="9" t="s">
        <v>641</v>
      </c>
      <c r="D833" s="9" t="s">
        <v>439</v>
      </c>
      <c r="E833" s="9"/>
      <c r="F833" s="9"/>
      <c r="G833" s="58">
        <v>6400</v>
      </c>
      <c r="H833" s="85">
        <v>7.4999999999999997E-2</v>
      </c>
      <c r="I833" s="9">
        <v>166</v>
      </c>
      <c r="J833" s="9"/>
      <c r="K833" s="9"/>
      <c r="L833" s="9"/>
      <c r="M833" s="9"/>
      <c r="N833" s="9" t="s">
        <v>3189</v>
      </c>
      <c r="O833" s="9" t="s">
        <v>3051</v>
      </c>
      <c r="P833" s="9" t="s">
        <v>3190</v>
      </c>
      <c r="Q833" s="58" t="s">
        <v>3185</v>
      </c>
      <c r="R833" s="58">
        <v>1</v>
      </c>
      <c r="S833" s="58">
        <v>8</v>
      </c>
      <c r="T833" s="9" t="s">
        <v>5508</v>
      </c>
      <c r="U833" s="9" t="s">
        <v>5509</v>
      </c>
      <c r="V833" s="58">
        <v>1</v>
      </c>
      <c r="W833" s="9"/>
      <c r="X833" s="9"/>
      <c r="Y833" s="9"/>
      <c r="Z833" s="9"/>
    </row>
    <row r="834" spans="1:26" ht="15.75" hidden="1" customHeight="1">
      <c r="A834" s="9" t="s">
        <v>1959</v>
      </c>
      <c r="B834" s="9" t="s">
        <v>5507</v>
      </c>
      <c r="C834" s="9" t="s">
        <v>641</v>
      </c>
      <c r="D834" s="9" t="s">
        <v>368</v>
      </c>
      <c r="E834" s="9" t="s">
        <v>3067</v>
      </c>
      <c r="F834" s="58" t="s">
        <v>3057</v>
      </c>
      <c r="G834" s="58">
        <v>3150</v>
      </c>
      <c r="H834" s="85">
        <v>0.53333333333333299</v>
      </c>
      <c r="I834" s="9">
        <v>166</v>
      </c>
      <c r="J834" s="9"/>
      <c r="K834" s="9"/>
      <c r="L834" s="9"/>
      <c r="M834" s="9"/>
      <c r="N834" s="9" t="s">
        <v>3189</v>
      </c>
      <c r="O834" s="9" t="s">
        <v>3051</v>
      </c>
      <c r="P834" s="9" t="s">
        <v>5510</v>
      </c>
      <c r="Q834" s="58" t="s">
        <v>3734</v>
      </c>
      <c r="R834" s="58">
        <v>4</v>
      </c>
      <c r="S834" s="58">
        <v>7</v>
      </c>
      <c r="T834" s="9" t="s">
        <v>5508</v>
      </c>
      <c r="U834" s="9" t="s">
        <v>5511</v>
      </c>
      <c r="V834" s="58">
        <v>4</v>
      </c>
      <c r="W834" s="9"/>
      <c r="X834" s="9"/>
      <c r="Y834" s="9"/>
      <c r="Z834" s="9"/>
    </row>
    <row r="835" spans="1:26" ht="15.75" hidden="1" customHeight="1">
      <c r="A835" s="9" t="s">
        <v>5512</v>
      </c>
      <c r="B835" s="9" t="s">
        <v>5513</v>
      </c>
      <c r="C835" s="9" t="s">
        <v>641</v>
      </c>
      <c r="D835" s="9" t="s">
        <v>368</v>
      </c>
      <c r="E835" s="9"/>
      <c r="F835" s="9"/>
      <c r="G835" s="58">
        <v>320000</v>
      </c>
      <c r="H835" s="85">
        <v>1.5E-3</v>
      </c>
      <c r="I835" s="9">
        <v>180</v>
      </c>
      <c r="J835" s="9"/>
      <c r="K835" s="9"/>
      <c r="L835" s="9"/>
      <c r="M835" s="9"/>
      <c r="N835" s="9" t="s">
        <v>3176</v>
      </c>
      <c r="O835" s="9" t="s">
        <v>3176</v>
      </c>
      <c r="P835" s="9" t="s">
        <v>3176</v>
      </c>
      <c r="Q835" s="58">
        <v>40000</v>
      </c>
      <c r="R835" s="9">
        <v>1</v>
      </c>
      <c r="S835" s="9">
        <v>8</v>
      </c>
      <c r="T835" s="9" t="s">
        <v>5514</v>
      </c>
      <c r="U835" s="9" t="s">
        <v>5515</v>
      </c>
      <c r="V835" s="9">
        <v>1</v>
      </c>
      <c r="W835" s="9"/>
      <c r="X835" s="9"/>
      <c r="Y835" s="9"/>
      <c r="Z835" s="9"/>
    </row>
    <row r="836" spans="1:26" ht="15.75" hidden="1" customHeight="1">
      <c r="A836" s="9" t="s">
        <v>1962</v>
      </c>
      <c r="B836" s="9" t="s">
        <v>5516</v>
      </c>
      <c r="C836" s="9" t="s">
        <v>665</v>
      </c>
      <c r="D836" s="9" t="s">
        <v>439</v>
      </c>
      <c r="E836" s="9"/>
      <c r="F836" s="9"/>
      <c r="G836" s="58">
        <v>6400</v>
      </c>
      <c r="H836" s="85">
        <v>7.4999999999999997E-2</v>
      </c>
      <c r="I836" s="9">
        <v>166</v>
      </c>
      <c r="J836" s="9"/>
      <c r="K836" s="9"/>
      <c r="L836" s="9"/>
      <c r="M836" s="9"/>
      <c r="N836" s="9" t="s">
        <v>3153</v>
      </c>
      <c r="O836" s="9" t="s">
        <v>3051</v>
      </c>
      <c r="P836" s="9" t="s">
        <v>3190</v>
      </c>
      <c r="Q836" s="58" t="s">
        <v>3185</v>
      </c>
      <c r="R836" s="58">
        <v>1</v>
      </c>
      <c r="S836" s="58">
        <v>8</v>
      </c>
      <c r="T836" s="9" t="s">
        <v>5508</v>
      </c>
      <c r="U836" s="9" t="s">
        <v>5517</v>
      </c>
      <c r="V836" s="58">
        <v>1</v>
      </c>
      <c r="W836" s="9"/>
      <c r="X836" s="9"/>
      <c r="Y836" s="9"/>
      <c r="Z836" s="9"/>
    </row>
    <row r="837" spans="1:26" ht="15.75" hidden="1" customHeight="1">
      <c r="A837" s="9" t="s">
        <v>1962</v>
      </c>
      <c r="B837" s="9" t="s">
        <v>5516</v>
      </c>
      <c r="C837" s="9" t="s">
        <v>665</v>
      </c>
      <c r="D837" s="9" t="s">
        <v>368</v>
      </c>
      <c r="E837" s="9" t="s">
        <v>3158</v>
      </c>
      <c r="F837" s="58" t="s">
        <v>3057</v>
      </c>
      <c r="G837" s="58">
        <v>3150</v>
      </c>
      <c r="H837" s="85">
        <v>0.4</v>
      </c>
      <c r="I837" s="9">
        <v>166</v>
      </c>
      <c r="J837" s="9"/>
      <c r="K837" s="9"/>
      <c r="L837" s="9"/>
      <c r="M837" s="9"/>
      <c r="N837" s="9" t="s">
        <v>3153</v>
      </c>
      <c r="O837" s="9" t="s">
        <v>3051</v>
      </c>
      <c r="P837" s="9" t="s">
        <v>5518</v>
      </c>
      <c r="Q837" s="58" t="s">
        <v>3734</v>
      </c>
      <c r="R837" s="58">
        <v>3</v>
      </c>
      <c r="S837" s="58">
        <v>7</v>
      </c>
      <c r="T837" s="9" t="s">
        <v>5508</v>
      </c>
      <c r="U837" s="9" t="s">
        <v>5519</v>
      </c>
      <c r="V837" s="58">
        <v>3</v>
      </c>
      <c r="W837" s="9"/>
      <c r="X837" s="9"/>
      <c r="Y837" s="9"/>
      <c r="Z837" s="9"/>
    </row>
    <row r="838" spans="1:26" ht="15.75" hidden="1" customHeight="1">
      <c r="A838" s="9" t="s">
        <v>1962</v>
      </c>
      <c r="B838" s="9" t="s">
        <v>5516</v>
      </c>
      <c r="C838" s="9" t="s">
        <v>665</v>
      </c>
      <c r="D838" s="9" t="s">
        <v>439</v>
      </c>
      <c r="E838" s="9"/>
      <c r="F838" s="9"/>
      <c r="G838" s="58">
        <v>6400</v>
      </c>
      <c r="H838" s="85">
        <v>7.4999999999999997E-2</v>
      </c>
      <c r="I838" s="9">
        <v>166</v>
      </c>
      <c r="J838" s="9"/>
      <c r="K838" s="9"/>
      <c r="L838" s="9"/>
      <c r="M838" s="9"/>
      <c r="N838" s="9" t="s">
        <v>5520</v>
      </c>
      <c r="O838" s="9" t="s">
        <v>3051</v>
      </c>
      <c r="P838" s="9" t="s">
        <v>3190</v>
      </c>
      <c r="Q838" s="58" t="s">
        <v>3185</v>
      </c>
      <c r="R838" s="58">
        <v>1</v>
      </c>
      <c r="S838" s="58">
        <v>8</v>
      </c>
      <c r="T838" s="9" t="s">
        <v>5508</v>
      </c>
      <c r="U838" s="9" t="s">
        <v>5517</v>
      </c>
      <c r="V838" s="58">
        <v>1</v>
      </c>
      <c r="W838" s="9"/>
      <c r="X838" s="9"/>
      <c r="Y838" s="9"/>
      <c r="Z838" s="9"/>
    </row>
    <row r="839" spans="1:26" ht="15.75" hidden="1" customHeight="1">
      <c r="A839" s="9" t="s">
        <v>1962</v>
      </c>
      <c r="B839" s="9" t="s">
        <v>5516</v>
      </c>
      <c r="C839" s="9" t="s">
        <v>665</v>
      </c>
      <c r="D839" s="9" t="s">
        <v>368</v>
      </c>
      <c r="E839" s="9" t="s">
        <v>5521</v>
      </c>
      <c r="F839" s="58" t="s">
        <v>3057</v>
      </c>
      <c r="G839" s="58">
        <v>4900</v>
      </c>
      <c r="H839" s="85">
        <v>0.34285714285714203</v>
      </c>
      <c r="I839" s="9">
        <v>166</v>
      </c>
      <c r="J839" s="9"/>
      <c r="K839" s="9"/>
      <c r="L839" s="9"/>
      <c r="M839" s="9"/>
      <c r="N839" s="9" t="s">
        <v>5520</v>
      </c>
      <c r="O839" s="9" t="s">
        <v>3051</v>
      </c>
      <c r="P839" s="9" t="s">
        <v>5522</v>
      </c>
      <c r="Q839" s="58" t="s">
        <v>3155</v>
      </c>
      <c r="R839" s="58">
        <v>4</v>
      </c>
      <c r="S839" s="58">
        <v>7</v>
      </c>
      <c r="T839" s="9" t="s">
        <v>5508</v>
      </c>
      <c r="U839" s="9" t="s">
        <v>5519</v>
      </c>
      <c r="V839" s="58">
        <v>4</v>
      </c>
      <c r="W839" s="9"/>
      <c r="X839" s="9"/>
      <c r="Y839" s="9"/>
      <c r="Z839" s="9"/>
    </row>
    <row r="840" spans="1:26" ht="15.75" hidden="1" customHeight="1">
      <c r="A840" s="9" t="s">
        <v>321</v>
      </c>
      <c r="B840" s="9" t="s">
        <v>5523</v>
      </c>
      <c r="C840" s="9" t="s">
        <v>322</v>
      </c>
      <c r="D840" s="9" t="s">
        <v>439</v>
      </c>
      <c r="E840" s="9"/>
      <c r="F840" s="9"/>
      <c r="G840" s="58">
        <v>6880</v>
      </c>
      <c r="H840" s="85">
        <v>6.9767441860465101E-2</v>
      </c>
      <c r="I840" s="9">
        <v>303</v>
      </c>
      <c r="J840" s="9"/>
      <c r="K840" s="9"/>
      <c r="L840" s="9"/>
      <c r="M840" s="9"/>
      <c r="N840" s="9" t="s">
        <v>4069</v>
      </c>
      <c r="O840" s="9" t="s">
        <v>3081</v>
      </c>
      <c r="P840" s="9" t="s">
        <v>3082</v>
      </c>
      <c r="Q840" s="58" t="s">
        <v>3083</v>
      </c>
      <c r="R840" s="58">
        <v>1</v>
      </c>
      <c r="S840" s="58">
        <v>8</v>
      </c>
      <c r="T840" s="9" t="s">
        <v>3065</v>
      </c>
      <c r="U840" s="9" t="s">
        <v>5524</v>
      </c>
      <c r="V840" s="58">
        <v>1</v>
      </c>
      <c r="W840" s="9"/>
      <c r="X840" s="9"/>
      <c r="Y840" s="9"/>
      <c r="Z840" s="9"/>
    </row>
    <row r="841" spans="1:26" ht="15.75" hidden="1" customHeight="1">
      <c r="A841" s="9" t="s">
        <v>321</v>
      </c>
      <c r="B841" s="9" t="s">
        <v>5523</v>
      </c>
      <c r="C841" s="9" t="s">
        <v>322</v>
      </c>
      <c r="D841" s="9" t="s">
        <v>368</v>
      </c>
      <c r="E841" s="9" t="s">
        <v>3086</v>
      </c>
      <c r="F841" s="58" t="s">
        <v>3087</v>
      </c>
      <c r="G841" s="58">
        <v>3500</v>
      </c>
      <c r="H841" s="85">
        <v>0.36</v>
      </c>
      <c r="I841" s="9">
        <v>303</v>
      </c>
      <c r="J841" s="9"/>
      <c r="K841" s="9"/>
      <c r="L841" s="9"/>
      <c r="M841" s="9"/>
      <c r="N841" s="9" t="s">
        <v>4069</v>
      </c>
      <c r="O841" s="9" t="s">
        <v>3081</v>
      </c>
      <c r="P841" s="9" t="s">
        <v>5525</v>
      </c>
      <c r="Q841" s="58" t="s">
        <v>3361</v>
      </c>
      <c r="R841" s="58">
        <v>3</v>
      </c>
      <c r="S841" s="58">
        <v>7</v>
      </c>
      <c r="T841" s="9" t="s">
        <v>3065</v>
      </c>
      <c r="U841" s="9" t="s">
        <v>5526</v>
      </c>
      <c r="V841" s="58">
        <v>3</v>
      </c>
      <c r="W841" s="9"/>
      <c r="X841" s="9"/>
      <c r="Y841" s="9"/>
      <c r="Z841" s="9"/>
    </row>
    <row r="842" spans="1:26" ht="15.75" hidden="1" customHeight="1">
      <c r="A842" s="9" t="s">
        <v>1966</v>
      </c>
      <c r="B842" s="9" t="s">
        <v>5527</v>
      </c>
      <c r="C842" s="9" t="s">
        <v>663</v>
      </c>
      <c r="D842" s="9" t="s">
        <v>439</v>
      </c>
      <c r="E842" s="9"/>
      <c r="F842" s="9"/>
      <c r="G842" s="58">
        <v>4800</v>
      </c>
      <c r="H842" s="85">
        <v>0.1</v>
      </c>
      <c r="I842" s="9">
        <v>303</v>
      </c>
      <c r="J842" s="9"/>
      <c r="K842" s="9"/>
      <c r="L842" s="9"/>
      <c r="M842" s="9"/>
      <c r="N842" s="9" t="s">
        <v>4069</v>
      </c>
      <c r="O842" s="9" t="s">
        <v>3081</v>
      </c>
      <c r="P842" s="9" t="s">
        <v>3778</v>
      </c>
      <c r="Q842" s="58" t="s">
        <v>3122</v>
      </c>
      <c r="R842" s="58">
        <v>1</v>
      </c>
      <c r="S842" s="58">
        <v>8</v>
      </c>
      <c r="T842" s="9" t="s">
        <v>3065</v>
      </c>
      <c r="U842" s="9" t="s">
        <v>5528</v>
      </c>
      <c r="V842" s="58">
        <v>1</v>
      </c>
      <c r="W842" s="9"/>
      <c r="X842" s="9"/>
      <c r="Y842" s="9"/>
      <c r="Z842" s="9"/>
    </row>
    <row r="843" spans="1:26" ht="15.75" hidden="1" customHeight="1">
      <c r="A843" s="9" t="s">
        <v>1966</v>
      </c>
      <c r="B843" s="9" t="s">
        <v>5527</v>
      </c>
      <c r="C843" s="9" t="s">
        <v>663</v>
      </c>
      <c r="D843" s="9" t="s">
        <v>368</v>
      </c>
      <c r="E843" s="9" t="s">
        <v>3086</v>
      </c>
      <c r="F843" s="58" t="s">
        <v>3087</v>
      </c>
      <c r="G843" s="58">
        <v>3500</v>
      </c>
      <c r="H843" s="85">
        <v>0.36</v>
      </c>
      <c r="I843" s="9">
        <v>303</v>
      </c>
      <c r="J843" s="9"/>
      <c r="K843" s="9"/>
      <c r="L843" s="9"/>
      <c r="M843" s="9"/>
      <c r="N843" s="9" t="s">
        <v>4069</v>
      </c>
      <c r="O843" s="9" t="s">
        <v>3081</v>
      </c>
      <c r="P843" s="9" t="s">
        <v>5529</v>
      </c>
      <c r="Q843" s="58" t="s">
        <v>3361</v>
      </c>
      <c r="R843" s="58">
        <v>3</v>
      </c>
      <c r="S843" s="58">
        <v>7</v>
      </c>
      <c r="T843" s="9" t="s">
        <v>3065</v>
      </c>
      <c r="U843" s="9" t="s">
        <v>5530</v>
      </c>
      <c r="V843" s="58">
        <v>3</v>
      </c>
      <c r="W843" s="9"/>
      <c r="X843" s="9"/>
      <c r="Y843" s="9"/>
      <c r="Z843" s="9"/>
    </row>
    <row r="844" spans="1:26" ht="15.75" hidden="1" customHeight="1">
      <c r="A844" s="9" t="s">
        <v>1974</v>
      </c>
      <c r="B844" s="9" t="s">
        <v>5531</v>
      </c>
      <c r="C844" s="9" t="s">
        <v>651</v>
      </c>
      <c r="D844" s="9" t="s">
        <v>439</v>
      </c>
      <c r="E844" s="9"/>
      <c r="F844" s="9"/>
      <c r="G844" s="58">
        <v>6000</v>
      </c>
      <c r="H844" s="85">
        <v>0.08</v>
      </c>
      <c r="I844" s="9">
        <v>200</v>
      </c>
      <c r="J844" s="9"/>
      <c r="K844" s="9"/>
      <c r="L844" s="9"/>
      <c r="M844" s="9"/>
      <c r="N844" s="9" t="s">
        <v>3206</v>
      </c>
      <c r="O844" s="9" t="s">
        <v>3051</v>
      </c>
      <c r="P844" s="9" t="s">
        <v>3217</v>
      </c>
      <c r="Q844" s="58" t="s">
        <v>3095</v>
      </c>
      <c r="R844" s="58">
        <v>1</v>
      </c>
      <c r="S844" s="58">
        <v>8</v>
      </c>
      <c r="T844" s="9" t="s">
        <v>3065</v>
      </c>
      <c r="U844" s="9" t="s">
        <v>5532</v>
      </c>
      <c r="V844" s="58">
        <v>1</v>
      </c>
      <c r="W844" s="9"/>
      <c r="X844" s="9"/>
      <c r="Y844" s="9"/>
      <c r="Z844" s="9"/>
    </row>
    <row r="845" spans="1:26" ht="15.75" hidden="1" customHeight="1">
      <c r="A845" s="9" t="s">
        <v>1974</v>
      </c>
      <c r="B845" s="9" t="s">
        <v>5531</v>
      </c>
      <c r="C845" s="9" t="s">
        <v>651</v>
      </c>
      <c r="D845" s="9" t="s">
        <v>368</v>
      </c>
      <c r="E845" s="9" t="s">
        <v>3158</v>
      </c>
      <c r="F845" s="58" t="s">
        <v>3057</v>
      </c>
      <c r="G845" s="58">
        <v>4900</v>
      </c>
      <c r="H845" s="85">
        <v>0.34285714285714203</v>
      </c>
      <c r="I845" s="9">
        <v>200</v>
      </c>
      <c r="J845" s="9"/>
      <c r="K845" s="9"/>
      <c r="L845" s="9"/>
      <c r="M845" s="9"/>
      <c r="N845" s="9" t="s">
        <v>3206</v>
      </c>
      <c r="O845" s="9" t="s">
        <v>3051</v>
      </c>
      <c r="P845" s="9" t="s">
        <v>5533</v>
      </c>
      <c r="Q845" s="58" t="s">
        <v>3155</v>
      </c>
      <c r="R845" s="58">
        <v>4</v>
      </c>
      <c r="S845" s="58">
        <v>7</v>
      </c>
      <c r="T845" s="9" t="s">
        <v>3065</v>
      </c>
      <c r="U845" s="9" t="s">
        <v>5534</v>
      </c>
      <c r="V845" s="58">
        <v>4</v>
      </c>
      <c r="W845" s="9"/>
      <c r="X845" s="9"/>
      <c r="Y845" s="9"/>
      <c r="Z845" s="9"/>
    </row>
    <row r="846" spans="1:26" ht="15.75" hidden="1" customHeight="1">
      <c r="A846" s="9" t="s">
        <v>2742</v>
      </c>
      <c r="B846" s="9" t="s">
        <v>5535</v>
      </c>
      <c r="C846" s="9" t="s">
        <v>639</v>
      </c>
      <c r="D846" s="9" t="s">
        <v>439</v>
      </c>
      <c r="E846" s="9"/>
      <c r="F846" s="9"/>
      <c r="G846" s="58">
        <v>8800</v>
      </c>
      <c r="H846" s="85">
        <v>5.4545454545454501E-2</v>
      </c>
      <c r="I846" s="9" t="s">
        <v>5536</v>
      </c>
      <c r="J846" s="9"/>
      <c r="K846" s="9"/>
      <c r="L846" s="9"/>
      <c r="M846" s="9"/>
      <c r="N846" s="9" t="s">
        <v>5537</v>
      </c>
      <c r="O846" s="9" t="s">
        <v>3051</v>
      </c>
      <c r="P846" s="9" t="s">
        <v>3125</v>
      </c>
      <c r="Q846" s="58" t="s">
        <v>3077</v>
      </c>
      <c r="R846" s="58">
        <v>1</v>
      </c>
      <c r="S846" s="58">
        <v>8</v>
      </c>
      <c r="T846" s="9" t="s">
        <v>5150</v>
      </c>
      <c r="U846" s="9" t="s">
        <v>5538</v>
      </c>
      <c r="V846" s="58">
        <v>1</v>
      </c>
      <c r="W846" s="9"/>
      <c r="X846" s="9"/>
      <c r="Y846" s="9"/>
      <c r="Z846" s="9"/>
    </row>
    <row r="847" spans="1:26" ht="15.75" hidden="1" customHeight="1">
      <c r="A847" s="9" t="s">
        <v>2742</v>
      </c>
      <c r="B847" s="9" t="s">
        <v>5535</v>
      </c>
      <c r="C847" s="9" t="s">
        <v>639</v>
      </c>
      <c r="D847" s="9" t="s">
        <v>368</v>
      </c>
      <c r="E847" s="9" t="s">
        <v>3402</v>
      </c>
      <c r="F847" s="58" t="s">
        <v>3057</v>
      </c>
      <c r="G847" s="58">
        <v>9800</v>
      </c>
      <c r="H847" s="85">
        <v>0.128571428571428</v>
      </c>
      <c r="I847" s="9" t="s">
        <v>5536</v>
      </c>
      <c r="J847" s="9"/>
      <c r="K847" s="9"/>
      <c r="L847" s="9"/>
      <c r="M847" s="9"/>
      <c r="N847" s="9" t="s">
        <v>5537</v>
      </c>
      <c r="O847" s="9" t="s">
        <v>3051</v>
      </c>
      <c r="P847" s="9" t="s">
        <v>5539</v>
      </c>
      <c r="Q847" s="58" t="s">
        <v>3294</v>
      </c>
      <c r="R847" s="58">
        <v>3</v>
      </c>
      <c r="S847" s="58">
        <v>7</v>
      </c>
      <c r="T847" s="9" t="s">
        <v>5150</v>
      </c>
      <c r="U847" s="9" t="s">
        <v>5540</v>
      </c>
      <c r="V847" s="58">
        <v>3</v>
      </c>
      <c r="W847" s="9"/>
      <c r="X847" s="9"/>
      <c r="Y847" s="9"/>
      <c r="Z847" s="9"/>
    </row>
    <row r="848" spans="1:26" ht="15.75" hidden="1" customHeight="1">
      <c r="A848" s="9" t="s">
        <v>108</v>
      </c>
      <c r="B848" s="9" t="s">
        <v>5541</v>
      </c>
      <c r="C848" s="9" t="s">
        <v>109</v>
      </c>
      <c r="D848" s="9" t="s">
        <v>439</v>
      </c>
      <c r="E848" s="9"/>
      <c r="F848" s="9"/>
      <c r="G848" s="58">
        <v>4800</v>
      </c>
      <c r="H848" s="85">
        <v>0.1</v>
      </c>
      <c r="I848" s="9">
        <v>128</v>
      </c>
      <c r="J848" s="9"/>
      <c r="K848" s="9"/>
      <c r="L848" s="9"/>
      <c r="M848" s="9"/>
      <c r="N848" s="9" t="s">
        <v>5542</v>
      </c>
      <c r="O848" s="9" t="s">
        <v>3051</v>
      </c>
      <c r="P848" s="9" t="s">
        <v>3778</v>
      </c>
      <c r="Q848" s="58" t="s">
        <v>3122</v>
      </c>
      <c r="R848" s="58">
        <v>1</v>
      </c>
      <c r="S848" s="58">
        <v>8</v>
      </c>
      <c r="T848" s="9" t="s">
        <v>5543</v>
      </c>
      <c r="U848" s="9" t="s">
        <v>5544</v>
      </c>
      <c r="V848" s="58">
        <v>1</v>
      </c>
      <c r="W848" s="9"/>
      <c r="X848" s="9"/>
      <c r="Y848" s="9"/>
      <c r="Z848" s="9"/>
    </row>
    <row r="849" spans="1:26" ht="15.75" hidden="1" customHeight="1">
      <c r="A849" s="9" t="s">
        <v>108</v>
      </c>
      <c r="B849" s="9" t="s">
        <v>5541</v>
      </c>
      <c r="C849" s="9" t="s">
        <v>109</v>
      </c>
      <c r="D849" s="9" t="s">
        <v>368</v>
      </c>
      <c r="E849" s="9" t="s">
        <v>3402</v>
      </c>
      <c r="F849" s="58" t="s">
        <v>3057</v>
      </c>
      <c r="G849" s="58">
        <v>4900</v>
      </c>
      <c r="H849" s="85">
        <v>0.34285714285714203</v>
      </c>
      <c r="I849" s="9">
        <v>128</v>
      </c>
      <c r="J849" s="9"/>
      <c r="K849" s="9"/>
      <c r="L849" s="9"/>
      <c r="M849" s="9"/>
      <c r="N849" s="9" t="s">
        <v>5542</v>
      </c>
      <c r="O849" s="9" t="s">
        <v>3051</v>
      </c>
      <c r="P849" s="9" t="s">
        <v>5545</v>
      </c>
      <c r="Q849" s="58" t="s">
        <v>3155</v>
      </c>
      <c r="R849" s="58">
        <v>4</v>
      </c>
      <c r="S849" s="58">
        <v>7</v>
      </c>
      <c r="T849" s="9" t="s">
        <v>5543</v>
      </c>
      <c r="U849" s="9" t="s">
        <v>5546</v>
      </c>
      <c r="V849" s="58">
        <v>4</v>
      </c>
      <c r="W849" s="9"/>
      <c r="X849" s="9"/>
      <c r="Y849" s="9"/>
      <c r="Z849" s="9"/>
    </row>
    <row r="850" spans="1:26" ht="15.75" hidden="1" customHeight="1">
      <c r="A850" s="9" t="s">
        <v>192</v>
      </c>
      <c r="B850" s="9" t="s">
        <v>5547</v>
      </c>
      <c r="C850" s="9" t="s">
        <v>5548</v>
      </c>
      <c r="D850" s="9" t="s">
        <v>368</v>
      </c>
      <c r="E850" s="9" t="s">
        <v>4299</v>
      </c>
      <c r="F850" s="58" t="s">
        <v>3057</v>
      </c>
      <c r="G850" s="58">
        <v>7350</v>
      </c>
      <c r="H850" s="85">
        <v>0.22857142857142801</v>
      </c>
      <c r="I850" s="9">
        <v>10.1</v>
      </c>
      <c r="J850" s="9"/>
      <c r="K850" s="9"/>
      <c r="L850" s="9"/>
      <c r="M850" s="9"/>
      <c r="N850" s="9" t="s">
        <v>5549</v>
      </c>
      <c r="O850" s="9" t="s">
        <v>3051</v>
      </c>
      <c r="P850" s="9" t="s">
        <v>5550</v>
      </c>
      <c r="Q850" s="58" t="s">
        <v>5551</v>
      </c>
      <c r="R850" s="58">
        <v>4</v>
      </c>
      <c r="S850" s="58">
        <v>7</v>
      </c>
      <c r="T850" s="9" t="s">
        <v>5552</v>
      </c>
      <c r="U850" s="9" t="s">
        <v>5553</v>
      </c>
      <c r="V850" s="58">
        <v>4</v>
      </c>
      <c r="W850" s="9"/>
      <c r="X850" s="9"/>
      <c r="Y850" s="9"/>
      <c r="Z850" s="9"/>
    </row>
    <row r="851" spans="1:26" ht="15.75" hidden="1" customHeight="1">
      <c r="A851" s="9" t="s">
        <v>187</v>
      </c>
      <c r="B851" s="9" t="s">
        <v>5554</v>
      </c>
      <c r="C851" s="9" t="s">
        <v>188</v>
      </c>
      <c r="D851" s="9" t="s">
        <v>439</v>
      </c>
      <c r="E851" s="9"/>
      <c r="F851" s="9"/>
      <c r="G851" s="58">
        <v>4800</v>
      </c>
      <c r="H851" s="85">
        <v>0.1</v>
      </c>
      <c r="I851" s="9">
        <v>29.7</v>
      </c>
      <c r="J851" s="9"/>
      <c r="K851" s="9"/>
      <c r="L851" s="9"/>
      <c r="M851" s="9"/>
      <c r="N851" s="9" t="s">
        <v>5555</v>
      </c>
      <c r="O851" s="9" t="s">
        <v>3051</v>
      </c>
      <c r="P851" s="9" t="s">
        <v>3778</v>
      </c>
      <c r="Q851" s="58" t="s">
        <v>3122</v>
      </c>
      <c r="R851" s="58">
        <v>1</v>
      </c>
      <c r="S851" s="58">
        <v>8</v>
      </c>
      <c r="T851" s="9" t="s">
        <v>5556</v>
      </c>
      <c r="U851" s="9" t="s">
        <v>5557</v>
      </c>
      <c r="V851" s="58">
        <v>1</v>
      </c>
      <c r="W851" s="9"/>
      <c r="X851" s="9"/>
      <c r="Y851" s="9"/>
      <c r="Z851" s="9"/>
    </row>
    <row r="852" spans="1:26" ht="15.75" hidden="1" customHeight="1">
      <c r="A852" s="9" t="s">
        <v>187</v>
      </c>
      <c r="B852" s="9" t="s">
        <v>5554</v>
      </c>
      <c r="C852" s="9" t="s">
        <v>188</v>
      </c>
      <c r="D852" s="9" t="s">
        <v>368</v>
      </c>
      <c r="E852" s="9" t="s">
        <v>3402</v>
      </c>
      <c r="F852" s="58" t="s">
        <v>3057</v>
      </c>
      <c r="G852" s="58">
        <v>8400</v>
      </c>
      <c r="H852" s="85">
        <v>0.2</v>
      </c>
      <c r="I852" s="9">
        <v>29.7</v>
      </c>
      <c r="J852" s="9"/>
      <c r="K852" s="9"/>
      <c r="L852" s="9"/>
      <c r="M852" s="9"/>
      <c r="N852" s="9" t="s">
        <v>5555</v>
      </c>
      <c r="O852" s="9" t="s">
        <v>3051</v>
      </c>
      <c r="P852" s="9" t="s">
        <v>5558</v>
      </c>
      <c r="Q852" s="58" t="s">
        <v>3074</v>
      </c>
      <c r="R852" s="58">
        <v>4</v>
      </c>
      <c r="S852" s="58">
        <v>7</v>
      </c>
      <c r="T852" s="9" t="s">
        <v>5556</v>
      </c>
      <c r="U852" s="9" t="s">
        <v>5559</v>
      </c>
      <c r="V852" s="58">
        <v>4</v>
      </c>
      <c r="W852" s="9"/>
      <c r="X852" s="9"/>
      <c r="Y852" s="9"/>
      <c r="Z852" s="9"/>
    </row>
    <row r="853" spans="1:26" ht="15.75" hidden="1" customHeight="1">
      <c r="A853" s="9" t="s">
        <v>2768</v>
      </c>
      <c r="B853" s="9" t="s">
        <v>5560</v>
      </c>
      <c r="C853" s="9" t="s">
        <v>2769</v>
      </c>
      <c r="D853" s="9" t="s">
        <v>439</v>
      </c>
      <c r="E853" s="9"/>
      <c r="F853" s="9"/>
      <c r="G853" s="58">
        <v>12800</v>
      </c>
      <c r="H853" s="85">
        <v>3.7499999999999999E-2</v>
      </c>
      <c r="I853" s="9">
        <v>6.4</v>
      </c>
      <c r="J853" s="9"/>
      <c r="K853" s="9"/>
      <c r="L853" s="9"/>
      <c r="M853" s="9"/>
      <c r="N853" s="9" t="s">
        <v>5561</v>
      </c>
      <c r="O853" s="9" t="s">
        <v>3051</v>
      </c>
      <c r="P853" s="9" t="s">
        <v>5192</v>
      </c>
      <c r="Q853" s="58" t="s">
        <v>3545</v>
      </c>
      <c r="R853" s="58">
        <v>1</v>
      </c>
      <c r="S853" s="58">
        <v>8</v>
      </c>
      <c r="T853" s="9" t="s">
        <v>3065</v>
      </c>
      <c r="U853" s="9" t="s">
        <v>5562</v>
      </c>
      <c r="V853" s="58">
        <v>1</v>
      </c>
      <c r="W853" s="9"/>
      <c r="X853" s="9"/>
      <c r="Y853" s="9"/>
      <c r="Z853" s="9"/>
    </row>
    <row r="854" spans="1:26" ht="15.75" hidden="1" customHeight="1">
      <c r="A854" s="9" t="s">
        <v>2768</v>
      </c>
      <c r="B854" s="9" t="s">
        <v>5560</v>
      </c>
      <c r="C854" s="9" t="s">
        <v>2769</v>
      </c>
      <c r="D854" s="9" t="s">
        <v>368</v>
      </c>
      <c r="E854" s="9" t="s">
        <v>3067</v>
      </c>
      <c r="F854" s="58" t="s">
        <v>3057</v>
      </c>
      <c r="G854" s="58">
        <v>14000</v>
      </c>
      <c r="H854" s="85">
        <v>0.12</v>
      </c>
      <c r="I854" s="9">
        <v>6.4</v>
      </c>
      <c r="J854" s="9"/>
      <c r="K854" s="9"/>
      <c r="L854" s="9"/>
      <c r="M854" s="9"/>
      <c r="N854" s="9" t="s">
        <v>5561</v>
      </c>
      <c r="O854" s="9" t="s">
        <v>3051</v>
      </c>
      <c r="P854" s="9" t="s">
        <v>5563</v>
      </c>
      <c r="Q854" s="58" t="s">
        <v>3462</v>
      </c>
      <c r="R854" s="58">
        <v>4</v>
      </c>
      <c r="S854" s="58">
        <v>7</v>
      </c>
      <c r="T854" s="9" t="s">
        <v>3065</v>
      </c>
      <c r="U854" s="9" t="s">
        <v>5564</v>
      </c>
      <c r="V854" s="58">
        <v>4</v>
      </c>
      <c r="W854" s="9"/>
      <c r="X854" s="9"/>
      <c r="Y854" s="9"/>
      <c r="Z854" s="9"/>
    </row>
    <row r="855" spans="1:26" ht="15.75" hidden="1" customHeight="1">
      <c r="A855" s="9" t="s">
        <v>1985</v>
      </c>
      <c r="B855" s="9" t="s">
        <v>5565</v>
      </c>
      <c r="C855" s="9" t="s">
        <v>635</v>
      </c>
      <c r="D855" s="9" t="s">
        <v>439</v>
      </c>
      <c r="E855" s="9"/>
      <c r="F855" s="9"/>
      <c r="G855" s="58">
        <v>5600</v>
      </c>
      <c r="H855" s="85">
        <v>8.5714285714285701E-2</v>
      </c>
      <c r="I855" s="9">
        <v>32.1</v>
      </c>
      <c r="J855" s="9"/>
      <c r="K855" s="9"/>
      <c r="L855" s="9"/>
      <c r="M855" s="9"/>
      <c r="N855" s="9" t="s">
        <v>5566</v>
      </c>
      <c r="O855" s="9" t="s">
        <v>4981</v>
      </c>
      <c r="P855" s="9" t="s">
        <v>3244</v>
      </c>
      <c r="Q855" s="58" t="s">
        <v>3155</v>
      </c>
      <c r="R855" s="58">
        <v>1</v>
      </c>
      <c r="S855" s="58">
        <v>8</v>
      </c>
      <c r="T855" s="9" t="s">
        <v>5475</v>
      </c>
      <c r="U855" s="9" t="s">
        <v>5567</v>
      </c>
      <c r="V855" s="58">
        <v>1</v>
      </c>
      <c r="W855" s="9"/>
      <c r="X855" s="9"/>
      <c r="Y855" s="9"/>
      <c r="Z855" s="9"/>
    </row>
    <row r="856" spans="1:26" ht="15.75" hidden="1" customHeight="1">
      <c r="A856" s="9" t="s">
        <v>1985</v>
      </c>
      <c r="B856" s="9" t="s">
        <v>5565</v>
      </c>
      <c r="C856" s="9" t="s">
        <v>635</v>
      </c>
      <c r="D856" s="9" t="s">
        <v>368</v>
      </c>
      <c r="E856" s="9" t="s">
        <v>3402</v>
      </c>
      <c r="F856" s="58" t="s">
        <v>3057</v>
      </c>
      <c r="G856" s="58">
        <v>8400</v>
      </c>
      <c r="H856" s="85">
        <v>0.2</v>
      </c>
      <c r="I856" s="9">
        <v>32.1</v>
      </c>
      <c r="J856" s="9"/>
      <c r="K856" s="9"/>
      <c r="L856" s="9"/>
      <c r="M856" s="9"/>
      <c r="N856" s="9" t="s">
        <v>5566</v>
      </c>
      <c r="O856" s="9" t="s">
        <v>4981</v>
      </c>
      <c r="P856" s="9" t="s">
        <v>5568</v>
      </c>
      <c r="Q856" s="58" t="s">
        <v>3074</v>
      </c>
      <c r="R856" s="58">
        <v>4</v>
      </c>
      <c r="S856" s="58">
        <v>7</v>
      </c>
      <c r="T856" s="9" t="s">
        <v>5475</v>
      </c>
      <c r="U856" s="9" t="s">
        <v>5569</v>
      </c>
      <c r="V856" s="58">
        <v>4</v>
      </c>
      <c r="W856" s="9"/>
      <c r="X856" s="9"/>
      <c r="Y856" s="9"/>
      <c r="Z856" s="9"/>
    </row>
    <row r="857" spans="1:26" ht="15.75" hidden="1" customHeight="1">
      <c r="A857" s="9" t="s">
        <v>2225</v>
      </c>
      <c r="B857" s="9" t="s">
        <v>5570</v>
      </c>
      <c r="C857" s="9" t="s">
        <v>2226</v>
      </c>
      <c r="D857" s="9" t="s">
        <v>439</v>
      </c>
      <c r="E857" s="9"/>
      <c r="F857" s="9"/>
      <c r="G857" s="58">
        <v>5600</v>
      </c>
      <c r="H857" s="85">
        <v>8.5714285714285701E-2</v>
      </c>
      <c r="I857" s="9">
        <v>53.5</v>
      </c>
      <c r="J857" s="9"/>
      <c r="K857" s="9"/>
      <c r="L857" s="9"/>
      <c r="M857" s="9"/>
      <c r="N857" s="9" t="s">
        <v>5566</v>
      </c>
      <c r="O857" s="9" t="s">
        <v>4981</v>
      </c>
      <c r="P857" s="9" t="s">
        <v>3244</v>
      </c>
      <c r="Q857" s="58" t="s">
        <v>3155</v>
      </c>
      <c r="R857" s="58">
        <v>1</v>
      </c>
      <c r="S857" s="58">
        <v>8</v>
      </c>
      <c r="T857" s="9" t="s">
        <v>5475</v>
      </c>
      <c r="U857" s="9" t="s">
        <v>5571</v>
      </c>
      <c r="V857" s="58">
        <v>1</v>
      </c>
      <c r="W857" s="9"/>
      <c r="X857" s="9"/>
      <c r="Y857" s="9"/>
      <c r="Z857" s="9"/>
    </row>
    <row r="858" spans="1:26" ht="15.75" hidden="1" customHeight="1">
      <c r="A858" s="9" t="s">
        <v>2225</v>
      </c>
      <c r="B858" s="9" t="s">
        <v>5570</v>
      </c>
      <c r="C858" s="9" t="s">
        <v>2226</v>
      </c>
      <c r="D858" s="9" t="s">
        <v>368</v>
      </c>
      <c r="E858" s="9" t="s">
        <v>3402</v>
      </c>
      <c r="F858" s="58" t="s">
        <v>3057</v>
      </c>
      <c r="G858" s="58">
        <v>9100</v>
      </c>
      <c r="H858" s="85">
        <v>0.18461538461538399</v>
      </c>
      <c r="I858" s="9">
        <v>53.5</v>
      </c>
      <c r="J858" s="9"/>
      <c r="K858" s="9"/>
      <c r="L858" s="9"/>
      <c r="M858" s="9"/>
      <c r="N858" s="9" t="s">
        <v>5566</v>
      </c>
      <c r="O858" s="9" t="s">
        <v>4981</v>
      </c>
      <c r="P858" s="9" t="s">
        <v>5572</v>
      </c>
      <c r="Q858" s="58" t="s">
        <v>3064</v>
      </c>
      <c r="R858" s="58">
        <v>4</v>
      </c>
      <c r="S858" s="58">
        <v>7</v>
      </c>
      <c r="T858" s="9" t="s">
        <v>5475</v>
      </c>
      <c r="U858" s="9" t="s">
        <v>5573</v>
      </c>
      <c r="V858" s="58">
        <v>4</v>
      </c>
      <c r="W858" s="9"/>
      <c r="X858" s="9"/>
      <c r="Y858" s="9"/>
      <c r="Z858" s="9"/>
    </row>
    <row r="859" spans="1:26" ht="15.75" hidden="1" customHeight="1">
      <c r="A859" s="9" t="s">
        <v>2278</v>
      </c>
      <c r="B859" s="9" t="s">
        <v>5574</v>
      </c>
      <c r="C859" s="9" t="s">
        <v>2280</v>
      </c>
      <c r="D859" s="9" t="s">
        <v>439</v>
      </c>
      <c r="E859" s="9"/>
      <c r="F859" s="9"/>
      <c r="G859" s="58">
        <v>6400</v>
      </c>
      <c r="H859" s="85">
        <v>7.4999999999999997E-2</v>
      </c>
      <c r="I859" s="9">
        <v>30</v>
      </c>
      <c r="J859" s="9"/>
      <c r="K859" s="9"/>
      <c r="L859" s="9"/>
      <c r="M859" s="9"/>
      <c r="N859" s="9" t="s">
        <v>4798</v>
      </c>
      <c r="O859" s="9" t="s">
        <v>4098</v>
      </c>
      <c r="P859" s="9" t="s">
        <v>3549</v>
      </c>
      <c r="Q859" s="58" t="s">
        <v>3185</v>
      </c>
      <c r="R859" s="58">
        <v>1</v>
      </c>
      <c r="S859" s="58">
        <v>8</v>
      </c>
      <c r="T859" s="9" t="s">
        <v>5480</v>
      </c>
      <c r="U859" s="9" t="s">
        <v>5575</v>
      </c>
      <c r="V859" s="58">
        <v>1</v>
      </c>
      <c r="W859" s="9"/>
      <c r="X859" s="9"/>
      <c r="Y859" s="9"/>
      <c r="Z859" s="9"/>
    </row>
    <row r="860" spans="1:26" ht="15.75" hidden="1" customHeight="1">
      <c r="A860" s="9" t="s">
        <v>2278</v>
      </c>
      <c r="B860" s="9" t="s">
        <v>5574</v>
      </c>
      <c r="C860" s="9" t="s">
        <v>2280</v>
      </c>
      <c r="D860" s="9" t="s">
        <v>368</v>
      </c>
      <c r="E860" s="9" t="s">
        <v>3067</v>
      </c>
      <c r="F860" s="58" t="s">
        <v>3057</v>
      </c>
      <c r="G860" s="58">
        <v>7000</v>
      </c>
      <c r="H860" s="85">
        <v>0.24</v>
      </c>
      <c r="I860" s="9">
        <v>30</v>
      </c>
      <c r="J860" s="9"/>
      <c r="K860" s="9"/>
      <c r="L860" s="9"/>
      <c r="M860" s="9"/>
      <c r="N860" s="9" t="s">
        <v>4798</v>
      </c>
      <c r="O860" s="9" t="s">
        <v>4098</v>
      </c>
      <c r="P860" s="9" t="s">
        <v>5482</v>
      </c>
      <c r="Q860" s="58" t="s">
        <v>3167</v>
      </c>
      <c r="R860" s="58">
        <v>4</v>
      </c>
      <c r="S860" s="58">
        <v>7</v>
      </c>
      <c r="T860" s="9" t="s">
        <v>5480</v>
      </c>
      <c r="U860" s="9" t="s">
        <v>5576</v>
      </c>
      <c r="V860" s="58">
        <v>4</v>
      </c>
      <c r="W860" s="9"/>
      <c r="X860" s="9"/>
      <c r="Y860" s="9"/>
      <c r="Z860" s="9"/>
    </row>
    <row r="861" spans="1:26" ht="15.75" hidden="1" customHeight="1">
      <c r="A861" s="9" t="s">
        <v>5577</v>
      </c>
      <c r="B861" s="9" t="s">
        <v>5578</v>
      </c>
      <c r="C861" s="9" t="s">
        <v>5579</v>
      </c>
      <c r="D861" s="9" t="s">
        <v>368</v>
      </c>
      <c r="E861" s="9" t="s">
        <v>3067</v>
      </c>
      <c r="F861" s="58" t="s">
        <v>3057</v>
      </c>
      <c r="G861" s="58">
        <v>7700</v>
      </c>
      <c r="H861" s="85">
        <v>0.218181818181818</v>
      </c>
      <c r="I861" s="9">
        <v>10</v>
      </c>
      <c r="J861" s="9"/>
      <c r="K861" s="9"/>
      <c r="L861" s="9"/>
      <c r="M861" s="9"/>
      <c r="N861" s="9" t="s">
        <v>3130</v>
      </c>
      <c r="O861" s="9" t="s">
        <v>3081</v>
      </c>
      <c r="P861" s="9" t="s">
        <v>5580</v>
      </c>
      <c r="Q861" s="58" t="s">
        <v>3077</v>
      </c>
      <c r="R861" s="58">
        <v>4</v>
      </c>
      <c r="S861" s="58">
        <v>7</v>
      </c>
      <c r="T861" s="9" t="s">
        <v>5581</v>
      </c>
      <c r="U861" s="9" t="s">
        <v>5582</v>
      </c>
      <c r="V861" s="58">
        <v>4</v>
      </c>
      <c r="W861" s="9"/>
      <c r="X861" s="9"/>
      <c r="Y861" s="9"/>
      <c r="Z861" s="9"/>
    </row>
    <row r="862" spans="1:26" ht="15.75" hidden="1" customHeight="1">
      <c r="A862" s="9" t="s">
        <v>5583</v>
      </c>
      <c r="B862" s="9" t="s">
        <v>5584</v>
      </c>
      <c r="C862" s="9" t="s">
        <v>5585</v>
      </c>
      <c r="D862" s="9" t="s">
        <v>439</v>
      </c>
      <c r="E862" s="9"/>
      <c r="F862" s="9"/>
      <c r="G862" s="58">
        <v>10400</v>
      </c>
      <c r="H862" s="85">
        <v>4.6153846153846101E-2</v>
      </c>
      <c r="I862" s="9">
        <v>29.5</v>
      </c>
      <c r="J862" s="9"/>
      <c r="K862" s="9"/>
      <c r="L862" s="9"/>
      <c r="M862" s="9"/>
      <c r="N862" s="9" t="s">
        <v>5586</v>
      </c>
      <c r="O862" s="9" t="s">
        <v>3081</v>
      </c>
      <c r="P862" s="9" t="s">
        <v>3063</v>
      </c>
      <c r="Q862" s="58" t="s">
        <v>3064</v>
      </c>
      <c r="R862" s="58">
        <v>1</v>
      </c>
      <c r="S862" s="58">
        <v>8</v>
      </c>
      <c r="T862" s="9" t="s">
        <v>3065</v>
      </c>
      <c r="U862" s="9" t="s">
        <v>5587</v>
      </c>
      <c r="V862" s="58">
        <v>1</v>
      </c>
      <c r="W862" s="9"/>
      <c r="X862" s="9"/>
      <c r="Y862" s="9"/>
      <c r="Z862" s="9"/>
    </row>
    <row r="863" spans="1:26" ht="15.75" hidden="1" customHeight="1">
      <c r="A863" s="9" t="s">
        <v>5583</v>
      </c>
      <c r="B863" s="9" t="s">
        <v>5584</v>
      </c>
      <c r="C863" s="9" t="s">
        <v>5585</v>
      </c>
      <c r="D863" s="9" t="s">
        <v>368</v>
      </c>
      <c r="E863" s="9" t="s">
        <v>3402</v>
      </c>
      <c r="F863" s="58" t="s">
        <v>3057</v>
      </c>
      <c r="G863" s="58">
        <v>8400</v>
      </c>
      <c r="H863" s="85">
        <v>0.2</v>
      </c>
      <c r="I863" s="9">
        <v>29.5</v>
      </c>
      <c r="J863" s="9"/>
      <c r="K863" s="9"/>
      <c r="L863" s="9"/>
      <c r="M863" s="9"/>
      <c r="N863" s="9" t="s">
        <v>5586</v>
      </c>
      <c r="O863" s="9" t="s">
        <v>3081</v>
      </c>
      <c r="P863" s="9" t="s">
        <v>5588</v>
      </c>
      <c r="Q863" s="58" t="s">
        <v>3074</v>
      </c>
      <c r="R863" s="58">
        <v>4</v>
      </c>
      <c r="S863" s="58">
        <v>7</v>
      </c>
      <c r="T863" s="9" t="s">
        <v>3065</v>
      </c>
      <c r="U863" s="9" t="s">
        <v>5589</v>
      </c>
      <c r="V863" s="58">
        <v>4</v>
      </c>
      <c r="W863" s="9"/>
      <c r="X863" s="9"/>
      <c r="Y863" s="9"/>
      <c r="Z863" s="9"/>
    </row>
    <row r="864" spans="1:26" ht="15.75" customHeight="1">
      <c r="A864" s="9" t="s">
        <v>181</v>
      </c>
      <c r="B864" s="9" t="s">
        <v>5590</v>
      </c>
      <c r="C864" s="9" t="s">
        <v>182</v>
      </c>
      <c r="D864" s="9" t="s">
        <v>484</v>
      </c>
      <c r="E864" s="9"/>
      <c r="F864" s="9"/>
      <c r="G864" s="58">
        <v>12800</v>
      </c>
      <c r="H864" s="85">
        <v>3.7499999999999999E-2</v>
      </c>
      <c r="I864" s="9">
        <v>50</v>
      </c>
      <c r="J864" s="9"/>
      <c r="K864" s="9"/>
      <c r="L864" s="9"/>
      <c r="M864" s="9"/>
      <c r="N864" s="9" t="s">
        <v>5591</v>
      </c>
      <c r="O864" s="9" t="s">
        <v>3081</v>
      </c>
      <c r="P864" s="9" t="s">
        <v>5592</v>
      </c>
      <c r="Q864" s="58" t="s">
        <v>3545</v>
      </c>
      <c r="R864" s="58">
        <v>1</v>
      </c>
      <c r="S864" s="58">
        <v>8</v>
      </c>
      <c r="T864" s="9" t="s">
        <v>3065</v>
      </c>
      <c r="U864" s="9" t="s">
        <v>5593</v>
      </c>
      <c r="V864" s="58">
        <v>1</v>
      </c>
      <c r="W864" s="9"/>
      <c r="X864" s="9"/>
      <c r="Y864" s="9"/>
      <c r="Z864" s="9"/>
    </row>
    <row r="865" spans="1:26" ht="15.75" hidden="1" customHeight="1">
      <c r="A865" s="9" t="s">
        <v>181</v>
      </c>
      <c r="B865" s="9" t="s">
        <v>5590</v>
      </c>
      <c r="C865" s="9" t="s">
        <v>182</v>
      </c>
      <c r="D865" s="9" t="s">
        <v>439</v>
      </c>
      <c r="E865" s="9"/>
      <c r="F865" s="9"/>
      <c r="G865" s="58">
        <v>12800</v>
      </c>
      <c r="H865" s="85">
        <v>3.7499999999999999E-2</v>
      </c>
      <c r="I865" s="9">
        <v>50</v>
      </c>
      <c r="J865" s="9"/>
      <c r="K865" s="9"/>
      <c r="L865" s="9"/>
      <c r="M865" s="9"/>
      <c r="N865" s="9" t="s">
        <v>5591</v>
      </c>
      <c r="O865" s="9" t="s">
        <v>3081</v>
      </c>
      <c r="P865" s="9" t="s">
        <v>3650</v>
      </c>
      <c r="Q865" s="58" t="s">
        <v>3545</v>
      </c>
      <c r="R865" s="58">
        <v>1</v>
      </c>
      <c r="S865" s="58">
        <v>8</v>
      </c>
      <c r="T865" s="9" t="s">
        <v>3065</v>
      </c>
      <c r="U865" s="9" t="s">
        <v>5594</v>
      </c>
      <c r="V865" s="58">
        <v>1</v>
      </c>
      <c r="W865" s="9"/>
      <c r="X865" s="9"/>
      <c r="Y865" s="9"/>
      <c r="Z865" s="9"/>
    </row>
    <row r="866" spans="1:26" ht="15.75" hidden="1" customHeight="1">
      <c r="A866" s="9" t="s">
        <v>181</v>
      </c>
      <c r="B866" s="9" t="s">
        <v>5590</v>
      </c>
      <c r="C866" s="9" t="s">
        <v>182</v>
      </c>
      <c r="D866" s="9" t="s">
        <v>368</v>
      </c>
      <c r="E866" s="9" t="s">
        <v>5595</v>
      </c>
      <c r="F866" s="58" t="s">
        <v>3087</v>
      </c>
      <c r="G866" s="58">
        <v>7000</v>
      </c>
      <c r="H866" s="85">
        <v>0.24</v>
      </c>
      <c r="I866" s="9">
        <v>50</v>
      </c>
      <c r="J866" s="9"/>
      <c r="K866" s="9"/>
      <c r="L866" s="9"/>
      <c r="M866" s="9"/>
      <c r="N866" s="9" t="s">
        <v>5591</v>
      </c>
      <c r="O866" s="9" t="s">
        <v>3081</v>
      </c>
      <c r="P866" s="9" t="s">
        <v>5596</v>
      </c>
      <c r="Q866" s="58" t="s">
        <v>3167</v>
      </c>
      <c r="R866" s="58">
        <v>4</v>
      </c>
      <c r="S866" s="58">
        <v>7</v>
      </c>
      <c r="T866" s="9" t="s">
        <v>3065</v>
      </c>
      <c r="U866" s="9" t="s">
        <v>5597</v>
      </c>
      <c r="V866" s="58">
        <v>4</v>
      </c>
      <c r="W866" s="9"/>
      <c r="X866" s="9"/>
      <c r="Y866" s="9"/>
      <c r="Z866" s="9"/>
    </row>
    <row r="867" spans="1:26" ht="15.75" hidden="1" customHeight="1">
      <c r="A867" s="9" t="s">
        <v>72</v>
      </c>
      <c r="B867" s="9" t="s">
        <v>5598</v>
      </c>
      <c r="C867" s="9" t="s">
        <v>73</v>
      </c>
      <c r="D867" s="9" t="s">
        <v>439</v>
      </c>
      <c r="E867" s="9"/>
      <c r="F867" s="9"/>
      <c r="G867" s="58">
        <v>5600</v>
      </c>
      <c r="H867" s="85">
        <v>8.5714285714285701E-2</v>
      </c>
      <c r="I867" s="9">
        <v>150</v>
      </c>
      <c r="J867" s="9"/>
      <c r="K867" s="9"/>
      <c r="L867" s="9"/>
      <c r="M867" s="9"/>
      <c r="N867" s="9" t="s">
        <v>5599</v>
      </c>
      <c r="O867" s="9" t="s">
        <v>3081</v>
      </c>
      <c r="P867" s="9" t="s">
        <v>3154</v>
      </c>
      <c r="Q867" s="58" t="s">
        <v>3155</v>
      </c>
      <c r="R867" s="58">
        <v>1</v>
      </c>
      <c r="S867" s="58">
        <v>8</v>
      </c>
      <c r="T867" s="9" t="s">
        <v>3065</v>
      </c>
      <c r="U867" s="9" t="s">
        <v>5600</v>
      </c>
      <c r="V867" s="58">
        <v>1</v>
      </c>
      <c r="W867" s="9"/>
      <c r="X867" s="9"/>
      <c r="Y867" s="9"/>
      <c r="Z867" s="9"/>
    </row>
    <row r="868" spans="1:26" ht="15.75" hidden="1" customHeight="1">
      <c r="A868" s="9" t="s">
        <v>72</v>
      </c>
      <c r="B868" s="9" t="s">
        <v>5598</v>
      </c>
      <c r="C868" s="9" t="s">
        <v>73</v>
      </c>
      <c r="D868" s="9" t="s">
        <v>368</v>
      </c>
      <c r="E868" s="9" t="s">
        <v>3229</v>
      </c>
      <c r="F868" s="58" t="s">
        <v>3087</v>
      </c>
      <c r="G868" s="58">
        <v>5250</v>
      </c>
      <c r="H868" s="85">
        <v>0.32</v>
      </c>
      <c r="I868" s="9">
        <v>150</v>
      </c>
      <c r="J868" s="9"/>
      <c r="K868" s="9"/>
      <c r="L868" s="9"/>
      <c r="M868" s="9"/>
      <c r="N868" s="9" t="s">
        <v>5599</v>
      </c>
      <c r="O868" s="9" t="s">
        <v>3081</v>
      </c>
      <c r="P868" s="9" t="s">
        <v>5601</v>
      </c>
      <c r="Q868" s="58" t="s">
        <v>3095</v>
      </c>
      <c r="R868" s="58">
        <v>4</v>
      </c>
      <c r="S868" s="58">
        <v>7</v>
      </c>
      <c r="T868" s="9" t="s">
        <v>3065</v>
      </c>
      <c r="U868" s="9" t="s">
        <v>5602</v>
      </c>
      <c r="V868" s="58">
        <v>4</v>
      </c>
      <c r="W868" s="9"/>
      <c r="X868" s="9"/>
      <c r="Y868" s="9"/>
      <c r="Z868" s="9"/>
    </row>
    <row r="869" spans="1:26" ht="15.75" hidden="1" customHeight="1">
      <c r="A869" s="9" t="s">
        <v>5603</v>
      </c>
      <c r="B869" s="9" t="s">
        <v>5598</v>
      </c>
      <c r="C869" s="9" t="s">
        <v>73</v>
      </c>
      <c r="D869" s="9" t="s">
        <v>439</v>
      </c>
      <c r="E869" s="9"/>
      <c r="F869" s="9"/>
      <c r="G869" s="58">
        <v>5600</v>
      </c>
      <c r="H869" s="85">
        <v>8.5714285714285701E-2</v>
      </c>
      <c r="I869" s="9">
        <v>150</v>
      </c>
      <c r="J869" s="9"/>
      <c r="K869" s="9"/>
      <c r="L869" s="9"/>
      <c r="M869" s="9"/>
      <c r="N869" s="9" t="s">
        <v>5599</v>
      </c>
      <c r="O869" s="9" t="s">
        <v>3081</v>
      </c>
      <c r="P869" s="9" t="s">
        <v>3154</v>
      </c>
      <c r="Q869" s="58" t="s">
        <v>3155</v>
      </c>
      <c r="R869" s="58">
        <v>1</v>
      </c>
      <c r="S869" s="58">
        <v>8</v>
      </c>
      <c r="T869" s="9" t="s">
        <v>3065</v>
      </c>
      <c r="U869" s="9" t="s">
        <v>5604</v>
      </c>
      <c r="V869" s="58">
        <v>1</v>
      </c>
      <c r="W869" s="9"/>
      <c r="X869" s="9"/>
      <c r="Y869" s="9"/>
      <c r="Z869" s="9"/>
    </row>
    <row r="870" spans="1:26" ht="15.75" hidden="1" customHeight="1">
      <c r="A870" s="9" t="s">
        <v>5603</v>
      </c>
      <c r="B870" s="9" t="s">
        <v>5598</v>
      </c>
      <c r="C870" s="9" t="s">
        <v>73</v>
      </c>
      <c r="D870" s="9" t="s">
        <v>368</v>
      </c>
      <c r="E870" s="9" t="s">
        <v>3229</v>
      </c>
      <c r="F870" s="58" t="s">
        <v>3087</v>
      </c>
      <c r="G870" s="58">
        <v>5250</v>
      </c>
      <c r="H870" s="85">
        <v>0.32</v>
      </c>
      <c r="I870" s="9">
        <v>150</v>
      </c>
      <c r="J870" s="9"/>
      <c r="K870" s="9"/>
      <c r="L870" s="9"/>
      <c r="M870" s="9"/>
      <c r="N870" s="9" t="s">
        <v>5599</v>
      </c>
      <c r="O870" s="9" t="s">
        <v>3081</v>
      </c>
      <c r="P870" s="9" t="s">
        <v>5601</v>
      </c>
      <c r="Q870" s="58" t="s">
        <v>3095</v>
      </c>
      <c r="R870" s="58">
        <v>4</v>
      </c>
      <c r="S870" s="58">
        <v>7</v>
      </c>
      <c r="T870" s="9" t="s">
        <v>3065</v>
      </c>
      <c r="U870" s="9" t="s">
        <v>5605</v>
      </c>
      <c r="V870" s="58">
        <v>4</v>
      </c>
      <c r="W870" s="9"/>
      <c r="X870" s="9"/>
      <c r="Y870" s="9"/>
      <c r="Z870" s="9"/>
    </row>
    <row r="871" spans="1:26" ht="15.75" customHeight="1">
      <c r="A871" s="9" t="s">
        <v>1992</v>
      </c>
      <c r="B871" s="9" t="s">
        <v>5606</v>
      </c>
      <c r="C871" s="9" t="s">
        <v>649</v>
      </c>
      <c r="D871" s="9" t="s">
        <v>484</v>
      </c>
      <c r="E871" s="9"/>
      <c r="F871" s="9"/>
      <c r="G871" s="58">
        <v>16000</v>
      </c>
      <c r="H871" s="85">
        <v>0.03</v>
      </c>
      <c r="I871" s="9">
        <v>50</v>
      </c>
      <c r="J871" s="9"/>
      <c r="K871" s="9"/>
      <c r="L871" s="9"/>
      <c r="M871" s="9"/>
      <c r="N871" s="9" t="s">
        <v>3446</v>
      </c>
      <c r="O871" s="9" t="s">
        <v>3081</v>
      </c>
      <c r="P871" s="9" t="s">
        <v>5607</v>
      </c>
      <c r="Q871" s="58">
        <v>2000</v>
      </c>
      <c r="R871" s="58">
        <v>1</v>
      </c>
      <c r="S871" s="58">
        <v>8</v>
      </c>
      <c r="T871" s="9" t="s">
        <v>5608</v>
      </c>
      <c r="U871" s="9" t="s">
        <v>5609</v>
      </c>
      <c r="V871" s="58">
        <v>1</v>
      </c>
      <c r="W871" s="9"/>
      <c r="X871" s="9"/>
      <c r="Y871" s="9"/>
      <c r="Z871" s="9"/>
    </row>
    <row r="872" spans="1:26" ht="15.75" hidden="1" customHeight="1">
      <c r="A872" s="9" t="s">
        <v>1992</v>
      </c>
      <c r="B872" s="9" t="s">
        <v>5606</v>
      </c>
      <c r="C872" s="9" t="s">
        <v>649</v>
      </c>
      <c r="D872" s="9" t="s">
        <v>439</v>
      </c>
      <c r="E872" s="9"/>
      <c r="F872" s="9"/>
      <c r="G872" s="58">
        <v>8000</v>
      </c>
      <c r="H872" s="85">
        <v>0.06</v>
      </c>
      <c r="I872" s="9">
        <v>50</v>
      </c>
      <c r="J872" s="9"/>
      <c r="K872" s="9"/>
      <c r="L872" s="9"/>
      <c r="M872" s="9"/>
      <c r="N872" s="9" t="s">
        <v>3446</v>
      </c>
      <c r="O872" s="9" t="s">
        <v>3081</v>
      </c>
      <c r="P872" s="9" t="s">
        <v>3415</v>
      </c>
      <c r="Q872" s="58" t="s">
        <v>3167</v>
      </c>
      <c r="R872" s="58">
        <v>1</v>
      </c>
      <c r="S872" s="58">
        <v>8</v>
      </c>
      <c r="T872" s="9" t="s">
        <v>5608</v>
      </c>
      <c r="U872" s="9" t="s">
        <v>5610</v>
      </c>
      <c r="V872" s="58">
        <v>1</v>
      </c>
      <c r="W872" s="9"/>
      <c r="X872" s="9"/>
      <c r="Y872" s="9"/>
      <c r="Z872" s="9"/>
    </row>
    <row r="873" spans="1:26" ht="15.75" hidden="1" customHeight="1">
      <c r="A873" s="9" t="s">
        <v>1992</v>
      </c>
      <c r="B873" s="9" t="s">
        <v>5606</v>
      </c>
      <c r="C873" s="9" t="s">
        <v>649</v>
      </c>
      <c r="D873" s="9" t="s">
        <v>368</v>
      </c>
      <c r="E873" s="9" t="s">
        <v>3092</v>
      </c>
      <c r="F873" s="58" t="s">
        <v>3087</v>
      </c>
      <c r="G873" s="58">
        <v>6300</v>
      </c>
      <c r="H873" s="85">
        <v>0.266666666666666</v>
      </c>
      <c r="I873" s="9">
        <v>50</v>
      </c>
      <c r="J873" s="9"/>
      <c r="K873" s="9"/>
      <c r="L873" s="9"/>
      <c r="M873" s="9"/>
      <c r="N873" s="9" t="s">
        <v>3446</v>
      </c>
      <c r="O873" s="9" t="s">
        <v>3081</v>
      </c>
      <c r="P873" s="9" t="s">
        <v>5611</v>
      </c>
      <c r="Q873" s="58" t="s">
        <v>3069</v>
      </c>
      <c r="R873" s="58">
        <v>4</v>
      </c>
      <c r="S873" s="58">
        <v>7</v>
      </c>
      <c r="T873" s="9" t="s">
        <v>5608</v>
      </c>
      <c r="U873" s="9" t="s">
        <v>5612</v>
      </c>
      <c r="V873" s="58">
        <v>4</v>
      </c>
      <c r="W873" s="9"/>
      <c r="X873" s="9"/>
      <c r="Y873" s="9"/>
      <c r="Z873" s="9"/>
    </row>
    <row r="874" spans="1:26" ht="15.75" hidden="1" customHeight="1">
      <c r="A874" s="9" t="s">
        <v>2149</v>
      </c>
      <c r="B874" s="9" t="s">
        <v>5613</v>
      </c>
      <c r="C874" s="9" t="s">
        <v>2151</v>
      </c>
      <c r="D874" s="9" t="s">
        <v>439</v>
      </c>
      <c r="E874" s="9"/>
      <c r="F874" s="9"/>
      <c r="G874" s="58">
        <v>8000</v>
      </c>
      <c r="H874" s="85">
        <v>0.06</v>
      </c>
      <c r="I874" s="9">
        <v>47.8</v>
      </c>
      <c r="J874" s="9"/>
      <c r="K874" s="9"/>
      <c r="L874" s="9"/>
      <c r="M874" s="9"/>
      <c r="N874" s="9" t="s">
        <v>5614</v>
      </c>
      <c r="O874" s="9" t="s">
        <v>3081</v>
      </c>
      <c r="P874" s="9" t="s">
        <v>3583</v>
      </c>
      <c r="Q874" s="58" t="s">
        <v>3167</v>
      </c>
      <c r="R874" s="58">
        <v>1</v>
      </c>
      <c r="S874" s="58">
        <v>8</v>
      </c>
      <c r="T874" s="9" t="s">
        <v>3065</v>
      </c>
      <c r="U874" s="9" t="s">
        <v>5615</v>
      </c>
      <c r="V874" s="58">
        <v>1</v>
      </c>
      <c r="W874" s="9"/>
      <c r="X874" s="9"/>
      <c r="Y874" s="9"/>
      <c r="Z874" s="9"/>
    </row>
    <row r="875" spans="1:26" ht="15.75" hidden="1" customHeight="1">
      <c r="A875" s="9" t="s">
        <v>2149</v>
      </c>
      <c r="B875" s="9" t="s">
        <v>5613</v>
      </c>
      <c r="C875" s="9" t="s">
        <v>2151</v>
      </c>
      <c r="D875" s="9" t="s">
        <v>368</v>
      </c>
      <c r="E875" s="9" t="s">
        <v>3092</v>
      </c>
      <c r="F875" s="58" t="s">
        <v>3087</v>
      </c>
      <c r="G875" s="58">
        <v>5250</v>
      </c>
      <c r="H875" s="85">
        <v>0.32</v>
      </c>
      <c r="I875" s="9">
        <v>47.8</v>
      </c>
      <c r="J875" s="9"/>
      <c r="K875" s="9"/>
      <c r="L875" s="9"/>
      <c r="M875" s="9"/>
      <c r="N875" s="9" t="s">
        <v>5614</v>
      </c>
      <c r="O875" s="9" t="s">
        <v>3081</v>
      </c>
      <c r="P875" s="9" t="s">
        <v>5616</v>
      </c>
      <c r="Q875" s="58" t="s">
        <v>3095</v>
      </c>
      <c r="R875" s="58">
        <v>4</v>
      </c>
      <c r="S875" s="58">
        <v>7</v>
      </c>
      <c r="T875" s="9" t="s">
        <v>3065</v>
      </c>
      <c r="U875" s="9" t="s">
        <v>5617</v>
      </c>
      <c r="V875" s="58">
        <v>4</v>
      </c>
      <c r="W875" s="9"/>
      <c r="X875" s="9"/>
      <c r="Y875" s="9"/>
      <c r="Z875" s="9"/>
    </row>
    <row r="876" spans="1:26" ht="15.75" hidden="1" customHeight="1">
      <c r="A876" s="9" t="s">
        <v>5618</v>
      </c>
      <c r="B876" s="9" t="s">
        <v>5619</v>
      </c>
      <c r="C876" s="9" t="s">
        <v>5620</v>
      </c>
      <c r="D876" s="9" t="s">
        <v>439</v>
      </c>
      <c r="E876" s="9"/>
      <c r="F876" s="9"/>
      <c r="G876" s="58">
        <v>6400</v>
      </c>
      <c r="H876" s="85">
        <v>7.4999999999999997E-2</v>
      </c>
      <c r="I876" s="9">
        <v>29.7</v>
      </c>
      <c r="J876" s="9"/>
      <c r="K876" s="9"/>
      <c r="L876" s="9"/>
      <c r="M876" s="9"/>
      <c r="N876" s="9" t="s">
        <v>5621</v>
      </c>
      <c r="O876" s="9" t="s">
        <v>3081</v>
      </c>
      <c r="P876" s="9" t="s">
        <v>3549</v>
      </c>
      <c r="Q876" s="58" t="s">
        <v>3185</v>
      </c>
      <c r="R876" s="58">
        <v>1</v>
      </c>
      <c r="S876" s="58">
        <v>8</v>
      </c>
      <c r="T876" s="9" t="s">
        <v>3065</v>
      </c>
      <c r="U876" s="9" t="s">
        <v>5622</v>
      </c>
      <c r="V876" s="58">
        <v>1</v>
      </c>
      <c r="W876" s="9"/>
      <c r="X876" s="9"/>
      <c r="Y876" s="9"/>
      <c r="Z876" s="9"/>
    </row>
    <row r="877" spans="1:26" ht="15.75" hidden="1" customHeight="1">
      <c r="A877" s="9" t="s">
        <v>5618</v>
      </c>
      <c r="B877" s="9" t="s">
        <v>5619</v>
      </c>
      <c r="C877" s="9" t="s">
        <v>5620</v>
      </c>
      <c r="D877" s="9" t="s">
        <v>368</v>
      </c>
      <c r="E877" s="9" t="s">
        <v>4902</v>
      </c>
      <c r="F877" s="58" t="s">
        <v>3087</v>
      </c>
      <c r="G877" s="58">
        <v>5600</v>
      </c>
      <c r="H877" s="85">
        <v>0.3</v>
      </c>
      <c r="I877" s="9">
        <v>29.7</v>
      </c>
      <c r="J877" s="9"/>
      <c r="K877" s="9"/>
      <c r="L877" s="9"/>
      <c r="M877" s="9"/>
      <c r="N877" s="9" t="s">
        <v>5621</v>
      </c>
      <c r="O877" s="9" t="s">
        <v>3081</v>
      </c>
      <c r="P877" s="9" t="s">
        <v>5623</v>
      </c>
      <c r="Q877" s="58" t="s">
        <v>3185</v>
      </c>
      <c r="R877" s="58">
        <v>4</v>
      </c>
      <c r="S877" s="58">
        <v>7</v>
      </c>
      <c r="T877" s="9" t="s">
        <v>3065</v>
      </c>
      <c r="U877" s="9" t="s">
        <v>5624</v>
      </c>
      <c r="V877" s="58">
        <v>4</v>
      </c>
      <c r="W877" s="9"/>
      <c r="X877" s="9"/>
      <c r="Y877" s="9"/>
      <c r="Z877" s="9"/>
    </row>
    <row r="878" spans="1:26" ht="15.75" hidden="1" customHeight="1">
      <c r="A878" s="9" t="s">
        <v>1997</v>
      </c>
      <c r="B878" s="9" t="s">
        <v>5625</v>
      </c>
      <c r="C878" s="9" t="s">
        <v>631</v>
      </c>
      <c r="D878" s="9" t="s">
        <v>439</v>
      </c>
      <c r="E878" s="9"/>
      <c r="F878" s="9"/>
      <c r="G878" s="58">
        <v>10400</v>
      </c>
      <c r="H878" s="85">
        <v>4.6153846153846101E-2</v>
      </c>
      <c r="I878" s="9">
        <v>49.3</v>
      </c>
      <c r="J878" s="9"/>
      <c r="K878" s="9"/>
      <c r="L878" s="9"/>
      <c r="M878" s="9"/>
      <c r="N878" s="9" t="s">
        <v>5621</v>
      </c>
      <c r="O878" s="9" t="s">
        <v>3081</v>
      </c>
      <c r="P878" s="9" t="s">
        <v>5358</v>
      </c>
      <c r="Q878" s="58" t="s">
        <v>3064</v>
      </c>
      <c r="R878" s="58">
        <v>1</v>
      </c>
      <c r="S878" s="58">
        <v>8</v>
      </c>
      <c r="T878" s="9" t="s">
        <v>3065</v>
      </c>
      <c r="U878" s="9" t="s">
        <v>5626</v>
      </c>
      <c r="V878" s="58">
        <v>1</v>
      </c>
      <c r="W878" s="9"/>
      <c r="X878" s="9"/>
      <c r="Y878" s="9"/>
      <c r="Z878" s="9"/>
    </row>
    <row r="879" spans="1:26" ht="15.75" hidden="1" customHeight="1">
      <c r="A879" s="9" t="s">
        <v>1997</v>
      </c>
      <c r="B879" s="9" t="s">
        <v>5625</v>
      </c>
      <c r="C879" s="9" t="s">
        <v>631</v>
      </c>
      <c r="D879" s="9" t="s">
        <v>368</v>
      </c>
      <c r="E879" s="9" t="s">
        <v>4140</v>
      </c>
      <c r="F879" s="58" t="s">
        <v>3087</v>
      </c>
      <c r="G879" s="58">
        <v>7700</v>
      </c>
      <c r="H879" s="85">
        <v>0.218181818181818</v>
      </c>
      <c r="I879" s="9">
        <v>49.3</v>
      </c>
      <c r="J879" s="9"/>
      <c r="K879" s="9"/>
      <c r="L879" s="9"/>
      <c r="M879" s="9"/>
      <c r="N879" s="9" t="s">
        <v>5621</v>
      </c>
      <c r="O879" s="9" t="s">
        <v>3081</v>
      </c>
      <c r="P879" s="9" t="s">
        <v>5627</v>
      </c>
      <c r="Q879" s="58" t="s">
        <v>3077</v>
      </c>
      <c r="R879" s="58">
        <v>4</v>
      </c>
      <c r="S879" s="58">
        <v>7</v>
      </c>
      <c r="T879" s="9" t="s">
        <v>3065</v>
      </c>
      <c r="U879" s="9" t="s">
        <v>5628</v>
      </c>
      <c r="V879" s="58">
        <v>4</v>
      </c>
      <c r="W879" s="9"/>
      <c r="X879" s="9"/>
      <c r="Y879" s="9"/>
      <c r="Z879" s="9"/>
    </row>
    <row r="880" spans="1:26" ht="15.75" hidden="1" customHeight="1">
      <c r="A880" s="9" t="s">
        <v>5629</v>
      </c>
      <c r="B880" s="9" t="s">
        <v>5630</v>
      </c>
      <c r="C880" s="9" t="s">
        <v>5631</v>
      </c>
      <c r="D880" s="9" t="s">
        <v>439</v>
      </c>
      <c r="E880" s="9"/>
      <c r="F880" s="9"/>
      <c r="G880" s="58">
        <v>4800</v>
      </c>
      <c r="H880" s="85">
        <v>0.1</v>
      </c>
      <c r="I880" s="9">
        <v>164.5</v>
      </c>
      <c r="J880" s="9"/>
      <c r="K880" s="9"/>
      <c r="L880" s="9"/>
      <c r="M880" s="9"/>
      <c r="N880" s="9" t="s">
        <v>5621</v>
      </c>
      <c r="O880" s="9" t="s">
        <v>3081</v>
      </c>
      <c r="P880" s="9" t="s">
        <v>4499</v>
      </c>
      <c r="Q880" s="58" t="s">
        <v>3122</v>
      </c>
      <c r="R880" s="58">
        <v>1</v>
      </c>
      <c r="S880" s="58">
        <v>8</v>
      </c>
      <c r="T880" s="9" t="s">
        <v>3065</v>
      </c>
      <c r="U880" s="9" t="s">
        <v>5632</v>
      </c>
      <c r="V880" s="58">
        <v>1</v>
      </c>
      <c r="W880" s="9"/>
      <c r="X880" s="9"/>
      <c r="Y880" s="9"/>
      <c r="Z880" s="9"/>
    </row>
    <row r="881" spans="1:26" ht="15.75" hidden="1" customHeight="1">
      <c r="A881" s="9" t="s">
        <v>5629</v>
      </c>
      <c r="B881" s="9" t="s">
        <v>5630</v>
      </c>
      <c r="C881" s="9" t="s">
        <v>5631</v>
      </c>
      <c r="D881" s="9" t="s">
        <v>368</v>
      </c>
      <c r="E881" s="9" t="s">
        <v>4902</v>
      </c>
      <c r="F881" s="58" t="s">
        <v>3087</v>
      </c>
      <c r="G881" s="58">
        <v>4200</v>
      </c>
      <c r="H881" s="85">
        <v>0.4</v>
      </c>
      <c r="I881" s="9">
        <v>164.5</v>
      </c>
      <c r="J881" s="9"/>
      <c r="K881" s="9"/>
      <c r="L881" s="9"/>
      <c r="M881" s="9"/>
      <c r="N881" s="9" t="s">
        <v>5621</v>
      </c>
      <c r="O881" s="9" t="s">
        <v>3081</v>
      </c>
      <c r="P881" s="9" t="s">
        <v>5633</v>
      </c>
      <c r="Q881" s="58" t="s">
        <v>3122</v>
      </c>
      <c r="R881" s="58">
        <v>4</v>
      </c>
      <c r="S881" s="58">
        <v>7</v>
      </c>
      <c r="T881" s="9" t="s">
        <v>3065</v>
      </c>
      <c r="U881" s="9" t="s">
        <v>5634</v>
      </c>
      <c r="V881" s="58">
        <v>4</v>
      </c>
      <c r="W881" s="9"/>
      <c r="X881" s="9"/>
      <c r="Y881" s="9"/>
      <c r="Z881" s="9"/>
    </row>
    <row r="882" spans="1:26" ht="15.75" hidden="1" customHeight="1">
      <c r="A882" s="9" t="s">
        <v>1999</v>
      </c>
      <c r="B882" s="9" t="s">
        <v>5635</v>
      </c>
      <c r="C882" s="9" t="s">
        <v>633</v>
      </c>
      <c r="D882" s="9" t="s">
        <v>439</v>
      </c>
      <c r="E882" s="9"/>
      <c r="F882" s="9"/>
      <c r="G882" s="58">
        <v>8000</v>
      </c>
      <c r="H882" s="85">
        <v>0.06</v>
      </c>
      <c r="I882" s="9">
        <v>49.1</v>
      </c>
      <c r="J882" s="9"/>
      <c r="K882" s="9"/>
      <c r="L882" s="9"/>
      <c r="M882" s="9"/>
      <c r="N882" s="9" t="s">
        <v>5636</v>
      </c>
      <c r="O882" s="9" t="s">
        <v>3081</v>
      </c>
      <c r="P882" s="9" t="s">
        <v>3583</v>
      </c>
      <c r="Q882" s="58" t="s">
        <v>3167</v>
      </c>
      <c r="R882" s="58">
        <v>1</v>
      </c>
      <c r="S882" s="58">
        <v>8</v>
      </c>
      <c r="T882" s="9" t="s">
        <v>5637</v>
      </c>
      <c r="U882" s="9" t="s">
        <v>5638</v>
      </c>
      <c r="V882" s="58">
        <v>1</v>
      </c>
      <c r="W882" s="9"/>
      <c r="X882" s="9"/>
      <c r="Y882" s="9"/>
      <c r="Z882" s="9"/>
    </row>
    <row r="883" spans="1:26" ht="15.75" hidden="1" customHeight="1">
      <c r="A883" s="9" t="s">
        <v>1999</v>
      </c>
      <c r="B883" s="9" t="s">
        <v>5635</v>
      </c>
      <c r="C883" s="9" t="s">
        <v>633</v>
      </c>
      <c r="D883" s="9" t="s">
        <v>368</v>
      </c>
      <c r="E883" s="9" t="s">
        <v>3092</v>
      </c>
      <c r="F883" s="58" t="s">
        <v>3087</v>
      </c>
      <c r="G883" s="58">
        <v>5460</v>
      </c>
      <c r="H883" s="85">
        <v>0.23076923076923</v>
      </c>
      <c r="I883" s="9">
        <v>49.1</v>
      </c>
      <c r="J883" s="9"/>
      <c r="K883" s="9"/>
      <c r="L883" s="9"/>
      <c r="M883" s="9"/>
      <c r="N883" s="9" t="s">
        <v>5636</v>
      </c>
      <c r="O883" s="9" t="s">
        <v>3081</v>
      </c>
      <c r="P883" s="9" t="s">
        <v>5639</v>
      </c>
      <c r="Q883" s="58" t="s">
        <v>3520</v>
      </c>
      <c r="R883" s="58">
        <v>3</v>
      </c>
      <c r="S883" s="58">
        <v>7</v>
      </c>
      <c r="T883" s="9" t="s">
        <v>5637</v>
      </c>
      <c r="U883" s="9" t="s">
        <v>5640</v>
      </c>
      <c r="V883" s="58">
        <v>3</v>
      </c>
      <c r="W883" s="9"/>
      <c r="X883" s="9"/>
      <c r="Y883" s="9"/>
      <c r="Z883" s="9"/>
    </row>
    <row r="884" spans="1:26" ht="15.75" hidden="1" customHeight="1">
      <c r="A884" s="9" t="s">
        <v>2003</v>
      </c>
      <c r="B884" s="9" t="s">
        <v>5641</v>
      </c>
      <c r="C884" s="9" t="s">
        <v>2005</v>
      </c>
      <c r="D884" s="9" t="s">
        <v>368</v>
      </c>
      <c r="E884" s="9" t="s">
        <v>3092</v>
      </c>
      <c r="F884" s="58" t="s">
        <v>3057</v>
      </c>
      <c r="G884" s="58">
        <v>5600</v>
      </c>
      <c r="H884" s="85">
        <v>0.3</v>
      </c>
      <c r="I884" s="9">
        <v>40</v>
      </c>
      <c r="J884" s="9"/>
      <c r="K884" s="9"/>
      <c r="L884" s="9"/>
      <c r="M884" s="9"/>
      <c r="N884" s="9" t="s">
        <v>5642</v>
      </c>
      <c r="O884" s="9" t="s">
        <v>3081</v>
      </c>
      <c r="P884" s="9" t="s">
        <v>5643</v>
      </c>
      <c r="Q884" s="58" t="s">
        <v>3185</v>
      </c>
      <c r="R884" s="58">
        <v>4</v>
      </c>
      <c r="S884" s="58">
        <v>7</v>
      </c>
      <c r="T884" s="9" t="s">
        <v>5142</v>
      </c>
      <c r="U884" s="9" t="s">
        <v>5644</v>
      </c>
      <c r="V884" s="58">
        <v>4</v>
      </c>
      <c r="W884" s="9"/>
      <c r="X884" s="9"/>
      <c r="Y884" s="9"/>
      <c r="Z884" s="9"/>
    </row>
    <row r="885" spans="1:26" ht="15.75" hidden="1" customHeight="1">
      <c r="A885" s="9" t="s">
        <v>5645</v>
      </c>
      <c r="B885" s="9" t="s">
        <v>5646</v>
      </c>
      <c r="C885" s="9" t="s">
        <v>5647</v>
      </c>
      <c r="D885" s="9" t="s">
        <v>368</v>
      </c>
      <c r="E885" s="9" t="s">
        <v>3067</v>
      </c>
      <c r="F885" s="58" t="s">
        <v>3057</v>
      </c>
      <c r="G885" s="58">
        <v>4550</v>
      </c>
      <c r="H885" s="85">
        <v>0.36923076923076897</v>
      </c>
      <c r="I885" s="9">
        <v>32.700000000000003</v>
      </c>
      <c r="J885" s="9"/>
      <c r="K885" s="9"/>
      <c r="L885" s="9"/>
      <c r="M885" s="9"/>
      <c r="N885" s="9" t="s">
        <v>3213</v>
      </c>
      <c r="O885" s="9" t="s">
        <v>3081</v>
      </c>
      <c r="P885" s="9" t="s">
        <v>5648</v>
      </c>
      <c r="Q885" s="58" t="s">
        <v>3687</v>
      </c>
      <c r="R885" s="9">
        <v>4</v>
      </c>
      <c r="S885" s="9">
        <v>7</v>
      </c>
      <c r="T885" s="9" t="s">
        <v>5649</v>
      </c>
      <c r="U885" s="9" t="s">
        <v>5650</v>
      </c>
      <c r="V885" s="9">
        <v>4</v>
      </c>
      <c r="W885" s="9"/>
      <c r="X885" s="9"/>
      <c r="Y885" s="9"/>
      <c r="Z885" s="9"/>
    </row>
    <row r="886" spans="1:26" ht="15.75" hidden="1" customHeight="1">
      <c r="A886" s="9" t="s">
        <v>5651</v>
      </c>
      <c r="B886" s="9" t="s">
        <v>5652</v>
      </c>
      <c r="C886" s="9" t="s">
        <v>5653</v>
      </c>
      <c r="D886" s="9" t="s">
        <v>439</v>
      </c>
      <c r="E886" s="9"/>
      <c r="F886" s="9"/>
      <c r="G886" s="58">
        <v>6400</v>
      </c>
      <c r="H886" s="85">
        <v>7.4999999999999997E-2</v>
      </c>
      <c r="I886" s="9">
        <v>500</v>
      </c>
      <c r="J886" s="9"/>
      <c r="K886" s="9"/>
      <c r="L886" s="9"/>
      <c r="M886" s="9"/>
      <c r="N886" s="9" t="s">
        <v>5654</v>
      </c>
      <c r="O886" s="9" t="s">
        <v>3081</v>
      </c>
      <c r="P886" s="9" t="s">
        <v>3190</v>
      </c>
      <c r="Q886" s="58" t="s">
        <v>3185</v>
      </c>
      <c r="R886" s="58">
        <v>1</v>
      </c>
      <c r="S886" s="58">
        <v>8</v>
      </c>
      <c r="T886" s="9" t="s">
        <v>5655</v>
      </c>
      <c r="U886" s="9" t="s">
        <v>5656</v>
      </c>
      <c r="V886" s="58">
        <v>1</v>
      </c>
      <c r="W886" s="9"/>
      <c r="X886" s="9"/>
      <c r="Y886" s="9"/>
      <c r="Z886" s="9"/>
    </row>
    <row r="887" spans="1:26" ht="15.75" hidden="1" customHeight="1">
      <c r="A887" s="9" t="s">
        <v>5651</v>
      </c>
      <c r="B887" s="9" t="s">
        <v>5652</v>
      </c>
      <c r="C887" s="9" t="s">
        <v>5653</v>
      </c>
      <c r="D887" s="9" t="s">
        <v>368</v>
      </c>
      <c r="E887" s="9" t="s">
        <v>3086</v>
      </c>
      <c r="F887" s="58" t="s">
        <v>3087</v>
      </c>
      <c r="G887" s="58">
        <v>1960</v>
      </c>
      <c r="H887" s="85">
        <v>0.42857142857142799</v>
      </c>
      <c r="I887" s="9">
        <v>500</v>
      </c>
      <c r="J887" s="9"/>
      <c r="K887" s="9"/>
      <c r="L887" s="9"/>
      <c r="M887" s="9"/>
      <c r="N887" s="9" t="s">
        <v>5654</v>
      </c>
      <c r="O887" s="9" t="s">
        <v>3081</v>
      </c>
      <c r="P887" s="9" t="s">
        <v>5657</v>
      </c>
      <c r="Q887" s="58" t="s">
        <v>3870</v>
      </c>
      <c r="R887" s="58">
        <v>2</v>
      </c>
      <c r="S887" s="58">
        <v>7</v>
      </c>
      <c r="T887" s="9" t="s">
        <v>5655</v>
      </c>
      <c r="U887" s="9" t="s">
        <v>5658</v>
      </c>
      <c r="V887" s="58">
        <v>2</v>
      </c>
      <c r="W887" s="9"/>
      <c r="X887" s="9"/>
      <c r="Y887" s="9"/>
      <c r="Z887" s="9"/>
    </row>
    <row r="888" spans="1:26" ht="15.75" hidden="1" customHeight="1">
      <c r="A888" s="9" t="s">
        <v>2166</v>
      </c>
      <c r="B888" s="9" t="s">
        <v>5659</v>
      </c>
      <c r="C888" s="9" t="s">
        <v>2168</v>
      </c>
      <c r="D888" s="9" t="s">
        <v>439</v>
      </c>
      <c r="E888" s="9"/>
      <c r="F888" s="9"/>
      <c r="G888" s="58">
        <v>6400</v>
      </c>
      <c r="H888" s="85">
        <v>7.4999999999999997E-2</v>
      </c>
      <c r="I888" s="9">
        <v>4000</v>
      </c>
      <c r="J888" s="9"/>
      <c r="K888" s="9"/>
      <c r="L888" s="9"/>
      <c r="M888" s="9"/>
      <c r="N888" s="9" t="s">
        <v>5660</v>
      </c>
      <c r="O888" s="9" t="s">
        <v>3081</v>
      </c>
      <c r="P888" s="9" t="s">
        <v>3190</v>
      </c>
      <c r="Q888" s="58" t="s">
        <v>3185</v>
      </c>
      <c r="R888" s="58">
        <v>1</v>
      </c>
      <c r="S888" s="58">
        <v>8</v>
      </c>
      <c r="T888" s="9" t="s">
        <v>5661</v>
      </c>
      <c r="U888" s="9" t="s">
        <v>5662</v>
      </c>
      <c r="V888" s="58">
        <v>1</v>
      </c>
      <c r="W888" s="9"/>
      <c r="X888" s="9"/>
      <c r="Y888" s="9"/>
      <c r="Z888" s="9"/>
    </row>
    <row r="889" spans="1:26" ht="15.75" hidden="1" customHeight="1">
      <c r="A889" s="9" t="s">
        <v>2166</v>
      </c>
      <c r="B889" s="9" t="s">
        <v>5659</v>
      </c>
      <c r="C889" s="9" t="s">
        <v>2168</v>
      </c>
      <c r="D889" s="9" t="s">
        <v>368</v>
      </c>
      <c r="E889" s="9" t="s">
        <v>3229</v>
      </c>
      <c r="F889" s="58" t="s">
        <v>3087</v>
      </c>
      <c r="G889" s="58">
        <v>490</v>
      </c>
      <c r="H889" s="85">
        <v>1.71428571428571</v>
      </c>
      <c r="I889" s="9">
        <v>4000</v>
      </c>
      <c r="J889" s="9"/>
      <c r="K889" s="9"/>
      <c r="L889" s="9"/>
      <c r="M889" s="9"/>
      <c r="N889" s="9" t="s">
        <v>5660</v>
      </c>
      <c r="O889" s="9" t="s">
        <v>3081</v>
      </c>
      <c r="P889" s="9" t="s">
        <v>5663</v>
      </c>
      <c r="Q889" s="58" t="s">
        <v>5381</v>
      </c>
      <c r="R889" s="58">
        <v>2</v>
      </c>
      <c r="S889" s="58">
        <v>7</v>
      </c>
      <c r="T889" s="9" t="s">
        <v>5661</v>
      </c>
      <c r="U889" s="9" t="s">
        <v>5664</v>
      </c>
      <c r="V889" s="58">
        <v>2</v>
      </c>
      <c r="W889" s="9"/>
      <c r="X889" s="9"/>
      <c r="Y889" s="9"/>
      <c r="Z889" s="9"/>
    </row>
    <row r="890" spans="1:26" ht="15.75" hidden="1" customHeight="1">
      <c r="A890" s="9" t="s">
        <v>5665</v>
      </c>
      <c r="B890" s="9" t="s">
        <v>5666</v>
      </c>
      <c r="C890" s="9" t="s">
        <v>5667</v>
      </c>
      <c r="D890" s="9" t="s">
        <v>439</v>
      </c>
      <c r="E890" s="9"/>
      <c r="F890" s="9"/>
      <c r="G890" s="58">
        <v>8800</v>
      </c>
      <c r="H890" s="85">
        <v>5.4545454545454501E-2</v>
      </c>
      <c r="I890" s="9">
        <v>371</v>
      </c>
      <c r="J890" s="9"/>
      <c r="K890" s="9"/>
      <c r="L890" s="9"/>
      <c r="M890" s="9"/>
      <c r="N890" s="9" t="s">
        <v>5668</v>
      </c>
      <c r="O890" s="9" t="s">
        <v>3081</v>
      </c>
      <c r="P890" s="9" t="s">
        <v>3125</v>
      </c>
      <c r="Q890" s="58" t="s">
        <v>3077</v>
      </c>
      <c r="R890" s="58">
        <v>1</v>
      </c>
      <c r="S890" s="58">
        <v>8</v>
      </c>
      <c r="T890" s="9" t="s">
        <v>5669</v>
      </c>
      <c r="U890" s="9" t="s">
        <v>5670</v>
      </c>
      <c r="V890" s="58">
        <v>1</v>
      </c>
      <c r="W890" s="9"/>
      <c r="X890" s="9"/>
      <c r="Y890" s="9"/>
      <c r="Z890" s="9"/>
    </row>
    <row r="891" spans="1:26" ht="15.75" hidden="1" customHeight="1">
      <c r="A891" s="9" t="s">
        <v>5665</v>
      </c>
      <c r="B891" s="9" t="s">
        <v>5666</v>
      </c>
      <c r="C891" s="9" t="s">
        <v>5667</v>
      </c>
      <c r="D891" s="9" t="s">
        <v>368</v>
      </c>
      <c r="E891" s="9" t="s">
        <v>3086</v>
      </c>
      <c r="F891" s="58" t="s">
        <v>3087</v>
      </c>
      <c r="G891" s="58">
        <v>2450</v>
      </c>
      <c r="H891" s="85">
        <v>0.51428571428571401</v>
      </c>
      <c r="I891" s="9">
        <v>371</v>
      </c>
      <c r="J891" s="9"/>
      <c r="K891" s="9"/>
      <c r="L891" s="9"/>
      <c r="M891" s="9"/>
      <c r="N891" s="9" t="s">
        <v>5668</v>
      </c>
      <c r="O891" s="9" t="s">
        <v>3081</v>
      </c>
      <c r="P891" s="9" t="s">
        <v>5671</v>
      </c>
      <c r="Q891" s="58" t="s">
        <v>4081</v>
      </c>
      <c r="R891" s="58">
        <v>3</v>
      </c>
      <c r="S891" s="58">
        <v>7</v>
      </c>
      <c r="T891" s="9" t="s">
        <v>5669</v>
      </c>
      <c r="U891" s="9" t="s">
        <v>5672</v>
      </c>
      <c r="V891" s="58">
        <v>3</v>
      </c>
      <c r="W891" s="9"/>
      <c r="X891" s="9"/>
      <c r="Y891" s="9"/>
      <c r="Z891" s="9"/>
    </row>
    <row r="892" spans="1:26" ht="15.75" hidden="1" customHeight="1">
      <c r="A892" s="9" t="s">
        <v>2175</v>
      </c>
      <c r="B892" s="9" t="s">
        <v>5673</v>
      </c>
      <c r="C892" s="9" t="s">
        <v>2177</v>
      </c>
      <c r="D892" s="9" t="s">
        <v>439</v>
      </c>
      <c r="E892" s="9"/>
      <c r="F892" s="9"/>
      <c r="G892" s="58">
        <v>8000</v>
      </c>
      <c r="H892" s="85">
        <v>0.06</v>
      </c>
      <c r="I892" s="9">
        <v>4000</v>
      </c>
      <c r="J892" s="9"/>
      <c r="K892" s="9"/>
      <c r="L892" s="9"/>
      <c r="M892" s="9"/>
      <c r="N892" s="9" t="s">
        <v>5030</v>
      </c>
      <c r="O892" s="9" t="s">
        <v>3081</v>
      </c>
      <c r="P892" s="9" t="s">
        <v>3415</v>
      </c>
      <c r="Q892" s="58" t="s">
        <v>3167</v>
      </c>
      <c r="R892" s="58">
        <v>1</v>
      </c>
      <c r="S892" s="58">
        <v>8</v>
      </c>
      <c r="T892" s="9" t="s">
        <v>5674</v>
      </c>
      <c r="U892" s="9" t="s">
        <v>5675</v>
      </c>
      <c r="V892" s="58">
        <v>1</v>
      </c>
      <c r="W892" s="9"/>
      <c r="X892" s="9"/>
      <c r="Y892" s="9"/>
      <c r="Z892" s="9"/>
    </row>
    <row r="893" spans="1:26" ht="15.75" hidden="1" customHeight="1">
      <c r="A893" s="9" t="s">
        <v>2175</v>
      </c>
      <c r="B893" s="9" t="s">
        <v>5673</v>
      </c>
      <c r="C893" s="9" t="s">
        <v>2177</v>
      </c>
      <c r="D893" s="9" t="s">
        <v>368</v>
      </c>
      <c r="E893" s="9" t="s">
        <v>3229</v>
      </c>
      <c r="F893" s="58" t="s">
        <v>3087</v>
      </c>
      <c r="G893" s="58">
        <v>140</v>
      </c>
      <c r="H893" s="85">
        <v>6</v>
      </c>
      <c r="I893" s="9">
        <v>4000</v>
      </c>
      <c r="J893" s="9"/>
      <c r="K893" s="9"/>
      <c r="L893" s="9"/>
      <c r="M893" s="9"/>
      <c r="N893" s="9" t="s">
        <v>5030</v>
      </c>
      <c r="O893" s="9" t="s">
        <v>3081</v>
      </c>
      <c r="P893" s="9" t="s">
        <v>5676</v>
      </c>
      <c r="Q893" s="58" t="s">
        <v>4953</v>
      </c>
      <c r="R893" s="58">
        <v>2</v>
      </c>
      <c r="S893" s="58">
        <v>7</v>
      </c>
      <c r="T893" s="9" t="s">
        <v>5674</v>
      </c>
      <c r="U893" s="9" t="s">
        <v>5677</v>
      </c>
      <c r="V893" s="58">
        <v>2</v>
      </c>
      <c r="W893" s="9"/>
      <c r="X893" s="9"/>
      <c r="Y893" s="9"/>
      <c r="Z893" s="9"/>
    </row>
    <row r="894" spans="1:26" ht="15.75" hidden="1" customHeight="1">
      <c r="A894" s="9" t="s">
        <v>2009</v>
      </c>
      <c r="B894" s="9" t="s">
        <v>5678</v>
      </c>
      <c r="C894" s="9" t="s">
        <v>588</v>
      </c>
      <c r="D894" s="9" t="s">
        <v>368</v>
      </c>
      <c r="E894" s="9" t="s">
        <v>3092</v>
      </c>
      <c r="F894" s="58" t="s">
        <v>3087</v>
      </c>
      <c r="G894" s="58">
        <v>2800</v>
      </c>
      <c r="H894" s="85">
        <v>0.45</v>
      </c>
      <c r="I894" s="9">
        <v>135</v>
      </c>
      <c r="J894" s="9"/>
      <c r="K894" s="9"/>
      <c r="L894" s="9"/>
      <c r="M894" s="9"/>
      <c r="N894" s="9" t="s">
        <v>5679</v>
      </c>
      <c r="O894" s="9" t="s">
        <v>2724</v>
      </c>
      <c r="P894" s="9" t="s">
        <v>3814</v>
      </c>
      <c r="Q894" s="58" t="s">
        <v>3240</v>
      </c>
      <c r="R894" s="58">
        <v>3</v>
      </c>
      <c r="S894" s="58">
        <v>7</v>
      </c>
      <c r="T894" s="9" t="s">
        <v>5680</v>
      </c>
      <c r="U894" s="9" t="s">
        <v>5681</v>
      </c>
      <c r="V894" s="58">
        <v>3</v>
      </c>
      <c r="W894" s="9"/>
      <c r="X894" s="9"/>
      <c r="Y894" s="9"/>
      <c r="Z894" s="9"/>
    </row>
    <row r="895" spans="1:26" ht="15.75" hidden="1" customHeight="1">
      <c r="A895" s="9" t="s">
        <v>2013</v>
      </c>
      <c r="B895" s="9" t="s">
        <v>5682</v>
      </c>
      <c r="C895" s="9" t="s">
        <v>458</v>
      </c>
      <c r="D895" s="9" t="s">
        <v>439</v>
      </c>
      <c r="E895" s="9"/>
      <c r="F895" s="9"/>
      <c r="G895" s="58">
        <v>6400</v>
      </c>
      <c r="H895" s="85">
        <v>7.4999999999999997E-2</v>
      </c>
      <c r="I895" s="9" t="s">
        <v>5683</v>
      </c>
      <c r="J895" s="9"/>
      <c r="K895" s="9"/>
      <c r="L895" s="9"/>
      <c r="M895" s="9"/>
      <c r="N895" s="9" t="s">
        <v>4798</v>
      </c>
      <c r="O895" s="9" t="s">
        <v>3051</v>
      </c>
      <c r="P895" s="9" t="s">
        <v>3190</v>
      </c>
      <c r="Q895" s="58" t="s">
        <v>3185</v>
      </c>
      <c r="R895" s="58">
        <v>1</v>
      </c>
      <c r="S895" s="58">
        <v>8</v>
      </c>
      <c r="T895" s="9" t="s">
        <v>5684</v>
      </c>
      <c r="U895" s="9" t="s">
        <v>5685</v>
      </c>
      <c r="V895" s="58">
        <v>1</v>
      </c>
      <c r="W895" s="9"/>
      <c r="X895" s="9"/>
      <c r="Y895" s="9"/>
      <c r="Z895" s="9"/>
    </row>
    <row r="896" spans="1:26" ht="15.75" hidden="1" customHeight="1">
      <c r="A896" s="9" t="s">
        <v>2013</v>
      </c>
      <c r="B896" s="9" t="s">
        <v>5682</v>
      </c>
      <c r="C896" s="9" t="s">
        <v>458</v>
      </c>
      <c r="D896" s="9" t="s">
        <v>368</v>
      </c>
      <c r="E896" s="9" t="s">
        <v>3067</v>
      </c>
      <c r="F896" s="58" t="s">
        <v>3057</v>
      </c>
      <c r="G896" s="58">
        <v>7700</v>
      </c>
      <c r="H896" s="85">
        <v>0.218181818181818</v>
      </c>
      <c r="I896" s="9" t="s">
        <v>5683</v>
      </c>
      <c r="J896" s="9"/>
      <c r="K896" s="9"/>
      <c r="L896" s="9"/>
      <c r="M896" s="9"/>
      <c r="N896" s="9" t="s">
        <v>4798</v>
      </c>
      <c r="O896" s="9" t="s">
        <v>3051</v>
      </c>
      <c r="P896" s="9" t="s">
        <v>5686</v>
      </c>
      <c r="Q896" s="58" t="s">
        <v>3077</v>
      </c>
      <c r="R896" s="58">
        <v>4</v>
      </c>
      <c r="S896" s="58">
        <v>7</v>
      </c>
      <c r="T896" s="9" t="s">
        <v>5684</v>
      </c>
      <c r="U896" s="9" t="s">
        <v>5687</v>
      </c>
      <c r="V896" s="58">
        <v>4</v>
      </c>
      <c r="W896" s="9"/>
      <c r="X896" s="9"/>
      <c r="Y896" s="9"/>
      <c r="Z896" s="9"/>
    </row>
    <row r="897" spans="1:26" ht="15.75" hidden="1" customHeight="1">
      <c r="A897" s="9" t="s">
        <v>93</v>
      </c>
      <c r="B897" s="9" t="s">
        <v>5688</v>
      </c>
      <c r="C897" s="9" t="s">
        <v>94</v>
      </c>
      <c r="D897" s="9" t="s">
        <v>368</v>
      </c>
      <c r="E897" s="9" t="s">
        <v>5689</v>
      </c>
      <c r="F897" s="58" t="s">
        <v>3087</v>
      </c>
      <c r="G897" s="58">
        <v>7000</v>
      </c>
      <c r="H897" s="85">
        <v>0.24</v>
      </c>
      <c r="I897" s="9">
        <v>20</v>
      </c>
      <c r="J897" s="9"/>
      <c r="K897" s="9"/>
      <c r="L897" s="9"/>
      <c r="M897" s="9"/>
      <c r="N897" s="9" t="s">
        <v>5690</v>
      </c>
      <c r="O897" s="9" t="s">
        <v>3081</v>
      </c>
      <c r="P897" s="9" t="s">
        <v>5691</v>
      </c>
      <c r="Q897" s="58" t="s">
        <v>3167</v>
      </c>
      <c r="R897" s="58">
        <v>4</v>
      </c>
      <c r="S897" s="58">
        <v>7</v>
      </c>
      <c r="T897" s="9" t="s">
        <v>5142</v>
      </c>
      <c r="U897" s="9" t="s">
        <v>5692</v>
      </c>
      <c r="V897" s="58">
        <v>4</v>
      </c>
      <c r="W897" s="9"/>
      <c r="X897" s="9"/>
      <c r="Y897" s="9"/>
      <c r="Z897" s="9"/>
    </row>
    <row r="898" spans="1:26" ht="15.75" hidden="1" customHeight="1">
      <c r="A898" s="9" t="s">
        <v>111</v>
      </c>
      <c r="B898" s="9" t="s">
        <v>5693</v>
      </c>
      <c r="C898" s="9" t="s">
        <v>112</v>
      </c>
      <c r="D898" s="9" t="s">
        <v>439</v>
      </c>
      <c r="E898" s="9"/>
      <c r="F898" s="9"/>
      <c r="G898" s="58">
        <v>4560</v>
      </c>
      <c r="H898" s="85">
        <v>0.105263157894736</v>
      </c>
      <c r="I898" s="9">
        <v>370</v>
      </c>
      <c r="J898" s="9"/>
      <c r="K898" s="9"/>
      <c r="L898" s="9"/>
      <c r="M898" s="9"/>
      <c r="N898" s="9" t="s">
        <v>5694</v>
      </c>
      <c r="O898" s="9" t="s">
        <v>3081</v>
      </c>
      <c r="P898" s="9" t="s">
        <v>3929</v>
      </c>
      <c r="Q898" s="58" t="s">
        <v>3930</v>
      </c>
      <c r="R898" s="58">
        <v>1</v>
      </c>
      <c r="S898" s="58">
        <v>8</v>
      </c>
      <c r="T898" s="9" t="s">
        <v>3065</v>
      </c>
      <c r="U898" s="9" t="s">
        <v>5695</v>
      </c>
      <c r="V898" s="58">
        <v>1</v>
      </c>
      <c r="W898" s="9"/>
      <c r="X898" s="9"/>
      <c r="Y898" s="9"/>
      <c r="Z898" s="9"/>
    </row>
    <row r="899" spans="1:26" ht="15.75" hidden="1" customHeight="1">
      <c r="A899" s="9" t="s">
        <v>111</v>
      </c>
      <c r="B899" s="9" t="s">
        <v>5693</v>
      </c>
      <c r="C899" s="9" t="s">
        <v>112</v>
      </c>
      <c r="D899" s="9" t="s">
        <v>368</v>
      </c>
      <c r="E899" s="9" t="s">
        <v>3229</v>
      </c>
      <c r="F899" s="58" t="s">
        <v>3087</v>
      </c>
      <c r="G899" s="58">
        <v>3360</v>
      </c>
      <c r="H899" s="85">
        <v>0.5</v>
      </c>
      <c r="I899" s="9">
        <v>370</v>
      </c>
      <c r="J899" s="9"/>
      <c r="K899" s="9"/>
      <c r="L899" s="9"/>
      <c r="M899" s="9"/>
      <c r="N899" s="9" t="s">
        <v>5694</v>
      </c>
      <c r="O899" s="9" t="s">
        <v>3081</v>
      </c>
      <c r="P899" s="9" t="s">
        <v>5696</v>
      </c>
      <c r="Q899" s="58" t="s">
        <v>3764</v>
      </c>
      <c r="R899" s="58">
        <v>4</v>
      </c>
      <c r="S899" s="58">
        <v>7</v>
      </c>
      <c r="T899" s="9" t="s">
        <v>3065</v>
      </c>
      <c r="U899" s="9" t="s">
        <v>5697</v>
      </c>
      <c r="V899" s="58">
        <v>4</v>
      </c>
      <c r="W899" s="9"/>
      <c r="X899" s="9"/>
      <c r="Y899" s="9"/>
      <c r="Z899" s="9"/>
    </row>
    <row r="900" spans="1:26" ht="15.75" hidden="1" customHeight="1">
      <c r="A900" s="9" t="s">
        <v>5698</v>
      </c>
      <c r="B900" s="9" t="s">
        <v>5699</v>
      </c>
      <c r="C900" s="9" t="s">
        <v>5700</v>
      </c>
      <c r="D900" s="9" t="s">
        <v>439</v>
      </c>
      <c r="E900" s="9"/>
      <c r="F900" s="9"/>
      <c r="G900" s="58">
        <v>20300</v>
      </c>
      <c r="H900" s="85">
        <v>2.0689655172413699E-2</v>
      </c>
      <c r="I900" s="9">
        <v>6.4</v>
      </c>
      <c r="J900" s="9"/>
      <c r="K900" s="9"/>
      <c r="L900" s="9"/>
      <c r="M900" s="9"/>
      <c r="N900" s="9" t="s">
        <v>3130</v>
      </c>
      <c r="O900" s="9" t="s">
        <v>3051</v>
      </c>
      <c r="P900" s="9" t="s">
        <v>5701</v>
      </c>
      <c r="Q900" s="58" t="s">
        <v>3100</v>
      </c>
      <c r="R900" s="9">
        <v>1</v>
      </c>
      <c r="S900" s="9">
        <v>7</v>
      </c>
      <c r="T900" s="9" t="s">
        <v>3065</v>
      </c>
      <c r="U900" s="9" t="s">
        <v>5702</v>
      </c>
      <c r="V900" s="9">
        <v>1</v>
      </c>
      <c r="W900" s="9"/>
      <c r="X900" s="9"/>
      <c r="Y900" s="9"/>
      <c r="Z900" s="9"/>
    </row>
    <row r="901" spans="1:26" ht="15.75" hidden="1" customHeight="1">
      <c r="A901" s="9" t="s">
        <v>5698</v>
      </c>
      <c r="B901" s="9" t="s">
        <v>5699</v>
      </c>
      <c r="C901" s="9" t="s">
        <v>5700</v>
      </c>
      <c r="D901" s="9" t="s">
        <v>368</v>
      </c>
      <c r="E901" s="9" t="s">
        <v>3270</v>
      </c>
      <c r="F901" s="58" t="s">
        <v>3057</v>
      </c>
      <c r="G901" s="58">
        <v>8050</v>
      </c>
      <c r="H901" s="85">
        <v>0.15652173913043399</v>
      </c>
      <c r="I901" s="9">
        <v>6.4</v>
      </c>
      <c r="J901" s="9"/>
      <c r="K901" s="9"/>
      <c r="L901" s="9"/>
      <c r="M901" s="9"/>
      <c r="N901" s="9" t="s">
        <v>3130</v>
      </c>
      <c r="O901" s="9" t="s">
        <v>3051</v>
      </c>
      <c r="P901" s="9" t="s">
        <v>5703</v>
      </c>
      <c r="Q901" s="58" t="s">
        <v>5704</v>
      </c>
      <c r="R901" s="9">
        <v>3</v>
      </c>
      <c r="S901" s="9">
        <v>7</v>
      </c>
      <c r="T901" s="9" t="s">
        <v>3065</v>
      </c>
      <c r="U901" s="9" t="s">
        <v>5705</v>
      </c>
      <c r="V901" s="9">
        <v>3</v>
      </c>
      <c r="W901" s="9"/>
      <c r="X901" s="9"/>
      <c r="Y901" s="9"/>
      <c r="Z901" s="9"/>
    </row>
    <row r="902" spans="1:26" ht="15.75" hidden="1" customHeight="1">
      <c r="A902" s="9" t="s">
        <v>2143</v>
      </c>
      <c r="B902" s="9" t="s">
        <v>5706</v>
      </c>
      <c r="C902" s="9" t="s">
        <v>479</v>
      </c>
      <c r="D902" s="9" t="s">
        <v>439</v>
      </c>
      <c r="E902" s="9"/>
      <c r="F902" s="9"/>
      <c r="G902" s="58">
        <v>9600</v>
      </c>
      <c r="H902" s="85">
        <v>0.05</v>
      </c>
      <c r="I902" s="9">
        <v>15.9</v>
      </c>
      <c r="J902" s="9"/>
      <c r="K902" s="9"/>
      <c r="L902" s="9"/>
      <c r="M902" s="9"/>
      <c r="N902" s="9" t="s">
        <v>3616</v>
      </c>
      <c r="O902" s="9" t="s">
        <v>3051</v>
      </c>
      <c r="P902" s="9" t="s">
        <v>3111</v>
      </c>
      <c r="Q902" s="58" t="s">
        <v>3074</v>
      </c>
      <c r="R902" s="58">
        <v>1</v>
      </c>
      <c r="S902" s="58">
        <v>8</v>
      </c>
      <c r="T902" s="9" t="s">
        <v>3918</v>
      </c>
      <c r="U902" s="9" t="s">
        <v>5707</v>
      </c>
      <c r="V902" s="58">
        <v>1</v>
      </c>
      <c r="W902" s="9"/>
      <c r="X902" s="9"/>
      <c r="Y902" s="9"/>
      <c r="Z902" s="9"/>
    </row>
    <row r="903" spans="1:26" ht="15.75" hidden="1" customHeight="1">
      <c r="A903" s="9" t="s">
        <v>2143</v>
      </c>
      <c r="B903" s="9" t="s">
        <v>5706</v>
      </c>
      <c r="C903" s="9" t="s">
        <v>479</v>
      </c>
      <c r="D903" s="9" t="s">
        <v>368</v>
      </c>
      <c r="E903" s="9" t="s">
        <v>3092</v>
      </c>
      <c r="F903" s="58" t="s">
        <v>3087</v>
      </c>
      <c r="G903" s="58">
        <v>8400</v>
      </c>
      <c r="H903" s="85">
        <v>0.2</v>
      </c>
      <c r="I903" s="9">
        <v>15.9</v>
      </c>
      <c r="J903" s="9"/>
      <c r="K903" s="9"/>
      <c r="L903" s="9"/>
      <c r="M903" s="9"/>
      <c r="N903" s="9" t="s">
        <v>3616</v>
      </c>
      <c r="O903" s="9" t="s">
        <v>3051</v>
      </c>
      <c r="P903" s="9" t="s">
        <v>5708</v>
      </c>
      <c r="Q903" s="58" t="s">
        <v>3074</v>
      </c>
      <c r="R903" s="58">
        <v>4</v>
      </c>
      <c r="S903" s="58">
        <v>7</v>
      </c>
      <c r="T903" s="9" t="s">
        <v>3918</v>
      </c>
      <c r="U903" s="9" t="s">
        <v>5709</v>
      </c>
      <c r="V903" s="58">
        <v>4</v>
      </c>
      <c r="W903" s="9"/>
      <c r="X903" s="9"/>
      <c r="Y903" s="9"/>
      <c r="Z903" s="9"/>
    </row>
    <row r="904" spans="1:26" ht="15.75" hidden="1" customHeight="1">
      <c r="A904" s="9" t="s">
        <v>2026</v>
      </c>
      <c r="B904" s="9" t="s">
        <v>5710</v>
      </c>
      <c r="C904" s="9" t="s">
        <v>481</v>
      </c>
      <c r="D904" s="9" t="s">
        <v>439</v>
      </c>
      <c r="E904" s="9"/>
      <c r="F904" s="9"/>
      <c r="G904" s="58">
        <v>9100</v>
      </c>
      <c r="H904" s="85">
        <v>4.6153846153846101E-2</v>
      </c>
      <c r="I904" s="9">
        <v>31.8</v>
      </c>
      <c r="J904" s="9"/>
      <c r="K904" s="9"/>
      <c r="L904" s="9"/>
      <c r="M904" s="9"/>
      <c r="N904" s="9" t="s">
        <v>3898</v>
      </c>
      <c r="O904" s="9" t="s">
        <v>3051</v>
      </c>
      <c r="P904" s="9" t="s">
        <v>3063</v>
      </c>
      <c r="Q904" s="58" t="s">
        <v>3064</v>
      </c>
      <c r="R904" s="9">
        <v>1</v>
      </c>
      <c r="S904" s="9">
        <v>7</v>
      </c>
      <c r="T904" s="9" t="s">
        <v>3065</v>
      </c>
      <c r="U904" s="9" t="s">
        <v>5711</v>
      </c>
      <c r="V904" s="9">
        <v>1</v>
      </c>
      <c r="W904" s="9"/>
      <c r="X904" s="9"/>
      <c r="Y904" s="9"/>
      <c r="Z904" s="9"/>
    </row>
    <row r="905" spans="1:26" ht="15.75" hidden="1" customHeight="1">
      <c r="A905" s="9" t="s">
        <v>2026</v>
      </c>
      <c r="B905" s="9" t="s">
        <v>5710</v>
      </c>
      <c r="C905" s="9" t="s">
        <v>481</v>
      </c>
      <c r="D905" s="9" t="s">
        <v>368</v>
      </c>
      <c r="E905" s="9" t="s">
        <v>5712</v>
      </c>
      <c r="F905" s="58" t="s">
        <v>3057</v>
      </c>
      <c r="G905" s="58">
        <v>9450</v>
      </c>
      <c r="H905" s="85">
        <v>0.17777777777777701</v>
      </c>
      <c r="I905" s="9">
        <v>31.8</v>
      </c>
      <c r="J905" s="9"/>
      <c r="K905" s="9"/>
      <c r="L905" s="9"/>
      <c r="M905" s="9"/>
      <c r="N905" s="9" t="s">
        <v>3898</v>
      </c>
      <c r="O905" s="9" t="s">
        <v>3051</v>
      </c>
      <c r="P905" s="9" t="s">
        <v>5713</v>
      </c>
      <c r="Q905" s="58" t="s">
        <v>4382</v>
      </c>
      <c r="R905" s="9">
        <v>4</v>
      </c>
      <c r="S905" s="9">
        <v>7</v>
      </c>
      <c r="T905" s="9" t="s">
        <v>3065</v>
      </c>
      <c r="U905" s="9" t="s">
        <v>5714</v>
      </c>
      <c r="V905" s="9">
        <v>4</v>
      </c>
      <c r="W905" s="9"/>
      <c r="X905" s="9"/>
      <c r="Y905" s="9"/>
      <c r="Z905" s="9"/>
    </row>
    <row r="906" spans="1:26" ht="15.75" hidden="1" customHeight="1">
      <c r="A906" s="9" t="s">
        <v>2549</v>
      </c>
      <c r="B906" s="9" t="s">
        <v>5715</v>
      </c>
      <c r="C906" s="9" t="s">
        <v>2551</v>
      </c>
      <c r="D906" s="9" t="s">
        <v>439</v>
      </c>
      <c r="E906" s="9"/>
      <c r="F906" s="9"/>
      <c r="G906" s="58">
        <v>12800</v>
      </c>
      <c r="H906" s="85">
        <v>3.7499999999999999E-2</v>
      </c>
      <c r="I906" s="9">
        <v>33</v>
      </c>
      <c r="J906" s="9"/>
      <c r="K906" s="9"/>
      <c r="L906" s="9"/>
      <c r="M906" s="9"/>
      <c r="N906" s="9" t="s">
        <v>3898</v>
      </c>
      <c r="O906" s="9" t="s">
        <v>3051</v>
      </c>
      <c r="P906" s="9" t="s">
        <v>3650</v>
      </c>
      <c r="Q906" s="58" t="s">
        <v>3545</v>
      </c>
      <c r="R906" s="58">
        <v>1</v>
      </c>
      <c r="S906" s="58">
        <v>8</v>
      </c>
      <c r="T906" s="9" t="s">
        <v>5716</v>
      </c>
      <c r="U906" s="9" t="s">
        <v>5717</v>
      </c>
      <c r="V906" s="58">
        <v>1</v>
      </c>
      <c r="W906" s="9"/>
      <c r="X906" s="9"/>
      <c r="Y906" s="9"/>
      <c r="Z906" s="9"/>
    </row>
    <row r="907" spans="1:26" ht="15.75" hidden="1" customHeight="1">
      <c r="A907" s="9" t="s">
        <v>2549</v>
      </c>
      <c r="B907" s="9" t="s">
        <v>5715</v>
      </c>
      <c r="C907" s="9" t="s">
        <v>2551</v>
      </c>
      <c r="D907" s="9" t="s">
        <v>368</v>
      </c>
      <c r="E907" s="9" t="s">
        <v>3920</v>
      </c>
      <c r="F907" s="58" t="s">
        <v>3057</v>
      </c>
      <c r="G907" s="58">
        <v>9100</v>
      </c>
      <c r="H907" s="85">
        <v>0.138461538461538</v>
      </c>
      <c r="I907" s="9">
        <v>33</v>
      </c>
      <c r="J907" s="9"/>
      <c r="K907" s="9"/>
      <c r="L907" s="9"/>
      <c r="M907" s="9"/>
      <c r="N907" s="9" t="s">
        <v>3898</v>
      </c>
      <c r="O907" s="9" t="s">
        <v>3051</v>
      </c>
      <c r="P907" s="9" t="s">
        <v>5718</v>
      </c>
      <c r="Q907" s="58" t="s">
        <v>3064</v>
      </c>
      <c r="R907" s="58">
        <v>3</v>
      </c>
      <c r="S907" s="58">
        <v>7</v>
      </c>
      <c r="T907" s="9" t="s">
        <v>5716</v>
      </c>
      <c r="U907" s="9" t="s">
        <v>5719</v>
      </c>
      <c r="V907" s="58">
        <v>3</v>
      </c>
      <c r="W907" s="9"/>
      <c r="X907" s="9"/>
      <c r="Y907" s="9"/>
      <c r="Z907" s="9"/>
    </row>
    <row r="908" spans="1:26" ht="15.75" hidden="1" customHeight="1">
      <c r="A908" s="9" t="s">
        <v>2553</v>
      </c>
      <c r="B908" s="9" t="s">
        <v>5720</v>
      </c>
      <c r="C908" s="9" t="s">
        <v>2555</v>
      </c>
      <c r="D908" s="9" t="s">
        <v>439</v>
      </c>
      <c r="E908" s="9"/>
      <c r="F908" s="9"/>
      <c r="G908" s="58">
        <v>12800</v>
      </c>
      <c r="H908" s="85">
        <v>3.7499999999999999E-2</v>
      </c>
      <c r="I908" s="9">
        <v>33.299999999999997</v>
      </c>
      <c r="J908" s="9"/>
      <c r="K908" s="9"/>
      <c r="L908" s="9"/>
      <c r="M908" s="9"/>
      <c r="N908" s="9" t="s">
        <v>4158</v>
      </c>
      <c r="O908" s="9" t="s">
        <v>3051</v>
      </c>
      <c r="P908" s="9" t="s">
        <v>3650</v>
      </c>
      <c r="Q908" s="58" t="s">
        <v>3545</v>
      </c>
      <c r="R908" s="58">
        <v>1</v>
      </c>
      <c r="S908" s="58">
        <v>8</v>
      </c>
      <c r="T908" s="9" t="s">
        <v>5716</v>
      </c>
      <c r="U908" s="9" t="s">
        <v>5721</v>
      </c>
      <c r="V908" s="58">
        <v>1</v>
      </c>
      <c r="W908" s="9"/>
      <c r="X908" s="9"/>
      <c r="Y908" s="9"/>
      <c r="Z908" s="9"/>
    </row>
    <row r="909" spans="1:26" ht="15.75" hidden="1" customHeight="1">
      <c r="A909" s="9" t="s">
        <v>2553</v>
      </c>
      <c r="B909" s="9" t="s">
        <v>5720</v>
      </c>
      <c r="C909" s="9" t="s">
        <v>2555</v>
      </c>
      <c r="D909" s="9" t="s">
        <v>368</v>
      </c>
      <c r="E909" s="9" t="s">
        <v>3920</v>
      </c>
      <c r="F909" s="58" t="s">
        <v>3057</v>
      </c>
      <c r="G909" s="58">
        <v>9100</v>
      </c>
      <c r="H909" s="85">
        <v>0.138461538461538</v>
      </c>
      <c r="I909" s="9">
        <v>33.299999999999997</v>
      </c>
      <c r="J909" s="9"/>
      <c r="K909" s="9"/>
      <c r="L909" s="9"/>
      <c r="M909" s="9"/>
      <c r="N909" s="9" t="s">
        <v>4158</v>
      </c>
      <c r="O909" s="9" t="s">
        <v>3051</v>
      </c>
      <c r="P909" s="9" t="s">
        <v>5718</v>
      </c>
      <c r="Q909" s="58" t="s">
        <v>3064</v>
      </c>
      <c r="R909" s="58">
        <v>3</v>
      </c>
      <c r="S909" s="58">
        <v>7</v>
      </c>
      <c r="T909" s="9" t="s">
        <v>5716</v>
      </c>
      <c r="U909" s="9" t="s">
        <v>5722</v>
      </c>
      <c r="V909" s="58">
        <v>3</v>
      </c>
      <c r="W909" s="9"/>
      <c r="X909" s="9"/>
      <c r="Y909" s="9"/>
      <c r="Z909" s="9"/>
    </row>
    <row r="910" spans="1:26" ht="15.75" hidden="1" customHeight="1">
      <c r="A910" s="9" t="s">
        <v>2032</v>
      </c>
      <c r="B910" s="9" t="s">
        <v>5723</v>
      </c>
      <c r="C910" s="9" t="s">
        <v>477</v>
      </c>
      <c r="D910" s="9" t="s">
        <v>439</v>
      </c>
      <c r="E910" s="9"/>
      <c r="F910" s="9"/>
      <c r="G910" s="58">
        <v>11200</v>
      </c>
      <c r="H910" s="85">
        <v>4.2857142857142802E-2</v>
      </c>
      <c r="I910" s="9">
        <v>50.7</v>
      </c>
      <c r="J910" s="9"/>
      <c r="K910" s="9"/>
      <c r="L910" s="9"/>
      <c r="M910" s="9"/>
      <c r="N910" s="9" t="s">
        <v>5724</v>
      </c>
      <c r="O910" s="9" t="s">
        <v>3081</v>
      </c>
      <c r="P910" s="9" t="s">
        <v>3293</v>
      </c>
      <c r="Q910" s="58" t="s">
        <v>3294</v>
      </c>
      <c r="R910" s="58">
        <v>1</v>
      </c>
      <c r="S910" s="58">
        <v>8</v>
      </c>
      <c r="T910" s="9" t="s">
        <v>3065</v>
      </c>
      <c r="U910" s="9" t="s">
        <v>5725</v>
      </c>
      <c r="V910" s="58">
        <v>1</v>
      </c>
      <c r="W910" s="9"/>
      <c r="X910" s="9"/>
      <c r="Y910" s="9"/>
      <c r="Z910" s="9"/>
    </row>
    <row r="911" spans="1:26" ht="15.75" hidden="1" customHeight="1">
      <c r="A911" s="9" t="s">
        <v>2032</v>
      </c>
      <c r="B911" s="9" t="s">
        <v>5723</v>
      </c>
      <c r="C911" s="9" t="s">
        <v>477</v>
      </c>
      <c r="D911" s="9" t="s">
        <v>368</v>
      </c>
      <c r="E911" s="9" t="s">
        <v>5726</v>
      </c>
      <c r="F911" s="58" t="s">
        <v>3087</v>
      </c>
      <c r="G911" s="58">
        <v>8400</v>
      </c>
      <c r="H911" s="85">
        <v>0.2</v>
      </c>
      <c r="I911" s="9">
        <v>50.7</v>
      </c>
      <c r="J911" s="9"/>
      <c r="K911" s="9"/>
      <c r="L911" s="9"/>
      <c r="M911" s="9"/>
      <c r="N911" s="9" t="s">
        <v>5724</v>
      </c>
      <c r="O911" s="9" t="s">
        <v>3081</v>
      </c>
      <c r="P911" s="9" t="s">
        <v>5727</v>
      </c>
      <c r="Q911" s="58" t="s">
        <v>3074</v>
      </c>
      <c r="R911" s="58">
        <v>4</v>
      </c>
      <c r="S911" s="58">
        <v>7</v>
      </c>
      <c r="T911" s="9" t="s">
        <v>3065</v>
      </c>
      <c r="U911" s="9" t="s">
        <v>5728</v>
      </c>
      <c r="V911" s="58">
        <v>4</v>
      </c>
      <c r="W911" s="9"/>
      <c r="X911" s="9"/>
      <c r="Y911" s="9"/>
      <c r="Z911" s="9"/>
    </row>
    <row r="912" spans="1:26" ht="15.75" hidden="1" customHeight="1">
      <c r="A912" s="9" t="s">
        <v>2558</v>
      </c>
      <c r="B912" s="9" t="s">
        <v>5729</v>
      </c>
      <c r="C912" s="9" t="s">
        <v>2560</v>
      </c>
      <c r="D912" s="9" t="s">
        <v>368</v>
      </c>
      <c r="E912" s="9" t="s">
        <v>3092</v>
      </c>
      <c r="F912" s="58" t="s">
        <v>3087</v>
      </c>
      <c r="G912" s="58">
        <v>8050</v>
      </c>
      <c r="H912" s="85">
        <v>0.208695652173913</v>
      </c>
      <c r="I912" s="9">
        <v>16.100000000000001</v>
      </c>
      <c r="J912" s="9"/>
      <c r="K912" s="9"/>
      <c r="L912" s="9"/>
      <c r="M912" s="9"/>
      <c r="N912" s="9" t="s">
        <v>3105</v>
      </c>
      <c r="O912" s="9" t="s">
        <v>3081</v>
      </c>
      <c r="P912" s="9" t="s">
        <v>5730</v>
      </c>
      <c r="Q912" s="58" t="s">
        <v>5704</v>
      </c>
      <c r="R912" s="58">
        <v>4</v>
      </c>
      <c r="S912" s="58">
        <v>7</v>
      </c>
      <c r="T912" s="9" t="s">
        <v>5731</v>
      </c>
      <c r="U912" s="9" t="s">
        <v>5732</v>
      </c>
      <c r="V912" s="58">
        <v>4</v>
      </c>
      <c r="W912" s="9"/>
      <c r="X912" s="9"/>
      <c r="Y912" s="9"/>
      <c r="Z912" s="9"/>
    </row>
    <row r="913" spans="1:26" ht="15.75" hidden="1" customHeight="1">
      <c r="A913" s="9" t="s">
        <v>2562</v>
      </c>
      <c r="B913" s="9" t="s">
        <v>5733</v>
      </c>
      <c r="C913" s="9" t="s">
        <v>2564</v>
      </c>
      <c r="D913" s="9" t="s">
        <v>439</v>
      </c>
      <c r="E913" s="9"/>
      <c r="F913" s="9"/>
      <c r="G913" s="58">
        <v>9600</v>
      </c>
      <c r="H913" s="85">
        <v>0.05</v>
      </c>
      <c r="I913" s="9">
        <v>52.5</v>
      </c>
      <c r="J913" s="9"/>
      <c r="K913" s="9"/>
      <c r="L913" s="9"/>
      <c r="M913" s="9"/>
      <c r="N913" s="9" t="s">
        <v>5734</v>
      </c>
      <c r="O913" s="9" t="s">
        <v>3081</v>
      </c>
      <c r="P913" s="9" t="s">
        <v>3073</v>
      </c>
      <c r="Q913" s="58" t="s">
        <v>3074</v>
      </c>
      <c r="R913" s="58">
        <v>1</v>
      </c>
      <c r="S913" s="58">
        <v>8</v>
      </c>
      <c r="T913" s="9" t="s">
        <v>5735</v>
      </c>
      <c r="U913" s="9" t="s">
        <v>5736</v>
      </c>
      <c r="V913" s="58">
        <v>1</v>
      </c>
      <c r="W913" s="9"/>
      <c r="X913" s="9"/>
      <c r="Y913" s="9"/>
      <c r="Z913" s="9"/>
    </row>
    <row r="914" spans="1:26" ht="15.75" hidden="1" customHeight="1">
      <c r="A914" s="9" t="s">
        <v>2562</v>
      </c>
      <c r="B914" s="9" t="s">
        <v>5733</v>
      </c>
      <c r="C914" s="9" t="s">
        <v>2564</v>
      </c>
      <c r="D914" s="9" t="s">
        <v>368</v>
      </c>
      <c r="E914" s="9" t="s">
        <v>5726</v>
      </c>
      <c r="F914" s="58" t="s">
        <v>3087</v>
      </c>
      <c r="G914" s="58">
        <v>5950</v>
      </c>
      <c r="H914" s="85">
        <v>0.21176470588235199</v>
      </c>
      <c r="I914" s="9">
        <v>52.5</v>
      </c>
      <c r="J914" s="9"/>
      <c r="K914" s="9"/>
      <c r="L914" s="9"/>
      <c r="M914" s="9"/>
      <c r="N914" s="9" t="s">
        <v>5734</v>
      </c>
      <c r="O914" s="9" t="s">
        <v>3081</v>
      </c>
      <c r="P914" s="9" t="s">
        <v>5737</v>
      </c>
      <c r="Q914" s="58" t="s">
        <v>3132</v>
      </c>
      <c r="R914" s="58">
        <v>3</v>
      </c>
      <c r="S914" s="58">
        <v>7</v>
      </c>
      <c r="T914" s="9" t="s">
        <v>5735</v>
      </c>
      <c r="U914" s="9" t="s">
        <v>5738</v>
      </c>
      <c r="V914" s="58">
        <v>3</v>
      </c>
      <c r="W914" s="9"/>
      <c r="X914" s="9"/>
      <c r="Y914" s="9"/>
      <c r="Z914" s="9"/>
    </row>
    <row r="915" spans="1:26" ht="15.75" hidden="1" customHeight="1">
      <c r="A915" s="9" t="s">
        <v>2034</v>
      </c>
      <c r="B915" s="9" t="s">
        <v>5739</v>
      </c>
      <c r="C915" s="9" t="s">
        <v>552</v>
      </c>
      <c r="D915" s="9" t="s">
        <v>439</v>
      </c>
      <c r="E915" s="9"/>
      <c r="F915" s="9"/>
      <c r="G915" s="58">
        <v>4800</v>
      </c>
      <c r="H915" s="85">
        <v>0.1</v>
      </c>
      <c r="I915" s="9">
        <v>152</v>
      </c>
      <c r="J915" s="9"/>
      <c r="K915" s="9"/>
      <c r="L915" s="9"/>
      <c r="M915" s="9"/>
      <c r="N915" s="9" t="s">
        <v>3206</v>
      </c>
      <c r="O915" s="9" t="s">
        <v>3051</v>
      </c>
      <c r="P915" s="9" t="s">
        <v>4499</v>
      </c>
      <c r="Q915" s="58" t="s">
        <v>3122</v>
      </c>
      <c r="R915" s="58">
        <v>1</v>
      </c>
      <c r="S915" s="58">
        <v>8</v>
      </c>
      <c r="T915" s="9" t="s">
        <v>5740</v>
      </c>
      <c r="U915" s="9" t="s">
        <v>5741</v>
      </c>
      <c r="V915" s="58">
        <v>1</v>
      </c>
      <c r="W915" s="9"/>
      <c r="X915" s="9"/>
      <c r="Y915" s="9"/>
      <c r="Z915" s="9"/>
    </row>
    <row r="916" spans="1:26" ht="15.75" hidden="1" customHeight="1">
      <c r="A916" s="9" t="s">
        <v>2034</v>
      </c>
      <c r="B916" s="9" t="s">
        <v>5739</v>
      </c>
      <c r="C916" s="9" t="s">
        <v>552</v>
      </c>
      <c r="D916" s="9" t="s">
        <v>368</v>
      </c>
      <c r="E916" s="9" t="s">
        <v>4856</v>
      </c>
      <c r="F916" s="58" t="s">
        <v>3801</v>
      </c>
      <c r="G916" s="58">
        <v>4200</v>
      </c>
      <c r="H916" s="85">
        <v>0.4</v>
      </c>
      <c r="I916" s="9">
        <v>152</v>
      </c>
      <c r="J916" s="9"/>
      <c r="K916" s="9"/>
      <c r="L916" s="9"/>
      <c r="M916" s="9"/>
      <c r="N916" s="9" t="s">
        <v>3206</v>
      </c>
      <c r="O916" s="9" t="s">
        <v>3051</v>
      </c>
      <c r="P916" s="9" t="s">
        <v>5742</v>
      </c>
      <c r="Q916" s="58" t="s">
        <v>3122</v>
      </c>
      <c r="R916" s="58">
        <v>4</v>
      </c>
      <c r="S916" s="58">
        <v>7</v>
      </c>
      <c r="T916" s="9" t="s">
        <v>5740</v>
      </c>
      <c r="U916" s="9" t="s">
        <v>5743</v>
      </c>
      <c r="V916" s="58">
        <v>4</v>
      </c>
      <c r="W916" s="9"/>
      <c r="X916" s="9"/>
      <c r="Y916" s="9"/>
      <c r="Z916" s="9"/>
    </row>
    <row r="917" spans="1:26" ht="15.75" hidden="1" customHeight="1">
      <c r="A917" s="9" t="s">
        <v>2425</v>
      </c>
      <c r="B917" s="9" t="s">
        <v>5744</v>
      </c>
      <c r="C917" s="9" t="s">
        <v>2427</v>
      </c>
      <c r="D917" s="9" t="s">
        <v>439</v>
      </c>
      <c r="E917" s="9"/>
      <c r="F917" s="9"/>
      <c r="G917" s="58">
        <v>11200</v>
      </c>
      <c r="H917" s="85">
        <v>4.2857142857142802E-2</v>
      </c>
      <c r="I917" s="9">
        <v>153</v>
      </c>
      <c r="J917" s="9"/>
      <c r="K917" s="9"/>
      <c r="L917" s="9"/>
      <c r="M917" s="9"/>
      <c r="N917" s="9" t="s">
        <v>5745</v>
      </c>
      <c r="O917" s="9" t="s">
        <v>3351</v>
      </c>
      <c r="P917" s="9" t="s">
        <v>3293</v>
      </c>
      <c r="Q917" s="58" t="s">
        <v>3294</v>
      </c>
      <c r="R917" s="58">
        <v>1</v>
      </c>
      <c r="S917" s="58">
        <v>8</v>
      </c>
      <c r="T917" s="9" t="s">
        <v>5746</v>
      </c>
      <c r="U917" s="9" t="s">
        <v>5747</v>
      </c>
      <c r="V917" s="58">
        <v>1</v>
      </c>
      <c r="W917" s="9"/>
      <c r="X917" s="9"/>
      <c r="Y917" s="9"/>
      <c r="Z917" s="9"/>
    </row>
    <row r="918" spans="1:26" ht="15.75" hidden="1" customHeight="1">
      <c r="A918" s="9" t="s">
        <v>2425</v>
      </c>
      <c r="B918" s="9" t="s">
        <v>5744</v>
      </c>
      <c r="C918" s="9" t="s">
        <v>2427</v>
      </c>
      <c r="D918" s="9" t="s">
        <v>368</v>
      </c>
      <c r="E918" s="9" t="s">
        <v>5748</v>
      </c>
      <c r="F918" s="58" t="s">
        <v>3057</v>
      </c>
      <c r="G918" s="58">
        <v>4900</v>
      </c>
      <c r="H918" s="85">
        <v>0.25714285714285701</v>
      </c>
      <c r="I918" s="9">
        <v>153</v>
      </c>
      <c r="J918" s="9"/>
      <c r="K918" s="9"/>
      <c r="L918" s="9"/>
      <c r="M918" s="9"/>
      <c r="N918" s="9" t="s">
        <v>5745</v>
      </c>
      <c r="O918" s="9" t="s">
        <v>3351</v>
      </c>
      <c r="P918" s="9" t="s">
        <v>5749</v>
      </c>
      <c r="Q918" s="58" t="s">
        <v>3155</v>
      </c>
      <c r="R918" s="58">
        <v>3</v>
      </c>
      <c r="S918" s="58">
        <v>7</v>
      </c>
      <c r="T918" s="9" t="s">
        <v>5746</v>
      </c>
      <c r="U918" s="9" t="s">
        <v>5750</v>
      </c>
      <c r="V918" s="58">
        <v>3</v>
      </c>
      <c r="W918" s="9"/>
      <c r="X918" s="9"/>
      <c r="Y918" s="9"/>
      <c r="Z918" s="9"/>
    </row>
    <row r="919" spans="1:26" ht="15.75" hidden="1" customHeight="1">
      <c r="A919" s="9" t="s">
        <v>2516</v>
      </c>
      <c r="B919" s="9" t="s">
        <v>5751</v>
      </c>
      <c r="C919" s="9" t="s">
        <v>552</v>
      </c>
      <c r="D919" s="9" t="s">
        <v>439</v>
      </c>
      <c r="E919" s="9"/>
      <c r="F919" s="9"/>
      <c r="G919" s="58">
        <v>5600</v>
      </c>
      <c r="H919" s="85">
        <v>8.5714285714285701E-2</v>
      </c>
      <c r="I919" s="9">
        <v>155</v>
      </c>
      <c r="J919" s="9"/>
      <c r="K919" s="9"/>
      <c r="L919" s="9"/>
      <c r="M919" s="9"/>
      <c r="N919" s="9" t="s">
        <v>5752</v>
      </c>
      <c r="O919" s="9" t="s">
        <v>5753</v>
      </c>
      <c r="P919" s="9" t="s">
        <v>3154</v>
      </c>
      <c r="Q919" s="58" t="s">
        <v>3155</v>
      </c>
      <c r="R919" s="58">
        <v>1</v>
      </c>
      <c r="S919" s="58">
        <v>8</v>
      </c>
      <c r="T919" s="9" t="s">
        <v>5754</v>
      </c>
      <c r="U919" s="9" t="s">
        <v>5755</v>
      </c>
      <c r="V919" s="58">
        <v>1</v>
      </c>
      <c r="W919" s="9"/>
      <c r="X919" s="9"/>
      <c r="Y919" s="9"/>
      <c r="Z919" s="9"/>
    </row>
    <row r="920" spans="1:26" ht="15.75" hidden="1" customHeight="1">
      <c r="A920" s="9" t="s">
        <v>2516</v>
      </c>
      <c r="B920" s="9" t="s">
        <v>5751</v>
      </c>
      <c r="C920" s="9" t="s">
        <v>552</v>
      </c>
      <c r="D920" s="9" t="s">
        <v>368</v>
      </c>
      <c r="E920" s="9" t="s">
        <v>5393</v>
      </c>
      <c r="F920" s="58" t="s">
        <v>3057</v>
      </c>
      <c r="G920" s="58">
        <v>4900</v>
      </c>
      <c r="H920" s="85">
        <v>0.34285714285714203</v>
      </c>
      <c r="I920" s="9">
        <v>155</v>
      </c>
      <c r="J920" s="9"/>
      <c r="K920" s="9"/>
      <c r="L920" s="9"/>
      <c r="M920" s="9"/>
      <c r="N920" s="9" t="s">
        <v>5752</v>
      </c>
      <c r="O920" s="9" t="s">
        <v>5753</v>
      </c>
      <c r="P920" s="9" t="s">
        <v>5756</v>
      </c>
      <c r="Q920" s="58" t="s">
        <v>3155</v>
      </c>
      <c r="R920" s="58">
        <v>4</v>
      </c>
      <c r="S920" s="58">
        <v>7</v>
      </c>
      <c r="T920" s="9" t="s">
        <v>5754</v>
      </c>
      <c r="U920" s="9" t="s">
        <v>5757</v>
      </c>
      <c r="V920" s="58">
        <v>4</v>
      </c>
      <c r="W920" s="9"/>
      <c r="X920" s="9"/>
      <c r="Y920" s="9"/>
      <c r="Z920" s="9"/>
    </row>
    <row r="921" spans="1:26" ht="15.75" hidden="1" customHeight="1">
      <c r="A921" s="9" t="s">
        <v>139</v>
      </c>
      <c r="B921" s="9" t="s">
        <v>5758</v>
      </c>
      <c r="C921" s="9" t="s">
        <v>140</v>
      </c>
      <c r="D921" s="9" t="s">
        <v>368</v>
      </c>
      <c r="E921" s="9" t="s">
        <v>3067</v>
      </c>
      <c r="F921" s="58" t="s">
        <v>3057</v>
      </c>
      <c r="G921" s="58">
        <v>7000</v>
      </c>
      <c r="H921" s="85">
        <v>0.24</v>
      </c>
      <c r="I921" s="9">
        <v>10.1</v>
      </c>
      <c r="J921" s="9"/>
      <c r="K921" s="9"/>
      <c r="L921" s="9"/>
      <c r="M921" s="9"/>
      <c r="N921" s="9" t="s">
        <v>4667</v>
      </c>
      <c r="O921" s="9" t="s">
        <v>3051</v>
      </c>
      <c r="P921" s="9" t="s">
        <v>5759</v>
      </c>
      <c r="Q921" s="58" t="s">
        <v>3167</v>
      </c>
      <c r="R921" s="58">
        <v>4</v>
      </c>
      <c r="S921" s="58">
        <v>7</v>
      </c>
      <c r="T921" s="9" t="s">
        <v>5552</v>
      </c>
      <c r="U921" s="9" t="s">
        <v>5760</v>
      </c>
      <c r="V921" s="58">
        <v>4</v>
      </c>
      <c r="W921" s="9"/>
      <c r="X921" s="9"/>
      <c r="Y921" s="9"/>
      <c r="Z921" s="9"/>
    </row>
    <row r="922" spans="1:26" ht="15.75" hidden="1" customHeight="1">
      <c r="A922" s="9" t="s">
        <v>76</v>
      </c>
      <c r="B922" s="9" t="s">
        <v>5761</v>
      </c>
      <c r="C922" s="9" t="s">
        <v>77</v>
      </c>
      <c r="D922" s="9" t="s">
        <v>439</v>
      </c>
      <c r="E922" s="9"/>
      <c r="F922" s="9"/>
      <c r="G922" s="58">
        <v>12800</v>
      </c>
      <c r="H922" s="85">
        <v>3.7499999999999999E-2</v>
      </c>
      <c r="I922" s="9">
        <v>30.2</v>
      </c>
      <c r="J922" s="9"/>
      <c r="K922" s="9"/>
      <c r="L922" s="9"/>
      <c r="M922" s="9"/>
      <c r="N922" s="9" t="s">
        <v>3548</v>
      </c>
      <c r="O922" s="9" t="s">
        <v>3051</v>
      </c>
      <c r="P922" s="9" t="s">
        <v>3650</v>
      </c>
      <c r="Q922" s="58" t="s">
        <v>3545</v>
      </c>
      <c r="R922" s="58">
        <v>1</v>
      </c>
      <c r="S922" s="58">
        <v>8</v>
      </c>
      <c r="T922" s="9" t="s">
        <v>3065</v>
      </c>
      <c r="U922" s="9" t="s">
        <v>5762</v>
      </c>
      <c r="V922" s="58">
        <v>1</v>
      </c>
      <c r="W922" s="9"/>
      <c r="X922" s="9"/>
      <c r="Y922" s="9"/>
      <c r="Z922" s="9"/>
    </row>
    <row r="923" spans="1:26" ht="15.75" hidden="1" customHeight="1">
      <c r="A923" s="9" t="s">
        <v>76</v>
      </c>
      <c r="B923" s="9" t="s">
        <v>5761</v>
      </c>
      <c r="C923" s="9" t="s">
        <v>77</v>
      </c>
      <c r="D923" s="9" t="s">
        <v>368</v>
      </c>
      <c r="E923" s="9" t="s">
        <v>3067</v>
      </c>
      <c r="F923" s="58" t="s">
        <v>3057</v>
      </c>
      <c r="G923" s="58">
        <v>7700</v>
      </c>
      <c r="H923" s="85">
        <v>0.218181818181818</v>
      </c>
      <c r="I923" s="9">
        <v>30.2</v>
      </c>
      <c r="J923" s="9"/>
      <c r="K923" s="9"/>
      <c r="L923" s="9"/>
      <c r="M923" s="9"/>
      <c r="N923" s="9" t="s">
        <v>3548</v>
      </c>
      <c r="O923" s="9" t="s">
        <v>3051</v>
      </c>
      <c r="P923" s="9" t="s">
        <v>5763</v>
      </c>
      <c r="Q923" s="58" t="s">
        <v>3077</v>
      </c>
      <c r="R923" s="58">
        <v>4</v>
      </c>
      <c r="S923" s="58">
        <v>7</v>
      </c>
      <c r="T923" s="9" t="s">
        <v>3065</v>
      </c>
      <c r="U923" s="9" t="s">
        <v>5764</v>
      </c>
      <c r="V923" s="58">
        <v>4</v>
      </c>
      <c r="W923" s="9"/>
      <c r="X923" s="9"/>
      <c r="Y923" s="9"/>
      <c r="Z923" s="9"/>
    </row>
    <row r="924" spans="1:26" ht="15.75" hidden="1" customHeight="1">
      <c r="A924" s="9" t="s">
        <v>2042</v>
      </c>
      <c r="B924" s="9" t="s">
        <v>5765</v>
      </c>
      <c r="C924" s="9" t="s">
        <v>2043</v>
      </c>
      <c r="D924" s="9" t="s">
        <v>439</v>
      </c>
      <c r="E924" s="9"/>
      <c r="F924" s="9"/>
      <c r="G924" s="58">
        <v>12000</v>
      </c>
      <c r="H924" s="85">
        <v>0.04</v>
      </c>
      <c r="I924" s="9">
        <v>6.4</v>
      </c>
      <c r="J924" s="9"/>
      <c r="K924" s="9"/>
      <c r="L924" s="9"/>
      <c r="M924" s="9"/>
      <c r="N924" s="9" t="s">
        <v>4694</v>
      </c>
      <c r="O924" s="9" t="s">
        <v>3051</v>
      </c>
      <c r="P924" s="9" t="s">
        <v>3251</v>
      </c>
      <c r="Q924" s="58" t="s">
        <v>3143</v>
      </c>
      <c r="R924" s="58">
        <v>1</v>
      </c>
      <c r="S924" s="58">
        <v>8</v>
      </c>
      <c r="T924" s="9" t="s">
        <v>5766</v>
      </c>
      <c r="U924" s="9" t="s">
        <v>5767</v>
      </c>
      <c r="V924" s="58">
        <v>1</v>
      </c>
      <c r="W924" s="9"/>
      <c r="X924" s="9"/>
      <c r="Y924" s="9"/>
      <c r="Z924" s="9"/>
    </row>
    <row r="925" spans="1:26" ht="15.75" hidden="1" customHeight="1">
      <c r="A925" s="9" t="s">
        <v>2042</v>
      </c>
      <c r="B925" s="9" t="s">
        <v>5765</v>
      </c>
      <c r="C925" s="9" t="s">
        <v>2043</v>
      </c>
      <c r="D925" s="9" t="s">
        <v>368</v>
      </c>
      <c r="E925" s="9" t="s">
        <v>3067</v>
      </c>
      <c r="F925" s="58" t="s">
        <v>3057</v>
      </c>
      <c r="G925" s="58">
        <v>11900</v>
      </c>
      <c r="H925" s="85">
        <v>0.14117647058823499</v>
      </c>
      <c r="I925" s="9">
        <v>6.4</v>
      </c>
      <c r="J925" s="9"/>
      <c r="K925" s="9"/>
      <c r="L925" s="9"/>
      <c r="M925" s="9"/>
      <c r="N925" s="9" t="s">
        <v>4694</v>
      </c>
      <c r="O925" s="9" t="s">
        <v>3051</v>
      </c>
      <c r="P925" s="9" t="s">
        <v>5768</v>
      </c>
      <c r="Q925" s="58" t="s">
        <v>3053</v>
      </c>
      <c r="R925" s="58">
        <v>4</v>
      </c>
      <c r="S925" s="58">
        <v>7</v>
      </c>
      <c r="T925" s="9" t="s">
        <v>5766</v>
      </c>
      <c r="U925" s="9" t="s">
        <v>5769</v>
      </c>
      <c r="V925" s="58">
        <v>4</v>
      </c>
      <c r="W925" s="9"/>
      <c r="X925" s="9"/>
      <c r="Y925" s="9"/>
      <c r="Z925" s="9"/>
    </row>
    <row r="926" spans="1:26" ht="15.75" hidden="1" customHeight="1">
      <c r="A926" s="9" t="s">
        <v>2038</v>
      </c>
      <c r="B926" s="9" t="s">
        <v>5770</v>
      </c>
      <c r="C926" s="9" t="s">
        <v>556</v>
      </c>
      <c r="D926" s="9" t="s">
        <v>439</v>
      </c>
      <c r="E926" s="9"/>
      <c r="F926" s="9"/>
      <c r="G926" s="58">
        <v>9600</v>
      </c>
      <c r="H926" s="85">
        <v>0.05</v>
      </c>
      <c r="I926" s="9">
        <v>30.5</v>
      </c>
      <c r="J926" s="9"/>
      <c r="K926" s="9"/>
      <c r="L926" s="9"/>
      <c r="M926" s="9"/>
      <c r="N926" s="9" t="s">
        <v>5771</v>
      </c>
      <c r="O926" s="9" t="s">
        <v>3051</v>
      </c>
      <c r="P926" s="9" t="s">
        <v>3111</v>
      </c>
      <c r="Q926" s="58" t="s">
        <v>3074</v>
      </c>
      <c r="R926" s="58">
        <v>1</v>
      </c>
      <c r="S926" s="58">
        <v>8</v>
      </c>
      <c r="T926" s="9" t="s">
        <v>5772</v>
      </c>
      <c r="U926" s="9" t="s">
        <v>5773</v>
      </c>
      <c r="V926" s="58">
        <v>1</v>
      </c>
      <c r="W926" s="9"/>
      <c r="X926" s="9"/>
      <c r="Y926" s="9"/>
      <c r="Z926" s="9"/>
    </row>
    <row r="927" spans="1:26" ht="15.75" hidden="1" customHeight="1">
      <c r="A927" s="9" t="s">
        <v>2038</v>
      </c>
      <c r="B927" s="9" t="s">
        <v>5770</v>
      </c>
      <c r="C927" s="9" t="s">
        <v>556</v>
      </c>
      <c r="D927" s="9" t="s">
        <v>368</v>
      </c>
      <c r="E927" s="9" t="s">
        <v>3901</v>
      </c>
      <c r="F927" s="58" t="s">
        <v>3057</v>
      </c>
      <c r="G927" s="58">
        <v>9800</v>
      </c>
      <c r="H927" s="85">
        <v>0.17142857142857101</v>
      </c>
      <c r="I927" s="9">
        <v>30.5</v>
      </c>
      <c r="J927" s="9"/>
      <c r="K927" s="9"/>
      <c r="L927" s="9"/>
      <c r="M927" s="9"/>
      <c r="N927" s="9" t="s">
        <v>5771</v>
      </c>
      <c r="O927" s="9" t="s">
        <v>3051</v>
      </c>
      <c r="P927" s="9" t="s">
        <v>5539</v>
      </c>
      <c r="Q927" s="58" t="s">
        <v>3294</v>
      </c>
      <c r="R927" s="58">
        <v>4</v>
      </c>
      <c r="S927" s="58">
        <v>7</v>
      </c>
      <c r="T927" s="9" t="s">
        <v>5772</v>
      </c>
      <c r="U927" s="9" t="s">
        <v>5774</v>
      </c>
      <c r="V927" s="58">
        <v>4</v>
      </c>
      <c r="W927" s="9"/>
      <c r="X927" s="9"/>
      <c r="Y927" s="9"/>
      <c r="Z927" s="9"/>
    </row>
    <row r="928" spans="1:26" ht="15.75" hidden="1" customHeight="1">
      <c r="A928" s="9" t="s">
        <v>2286</v>
      </c>
      <c r="B928" s="9" t="s">
        <v>5775</v>
      </c>
      <c r="C928" s="9" t="s">
        <v>2288</v>
      </c>
      <c r="D928" s="9" t="s">
        <v>439</v>
      </c>
      <c r="E928" s="9"/>
      <c r="F928" s="9"/>
      <c r="G928" s="58">
        <v>12800</v>
      </c>
      <c r="H928" s="85">
        <v>3.7499999999999999E-2</v>
      </c>
      <c r="I928" s="9">
        <v>30.2</v>
      </c>
      <c r="J928" s="9"/>
      <c r="K928" s="9"/>
      <c r="L928" s="9"/>
      <c r="M928" s="9"/>
      <c r="N928" s="9" t="s">
        <v>3548</v>
      </c>
      <c r="O928" s="9" t="s">
        <v>3051</v>
      </c>
      <c r="P928" s="9" t="s">
        <v>3650</v>
      </c>
      <c r="Q928" s="58" t="s">
        <v>3545</v>
      </c>
      <c r="R928" s="58">
        <v>1</v>
      </c>
      <c r="S928" s="58">
        <v>8</v>
      </c>
      <c r="T928" s="9" t="s">
        <v>3065</v>
      </c>
      <c r="U928" s="9" t="s">
        <v>5776</v>
      </c>
      <c r="V928" s="58">
        <v>1</v>
      </c>
      <c r="W928" s="9"/>
      <c r="X928" s="9"/>
      <c r="Y928" s="9"/>
      <c r="Z928" s="9"/>
    </row>
    <row r="929" spans="1:26" ht="15.75" hidden="1" customHeight="1">
      <c r="A929" s="9" t="s">
        <v>2286</v>
      </c>
      <c r="B929" s="9" t="s">
        <v>5775</v>
      </c>
      <c r="C929" s="9" t="s">
        <v>2288</v>
      </c>
      <c r="D929" s="9" t="s">
        <v>368</v>
      </c>
      <c r="E929" s="9" t="s">
        <v>3067</v>
      </c>
      <c r="F929" s="58" t="s">
        <v>3057</v>
      </c>
      <c r="G929" s="58">
        <v>9100</v>
      </c>
      <c r="H929" s="85">
        <v>0.18461538461538399</v>
      </c>
      <c r="I929" s="9">
        <v>30.2</v>
      </c>
      <c r="J929" s="9"/>
      <c r="K929" s="9"/>
      <c r="L929" s="9"/>
      <c r="M929" s="9"/>
      <c r="N929" s="9" t="s">
        <v>3548</v>
      </c>
      <c r="O929" s="9" t="s">
        <v>3051</v>
      </c>
      <c r="P929" s="9" t="s">
        <v>5777</v>
      </c>
      <c r="Q929" s="58" t="s">
        <v>3064</v>
      </c>
      <c r="R929" s="58">
        <v>4</v>
      </c>
      <c r="S929" s="58">
        <v>7</v>
      </c>
      <c r="T929" s="9" t="s">
        <v>3065</v>
      </c>
      <c r="U929" s="9" t="s">
        <v>5778</v>
      </c>
      <c r="V929" s="58">
        <v>4</v>
      </c>
      <c r="W929" s="9"/>
      <c r="X929" s="9"/>
      <c r="Y929" s="9"/>
      <c r="Z929" s="9"/>
    </row>
    <row r="930" spans="1:26" ht="15.75" hidden="1" customHeight="1">
      <c r="A930" s="9" t="s">
        <v>2520</v>
      </c>
      <c r="B930" s="9" t="s">
        <v>5779</v>
      </c>
      <c r="C930" s="9" t="s">
        <v>2521</v>
      </c>
      <c r="D930" s="9" t="s">
        <v>439</v>
      </c>
      <c r="E930" s="9"/>
      <c r="F930" s="9"/>
      <c r="G930" s="58">
        <v>12000</v>
      </c>
      <c r="H930" s="85">
        <v>0.04</v>
      </c>
      <c r="I930" s="9">
        <v>6.4</v>
      </c>
      <c r="J930" s="9"/>
      <c r="K930" s="9"/>
      <c r="L930" s="9"/>
      <c r="M930" s="9"/>
      <c r="N930" s="9" t="s">
        <v>4694</v>
      </c>
      <c r="O930" s="9" t="s">
        <v>3051</v>
      </c>
      <c r="P930" s="9" t="s">
        <v>3251</v>
      </c>
      <c r="Q930" s="58" t="s">
        <v>3143</v>
      </c>
      <c r="R930" s="58">
        <v>1</v>
      </c>
      <c r="S930" s="58">
        <v>8</v>
      </c>
      <c r="T930" s="9" t="s">
        <v>5780</v>
      </c>
      <c r="U930" s="9" t="s">
        <v>5781</v>
      </c>
      <c r="V930" s="58">
        <v>1</v>
      </c>
      <c r="W930" s="9"/>
      <c r="X930" s="9"/>
      <c r="Y930" s="9"/>
      <c r="Z930" s="9"/>
    </row>
    <row r="931" spans="1:26" ht="15.75" hidden="1" customHeight="1">
      <c r="A931" s="9" t="s">
        <v>2520</v>
      </c>
      <c r="B931" s="9" t="s">
        <v>5779</v>
      </c>
      <c r="C931" s="9" t="s">
        <v>2521</v>
      </c>
      <c r="D931" s="9" t="s">
        <v>368</v>
      </c>
      <c r="E931" s="9" t="s">
        <v>3067</v>
      </c>
      <c r="F931" s="58" t="s">
        <v>3057</v>
      </c>
      <c r="G931" s="58">
        <v>11900</v>
      </c>
      <c r="H931" s="85">
        <v>0.14117647058823499</v>
      </c>
      <c r="I931" s="9">
        <v>6.4</v>
      </c>
      <c r="J931" s="9"/>
      <c r="K931" s="9"/>
      <c r="L931" s="9"/>
      <c r="M931" s="9"/>
      <c r="N931" s="9" t="s">
        <v>4694</v>
      </c>
      <c r="O931" s="9" t="s">
        <v>3051</v>
      </c>
      <c r="P931" s="9" t="s">
        <v>5782</v>
      </c>
      <c r="Q931" s="58" t="s">
        <v>3053</v>
      </c>
      <c r="R931" s="58">
        <v>4</v>
      </c>
      <c r="S931" s="58">
        <v>7</v>
      </c>
      <c r="T931" s="9" t="s">
        <v>5780</v>
      </c>
      <c r="U931" s="9" t="s">
        <v>5783</v>
      </c>
      <c r="V931" s="58">
        <v>4</v>
      </c>
      <c r="W931" s="9"/>
      <c r="X931" s="9"/>
      <c r="Y931" s="9"/>
      <c r="Z931" s="9"/>
    </row>
    <row r="932" spans="1:26" ht="15.75" hidden="1" customHeight="1">
      <c r="A932" s="9" t="s">
        <v>2518</v>
      </c>
      <c r="B932" s="9" t="s">
        <v>5784</v>
      </c>
      <c r="C932" s="9" t="s">
        <v>556</v>
      </c>
      <c r="D932" s="9" t="s">
        <v>439</v>
      </c>
      <c r="E932" s="9"/>
      <c r="F932" s="9"/>
      <c r="G932" s="58">
        <v>9600</v>
      </c>
      <c r="H932" s="85">
        <v>0.05</v>
      </c>
      <c r="I932" s="9">
        <v>30.5</v>
      </c>
      <c r="J932" s="9"/>
      <c r="K932" s="9"/>
      <c r="L932" s="9"/>
      <c r="M932" s="9"/>
      <c r="N932" s="9" t="s">
        <v>5771</v>
      </c>
      <c r="O932" s="9" t="s">
        <v>3051</v>
      </c>
      <c r="P932" s="9" t="s">
        <v>3111</v>
      </c>
      <c r="Q932" s="58" t="s">
        <v>3074</v>
      </c>
      <c r="R932" s="58">
        <v>1</v>
      </c>
      <c r="S932" s="58">
        <v>8</v>
      </c>
      <c r="T932" s="9" t="s">
        <v>5785</v>
      </c>
      <c r="U932" s="9" t="s">
        <v>5786</v>
      </c>
      <c r="V932" s="58">
        <v>1</v>
      </c>
      <c r="W932" s="9"/>
      <c r="X932" s="9"/>
      <c r="Y932" s="9"/>
      <c r="Z932" s="9"/>
    </row>
    <row r="933" spans="1:26" ht="15.75" hidden="1" customHeight="1">
      <c r="A933" s="9" t="s">
        <v>2518</v>
      </c>
      <c r="B933" s="9" t="s">
        <v>5784</v>
      </c>
      <c r="C933" s="9" t="s">
        <v>556</v>
      </c>
      <c r="D933" s="9" t="s">
        <v>368</v>
      </c>
      <c r="E933" s="9" t="s">
        <v>3901</v>
      </c>
      <c r="F933" s="58" t="s">
        <v>3057</v>
      </c>
      <c r="G933" s="58">
        <v>10500</v>
      </c>
      <c r="H933" s="85">
        <v>0.16</v>
      </c>
      <c r="I933" s="9">
        <v>30.5</v>
      </c>
      <c r="J933" s="9"/>
      <c r="K933" s="9"/>
      <c r="L933" s="9"/>
      <c r="M933" s="9"/>
      <c r="N933" s="9" t="s">
        <v>5771</v>
      </c>
      <c r="O933" s="9" t="s">
        <v>3051</v>
      </c>
      <c r="P933" s="9" t="s">
        <v>5787</v>
      </c>
      <c r="Q933" s="58" t="s">
        <v>3143</v>
      </c>
      <c r="R933" s="58">
        <v>4</v>
      </c>
      <c r="S933" s="58">
        <v>7</v>
      </c>
      <c r="T933" s="9" t="s">
        <v>5785</v>
      </c>
      <c r="U933" s="9" t="s">
        <v>5788</v>
      </c>
      <c r="V933" s="58">
        <v>4</v>
      </c>
      <c r="W933" s="9"/>
      <c r="X933" s="9"/>
      <c r="Y933" s="9"/>
      <c r="Z933" s="9"/>
    </row>
    <row r="934" spans="1:26" ht="15.75" hidden="1" customHeight="1">
      <c r="A934" s="9" t="s">
        <v>2518</v>
      </c>
      <c r="B934" s="9" t="s">
        <v>5784</v>
      </c>
      <c r="C934" s="9" t="s">
        <v>556</v>
      </c>
      <c r="D934" s="9" t="s">
        <v>439</v>
      </c>
      <c r="E934" s="9"/>
      <c r="F934" s="9"/>
      <c r="G934" s="58">
        <v>9600</v>
      </c>
      <c r="H934" s="85">
        <v>0.05</v>
      </c>
      <c r="I934" s="9">
        <v>30.5</v>
      </c>
      <c r="J934" s="9"/>
      <c r="K934" s="9"/>
      <c r="L934" s="9"/>
      <c r="M934" s="9"/>
      <c r="N934" s="9" t="s">
        <v>5771</v>
      </c>
      <c r="O934" s="9" t="s">
        <v>3051</v>
      </c>
      <c r="P934" s="9" t="s">
        <v>3111</v>
      </c>
      <c r="Q934" s="58" t="s">
        <v>3074</v>
      </c>
      <c r="R934" s="58">
        <v>1</v>
      </c>
      <c r="S934" s="58">
        <v>8</v>
      </c>
      <c r="T934" s="9" t="s">
        <v>5785</v>
      </c>
      <c r="U934" s="9" t="s">
        <v>5786</v>
      </c>
      <c r="V934" s="58">
        <v>1</v>
      </c>
      <c r="W934" s="9"/>
      <c r="X934" s="9"/>
      <c r="Y934" s="9"/>
      <c r="Z934" s="9"/>
    </row>
    <row r="935" spans="1:26" ht="15.75" hidden="1" customHeight="1">
      <c r="A935" s="9" t="s">
        <v>2518</v>
      </c>
      <c r="B935" s="9" t="s">
        <v>5784</v>
      </c>
      <c r="C935" s="9" t="s">
        <v>556</v>
      </c>
      <c r="D935" s="9" t="s">
        <v>368</v>
      </c>
      <c r="E935" s="9" t="s">
        <v>5789</v>
      </c>
      <c r="F935" s="58" t="s">
        <v>3057</v>
      </c>
      <c r="G935" s="58">
        <v>4900</v>
      </c>
      <c r="H935" s="85">
        <v>0.17142857142857101</v>
      </c>
      <c r="I935" s="9">
        <v>30.5</v>
      </c>
      <c r="J935" s="9"/>
      <c r="K935" s="9"/>
      <c r="L935" s="9"/>
      <c r="M935" s="9"/>
      <c r="N935" s="9" t="s">
        <v>5771</v>
      </c>
      <c r="O935" s="9" t="s">
        <v>3051</v>
      </c>
      <c r="P935" s="9" t="s">
        <v>5790</v>
      </c>
      <c r="Q935" s="58" t="s">
        <v>3155</v>
      </c>
      <c r="R935" s="58">
        <v>2</v>
      </c>
      <c r="S935" s="58">
        <v>7</v>
      </c>
      <c r="T935" s="9" t="s">
        <v>5785</v>
      </c>
      <c r="U935" s="9" t="s">
        <v>5788</v>
      </c>
      <c r="V935" s="58">
        <v>2</v>
      </c>
      <c r="W935" s="9"/>
      <c r="X935" s="9"/>
      <c r="Y935" s="9"/>
      <c r="Z935" s="9"/>
    </row>
    <row r="936" spans="1:26" ht="15.75" hidden="1" customHeight="1">
      <c r="A936" s="9" t="s">
        <v>170</v>
      </c>
      <c r="B936" s="9" t="s">
        <v>5791</v>
      </c>
      <c r="C936" s="9" t="s">
        <v>5792</v>
      </c>
      <c r="D936" s="9" t="s">
        <v>368</v>
      </c>
      <c r="E936" s="9" t="s">
        <v>4299</v>
      </c>
      <c r="F936" s="58" t="s">
        <v>3057</v>
      </c>
      <c r="G936" s="58">
        <v>7000</v>
      </c>
      <c r="H936" s="85">
        <v>0.24</v>
      </c>
      <c r="I936" s="9">
        <v>10</v>
      </c>
      <c r="J936" s="9"/>
      <c r="K936" s="9"/>
      <c r="L936" s="9"/>
      <c r="M936" s="9"/>
      <c r="N936" s="9" t="s">
        <v>5793</v>
      </c>
      <c r="O936" s="9" t="s">
        <v>3081</v>
      </c>
      <c r="P936" s="9" t="s">
        <v>5794</v>
      </c>
      <c r="Q936" s="58" t="s">
        <v>3167</v>
      </c>
      <c r="R936" s="58">
        <v>4</v>
      </c>
      <c r="S936" s="58">
        <v>7</v>
      </c>
      <c r="T936" s="9" t="s">
        <v>5552</v>
      </c>
      <c r="U936" s="9" t="s">
        <v>5795</v>
      </c>
      <c r="V936" s="58">
        <v>4</v>
      </c>
      <c r="W936" s="9"/>
      <c r="X936" s="9"/>
      <c r="Y936" s="9"/>
      <c r="Z936" s="9"/>
    </row>
    <row r="937" spans="1:26" ht="15.75" hidden="1" customHeight="1">
      <c r="A937" s="9" t="s">
        <v>167</v>
      </c>
      <c r="B937" s="9" t="s">
        <v>5796</v>
      </c>
      <c r="C937" s="9" t="s">
        <v>168</v>
      </c>
      <c r="D937" s="9" t="s">
        <v>439</v>
      </c>
      <c r="E937" s="9"/>
      <c r="F937" s="9"/>
      <c r="G937" s="58">
        <v>12000</v>
      </c>
      <c r="H937" s="85">
        <v>0.04</v>
      </c>
      <c r="I937" s="9">
        <v>30</v>
      </c>
      <c r="J937" s="9"/>
      <c r="K937" s="9"/>
      <c r="L937" s="9"/>
      <c r="M937" s="9"/>
      <c r="N937" s="9" t="s">
        <v>3676</v>
      </c>
      <c r="O937" s="9" t="s">
        <v>3081</v>
      </c>
      <c r="P937" s="9" t="s">
        <v>3148</v>
      </c>
      <c r="Q937" s="58" t="s">
        <v>3143</v>
      </c>
      <c r="R937" s="58">
        <v>1</v>
      </c>
      <c r="S937" s="58">
        <v>8</v>
      </c>
      <c r="T937" s="9" t="s">
        <v>5797</v>
      </c>
      <c r="U937" s="9" t="s">
        <v>5798</v>
      </c>
      <c r="V937" s="58">
        <v>1</v>
      </c>
      <c r="W937" s="9"/>
      <c r="X937" s="9"/>
      <c r="Y937" s="9"/>
      <c r="Z937" s="9"/>
    </row>
    <row r="938" spans="1:26" ht="15.75" hidden="1" customHeight="1">
      <c r="A938" s="9" t="s">
        <v>167</v>
      </c>
      <c r="B938" s="9" t="s">
        <v>5796</v>
      </c>
      <c r="C938" s="9" t="s">
        <v>168</v>
      </c>
      <c r="D938" s="9" t="s">
        <v>368</v>
      </c>
      <c r="E938" s="9" t="s">
        <v>3402</v>
      </c>
      <c r="F938" s="58" t="s">
        <v>3057</v>
      </c>
      <c r="G938" s="58">
        <v>9100</v>
      </c>
      <c r="H938" s="85">
        <v>0.18461538461538399</v>
      </c>
      <c r="I938" s="9">
        <v>30</v>
      </c>
      <c r="J938" s="9"/>
      <c r="K938" s="9"/>
      <c r="L938" s="9"/>
      <c r="M938" s="9"/>
      <c r="N938" s="9" t="s">
        <v>3676</v>
      </c>
      <c r="O938" s="9" t="s">
        <v>3081</v>
      </c>
      <c r="P938" s="9" t="s">
        <v>5799</v>
      </c>
      <c r="Q938" s="58" t="s">
        <v>3064</v>
      </c>
      <c r="R938" s="58">
        <v>4</v>
      </c>
      <c r="S938" s="58">
        <v>7</v>
      </c>
      <c r="T938" s="9" t="s">
        <v>5797</v>
      </c>
      <c r="U938" s="9" t="s">
        <v>5800</v>
      </c>
      <c r="V938" s="58">
        <v>4</v>
      </c>
      <c r="W938" s="9"/>
      <c r="X938" s="9"/>
      <c r="Y938" s="9"/>
      <c r="Z938" s="9"/>
    </row>
    <row r="939" spans="1:26" ht="15.75" hidden="1" customHeight="1">
      <c r="A939" s="9" t="s">
        <v>2783</v>
      </c>
      <c r="B939" s="9" t="s">
        <v>5801</v>
      </c>
      <c r="C939" s="9" t="s">
        <v>2784</v>
      </c>
      <c r="D939" s="9" t="s">
        <v>439</v>
      </c>
      <c r="E939" s="9"/>
      <c r="F939" s="9"/>
      <c r="G939" s="58">
        <v>11200</v>
      </c>
      <c r="H939" s="85">
        <v>4.2857142857142802E-2</v>
      </c>
      <c r="I939" s="9">
        <v>50.2</v>
      </c>
      <c r="J939" s="9"/>
      <c r="K939" s="9"/>
      <c r="L939" s="9"/>
      <c r="M939" s="9"/>
      <c r="N939" s="9" t="s">
        <v>3676</v>
      </c>
      <c r="O939" s="9" t="s">
        <v>3081</v>
      </c>
      <c r="P939" s="9" t="s">
        <v>3436</v>
      </c>
      <c r="Q939" s="58" t="s">
        <v>3294</v>
      </c>
      <c r="R939" s="9">
        <v>1</v>
      </c>
      <c r="S939" s="9">
        <v>8</v>
      </c>
      <c r="T939" s="9" t="s">
        <v>3065</v>
      </c>
      <c r="U939" s="9" t="s">
        <v>5802</v>
      </c>
      <c r="V939" s="9">
        <v>1</v>
      </c>
      <c r="W939" s="9"/>
      <c r="X939" s="9"/>
      <c r="Y939" s="9"/>
      <c r="Z939" s="9"/>
    </row>
    <row r="940" spans="1:26" ht="15.75" hidden="1" customHeight="1">
      <c r="A940" s="9" t="s">
        <v>2783</v>
      </c>
      <c r="B940" s="9" t="s">
        <v>5801</v>
      </c>
      <c r="C940" s="9" t="s">
        <v>2784</v>
      </c>
      <c r="D940" s="9" t="s">
        <v>368</v>
      </c>
      <c r="E940" s="9" t="s">
        <v>3402</v>
      </c>
      <c r="F940" s="58" t="s">
        <v>3057</v>
      </c>
      <c r="G940" s="58">
        <v>7700</v>
      </c>
      <c r="H940" s="85">
        <v>0.218181818181818</v>
      </c>
      <c r="I940" s="9">
        <v>50.2</v>
      </c>
      <c r="J940" s="9"/>
      <c r="K940" s="9"/>
      <c r="L940" s="9"/>
      <c r="M940" s="9"/>
      <c r="N940" s="9" t="s">
        <v>3676</v>
      </c>
      <c r="O940" s="9" t="s">
        <v>3081</v>
      </c>
      <c r="P940" s="9" t="s">
        <v>5803</v>
      </c>
      <c r="Q940" s="58" t="s">
        <v>3077</v>
      </c>
      <c r="R940" s="9">
        <v>4</v>
      </c>
      <c r="S940" s="9">
        <v>7</v>
      </c>
      <c r="T940" s="9" t="s">
        <v>3065</v>
      </c>
      <c r="U940" s="9" t="s">
        <v>5804</v>
      </c>
      <c r="V940" s="9">
        <v>4</v>
      </c>
      <c r="W940" s="9"/>
      <c r="X940" s="9"/>
      <c r="Y940" s="9"/>
      <c r="Z940" s="9"/>
    </row>
    <row r="941" spans="1:26" ht="15.75" hidden="1" customHeight="1">
      <c r="A941" s="9" t="s">
        <v>2046</v>
      </c>
      <c r="B941" s="9" t="s">
        <v>5805</v>
      </c>
      <c r="C941" s="9" t="s">
        <v>451</v>
      </c>
      <c r="D941" s="9" t="s">
        <v>439</v>
      </c>
      <c r="E941" s="9"/>
      <c r="F941" s="9"/>
      <c r="G941" s="58">
        <v>5440</v>
      </c>
      <c r="H941" s="85">
        <v>8.8235294117646995E-2</v>
      </c>
      <c r="I941" s="9">
        <v>29</v>
      </c>
      <c r="J941" s="9"/>
      <c r="K941" s="9"/>
      <c r="L941" s="9"/>
      <c r="M941" s="9"/>
      <c r="N941" s="9" t="s">
        <v>3105</v>
      </c>
      <c r="O941" s="9" t="s">
        <v>3081</v>
      </c>
      <c r="P941" s="9" t="s">
        <v>3489</v>
      </c>
      <c r="Q941" s="58" t="s">
        <v>3490</v>
      </c>
      <c r="R941" s="58">
        <v>1</v>
      </c>
      <c r="S941" s="58">
        <v>8</v>
      </c>
      <c r="T941" s="9" t="s">
        <v>3065</v>
      </c>
      <c r="U941" s="9" t="s">
        <v>5806</v>
      </c>
      <c r="V941" s="58">
        <v>1</v>
      </c>
      <c r="W941" s="9"/>
      <c r="X941" s="9"/>
      <c r="Y941" s="9"/>
      <c r="Z941" s="9"/>
    </row>
    <row r="942" spans="1:26" ht="15.75" hidden="1" customHeight="1">
      <c r="A942" s="9" t="s">
        <v>2046</v>
      </c>
      <c r="B942" s="9" t="s">
        <v>5805</v>
      </c>
      <c r="C942" s="9" t="s">
        <v>451</v>
      </c>
      <c r="D942" s="9" t="s">
        <v>368</v>
      </c>
      <c r="E942" s="9" t="s">
        <v>3092</v>
      </c>
      <c r="F942" s="58" t="s">
        <v>3057</v>
      </c>
      <c r="G942" s="58">
        <v>5950</v>
      </c>
      <c r="H942" s="85">
        <v>0.21176470588235199</v>
      </c>
      <c r="I942" s="9">
        <v>29</v>
      </c>
      <c r="J942" s="9"/>
      <c r="K942" s="9"/>
      <c r="L942" s="9"/>
      <c r="M942" s="9"/>
      <c r="N942" s="9" t="s">
        <v>3105</v>
      </c>
      <c r="O942" s="9" t="s">
        <v>3081</v>
      </c>
      <c r="P942" s="9" t="s">
        <v>5807</v>
      </c>
      <c r="Q942" s="58" t="s">
        <v>3132</v>
      </c>
      <c r="R942" s="58">
        <v>3</v>
      </c>
      <c r="S942" s="58">
        <v>7</v>
      </c>
      <c r="T942" s="9" t="s">
        <v>3065</v>
      </c>
      <c r="U942" s="9" t="s">
        <v>5808</v>
      </c>
      <c r="V942" s="58">
        <v>3</v>
      </c>
      <c r="W942" s="9"/>
      <c r="X942" s="9"/>
      <c r="Y942" s="9"/>
      <c r="Z942" s="9"/>
    </row>
    <row r="943" spans="1:26" ht="15.75" hidden="1" customHeight="1">
      <c r="A943" s="9" t="s">
        <v>2052</v>
      </c>
      <c r="B943" s="9" t="s">
        <v>5809</v>
      </c>
      <c r="C943" s="9" t="s">
        <v>554</v>
      </c>
      <c r="D943" s="9" t="s">
        <v>439</v>
      </c>
      <c r="E943" s="9"/>
      <c r="F943" s="9"/>
      <c r="G943" s="58">
        <v>5600</v>
      </c>
      <c r="H943" s="85">
        <v>8.5714285714285701E-2</v>
      </c>
      <c r="I943" s="9">
        <v>49.5</v>
      </c>
      <c r="J943" s="9"/>
      <c r="K943" s="9"/>
      <c r="L943" s="9"/>
      <c r="M943" s="9"/>
      <c r="N943" s="9" t="s">
        <v>5810</v>
      </c>
      <c r="O943" s="9" t="s">
        <v>3081</v>
      </c>
      <c r="P943" s="9" t="s">
        <v>3244</v>
      </c>
      <c r="Q943" s="58" t="s">
        <v>3155</v>
      </c>
      <c r="R943" s="58">
        <v>1</v>
      </c>
      <c r="S943" s="58">
        <v>8</v>
      </c>
      <c r="T943" s="9" t="s">
        <v>5811</v>
      </c>
      <c r="U943" s="9" t="s">
        <v>5812</v>
      </c>
      <c r="V943" s="58">
        <v>1</v>
      </c>
      <c r="W943" s="9"/>
      <c r="X943" s="9"/>
      <c r="Y943" s="9"/>
      <c r="Z943" s="9"/>
    </row>
    <row r="944" spans="1:26" ht="15.75" hidden="1" customHeight="1">
      <c r="A944" s="9" t="s">
        <v>2052</v>
      </c>
      <c r="B944" s="9" t="s">
        <v>5809</v>
      </c>
      <c r="C944" s="9" t="s">
        <v>554</v>
      </c>
      <c r="D944" s="9" t="s">
        <v>368</v>
      </c>
      <c r="E944" s="9" t="s">
        <v>3092</v>
      </c>
      <c r="F944" s="58" t="s">
        <v>3087</v>
      </c>
      <c r="G944" s="58">
        <v>6300</v>
      </c>
      <c r="H944" s="85">
        <v>0.266666666666666</v>
      </c>
      <c r="I944" s="9">
        <v>49.5</v>
      </c>
      <c r="J944" s="9"/>
      <c r="K944" s="9"/>
      <c r="L944" s="9"/>
      <c r="M944" s="9"/>
      <c r="N944" s="9" t="s">
        <v>5810</v>
      </c>
      <c r="O944" s="9" t="s">
        <v>3081</v>
      </c>
      <c r="P944" s="9" t="s">
        <v>5813</v>
      </c>
      <c r="Q944" s="58" t="s">
        <v>3069</v>
      </c>
      <c r="R944" s="58">
        <v>4</v>
      </c>
      <c r="S944" s="58">
        <v>7</v>
      </c>
      <c r="T944" s="9" t="s">
        <v>5811</v>
      </c>
      <c r="U944" s="9" t="s">
        <v>5814</v>
      </c>
      <c r="V944" s="58">
        <v>4</v>
      </c>
      <c r="W944" s="9"/>
      <c r="X944" s="9"/>
      <c r="Y944" s="9"/>
      <c r="Z944" s="9"/>
    </row>
    <row r="945" spans="1:26" ht="15.75" hidden="1" customHeight="1">
      <c r="A945" s="9" t="s">
        <v>5815</v>
      </c>
      <c r="B945" s="9" t="s">
        <v>5816</v>
      </c>
      <c r="C945" s="9" t="s">
        <v>5817</v>
      </c>
      <c r="D945" s="9" t="s">
        <v>439</v>
      </c>
      <c r="E945" s="9"/>
      <c r="F945" s="9"/>
      <c r="G945" s="58">
        <v>24000</v>
      </c>
      <c r="H945" s="85">
        <v>0.02</v>
      </c>
      <c r="I945" s="9">
        <v>6.5</v>
      </c>
      <c r="J945" s="9"/>
      <c r="K945" s="9"/>
      <c r="L945" s="9"/>
      <c r="M945" s="9"/>
      <c r="N945" s="9" t="s">
        <v>4694</v>
      </c>
      <c r="O945" s="9" t="s">
        <v>3051</v>
      </c>
      <c r="P945" s="9" t="s">
        <v>4229</v>
      </c>
      <c r="Q945" s="58" t="s">
        <v>4230</v>
      </c>
      <c r="R945" s="58">
        <v>1</v>
      </c>
      <c r="S945" s="58">
        <v>8</v>
      </c>
      <c r="T945" s="9" t="s">
        <v>5818</v>
      </c>
      <c r="U945" s="9" t="s">
        <v>5819</v>
      </c>
      <c r="V945" s="58">
        <v>1</v>
      </c>
      <c r="W945" s="9"/>
      <c r="X945" s="9"/>
      <c r="Y945" s="9"/>
      <c r="Z945" s="9"/>
    </row>
    <row r="946" spans="1:26" ht="15.75" hidden="1" customHeight="1">
      <c r="A946" s="9" t="s">
        <v>5815</v>
      </c>
      <c r="B946" s="9" t="s">
        <v>5816</v>
      </c>
      <c r="C946" s="9" t="s">
        <v>5817</v>
      </c>
      <c r="D946" s="9" t="s">
        <v>368</v>
      </c>
      <c r="E946" s="9" t="s">
        <v>3067</v>
      </c>
      <c r="F946" s="58" t="s">
        <v>3057</v>
      </c>
      <c r="G946" s="58">
        <v>10500</v>
      </c>
      <c r="H946" s="85">
        <v>0.12</v>
      </c>
      <c r="I946" s="9">
        <v>6.5</v>
      </c>
      <c r="J946" s="9"/>
      <c r="K946" s="9"/>
      <c r="L946" s="9"/>
      <c r="M946" s="9"/>
      <c r="N946" s="9" t="s">
        <v>4694</v>
      </c>
      <c r="O946" s="9" t="s">
        <v>3051</v>
      </c>
      <c r="P946" s="9" t="s">
        <v>5820</v>
      </c>
      <c r="Q946" s="58" t="s">
        <v>3143</v>
      </c>
      <c r="R946" s="58">
        <v>3</v>
      </c>
      <c r="S946" s="58">
        <v>7</v>
      </c>
      <c r="T946" s="9" t="s">
        <v>5818</v>
      </c>
      <c r="U946" s="9" t="s">
        <v>5821</v>
      </c>
      <c r="V946" s="58">
        <v>3</v>
      </c>
      <c r="W946" s="9"/>
      <c r="X946" s="9"/>
      <c r="Y946" s="9"/>
      <c r="Z946" s="9"/>
    </row>
    <row r="947" spans="1:26" ht="15.75" hidden="1" customHeight="1">
      <c r="A947" s="9" t="s">
        <v>2289</v>
      </c>
      <c r="B947" s="9" t="s">
        <v>5822</v>
      </c>
      <c r="C947" s="9" t="s">
        <v>2291</v>
      </c>
      <c r="D947" s="9" t="s">
        <v>439</v>
      </c>
      <c r="E947" s="9"/>
      <c r="F947" s="9"/>
      <c r="G947" s="58">
        <v>12800</v>
      </c>
      <c r="H947" s="85">
        <v>3.7499999999999999E-2</v>
      </c>
      <c r="I947" s="9">
        <v>30</v>
      </c>
      <c r="J947" s="9"/>
      <c r="K947" s="9"/>
      <c r="L947" s="9"/>
      <c r="M947" s="9"/>
      <c r="N947" s="9" t="s">
        <v>3676</v>
      </c>
      <c r="O947" s="9" t="s">
        <v>3081</v>
      </c>
      <c r="P947" s="9" t="s">
        <v>3650</v>
      </c>
      <c r="Q947" s="58" t="s">
        <v>3545</v>
      </c>
      <c r="R947" s="58">
        <v>1</v>
      </c>
      <c r="S947" s="58">
        <v>8</v>
      </c>
      <c r="T947" s="9" t="s">
        <v>5797</v>
      </c>
      <c r="U947" s="9" t="s">
        <v>5823</v>
      </c>
      <c r="V947" s="58">
        <v>1</v>
      </c>
      <c r="W947" s="9"/>
      <c r="X947" s="9"/>
      <c r="Y947" s="9"/>
      <c r="Z947" s="9"/>
    </row>
    <row r="948" spans="1:26" ht="15.75" hidden="1" customHeight="1">
      <c r="A948" s="9" t="s">
        <v>2289</v>
      </c>
      <c r="B948" s="9" t="s">
        <v>5822</v>
      </c>
      <c r="C948" s="9" t="s">
        <v>2291</v>
      </c>
      <c r="D948" s="9" t="s">
        <v>368</v>
      </c>
      <c r="E948" s="9" t="s">
        <v>3402</v>
      </c>
      <c r="F948" s="58" t="s">
        <v>3057</v>
      </c>
      <c r="G948" s="58">
        <v>9800</v>
      </c>
      <c r="H948" s="85">
        <v>0.17142857142857101</v>
      </c>
      <c r="I948" s="9">
        <v>30</v>
      </c>
      <c r="J948" s="9"/>
      <c r="K948" s="9"/>
      <c r="L948" s="9"/>
      <c r="M948" s="9"/>
      <c r="N948" s="9" t="s">
        <v>3676</v>
      </c>
      <c r="O948" s="9" t="s">
        <v>3081</v>
      </c>
      <c r="P948" s="9" t="s">
        <v>5824</v>
      </c>
      <c r="Q948" s="58" t="s">
        <v>3294</v>
      </c>
      <c r="R948" s="58">
        <v>4</v>
      </c>
      <c r="S948" s="58">
        <v>7</v>
      </c>
      <c r="T948" s="9" t="s">
        <v>5797</v>
      </c>
      <c r="U948" s="9" t="s">
        <v>5825</v>
      </c>
      <c r="V948" s="58">
        <v>4</v>
      </c>
      <c r="W948" s="9"/>
      <c r="X948" s="9"/>
      <c r="Y948" s="9"/>
      <c r="Z948" s="9"/>
    </row>
    <row r="949" spans="1:26" ht="15.75" hidden="1" customHeight="1">
      <c r="A949" s="9" t="s">
        <v>5826</v>
      </c>
      <c r="B949" s="9" t="s">
        <v>5827</v>
      </c>
      <c r="C949" s="9" t="s">
        <v>2784</v>
      </c>
      <c r="D949" s="9" t="s">
        <v>439</v>
      </c>
      <c r="E949" s="9"/>
      <c r="F949" s="9"/>
      <c r="G949" s="58">
        <v>11200</v>
      </c>
      <c r="H949" s="85">
        <v>4.2857142857142802E-2</v>
      </c>
      <c r="I949" s="9">
        <v>50.5</v>
      </c>
      <c r="J949" s="9"/>
      <c r="K949" s="9"/>
      <c r="L949" s="9"/>
      <c r="M949" s="9"/>
      <c r="N949" s="9" t="s">
        <v>3676</v>
      </c>
      <c r="O949" s="9" t="s">
        <v>3081</v>
      </c>
      <c r="P949" s="9" t="s">
        <v>3436</v>
      </c>
      <c r="Q949" s="58" t="s">
        <v>3294</v>
      </c>
      <c r="R949" s="9">
        <v>1</v>
      </c>
      <c r="S949" s="9">
        <v>8</v>
      </c>
      <c r="T949" s="9" t="s">
        <v>3065</v>
      </c>
      <c r="U949" s="9" t="s">
        <v>5828</v>
      </c>
      <c r="V949" s="9">
        <v>1</v>
      </c>
      <c r="W949" s="9"/>
      <c r="X949" s="9"/>
      <c r="Y949" s="9"/>
      <c r="Z949" s="9"/>
    </row>
    <row r="950" spans="1:26" ht="15.75" hidden="1" customHeight="1">
      <c r="A950" s="9" t="s">
        <v>5826</v>
      </c>
      <c r="B950" s="9" t="s">
        <v>5827</v>
      </c>
      <c r="C950" s="9" t="s">
        <v>2784</v>
      </c>
      <c r="D950" s="9" t="s">
        <v>368</v>
      </c>
      <c r="E950" s="9" t="s">
        <v>3402</v>
      </c>
      <c r="F950" s="58" t="s">
        <v>3057</v>
      </c>
      <c r="G950" s="58">
        <v>7700</v>
      </c>
      <c r="H950" s="85">
        <v>0.218181818181818</v>
      </c>
      <c r="I950" s="9">
        <v>50.5</v>
      </c>
      <c r="J950" s="9"/>
      <c r="K950" s="9"/>
      <c r="L950" s="9"/>
      <c r="M950" s="9"/>
      <c r="N950" s="9" t="s">
        <v>3676</v>
      </c>
      <c r="O950" s="9" t="s">
        <v>3081</v>
      </c>
      <c r="P950" s="9" t="s">
        <v>5803</v>
      </c>
      <c r="Q950" s="58" t="s">
        <v>3077</v>
      </c>
      <c r="R950" s="9">
        <v>4</v>
      </c>
      <c r="S950" s="9">
        <v>7</v>
      </c>
      <c r="T950" s="9" t="s">
        <v>3065</v>
      </c>
      <c r="U950" s="9" t="s">
        <v>5829</v>
      </c>
      <c r="V950" s="9">
        <v>4</v>
      </c>
      <c r="W950" s="9"/>
      <c r="X950" s="9"/>
      <c r="Y950" s="9"/>
      <c r="Z950" s="9"/>
    </row>
    <row r="951" spans="1:26" ht="15.75" hidden="1" customHeight="1">
      <c r="A951" s="9" t="s">
        <v>5830</v>
      </c>
      <c r="B951" s="9" t="s">
        <v>5831</v>
      </c>
      <c r="C951" s="9" t="s">
        <v>5832</v>
      </c>
      <c r="D951" s="9" t="s">
        <v>368</v>
      </c>
      <c r="E951" s="9" t="s">
        <v>3067</v>
      </c>
      <c r="F951" s="58" t="s">
        <v>3057</v>
      </c>
      <c r="G951" s="58">
        <v>9800</v>
      </c>
      <c r="H951" s="85">
        <v>0.128571428571428</v>
      </c>
      <c r="I951" s="9">
        <v>9.9</v>
      </c>
      <c r="J951" s="9"/>
      <c r="K951" s="9"/>
      <c r="L951" s="9"/>
      <c r="M951" s="9"/>
      <c r="N951" s="9" t="s">
        <v>3130</v>
      </c>
      <c r="O951" s="9" t="s">
        <v>3081</v>
      </c>
      <c r="P951" s="9" t="s">
        <v>5833</v>
      </c>
      <c r="Q951" s="58" t="s">
        <v>3294</v>
      </c>
      <c r="R951" s="58">
        <v>3</v>
      </c>
      <c r="S951" s="58">
        <v>7</v>
      </c>
      <c r="T951" s="9" t="s">
        <v>5834</v>
      </c>
      <c r="U951" s="9" t="s">
        <v>5835</v>
      </c>
      <c r="V951" s="58">
        <v>3</v>
      </c>
      <c r="W951" s="9"/>
      <c r="X951" s="9"/>
      <c r="Y951" s="9"/>
      <c r="Z951" s="9"/>
    </row>
    <row r="952" spans="1:26" ht="15.75" hidden="1" customHeight="1">
      <c r="A952" s="9" t="s">
        <v>5836</v>
      </c>
      <c r="B952" s="9" t="s">
        <v>5837</v>
      </c>
      <c r="C952" s="9" t="s">
        <v>5838</v>
      </c>
      <c r="D952" s="9" t="s">
        <v>368</v>
      </c>
      <c r="E952" s="9" t="s">
        <v>3067</v>
      </c>
      <c r="F952" s="58" t="s">
        <v>3057</v>
      </c>
      <c r="G952" s="58">
        <v>7000</v>
      </c>
      <c r="H952" s="85">
        <v>0.18</v>
      </c>
      <c r="I952" s="9">
        <v>24.8</v>
      </c>
      <c r="J952" s="9"/>
      <c r="K952" s="9"/>
      <c r="L952" s="9"/>
      <c r="M952" s="9"/>
      <c r="N952" s="9" t="s">
        <v>3130</v>
      </c>
      <c r="O952" s="9" t="s">
        <v>3081</v>
      </c>
      <c r="P952" s="9" t="s">
        <v>5839</v>
      </c>
      <c r="Q952" s="58" t="s">
        <v>3167</v>
      </c>
      <c r="R952" s="58">
        <v>3</v>
      </c>
      <c r="S952" s="58">
        <v>7</v>
      </c>
      <c r="T952" s="9" t="s">
        <v>5834</v>
      </c>
      <c r="U952" s="9" t="s">
        <v>5840</v>
      </c>
      <c r="V952" s="58">
        <v>3</v>
      </c>
      <c r="W952" s="9"/>
      <c r="X952" s="9"/>
      <c r="Y952" s="9"/>
      <c r="Z952" s="9"/>
    </row>
    <row r="953" spans="1:26" ht="15.75" hidden="1" customHeight="1">
      <c r="A953" s="9" t="s">
        <v>2308</v>
      </c>
      <c r="B953" s="9" t="s">
        <v>5841</v>
      </c>
      <c r="C953" s="9" t="s">
        <v>2310</v>
      </c>
      <c r="D953" s="9" t="s">
        <v>439</v>
      </c>
      <c r="E953" s="9"/>
      <c r="F953" s="9"/>
      <c r="G953" s="58">
        <v>10400</v>
      </c>
      <c r="H953" s="85">
        <v>4.6153846153846101E-2</v>
      </c>
      <c r="I953" s="9">
        <v>49.5</v>
      </c>
      <c r="J953" s="9"/>
      <c r="K953" s="9"/>
      <c r="L953" s="9"/>
      <c r="M953" s="9"/>
      <c r="N953" s="9" t="s">
        <v>5621</v>
      </c>
      <c r="O953" s="9" t="s">
        <v>3081</v>
      </c>
      <c r="P953" s="9" t="s">
        <v>5358</v>
      </c>
      <c r="Q953" s="58" t="s">
        <v>3064</v>
      </c>
      <c r="R953" s="58">
        <v>1</v>
      </c>
      <c r="S953" s="58">
        <v>8</v>
      </c>
      <c r="T953" s="9" t="s">
        <v>3065</v>
      </c>
      <c r="U953" s="9" t="s">
        <v>5842</v>
      </c>
      <c r="V953" s="58">
        <v>1</v>
      </c>
      <c r="W953" s="9"/>
      <c r="X953" s="9"/>
      <c r="Y953" s="9"/>
      <c r="Z953" s="9"/>
    </row>
    <row r="954" spans="1:26" ht="15.75" hidden="1" customHeight="1">
      <c r="A954" s="9" t="s">
        <v>2308</v>
      </c>
      <c r="B954" s="9" t="s">
        <v>5841</v>
      </c>
      <c r="C954" s="9" t="s">
        <v>2310</v>
      </c>
      <c r="D954" s="9" t="s">
        <v>368</v>
      </c>
      <c r="E954" s="9" t="s">
        <v>4140</v>
      </c>
      <c r="F954" s="58" t="s">
        <v>3087</v>
      </c>
      <c r="G954" s="58">
        <v>7700</v>
      </c>
      <c r="H954" s="85">
        <v>0.218181818181818</v>
      </c>
      <c r="I954" s="9">
        <v>49.5</v>
      </c>
      <c r="J954" s="9"/>
      <c r="K954" s="9"/>
      <c r="L954" s="9"/>
      <c r="M954" s="9"/>
      <c r="N954" s="9" t="s">
        <v>5621</v>
      </c>
      <c r="O954" s="9" t="s">
        <v>3081</v>
      </c>
      <c r="P954" s="9" t="s">
        <v>5627</v>
      </c>
      <c r="Q954" s="58" t="s">
        <v>3077</v>
      </c>
      <c r="R954" s="58">
        <v>4</v>
      </c>
      <c r="S954" s="58">
        <v>7</v>
      </c>
      <c r="T954" s="9" t="s">
        <v>3065</v>
      </c>
      <c r="U954" s="9" t="s">
        <v>5843</v>
      </c>
      <c r="V954" s="58">
        <v>4</v>
      </c>
      <c r="W954" s="9"/>
      <c r="X954" s="9"/>
      <c r="Y954" s="9"/>
      <c r="Z954" s="9"/>
    </row>
    <row r="955" spans="1:26" ht="15.75" hidden="1" customHeight="1">
      <c r="A955" s="9" t="s">
        <v>2432</v>
      </c>
      <c r="B955" s="9" t="s">
        <v>5844</v>
      </c>
      <c r="C955" s="9" t="s">
        <v>554</v>
      </c>
      <c r="D955" s="9" t="s">
        <v>439</v>
      </c>
      <c r="E955" s="9"/>
      <c r="F955" s="9"/>
      <c r="G955" s="58">
        <v>9600</v>
      </c>
      <c r="H955" s="85">
        <v>0.05</v>
      </c>
      <c r="I955" s="9">
        <v>49.5</v>
      </c>
      <c r="J955" s="9"/>
      <c r="K955" s="9"/>
      <c r="L955" s="9"/>
      <c r="M955" s="9"/>
      <c r="N955" s="9" t="s">
        <v>5845</v>
      </c>
      <c r="O955" s="9" t="s">
        <v>3081</v>
      </c>
      <c r="P955" s="9" t="s">
        <v>3073</v>
      </c>
      <c r="Q955" s="58" t="s">
        <v>3074</v>
      </c>
      <c r="R955" s="58">
        <v>1</v>
      </c>
      <c r="S955" s="58">
        <v>8</v>
      </c>
      <c r="T955" s="9" t="s">
        <v>5846</v>
      </c>
      <c r="U955" s="9" t="s">
        <v>5847</v>
      </c>
      <c r="V955" s="58">
        <v>1</v>
      </c>
      <c r="W955" s="9"/>
      <c r="X955" s="9"/>
      <c r="Y955" s="9"/>
      <c r="Z955" s="9"/>
    </row>
    <row r="956" spans="1:26" ht="15.75" hidden="1" customHeight="1">
      <c r="A956" s="9" t="s">
        <v>2432</v>
      </c>
      <c r="B956" s="9" t="s">
        <v>5844</v>
      </c>
      <c r="C956" s="9" t="s">
        <v>554</v>
      </c>
      <c r="D956" s="9" t="s">
        <v>368</v>
      </c>
      <c r="E956" s="9" t="s">
        <v>5848</v>
      </c>
      <c r="F956" s="58" t="s">
        <v>3087</v>
      </c>
      <c r="G956" s="58">
        <v>4900</v>
      </c>
      <c r="H956" s="85">
        <v>0.34285714285714203</v>
      </c>
      <c r="I956" s="9">
        <v>49.5</v>
      </c>
      <c r="J956" s="9"/>
      <c r="K956" s="9"/>
      <c r="L956" s="9"/>
      <c r="M956" s="9"/>
      <c r="N956" s="9" t="s">
        <v>5845</v>
      </c>
      <c r="O956" s="9" t="s">
        <v>3081</v>
      </c>
      <c r="P956" s="9" t="s">
        <v>5849</v>
      </c>
      <c r="Q956" s="58" t="s">
        <v>3155</v>
      </c>
      <c r="R956" s="58">
        <v>4</v>
      </c>
      <c r="S956" s="58">
        <v>7</v>
      </c>
      <c r="T956" s="9" t="s">
        <v>5846</v>
      </c>
      <c r="U956" s="9" t="s">
        <v>5850</v>
      </c>
      <c r="V956" s="58">
        <v>4</v>
      </c>
      <c r="W956" s="9"/>
      <c r="X956" s="9"/>
      <c r="Y956" s="9"/>
      <c r="Z956" s="9"/>
    </row>
    <row r="957" spans="1:26" ht="15.75" hidden="1" customHeight="1">
      <c r="A957" s="9" t="s">
        <v>2055</v>
      </c>
      <c r="B957" s="9" t="s">
        <v>5851</v>
      </c>
      <c r="C957" s="9" t="s">
        <v>453</v>
      </c>
      <c r="D957" s="9" t="s">
        <v>368</v>
      </c>
      <c r="E957" s="9" t="s">
        <v>3092</v>
      </c>
      <c r="F957" s="58" t="s">
        <v>3057</v>
      </c>
      <c r="G957" s="58">
        <v>5250</v>
      </c>
      <c r="H957" s="85">
        <v>0.32</v>
      </c>
      <c r="I957" s="9">
        <v>14.5</v>
      </c>
      <c r="J957" s="9"/>
      <c r="K957" s="9"/>
      <c r="L957" s="9"/>
      <c r="M957" s="9"/>
      <c r="N957" s="9" t="s">
        <v>3105</v>
      </c>
      <c r="O957" s="9" t="s">
        <v>3081</v>
      </c>
      <c r="P957" s="9" t="s">
        <v>3656</v>
      </c>
      <c r="Q957" s="58" t="s">
        <v>3095</v>
      </c>
      <c r="R957" s="58">
        <v>4</v>
      </c>
      <c r="S957" s="58">
        <v>7</v>
      </c>
      <c r="T957" s="9" t="s">
        <v>5852</v>
      </c>
      <c r="U957" s="9" t="s">
        <v>5853</v>
      </c>
      <c r="V957" s="58">
        <v>4</v>
      </c>
      <c r="W957" s="9"/>
      <c r="X957" s="9"/>
      <c r="Y957" s="9"/>
      <c r="Z957" s="9"/>
    </row>
    <row r="958" spans="1:26" ht="15.75" hidden="1" customHeight="1">
      <c r="A958" s="9" t="s">
        <v>2060</v>
      </c>
      <c r="B958" s="9" t="s">
        <v>5854</v>
      </c>
      <c r="C958" s="9" t="s">
        <v>550</v>
      </c>
      <c r="D958" s="9" t="s">
        <v>368</v>
      </c>
      <c r="E958" s="9" t="s">
        <v>3092</v>
      </c>
      <c r="F958" s="58" t="s">
        <v>3087</v>
      </c>
      <c r="G958" s="58">
        <v>6650</v>
      </c>
      <c r="H958" s="85">
        <v>0.25263157894736799</v>
      </c>
      <c r="I958" s="9">
        <v>29.9</v>
      </c>
      <c r="J958" s="9"/>
      <c r="K958" s="9"/>
      <c r="L958" s="9"/>
      <c r="M958" s="9"/>
      <c r="N958" s="9" t="s">
        <v>5855</v>
      </c>
      <c r="O958" s="9" t="s">
        <v>3081</v>
      </c>
      <c r="P958" s="9" t="s">
        <v>5856</v>
      </c>
      <c r="Q958" s="58" t="s">
        <v>3409</v>
      </c>
      <c r="R958" s="58">
        <v>4</v>
      </c>
      <c r="S958" s="58">
        <v>7</v>
      </c>
      <c r="T958" s="9" t="s">
        <v>5857</v>
      </c>
      <c r="U958" s="9" t="s">
        <v>5858</v>
      </c>
      <c r="V958" s="58">
        <v>4</v>
      </c>
      <c r="W958" s="9"/>
      <c r="X958" s="9"/>
      <c r="Y958" s="9"/>
      <c r="Z958" s="9"/>
    </row>
    <row r="959" spans="1:26" ht="15.75" hidden="1" customHeight="1">
      <c r="A959" s="9" t="s">
        <v>2293</v>
      </c>
      <c r="B959" s="9" t="s">
        <v>5859</v>
      </c>
      <c r="C959" s="9" t="s">
        <v>2295</v>
      </c>
      <c r="D959" s="9" t="s">
        <v>368</v>
      </c>
      <c r="E959" s="9" t="s">
        <v>3092</v>
      </c>
      <c r="F959" s="58" t="s">
        <v>3057</v>
      </c>
      <c r="G959" s="58">
        <v>6300</v>
      </c>
      <c r="H959" s="85">
        <v>0.266666666666666</v>
      </c>
      <c r="I959" s="9">
        <v>19.8</v>
      </c>
      <c r="J959" s="9"/>
      <c r="K959" s="9"/>
      <c r="L959" s="9"/>
      <c r="M959" s="9"/>
      <c r="N959" s="9" t="s">
        <v>3105</v>
      </c>
      <c r="O959" s="9" t="s">
        <v>3081</v>
      </c>
      <c r="P959" s="9" t="s">
        <v>5860</v>
      </c>
      <c r="Q959" s="58" t="s">
        <v>3069</v>
      </c>
      <c r="R959" s="58">
        <v>4</v>
      </c>
      <c r="S959" s="58">
        <v>7</v>
      </c>
      <c r="T959" s="9" t="s">
        <v>3657</v>
      </c>
      <c r="U959" s="9" t="s">
        <v>5861</v>
      </c>
      <c r="V959" s="58">
        <v>4</v>
      </c>
      <c r="W959" s="9"/>
      <c r="X959" s="9"/>
      <c r="Y959" s="9"/>
      <c r="Z959" s="9"/>
    </row>
    <row r="960" spans="1:26" ht="15.75" hidden="1" customHeight="1">
      <c r="A960" s="9" t="s">
        <v>2435</v>
      </c>
      <c r="B960" s="9" t="s">
        <v>5862</v>
      </c>
      <c r="C960" s="9" t="s">
        <v>550</v>
      </c>
      <c r="D960" s="9" t="s">
        <v>368</v>
      </c>
      <c r="E960" s="9" t="s">
        <v>3092</v>
      </c>
      <c r="F960" s="58" t="s">
        <v>3087</v>
      </c>
      <c r="G960" s="58">
        <v>7700</v>
      </c>
      <c r="H960" s="85">
        <v>0.218181818181818</v>
      </c>
      <c r="I960" s="9">
        <v>29.9</v>
      </c>
      <c r="J960" s="9"/>
      <c r="K960" s="9"/>
      <c r="L960" s="9"/>
      <c r="M960" s="9"/>
      <c r="N960" s="9" t="s">
        <v>5863</v>
      </c>
      <c r="O960" s="9" t="s">
        <v>3081</v>
      </c>
      <c r="P960" s="9" t="s">
        <v>5864</v>
      </c>
      <c r="Q960" s="58" t="s">
        <v>3077</v>
      </c>
      <c r="R960" s="58">
        <v>4</v>
      </c>
      <c r="S960" s="58">
        <v>7</v>
      </c>
      <c r="T960" s="9" t="s">
        <v>5865</v>
      </c>
      <c r="U960" s="9" t="s">
        <v>5866</v>
      </c>
      <c r="V960" s="58">
        <v>4</v>
      </c>
      <c r="W960" s="9"/>
      <c r="X960" s="9"/>
      <c r="Y960" s="9"/>
      <c r="Z960" s="9"/>
    </row>
    <row r="961" spans="1:26" ht="15.75" hidden="1" customHeight="1">
      <c r="A961" s="9" t="s">
        <v>2064</v>
      </c>
      <c r="B961" s="9" t="s">
        <v>5867</v>
      </c>
      <c r="C961" s="9" t="s">
        <v>599</v>
      </c>
      <c r="D961" s="9" t="s">
        <v>439</v>
      </c>
      <c r="E961" s="9"/>
      <c r="F961" s="9"/>
      <c r="G961" s="58">
        <v>6400</v>
      </c>
      <c r="H961" s="85">
        <v>7.4999999999999997E-2</v>
      </c>
      <c r="I961" s="9" t="s">
        <v>5868</v>
      </c>
      <c r="J961" s="9"/>
      <c r="K961" s="9"/>
      <c r="L961" s="9"/>
      <c r="M961" s="9"/>
      <c r="N961" s="9" t="s">
        <v>5869</v>
      </c>
      <c r="O961" s="9" t="s">
        <v>3051</v>
      </c>
      <c r="P961" s="9" t="s">
        <v>3190</v>
      </c>
      <c r="Q961" s="58" t="s">
        <v>3185</v>
      </c>
      <c r="R961" s="58">
        <v>1</v>
      </c>
      <c r="S961" s="58">
        <v>8</v>
      </c>
      <c r="T961" s="9" t="s">
        <v>4526</v>
      </c>
      <c r="U961" s="9" t="s">
        <v>5870</v>
      </c>
      <c r="V961" s="58">
        <v>1</v>
      </c>
      <c r="W961" s="9"/>
      <c r="X961" s="9"/>
      <c r="Y961" s="9"/>
      <c r="Z961" s="9"/>
    </row>
    <row r="962" spans="1:26" ht="15.75" hidden="1" customHeight="1">
      <c r="A962" s="9" t="s">
        <v>2064</v>
      </c>
      <c r="B962" s="9" t="s">
        <v>5867</v>
      </c>
      <c r="C962" s="9" t="s">
        <v>599</v>
      </c>
      <c r="D962" s="9" t="s">
        <v>368</v>
      </c>
      <c r="E962" s="9" t="s">
        <v>3067</v>
      </c>
      <c r="F962" s="58" t="s">
        <v>3057</v>
      </c>
      <c r="G962" s="58">
        <v>10500</v>
      </c>
      <c r="H962" s="85">
        <v>0.16</v>
      </c>
      <c r="I962" s="9" t="s">
        <v>5868</v>
      </c>
      <c r="J962" s="9"/>
      <c r="K962" s="9"/>
      <c r="L962" s="9"/>
      <c r="M962" s="9"/>
      <c r="N962" s="9" t="s">
        <v>5869</v>
      </c>
      <c r="O962" s="9" t="s">
        <v>3051</v>
      </c>
      <c r="P962" s="9" t="s">
        <v>5871</v>
      </c>
      <c r="Q962" s="58" t="s">
        <v>3143</v>
      </c>
      <c r="R962" s="58">
        <v>4</v>
      </c>
      <c r="S962" s="58">
        <v>7</v>
      </c>
      <c r="T962" s="9" t="s">
        <v>4526</v>
      </c>
      <c r="U962" s="9" t="s">
        <v>5872</v>
      </c>
      <c r="V962" s="58">
        <v>4</v>
      </c>
      <c r="W962" s="9"/>
      <c r="X962" s="9"/>
      <c r="Y962" s="9"/>
      <c r="Z962" s="9"/>
    </row>
    <row r="963" spans="1:26" ht="15.75" hidden="1" customHeight="1">
      <c r="A963" s="9" t="s">
        <v>43</v>
      </c>
      <c r="B963" s="9" t="s">
        <v>5873</v>
      </c>
      <c r="C963" s="9" t="s">
        <v>44</v>
      </c>
      <c r="D963" s="9" t="s">
        <v>368</v>
      </c>
      <c r="E963" s="9" t="s">
        <v>3092</v>
      </c>
      <c r="F963" s="58" t="s">
        <v>3087</v>
      </c>
      <c r="G963" s="58">
        <v>5250</v>
      </c>
      <c r="H963" s="85">
        <v>0.32</v>
      </c>
      <c r="I963" s="9">
        <v>30</v>
      </c>
      <c r="J963" s="9"/>
      <c r="K963" s="9"/>
      <c r="L963" s="9"/>
      <c r="M963" s="9"/>
      <c r="N963" s="9" t="s">
        <v>3446</v>
      </c>
      <c r="O963" s="9" t="s">
        <v>3081</v>
      </c>
      <c r="P963" s="9" t="s">
        <v>5874</v>
      </c>
      <c r="Q963" s="58" t="s">
        <v>3095</v>
      </c>
      <c r="R963" s="58">
        <v>4</v>
      </c>
      <c r="S963" s="58">
        <v>7</v>
      </c>
      <c r="T963" s="9" t="s">
        <v>5875</v>
      </c>
      <c r="U963" s="9" t="s">
        <v>5876</v>
      </c>
      <c r="V963" s="58">
        <v>4</v>
      </c>
      <c r="W963" s="9"/>
      <c r="X963" s="9"/>
      <c r="Y963" s="9"/>
      <c r="Z963" s="9"/>
    </row>
    <row r="964" spans="1:26" ht="15.75" hidden="1" customHeight="1">
      <c r="A964" s="9" t="s">
        <v>190</v>
      </c>
      <c r="B964" s="9" t="s">
        <v>5877</v>
      </c>
      <c r="C964" s="9" t="s">
        <v>44</v>
      </c>
      <c r="D964" s="9" t="s">
        <v>368</v>
      </c>
      <c r="E964" s="9" t="s">
        <v>3092</v>
      </c>
      <c r="F964" s="58" t="s">
        <v>3087</v>
      </c>
      <c r="G964" s="58">
        <v>5600</v>
      </c>
      <c r="H964" s="85">
        <v>0.3</v>
      </c>
      <c r="I964" s="9">
        <v>50</v>
      </c>
      <c r="J964" s="9"/>
      <c r="K964" s="9"/>
      <c r="L964" s="9"/>
      <c r="M964" s="9"/>
      <c r="N964" s="9" t="s">
        <v>3105</v>
      </c>
      <c r="O964" s="9" t="s">
        <v>3081</v>
      </c>
      <c r="P964" s="9" t="s">
        <v>5878</v>
      </c>
      <c r="Q964" s="58" t="s">
        <v>3185</v>
      </c>
      <c r="R964" s="58">
        <v>4</v>
      </c>
      <c r="S964" s="58">
        <v>7</v>
      </c>
      <c r="T964" s="9" t="s">
        <v>5879</v>
      </c>
      <c r="U964" s="9" t="s">
        <v>5880</v>
      </c>
      <c r="V964" s="58">
        <v>4</v>
      </c>
      <c r="W964" s="9"/>
      <c r="X964" s="9"/>
      <c r="Y964" s="9"/>
      <c r="Z964" s="9"/>
    </row>
    <row r="965" spans="1:26" ht="15.75" hidden="1" customHeight="1">
      <c r="A965" s="9" t="s">
        <v>5881</v>
      </c>
      <c r="B965" s="9" t="s">
        <v>5882</v>
      </c>
      <c r="C965" s="9" t="s">
        <v>5883</v>
      </c>
      <c r="D965" s="9" t="s">
        <v>439</v>
      </c>
      <c r="E965" s="9"/>
      <c r="F965" s="9"/>
      <c r="G965" s="58">
        <v>8000</v>
      </c>
      <c r="H965" s="85">
        <v>0.06</v>
      </c>
      <c r="I965" s="9">
        <v>30</v>
      </c>
      <c r="J965" s="9"/>
      <c r="K965" s="9"/>
      <c r="L965" s="9"/>
      <c r="M965" s="9"/>
      <c r="N965" s="9" t="s">
        <v>3130</v>
      </c>
      <c r="O965" s="9" t="s">
        <v>3081</v>
      </c>
      <c r="P965" s="9" t="s">
        <v>3415</v>
      </c>
      <c r="Q965" s="58" t="s">
        <v>3167</v>
      </c>
      <c r="R965" s="58">
        <v>1</v>
      </c>
      <c r="S965" s="58">
        <v>8</v>
      </c>
      <c r="T965" s="9" t="s">
        <v>5884</v>
      </c>
      <c r="U965" s="9" t="s">
        <v>5885</v>
      </c>
      <c r="V965" s="58">
        <v>1</v>
      </c>
      <c r="W965" s="9"/>
      <c r="X965" s="9"/>
      <c r="Y965" s="9"/>
      <c r="Z965" s="9"/>
    </row>
    <row r="966" spans="1:26" ht="15.75" hidden="1" customHeight="1">
      <c r="A966" s="9" t="s">
        <v>5881</v>
      </c>
      <c r="B966" s="9" t="s">
        <v>5882</v>
      </c>
      <c r="C966" s="9" t="s">
        <v>5883</v>
      </c>
      <c r="D966" s="9" t="s">
        <v>368</v>
      </c>
      <c r="E966" s="9" t="s">
        <v>3067</v>
      </c>
      <c r="F966" s="58" t="s">
        <v>3057</v>
      </c>
      <c r="G966" s="58">
        <v>5600</v>
      </c>
      <c r="H966" s="85">
        <v>0.3</v>
      </c>
      <c r="I966" s="9">
        <v>30</v>
      </c>
      <c r="J966" s="9"/>
      <c r="K966" s="9"/>
      <c r="L966" s="9"/>
      <c r="M966" s="9"/>
      <c r="N966" s="9" t="s">
        <v>3130</v>
      </c>
      <c r="O966" s="9" t="s">
        <v>3081</v>
      </c>
      <c r="P966" s="9" t="s">
        <v>5886</v>
      </c>
      <c r="Q966" s="58" t="s">
        <v>3185</v>
      </c>
      <c r="R966" s="58">
        <v>4</v>
      </c>
      <c r="S966" s="58">
        <v>7</v>
      </c>
      <c r="T966" s="9" t="s">
        <v>5884</v>
      </c>
      <c r="U966" s="9" t="s">
        <v>5887</v>
      </c>
      <c r="V966" s="58">
        <v>4</v>
      </c>
      <c r="W966" s="9"/>
      <c r="X966" s="9"/>
      <c r="Y966" s="9"/>
      <c r="Z966" s="9"/>
    </row>
    <row r="967" spans="1:26" ht="15.75" hidden="1" customHeight="1">
      <c r="A967" s="9" t="s">
        <v>129</v>
      </c>
      <c r="B967" s="9" t="s">
        <v>5888</v>
      </c>
      <c r="C967" s="9" t="s">
        <v>130</v>
      </c>
      <c r="D967" s="9" t="s">
        <v>439</v>
      </c>
      <c r="E967" s="9"/>
      <c r="F967" s="9"/>
      <c r="G967" s="58">
        <v>8800</v>
      </c>
      <c r="H967" s="85">
        <v>5.4545454545454501E-2</v>
      </c>
      <c r="I967" s="9">
        <v>50</v>
      </c>
      <c r="J967" s="9"/>
      <c r="K967" s="9"/>
      <c r="L967" s="9"/>
      <c r="M967" s="9"/>
      <c r="N967" s="9" t="s">
        <v>3130</v>
      </c>
      <c r="O967" s="9" t="s">
        <v>3081</v>
      </c>
      <c r="P967" s="9" t="s">
        <v>3125</v>
      </c>
      <c r="Q967" s="58" t="s">
        <v>3077</v>
      </c>
      <c r="R967" s="58">
        <v>1</v>
      </c>
      <c r="S967" s="58">
        <v>8</v>
      </c>
      <c r="T967" s="9" t="s">
        <v>5884</v>
      </c>
      <c r="U967" s="9" t="s">
        <v>5889</v>
      </c>
      <c r="V967" s="58">
        <v>1</v>
      </c>
      <c r="W967" s="9"/>
      <c r="X967" s="9"/>
      <c r="Y967" s="9"/>
      <c r="Z967" s="9"/>
    </row>
    <row r="968" spans="1:26" ht="15.75" hidden="1" customHeight="1">
      <c r="A968" s="9" t="s">
        <v>129</v>
      </c>
      <c r="B968" s="9" t="s">
        <v>5888</v>
      </c>
      <c r="C968" s="9" t="s">
        <v>130</v>
      </c>
      <c r="D968" s="9" t="s">
        <v>368</v>
      </c>
      <c r="E968" s="9" t="s">
        <v>3067</v>
      </c>
      <c r="F968" s="58" t="s">
        <v>3057</v>
      </c>
      <c r="G968" s="58">
        <v>6300</v>
      </c>
      <c r="H968" s="85">
        <v>0.266666666666666</v>
      </c>
      <c r="I968" s="9">
        <v>50</v>
      </c>
      <c r="J968" s="9"/>
      <c r="K968" s="9"/>
      <c r="L968" s="9"/>
      <c r="M968" s="9"/>
      <c r="N968" s="9" t="s">
        <v>3130</v>
      </c>
      <c r="O968" s="9" t="s">
        <v>3081</v>
      </c>
      <c r="P968" s="9" t="s">
        <v>5890</v>
      </c>
      <c r="Q968" s="58" t="s">
        <v>3069</v>
      </c>
      <c r="R968" s="58">
        <v>4</v>
      </c>
      <c r="S968" s="58">
        <v>7</v>
      </c>
      <c r="T968" s="9" t="s">
        <v>5884</v>
      </c>
      <c r="U968" s="9" t="s">
        <v>5891</v>
      </c>
      <c r="V968" s="58">
        <v>4</v>
      </c>
      <c r="W968" s="9"/>
      <c r="X968" s="9"/>
      <c r="Y968" s="9"/>
      <c r="Z968" s="9"/>
    </row>
    <row r="969" spans="1:26" ht="15.75" hidden="1" customHeight="1">
      <c r="A969" s="9" t="s">
        <v>2070</v>
      </c>
      <c r="B969" s="9" t="s">
        <v>5892</v>
      </c>
      <c r="C969" s="9" t="s">
        <v>543</v>
      </c>
      <c r="D969" s="9" t="s">
        <v>368</v>
      </c>
      <c r="E969" s="9" t="s">
        <v>3092</v>
      </c>
      <c r="F969" s="58" t="s">
        <v>3087</v>
      </c>
      <c r="G969" s="58">
        <v>5950</v>
      </c>
      <c r="H969" s="85">
        <v>0.28235294117646997</v>
      </c>
      <c r="I969" s="9">
        <v>30</v>
      </c>
      <c r="J969" s="9"/>
      <c r="K969" s="9"/>
      <c r="L969" s="9"/>
      <c r="M969" s="9"/>
      <c r="N969" s="9" t="s">
        <v>3105</v>
      </c>
      <c r="O969" s="9" t="s">
        <v>3081</v>
      </c>
      <c r="P969" s="9" t="s">
        <v>5893</v>
      </c>
      <c r="Q969" s="58" t="s">
        <v>3132</v>
      </c>
      <c r="R969" s="58">
        <v>4</v>
      </c>
      <c r="S969" s="58">
        <v>7</v>
      </c>
      <c r="T969" s="9" t="s">
        <v>5894</v>
      </c>
      <c r="U969" s="9" t="s">
        <v>5895</v>
      </c>
      <c r="V969" s="58">
        <v>4</v>
      </c>
      <c r="W969" s="9"/>
      <c r="X969" s="9"/>
      <c r="Y969" s="9"/>
      <c r="Z969" s="9"/>
    </row>
    <row r="970" spans="1:26" ht="15.75" hidden="1" customHeight="1">
      <c r="A970" s="9" t="s">
        <v>2072</v>
      </c>
      <c r="B970" s="9" t="s">
        <v>5896</v>
      </c>
      <c r="C970" s="9" t="s">
        <v>511</v>
      </c>
      <c r="D970" s="9" t="s">
        <v>368</v>
      </c>
      <c r="E970" s="9" t="s">
        <v>3092</v>
      </c>
      <c r="F970" s="58" t="s">
        <v>3087</v>
      </c>
      <c r="G970" s="58">
        <v>5600</v>
      </c>
      <c r="H970" s="85">
        <v>0.3</v>
      </c>
      <c r="I970" s="9">
        <v>50</v>
      </c>
      <c r="J970" s="9"/>
      <c r="K970" s="9"/>
      <c r="L970" s="9"/>
      <c r="M970" s="9"/>
      <c r="N970" s="9" t="s">
        <v>5897</v>
      </c>
      <c r="O970" s="9" t="s">
        <v>3081</v>
      </c>
      <c r="P970" s="9" t="s">
        <v>5878</v>
      </c>
      <c r="Q970" s="58" t="s">
        <v>3185</v>
      </c>
      <c r="R970" s="58">
        <v>4</v>
      </c>
      <c r="S970" s="58">
        <v>7</v>
      </c>
      <c r="T970" s="9" t="s">
        <v>5879</v>
      </c>
      <c r="U970" s="9" t="s">
        <v>5898</v>
      </c>
      <c r="V970" s="58">
        <v>4</v>
      </c>
      <c r="W970" s="9"/>
      <c r="X970" s="9"/>
      <c r="Y970" s="9"/>
      <c r="Z970" s="9"/>
    </row>
    <row r="971" spans="1:26" ht="15.75" hidden="1" customHeight="1">
      <c r="A971" s="9" t="s">
        <v>2074</v>
      </c>
      <c r="B971" s="9" t="s">
        <v>5899</v>
      </c>
      <c r="C971" s="9" t="s">
        <v>541</v>
      </c>
      <c r="D971" s="9" t="s">
        <v>439</v>
      </c>
      <c r="E971" s="9"/>
      <c r="F971" s="9"/>
      <c r="G971" s="58">
        <v>8800</v>
      </c>
      <c r="H971" s="85">
        <v>5.4545454545454501E-2</v>
      </c>
      <c r="I971" s="9">
        <v>50</v>
      </c>
      <c r="J971" s="9"/>
      <c r="K971" s="9"/>
      <c r="L971" s="9"/>
      <c r="M971" s="9"/>
      <c r="N971" s="9" t="s">
        <v>5900</v>
      </c>
      <c r="O971" s="9" t="s">
        <v>3081</v>
      </c>
      <c r="P971" s="9" t="s">
        <v>3125</v>
      </c>
      <c r="Q971" s="58" t="s">
        <v>3077</v>
      </c>
      <c r="R971" s="58">
        <v>1</v>
      </c>
      <c r="S971" s="58">
        <v>8</v>
      </c>
      <c r="T971" s="9" t="s">
        <v>5884</v>
      </c>
      <c r="U971" s="9" t="s">
        <v>5901</v>
      </c>
      <c r="V971" s="58">
        <v>1</v>
      </c>
      <c r="W971" s="9"/>
      <c r="X971" s="9"/>
      <c r="Y971" s="9"/>
      <c r="Z971" s="9"/>
    </row>
    <row r="972" spans="1:26" ht="15.75" hidden="1" customHeight="1">
      <c r="A972" s="9" t="s">
        <v>2074</v>
      </c>
      <c r="B972" s="9" t="s">
        <v>5899</v>
      </c>
      <c r="C972" s="9" t="s">
        <v>541</v>
      </c>
      <c r="D972" s="9" t="s">
        <v>368</v>
      </c>
      <c r="E972" s="9" t="s">
        <v>3067</v>
      </c>
      <c r="F972" s="58" t="s">
        <v>3057</v>
      </c>
      <c r="G972" s="58">
        <v>5600</v>
      </c>
      <c r="H972" s="85">
        <v>0.3</v>
      </c>
      <c r="I972" s="9">
        <v>50</v>
      </c>
      <c r="J972" s="9"/>
      <c r="K972" s="9"/>
      <c r="L972" s="9"/>
      <c r="M972" s="9"/>
      <c r="N972" s="9" t="s">
        <v>5900</v>
      </c>
      <c r="O972" s="9" t="s">
        <v>3081</v>
      </c>
      <c r="P972" s="9" t="s">
        <v>5886</v>
      </c>
      <c r="Q972" s="58" t="s">
        <v>3185</v>
      </c>
      <c r="R972" s="58">
        <v>4</v>
      </c>
      <c r="S972" s="58">
        <v>7</v>
      </c>
      <c r="T972" s="9" t="s">
        <v>5884</v>
      </c>
      <c r="U972" s="9" t="s">
        <v>5902</v>
      </c>
      <c r="V972" s="58">
        <v>4</v>
      </c>
      <c r="W972" s="9"/>
      <c r="X972" s="9"/>
      <c r="Y972" s="9"/>
      <c r="Z972" s="9"/>
    </row>
    <row r="973" spans="1:26" ht="15.75" hidden="1" customHeight="1">
      <c r="A973" s="9" t="s">
        <v>2076</v>
      </c>
      <c r="B973" s="9" t="s">
        <v>5903</v>
      </c>
      <c r="C973" s="9" t="s">
        <v>735</v>
      </c>
      <c r="D973" s="9" t="s">
        <v>368</v>
      </c>
      <c r="E973" s="9" t="s">
        <v>3092</v>
      </c>
      <c r="F973" s="58" t="s">
        <v>3087</v>
      </c>
      <c r="G973" s="58">
        <v>7000</v>
      </c>
      <c r="H973" s="85">
        <v>0.24</v>
      </c>
      <c r="I973" s="9">
        <v>30.3</v>
      </c>
      <c r="J973" s="9"/>
      <c r="K973" s="9"/>
      <c r="L973" s="9"/>
      <c r="M973" s="9"/>
      <c r="N973" s="9" t="s">
        <v>5904</v>
      </c>
      <c r="O973" s="9" t="s">
        <v>3081</v>
      </c>
      <c r="P973" s="9" t="s">
        <v>5905</v>
      </c>
      <c r="Q973" s="58" t="s">
        <v>3167</v>
      </c>
      <c r="R973" s="58">
        <v>4</v>
      </c>
      <c r="S973" s="58">
        <v>7</v>
      </c>
      <c r="T973" s="9" t="s">
        <v>5894</v>
      </c>
      <c r="U973" s="9" t="s">
        <v>5906</v>
      </c>
      <c r="V973" s="58">
        <v>4</v>
      </c>
      <c r="W973" s="9"/>
      <c r="X973" s="9"/>
      <c r="Y973" s="9"/>
      <c r="Z973" s="9"/>
    </row>
    <row r="974" spans="1:26" ht="15.75" hidden="1" customHeight="1">
      <c r="A974" s="9" t="s">
        <v>2080</v>
      </c>
      <c r="B974" s="9" t="s">
        <v>5907</v>
      </c>
      <c r="C974" s="9" t="s">
        <v>839</v>
      </c>
      <c r="D974" s="9" t="s">
        <v>368</v>
      </c>
      <c r="E974" s="9" t="s">
        <v>3092</v>
      </c>
      <c r="F974" s="58" t="s">
        <v>3087</v>
      </c>
      <c r="G974" s="58">
        <v>6020</v>
      </c>
      <c r="H974" s="85">
        <v>0.27906976744186002</v>
      </c>
      <c r="I974" s="9">
        <v>50</v>
      </c>
      <c r="J974" s="9"/>
      <c r="K974" s="9"/>
      <c r="L974" s="9"/>
      <c r="M974" s="9"/>
      <c r="N974" s="9" t="s">
        <v>5904</v>
      </c>
      <c r="O974" s="9" t="s">
        <v>5908</v>
      </c>
      <c r="P974" s="9" t="s">
        <v>5909</v>
      </c>
      <c r="Q974" s="58" t="s">
        <v>3083</v>
      </c>
      <c r="R974" s="58">
        <v>4</v>
      </c>
      <c r="S974" s="58">
        <v>7</v>
      </c>
      <c r="T974" s="9" t="s">
        <v>5894</v>
      </c>
      <c r="U974" s="9" t="s">
        <v>5910</v>
      </c>
      <c r="V974" s="58">
        <v>4</v>
      </c>
      <c r="W974" s="9"/>
      <c r="X974" s="9"/>
      <c r="Y974" s="9"/>
      <c r="Z974" s="9"/>
    </row>
    <row r="975" spans="1:26" ht="15.75" hidden="1" customHeight="1">
      <c r="A975" s="9" t="s">
        <v>2083</v>
      </c>
      <c r="B975" s="9" t="s">
        <v>5911</v>
      </c>
      <c r="C975" s="9" t="s">
        <v>789</v>
      </c>
      <c r="D975" s="9" t="s">
        <v>439</v>
      </c>
      <c r="E975" s="9"/>
      <c r="F975" s="9"/>
      <c r="G975" s="58">
        <v>4800</v>
      </c>
      <c r="H975" s="85">
        <v>0.1</v>
      </c>
      <c r="I975" s="9">
        <v>155</v>
      </c>
      <c r="J975" s="9"/>
      <c r="K975" s="9"/>
      <c r="L975" s="9"/>
      <c r="M975" s="9"/>
      <c r="N975" s="9" t="s">
        <v>5912</v>
      </c>
      <c r="O975" s="9" t="s">
        <v>3051</v>
      </c>
      <c r="P975" s="9" t="s">
        <v>4499</v>
      </c>
      <c r="Q975" s="58" t="s">
        <v>3122</v>
      </c>
      <c r="R975" s="58">
        <v>1</v>
      </c>
      <c r="S975" s="58">
        <v>8</v>
      </c>
      <c r="T975" s="9"/>
      <c r="U975" s="9" t="s">
        <v>5913</v>
      </c>
      <c r="V975" s="58">
        <v>1</v>
      </c>
      <c r="W975" s="9"/>
      <c r="X975" s="9"/>
      <c r="Y975" s="9"/>
      <c r="Z975" s="9"/>
    </row>
    <row r="976" spans="1:26" ht="15.75" hidden="1" customHeight="1">
      <c r="A976" s="9" t="s">
        <v>2083</v>
      </c>
      <c r="B976" s="9" t="s">
        <v>5911</v>
      </c>
      <c r="C976" s="9" t="s">
        <v>789</v>
      </c>
      <c r="D976" s="9" t="s">
        <v>368</v>
      </c>
      <c r="E976" s="9" t="s">
        <v>5914</v>
      </c>
      <c r="F976" s="58" t="s">
        <v>3057</v>
      </c>
      <c r="G976" s="58">
        <v>4900</v>
      </c>
      <c r="H976" s="85">
        <v>0.34285714285714203</v>
      </c>
      <c r="I976" s="9">
        <v>155</v>
      </c>
      <c r="J976" s="9"/>
      <c r="K976" s="9"/>
      <c r="L976" s="9"/>
      <c r="M976" s="9"/>
      <c r="N976" s="9" t="s">
        <v>5912</v>
      </c>
      <c r="O976" s="9" t="s">
        <v>3051</v>
      </c>
      <c r="P976" s="9" t="s">
        <v>5915</v>
      </c>
      <c r="Q976" s="58" t="s">
        <v>3155</v>
      </c>
      <c r="R976" s="58">
        <v>4</v>
      </c>
      <c r="S976" s="58">
        <v>7</v>
      </c>
      <c r="T976" s="9"/>
      <c r="U976" s="9" t="s">
        <v>5916</v>
      </c>
      <c r="V976" s="58">
        <v>4</v>
      </c>
      <c r="W976" s="9"/>
      <c r="X976" s="9"/>
      <c r="Y976" s="9"/>
      <c r="Z976" s="9"/>
    </row>
    <row r="977" spans="1:26" ht="15.75" hidden="1" customHeight="1">
      <c r="A977" s="9" t="s">
        <v>5917</v>
      </c>
      <c r="B977" s="9" t="s">
        <v>5918</v>
      </c>
      <c r="C977" s="9" t="s">
        <v>5919</v>
      </c>
      <c r="D977" s="9" t="s">
        <v>368</v>
      </c>
      <c r="E977" s="9"/>
      <c r="F977" s="9"/>
      <c r="G977" s="58">
        <v>100000</v>
      </c>
      <c r="H977" s="85">
        <v>0</v>
      </c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 t="s">
        <v>5920</v>
      </c>
      <c r="V977" s="9"/>
      <c r="W977" s="9"/>
      <c r="X977" s="9"/>
      <c r="Y977" s="9"/>
      <c r="Z977" s="9"/>
    </row>
    <row r="978" spans="1:26" ht="15.75" customHeight="1">
      <c r="A978" s="9" t="s">
        <v>2088</v>
      </c>
      <c r="B978" s="9" t="s">
        <v>5921</v>
      </c>
      <c r="C978" s="9" t="s">
        <v>786</v>
      </c>
      <c r="D978" s="9" t="s">
        <v>559</v>
      </c>
      <c r="E978" s="9" t="s">
        <v>3042</v>
      </c>
      <c r="F978" s="58" t="s">
        <v>5922</v>
      </c>
      <c r="G978" s="58">
        <v>6720</v>
      </c>
      <c r="H978" s="85">
        <v>6.25E-2</v>
      </c>
      <c r="I978" s="9">
        <v>15</v>
      </c>
      <c r="J978" s="9"/>
      <c r="K978" s="9"/>
      <c r="L978" s="9"/>
      <c r="M978" s="9"/>
      <c r="N978" s="9" t="s">
        <v>3375</v>
      </c>
      <c r="O978" s="9" t="s">
        <v>3051</v>
      </c>
      <c r="P978" s="9" t="s">
        <v>5923</v>
      </c>
      <c r="Q978" s="58">
        <v>960</v>
      </c>
      <c r="R978" s="58">
        <v>1</v>
      </c>
      <c r="S978" s="58">
        <v>7</v>
      </c>
      <c r="T978" s="9" t="s">
        <v>5924</v>
      </c>
      <c r="U978" s="9" t="s">
        <v>5925</v>
      </c>
      <c r="V978" s="58">
        <v>1</v>
      </c>
      <c r="W978" s="9"/>
      <c r="X978" s="9"/>
      <c r="Y978" s="9"/>
      <c r="Z978" s="9"/>
    </row>
    <row r="979" spans="1:26" ht="15.75" hidden="1" customHeight="1">
      <c r="A979" s="9" t="s">
        <v>2088</v>
      </c>
      <c r="B979" s="9" t="s">
        <v>5921</v>
      </c>
      <c r="C979" s="9" t="s">
        <v>786</v>
      </c>
      <c r="D979" s="9" t="s">
        <v>439</v>
      </c>
      <c r="E979" s="9"/>
      <c r="F979" s="9"/>
      <c r="G979" s="58">
        <v>12000</v>
      </c>
      <c r="H979" s="85">
        <v>0.04</v>
      </c>
      <c r="I979" s="9">
        <v>15</v>
      </c>
      <c r="J979" s="9"/>
      <c r="K979" s="9"/>
      <c r="L979" s="9"/>
      <c r="M979" s="9"/>
      <c r="N979" s="9" t="s">
        <v>3375</v>
      </c>
      <c r="O979" s="9" t="s">
        <v>3051</v>
      </c>
      <c r="P979" s="9" t="s">
        <v>3148</v>
      </c>
      <c r="Q979" s="58">
        <v>1500</v>
      </c>
      <c r="R979" s="58">
        <v>1</v>
      </c>
      <c r="S979" s="58">
        <v>8</v>
      </c>
      <c r="T979" s="9" t="s">
        <v>5924</v>
      </c>
      <c r="U979" s="9" t="s">
        <v>5926</v>
      </c>
      <c r="V979" s="58">
        <v>1</v>
      </c>
      <c r="W979" s="9"/>
      <c r="X979" s="9"/>
      <c r="Y979" s="9"/>
      <c r="Z979" s="9"/>
    </row>
    <row r="980" spans="1:26" ht="15.75" hidden="1" customHeight="1">
      <c r="A980" s="9" t="s">
        <v>2088</v>
      </c>
      <c r="B980" s="9" t="s">
        <v>5921</v>
      </c>
      <c r="C980" s="9" t="s">
        <v>786</v>
      </c>
      <c r="D980" s="9" t="s">
        <v>368</v>
      </c>
      <c r="E980" s="9" t="s">
        <v>3056</v>
      </c>
      <c r="F980" s="58" t="s">
        <v>3057</v>
      </c>
      <c r="G980" s="58">
        <v>5600</v>
      </c>
      <c r="H980" s="85">
        <v>0.3</v>
      </c>
      <c r="I980" s="9">
        <v>15</v>
      </c>
      <c r="J980" s="9"/>
      <c r="K980" s="9"/>
      <c r="L980" s="9"/>
      <c r="M980" s="9"/>
      <c r="N980" s="9" t="s">
        <v>3375</v>
      </c>
      <c r="O980" s="9" t="s">
        <v>3051</v>
      </c>
      <c r="P980" s="9" t="s">
        <v>5927</v>
      </c>
      <c r="Q980" s="58">
        <v>800</v>
      </c>
      <c r="R980" s="58">
        <v>4</v>
      </c>
      <c r="S980" s="58">
        <v>7</v>
      </c>
      <c r="T980" s="9" t="s">
        <v>5924</v>
      </c>
      <c r="U980" s="9" t="s">
        <v>5928</v>
      </c>
      <c r="V980" s="58">
        <v>4</v>
      </c>
      <c r="W980" s="9"/>
      <c r="X980" s="9"/>
      <c r="Y980" s="9"/>
      <c r="Z980" s="9"/>
    </row>
    <row r="981" spans="1:26" ht="15.75" customHeight="1">
      <c r="A981" s="9" t="s">
        <v>2727</v>
      </c>
      <c r="B981" s="9" t="s">
        <v>5929</v>
      </c>
      <c r="C981" s="9" t="s">
        <v>2728</v>
      </c>
      <c r="D981" s="9" t="s">
        <v>559</v>
      </c>
      <c r="E981" s="9"/>
      <c r="F981" s="9"/>
      <c r="G981" s="58">
        <v>23040</v>
      </c>
      <c r="H981" s="85">
        <v>2.0833333333333301E-2</v>
      </c>
      <c r="I981" s="9">
        <v>15.5</v>
      </c>
      <c r="J981" s="9"/>
      <c r="K981" s="9"/>
      <c r="L981" s="9"/>
      <c r="M981" s="9"/>
      <c r="N981" s="9" t="s">
        <v>3375</v>
      </c>
      <c r="O981" s="9" t="s">
        <v>5930</v>
      </c>
      <c r="P981" s="9" t="s">
        <v>5931</v>
      </c>
      <c r="Q981" s="58" t="s">
        <v>5932</v>
      </c>
      <c r="R981" s="9">
        <v>1</v>
      </c>
      <c r="S981" s="9">
        <v>8</v>
      </c>
      <c r="T981" s="9" t="s">
        <v>3065</v>
      </c>
      <c r="U981" s="9" t="s">
        <v>5933</v>
      </c>
      <c r="V981" s="9">
        <v>1</v>
      </c>
      <c r="W981" s="9"/>
      <c r="X981" s="9"/>
      <c r="Y981" s="9"/>
      <c r="Z981" s="9"/>
    </row>
    <row r="982" spans="1:26" ht="15.75" hidden="1" customHeight="1">
      <c r="A982" s="9" t="s">
        <v>2727</v>
      </c>
      <c r="B982" s="9" t="s">
        <v>5929</v>
      </c>
      <c r="C982" s="9" t="s">
        <v>2728</v>
      </c>
      <c r="D982" s="9" t="s">
        <v>439</v>
      </c>
      <c r="E982" s="9"/>
      <c r="F982" s="9"/>
      <c r="G982" s="58">
        <v>12000</v>
      </c>
      <c r="H982" s="85">
        <v>0.04</v>
      </c>
      <c r="I982" s="9">
        <v>15.5</v>
      </c>
      <c r="J982" s="9"/>
      <c r="K982" s="9"/>
      <c r="L982" s="9"/>
      <c r="M982" s="9"/>
      <c r="N982" s="9" t="s">
        <v>3375</v>
      </c>
      <c r="O982" s="9" t="s">
        <v>5930</v>
      </c>
      <c r="P982" s="9" t="s">
        <v>3251</v>
      </c>
      <c r="Q982" s="58" t="s">
        <v>3143</v>
      </c>
      <c r="R982" s="9">
        <v>1</v>
      </c>
      <c r="S982" s="9">
        <v>8</v>
      </c>
      <c r="T982" s="9" t="s">
        <v>3065</v>
      </c>
      <c r="U982" s="9" t="s">
        <v>5934</v>
      </c>
      <c r="V982" s="9">
        <v>1</v>
      </c>
      <c r="W982" s="9"/>
      <c r="X982" s="9"/>
      <c r="Y982" s="9"/>
      <c r="Z982" s="9"/>
    </row>
    <row r="983" spans="1:26" ht="15.75" hidden="1" customHeight="1">
      <c r="A983" s="9" t="s">
        <v>2727</v>
      </c>
      <c r="B983" s="9" t="s">
        <v>5929</v>
      </c>
      <c r="C983" s="9" t="s">
        <v>2728</v>
      </c>
      <c r="D983" s="9" t="s">
        <v>368</v>
      </c>
      <c r="E983" s="9" t="s">
        <v>3270</v>
      </c>
      <c r="F983" s="58" t="s">
        <v>3057</v>
      </c>
      <c r="G983" s="58">
        <v>8750</v>
      </c>
      <c r="H983" s="85">
        <v>0.192</v>
      </c>
      <c r="I983" s="9">
        <v>15.5</v>
      </c>
      <c r="J983" s="9"/>
      <c r="K983" s="9"/>
      <c r="L983" s="9"/>
      <c r="M983" s="9"/>
      <c r="N983" s="9" t="s">
        <v>3375</v>
      </c>
      <c r="O983" s="9" t="s">
        <v>5930</v>
      </c>
      <c r="P983" s="9" t="s">
        <v>5935</v>
      </c>
      <c r="Q983" s="58" t="s">
        <v>5114</v>
      </c>
      <c r="R983" s="9">
        <v>4</v>
      </c>
      <c r="S983" s="9">
        <v>7</v>
      </c>
      <c r="T983" s="9" t="s">
        <v>3065</v>
      </c>
      <c r="U983" s="9" t="s">
        <v>5936</v>
      </c>
      <c r="V983" s="9">
        <v>4</v>
      </c>
      <c r="W983" s="9"/>
      <c r="X983" s="9"/>
      <c r="Y983" s="9"/>
      <c r="Z983" s="9"/>
    </row>
    <row r="984" spans="1:26" ht="15.75" customHeight="1">
      <c r="A984" s="9" t="s">
        <v>65</v>
      </c>
      <c r="B984" s="9" t="s">
        <v>5937</v>
      </c>
      <c r="C984" s="9" t="s">
        <v>66</v>
      </c>
      <c r="D984" s="9" t="s">
        <v>559</v>
      </c>
      <c r="E984" s="9" t="s">
        <v>3042</v>
      </c>
      <c r="F984" s="58" t="s">
        <v>3043</v>
      </c>
      <c r="G984" s="58">
        <v>4992</v>
      </c>
      <c r="H984" s="85">
        <v>9.6153846153846104E-2</v>
      </c>
      <c r="I984" s="9" t="s">
        <v>407</v>
      </c>
      <c r="J984" s="9"/>
      <c r="K984" s="9"/>
      <c r="L984" s="9"/>
      <c r="M984" s="9"/>
      <c r="N984" s="9" t="s">
        <v>3423</v>
      </c>
      <c r="O984" s="9" t="s">
        <v>4152</v>
      </c>
      <c r="P984" s="9" t="s">
        <v>5938</v>
      </c>
      <c r="Q984" s="58" t="s">
        <v>3045</v>
      </c>
      <c r="R984" s="58">
        <v>1</v>
      </c>
      <c r="S984" s="58">
        <v>8</v>
      </c>
      <c r="T984" s="9" t="s">
        <v>3065</v>
      </c>
      <c r="U984" s="9" t="s">
        <v>5939</v>
      </c>
      <c r="V984" s="58">
        <v>1</v>
      </c>
      <c r="W984" s="9"/>
      <c r="X984" s="9"/>
      <c r="Y984" s="9"/>
      <c r="Z984" s="9"/>
    </row>
    <row r="985" spans="1:26" ht="15.75" hidden="1" customHeight="1">
      <c r="A985" s="9" t="s">
        <v>65</v>
      </c>
      <c r="B985" s="9" t="s">
        <v>5937</v>
      </c>
      <c r="C985" s="9" t="s">
        <v>66</v>
      </c>
      <c r="D985" s="9" t="s">
        <v>439</v>
      </c>
      <c r="E985" s="9"/>
      <c r="F985" s="9"/>
      <c r="G985" s="58">
        <v>9880</v>
      </c>
      <c r="H985" s="85">
        <v>4.8582995951416998E-2</v>
      </c>
      <c r="I985" s="9" t="s">
        <v>407</v>
      </c>
      <c r="J985" s="9"/>
      <c r="K985" s="9"/>
      <c r="L985" s="9"/>
      <c r="M985" s="9"/>
      <c r="N985" s="9" t="s">
        <v>3423</v>
      </c>
      <c r="O985" s="9" t="s">
        <v>4152</v>
      </c>
      <c r="P985" s="9" t="s">
        <v>5940</v>
      </c>
      <c r="Q985" s="58" t="s">
        <v>4464</v>
      </c>
      <c r="R985" s="58">
        <v>1</v>
      </c>
      <c r="S985" s="58">
        <v>8</v>
      </c>
      <c r="T985" s="9" t="s">
        <v>3065</v>
      </c>
      <c r="U985" s="9" t="s">
        <v>5941</v>
      </c>
      <c r="V985" s="58">
        <v>1</v>
      </c>
      <c r="W985" s="9"/>
      <c r="X985" s="9"/>
      <c r="Y985" s="9"/>
      <c r="Z985" s="9"/>
    </row>
    <row r="986" spans="1:26" ht="15.75" hidden="1" customHeight="1">
      <c r="A986" s="9" t="s">
        <v>65</v>
      </c>
      <c r="B986" s="9" t="s">
        <v>5937</v>
      </c>
      <c r="C986" s="9" t="s">
        <v>66</v>
      </c>
      <c r="D986" s="9" t="s">
        <v>368</v>
      </c>
      <c r="E986" s="9" t="s">
        <v>3402</v>
      </c>
      <c r="F986" s="58" t="s">
        <v>3057</v>
      </c>
      <c r="G986" s="58">
        <v>5600</v>
      </c>
      <c r="H986" s="85">
        <v>0.22500000000000001</v>
      </c>
      <c r="I986" s="9" t="s">
        <v>407</v>
      </c>
      <c r="J986" s="9"/>
      <c r="K986" s="9"/>
      <c r="L986" s="9"/>
      <c r="M986" s="9"/>
      <c r="N986" s="9" t="s">
        <v>3423</v>
      </c>
      <c r="O986" s="9" t="s">
        <v>4152</v>
      </c>
      <c r="P986" s="9" t="s">
        <v>4838</v>
      </c>
      <c r="Q986" s="58" t="s">
        <v>3185</v>
      </c>
      <c r="R986" s="58">
        <v>3</v>
      </c>
      <c r="S986" s="58">
        <v>7</v>
      </c>
      <c r="T986" s="9" t="s">
        <v>3065</v>
      </c>
      <c r="U986" s="9" t="s">
        <v>5942</v>
      </c>
      <c r="V986" s="58">
        <v>3</v>
      </c>
      <c r="W986" s="9"/>
      <c r="X986" s="9"/>
      <c r="Y986" s="9"/>
      <c r="Z986" s="9"/>
    </row>
    <row r="987" spans="1:26" ht="15.75" customHeight="1">
      <c r="A987" s="9" t="s">
        <v>5943</v>
      </c>
      <c r="B987" s="9" t="s">
        <v>5944</v>
      </c>
      <c r="C987" s="9" t="s">
        <v>66</v>
      </c>
      <c r="D987" s="9" t="s">
        <v>559</v>
      </c>
      <c r="E987" s="9" t="s">
        <v>3042</v>
      </c>
      <c r="F987" s="58" t="s">
        <v>3043</v>
      </c>
      <c r="G987" s="58">
        <v>4992</v>
      </c>
      <c r="H987" s="85">
        <v>9.6153846153846104E-2</v>
      </c>
      <c r="I987" s="9">
        <v>31</v>
      </c>
      <c r="J987" s="9"/>
      <c r="K987" s="9"/>
      <c r="L987" s="9"/>
      <c r="M987" s="9"/>
      <c r="N987" s="9" t="s">
        <v>5945</v>
      </c>
      <c r="O987" s="9" t="s">
        <v>4152</v>
      </c>
      <c r="P987" s="9" t="s">
        <v>3044</v>
      </c>
      <c r="Q987" s="58" t="s">
        <v>3045</v>
      </c>
      <c r="R987" s="58">
        <v>1</v>
      </c>
      <c r="S987" s="58">
        <v>8</v>
      </c>
      <c r="T987" s="9" t="s">
        <v>5946</v>
      </c>
      <c r="U987" s="9" t="s">
        <v>5947</v>
      </c>
      <c r="V987" s="58">
        <v>1</v>
      </c>
      <c r="W987" s="9"/>
      <c r="X987" s="9"/>
      <c r="Y987" s="9"/>
      <c r="Z987" s="9"/>
    </row>
    <row r="988" spans="1:26" ht="15.75" hidden="1" customHeight="1">
      <c r="A988" s="9" t="s">
        <v>5943</v>
      </c>
      <c r="B988" s="9" t="s">
        <v>5944</v>
      </c>
      <c r="C988" s="9" t="s">
        <v>66</v>
      </c>
      <c r="D988" s="9" t="s">
        <v>439</v>
      </c>
      <c r="E988" s="9"/>
      <c r="F988" s="9"/>
      <c r="G988" s="58">
        <v>9880</v>
      </c>
      <c r="H988" s="85">
        <v>4.8582995951416998E-2</v>
      </c>
      <c r="I988" s="9">
        <v>31</v>
      </c>
      <c r="J988" s="9"/>
      <c r="K988" s="9"/>
      <c r="L988" s="9"/>
      <c r="M988" s="9"/>
      <c r="N988" s="9" t="s">
        <v>5945</v>
      </c>
      <c r="O988" s="9" t="s">
        <v>4152</v>
      </c>
      <c r="P988" s="9" t="s">
        <v>5940</v>
      </c>
      <c r="Q988" s="58" t="s">
        <v>4464</v>
      </c>
      <c r="R988" s="58">
        <v>1</v>
      </c>
      <c r="S988" s="58">
        <v>8</v>
      </c>
      <c r="T988" s="9" t="s">
        <v>5946</v>
      </c>
      <c r="U988" s="9" t="s">
        <v>5948</v>
      </c>
      <c r="V988" s="58">
        <v>1</v>
      </c>
      <c r="W988" s="9"/>
      <c r="X988" s="9"/>
      <c r="Y988" s="9"/>
      <c r="Z988" s="9"/>
    </row>
    <row r="989" spans="1:26" ht="15.75" hidden="1" customHeight="1">
      <c r="A989" s="9" t="s">
        <v>5943</v>
      </c>
      <c r="B989" s="9" t="s">
        <v>5944</v>
      </c>
      <c r="C989" s="9" t="s">
        <v>66</v>
      </c>
      <c r="D989" s="9" t="s">
        <v>368</v>
      </c>
      <c r="E989" s="9" t="s">
        <v>3402</v>
      </c>
      <c r="F989" s="58" t="s">
        <v>3057</v>
      </c>
      <c r="G989" s="58">
        <v>9800</v>
      </c>
      <c r="H989" s="85">
        <v>0.128571428571428</v>
      </c>
      <c r="I989" s="9">
        <v>31</v>
      </c>
      <c r="J989" s="9"/>
      <c r="K989" s="9"/>
      <c r="L989" s="9"/>
      <c r="M989" s="9"/>
      <c r="N989" s="9" t="s">
        <v>5945</v>
      </c>
      <c r="O989" s="9" t="s">
        <v>4152</v>
      </c>
      <c r="P989" s="9" t="s">
        <v>5949</v>
      </c>
      <c r="Q989" s="58" t="s">
        <v>3294</v>
      </c>
      <c r="R989" s="58">
        <v>3</v>
      </c>
      <c r="S989" s="58">
        <v>7</v>
      </c>
      <c r="T989" s="9" t="s">
        <v>5946</v>
      </c>
      <c r="U989" s="9" t="s">
        <v>5950</v>
      </c>
      <c r="V989" s="58">
        <v>3</v>
      </c>
      <c r="W989" s="9"/>
      <c r="X989" s="9"/>
      <c r="Y989" s="9"/>
      <c r="Z989" s="9"/>
    </row>
    <row r="990" spans="1:26" ht="15.75" customHeight="1">
      <c r="A990" s="9" t="s">
        <v>5943</v>
      </c>
      <c r="B990" s="9" t="s">
        <v>5944</v>
      </c>
      <c r="C990" s="9" t="s">
        <v>66</v>
      </c>
      <c r="D990" s="9" t="s">
        <v>5951</v>
      </c>
      <c r="E990" s="9" t="s">
        <v>5952</v>
      </c>
      <c r="F990" s="58" t="s">
        <v>3057</v>
      </c>
      <c r="G990" s="58">
        <v>5250</v>
      </c>
      <c r="H990" s="85">
        <v>0.16</v>
      </c>
      <c r="I990" s="9">
        <v>31</v>
      </c>
      <c r="J990" s="9"/>
      <c r="K990" s="9"/>
      <c r="L990" s="9"/>
      <c r="M990" s="9"/>
      <c r="N990" s="9" t="s">
        <v>5945</v>
      </c>
      <c r="O990" s="9" t="s">
        <v>4152</v>
      </c>
      <c r="P990" s="9" t="s">
        <v>5953</v>
      </c>
      <c r="Q990" s="58" t="s">
        <v>3095</v>
      </c>
      <c r="R990" s="58">
        <v>2</v>
      </c>
      <c r="S990" s="58">
        <v>7</v>
      </c>
      <c r="T990" s="9" t="s">
        <v>5946</v>
      </c>
      <c r="U990" s="9" t="s">
        <v>5954</v>
      </c>
      <c r="V990" s="58">
        <v>2</v>
      </c>
      <c r="W990" s="9"/>
      <c r="X990" s="9"/>
      <c r="Y990" s="9"/>
      <c r="Z990" s="9"/>
    </row>
    <row r="991" spans="1:26" ht="15.75" customHeight="1">
      <c r="A991" s="9" t="s">
        <v>5955</v>
      </c>
      <c r="B991" s="9" t="s">
        <v>5956</v>
      </c>
      <c r="C991" s="9" t="s">
        <v>5957</v>
      </c>
      <c r="D991" s="9" t="s">
        <v>559</v>
      </c>
      <c r="E991" s="9"/>
      <c r="F991" s="9"/>
      <c r="G991" s="58">
        <v>7200</v>
      </c>
      <c r="H991" s="85">
        <v>6.6666666666666596E-2</v>
      </c>
      <c r="I991" s="9">
        <v>53.5</v>
      </c>
      <c r="J991" s="9"/>
      <c r="K991" s="9"/>
      <c r="L991" s="9"/>
      <c r="M991" s="9"/>
      <c r="N991" s="9" t="s">
        <v>3423</v>
      </c>
      <c r="O991" s="9" t="s">
        <v>4152</v>
      </c>
      <c r="P991" s="9" t="s">
        <v>5958</v>
      </c>
      <c r="Q991" s="58" t="s">
        <v>3069</v>
      </c>
      <c r="R991" s="9">
        <v>1</v>
      </c>
      <c r="S991" s="9">
        <v>8</v>
      </c>
      <c r="T991" s="9" t="s">
        <v>5959</v>
      </c>
      <c r="U991" s="9" t="s">
        <v>5960</v>
      </c>
      <c r="V991" s="9">
        <v>1</v>
      </c>
      <c r="W991" s="9"/>
      <c r="X991" s="9"/>
      <c r="Y991" s="9"/>
      <c r="Z991" s="9"/>
    </row>
    <row r="992" spans="1:26" ht="15.75" hidden="1" customHeight="1">
      <c r="A992" s="9" t="s">
        <v>5955</v>
      </c>
      <c r="B992" s="9" t="s">
        <v>5956</v>
      </c>
      <c r="C992" s="9" t="s">
        <v>5957</v>
      </c>
      <c r="D992" s="9" t="s">
        <v>439</v>
      </c>
      <c r="E992" s="9"/>
      <c r="F992" s="9"/>
      <c r="G992" s="58">
        <v>9600</v>
      </c>
      <c r="H992" s="85">
        <v>0.05</v>
      </c>
      <c r="I992" s="9">
        <v>53.5</v>
      </c>
      <c r="J992" s="9"/>
      <c r="K992" s="9"/>
      <c r="L992" s="9"/>
      <c r="M992" s="9"/>
      <c r="N992" s="9" t="s">
        <v>3423</v>
      </c>
      <c r="O992" s="9" t="s">
        <v>4152</v>
      </c>
      <c r="P992" s="9" t="s">
        <v>3111</v>
      </c>
      <c r="Q992" s="58" t="s">
        <v>3074</v>
      </c>
      <c r="R992" s="9">
        <v>1</v>
      </c>
      <c r="S992" s="9">
        <v>8</v>
      </c>
      <c r="T992" s="9" t="s">
        <v>5959</v>
      </c>
      <c r="U992" s="9" t="s">
        <v>5961</v>
      </c>
      <c r="V992" s="9">
        <v>1</v>
      </c>
      <c r="W992" s="9"/>
      <c r="X992" s="9"/>
      <c r="Y992" s="9"/>
      <c r="Z992" s="9"/>
    </row>
    <row r="993" spans="1:26" ht="15.75" hidden="1" customHeight="1">
      <c r="A993" s="9" t="s">
        <v>5955</v>
      </c>
      <c r="B993" s="9" t="s">
        <v>5956</v>
      </c>
      <c r="C993" s="9" t="s">
        <v>5957</v>
      </c>
      <c r="D993" s="9" t="s">
        <v>368</v>
      </c>
      <c r="E993" s="9" t="s">
        <v>3270</v>
      </c>
      <c r="F993" s="58" t="s">
        <v>3057</v>
      </c>
      <c r="G993" s="58">
        <v>4900</v>
      </c>
      <c r="H993" s="85">
        <v>0.25714285714285701</v>
      </c>
      <c r="I993" s="9">
        <v>53.5</v>
      </c>
      <c r="J993" s="9"/>
      <c r="K993" s="9"/>
      <c r="L993" s="9"/>
      <c r="M993" s="9"/>
      <c r="N993" s="9" t="s">
        <v>3423</v>
      </c>
      <c r="O993" s="9" t="s">
        <v>4152</v>
      </c>
      <c r="P993" s="9" t="s">
        <v>5962</v>
      </c>
      <c r="Q993" s="58" t="s">
        <v>3155</v>
      </c>
      <c r="R993" s="9">
        <v>3</v>
      </c>
      <c r="S993" s="9">
        <v>7</v>
      </c>
      <c r="T993" s="9" t="s">
        <v>5959</v>
      </c>
      <c r="U993" s="9" t="s">
        <v>5963</v>
      </c>
      <c r="V993" s="9">
        <v>3</v>
      </c>
      <c r="W993" s="9"/>
      <c r="X993" s="9"/>
      <c r="Y993" s="9"/>
      <c r="Z993" s="9"/>
    </row>
    <row r="994" spans="1:26" ht="15.75" customHeight="1">
      <c r="A994" s="9" t="s">
        <v>5964</v>
      </c>
      <c r="B994" s="9" t="s">
        <v>5965</v>
      </c>
      <c r="C994" s="9" t="s">
        <v>2396</v>
      </c>
      <c r="D994" s="9" t="s">
        <v>559</v>
      </c>
      <c r="E994" s="9" t="s">
        <v>3042</v>
      </c>
      <c r="F994" s="58" t="s">
        <v>5966</v>
      </c>
      <c r="G994" s="58">
        <v>1400</v>
      </c>
      <c r="H994" s="85">
        <v>0.34285714285714203</v>
      </c>
      <c r="I994" s="9" t="s">
        <v>2396</v>
      </c>
      <c r="J994" s="9"/>
      <c r="K994" s="9"/>
      <c r="L994" s="9"/>
      <c r="M994" s="9"/>
      <c r="N994" s="9" t="s">
        <v>2396</v>
      </c>
      <c r="O994" s="9" t="s">
        <v>2396</v>
      </c>
      <c r="P994" s="9" t="s">
        <v>5967</v>
      </c>
      <c r="Q994" s="58" t="s">
        <v>5968</v>
      </c>
      <c r="R994" s="58">
        <v>1</v>
      </c>
      <c r="S994" s="58">
        <v>8</v>
      </c>
      <c r="T994" s="9" t="s">
        <v>2396</v>
      </c>
      <c r="U994" s="9" t="s">
        <v>5969</v>
      </c>
      <c r="V994" s="58">
        <v>1</v>
      </c>
      <c r="W994" s="9"/>
      <c r="X994" s="9"/>
      <c r="Y994" s="9"/>
      <c r="Z994" s="9"/>
    </row>
    <row r="995" spans="1:26" ht="15.75" hidden="1" customHeight="1">
      <c r="A995" s="9" t="s">
        <v>5970</v>
      </c>
      <c r="B995" s="9" t="s">
        <v>5965</v>
      </c>
      <c r="C995" s="9" t="s">
        <v>5971</v>
      </c>
      <c r="D995" s="9" t="s">
        <v>439</v>
      </c>
      <c r="E995" s="9"/>
      <c r="F995" s="9"/>
      <c r="G995" s="58">
        <v>9600</v>
      </c>
      <c r="H995" s="85">
        <v>0.05</v>
      </c>
      <c r="I995" s="9">
        <v>95</v>
      </c>
      <c r="J995" s="9"/>
      <c r="K995" s="9"/>
      <c r="L995" s="9"/>
      <c r="M995" s="9"/>
      <c r="N995" s="9" t="s">
        <v>5972</v>
      </c>
      <c r="O995" s="9" t="s">
        <v>3339</v>
      </c>
      <c r="P995" s="9" t="s">
        <v>3073</v>
      </c>
      <c r="Q995" s="58" t="s">
        <v>3074</v>
      </c>
      <c r="R995" s="58">
        <v>1</v>
      </c>
      <c r="S995" s="58">
        <v>8</v>
      </c>
      <c r="T995" s="9" t="s">
        <v>5973</v>
      </c>
      <c r="U995" s="9" t="s">
        <v>5974</v>
      </c>
      <c r="V995" s="58">
        <v>1</v>
      </c>
      <c r="W995" s="9"/>
      <c r="X995" s="9"/>
      <c r="Y995" s="9"/>
      <c r="Z995" s="9"/>
    </row>
    <row r="996" spans="1:26" ht="15.75" hidden="1" customHeight="1">
      <c r="A996" s="9" t="s">
        <v>5970</v>
      </c>
      <c r="B996" s="9" t="s">
        <v>5965</v>
      </c>
      <c r="C996" s="9" t="s">
        <v>5971</v>
      </c>
      <c r="D996" s="9" t="s">
        <v>368</v>
      </c>
      <c r="E996" s="9" t="s">
        <v>5975</v>
      </c>
      <c r="F996" s="58" t="s">
        <v>3057</v>
      </c>
      <c r="G996" s="58">
        <v>5250</v>
      </c>
      <c r="H996" s="85">
        <v>0.24</v>
      </c>
      <c r="I996" s="9">
        <v>95</v>
      </c>
      <c r="J996" s="9"/>
      <c r="K996" s="9"/>
      <c r="L996" s="9"/>
      <c r="M996" s="9"/>
      <c r="N996" s="9" t="s">
        <v>5972</v>
      </c>
      <c r="O996" s="9" t="s">
        <v>3339</v>
      </c>
      <c r="P996" s="9" t="s">
        <v>5976</v>
      </c>
      <c r="Q996" s="58" t="s">
        <v>3095</v>
      </c>
      <c r="R996" s="58">
        <v>3</v>
      </c>
      <c r="S996" s="58">
        <v>7</v>
      </c>
      <c r="T996" s="9" t="s">
        <v>5973</v>
      </c>
      <c r="U996" s="9" t="s">
        <v>5977</v>
      </c>
      <c r="V996" s="58">
        <v>3</v>
      </c>
      <c r="W996" s="9"/>
      <c r="X996" s="9"/>
      <c r="Y996" s="9"/>
      <c r="Z996" s="9"/>
    </row>
    <row r="997" spans="1:26" ht="15.75" hidden="1" customHeight="1">
      <c r="A997" s="9" t="s">
        <v>5978</v>
      </c>
      <c r="B997" s="9" t="s">
        <v>5979</v>
      </c>
      <c r="C997" s="9" t="s">
        <v>5980</v>
      </c>
      <c r="D997" s="9" t="s">
        <v>439</v>
      </c>
      <c r="E997" s="9"/>
      <c r="F997" s="9"/>
      <c r="G997" s="58">
        <v>9600</v>
      </c>
      <c r="H997" s="85">
        <v>0.05</v>
      </c>
      <c r="I997" s="9">
        <v>12.5</v>
      </c>
      <c r="J997" s="9"/>
      <c r="K997" s="9"/>
      <c r="L997" s="9"/>
      <c r="M997" s="9"/>
      <c r="N997" s="9" t="s">
        <v>3105</v>
      </c>
      <c r="O997" s="9" t="s">
        <v>3081</v>
      </c>
      <c r="P997" s="9" t="s">
        <v>3111</v>
      </c>
      <c r="Q997" s="58">
        <v>1200</v>
      </c>
      <c r="R997" s="58">
        <v>1</v>
      </c>
      <c r="S997" s="58">
        <v>8</v>
      </c>
      <c r="T997" s="9" t="s">
        <v>3065</v>
      </c>
      <c r="U997" s="9" t="s">
        <v>5981</v>
      </c>
      <c r="V997" s="58">
        <v>1</v>
      </c>
      <c r="W997" s="9"/>
      <c r="X997" s="9"/>
      <c r="Y997" s="9"/>
      <c r="Z997" s="9"/>
    </row>
    <row r="998" spans="1:26" ht="15.75" hidden="1" customHeight="1">
      <c r="A998" s="9" t="s">
        <v>5978</v>
      </c>
      <c r="B998" s="9" t="s">
        <v>5979</v>
      </c>
      <c r="C998" s="9" t="s">
        <v>5980</v>
      </c>
      <c r="D998" s="9" t="s">
        <v>368</v>
      </c>
      <c r="E998" s="9" t="s">
        <v>5982</v>
      </c>
      <c r="F998" s="58" t="s">
        <v>3087</v>
      </c>
      <c r="G998" s="58">
        <v>7000</v>
      </c>
      <c r="H998" s="85">
        <v>0.24</v>
      </c>
      <c r="I998" s="9">
        <v>12.5</v>
      </c>
      <c r="J998" s="9"/>
      <c r="K998" s="9"/>
      <c r="L998" s="9"/>
      <c r="M998" s="9"/>
      <c r="N998" s="9" t="s">
        <v>3105</v>
      </c>
      <c r="O998" s="9" t="s">
        <v>3081</v>
      </c>
      <c r="P998" s="9" t="s">
        <v>5983</v>
      </c>
      <c r="Q998" s="58">
        <v>1000</v>
      </c>
      <c r="R998" s="58">
        <v>4</v>
      </c>
      <c r="S998" s="58">
        <v>7</v>
      </c>
      <c r="T998" s="9" t="s">
        <v>3065</v>
      </c>
      <c r="U998" s="9" t="s">
        <v>5984</v>
      </c>
      <c r="V998" s="58">
        <v>4</v>
      </c>
      <c r="W998" s="9"/>
      <c r="X998" s="9"/>
      <c r="Y998" s="9"/>
      <c r="Z998" s="9"/>
    </row>
    <row r="999" spans="1:26" ht="15.75" hidden="1" customHeight="1">
      <c r="A999" s="9" t="s">
        <v>2099</v>
      </c>
      <c r="B999" s="9" t="s">
        <v>5985</v>
      </c>
      <c r="C999" s="9" t="s">
        <v>791</v>
      </c>
      <c r="D999" s="9" t="s">
        <v>439</v>
      </c>
      <c r="E999" s="9"/>
      <c r="F999" s="9"/>
      <c r="G999" s="58">
        <v>6400</v>
      </c>
      <c r="H999" s="85">
        <v>7.4999999999999997E-2</v>
      </c>
      <c r="I999" s="9">
        <v>48.9</v>
      </c>
      <c r="J999" s="9"/>
      <c r="K999" s="9"/>
      <c r="L999" s="9"/>
      <c r="M999" s="9"/>
      <c r="N999" s="9" t="s">
        <v>3105</v>
      </c>
      <c r="O999" s="9" t="s">
        <v>3081</v>
      </c>
      <c r="P999" s="9" t="s">
        <v>3549</v>
      </c>
      <c r="Q999" s="58">
        <v>800</v>
      </c>
      <c r="R999" s="58">
        <v>1</v>
      </c>
      <c r="S999" s="58">
        <v>8</v>
      </c>
      <c r="T999" s="9" t="s">
        <v>3065</v>
      </c>
      <c r="U999" s="9" t="s">
        <v>5986</v>
      </c>
      <c r="V999" s="58">
        <v>1</v>
      </c>
      <c r="W999" s="9"/>
      <c r="X999" s="9"/>
      <c r="Y999" s="9"/>
      <c r="Z999" s="9"/>
    </row>
    <row r="1000" spans="1:26" ht="15.75" hidden="1" customHeight="1">
      <c r="A1000" s="9" t="s">
        <v>2099</v>
      </c>
      <c r="B1000" s="9" t="s">
        <v>5985</v>
      </c>
      <c r="C1000" s="9" t="s">
        <v>791</v>
      </c>
      <c r="D1000" s="9" t="s">
        <v>368</v>
      </c>
      <c r="E1000" s="9" t="s">
        <v>3067</v>
      </c>
      <c r="F1000" s="58" t="s">
        <v>3057</v>
      </c>
      <c r="G1000" s="58">
        <v>5600</v>
      </c>
      <c r="H1000" s="85">
        <v>0.3</v>
      </c>
      <c r="I1000" s="9">
        <v>48.9</v>
      </c>
      <c r="J1000" s="9"/>
      <c r="K1000" s="9"/>
      <c r="L1000" s="9"/>
      <c r="M1000" s="9"/>
      <c r="N1000" s="9" t="s">
        <v>3105</v>
      </c>
      <c r="O1000" s="9" t="s">
        <v>3081</v>
      </c>
      <c r="P1000" s="9" t="s">
        <v>5987</v>
      </c>
      <c r="Q1000" s="58">
        <v>800</v>
      </c>
      <c r="R1000" s="58">
        <v>4</v>
      </c>
      <c r="S1000" s="58">
        <v>7</v>
      </c>
      <c r="T1000" s="9" t="s">
        <v>3065</v>
      </c>
      <c r="U1000" s="9" t="s">
        <v>5988</v>
      </c>
      <c r="V1000" s="58">
        <v>4</v>
      </c>
      <c r="W1000" s="9"/>
      <c r="X1000" s="9"/>
      <c r="Y1000" s="9"/>
      <c r="Z1000" s="9"/>
    </row>
    <row r="1001" spans="1:26" ht="15.75" customHeight="1">
      <c r="A1001" s="9" t="s">
        <v>2101</v>
      </c>
      <c r="B1001" s="9" t="s">
        <v>5989</v>
      </c>
      <c r="C1001" s="9" t="s">
        <v>558</v>
      </c>
      <c r="D1001" s="9" t="s">
        <v>559</v>
      </c>
      <c r="E1001" s="9" t="s">
        <v>3042</v>
      </c>
      <c r="F1001" s="58" t="s">
        <v>3966</v>
      </c>
      <c r="G1001" s="58">
        <v>1603</v>
      </c>
      <c r="H1001" s="85">
        <v>0.26200873362445398</v>
      </c>
      <c r="I1001" s="9">
        <v>151</v>
      </c>
      <c r="J1001" s="9"/>
      <c r="K1001" s="9"/>
      <c r="L1001" s="9"/>
      <c r="M1001" s="9"/>
      <c r="N1001" s="9" t="s">
        <v>3206</v>
      </c>
      <c r="O1001" s="9" t="s">
        <v>3051</v>
      </c>
      <c r="P1001" s="9" t="s">
        <v>5990</v>
      </c>
      <c r="Q1001" s="58" t="s">
        <v>3968</v>
      </c>
      <c r="R1001" s="58">
        <v>1</v>
      </c>
      <c r="S1001" s="58">
        <v>7</v>
      </c>
      <c r="T1001" s="9" t="s">
        <v>5991</v>
      </c>
      <c r="U1001" s="9" t="s">
        <v>5992</v>
      </c>
      <c r="V1001" s="58">
        <v>1</v>
      </c>
      <c r="W1001" s="9"/>
      <c r="X1001" s="9"/>
      <c r="Y1001" s="9"/>
      <c r="Z1001" s="9"/>
    </row>
    <row r="1002" spans="1:26" ht="15.75" hidden="1" customHeight="1">
      <c r="A1002" s="9" t="s">
        <v>2101</v>
      </c>
      <c r="B1002" s="9" t="s">
        <v>5989</v>
      </c>
      <c r="C1002" s="9" t="s">
        <v>558</v>
      </c>
      <c r="D1002" s="9" t="s">
        <v>439</v>
      </c>
      <c r="E1002" s="9"/>
      <c r="F1002" s="9"/>
      <c r="G1002" s="58">
        <v>4800</v>
      </c>
      <c r="H1002" s="85">
        <v>0.1</v>
      </c>
      <c r="I1002" s="9">
        <v>151</v>
      </c>
      <c r="J1002" s="9"/>
      <c r="K1002" s="9"/>
      <c r="L1002" s="9"/>
      <c r="M1002" s="9"/>
      <c r="N1002" s="9" t="s">
        <v>3206</v>
      </c>
      <c r="O1002" s="9" t="s">
        <v>3051</v>
      </c>
      <c r="P1002" s="9" t="s">
        <v>3778</v>
      </c>
      <c r="Q1002" s="58" t="s">
        <v>3122</v>
      </c>
      <c r="R1002" s="58">
        <v>1</v>
      </c>
      <c r="S1002" s="58">
        <v>8</v>
      </c>
      <c r="T1002" s="9" t="s">
        <v>5991</v>
      </c>
      <c r="U1002" s="9" t="s">
        <v>5993</v>
      </c>
      <c r="V1002" s="58">
        <v>1</v>
      </c>
      <c r="W1002" s="9"/>
      <c r="X1002" s="9"/>
      <c r="Y1002" s="9"/>
      <c r="Z1002" s="9"/>
    </row>
    <row r="1003" spans="1:26" ht="15.75" hidden="1" customHeight="1">
      <c r="A1003" s="9" t="s">
        <v>2101</v>
      </c>
      <c r="B1003" s="9" t="s">
        <v>5989</v>
      </c>
      <c r="C1003" s="9" t="s">
        <v>558</v>
      </c>
      <c r="D1003" s="9" t="s">
        <v>368</v>
      </c>
      <c r="E1003" s="9" t="s">
        <v>4856</v>
      </c>
      <c r="F1003" s="58" t="s">
        <v>3801</v>
      </c>
      <c r="G1003" s="58">
        <v>4900</v>
      </c>
      <c r="H1003" s="85">
        <v>0.34285714285714203</v>
      </c>
      <c r="I1003" s="9">
        <v>151</v>
      </c>
      <c r="J1003" s="9"/>
      <c r="K1003" s="9"/>
      <c r="L1003" s="9"/>
      <c r="M1003" s="9"/>
      <c r="N1003" s="9" t="s">
        <v>3206</v>
      </c>
      <c r="O1003" s="9" t="s">
        <v>3051</v>
      </c>
      <c r="P1003" s="9" t="s">
        <v>5994</v>
      </c>
      <c r="Q1003" s="58" t="s">
        <v>3155</v>
      </c>
      <c r="R1003" s="58">
        <v>4</v>
      </c>
      <c r="S1003" s="58">
        <v>7</v>
      </c>
      <c r="T1003" s="9" t="s">
        <v>5991</v>
      </c>
      <c r="U1003" s="9" t="s">
        <v>5995</v>
      </c>
      <c r="V1003" s="58">
        <v>4</v>
      </c>
      <c r="W1003" s="9"/>
      <c r="X1003" s="9"/>
      <c r="Y1003" s="9"/>
      <c r="Z1003" s="9"/>
    </row>
    <row r="1004" spans="1:26" ht="15.75" hidden="1" customHeight="1">
      <c r="A1004" s="9" t="s">
        <v>2108</v>
      </c>
      <c r="B1004" s="9" t="s">
        <v>5996</v>
      </c>
      <c r="C1004" s="9" t="s">
        <v>873</v>
      </c>
      <c r="D1004" s="9" t="s">
        <v>439</v>
      </c>
      <c r="E1004" s="9"/>
      <c r="F1004" s="9"/>
      <c r="G1004" s="58">
        <v>6400</v>
      </c>
      <c r="H1004" s="85">
        <v>7.4999999999999997E-2</v>
      </c>
      <c r="I1004" s="9" t="s">
        <v>5997</v>
      </c>
      <c r="J1004" s="9">
        <v>15</v>
      </c>
      <c r="K1004" s="9">
        <v>15</v>
      </c>
      <c r="L1004" s="9"/>
      <c r="M1004" s="9"/>
      <c r="N1004" s="9" t="s">
        <v>4431</v>
      </c>
      <c r="O1004" s="9" t="s">
        <v>3051</v>
      </c>
      <c r="P1004" s="9" t="s">
        <v>3190</v>
      </c>
      <c r="Q1004" s="58">
        <v>800</v>
      </c>
      <c r="R1004" s="58">
        <v>1</v>
      </c>
      <c r="S1004" s="58">
        <v>8</v>
      </c>
      <c r="T1004" s="9" t="s">
        <v>3561</v>
      </c>
      <c r="U1004" s="9" t="s">
        <v>5998</v>
      </c>
      <c r="V1004" s="58">
        <v>1</v>
      </c>
      <c r="W1004" s="9"/>
      <c r="X1004" s="9"/>
      <c r="Y1004" s="9"/>
      <c r="Z1004" s="9"/>
    </row>
    <row r="1005" spans="1:26" ht="15.75" hidden="1" customHeight="1">
      <c r="A1005" s="9" t="s">
        <v>2108</v>
      </c>
      <c r="B1005" s="9" t="s">
        <v>5996</v>
      </c>
      <c r="C1005" s="9" t="s">
        <v>873</v>
      </c>
      <c r="D1005" s="9" t="s">
        <v>368</v>
      </c>
      <c r="E1005" s="9" t="s">
        <v>3563</v>
      </c>
      <c r="F1005" s="58" t="s">
        <v>3801</v>
      </c>
      <c r="G1005" s="58">
        <v>3990</v>
      </c>
      <c r="H1005" s="85">
        <v>0.42105263157894701</v>
      </c>
      <c r="I1005" s="9" t="s">
        <v>5997</v>
      </c>
      <c r="J1005" s="9">
        <v>15</v>
      </c>
      <c r="K1005" s="9">
        <v>15</v>
      </c>
      <c r="L1005" s="9"/>
      <c r="M1005" s="9"/>
      <c r="N1005" s="9" t="s">
        <v>4431</v>
      </c>
      <c r="O1005" s="9" t="s">
        <v>3051</v>
      </c>
      <c r="P1005" s="9" t="s">
        <v>5999</v>
      </c>
      <c r="Q1005" s="58">
        <v>570</v>
      </c>
      <c r="R1005" s="58">
        <v>4</v>
      </c>
      <c r="S1005" s="58">
        <v>7</v>
      </c>
      <c r="T1005" s="9" t="s">
        <v>3561</v>
      </c>
      <c r="U1005" s="9" t="s">
        <v>6000</v>
      </c>
      <c r="V1005" s="58">
        <v>4</v>
      </c>
      <c r="W1005" s="9"/>
      <c r="X1005" s="9"/>
      <c r="Y1005" s="9"/>
      <c r="Z1005" s="9"/>
    </row>
    <row r="1006" spans="1:26" ht="15.75" hidden="1" customHeight="1">
      <c r="A1006" s="9" t="s">
        <v>2110</v>
      </c>
      <c r="B1006" s="9" t="s">
        <v>6001</v>
      </c>
      <c r="C1006" s="9" t="s">
        <v>548</v>
      </c>
      <c r="D1006" s="9" t="s">
        <v>439</v>
      </c>
      <c r="E1006" s="9"/>
      <c r="F1006" s="9"/>
      <c r="G1006" s="58">
        <v>5600</v>
      </c>
      <c r="H1006" s="85">
        <v>8.5714285714285701E-2</v>
      </c>
      <c r="I1006" s="9">
        <v>30</v>
      </c>
      <c r="J1006" s="9"/>
      <c r="K1006" s="9"/>
      <c r="L1006" s="9"/>
      <c r="M1006" s="9"/>
      <c r="N1006" s="9" t="s">
        <v>3105</v>
      </c>
      <c r="O1006" s="9" t="s">
        <v>3081</v>
      </c>
      <c r="P1006" s="9" t="s">
        <v>3154</v>
      </c>
      <c r="Q1006" s="58" t="s">
        <v>3155</v>
      </c>
      <c r="R1006" s="58">
        <v>1</v>
      </c>
      <c r="S1006" s="58">
        <v>8</v>
      </c>
      <c r="T1006" s="9" t="s">
        <v>3065</v>
      </c>
      <c r="U1006" s="9" t="s">
        <v>6002</v>
      </c>
      <c r="V1006" s="58">
        <v>1</v>
      </c>
      <c r="W1006" s="9"/>
      <c r="X1006" s="9"/>
      <c r="Y1006" s="9"/>
      <c r="Z1006" s="9"/>
    </row>
    <row r="1007" spans="1:26" ht="15.75" hidden="1" customHeight="1">
      <c r="A1007" s="9" t="s">
        <v>2110</v>
      </c>
      <c r="B1007" s="9" t="s">
        <v>6001</v>
      </c>
      <c r="C1007" s="9" t="s">
        <v>548</v>
      </c>
      <c r="D1007" s="9" t="s">
        <v>368</v>
      </c>
      <c r="E1007" s="9" t="s">
        <v>3092</v>
      </c>
      <c r="F1007" s="58" t="s">
        <v>3087</v>
      </c>
      <c r="G1007" s="58">
        <v>6300</v>
      </c>
      <c r="H1007" s="85">
        <v>0.266666666666666</v>
      </c>
      <c r="I1007" s="9">
        <v>30</v>
      </c>
      <c r="J1007" s="9"/>
      <c r="K1007" s="9"/>
      <c r="L1007" s="9"/>
      <c r="M1007" s="9"/>
      <c r="N1007" s="9" t="s">
        <v>3105</v>
      </c>
      <c r="O1007" s="9" t="s">
        <v>3081</v>
      </c>
      <c r="P1007" s="9" t="s">
        <v>6003</v>
      </c>
      <c r="Q1007" s="58" t="s">
        <v>3069</v>
      </c>
      <c r="R1007" s="58">
        <v>4</v>
      </c>
      <c r="S1007" s="58">
        <v>7</v>
      </c>
      <c r="T1007" s="9" t="s">
        <v>3065</v>
      </c>
      <c r="U1007" s="9" t="s">
        <v>6004</v>
      </c>
      <c r="V1007" s="58">
        <v>4</v>
      </c>
      <c r="W1007" s="9"/>
      <c r="X1007" s="9"/>
      <c r="Y1007" s="9"/>
      <c r="Z1007" s="9"/>
    </row>
    <row r="1008" spans="1:26" ht="15.75" hidden="1" customHeight="1">
      <c r="A1008" s="9" t="s">
        <v>6005</v>
      </c>
      <c r="B1008" s="9" t="s">
        <v>6006</v>
      </c>
      <c r="C1008" s="9" t="s">
        <v>6007</v>
      </c>
      <c r="D1008" s="9" t="s">
        <v>368</v>
      </c>
      <c r="E1008" s="9" t="s">
        <v>3183</v>
      </c>
      <c r="F1008" s="58" t="s">
        <v>3087</v>
      </c>
      <c r="G1008" s="58">
        <v>6720</v>
      </c>
      <c r="H1008" s="85">
        <v>0.25</v>
      </c>
      <c r="I1008" s="9">
        <v>10</v>
      </c>
      <c r="J1008" s="9"/>
      <c r="K1008" s="9"/>
      <c r="L1008" s="9"/>
      <c r="M1008" s="9"/>
      <c r="N1008" s="9" t="s">
        <v>3105</v>
      </c>
      <c r="O1008" s="9" t="s">
        <v>3081</v>
      </c>
      <c r="P1008" s="9" t="s">
        <v>6008</v>
      </c>
      <c r="Q1008" s="58" t="s">
        <v>4800</v>
      </c>
      <c r="R1008" s="58">
        <v>4</v>
      </c>
      <c r="S1008" s="58">
        <v>7</v>
      </c>
      <c r="T1008" s="9" t="s">
        <v>3741</v>
      </c>
      <c r="U1008" s="9" t="s">
        <v>6009</v>
      </c>
      <c r="V1008" s="58">
        <v>4</v>
      </c>
      <c r="W1008" s="9"/>
      <c r="X1008" s="9"/>
      <c r="Y1008" s="9"/>
      <c r="Z1008" s="9"/>
    </row>
    <row r="1009" spans="1:26" ht="15.75" hidden="1" customHeight="1">
      <c r="A1009" s="9" t="s">
        <v>145</v>
      </c>
      <c r="B1009" s="9" t="s">
        <v>6010</v>
      </c>
      <c r="C1009" s="9" t="s">
        <v>146</v>
      </c>
      <c r="D1009" s="9" t="s">
        <v>368</v>
      </c>
      <c r="E1009" s="9" t="s">
        <v>3092</v>
      </c>
      <c r="F1009" s="58" t="s">
        <v>3087</v>
      </c>
      <c r="G1009" s="58">
        <v>5950</v>
      </c>
      <c r="H1009" s="85">
        <v>0.28235294117646997</v>
      </c>
      <c r="I1009" s="9">
        <v>40</v>
      </c>
      <c r="J1009" s="9"/>
      <c r="K1009" s="9"/>
      <c r="L1009" s="9"/>
      <c r="M1009" s="9"/>
      <c r="N1009" s="9" t="s">
        <v>6011</v>
      </c>
      <c r="O1009" s="9" t="s">
        <v>3081</v>
      </c>
      <c r="P1009" s="9" t="s">
        <v>6012</v>
      </c>
      <c r="Q1009" s="58" t="s">
        <v>3132</v>
      </c>
      <c r="R1009" s="58">
        <v>4</v>
      </c>
      <c r="S1009" s="58">
        <v>7</v>
      </c>
      <c r="T1009" s="9" t="s">
        <v>3741</v>
      </c>
      <c r="U1009" s="9" t="s">
        <v>6013</v>
      </c>
      <c r="V1009" s="58">
        <v>4</v>
      </c>
      <c r="W1009" s="9"/>
      <c r="X1009" s="9"/>
      <c r="Y1009" s="9"/>
      <c r="Z1009" s="9"/>
    </row>
    <row r="1010" spans="1:26" ht="15.75" hidden="1" customHeight="1">
      <c r="A1010" s="9" t="s">
        <v>6014</v>
      </c>
      <c r="B1010" s="9" t="s">
        <v>6015</v>
      </c>
      <c r="C1010" s="9" t="s">
        <v>6016</v>
      </c>
      <c r="D1010" s="9" t="s">
        <v>439</v>
      </c>
      <c r="E1010" s="9"/>
      <c r="F1010" s="9"/>
      <c r="G1010" s="58">
        <v>13600</v>
      </c>
      <c r="H1010" s="85">
        <v>3.5294117647058802E-2</v>
      </c>
      <c r="I1010" s="9">
        <v>12</v>
      </c>
      <c r="J1010" s="9"/>
      <c r="K1010" s="9"/>
      <c r="L1010" s="9"/>
      <c r="M1010" s="9"/>
      <c r="N1010" s="9" t="s">
        <v>5239</v>
      </c>
      <c r="O1010" s="9" t="s">
        <v>3051</v>
      </c>
      <c r="P1010" s="9" t="s">
        <v>3052</v>
      </c>
      <c r="Q1010" s="58" t="s">
        <v>3053</v>
      </c>
      <c r="R1010" s="58">
        <v>1</v>
      </c>
      <c r="S1010" s="58">
        <v>8</v>
      </c>
      <c r="T1010" s="9" t="s">
        <v>6017</v>
      </c>
      <c r="U1010" s="9" t="s">
        <v>6018</v>
      </c>
      <c r="V1010" s="58">
        <v>1</v>
      </c>
      <c r="W1010" s="9"/>
      <c r="X1010" s="9"/>
      <c r="Y1010" s="9"/>
      <c r="Z1010" s="9"/>
    </row>
    <row r="1011" spans="1:26" ht="15.75" hidden="1" customHeight="1">
      <c r="A1011" s="9" t="s">
        <v>6014</v>
      </c>
      <c r="B1011" s="9" t="s">
        <v>6015</v>
      </c>
      <c r="C1011" s="9" t="s">
        <v>6016</v>
      </c>
      <c r="D1011" s="9" t="s">
        <v>368</v>
      </c>
      <c r="E1011" s="9" t="s">
        <v>3067</v>
      </c>
      <c r="F1011" s="58" t="s">
        <v>3057</v>
      </c>
      <c r="G1011" s="58">
        <v>11200</v>
      </c>
      <c r="H1011" s="85">
        <v>0.15</v>
      </c>
      <c r="I1011" s="9">
        <v>12</v>
      </c>
      <c r="J1011" s="9"/>
      <c r="K1011" s="9"/>
      <c r="L1011" s="9"/>
      <c r="M1011" s="9"/>
      <c r="N1011" s="9" t="s">
        <v>5239</v>
      </c>
      <c r="O1011" s="9" t="s">
        <v>3051</v>
      </c>
      <c r="P1011" s="9" t="s">
        <v>6019</v>
      </c>
      <c r="Q1011" s="58" t="s">
        <v>3545</v>
      </c>
      <c r="R1011" s="58">
        <v>4</v>
      </c>
      <c r="S1011" s="58">
        <v>7</v>
      </c>
      <c r="T1011" s="9" t="s">
        <v>6017</v>
      </c>
      <c r="U1011" s="9" t="s">
        <v>6020</v>
      </c>
      <c r="V1011" s="58">
        <v>4</v>
      </c>
      <c r="W1011" s="9"/>
      <c r="X1011" s="9"/>
      <c r="Y1011" s="9"/>
      <c r="Z1011" s="9"/>
    </row>
    <row r="1012" spans="1:26" ht="15.75" hidden="1" customHeight="1">
      <c r="A1012" s="9" t="s">
        <v>105</v>
      </c>
      <c r="B1012" s="9" t="s">
        <v>6021</v>
      </c>
      <c r="C1012" s="9" t="s">
        <v>106</v>
      </c>
      <c r="D1012" s="9" t="s">
        <v>439</v>
      </c>
      <c r="E1012" s="9"/>
      <c r="F1012" s="9"/>
      <c r="G1012" s="58">
        <v>6400</v>
      </c>
      <c r="H1012" s="85">
        <v>7.4999999999999997E-2</v>
      </c>
      <c r="I1012" s="9">
        <v>150</v>
      </c>
      <c r="J1012" s="9"/>
      <c r="K1012" s="9"/>
      <c r="L1012" s="9"/>
      <c r="M1012" s="9"/>
      <c r="N1012" s="9" t="s">
        <v>3189</v>
      </c>
      <c r="O1012" s="9" t="s">
        <v>3051</v>
      </c>
      <c r="P1012" s="9" t="s">
        <v>3190</v>
      </c>
      <c r="Q1012" s="58" t="s">
        <v>3185</v>
      </c>
      <c r="R1012" s="58">
        <v>1</v>
      </c>
      <c r="S1012" s="58">
        <v>8</v>
      </c>
      <c r="T1012" s="9" t="s">
        <v>3065</v>
      </c>
      <c r="U1012" s="9" t="s">
        <v>6022</v>
      </c>
      <c r="V1012" s="58">
        <v>1</v>
      </c>
      <c r="W1012" s="9"/>
      <c r="X1012" s="9"/>
      <c r="Y1012" s="9"/>
      <c r="Z1012" s="9"/>
    </row>
    <row r="1013" spans="1:26" ht="15.75" hidden="1" customHeight="1">
      <c r="A1013" s="9" t="s">
        <v>105</v>
      </c>
      <c r="B1013" s="9" t="s">
        <v>6021</v>
      </c>
      <c r="C1013" s="9" t="s">
        <v>106</v>
      </c>
      <c r="D1013" s="9" t="s">
        <v>368</v>
      </c>
      <c r="E1013" s="9" t="s">
        <v>3402</v>
      </c>
      <c r="F1013" s="58" t="s">
        <v>3057</v>
      </c>
      <c r="G1013" s="58">
        <v>3850</v>
      </c>
      <c r="H1013" s="85">
        <v>0.43636363636363601</v>
      </c>
      <c r="I1013" s="9">
        <v>150</v>
      </c>
      <c r="J1013" s="9"/>
      <c r="K1013" s="9"/>
      <c r="L1013" s="9"/>
      <c r="M1013" s="9"/>
      <c r="N1013" s="9" t="s">
        <v>3189</v>
      </c>
      <c r="O1013" s="9" t="s">
        <v>3051</v>
      </c>
      <c r="P1013" s="9" t="s">
        <v>6023</v>
      </c>
      <c r="Q1013" s="58" t="s">
        <v>3226</v>
      </c>
      <c r="R1013" s="58">
        <v>4</v>
      </c>
      <c r="S1013" s="58">
        <v>7</v>
      </c>
      <c r="T1013" s="9" t="s">
        <v>3065</v>
      </c>
      <c r="U1013" s="9" t="s">
        <v>6024</v>
      </c>
      <c r="V1013" s="58">
        <v>4</v>
      </c>
      <c r="W1013" s="9"/>
      <c r="X1013" s="9"/>
      <c r="Y1013" s="9"/>
      <c r="Z1013" s="9"/>
    </row>
    <row r="1014" spans="1:26" ht="15.75" hidden="1" customHeight="1">
      <c r="A1014" s="9" t="s">
        <v>2122</v>
      </c>
      <c r="B1014" s="9" t="s">
        <v>6025</v>
      </c>
      <c r="C1014" s="9" t="s">
        <v>490</v>
      </c>
      <c r="D1014" s="9" t="s">
        <v>439</v>
      </c>
      <c r="E1014" s="9"/>
      <c r="F1014" s="9"/>
      <c r="G1014" s="58">
        <v>8000</v>
      </c>
      <c r="H1014" s="85">
        <v>0.06</v>
      </c>
      <c r="I1014" s="9">
        <v>136.80000000000001</v>
      </c>
      <c r="J1014" s="9"/>
      <c r="K1014" s="9"/>
      <c r="L1014" s="9"/>
      <c r="M1014" s="9"/>
      <c r="N1014" s="9" t="s">
        <v>6026</v>
      </c>
      <c r="O1014" s="9" t="s">
        <v>3051</v>
      </c>
      <c r="P1014" s="9" t="s">
        <v>3415</v>
      </c>
      <c r="Q1014" s="58" t="s">
        <v>3167</v>
      </c>
      <c r="R1014" s="9">
        <v>1</v>
      </c>
      <c r="S1014" s="9">
        <v>8</v>
      </c>
      <c r="T1014" s="9" t="s">
        <v>6027</v>
      </c>
      <c r="U1014" s="9" t="s">
        <v>6028</v>
      </c>
      <c r="V1014" s="9">
        <v>1</v>
      </c>
      <c r="W1014" s="9"/>
      <c r="X1014" s="9"/>
      <c r="Y1014" s="9"/>
      <c r="Z1014" s="9"/>
    </row>
    <row r="1015" spans="1:26" ht="15.75" hidden="1" customHeight="1">
      <c r="A1015" s="9" t="s">
        <v>2122</v>
      </c>
      <c r="B1015" s="9" t="s">
        <v>6025</v>
      </c>
      <c r="C1015" s="9" t="s">
        <v>490</v>
      </c>
      <c r="D1015" s="9" t="s">
        <v>368</v>
      </c>
      <c r="E1015" s="9" t="s">
        <v>3402</v>
      </c>
      <c r="F1015" s="58" t="s">
        <v>3057</v>
      </c>
      <c r="G1015" s="58">
        <v>3500</v>
      </c>
      <c r="H1015" s="85">
        <v>0.48</v>
      </c>
      <c r="I1015" s="9">
        <v>136.80000000000001</v>
      </c>
      <c r="J1015" s="9"/>
      <c r="K1015" s="9"/>
      <c r="L1015" s="9"/>
      <c r="M1015" s="9"/>
      <c r="N1015" s="9" t="s">
        <v>6026</v>
      </c>
      <c r="O1015" s="9" t="s">
        <v>3051</v>
      </c>
      <c r="P1015" s="9" t="s">
        <v>6029</v>
      </c>
      <c r="Q1015" s="58" t="s">
        <v>3361</v>
      </c>
      <c r="R1015" s="9">
        <v>4</v>
      </c>
      <c r="S1015" s="9">
        <v>7</v>
      </c>
      <c r="T1015" s="9" t="s">
        <v>6027</v>
      </c>
      <c r="U1015" s="9" t="s">
        <v>6030</v>
      </c>
      <c r="V1015" s="9">
        <v>4</v>
      </c>
      <c r="W1015" s="9"/>
      <c r="X1015" s="9"/>
      <c r="Y1015" s="9"/>
      <c r="Z1015" s="9"/>
    </row>
    <row r="1016" spans="1:26" ht="15.75" hidden="1" customHeight="1">
      <c r="A1016" s="9" t="s">
        <v>2126</v>
      </c>
      <c r="B1016" s="9" t="s">
        <v>6031</v>
      </c>
      <c r="C1016" s="9" t="s">
        <v>460</v>
      </c>
      <c r="D1016" s="9" t="s">
        <v>439</v>
      </c>
      <c r="E1016" s="9"/>
      <c r="F1016" s="9"/>
      <c r="G1016" s="58">
        <v>6400</v>
      </c>
      <c r="H1016" s="85">
        <v>7.4999999999999997E-2</v>
      </c>
      <c r="I1016" s="9" t="s">
        <v>6032</v>
      </c>
      <c r="J1016" s="9"/>
      <c r="K1016" s="9"/>
      <c r="L1016" s="9"/>
      <c r="M1016" s="9"/>
      <c r="N1016" s="9" t="s">
        <v>6033</v>
      </c>
      <c r="O1016" s="9" t="s">
        <v>3051</v>
      </c>
      <c r="P1016" s="9" t="s">
        <v>3190</v>
      </c>
      <c r="Q1016" s="58" t="s">
        <v>3185</v>
      </c>
      <c r="R1016" s="58">
        <v>1</v>
      </c>
      <c r="S1016" s="58">
        <v>8</v>
      </c>
      <c r="T1016" s="9" t="s">
        <v>5684</v>
      </c>
      <c r="U1016" s="9" t="s">
        <v>6034</v>
      </c>
      <c r="V1016" s="58">
        <v>1</v>
      </c>
      <c r="W1016" s="9"/>
      <c r="X1016" s="9"/>
      <c r="Y1016" s="9"/>
      <c r="Z1016" s="9"/>
    </row>
    <row r="1017" spans="1:26" ht="15.75" hidden="1" customHeight="1">
      <c r="A1017" s="9" t="s">
        <v>2126</v>
      </c>
      <c r="B1017" s="9" t="s">
        <v>6031</v>
      </c>
      <c r="C1017" s="9" t="s">
        <v>460</v>
      </c>
      <c r="D1017" s="9" t="s">
        <v>368</v>
      </c>
      <c r="E1017" s="9" t="s">
        <v>3067</v>
      </c>
      <c r="F1017" s="58" t="s">
        <v>3057</v>
      </c>
      <c r="G1017" s="58">
        <v>9100</v>
      </c>
      <c r="H1017" s="85">
        <v>0.18461538461538399</v>
      </c>
      <c r="I1017" s="9" t="s">
        <v>6032</v>
      </c>
      <c r="J1017" s="9"/>
      <c r="K1017" s="9"/>
      <c r="L1017" s="9"/>
      <c r="M1017" s="9"/>
      <c r="N1017" s="9" t="s">
        <v>6033</v>
      </c>
      <c r="O1017" s="9" t="s">
        <v>3051</v>
      </c>
      <c r="P1017" s="9" t="s">
        <v>6035</v>
      </c>
      <c r="Q1017" s="58" t="s">
        <v>3064</v>
      </c>
      <c r="R1017" s="58">
        <v>4</v>
      </c>
      <c r="S1017" s="58">
        <v>7</v>
      </c>
      <c r="T1017" s="9" t="s">
        <v>5684</v>
      </c>
      <c r="U1017" s="9" t="s">
        <v>6036</v>
      </c>
      <c r="V1017" s="58">
        <v>4</v>
      </c>
      <c r="W1017" s="9"/>
      <c r="X1017" s="9"/>
      <c r="Y1017" s="9"/>
      <c r="Z1017" s="9"/>
    </row>
    <row r="1018" spans="1:26" ht="15.75" customHeight="1">
      <c r="A1018" s="9" t="s">
        <v>2601</v>
      </c>
      <c r="B1018" s="9" t="s">
        <v>6037</v>
      </c>
      <c r="C1018" s="9" t="s">
        <v>2602</v>
      </c>
      <c r="D1018" s="9" t="s">
        <v>439</v>
      </c>
      <c r="E1018" s="9"/>
      <c r="F1018" s="9"/>
      <c r="G1018" s="58">
        <v>7200</v>
      </c>
      <c r="H1018" s="85">
        <v>6.6666666666666596E-2</v>
      </c>
      <c r="I1018" s="9">
        <v>30.6</v>
      </c>
      <c r="J1018" s="9"/>
      <c r="K1018" s="9"/>
      <c r="L1018" s="9"/>
      <c r="M1018" s="9"/>
      <c r="N1018" s="9" t="s">
        <v>6038</v>
      </c>
      <c r="O1018" s="9" t="s">
        <v>3051</v>
      </c>
      <c r="P1018" s="9" t="s">
        <v>3644</v>
      </c>
      <c r="Q1018" s="58" t="s">
        <v>3069</v>
      </c>
      <c r="R1018" s="58">
        <v>1</v>
      </c>
      <c r="S1018" s="58">
        <v>8</v>
      </c>
      <c r="T1018" s="9" t="s">
        <v>4179</v>
      </c>
      <c r="U1018" s="9" t="s">
        <v>6039</v>
      </c>
      <c r="V1018" s="58">
        <v>1</v>
      </c>
      <c r="W1018" s="9"/>
      <c r="X1018" s="9"/>
      <c r="Y1018" s="9"/>
      <c r="Z1018" s="9"/>
    </row>
    <row r="1019" spans="1:26" ht="15.75" customHeight="1">
      <c r="A1019" s="9" t="s">
        <v>2601</v>
      </c>
      <c r="B1019" s="9" t="s">
        <v>6037</v>
      </c>
      <c r="C1019" s="9" t="s">
        <v>2602</v>
      </c>
      <c r="D1019" s="9" t="s">
        <v>368</v>
      </c>
      <c r="E1019" s="9" t="s">
        <v>3402</v>
      </c>
      <c r="F1019" s="58" t="s">
        <v>3057</v>
      </c>
      <c r="G1019" s="58">
        <v>9800</v>
      </c>
      <c r="H1019" s="85">
        <v>0.17142857142857101</v>
      </c>
      <c r="I1019" s="9">
        <v>30.6</v>
      </c>
      <c r="J1019" s="9"/>
      <c r="K1019" s="9"/>
      <c r="L1019" s="9"/>
      <c r="M1019" s="9"/>
      <c r="N1019" s="9" t="s">
        <v>6038</v>
      </c>
      <c r="O1019" s="9" t="s">
        <v>3051</v>
      </c>
      <c r="P1019" s="9" t="s">
        <v>6040</v>
      </c>
      <c r="Q1019" s="58" t="s">
        <v>3294</v>
      </c>
      <c r="R1019" s="58">
        <v>4</v>
      </c>
      <c r="S1019" s="58">
        <v>7</v>
      </c>
      <c r="T1019" s="9" t="s">
        <v>4179</v>
      </c>
      <c r="U1019" s="9" t="s">
        <v>6041</v>
      </c>
      <c r="V1019" s="58">
        <v>4</v>
      </c>
      <c r="W1019" s="9"/>
      <c r="X1019" s="9"/>
      <c r="Y1019" s="9"/>
      <c r="Z1019" s="9"/>
    </row>
    <row r="1020" spans="1:26" ht="15.75" customHeight="1">
      <c r="A1020" s="9" t="s">
        <v>2592</v>
      </c>
      <c r="B1020" s="9" t="s">
        <v>4187</v>
      </c>
      <c r="C1020" s="9" t="s">
        <v>2593</v>
      </c>
      <c r="D1020" s="9" t="s">
        <v>439</v>
      </c>
      <c r="E1020" s="9"/>
      <c r="F1020" s="9"/>
      <c r="G1020" s="58">
        <v>6400</v>
      </c>
      <c r="H1020" s="85">
        <v>7.4999999999999997E-2</v>
      </c>
      <c r="I1020" s="9">
        <v>29.7</v>
      </c>
      <c r="J1020" s="9"/>
      <c r="K1020" s="9"/>
      <c r="L1020" s="9"/>
      <c r="M1020" s="9"/>
      <c r="N1020" s="9" t="s">
        <v>4188</v>
      </c>
      <c r="O1020" s="9" t="s">
        <v>3081</v>
      </c>
      <c r="P1020" s="9" t="s">
        <v>3190</v>
      </c>
      <c r="Q1020" s="58" t="s">
        <v>3185</v>
      </c>
      <c r="R1020" s="58">
        <v>1</v>
      </c>
      <c r="S1020" s="58">
        <v>8</v>
      </c>
      <c r="T1020" s="9" t="s">
        <v>4179</v>
      </c>
      <c r="U1020" s="9" t="s">
        <v>4189</v>
      </c>
      <c r="V1020" s="58">
        <v>1</v>
      </c>
      <c r="W1020" s="9"/>
      <c r="X1020" s="9"/>
      <c r="Y1020" s="9"/>
      <c r="Z1020" s="9"/>
    </row>
    <row r="1021" spans="1:26" ht="15.75" customHeight="1">
      <c r="A1021" s="9" t="s">
        <v>2592</v>
      </c>
      <c r="B1021" s="9" t="s">
        <v>4187</v>
      </c>
      <c r="C1021" s="9" t="s">
        <v>2593</v>
      </c>
      <c r="D1021" s="9" t="s">
        <v>368</v>
      </c>
      <c r="E1021" s="9" t="s">
        <v>3092</v>
      </c>
      <c r="F1021" s="58" t="s">
        <v>3087</v>
      </c>
      <c r="G1021" s="58">
        <v>7000</v>
      </c>
      <c r="H1021" s="85">
        <v>0.24</v>
      </c>
      <c r="I1021" s="9">
        <v>29.7</v>
      </c>
      <c r="J1021" s="9"/>
      <c r="K1021" s="9"/>
      <c r="L1021" s="9"/>
      <c r="M1021" s="9"/>
      <c r="N1021" s="9" t="s">
        <v>4188</v>
      </c>
      <c r="O1021" s="9" t="s">
        <v>3081</v>
      </c>
      <c r="P1021" s="9" t="s">
        <v>4190</v>
      </c>
      <c r="Q1021" s="58" t="s">
        <v>3167</v>
      </c>
      <c r="R1021" s="58">
        <v>4</v>
      </c>
      <c r="S1021" s="58">
        <v>7</v>
      </c>
      <c r="T1021" s="9" t="s">
        <v>4179</v>
      </c>
      <c r="U1021" s="9" t="s">
        <v>4191</v>
      </c>
      <c r="V1021" s="58">
        <v>4</v>
      </c>
      <c r="W1021" s="9"/>
      <c r="X1021" s="9"/>
      <c r="Y1021" s="9"/>
      <c r="Z1021" s="9"/>
    </row>
    <row r="1022" spans="1:26" ht="15.75" customHeight="1">
      <c r="A1022" s="9" t="s">
        <v>2093</v>
      </c>
      <c r="B1022" s="9" t="s">
        <v>6042</v>
      </c>
      <c r="C1022" s="9" t="s">
        <v>2094</v>
      </c>
      <c r="D1022" s="9" t="s">
        <v>439</v>
      </c>
      <c r="E1022" s="9"/>
      <c r="F1022" s="9"/>
      <c r="G1022" s="58">
        <v>12800</v>
      </c>
      <c r="H1022" s="85">
        <v>3.7499999999999999E-2</v>
      </c>
      <c r="I1022" s="9">
        <v>6.2</v>
      </c>
      <c r="J1022" s="9"/>
      <c r="K1022" s="9"/>
      <c r="L1022" s="9"/>
      <c r="M1022" s="9"/>
      <c r="N1022" s="9" t="s">
        <v>3130</v>
      </c>
      <c r="O1022" s="9" t="s">
        <v>3258</v>
      </c>
      <c r="P1022" s="9" t="s">
        <v>3650</v>
      </c>
      <c r="Q1022" s="58" t="s">
        <v>3545</v>
      </c>
      <c r="R1022" s="58">
        <v>1</v>
      </c>
      <c r="S1022" s="58">
        <v>8</v>
      </c>
      <c r="T1022" s="9" t="s">
        <v>3065</v>
      </c>
      <c r="U1022" s="9" t="s">
        <v>6043</v>
      </c>
      <c r="V1022" s="58">
        <v>1</v>
      </c>
      <c r="W1022" s="9"/>
      <c r="X1022" s="9"/>
      <c r="Y1022" s="9"/>
      <c r="Z1022" s="9"/>
    </row>
    <row r="1023" spans="1:26" ht="15.75" customHeight="1">
      <c r="A1023" s="9" t="s">
        <v>2093</v>
      </c>
      <c r="B1023" s="9" t="s">
        <v>6042</v>
      </c>
      <c r="C1023" s="9" t="s">
        <v>2094</v>
      </c>
      <c r="D1023" s="9" t="s">
        <v>368</v>
      </c>
      <c r="E1023" s="9" t="s">
        <v>3067</v>
      </c>
      <c r="F1023" s="58" t="s">
        <v>3057</v>
      </c>
      <c r="G1023" s="58">
        <v>14000</v>
      </c>
      <c r="H1023" s="85">
        <v>0.12</v>
      </c>
      <c r="I1023" s="9">
        <v>6.2</v>
      </c>
      <c r="J1023" s="9"/>
      <c r="K1023" s="9"/>
      <c r="L1023" s="9"/>
      <c r="M1023" s="9"/>
      <c r="N1023" s="9" t="s">
        <v>3130</v>
      </c>
      <c r="O1023" s="9" t="s">
        <v>3258</v>
      </c>
      <c r="P1023" s="9" t="s">
        <v>6044</v>
      </c>
      <c r="Q1023" s="58" t="s">
        <v>3462</v>
      </c>
      <c r="R1023" s="58">
        <v>4</v>
      </c>
      <c r="S1023" s="58">
        <v>7</v>
      </c>
      <c r="T1023" s="9" t="s">
        <v>3065</v>
      </c>
      <c r="U1023" s="9" t="s">
        <v>6045</v>
      </c>
      <c r="V1023" s="58">
        <v>4</v>
      </c>
      <c r="W1023" s="9"/>
      <c r="X1023" s="9"/>
      <c r="Y1023" s="9"/>
      <c r="Z1023" s="9"/>
    </row>
    <row r="1024" spans="1:26" ht="15.75" customHeight="1">
      <c r="A1024" s="9" t="s">
        <v>6046</v>
      </c>
      <c r="B1024" s="9" t="s">
        <v>6047</v>
      </c>
      <c r="C1024" s="9" t="s">
        <v>6048</v>
      </c>
      <c r="D1024" s="9" t="s">
        <v>368</v>
      </c>
      <c r="E1024" s="9" t="s">
        <v>3092</v>
      </c>
      <c r="F1024" s="58" t="s">
        <v>3087</v>
      </c>
      <c r="G1024" s="58">
        <v>6300</v>
      </c>
      <c r="H1024" s="85">
        <v>0.266666666666666</v>
      </c>
      <c r="I1024" s="9"/>
      <c r="J1024" s="9"/>
      <c r="K1024" s="9"/>
      <c r="L1024" s="9"/>
      <c r="M1024" s="9"/>
      <c r="N1024" s="9" t="s">
        <v>3691</v>
      </c>
      <c r="O1024" s="9" t="s">
        <v>3081</v>
      </c>
      <c r="P1024" s="9" t="s">
        <v>6049</v>
      </c>
      <c r="Q1024" s="58" t="s">
        <v>3069</v>
      </c>
      <c r="R1024" s="58">
        <v>4</v>
      </c>
      <c r="S1024" s="58">
        <v>7</v>
      </c>
      <c r="T1024" s="9" t="s">
        <v>6050</v>
      </c>
      <c r="U1024" s="9" t="s">
        <v>6051</v>
      </c>
      <c r="V1024" s="58">
        <v>4</v>
      </c>
      <c r="W1024" s="9"/>
      <c r="X1024" s="9"/>
      <c r="Y1024" s="9"/>
      <c r="Z1024" s="9"/>
    </row>
    <row r="1025" spans="1:26" ht="15.75" customHeight="1">
      <c r="A1025" s="9" t="s">
        <v>6052</v>
      </c>
      <c r="B1025" s="9" t="s">
        <v>6053</v>
      </c>
      <c r="C1025" s="9" t="s">
        <v>6054</v>
      </c>
      <c r="D1025" s="9" t="s">
        <v>439</v>
      </c>
      <c r="E1025" s="9"/>
      <c r="F1025" s="9"/>
      <c r="G1025" s="58">
        <v>12000</v>
      </c>
      <c r="H1025" s="85">
        <v>0.04</v>
      </c>
      <c r="I1025" s="9">
        <v>11</v>
      </c>
      <c r="J1025" s="9"/>
      <c r="K1025" s="9"/>
      <c r="L1025" s="9"/>
      <c r="M1025" s="9"/>
      <c r="N1025" s="9" t="s">
        <v>6055</v>
      </c>
      <c r="O1025" s="9" t="s">
        <v>3051</v>
      </c>
      <c r="P1025" s="9" t="s">
        <v>3251</v>
      </c>
      <c r="Q1025" s="58" t="s">
        <v>3143</v>
      </c>
      <c r="R1025" s="58">
        <v>1</v>
      </c>
      <c r="S1025" s="58">
        <v>8</v>
      </c>
      <c r="T1025" s="9" t="s">
        <v>6056</v>
      </c>
      <c r="U1025" s="9" t="s">
        <v>6057</v>
      </c>
      <c r="V1025" s="58">
        <v>1</v>
      </c>
      <c r="W1025" s="9"/>
      <c r="X1025" s="9"/>
      <c r="Y1025" s="9"/>
      <c r="Z1025" s="9"/>
    </row>
    <row r="1026" spans="1:26" ht="15.75" customHeight="1">
      <c r="A1026" s="9" t="s">
        <v>6052</v>
      </c>
      <c r="B1026" s="9" t="s">
        <v>6053</v>
      </c>
      <c r="C1026" s="9" t="s">
        <v>6054</v>
      </c>
      <c r="D1026" s="9" t="s">
        <v>368</v>
      </c>
      <c r="E1026" s="9" t="s">
        <v>3150</v>
      </c>
      <c r="F1026" s="58" t="s">
        <v>3057</v>
      </c>
      <c r="G1026" s="58">
        <v>9800</v>
      </c>
      <c r="H1026" s="85">
        <v>0.128571428571428</v>
      </c>
      <c r="I1026" s="9">
        <v>11</v>
      </c>
      <c r="J1026" s="9"/>
      <c r="K1026" s="9"/>
      <c r="L1026" s="9"/>
      <c r="M1026" s="9"/>
      <c r="N1026" s="9" t="s">
        <v>6055</v>
      </c>
      <c r="O1026" s="9" t="s">
        <v>3051</v>
      </c>
      <c r="P1026" s="9" t="s">
        <v>6058</v>
      </c>
      <c r="Q1026" s="58" t="s">
        <v>3294</v>
      </c>
      <c r="R1026" s="58">
        <v>3</v>
      </c>
      <c r="S1026" s="58">
        <v>7</v>
      </c>
      <c r="T1026" s="9" t="s">
        <v>6056</v>
      </c>
      <c r="U1026" s="9" t="s">
        <v>6059</v>
      </c>
      <c r="V1026" s="58">
        <v>3</v>
      </c>
      <c r="W1026" s="9"/>
      <c r="X1026" s="9"/>
      <c r="Y1026" s="9"/>
      <c r="Z1026" s="9"/>
    </row>
    <row r="1027" spans="1:26" ht="15.75" customHeight="1">
      <c r="A1027" s="9" t="s">
        <v>2619</v>
      </c>
      <c r="B1027" s="9" t="s">
        <v>6060</v>
      </c>
      <c r="C1027" s="9" t="s">
        <v>2621</v>
      </c>
      <c r="D1027" s="9" t="s">
        <v>439</v>
      </c>
      <c r="E1027" s="9"/>
      <c r="F1027" s="9"/>
      <c r="G1027" s="58">
        <v>15200</v>
      </c>
      <c r="H1027" s="85">
        <v>3.1578947368420998E-2</v>
      </c>
      <c r="I1027" s="9">
        <v>11</v>
      </c>
      <c r="J1027" s="9"/>
      <c r="K1027" s="9"/>
      <c r="L1027" s="9"/>
      <c r="M1027" s="9"/>
      <c r="N1027" s="9" t="s">
        <v>5340</v>
      </c>
      <c r="O1027" s="9" t="s">
        <v>3051</v>
      </c>
      <c r="P1027" s="9" t="s">
        <v>6061</v>
      </c>
      <c r="Q1027" s="58" t="s">
        <v>6062</v>
      </c>
      <c r="R1027" s="58">
        <v>1</v>
      </c>
      <c r="S1027" s="58">
        <v>8</v>
      </c>
      <c r="T1027" s="9" t="s">
        <v>6063</v>
      </c>
      <c r="U1027" s="9" t="s">
        <v>6064</v>
      </c>
      <c r="V1027" s="58">
        <v>1</v>
      </c>
      <c r="W1027" s="9"/>
      <c r="X1027" s="9"/>
      <c r="Y1027" s="9"/>
      <c r="Z1027" s="9"/>
    </row>
    <row r="1028" spans="1:26" ht="15.75" customHeight="1">
      <c r="A1028" s="9" t="s">
        <v>2619</v>
      </c>
      <c r="B1028" s="9" t="s">
        <v>6060</v>
      </c>
      <c r="C1028" s="9" t="s">
        <v>2621</v>
      </c>
      <c r="D1028" s="9" t="s">
        <v>368</v>
      </c>
      <c r="E1028" s="9" t="s">
        <v>3150</v>
      </c>
      <c r="F1028" s="58" t="s">
        <v>3057</v>
      </c>
      <c r="G1028" s="58">
        <v>8750</v>
      </c>
      <c r="H1028" s="85">
        <v>0.14399999999999999</v>
      </c>
      <c r="I1028" s="9">
        <v>11</v>
      </c>
      <c r="J1028" s="9"/>
      <c r="K1028" s="9"/>
      <c r="L1028" s="9"/>
      <c r="M1028" s="9"/>
      <c r="N1028" s="9" t="s">
        <v>5340</v>
      </c>
      <c r="O1028" s="9" t="s">
        <v>3051</v>
      </c>
      <c r="P1028" s="9" t="s">
        <v>6065</v>
      </c>
      <c r="Q1028" s="58" t="s">
        <v>5114</v>
      </c>
      <c r="R1028" s="58">
        <v>3</v>
      </c>
      <c r="S1028" s="58">
        <v>7</v>
      </c>
      <c r="T1028" s="9" t="s">
        <v>6063</v>
      </c>
      <c r="U1028" s="9" t="s">
        <v>6066</v>
      </c>
      <c r="V1028" s="58">
        <v>3</v>
      </c>
      <c r="W1028" s="9"/>
      <c r="X1028" s="9"/>
      <c r="Y1028" s="9"/>
      <c r="Z1028" s="9"/>
    </row>
    <row r="1029" spans="1:26" ht="15.75" customHeight="1">
      <c r="A1029" s="9" t="s">
        <v>2619</v>
      </c>
      <c r="B1029" s="9" t="s">
        <v>6060</v>
      </c>
      <c r="C1029" s="9" t="s">
        <v>2621</v>
      </c>
      <c r="D1029" s="9" t="s">
        <v>526</v>
      </c>
      <c r="E1029" s="9" t="s">
        <v>6067</v>
      </c>
      <c r="F1029" s="58" t="s">
        <v>3057</v>
      </c>
      <c r="G1029" s="58">
        <v>10500</v>
      </c>
      <c r="H1029" s="85">
        <v>0.04</v>
      </c>
      <c r="I1029" s="9">
        <v>11</v>
      </c>
      <c r="J1029" s="9"/>
      <c r="K1029" s="9"/>
      <c r="L1029" s="9"/>
      <c r="M1029" s="9"/>
      <c r="N1029" s="9" t="s">
        <v>5340</v>
      </c>
      <c r="O1029" s="9" t="s">
        <v>3051</v>
      </c>
      <c r="P1029" s="9" t="s">
        <v>6068</v>
      </c>
      <c r="Q1029" s="58" t="s">
        <v>3143</v>
      </c>
      <c r="R1029" s="58">
        <v>1</v>
      </c>
      <c r="S1029" s="58">
        <v>7</v>
      </c>
      <c r="T1029" s="9" t="s">
        <v>6063</v>
      </c>
      <c r="U1029" s="9" t="s">
        <v>6069</v>
      </c>
      <c r="V1029" s="58">
        <v>1</v>
      </c>
      <c r="W1029" s="9"/>
      <c r="X1029" s="9"/>
      <c r="Y1029" s="9"/>
      <c r="Z1029" s="9"/>
    </row>
    <row r="1030" spans="1:26" ht="15.75" customHeight="1">
      <c r="A1030" s="9" t="s">
        <v>2634</v>
      </c>
      <c r="B1030" s="9" t="s">
        <v>6070</v>
      </c>
      <c r="C1030" s="9" t="s">
        <v>2636</v>
      </c>
      <c r="D1030" s="9" t="s">
        <v>368</v>
      </c>
      <c r="E1030" s="9" t="s">
        <v>3092</v>
      </c>
      <c r="F1030" s="58" t="s">
        <v>3087</v>
      </c>
      <c r="G1030" s="58">
        <v>4550</v>
      </c>
      <c r="H1030" s="85">
        <v>0.27692307692307599</v>
      </c>
      <c r="I1030" s="9">
        <v>194</v>
      </c>
      <c r="J1030" s="9"/>
      <c r="K1030" s="9"/>
      <c r="L1030" s="9"/>
      <c r="M1030" s="9"/>
      <c r="N1030" s="9" t="s">
        <v>3691</v>
      </c>
      <c r="O1030" s="9" t="s">
        <v>3081</v>
      </c>
      <c r="P1030" s="9" t="s">
        <v>6071</v>
      </c>
      <c r="Q1030" s="58" t="s">
        <v>3687</v>
      </c>
      <c r="R1030" s="58">
        <v>3</v>
      </c>
      <c r="S1030" s="58">
        <v>7</v>
      </c>
      <c r="T1030" s="9" t="s">
        <v>3695</v>
      </c>
      <c r="U1030" s="9" t="s">
        <v>6072</v>
      </c>
      <c r="V1030" s="58">
        <v>3</v>
      </c>
      <c r="W1030" s="9"/>
      <c r="X1030" s="9"/>
      <c r="Y1030" s="9"/>
      <c r="Z1030" s="9"/>
    </row>
    <row r="1031" spans="1:26" ht="15.75" customHeight="1">
      <c r="A1031" s="9" t="s">
        <v>6073</v>
      </c>
      <c r="B1031" s="9" t="s">
        <v>6074</v>
      </c>
      <c r="C1031" s="9" t="s">
        <v>6075</v>
      </c>
      <c r="D1031" s="9" t="s">
        <v>368</v>
      </c>
      <c r="E1031" s="9" t="s">
        <v>3092</v>
      </c>
      <c r="F1031" s="58" t="s">
        <v>3087</v>
      </c>
      <c r="G1031" s="58">
        <v>4550</v>
      </c>
      <c r="H1031" s="85">
        <v>0.27692307692307599</v>
      </c>
      <c r="I1031" s="9"/>
      <c r="J1031" s="9"/>
      <c r="K1031" s="9"/>
      <c r="L1031" s="9"/>
      <c r="M1031" s="9"/>
      <c r="N1031" s="9" t="s">
        <v>3691</v>
      </c>
      <c r="O1031" s="9" t="s">
        <v>3081</v>
      </c>
      <c r="P1031" s="9" t="s">
        <v>6071</v>
      </c>
      <c r="Q1031" s="58" t="s">
        <v>3687</v>
      </c>
      <c r="R1031" s="58">
        <v>3</v>
      </c>
      <c r="S1031" s="58">
        <v>7</v>
      </c>
      <c r="T1031" s="9" t="s">
        <v>6076</v>
      </c>
      <c r="U1031" s="9" t="s">
        <v>6077</v>
      </c>
      <c r="V1031" s="58">
        <v>3</v>
      </c>
      <c r="W1031" s="9"/>
      <c r="X1031" s="9"/>
      <c r="Y1031" s="9"/>
      <c r="Z1031" s="9"/>
    </row>
    <row r="1032" spans="1:26" ht="15.75" customHeight="1">
      <c r="A1032" s="9" t="s">
        <v>2625</v>
      </c>
      <c r="B1032" s="9" t="s">
        <v>6078</v>
      </c>
      <c r="C1032" s="9" t="s">
        <v>2627</v>
      </c>
      <c r="D1032" s="9" t="s">
        <v>368</v>
      </c>
      <c r="E1032" s="9" t="s">
        <v>3092</v>
      </c>
      <c r="F1032" s="58" t="s">
        <v>3087</v>
      </c>
      <c r="G1032" s="58">
        <v>5950</v>
      </c>
      <c r="H1032" s="85">
        <v>0.28235294117646997</v>
      </c>
      <c r="I1032" s="9">
        <v>30.6</v>
      </c>
      <c r="J1032" s="9"/>
      <c r="K1032" s="9"/>
      <c r="L1032" s="9"/>
      <c r="M1032" s="9"/>
      <c r="N1032" s="9" t="s">
        <v>3691</v>
      </c>
      <c r="O1032" s="9" t="s">
        <v>3081</v>
      </c>
      <c r="P1032" s="9" t="s">
        <v>6079</v>
      </c>
      <c r="Q1032" s="58" t="s">
        <v>3132</v>
      </c>
      <c r="R1032" s="58">
        <v>4</v>
      </c>
      <c r="S1032" s="58">
        <v>7</v>
      </c>
      <c r="T1032" s="9" t="s">
        <v>6080</v>
      </c>
      <c r="U1032" s="9" t="s">
        <v>6081</v>
      </c>
      <c r="V1032" s="58">
        <v>4</v>
      </c>
      <c r="W1032" s="9"/>
      <c r="X1032" s="9"/>
      <c r="Y1032" s="9"/>
      <c r="Z1032" s="9"/>
    </row>
    <row r="1033" spans="1:26" ht="15.75" customHeight="1">
      <c r="A1033" s="9" t="s">
        <v>2637</v>
      </c>
      <c r="B1033" s="9" t="s">
        <v>6082</v>
      </c>
      <c r="C1033" s="9" t="s">
        <v>2639</v>
      </c>
      <c r="D1033" s="9" t="s">
        <v>439</v>
      </c>
      <c r="E1033" s="9"/>
      <c r="F1033" s="9"/>
      <c r="G1033" s="58">
        <v>9600</v>
      </c>
      <c r="H1033" s="85">
        <v>0.05</v>
      </c>
      <c r="I1033" s="9">
        <v>50.5</v>
      </c>
      <c r="J1033" s="9"/>
      <c r="K1033" s="9"/>
      <c r="L1033" s="9"/>
      <c r="M1033" s="9"/>
      <c r="N1033" s="9" t="s">
        <v>6083</v>
      </c>
      <c r="O1033" s="9" t="s">
        <v>3051</v>
      </c>
      <c r="P1033" s="9" t="s">
        <v>3111</v>
      </c>
      <c r="Q1033" s="58" t="s">
        <v>3074</v>
      </c>
      <c r="R1033" s="58">
        <v>1</v>
      </c>
      <c r="S1033" s="58">
        <v>8</v>
      </c>
      <c r="T1033" s="9" t="s">
        <v>6084</v>
      </c>
      <c r="U1033" s="9" t="s">
        <v>6085</v>
      </c>
      <c r="V1033" s="58">
        <v>1</v>
      </c>
      <c r="W1033" s="9"/>
      <c r="X1033" s="9"/>
      <c r="Y1033" s="9"/>
      <c r="Z1033" s="9"/>
    </row>
    <row r="1034" spans="1:26" ht="15.75" customHeight="1">
      <c r="A1034" s="9" t="s">
        <v>2637</v>
      </c>
      <c r="B1034" s="9" t="s">
        <v>6082</v>
      </c>
      <c r="C1034" s="9" t="s">
        <v>2639</v>
      </c>
      <c r="D1034" s="9" t="s">
        <v>368</v>
      </c>
      <c r="E1034" s="9" t="s">
        <v>6086</v>
      </c>
      <c r="F1034" s="58" t="s">
        <v>3057</v>
      </c>
      <c r="G1034" s="58">
        <v>7000</v>
      </c>
      <c r="H1034" s="85">
        <v>0.24</v>
      </c>
      <c r="I1034" s="9">
        <v>50.5</v>
      </c>
      <c r="J1034" s="9"/>
      <c r="K1034" s="9"/>
      <c r="L1034" s="9"/>
      <c r="M1034" s="9"/>
      <c r="N1034" s="9" t="s">
        <v>6083</v>
      </c>
      <c r="O1034" s="9" t="s">
        <v>3051</v>
      </c>
      <c r="P1034" s="9" t="s">
        <v>6087</v>
      </c>
      <c r="Q1034" s="58" t="s">
        <v>3167</v>
      </c>
      <c r="R1034" s="58">
        <v>4</v>
      </c>
      <c r="S1034" s="58">
        <v>7</v>
      </c>
      <c r="T1034" s="9" t="s">
        <v>6084</v>
      </c>
      <c r="U1034" s="9" t="s">
        <v>6088</v>
      </c>
      <c r="V1034" s="58">
        <v>4</v>
      </c>
      <c r="W1034" s="9"/>
      <c r="X1034" s="9"/>
      <c r="Y1034" s="9"/>
      <c r="Z1034" s="9"/>
    </row>
    <row r="1035" spans="1:26" ht="15.75" customHeight="1">
      <c r="A1035" s="9" t="s">
        <v>2630</v>
      </c>
      <c r="B1035" s="9" t="s">
        <v>6089</v>
      </c>
      <c r="C1035" s="9" t="s">
        <v>748</v>
      </c>
      <c r="D1035" s="9" t="s">
        <v>439</v>
      </c>
      <c r="E1035" s="9"/>
      <c r="F1035" s="9"/>
      <c r="G1035" s="58">
        <v>2400</v>
      </c>
      <c r="H1035" s="85">
        <v>0.2</v>
      </c>
      <c r="I1035" s="9">
        <v>10.1</v>
      </c>
      <c r="J1035" s="9"/>
      <c r="K1035" s="9"/>
      <c r="L1035" s="9"/>
      <c r="M1035" s="9">
        <v>0.2</v>
      </c>
      <c r="N1035" s="9" t="s">
        <v>3234</v>
      </c>
      <c r="O1035" s="9" t="s">
        <v>3051</v>
      </c>
      <c r="P1035" s="9" t="s">
        <v>6090</v>
      </c>
      <c r="Q1035" s="58" t="s">
        <v>3236</v>
      </c>
      <c r="R1035" s="58">
        <v>1</v>
      </c>
      <c r="S1035" s="58">
        <v>8</v>
      </c>
      <c r="T1035" s="9" t="s">
        <v>6091</v>
      </c>
      <c r="U1035" s="9" t="s">
        <v>6092</v>
      </c>
      <c r="V1035" s="58">
        <v>1</v>
      </c>
      <c r="W1035" s="9"/>
      <c r="X1035" s="9"/>
      <c r="Y1035" s="9"/>
      <c r="Z1035" s="9"/>
    </row>
    <row r="1036" spans="1:26" ht="15.75" customHeight="1">
      <c r="A1036" s="9" t="s">
        <v>2630</v>
      </c>
      <c r="B1036" s="9" t="s">
        <v>6089</v>
      </c>
      <c r="C1036" s="9" t="s">
        <v>748</v>
      </c>
      <c r="D1036" s="9" t="s">
        <v>368</v>
      </c>
      <c r="E1036" s="9" t="s">
        <v>3067</v>
      </c>
      <c r="F1036" s="58" t="s">
        <v>3057</v>
      </c>
      <c r="G1036" s="58">
        <v>2800</v>
      </c>
      <c r="H1036" s="85">
        <v>0.6</v>
      </c>
      <c r="I1036" s="9">
        <v>10.1</v>
      </c>
      <c r="J1036" s="9"/>
      <c r="K1036" s="9"/>
      <c r="L1036" s="9"/>
      <c r="M1036" s="9">
        <v>0.2</v>
      </c>
      <c r="N1036" s="9" t="s">
        <v>3234</v>
      </c>
      <c r="O1036" s="9" t="s">
        <v>3051</v>
      </c>
      <c r="P1036" s="9" t="s">
        <v>6093</v>
      </c>
      <c r="Q1036" s="58" t="s">
        <v>3240</v>
      </c>
      <c r="R1036" s="58">
        <v>4</v>
      </c>
      <c r="S1036" s="58">
        <v>7</v>
      </c>
      <c r="T1036" s="9" t="s">
        <v>6091</v>
      </c>
      <c r="U1036" s="9" t="s">
        <v>6094</v>
      </c>
      <c r="V1036" s="58">
        <v>4</v>
      </c>
      <c r="W1036" s="9"/>
      <c r="X1036" s="9"/>
      <c r="Y1036" s="9"/>
      <c r="Z1036" s="9"/>
    </row>
    <row r="1037" spans="1:26" ht="15.75" customHeight="1">
      <c r="A1037" s="9" t="s">
        <v>6095</v>
      </c>
      <c r="B1037" s="9" t="s">
        <v>6096</v>
      </c>
      <c r="C1037" s="9" t="s">
        <v>6097</v>
      </c>
      <c r="D1037" s="9" t="s">
        <v>439</v>
      </c>
      <c r="E1037" s="9"/>
      <c r="F1037" s="9"/>
      <c r="G1037" s="58">
        <v>8000</v>
      </c>
      <c r="H1037" s="85">
        <v>0.06</v>
      </c>
      <c r="I1037" s="9">
        <v>52.5</v>
      </c>
      <c r="J1037" s="9"/>
      <c r="K1037" s="9"/>
      <c r="L1037" s="9"/>
      <c r="M1037" s="9"/>
      <c r="N1037" s="9" t="s">
        <v>3105</v>
      </c>
      <c r="O1037" s="9" t="s">
        <v>3081</v>
      </c>
      <c r="P1037" s="9" t="s">
        <v>3583</v>
      </c>
      <c r="Q1037" s="58" t="s">
        <v>3167</v>
      </c>
      <c r="R1037" s="58">
        <v>1</v>
      </c>
      <c r="S1037" s="58">
        <v>8</v>
      </c>
      <c r="T1037" s="9" t="s">
        <v>6098</v>
      </c>
      <c r="U1037" s="9" t="s">
        <v>6099</v>
      </c>
      <c r="V1037" s="58">
        <v>1</v>
      </c>
      <c r="W1037" s="9"/>
      <c r="X1037" s="9"/>
      <c r="Y1037" s="9"/>
      <c r="Z1037" s="9"/>
    </row>
    <row r="1038" spans="1:26" ht="15.75" customHeight="1">
      <c r="A1038" s="9" t="s">
        <v>6095</v>
      </c>
      <c r="B1038" s="9" t="s">
        <v>6096</v>
      </c>
      <c r="C1038" s="9" t="s">
        <v>6097</v>
      </c>
      <c r="D1038" s="9" t="s">
        <v>368</v>
      </c>
      <c r="E1038" s="9" t="s">
        <v>3092</v>
      </c>
      <c r="F1038" s="58" t="s">
        <v>3087</v>
      </c>
      <c r="G1038" s="58">
        <v>5600</v>
      </c>
      <c r="H1038" s="85">
        <v>0.3</v>
      </c>
      <c r="I1038" s="9">
        <v>52.5</v>
      </c>
      <c r="J1038" s="9"/>
      <c r="K1038" s="9"/>
      <c r="L1038" s="9"/>
      <c r="M1038" s="9"/>
      <c r="N1038" s="9" t="s">
        <v>3105</v>
      </c>
      <c r="O1038" s="9" t="s">
        <v>3081</v>
      </c>
      <c r="P1038" s="9" t="s">
        <v>6100</v>
      </c>
      <c r="Q1038" s="58" t="s">
        <v>3185</v>
      </c>
      <c r="R1038" s="58">
        <v>4</v>
      </c>
      <c r="S1038" s="58">
        <v>7</v>
      </c>
      <c r="T1038" s="9" t="s">
        <v>6098</v>
      </c>
      <c r="U1038" s="9" t="s">
        <v>6101</v>
      </c>
      <c r="V1038" s="58">
        <v>4</v>
      </c>
      <c r="W1038" s="9"/>
      <c r="X1038" s="9"/>
      <c r="Y1038" s="9"/>
      <c r="Z1038" s="9"/>
    </row>
    <row r="1039" spans="1:26" ht="15.75" customHeight="1">
      <c r="A1039" s="9" t="s">
        <v>2649</v>
      </c>
      <c r="B1039" s="9" t="s">
        <v>6102</v>
      </c>
      <c r="C1039" s="9" t="s">
        <v>2651</v>
      </c>
      <c r="D1039" s="9" t="s">
        <v>439</v>
      </c>
      <c r="E1039" s="9"/>
      <c r="F1039" s="9"/>
      <c r="G1039" s="58">
        <v>4000</v>
      </c>
      <c r="H1039" s="85">
        <v>0.12</v>
      </c>
      <c r="I1039" s="9">
        <v>525</v>
      </c>
      <c r="J1039" s="9"/>
      <c r="K1039" s="9"/>
      <c r="L1039" s="9"/>
      <c r="M1039" s="9"/>
      <c r="N1039" s="9" t="s">
        <v>3224</v>
      </c>
      <c r="O1039" s="9" t="s">
        <v>3081</v>
      </c>
      <c r="P1039" s="9" t="s">
        <v>4735</v>
      </c>
      <c r="Q1039" s="58" t="s">
        <v>3361</v>
      </c>
      <c r="R1039" s="58">
        <v>1</v>
      </c>
      <c r="S1039" s="58">
        <v>8</v>
      </c>
      <c r="T1039" s="9" t="s">
        <v>6103</v>
      </c>
      <c r="U1039" s="9" t="s">
        <v>6104</v>
      </c>
      <c r="V1039" s="58">
        <v>1</v>
      </c>
      <c r="W1039" s="9"/>
      <c r="X1039" s="9"/>
      <c r="Y1039" s="9"/>
      <c r="Z1039" s="9"/>
    </row>
    <row r="1040" spans="1:26" ht="15.75" customHeight="1">
      <c r="A1040" s="9" t="s">
        <v>2649</v>
      </c>
      <c r="B1040" s="9" t="s">
        <v>6102</v>
      </c>
      <c r="C1040" s="9" t="s">
        <v>2651</v>
      </c>
      <c r="D1040" s="9" t="s">
        <v>368</v>
      </c>
      <c r="E1040" s="9" t="s">
        <v>3229</v>
      </c>
      <c r="F1040" s="58" t="s">
        <v>3087</v>
      </c>
      <c r="G1040" s="58">
        <v>1050</v>
      </c>
      <c r="H1040" s="85">
        <v>1.2</v>
      </c>
      <c r="I1040" s="9">
        <v>525</v>
      </c>
      <c r="J1040" s="9"/>
      <c r="K1040" s="9"/>
      <c r="L1040" s="9"/>
      <c r="M1040" s="9"/>
      <c r="N1040" s="9" t="s">
        <v>3224</v>
      </c>
      <c r="O1040" s="9" t="s">
        <v>3081</v>
      </c>
      <c r="P1040" s="9" t="s">
        <v>6105</v>
      </c>
      <c r="Q1040" s="58" t="s">
        <v>4947</v>
      </c>
      <c r="R1040" s="58">
        <v>3</v>
      </c>
      <c r="S1040" s="58">
        <v>7</v>
      </c>
      <c r="T1040" s="9" t="s">
        <v>6103</v>
      </c>
      <c r="U1040" s="9" t="s">
        <v>6106</v>
      </c>
      <c r="V1040" s="58">
        <v>3</v>
      </c>
      <c r="W1040" s="9"/>
      <c r="X1040" s="9"/>
      <c r="Y1040" s="9"/>
      <c r="Z1040" s="9"/>
    </row>
    <row r="1041" spans="1:26" ht="15.75" customHeight="1">
      <c r="A1041" s="9" t="s">
        <v>2616</v>
      </c>
      <c r="B1041" s="9" t="s">
        <v>6107</v>
      </c>
      <c r="C1041" s="9" t="s">
        <v>2618</v>
      </c>
      <c r="D1041" s="9" t="s">
        <v>439</v>
      </c>
      <c r="E1041" s="9"/>
      <c r="F1041" s="9"/>
      <c r="G1041" s="58">
        <v>4800</v>
      </c>
      <c r="H1041" s="85">
        <v>0.1</v>
      </c>
      <c r="I1041" s="9">
        <v>145</v>
      </c>
      <c r="J1041" s="9"/>
      <c r="K1041" s="9"/>
      <c r="L1041" s="9"/>
      <c r="M1041" s="9"/>
      <c r="N1041" s="9" t="s">
        <v>6108</v>
      </c>
      <c r="O1041" s="9" t="s">
        <v>3081</v>
      </c>
      <c r="P1041" s="9" t="s">
        <v>4499</v>
      </c>
      <c r="Q1041" s="58" t="s">
        <v>3122</v>
      </c>
      <c r="R1041" s="58">
        <v>1</v>
      </c>
      <c r="S1041" s="58">
        <v>8</v>
      </c>
      <c r="T1041" s="9" t="s">
        <v>3065</v>
      </c>
      <c r="U1041" s="9" t="s">
        <v>6109</v>
      </c>
      <c r="V1041" s="58">
        <v>1</v>
      </c>
      <c r="W1041" s="9"/>
      <c r="X1041" s="9"/>
      <c r="Y1041" s="9"/>
      <c r="Z1041" s="9"/>
    </row>
    <row r="1042" spans="1:26" ht="15.75" customHeight="1">
      <c r="A1042" s="9" t="s">
        <v>2616</v>
      </c>
      <c r="B1042" s="9" t="s">
        <v>6107</v>
      </c>
      <c r="C1042" s="9" t="s">
        <v>2618</v>
      </c>
      <c r="D1042" s="9" t="s">
        <v>368</v>
      </c>
      <c r="E1042" s="9" t="s">
        <v>4902</v>
      </c>
      <c r="F1042" s="58" t="s">
        <v>3087</v>
      </c>
      <c r="G1042" s="58">
        <v>4200</v>
      </c>
      <c r="H1042" s="85">
        <v>0.4</v>
      </c>
      <c r="I1042" s="9">
        <v>145</v>
      </c>
      <c r="J1042" s="9"/>
      <c r="K1042" s="9"/>
      <c r="L1042" s="9"/>
      <c r="M1042" s="9"/>
      <c r="N1042" s="9" t="s">
        <v>6108</v>
      </c>
      <c r="O1042" s="9" t="s">
        <v>3081</v>
      </c>
      <c r="P1042" s="9" t="s">
        <v>5633</v>
      </c>
      <c r="Q1042" s="58" t="s">
        <v>3122</v>
      </c>
      <c r="R1042" s="58">
        <v>4</v>
      </c>
      <c r="S1042" s="58">
        <v>7</v>
      </c>
      <c r="T1042" s="9" t="s">
        <v>3065</v>
      </c>
      <c r="U1042" s="9" t="s">
        <v>6110</v>
      </c>
      <c r="V1042" s="58">
        <v>4</v>
      </c>
      <c r="W1042" s="9"/>
      <c r="X1042" s="9"/>
      <c r="Y1042" s="9"/>
      <c r="Z1042" s="9"/>
    </row>
    <row r="1043" spans="1:26" ht="15.75" customHeight="1">
      <c r="A1043" s="9" t="s">
        <v>2616</v>
      </c>
      <c r="B1043" s="9" t="s">
        <v>6107</v>
      </c>
      <c r="C1043" s="9" t="s">
        <v>2618</v>
      </c>
      <c r="D1043" s="9" t="s">
        <v>526</v>
      </c>
      <c r="E1043" s="9"/>
      <c r="F1043" s="58" t="s">
        <v>3087</v>
      </c>
      <c r="G1043" s="58">
        <v>3500</v>
      </c>
      <c r="H1043" s="85">
        <v>0.12</v>
      </c>
      <c r="I1043" s="9">
        <v>145</v>
      </c>
      <c r="J1043" s="9"/>
      <c r="K1043" s="9"/>
      <c r="L1043" s="9"/>
      <c r="M1043" s="9"/>
      <c r="N1043" s="9" t="s">
        <v>6108</v>
      </c>
      <c r="O1043" s="9" t="s">
        <v>3081</v>
      </c>
      <c r="P1043" s="9" t="s">
        <v>6111</v>
      </c>
      <c r="Q1043" s="58" t="s">
        <v>3361</v>
      </c>
      <c r="R1043" s="58">
        <v>1</v>
      </c>
      <c r="S1043" s="58">
        <v>7</v>
      </c>
      <c r="T1043" s="9" t="s">
        <v>3065</v>
      </c>
      <c r="U1043" s="9" t="s">
        <v>6112</v>
      </c>
      <c r="V1043" s="58">
        <v>1</v>
      </c>
      <c r="W1043" s="9"/>
      <c r="X1043" s="9"/>
      <c r="Y1043" s="9"/>
      <c r="Z1043" s="9"/>
    </row>
    <row r="1044" spans="1:26" ht="15.75" customHeight="1">
      <c r="A1044" s="9" t="s">
        <v>6113</v>
      </c>
      <c r="B1044" s="9" t="s">
        <v>6114</v>
      </c>
      <c r="C1044" s="9" t="s">
        <v>6115</v>
      </c>
      <c r="D1044" s="9" t="s">
        <v>368</v>
      </c>
      <c r="E1044" s="9" t="s">
        <v>3092</v>
      </c>
      <c r="F1044" s="58" t="s">
        <v>3087</v>
      </c>
      <c r="G1044" s="58">
        <v>6300</v>
      </c>
      <c r="H1044" s="85">
        <v>0.2</v>
      </c>
      <c r="I1044" s="9">
        <v>49.5</v>
      </c>
      <c r="J1044" s="9"/>
      <c r="K1044" s="9"/>
      <c r="L1044" s="9"/>
      <c r="M1044" s="9"/>
      <c r="N1044" s="9" t="s">
        <v>5897</v>
      </c>
      <c r="O1044" s="9" t="s">
        <v>3081</v>
      </c>
      <c r="P1044" s="9" t="s">
        <v>6116</v>
      </c>
      <c r="Q1044" s="58" t="s">
        <v>3069</v>
      </c>
      <c r="R1044" s="58">
        <v>3</v>
      </c>
      <c r="S1044" s="58">
        <v>7</v>
      </c>
      <c r="T1044" s="9" t="s">
        <v>6117</v>
      </c>
      <c r="U1044" s="9" t="s">
        <v>6118</v>
      </c>
      <c r="V1044" s="58">
        <v>3</v>
      </c>
      <c r="W1044" s="9"/>
      <c r="X1044" s="9"/>
      <c r="Y1044" s="9"/>
      <c r="Z1044" s="9"/>
    </row>
    <row r="1045" spans="1:26" ht="15.75" customHeight="1">
      <c r="A1045" s="9" t="s">
        <v>2660</v>
      </c>
      <c r="B1045" s="9" t="s">
        <v>6119</v>
      </c>
      <c r="C1045" s="9" t="s">
        <v>697</v>
      </c>
      <c r="D1045" s="9" t="s">
        <v>439</v>
      </c>
      <c r="E1045" s="9"/>
      <c r="F1045" s="9"/>
      <c r="G1045" s="58">
        <v>4800</v>
      </c>
      <c r="H1045" s="85">
        <v>0.1</v>
      </c>
      <c r="I1045" s="9">
        <v>150</v>
      </c>
      <c r="J1045" s="9"/>
      <c r="K1045" s="9"/>
      <c r="L1045" s="9"/>
      <c r="M1045" s="9"/>
      <c r="N1045" s="9" t="s">
        <v>3189</v>
      </c>
      <c r="O1045" s="9" t="s">
        <v>3051</v>
      </c>
      <c r="P1045" s="9" t="s">
        <v>4499</v>
      </c>
      <c r="Q1045" s="58" t="s">
        <v>3122</v>
      </c>
      <c r="R1045" s="58">
        <v>1</v>
      </c>
      <c r="S1045" s="58">
        <v>8</v>
      </c>
      <c r="T1045" s="9" t="s">
        <v>3943</v>
      </c>
      <c r="U1045" s="9" t="s">
        <v>6120</v>
      </c>
      <c r="V1045" s="58">
        <v>1</v>
      </c>
      <c r="W1045" s="9"/>
      <c r="X1045" s="9"/>
      <c r="Y1045" s="9"/>
      <c r="Z1045" s="9"/>
    </row>
    <row r="1046" spans="1:26" ht="15.75" customHeight="1">
      <c r="A1046" s="9" t="s">
        <v>2660</v>
      </c>
      <c r="B1046" s="9" t="s">
        <v>6119</v>
      </c>
      <c r="C1046" s="9" t="s">
        <v>697</v>
      </c>
      <c r="D1046" s="9" t="s">
        <v>368</v>
      </c>
      <c r="E1046" s="9" t="s">
        <v>3067</v>
      </c>
      <c r="F1046" s="58" t="s">
        <v>3057</v>
      </c>
      <c r="G1046" s="58">
        <v>4550</v>
      </c>
      <c r="H1046" s="85">
        <v>0.27692307692307599</v>
      </c>
      <c r="I1046" s="9">
        <v>150</v>
      </c>
      <c r="J1046" s="9"/>
      <c r="K1046" s="9"/>
      <c r="L1046" s="9"/>
      <c r="M1046" s="9"/>
      <c r="N1046" s="9" t="s">
        <v>3189</v>
      </c>
      <c r="O1046" s="9" t="s">
        <v>3051</v>
      </c>
      <c r="P1046" s="9" t="s">
        <v>6121</v>
      </c>
      <c r="Q1046" s="58" t="s">
        <v>3687</v>
      </c>
      <c r="R1046" s="58">
        <v>3</v>
      </c>
      <c r="S1046" s="58">
        <v>7</v>
      </c>
      <c r="T1046" s="9" t="s">
        <v>3943</v>
      </c>
      <c r="U1046" s="9" t="s">
        <v>6122</v>
      </c>
      <c r="V1046" s="58">
        <v>3</v>
      </c>
      <c r="W1046" s="9"/>
      <c r="X1046" s="9"/>
      <c r="Y1046" s="9"/>
      <c r="Z1046" s="9"/>
    </row>
    <row r="1047" spans="1:26" ht="15.75" customHeight="1">
      <c r="A1047" s="9" t="s">
        <v>6123</v>
      </c>
      <c r="B1047" s="9" t="s">
        <v>6124</v>
      </c>
      <c r="C1047" s="9" t="s">
        <v>3937</v>
      </c>
      <c r="D1047" s="9" t="s">
        <v>439</v>
      </c>
      <c r="E1047" s="9"/>
      <c r="F1047" s="9"/>
      <c r="G1047" s="58">
        <v>8000</v>
      </c>
      <c r="H1047" s="85">
        <v>0.06</v>
      </c>
      <c r="I1047" s="9">
        <v>30</v>
      </c>
      <c r="J1047" s="9"/>
      <c r="K1047" s="9"/>
      <c r="L1047" s="9"/>
      <c r="M1047" s="9"/>
      <c r="N1047" s="9" t="s">
        <v>3423</v>
      </c>
      <c r="O1047" s="9" t="s">
        <v>3051</v>
      </c>
      <c r="P1047" s="9" t="s">
        <v>3583</v>
      </c>
      <c r="Q1047" s="58" t="s">
        <v>3167</v>
      </c>
      <c r="R1047" s="58">
        <v>1</v>
      </c>
      <c r="S1047" s="58">
        <v>8</v>
      </c>
      <c r="T1047" s="9" t="s">
        <v>3938</v>
      </c>
      <c r="U1047" s="9" t="s">
        <v>6125</v>
      </c>
      <c r="V1047" s="58">
        <v>1</v>
      </c>
      <c r="W1047" s="9"/>
      <c r="X1047" s="9"/>
      <c r="Y1047" s="9"/>
      <c r="Z1047" s="9"/>
    </row>
    <row r="1048" spans="1:26" ht="15.75" customHeight="1">
      <c r="A1048" s="9" t="s">
        <v>6123</v>
      </c>
      <c r="B1048" s="9" t="s">
        <v>6124</v>
      </c>
      <c r="C1048" s="9" t="s">
        <v>3937</v>
      </c>
      <c r="D1048" s="9" t="s">
        <v>368</v>
      </c>
      <c r="E1048" s="9" t="s">
        <v>3183</v>
      </c>
      <c r="F1048" s="58" t="s">
        <v>3087</v>
      </c>
      <c r="G1048" s="58">
        <v>8400</v>
      </c>
      <c r="H1048" s="85">
        <v>0.2</v>
      </c>
      <c r="I1048" s="9">
        <v>30</v>
      </c>
      <c r="J1048" s="9"/>
      <c r="K1048" s="9"/>
      <c r="L1048" s="9"/>
      <c r="M1048" s="9"/>
      <c r="N1048" s="9" t="s">
        <v>3423</v>
      </c>
      <c r="O1048" s="9" t="s">
        <v>3051</v>
      </c>
      <c r="P1048" s="9" t="s">
        <v>6126</v>
      </c>
      <c r="Q1048" s="58" t="s">
        <v>3074</v>
      </c>
      <c r="R1048" s="58">
        <v>4</v>
      </c>
      <c r="S1048" s="58">
        <v>7</v>
      </c>
      <c r="T1048" s="9" t="s">
        <v>3938</v>
      </c>
      <c r="U1048" s="9" t="s">
        <v>6127</v>
      </c>
      <c r="V1048" s="58">
        <v>4</v>
      </c>
      <c r="W1048" s="9"/>
      <c r="X1048" s="9"/>
      <c r="Y1048" s="9"/>
      <c r="Z1048" s="9"/>
    </row>
    <row r="1049" spans="1:26" ht="15.75" customHeight="1">
      <c r="A1049" s="9" t="s">
        <v>2669</v>
      </c>
      <c r="B1049" s="9" t="s">
        <v>6128</v>
      </c>
      <c r="C1049" s="9" t="s">
        <v>693</v>
      </c>
      <c r="D1049" s="9" t="s">
        <v>559</v>
      </c>
      <c r="E1049" s="9" t="s">
        <v>3042</v>
      </c>
      <c r="F1049" s="58" t="s">
        <v>3966</v>
      </c>
      <c r="G1049" s="58">
        <v>1603</v>
      </c>
      <c r="H1049" s="85">
        <v>0.26200873362445398</v>
      </c>
      <c r="I1049" s="9">
        <v>50</v>
      </c>
      <c r="J1049" s="9"/>
      <c r="K1049" s="9"/>
      <c r="L1049" s="9"/>
      <c r="M1049" s="9"/>
      <c r="N1049" s="9" t="s">
        <v>3105</v>
      </c>
      <c r="O1049" s="9" t="s">
        <v>3081</v>
      </c>
      <c r="P1049" s="9" t="s">
        <v>3967</v>
      </c>
      <c r="Q1049" s="58" t="s">
        <v>3968</v>
      </c>
      <c r="R1049" s="58">
        <v>1</v>
      </c>
      <c r="S1049" s="58">
        <v>7</v>
      </c>
      <c r="T1049" s="9" t="s">
        <v>3065</v>
      </c>
      <c r="U1049" s="9" t="s">
        <v>6129</v>
      </c>
      <c r="V1049" s="58">
        <v>1</v>
      </c>
      <c r="W1049" s="9"/>
      <c r="X1049" s="9"/>
      <c r="Y1049" s="9"/>
      <c r="Z1049" s="9"/>
    </row>
    <row r="1050" spans="1:26" ht="15.75" customHeight="1">
      <c r="A1050" s="9" t="s">
        <v>2669</v>
      </c>
      <c r="B1050" s="9" t="s">
        <v>6128</v>
      </c>
      <c r="C1050" s="9" t="s">
        <v>693</v>
      </c>
      <c r="D1050" s="9" t="s">
        <v>439</v>
      </c>
      <c r="E1050" s="9"/>
      <c r="F1050" s="9"/>
      <c r="G1050" s="58">
        <v>8000</v>
      </c>
      <c r="H1050" s="85">
        <v>0.06</v>
      </c>
      <c r="I1050" s="9">
        <v>50</v>
      </c>
      <c r="J1050" s="9"/>
      <c r="K1050" s="9"/>
      <c r="L1050" s="9"/>
      <c r="M1050" s="9"/>
      <c r="N1050" s="9" t="s">
        <v>3105</v>
      </c>
      <c r="O1050" s="9" t="s">
        <v>3081</v>
      </c>
      <c r="P1050" s="9" t="s">
        <v>3583</v>
      </c>
      <c r="Q1050" s="58" t="s">
        <v>3167</v>
      </c>
      <c r="R1050" s="58">
        <v>1</v>
      </c>
      <c r="S1050" s="58">
        <v>8</v>
      </c>
      <c r="T1050" s="9" t="s">
        <v>3065</v>
      </c>
      <c r="U1050" s="9" t="s">
        <v>6130</v>
      </c>
      <c r="V1050" s="58">
        <v>1</v>
      </c>
      <c r="W1050" s="9"/>
      <c r="X1050" s="9"/>
      <c r="Y1050" s="9"/>
      <c r="Z1050" s="9"/>
    </row>
    <row r="1051" spans="1:26" ht="15.75" customHeight="1">
      <c r="A1051" s="9" t="s">
        <v>2669</v>
      </c>
      <c r="B1051" s="9" t="s">
        <v>6128</v>
      </c>
      <c r="C1051" s="9" t="s">
        <v>693</v>
      </c>
      <c r="D1051" s="9" t="s">
        <v>368</v>
      </c>
      <c r="E1051" s="9" t="s">
        <v>3092</v>
      </c>
      <c r="F1051" s="58" t="s">
        <v>3087</v>
      </c>
      <c r="G1051" s="58">
        <v>6300</v>
      </c>
      <c r="H1051" s="85">
        <v>0.266666666666666</v>
      </c>
      <c r="I1051" s="9">
        <v>50</v>
      </c>
      <c r="J1051" s="9"/>
      <c r="K1051" s="9"/>
      <c r="L1051" s="9"/>
      <c r="M1051" s="9"/>
      <c r="N1051" s="9" t="s">
        <v>3105</v>
      </c>
      <c r="O1051" s="9" t="s">
        <v>3081</v>
      </c>
      <c r="P1051" s="9" t="s">
        <v>6131</v>
      </c>
      <c r="Q1051" s="58" t="s">
        <v>3069</v>
      </c>
      <c r="R1051" s="58">
        <v>4</v>
      </c>
      <c r="S1051" s="58">
        <v>7</v>
      </c>
      <c r="T1051" s="9" t="s">
        <v>3065</v>
      </c>
      <c r="U1051" s="9" t="s">
        <v>6132</v>
      </c>
      <c r="V1051" s="58">
        <v>4</v>
      </c>
      <c r="W1051" s="9"/>
      <c r="X1051" s="9"/>
      <c r="Y1051" s="9"/>
      <c r="Z1051" s="9"/>
    </row>
    <row r="1052" spans="1:26" ht="15.75" customHeight="1">
      <c r="A1052" s="9" t="s">
        <v>2665</v>
      </c>
      <c r="B1052" s="9" t="s">
        <v>6133</v>
      </c>
      <c r="C1052" s="9" t="s">
        <v>703</v>
      </c>
      <c r="D1052" s="9" t="s">
        <v>559</v>
      </c>
      <c r="E1052" s="9" t="s">
        <v>3042</v>
      </c>
      <c r="F1052" s="58" t="s">
        <v>3966</v>
      </c>
      <c r="G1052" s="58">
        <v>1603</v>
      </c>
      <c r="H1052" s="85">
        <v>0.26200873362445398</v>
      </c>
      <c r="I1052" s="9">
        <v>50</v>
      </c>
      <c r="J1052" s="9"/>
      <c r="K1052" s="9"/>
      <c r="L1052" s="9"/>
      <c r="M1052" s="9"/>
      <c r="N1052" s="9" t="s">
        <v>3105</v>
      </c>
      <c r="O1052" s="9" t="s">
        <v>3081</v>
      </c>
      <c r="P1052" s="9" t="s">
        <v>3967</v>
      </c>
      <c r="Q1052" s="58" t="s">
        <v>3968</v>
      </c>
      <c r="R1052" s="58">
        <v>1</v>
      </c>
      <c r="S1052" s="58">
        <v>7</v>
      </c>
      <c r="T1052" s="9" t="s">
        <v>3065</v>
      </c>
      <c r="U1052" s="9" t="s">
        <v>6134</v>
      </c>
      <c r="V1052" s="58">
        <v>1</v>
      </c>
      <c r="W1052" s="9"/>
      <c r="X1052" s="9"/>
      <c r="Y1052" s="9"/>
      <c r="Z1052" s="9"/>
    </row>
    <row r="1053" spans="1:26" ht="15.75" customHeight="1">
      <c r="A1053" s="9" t="s">
        <v>2665</v>
      </c>
      <c r="B1053" s="9" t="s">
        <v>6133</v>
      </c>
      <c r="C1053" s="9" t="s">
        <v>703</v>
      </c>
      <c r="D1053" s="9" t="s">
        <v>439</v>
      </c>
      <c r="E1053" s="9"/>
      <c r="F1053" s="9"/>
      <c r="G1053" s="58">
        <v>8000</v>
      </c>
      <c r="H1053" s="85">
        <v>0.06</v>
      </c>
      <c r="I1053" s="9">
        <v>50</v>
      </c>
      <c r="J1053" s="9"/>
      <c r="K1053" s="9"/>
      <c r="L1053" s="9"/>
      <c r="M1053" s="9"/>
      <c r="N1053" s="9" t="s">
        <v>3105</v>
      </c>
      <c r="O1053" s="9" t="s">
        <v>3081</v>
      </c>
      <c r="P1053" s="9" t="s">
        <v>3583</v>
      </c>
      <c r="Q1053" s="58" t="s">
        <v>3167</v>
      </c>
      <c r="R1053" s="58">
        <v>1</v>
      </c>
      <c r="S1053" s="58">
        <v>8</v>
      </c>
      <c r="T1053" s="9" t="s">
        <v>3065</v>
      </c>
      <c r="U1053" s="9" t="s">
        <v>6135</v>
      </c>
      <c r="V1053" s="58">
        <v>1</v>
      </c>
      <c r="W1053" s="9"/>
      <c r="X1053" s="9"/>
      <c r="Y1053" s="9"/>
      <c r="Z1053" s="9"/>
    </row>
    <row r="1054" spans="1:26" ht="15.75" customHeight="1">
      <c r="A1054" s="9" t="s">
        <v>2665</v>
      </c>
      <c r="B1054" s="9" t="s">
        <v>6133</v>
      </c>
      <c r="C1054" s="9" t="s">
        <v>703</v>
      </c>
      <c r="D1054" s="9" t="s">
        <v>368</v>
      </c>
      <c r="E1054" s="9" t="s">
        <v>3092</v>
      </c>
      <c r="F1054" s="58" t="s">
        <v>3087</v>
      </c>
      <c r="G1054" s="58">
        <v>6300</v>
      </c>
      <c r="H1054" s="85">
        <v>0.266666666666666</v>
      </c>
      <c r="I1054" s="9">
        <v>50</v>
      </c>
      <c r="J1054" s="9"/>
      <c r="K1054" s="9"/>
      <c r="L1054" s="9"/>
      <c r="M1054" s="9"/>
      <c r="N1054" s="9" t="s">
        <v>3105</v>
      </c>
      <c r="O1054" s="9" t="s">
        <v>3081</v>
      </c>
      <c r="P1054" s="9" t="s">
        <v>6131</v>
      </c>
      <c r="Q1054" s="58" t="s">
        <v>3069</v>
      </c>
      <c r="R1054" s="58">
        <v>4</v>
      </c>
      <c r="S1054" s="58">
        <v>7</v>
      </c>
      <c r="T1054" s="9" t="s">
        <v>3065</v>
      </c>
      <c r="U1054" s="9" t="s">
        <v>6136</v>
      </c>
      <c r="V1054" s="58">
        <v>4</v>
      </c>
      <c r="W1054" s="9"/>
      <c r="X1054" s="9"/>
      <c r="Y1054" s="9"/>
      <c r="Z1054" s="9"/>
    </row>
    <row r="1055" spans="1:26" ht="15.75" customHeight="1">
      <c r="A1055" s="9" t="s">
        <v>6137</v>
      </c>
      <c r="B1055" s="9" t="s">
        <v>6138</v>
      </c>
      <c r="C1055" s="9" t="s">
        <v>6139</v>
      </c>
      <c r="D1055" s="9" t="s">
        <v>439</v>
      </c>
      <c r="E1055" s="9"/>
      <c r="F1055" s="9"/>
      <c r="G1055" s="58">
        <v>12000</v>
      </c>
      <c r="H1055" s="85">
        <v>0.04</v>
      </c>
      <c r="I1055" s="9"/>
      <c r="J1055" s="9"/>
      <c r="K1055" s="9"/>
      <c r="L1055" s="9"/>
      <c r="M1055" s="9"/>
      <c r="N1055" s="9" t="s">
        <v>3105</v>
      </c>
      <c r="O1055" s="9" t="s">
        <v>3081</v>
      </c>
      <c r="P1055" s="9" t="s">
        <v>3251</v>
      </c>
      <c r="Q1055" s="58" t="s">
        <v>3143</v>
      </c>
      <c r="R1055" s="58">
        <v>1</v>
      </c>
      <c r="S1055" s="58">
        <v>8</v>
      </c>
      <c r="T1055" s="9" t="s">
        <v>3961</v>
      </c>
      <c r="U1055" s="9" t="s">
        <v>6140</v>
      </c>
      <c r="V1055" s="58">
        <v>1</v>
      </c>
      <c r="W1055" s="9"/>
      <c r="X1055" s="9"/>
      <c r="Y1055" s="9"/>
      <c r="Z1055" s="9"/>
    </row>
    <row r="1056" spans="1:26" ht="15.75" customHeight="1">
      <c r="A1056" s="9" t="s">
        <v>6137</v>
      </c>
      <c r="B1056" s="9" t="s">
        <v>6138</v>
      </c>
      <c r="C1056" s="9" t="s">
        <v>6139</v>
      </c>
      <c r="D1056" s="9" t="s">
        <v>368</v>
      </c>
      <c r="E1056" s="9" t="s">
        <v>3183</v>
      </c>
      <c r="F1056" s="58" t="s">
        <v>3087</v>
      </c>
      <c r="G1056" s="58">
        <v>7000</v>
      </c>
      <c r="H1056" s="85">
        <v>0.24</v>
      </c>
      <c r="I1056" s="9"/>
      <c r="J1056" s="9"/>
      <c r="K1056" s="9"/>
      <c r="L1056" s="9"/>
      <c r="M1056" s="9"/>
      <c r="N1056" s="9" t="s">
        <v>3105</v>
      </c>
      <c r="O1056" s="9" t="s">
        <v>3081</v>
      </c>
      <c r="P1056" s="9" t="s">
        <v>6141</v>
      </c>
      <c r="Q1056" s="58" t="s">
        <v>3167</v>
      </c>
      <c r="R1056" s="58">
        <v>4</v>
      </c>
      <c r="S1056" s="58">
        <v>7</v>
      </c>
      <c r="T1056" s="9" t="s">
        <v>3961</v>
      </c>
      <c r="U1056" s="9" t="s">
        <v>6142</v>
      </c>
      <c r="V1056" s="58">
        <v>4</v>
      </c>
      <c r="W1056" s="9"/>
      <c r="X1056" s="9"/>
      <c r="Y1056" s="9"/>
      <c r="Z1056" s="9"/>
    </row>
    <row r="1057" spans="1:26" ht="15.75" customHeight="1">
      <c r="A1057" s="9" t="s">
        <v>6143</v>
      </c>
      <c r="B1057" s="9" t="s">
        <v>6144</v>
      </c>
      <c r="C1057" s="9" t="s">
        <v>6145</v>
      </c>
      <c r="D1057" s="9" t="s">
        <v>439</v>
      </c>
      <c r="E1057" s="9"/>
      <c r="F1057" s="9"/>
      <c r="G1057" s="58">
        <v>12000</v>
      </c>
      <c r="H1057" s="85">
        <v>0.04</v>
      </c>
      <c r="I1057" s="9"/>
      <c r="J1057" s="9"/>
      <c r="K1057" s="9"/>
      <c r="L1057" s="9"/>
      <c r="M1057" s="9"/>
      <c r="N1057" s="9" t="s">
        <v>3105</v>
      </c>
      <c r="O1057" s="9" t="s">
        <v>3081</v>
      </c>
      <c r="P1057" s="9" t="s">
        <v>3251</v>
      </c>
      <c r="Q1057" s="58" t="s">
        <v>3143</v>
      </c>
      <c r="R1057" s="58">
        <v>1</v>
      </c>
      <c r="S1057" s="58">
        <v>8</v>
      </c>
      <c r="T1057" s="9" t="s">
        <v>3961</v>
      </c>
      <c r="U1057" s="9" t="s">
        <v>6146</v>
      </c>
      <c r="V1057" s="58">
        <v>1</v>
      </c>
      <c r="W1057" s="9"/>
      <c r="X1057" s="9"/>
      <c r="Y1057" s="9"/>
      <c r="Z1057" s="9"/>
    </row>
    <row r="1058" spans="1:26" ht="15.75" customHeight="1">
      <c r="A1058" s="9" t="s">
        <v>6143</v>
      </c>
      <c r="B1058" s="9" t="s">
        <v>6144</v>
      </c>
      <c r="C1058" s="9" t="s">
        <v>6145</v>
      </c>
      <c r="D1058" s="9" t="s">
        <v>368</v>
      </c>
      <c r="E1058" s="9" t="s">
        <v>3183</v>
      </c>
      <c r="F1058" s="58" t="s">
        <v>3087</v>
      </c>
      <c r="G1058" s="58">
        <v>7000</v>
      </c>
      <c r="H1058" s="85">
        <v>0.24</v>
      </c>
      <c r="I1058" s="9"/>
      <c r="J1058" s="9"/>
      <c r="K1058" s="9"/>
      <c r="L1058" s="9"/>
      <c r="M1058" s="9"/>
      <c r="N1058" s="9" t="s">
        <v>3105</v>
      </c>
      <c r="O1058" s="9" t="s">
        <v>3081</v>
      </c>
      <c r="P1058" s="9" t="s">
        <v>6141</v>
      </c>
      <c r="Q1058" s="58" t="s">
        <v>3167</v>
      </c>
      <c r="R1058" s="58">
        <v>4</v>
      </c>
      <c r="S1058" s="58">
        <v>7</v>
      </c>
      <c r="T1058" s="9" t="s">
        <v>3961</v>
      </c>
      <c r="U1058" s="9" t="s">
        <v>6147</v>
      </c>
      <c r="V1058" s="58">
        <v>4</v>
      </c>
      <c r="W1058" s="9"/>
      <c r="X1058" s="9"/>
      <c r="Y1058" s="9"/>
      <c r="Z1058" s="9"/>
    </row>
    <row r="1059" spans="1:26" ht="15.75" customHeight="1">
      <c r="A1059" s="9" t="s">
        <v>6148</v>
      </c>
      <c r="B1059" s="9" t="s">
        <v>6149</v>
      </c>
      <c r="C1059" s="9" t="s">
        <v>6150</v>
      </c>
      <c r="D1059" s="9" t="s">
        <v>439</v>
      </c>
      <c r="E1059" s="9"/>
      <c r="F1059" s="9"/>
      <c r="G1059" s="58">
        <v>12000</v>
      </c>
      <c r="H1059" s="85">
        <v>0.04</v>
      </c>
      <c r="I1059" s="9">
        <v>6</v>
      </c>
      <c r="J1059" s="9"/>
      <c r="K1059" s="9"/>
      <c r="L1059" s="9"/>
      <c r="M1059" s="9"/>
      <c r="N1059" s="9" t="s">
        <v>3105</v>
      </c>
      <c r="O1059" s="9" t="s">
        <v>3081</v>
      </c>
      <c r="P1059" s="9" t="s">
        <v>3251</v>
      </c>
      <c r="Q1059" s="58" t="s">
        <v>3143</v>
      </c>
      <c r="R1059" s="58">
        <v>1</v>
      </c>
      <c r="S1059" s="58">
        <v>8</v>
      </c>
      <c r="T1059" s="9" t="s">
        <v>3961</v>
      </c>
      <c r="U1059" s="9" t="s">
        <v>6151</v>
      </c>
      <c r="V1059" s="58">
        <v>1</v>
      </c>
      <c r="W1059" s="9"/>
      <c r="X1059" s="9"/>
      <c r="Y1059" s="9"/>
      <c r="Z1059" s="9"/>
    </row>
    <row r="1060" spans="1:26" ht="15.75" customHeight="1">
      <c r="A1060" s="9" t="s">
        <v>6148</v>
      </c>
      <c r="B1060" s="9" t="s">
        <v>6149</v>
      </c>
      <c r="C1060" s="9" t="s">
        <v>6150</v>
      </c>
      <c r="D1060" s="9" t="s">
        <v>368</v>
      </c>
      <c r="E1060" s="9" t="s">
        <v>3183</v>
      </c>
      <c r="F1060" s="58" t="s">
        <v>3087</v>
      </c>
      <c r="G1060" s="58">
        <v>7000</v>
      </c>
      <c r="H1060" s="85">
        <v>0.18</v>
      </c>
      <c r="I1060" s="9">
        <v>6</v>
      </c>
      <c r="J1060" s="9"/>
      <c r="K1060" s="9"/>
      <c r="L1060" s="9"/>
      <c r="M1060" s="9"/>
      <c r="N1060" s="9" t="s">
        <v>3105</v>
      </c>
      <c r="O1060" s="9" t="s">
        <v>3081</v>
      </c>
      <c r="P1060" s="9" t="s">
        <v>6152</v>
      </c>
      <c r="Q1060" s="58" t="s">
        <v>3167</v>
      </c>
      <c r="R1060" s="58">
        <v>3</v>
      </c>
      <c r="S1060" s="58">
        <v>7</v>
      </c>
      <c r="T1060" s="9" t="s">
        <v>3961</v>
      </c>
      <c r="U1060" s="9" t="s">
        <v>6153</v>
      </c>
      <c r="V1060" s="58">
        <v>3</v>
      </c>
      <c r="W1060" s="9"/>
      <c r="X1060" s="9"/>
      <c r="Y1060" s="9"/>
      <c r="Z1060" s="9"/>
    </row>
    <row r="1061" spans="1:26" ht="15.75" customHeight="1">
      <c r="A1061" s="9" t="s">
        <v>2671</v>
      </c>
      <c r="B1061" s="9" t="s">
        <v>6154</v>
      </c>
      <c r="C1061" s="9" t="s">
        <v>2673</v>
      </c>
      <c r="D1061" s="9" t="s">
        <v>439</v>
      </c>
      <c r="E1061" s="9"/>
      <c r="F1061" s="9"/>
      <c r="G1061" s="58">
        <v>8000</v>
      </c>
      <c r="H1061" s="85">
        <v>0.06</v>
      </c>
      <c r="I1061" s="9">
        <v>13</v>
      </c>
      <c r="J1061" s="9"/>
      <c r="K1061" s="9"/>
      <c r="L1061" s="9"/>
      <c r="M1061" s="9"/>
      <c r="N1061" s="9" t="s">
        <v>3105</v>
      </c>
      <c r="O1061" s="9" t="s">
        <v>3081</v>
      </c>
      <c r="P1061" s="9" t="s">
        <v>3583</v>
      </c>
      <c r="Q1061" s="58" t="s">
        <v>3167</v>
      </c>
      <c r="R1061" s="58">
        <v>1</v>
      </c>
      <c r="S1061" s="58">
        <v>8</v>
      </c>
      <c r="T1061" s="9" t="s">
        <v>3990</v>
      </c>
      <c r="U1061" s="9" t="s">
        <v>6155</v>
      </c>
      <c r="V1061" s="58">
        <v>1</v>
      </c>
      <c r="W1061" s="9"/>
      <c r="X1061" s="9"/>
      <c r="Y1061" s="9"/>
      <c r="Z1061" s="9"/>
    </row>
    <row r="1062" spans="1:26" ht="15.75" customHeight="1">
      <c r="A1062" s="9" t="s">
        <v>2671</v>
      </c>
      <c r="B1062" s="9" t="s">
        <v>6154</v>
      </c>
      <c r="C1062" s="9" t="s">
        <v>2673</v>
      </c>
      <c r="D1062" s="9" t="s">
        <v>368</v>
      </c>
      <c r="E1062" s="9" t="s">
        <v>3183</v>
      </c>
      <c r="F1062" s="58" t="s">
        <v>3087</v>
      </c>
      <c r="G1062" s="58">
        <v>8400</v>
      </c>
      <c r="H1062" s="85">
        <v>0.2</v>
      </c>
      <c r="I1062" s="9">
        <v>13</v>
      </c>
      <c r="J1062" s="9"/>
      <c r="K1062" s="9"/>
      <c r="L1062" s="9"/>
      <c r="M1062" s="9"/>
      <c r="N1062" s="9" t="s">
        <v>3105</v>
      </c>
      <c r="O1062" s="9" t="s">
        <v>3081</v>
      </c>
      <c r="P1062" s="9" t="s">
        <v>6156</v>
      </c>
      <c r="Q1062" s="58" t="s">
        <v>3074</v>
      </c>
      <c r="R1062" s="58">
        <v>4</v>
      </c>
      <c r="S1062" s="58">
        <v>7</v>
      </c>
      <c r="T1062" s="9" t="s">
        <v>3990</v>
      </c>
      <c r="U1062" s="9" t="s">
        <v>6157</v>
      </c>
      <c r="V1062" s="58">
        <v>4</v>
      </c>
      <c r="W1062" s="9"/>
      <c r="X1062" s="9"/>
      <c r="Y1062" s="9"/>
      <c r="Z1062" s="9"/>
    </row>
    <row r="1063" spans="1:26" ht="15.75" customHeight="1">
      <c r="A1063" s="9" t="s">
        <v>6158</v>
      </c>
      <c r="B1063" s="9" t="s">
        <v>6159</v>
      </c>
      <c r="C1063" s="9" t="s">
        <v>6160</v>
      </c>
      <c r="D1063" s="9" t="s">
        <v>368</v>
      </c>
      <c r="E1063" s="9" t="s">
        <v>3092</v>
      </c>
      <c r="F1063" s="58" t="s">
        <v>3087</v>
      </c>
      <c r="G1063" s="58">
        <v>6300</v>
      </c>
      <c r="H1063" s="85">
        <v>0.266666666666666</v>
      </c>
      <c r="I1063" s="9">
        <v>40.4</v>
      </c>
      <c r="J1063" s="9"/>
      <c r="K1063" s="9"/>
      <c r="L1063" s="9"/>
      <c r="M1063" s="9"/>
      <c r="N1063" s="9" t="s">
        <v>3691</v>
      </c>
      <c r="O1063" s="9" t="s">
        <v>3081</v>
      </c>
      <c r="P1063" s="9" t="s">
        <v>6161</v>
      </c>
      <c r="Q1063" s="58" t="s">
        <v>3069</v>
      </c>
      <c r="R1063" s="58">
        <v>4</v>
      </c>
      <c r="S1063" s="58">
        <v>7</v>
      </c>
      <c r="T1063" s="9" t="s">
        <v>3695</v>
      </c>
      <c r="U1063" s="9" t="s">
        <v>6162</v>
      </c>
      <c r="V1063" s="58">
        <v>4</v>
      </c>
      <c r="W1063" s="9"/>
      <c r="X1063" s="9"/>
      <c r="Y1063" s="9"/>
      <c r="Z1063" s="9"/>
    </row>
    <row r="1064" spans="1:26" ht="15.75" customHeight="1">
      <c r="A1064" s="9" t="s">
        <v>2622</v>
      </c>
      <c r="B1064" s="9" t="s">
        <v>6163</v>
      </c>
      <c r="C1064" s="9" t="s">
        <v>2624</v>
      </c>
      <c r="D1064" s="9" t="s">
        <v>368</v>
      </c>
      <c r="E1064" s="9" t="s">
        <v>3092</v>
      </c>
      <c r="F1064" s="58" t="s">
        <v>3087</v>
      </c>
      <c r="G1064" s="58">
        <v>7000</v>
      </c>
      <c r="H1064" s="85">
        <v>0.24</v>
      </c>
      <c r="I1064" s="9">
        <v>10.1</v>
      </c>
      <c r="J1064" s="9"/>
      <c r="K1064" s="9"/>
      <c r="L1064" s="9"/>
      <c r="M1064" s="9"/>
      <c r="N1064" s="9" t="s">
        <v>6164</v>
      </c>
      <c r="O1064" s="9" t="s">
        <v>3081</v>
      </c>
      <c r="P1064" s="9" t="s">
        <v>6165</v>
      </c>
      <c r="Q1064" s="58" t="s">
        <v>3167</v>
      </c>
      <c r="R1064" s="58">
        <v>4</v>
      </c>
      <c r="S1064" s="58">
        <v>7</v>
      </c>
      <c r="T1064" s="9" t="s">
        <v>3695</v>
      </c>
      <c r="U1064" s="9" t="s">
        <v>6166</v>
      </c>
      <c r="V1064" s="58">
        <v>4</v>
      </c>
      <c r="W1064" s="9"/>
      <c r="X1064" s="9"/>
      <c r="Y1064" s="9"/>
      <c r="Z1064" s="9"/>
    </row>
    <row r="1065" spans="1:26" ht="15.75" customHeight="1">
      <c r="A1065" s="9" t="s">
        <v>6167</v>
      </c>
      <c r="B1065" s="9" t="s">
        <v>6168</v>
      </c>
      <c r="C1065" s="9" t="s">
        <v>6169</v>
      </c>
      <c r="D1065" s="9" t="s">
        <v>439</v>
      </c>
      <c r="E1065" s="9"/>
      <c r="F1065" s="9"/>
      <c r="G1065" s="58">
        <v>5600</v>
      </c>
      <c r="H1065" s="85">
        <v>8.5714285714285701E-2</v>
      </c>
      <c r="I1065" s="9">
        <v>25</v>
      </c>
      <c r="J1065" s="9"/>
      <c r="K1065" s="9"/>
      <c r="L1065" s="9"/>
      <c r="M1065" s="9"/>
      <c r="N1065" s="9" t="s">
        <v>6170</v>
      </c>
      <c r="O1065" s="9" t="s">
        <v>3051</v>
      </c>
      <c r="P1065" s="9" t="s">
        <v>3244</v>
      </c>
      <c r="Q1065" s="58" t="s">
        <v>3155</v>
      </c>
      <c r="R1065" s="58">
        <v>1</v>
      </c>
      <c r="S1065" s="58">
        <v>8</v>
      </c>
      <c r="T1065" s="9" t="s">
        <v>6171</v>
      </c>
      <c r="U1065" s="9" t="s">
        <v>6172</v>
      </c>
      <c r="V1065" s="58">
        <v>1</v>
      </c>
      <c r="W1065" s="9"/>
      <c r="X1065" s="9"/>
      <c r="Y1065" s="9"/>
      <c r="Z1065" s="9"/>
    </row>
    <row r="1066" spans="1:26" ht="15.75" customHeight="1">
      <c r="A1066" s="9" t="s">
        <v>6167</v>
      </c>
      <c r="B1066" s="9" t="s">
        <v>6168</v>
      </c>
      <c r="C1066" s="9" t="s">
        <v>6169</v>
      </c>
      <c r="D1066" s="9" t="s">
        <v>368</v>
      </c>
      <c r="E1066" s="9" t="s">
        <v>3067</v>
      </c>
      <c r="F1066" s="58" t="s">
        <v>3057</v>
      </c>
      <c r="G1066" s="58">
        <v>5600</v>
      </c>
      <c r="H1066" s="85">
        <v>0.22500000000000001</v>
      </c>
      <c r="I1066" s="9">
        <v>25</v>
      </c>
      <c r="J1066" s="9"/>
      <c r="K1066" s="9"/>
      <c r="L1066" s="9"/>
      <c r="M1066" s="9"/>
      <c r="N1066" s="9" t="s">
        <v>6170</v>
      </c>
      <c r="O1066" s="9" t="s">
        <v>3051</v>
      </c>
      <c r="P1066" s="9" t="s">
        <v>6173</v>
      </c>
      <c r="Q1066" s="58" t="s">
        <v>3185</v>
      </c>
      <c r="R1066" s="58">
        <v>3</v>
      </c>
      <c r="S1066" s="58">
        <v>7</v>
      </c>
      <c r="T1066" s="9" t="s">
        <v>6171</v>
      </c>
      <c r="U1066" s="9" t="s">
        <v>6174</v>
      </c>
      <c r="V1066" s="58">
        <v>3</v>
      </c>
      <c r="W1066" s="9"/>
      <c r="X1066" s="9"/>
      <c r="Y1066" s="9"/>
      <c r="Z1066" s="9"/>
    </row>
    <row r="1067" spans="1:26" ht="15.75" customHeight="1">
      <c r="A1067" s="9" t="s">
        <v>2708</v>
      </c>
      <c r="B1067" s="9" t="s">
        <v>6175</v>
      </c>
      <c r="C1067" s="9" t="s">
        <v>803</v>
      </c>
      <c r="D1067" s="9" t="s">
        <v>439</v>
      </c>
      <c r="E1067" s="9"/>
      <c r="F1067" s="9"/>
      <c r="G1067" s="58">
        <v>6400</v>
      </c>
      <c r="H1067" s="85">
        <v>7.4999999999999997E-2</v>
      </c>
      <c r="I1067" s="9">
        <v>60.6</v>
      </c>
      <c r="J1067" s="9"/>
      <c r="K1067" s="9"/>
      <c r="L1067" s="9"/>
      <c r="M1067" s="9"/>
      <c r="N1067" s="9" t="s">
        <v>6176</v>
      </c>
      <c r="O1067" s="9" t="s">
        <v>3051</v>
      </c>
      <c r="P1067" s="9" t="s">
        <v>3549</v>
      </c>
      <c r="Q1067" s="58" t="s">
        <v>3185</v>
      </c>
      <c r="R1067" s="58">
        <v>1</v>
      </c>
      <c r="S1067" s="58">
        <v>8</v>
      </c>
      <c r="T1067" s="9" t="s">
        <v>4997</v>
      </c>
      <c r="U1067" s="9" t="s">
        <v>6177</v>
      </c>
      <c r="V1067" s="58">
        <v>1</v>
      </c>
      <c r="W1067" s="9"/>
      <c r="X1067" s="9"/>
      <c r="Y1067" s="9"/>
      <c r="Z1067" s="9"/>
    </row>
    <row r="1068" spans="1:26" ht="15.75" customHeight="1">
      <c r="A1068" s="9" t="s">
        <v>2708</v>
      </c>
      <c r="B1068" s="9" t="s">
        <v>6175</v>
      </c>
      <c r="C1068" s="9" t="s">
        <v>803</v>
      </c>
      <c r="D1068" s="9" t="s">
        <v>368</v>
      </c>
      <c r="E1068" s="9" t="s">
        <v>6178</v>
      </c>
      <c r="F1068" s="58" t="s">
        <v>3057</v>
      </c>
      <c r="G1068" s="58">
        <v>5600</v>
      </c>
      <c r="H1068" s="85">
        <v>0.22500000000000001</v>
      </c>
      <c r="I1068" s="9">
        <v>60.6</v>
      </c>
      <c r="J1068" s="9"/>
      <c r="K1068" s="9"/>
      <c r="L1068" s="9"/>
      <c r="M1068" s="9"/>
      <c r="N1068" s="9" t="s">
        <v>6176</v>
      </c>
      <c r="O1068" s="9" t="s">
        <v>3051</v>
      </c>
      <c r="P1068" s="9" t="s">
        <v>6179</v>
      </c>
      <c r="Q1068" s="58" t="s">
        <v>3185</v>
      </c>
      <c r="R1068" s="58">
        <v>3</v>
      </c>
      <c r="S1068" s="58">
        <v>7</v>
      </c>
      <c r="T1068" s="9" t="s">
        <v>4997</v>
      </c>
      <c r="U1068" s="9" t="s">
        <v>6180</v>
      </c>
      <c r="V1068" s="58">
        <v>3</v>
      </c>
      <c r="W1068" s="9"/>
      <c r="X1068" s="9"/>
      <c r="Y1068" s="9"/>
      <c r="Z1068" s="9"/>
    </row>
    <row r="1069" spans="1:26" ht="15.75" customHeight="1">
      <c r="A1069" s="9" t="s">
        <v>6181</v>
      </c>
      <c r="B1069" s="9" t="s">
        <v>6182</v>
      </c>
      <c r="C1069" s="9" t="s">
        <v>741</v>
      </c>
      <c r="D1069" s="9" t="s">
        <v>439</v>
      </c>
      <c r="E1069" s="9"/>
      <c r="F1069" s="9"/>
      <c r="G1069" s="58">
        <v>8000</v>
      </c>
      <c r="H1069" s="85">
        <v>0.06</v>
      </c>
      <c r="I1069" s="9">
        <v>52.5</v>
      </c>
      <c r="J1069" s="9"/>
      <c r="K1069" s="9"/>
      <c r="L1069" s="9"/>
      <c r="M1069" s="9"/>
      <c r="N1069" s="9" t="s">
        <v>3105</v>
      </c>
      <c r="O1069" s="9" t="s">
        <v>3081</v>
      </c>
      <c r="P1069" s="9" t="s">
        <v>3583</v>
      </c>
      <c r="Q1069" s="58" t="s">
        <v>3167</v>
      </c>
      <c r="R1069" s="58">
        <v>1</v>
      </c>
      <c r="S1069" s="58">
        <v>8</v>
      </c>
      <c r="T1069" s="9" t="s">
        <v>6098</v>
      </c>
      <c r="U1069" s="9" t="s">
        <v>6183</v>
      </c>
      <c r="V1069" s="58">
        <v>1</v>
      </c>
      <c r="W1069" s="9"/>
      <c r="X1069" s="9"/>
      <c r="Y1069" s="9"/>
      <c r="Z1069" s="9"/>
    </row>
    <row r="1070" spans="1:26" ht="15.75" customHeight="1">
      <c r="A1070" s="9" t="s">
        <v>6181</v>
      </c>
      <c r="B1070" s="9" t="s">
        <v>6182</v>
      </c>
      <c r="C1070" s="9" t="s">
        <v>741</v>
      </c>
      <c r="D1070" s="9" t="s">
        <v>368</v>
      </c>
      <c r="E1070" s="9" t="s">
        <v>3092</v>
      </c>
      <c r="F1070" s="58" t="s">
        <v>3087</v>
      </c>
      <c r="G1070" s="58">
        <v>5110</v>
      </c>
      <c r="H1070" s="85">
        <v>0.32876712328767099</v>
      </c>
      <c r="I1070" s="9">
        <v>52.5</v>
      </c>
      <c r="J1070" s="9"/>
      <c r="K1070" s="9"/>
      <c r="L1070" s="9"/>
      <c r="M1070" s="9"/>
      <c r="N1070" s="9" t="s">
        <v>3105</v>
      </c>
      <c r="O1070" s="9" t="s">
        <v>3081</v>
      </c>
      <c r="P1070" s="9" t="s">
        <v>6184</v>
      </c>
      <c r="Q1070" s="58" t="s">
        <v>4814</v>
      </c>
      <c r="R1070" s="58">
        <v>4</v>
      </c>
      <c r="S1070" s="58">
        <v>7</v>
      </c>
      <c r="T1070" s="9" t="s">
        <v>6098</v>
      </c>
      <c r="U1070" s="9" t="s">
        <v>6185</v>
      </c>
      <c r="V1070" s="58">
        <v>4</v>
      </c>
      <c r="W1070" s="9"/>
      <c r="X1070" s="9"/>
      <c r="Y1070" s="9"/>
      <c r="Z1070" s="9"/>
    </row>
    <row r="1071" spans="1:26" ht="15.75" customHeight="1">
      <c r="A1071" s="9" t="s">
        <v>2700</v>
      </c>
      <c r="B1071" s="9" t="s">
        <v>6186</v>
      </c>
      <c r="C1071" s="9" t="s">
        <v>2702</v>
      </c>
      <c r="D1071" s="9" t="s">
        <v>439</v>
      </c>
      <c r="E1071" s="9"/>
      <c r="F1071" s="9"/>
      <c r="G1071" s="58">
        <v>4000</v>
      </c>
      <c r="H1071" s="85">
        <v>0.12</v>
      </c>
      <c r="I1071" s="9">
        <v>525</v>
      </c>
      <c r="J1071" s="9"/>
      <c r="K1071" s="9"/>
      <c r="L1071" s="9"/>
      <c r="M1071" s="9"/>
      <c r="N1071" s="9" t="s">
        <v>3224</v>
      </c>
      <c r="O1071" s="9" t="s">
        <v>3081</v>
      </c>
      <c r="P1071" s="9" t="s">
        <v>4735</v>
      </c>
      <c r="Q1071" s="58" t="s">
        <v>3361</v>
      </c>
      <c r="R1071" s="58">
        <v>1</v>
      </c>
      <c r="S1071" s="58">
        <v>8</v>
      </c>
      <c r="T1071" s="9" t="s">
        <v>6103</v>
      </c>
      <c r="U1071" s="9" t="s">
        <v>6187</v>
      </c>
      <c r="V1071" s="58">
        <v>1</v>
      </c>
      <c r="W1071" s="9"/>
      <c r="X1071" s="9"/>
      <c r="Y1071" s="9"/>
      <c r="Z1071" s="9"/>
    </row>
    <row r="1072" spans="1:26" ht="15.75" customHeight="1">
      <c r="A1072" s="9" t="s">
        <v>2700</v>
      </c>
      <c r="B1072" s="9" t="s">
        <v>6186</v>
      </c>
      <c r="C1072" s="9" t="s">
        <v>2702</v>
      </c>
      <c r="D1072" s="9" t="s">
        <v>368</v>
      </c>
      <c r="E1072" s="9" t="s">
        <v>3229</v>
      </c>
      <c r="F1072" s="58" t="s">
        <v>3087</v>
      </c>
      <c r="G1072" s="58">
        <v>1050</v>
      </c>
      <c r="H1072" s="85">
        <v>1.2</v>
      </c>
      <c r="I1072" s="9">
        <v>525</v>
      </c>
      <c r="J1072" s="9"/>
      <c r="K1072" s="9"/>
      <c r="L1072" s="9"/>
      <c r="M1072" s="9"/>
      <c r="N1072" s="9" t="s">
        <v>3224</v>
      </c>
      <c r="O1072" s="9" t="s">
        <v>3081</v>
      </c>
      <c r="P1072" s="9" t="s">
        <v>6105</v>
      </c>
      <c r="Q1072" s="58" t="s">
        <v>4947</v>
      </c>
      <c r="R1072" s="58">
        <v>3</v>
      </c>
      <c r="S1072" s="58">
        <v>7</v>
      </c>
      <c r="T1072" s="9" t="s">
        <v>6103</v>
      </c>
      <c r="U1072" s="9" t="s">
        <v>6188</v>
      </c>
      <c r="V1072" s="58">
        <v>3</v>
      </c>
      <c r="W1072" s="9"/>
      <c r="X1072" s="9"/>
      <c r="Y1072" s="9"/>
      <c r="Z1072" s="9"/>
    </row>
    <row r="1073" spans="1:26" ht="15.75" customHeight="1">
      <c r="A1073" s="9" t="s">
        <v>6189</v>
      </c>
      <c r="B1073" s="9" t="s">
        <v>6190</v>
      </c>
      <c r="C1073" s="9" t="s">
        <v>743</v>
      </c>
      <c r="D1073" s="9" t="s">
        <v>439</v>
      </c>
      <c r="E1073" s="9"/>
      <c r="F1073" s="9"/>
      <c r="G1073" s="58">
        <v>5600</v>
      </c>
      <c r="H1073" s="85">
        <v>8.5714285714285701E-2</v>
      </c>
      <c r="I1073" s="9">
        <v>40</v>
      </c>
      <c r="J1073" s="9"/>
      <c r="K1073" s="9"/>
      <c r="L1073" s="9"/>
      <c r="M1073" s="9"/>
      <c r="N1073" s="9" t="s">
        <v>5010</v>
      </c>
      <c r="O1073" s="9" t="s">
        <v>3081</v>
      </c>
      <c r="P1073" s="9" t="s">
        <v>3244</v>
      </c>
      <c r="Q1073" s="58" t="s">
        <v>3155</v>
      </c>
      <c r="R1073" s="58">
        <v>1</v>
      </c>
      <c r="S1073" s="58">
        <v>8</v>
      </c>
      <c r="T1073" s="9" t="s">
        <v>3065</v>
      </c>
      <c r="U1073" s="9" t="s">
        <v>6191</v>
      </c>
      <c r="V1073" s="58">
        <v>1</v>
      </c>
      <c r="W1073" s="9"/>
      <c r="X1073" s="9"/>
      <c r="Y1073" s="9"/>
      <c r="Z1073" s="9"/>
    </row>
    <row r="1074" spans="1:26" ht="15.75" customHeight="1">
      <c r="A1074" s="9" t="s">
        <v>6189</v>
      </c>
      <c r="B1074" s="9" t="s">
        <v>6190</v>
      </c>
      <c r="C1074" s="9" t="s">
        <v>743</v>
      </c>
      <c r="D1074" s="9" t="s">
        <v>368</v>
      </c>
      <c r="E1074" s="9" t="s">
        <v>3920</v>
      </c>
      <c r="F1074" s="58" t="s">
        <v>3057</v>
      </c>
      <c r="G1074" s="58">
        <v>6160</v>
      </c>
      <c r="H1074" s="85">
        <v>0.27272727272727199</v>
      </c>
      <c r="I1074" s="9">
        <v>40</v>
      </c>
      <c r="J1074" s="9"/>
      <c r="K1074" s="9"/>
      <c r="L1074" s="9"/>
      <c r="M1074" s="9"/>
      <c r="N1074" s="9" t="s">
        <v>5010</v>
      </c>
      <c r="O1074" s="9" t="s">
        <v>3081</v>
      </c>
      <c r="P1074" s="9" t="s">
        <v>6192</v>
      </c>
      <c r="Q1074" s="58" t="s">
        <v>4057</v>
      </c>
      <c r="R1074" s="58">
        <v>4</v>
      </c>
      <c r="S1074" s="58">
        <v>7</v>
      </c>
      <c r="T1074" s="9" t="s">
        <v>3065</v>
      </c>
      <c r="U1074" s="9" t="s">
        <v>6193</v>
      </c>
      <c r="V1074" s="58">
        <v>4</v>
      </c>
      <c r="W1074" s="9"/>
      <c r="X1074" s="9"/>
      <c r="Y1074" s="9"/>
      <c r="Z1074" s="9"/>
    </row>
    <row r="1075" spans="1:26" ht="15.75" customHeight="1">
      <c r="A1075" s="9" t="s">
        <v>2677</v>
      </c>
      <c r="B1075" s="9" t="s">
        <v>6194</v>
      </c>
      <c r="C1075" s="9" t="s">
        <v>2679</v>
      </c>
      <c r="D1075" s="9" t="s">
        <v>368</v>
      </c>
      <c r="E1075" s="9" t="s">
        <v>3067</v>
      </c>
      <c r="F1075" s="58" t="s">
        <v>3057</v>
      </c>
      <c r="G1075" s="58">
        <v>5600</v>
      </c>
      <c r="H1075" s="85">
        <v>0.3</v>
      </c>
      <c r="I1075" s="9">
        <v>30.1</v>
      </c>
      <c r="J1075" s="9"/>
      <c r="K1075" s="9"/>
      <c r="L1075" s="9"/>
      <c r="M1075" s="9"/>
      <c r="N1075" s="9" t="s">
        <v>3891</v>
      </c>
      <c r="O1075" s="9" t="s">
        <v>3081</v>
      </c>
      <c r="P1075" s="9" t="s">
        <v>6195</v>
      </c>
      <c r="Q1075" s="58" t="s">
        <v>3185</v>
      </c>
      <c r="R1075" s="58">
        <v>4</v>
      </c>
      <c r="S1075" s="58">
        <v>7</v>
      </c>
      <c r="T1075" s="9" t="s">
        <v>3893</v>
      </c>
      <c r="U1075" s="9" t="s">
        <v>6196</v>
      </c>
      <c r="V1075" s="58">
        <v>4</v>
      </c>
      <c r="W1075" s="9"/>
      <c r="X1075" s="9"/>
      <c r="Y1075" s="9"/>
      <c r="Z1075" s="9"/>
    </row>
    <row r="1076" spans="1:26" ht="15.75" customHeight="1">
      <c r="A1076" s="9" t="s">
        <v>2680</v>
      </c>
      <c r="B1076" s="9" t="s">
        <v>6197</v>
      </c>
      <c r="C1076" s="9" t="s">
        <v>2682</v>
      </c>
      <c r="D1076" s="9" t="s">
        <v>368</v>
      </c>
      <c r="E1076" s="9" t="s">
        <v>3067</v>
      </c>
      <c r="F1076" s="58" t="s">
        <v>3057</v>
      </c>
      <c r="G1076" s="58">
        <v>5600</v>
      </c>
      <c r="H1076" s="85">
        <v>0.3</v>
      </c>
      <c r="I1076" s="9">
        <v>31.6</v>
      </c>
      <c r="J1076" s="9"/>
      <c r="K1076" s="9"/>
      <c r="L1076" s="9"/>
      <c r="M1076" s="9"/>
      <c r="N1076" s="9" t="s">
        <v>3891</v>
      </c>
      <c r="O1076" s="9" t="s">
        <v>3081</v>
      </c>
      <c r="P1076" s="9" t="s">
        <v>6195</v>
      </c>
      <c r="Q1076" s="58" t="s">
        <v>3185</v>
      </c>
      <c r="R1076" s="58">
        <v>4</v>
      </c>
      <c r="S1076" s="58">
        <v>7</v>
      </c>
      <c r="T1076" s="9" t="s">
        <v>3893</v>
      </c>
      <c r="U1076" s="9" t="s">
        <v>6198</v>
      </c>
      <c r="V1076" s="58">
        <v>4</v>
      </c>
      <c r="W1076" s="9"/>
      <c r="X1076" s="9"/>
      <c r="Y1076" s="9"/>
      <c r="Z1076" s="9"/>
    </row>
    <row r="1077" spans="1:26" ht="15.75" customHeight="1">
      <c r="A1077" s="9" t="s">
        <v>2683</v>
      </c>
      <c r="B1077" s="9" t="s">
        <v>6199</v>
      </c>
      <c r="C1077" s="9" t="s">
        <v>2685</v>
      </c>
      <c r="D1077" s="9" t="s">
        <v>439</v>
      </c>
      <c r="E1077" s="9"/>
      <c r="F1077" s="9"/>
      <c r="G1077" s="58">
        <v>4800</v>
      </c>
      <c r="H1077" s="85">
        <v>0.1</v>
      </c>
      <c r="I1077" s="9"/>
      <c r="J1077" s="9"/>
      <c r="K1077" s="9"/>
      <c r="L1077" s="9"/>
      <c r="M1077" s="9"/>
      <c r="N1077" s="9" t="s">
        <v>5537</v>
      </c>
      <c r="O1077" s="9" t="s">
        <v>3051</v>
      </c>
      <c r="P1077" s="9" t="s">
        <v>4499</v>
      </c>
      <c r="Q1077" s="58" t="s">
        <v>3122</v>
      </c>
      <c r="R1077" s="58">
        <v>1</v>
      </c>
      <c r="S1077" s="58">
        <v>8</v>
      </c>
      <c r="T1077" s="9" t="s">
        <v>6200</v>
      </c>
      <c r="U1077" s="9" t="s">
        <v>6201</v>
      </c>
      <c r="V1077" s="58">
        <v>1</v>
      </c>
      <c r="W1077" s="9"/>
      <c r="X1077" s="9"/>
      <c r="Y1077" s="9"/>
      <c r="Z1077" s="9"/>
    </row>
    <row r="1078" spans="1:26" ht="15.75" customHeight="1">
      <c r="A1078" s="9" t="s">
        <v>2683</v>
      </c>
      <c r="B1078" s="9" t="s">
        <v>6199</v>
      </c>
      <c r="C1078" s="9" t="s">
        <v>2685</v>
      </c>
      <c r="D1078" s="9" t="s">
        <v>368</v>
      </c>
      <c r="E1078" s="9" t="s">
        <v>3402</v>
      </c>
      <c r="F1078" s="58" t="s">
        <v>3057</v>
      </c>
      <c r="G1078" s="58">
        <v>9800</v>
      </c>
      <c r="H1078" s="85">
        <v>0.17142857142857101</v>
      </c>
      <c r="I1078" s="9"/>
      <c r="J1078" s="9"/>
      <c r="K1078" s="9"/>
      <c r="L1078" s="9"/>
      <c r="M1078" s="9"/>
      <c r="N1078" s="9" t="s">
        <v>5537</v>
      </c>
      <c r="O1078" s="9" t="s">
        <v>3051</v>
      </c>
      <c r="P1078" s="9" t="s">
        <v>4466</v>
      </c>
      <c r="Q1078" s="58" t="s">
        <v>3294</v>
      </c>
      <c r="R1078" s="58">
        <v>4</v>
      </c>
      <c r="S1078" s="58">
        <v>7</v>
      </c>
      <c r="T1078" s="9" t="s">
        <v>6200</v>
      </c>
      <c r="U1078" s="9" t="s">
        <v>6202</v>
      </c>
      <c r="V1078" s="58">
        <v>4</v>
      </c>
      <c r="W1078" s="9"/>
      <c r="X1078" s="9"/>
      <c r="Y1078" s="9"/>
      <c r="Z1078" s="9"/>
    </row>
    <row r="1079" spans="1:26" ht="15.75" customHeight="1">
      <c r="A1079" s="9" t="s">
        <v>2692</v>
      </c>
      <c r="B1079" s="9" t="s">
        <v>6203</v>
      </c>
      <c r="C1079" s="9" t="s">
        <v>2694</v>
      </c>
      <c r="D1079" s="9" t="s">
        <v>368</v>
      </c>
      <c r="E1079" s="9" t="s">
        <v>3092</v>
      </c>
      <c r="F1079" s="58" t="s">
        <v>3087</v>
      </c>
      <c r="G1079" s="58">
        <v>5600</v>
      </c>
      <c r="H1079" s="85">
        <v>0.3</v>
      </c>
      <c r="I1079" s="9"/>
      <c r="J1079" s="9"/>
      <c r="K1079" s="9"/>
      <c r="L1079" s="9"/>
      <c r="M1079" s="9"/>
      <c r="N1079" s="9" t="s">
        <v>3105</v>
      </c>
      <c r="O1079" s="9" t="s">
        <v>3081</v>
      </c>
      <c r="P1079" s="9" t="s">
        <v>6204</v>
      </c>
      <c r="Q1079" s="58" t="s">
        <v>3185</v>
      </c>
      <c r="R1079" s="58">
        <v>4</v>
      </c>
      <c r="S1079" s="58">
        <v>7</v>
      </c>
      <c r="T1079" s="9" t="s">
        <v>6205</v>
      </c>
      <c r="U1079" s="9" t="s">
        <v>6206</v>
      </c>
      <c r="V1079" s="58">
        <v>4</v>
      </c>
      <c r="W1079" s="9"/>
      <c r="X1079" s="9"/>
      <c r="Y1079" s="9"/>
      <c r="Z1079" s="9"/>
    </row>
    <row r="1080" spans="1:26" ht="15.75" customHeight="1">
      <c r="A1080" s="9" t="s">
        <v>2697</v>
      </c>
      <c r="B1080" s="9" t="s">
        <v>6207</v>
      </c>
      <c r="C1080" s="9" t="s">
        <v>2699</v>
      </c>
      <c r="D1080" s="9" t="s">
        <v>368</v>
      </c>
      <c r="E1080" s="9" t="s">
        <v>3092</v>
      </c>
      <c r="F1080" s="58" t="s">
        <v>3087</v>
      </c>
      <c r="G1080" s="58">
        <v>5600</v>
      </c>
      <c r="H1080" s="85">
        <v>0.3</v>
      </c>
      <c r="I1080" s="9"/>
      <c r="J1080" s="9"/>
      <c r="K1080" s="9"/>
      <c r="L1080" s="9"/>
      <c r="M1080" s="9"/>
      <c r="N1080" s="9" t="s">
        <v>3105</v>
      </c>
      <c r="O1080" s="9" t="s">
        <v>3081</v>
      </c>
      <c r="P1080" s="9" t="s">
        <v>6204</v>
      </c>
      <c r="Q1080" s="58" t="s">
        <v>3185</v>
      </c>
      <c r="R1080" s="58">
        <v>4</v>
      </c>
      <c r="S1080" s="58">
        <v>7</v>
      </c>
      <c r="T1080" s="9" t="s">
        <v>6205</v>
      </c>
      <c r="U1080" s="9" t="s">
        <v>6208</v>
      </c>
      <c r="V1080" s="58">
        <v>4</v>
      </c>
      <c r="W1080" s="9"/>
      <c r="X1080" s="9"/>
      <c r="Y1080" s="9"/>
      <c r="Z1080" s="9"/>
    </row>
    <row r="1081" spans="1:26" ht="15.75" customHeight="1">
      <c r="A1081" s="9" t="s">
        <v>2646</v>
      </c>
      <c r="B1081" s="9" t="s">
        <v>6209</v>
      </c>
      <c r="C1081" s="9" t="s">
        <v>2648</v>
      </c>
      <c r="D1081" s="9" t="s">
        <v>439</v>
      </c>
      <c r="E1081" s="9"/>
      <c r="F1081" s="9"/>
      <c r="G1081" s="58">
        <v>12000</v>
      </c>
      <c r="H1081" s="85">
        <v>0.04</v>
      </c>
      <c r="I1081" s="9">
        <v>30.6</v>
      </c>
      <c r="J1081" s="9"/>
      <c r="K1081" s="9"/>
      <c r="L1081" s="9"/>
      <c r="M1081" s="9"/>
      <c r="N1081" s="9" t="s">
        <v>5537</v>
      </c>
      <c r="O1081" s="9" t="s">
        <v>3051</v>
      </c>
      <c r="P1081" s="9" t="s">
        <v>3251</v>
      </c>
      <c r="Q1081" s="58" t="s">
        <v>3143</v>
      </c>
      <c r="R1081" s="58">
        <v>1</v>
      </c>
      <c r="S1081" s="58">
        <v>8</v>
      </c>
      <c r="T1081" s="9" t="s">
        <v>6210</v>
      </c>
      <c r="U1081" s="9" t="s">
        <v>6211</v>
      </c>
      <c r="V1081" s="58">
        <v>1</v>
      </c>
      <c r="W1081" s="9"/>
      <c r="X1081" s="9"/>
      <c r="Y1081" s="9"/>
      <c r="Z1081" s="9"/>
    </row>
    <row r="1082" spans="1:26" ht="15.75" customHeight="1">
      <c r="A1082" s="9" t="s">
        <v>2646</v>
      </c>
      <c r="B1082" s="9" t="s">
        <v>6209</v>
      </c>
      <c r="C1082" s="9" t="s">
        <v>2648</v>
      </c>
      <c r="D1082" s="9" t="s">
        <v>368</v>
      </c>
      <c r="E1082" s="9" t="s">
        <v>3920</v>
      </c>
      <c r="F1082" s="58" t="s">
        <v>3057</v>
      </c>
      <c r="G1082" s="58">
        <v>9100</v>
      </c>
      <c r="H1082" s="85">
        <v>0.138461538461538</v>
      </c>
      <c r="I1082" s="9">
        <v>30.6</v>
      </c>
      <c r="J1082" s="9"/>
      <c r="K1082" s="9"/>
      <c r="L1082" s="9"/>
      <c r="M1082" s="9"/>
      <c r="N1082" s="9" t="s">
        <v>5537</v>
      </c>
      <c r="O1082" s="9" t="s">
        <v>3051</v>
      </c>
      <c r="P1082" s="9" t="s">
        <v>6212</v>
      </c>
      <c r="Q1082" s="58" t="s">
        <v>3064</v>
      </c>
      <c r="R1082" s="58">
        <v>3</v>
      </c>
      <c r="S1082" s="58">
        <v>7</v>
      </c>
      <c r="T1082" s="9" t="s">
        <v>6210</v>
      </c>
      <c r="U1082" s="9" t="s">
        <v>6213</v>
      </c>
      <c r="V1082" s="58">
        <v>3</v>
      </c>
      <c r="W1082" s="9"/>
      <c r="X1082" s="9"/>
      <c r="Y1082" s="9"/>
      <c r="Z1082" s="9"/>
    </row>
    <row r="1083" spans="1:26" ht="15.75" customHeight="1">
      <c r="A1083" s="9" t="s">
        <v>2654</v>
      </c>
      <c r="B1083" s="9" t="s">
        <v>6214</v>
      </c>
      <c r="C1083" s="9" t="s">
        <v>2656</v>
      </c>
      <c r="D1083" s="9" t="s">
        <v>439</v>
      </c>
      <c r="E1083" s="9"/>
      <c r="F1083" s="9"/>
      <c r="G1083" s="58">
        <v>12000</v>
      </c>
      <c r="H1083" s="85">
        <v>0.04</v>
      </c>
      <c r="I1083" s="9">
        <v>29.7</v>
      </c>
      <c r="J1083" s="9"/>
      <c r="K1083" s="9"/>
      <c r="L1083" s="9"/>
      <c r="M1083" s="9"/>
      <c r="N1083" s="9" t="s">
        <v>5537</v>
      </c>
      <c r="O1083" s="9" t="s">
        <v>3051</v>
      </c>
      <c r="P1083" s="9" t="s">
        <v>3251</v>
      </c>
      <c r="Q1083" s="58" t="s">
        <v>3143</v>
      </c>
      <c r="R1083" s="58">
        <v>1</v>
      </c>
      <c r="S1083" s="58">
        <v>8</v>
      </c>
      <c r="T1083" s="9" t="s">
        <v>6210</v>
      </c>
      <c r="U1083" s="9" t="s">
        <v>6215</v>
      </c>
      <c r="V1083" s="58">
        <v>1</v>
      </c>
      <c r="W1083" s="9"/>
      <c r="X1083" s="9"/>
      <c r="Y1083" s="9"/>
      <c r="Z1083" s="9"/>
    </row>
    <row r="1084" spans="1:26" ht="15.75" customHeight="1">
      <c r="A1084" s="9" t="s">
        <v>2654</v>
      </c>
      <c r="B1084" s="9" t="s">
        <v>6214</v>
      </c>
      <c r="C1084" s="9" t="s">
        <v>2656</v>
      </c>
      <c r="D1084" s="9" t="s">
        <v>368</v>
      </c>
      <c r="E1084" s="9" t="s">
        <v>3920</v>
      </c>
      <c r="F1084" s="58" t="s">
        <v>3057</v>
      </c>
      <c r="G1084" s="58">
        <v>9100</v>
      </c>
      <c r="H1084" s="85">
        <v>0.138461538461538</v>
      </c>
      <c r="I1084" s="9">
        <v>29.7</v>
      </c>
      <c r="J1084" s="9"/>
      <c r="K1084" s="9"/>
      <c r="L1084" s="9"/>
      <c r="M1084" s="9"/>
      <c r="N1084" s="9" t="s">
        <v>5537</v>
      </c>
      <c r="O1084" s="9" t="s">
        <v>3051</v>
      </c>
      <c r="P1084" s="9" t="s">
        <v>6212</v>
      </c>
      <c r="Q1084" s="58" t="s">
        <v>3064</v>
      </c>
      <c r="R1084" s="58">
        <v>3</v>
      </c>
      <c r="S1084" s="58">
        <v>7</v>
      </c>
      <c r="T1084" s="9" t="s">
        <v>6210</v>
      </c>
      <c r="U1084" s="9" t="s">
        <v>6216</v>
      </c>
      <c r="V1084" s="58">
        <v>3</v>
      </c>
      <c r="W1084" s="9"/>
      <c r="X1084" s="9"/>
      <c r="Y1084" s="9"/>
      <c r="Z1084" s="9"/>
    </row>
    <row r="1085" spans="1:26" ht="15.75" customHeight="1">
      <c r="A1085" s="9" t="s">
        <v>2641</v>
      </c>
      <c r="B1085" s="9" t="s">
        <v>6217</v>
      </c>
      <c r="C1085" s="9" t="s">
        <v>2643</v>
      </c>
      <c r="D1085" s="9" t="s">
        <v>439</v>
      </c>
      <c r="E1085" s="9"/>
      <c r="F1085" s="9"/>
      <c r="G1085" s="58">
        <v>12000</v>
      </c>
      <c r="H1085" s="85">
        <v>0.04</v>
      </c>
      <c r="I1085" s="9">
        <v>32.4</v>
      </c>
      <c r="J1085" s="9"/>
      <c r="K1085" s="9"/>
      <c r="L1085" s="9"/>
      <c r="M1085" s="9"/>
      <c r="N1085" s="9" t="s">
        <v>5537</v>
      </c>
      <c r="O1085" s="9" t="s">
        <v>3051</v>
      </c>
      <c r="P1085" s="9" t="s">
        <v>3251</v>
      </c>
      <c r="Q1085" s="58" t="s">
        <v>3143</v>
      </c>
      <c r="R1085" s="58">
        <v>1</v>
      </c>
      <c r="S1085" s="58">
        <v>8</v>
      </c>
      <c r="T1085" s="9" t="s">
        <v>6210</v>
      </c>
      <c r="U1085" s="9" t="s">
        <v>6218</v>
      </c>
      <c r="V1085" s="58">
        <v>1</v>
      </c>
      <c r="W1085" s="9"/>
      <c r="X1085" s="9"/>
      <c r="Y1085" s="9"/>
      <c r="Z1085" s="9"/>
    </row>
    <row r="1086" spans="1:26" ht="15.75" customHeight="1">
      <c r="A1086" s="9" t="s">
        <v>2641</v>
      </c>
      <c r="B1086" s="9" t="s">
        <v>6217</v>
      </c>
      <c r="C1086" s="9" t="s">
        <v>2643</v>
      </c>
      <c r="D1086" s="9" t="s">
        <v>368</v>
      </c>
      <c r="E1086" s="9" t="s">
        <v>3920</v>
      </c>
      <c r="F1086" s="58" t="s">
        <v>3057</v>
      </c>
      <c r="G1086" s="58">
        <v>9100</v>
      </c>
      <c r="H1086" s="85">
        <v>0.138461538461538</v>
      </c>
      <c r="I1086" s="9">
        <v>32.4</v>
      </c>
      <c r="J1086" s="9"/>
      <c r="K1086" s="9"/>
      <c r="L1086" s="9"/>
      <c r="M1086" s="9"/>
      <c r="N1086" s="9" t="s">
        <v>5537</v>
      </c>
      <c r="O1086" s="9" t="s">
        <v>3051</v>
      </c>
      <c r="P1086" s="9" t="s">
        <v>6212</v>
      </c>
      <c r="Q1086" s="58" t="s">
        <v>3064</v>
      </c>
      <c r="R1086" s="58">
        <v>3</v>
      </c>
      <c r="S1086" s="58">
        <v>7</v>
      </c>
      <c r="T1086" s="9" t="s">
        <v>6210</v>
      </c>
      <c r="U1086" s="9" t="s">
        <v>6219</v>
      </c>
      <c r="V1086" s="58">
        <v>3</v>
      </c>
      <c r="W1086" s="9"/>
      <c r="X1086" s="9"/>
      <c r="Y1086" s="9"/>
      <c r="Z1086" s="9"/>
    </row>
    <row r="1087" spans="1:26" ht="15.75" customHeight="1">
      <c r="A1087" s="9" t="s">
        <v>2686</v>
      </c>
      <c r="B1087" s="9" t="s">
        <v>6220</v>
      </c>
      <c r="C1087" s="9" t="s">
        <v>2688</v>
      </c>
      <c r="D1087" s="9" t="s">
        <v>439</v>
      </c>
      <c r="E1087" s="9"/>
      <c r="F1087" s="9"/>
      <c r="G1087" s="58">
        <v>12000</v>
      </c>
      <c r="H1087" s="85">
        <v>0.04</v>
      </c>
      <c r="I1087" s="9">
        <v>30.3</v>
      </c>
      <c r="J1087" s="9"/>
      <c r="K1087" s="9"/>
      <c r="L1087" s="9"/>
      <c r="M1087" s="9"/>
      <c r="N1087" s="9" t="s">
        <v>5537</v>
      </c>
      <c r="O1087" s="9" t="s">
        <v>3051</v>
      </c>
      <c r="P1087" s="9" t="s">
        <v>3251</v>
      </c>
      <c r="Q1087" s="58" t="s">
        <v>3143</v>
      </c>
      <c r="R1087" s="58">
        <v>1</v>
      </c>
      <c r="S1087" s="58">
        <v>8</v>
      </c>
      <c r="T1087" s="9" t="s">
        <v>6210</v>
      </c>
      <c r="U1087" s="9" t="s">
        <v>6221</v>
      </c>
      <c r="V1087" s="58">
        <v>1</v>
      </c>
      <c r="W1087" s="9"/>
      <c r="X1087" s="9"/>
      <c r="Y1087" s="9"/>
      <c r="Z1087" s="9"/>
    </row>
    <row r="1088" spans="1:26" ht="15.75" customHeight="1">
      <c r="A1088" s="9" t="s">
        <v>2686</v>
      </c>
      <c r="B1088" s="9" t="s">
        <v>6220</v>
      </c>
      <c r="C1088" s="9" t="s">
        <v>2688</v>
      </c>
      <c r="D1088" s="9" t="s">
        <v>368</v>
      </c>
      <c r="E1088" s="9" t="s">
        <v>3920</v>
      </c>
      <c r="F1088" s="58" t="s">
        <v>3057</v>
      </c>
      <c r="G1088" s="58">
        <v>9100</v>
      </c>
      <c r="H1088" s="85">
        <v>0.138461538461538</v>
      </c>
      <c r="I1088" s="9">
        <v>30.3</v>
      </c>
      <c r="J1088" s="9"/>
      <c r="K1088" s="9"/>
      <c r="L1088" s="9"/>
      <c r="M1088" s="9"/>
      <c r="N1088" s="9" t="s">
        <v>5537</v>
      </c>
      <c r="O1088" s="9" t="s">
        <v>3051</v>
      </c>
      <c r="P1088" s="9" t="s">
        <v>6212</v>
      </c>
      <c r="Q1088" s="58" t="s">
        <v>3064</v>
      </c>
      <c r="R1088" s="58">
        <v>3</v>
      </c>
      <c r="S1088" s="58">
        <v>7</v>
      </c>
      <c r="T1088" s="9" t="s">
        <v>6210</v>
      </c>
      <c r="U1088" s="9" t="s">
        <v>6222</v>
      </c>
      <c r="V1088" s="58">
        <v>3</v>
      </c>
      <c r="W1088" s="9"/>
      <c r="X1088" s="9"/>
      <c r="Y1088" s="9"/>
      <c r="Z1088" s="9"/>
    </row>
    <row r="1089" spans="1:26" ht="15.75" customHeight="1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ht="15.75" customHeight="1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ht="15.75" customHeight="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ht="15.75" customHeight="1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ht="15.75" customHeight="1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ht="15.75" customHeight="1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ht="15.75" customHeight="1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ht="15.75" customHeight="1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ht="15.75" customHeight="1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ht="15.75" customHeight="1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ht="15.75" customHeight="1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ht="15.75" customHeight="1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ht="15.75" customHeight="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ht="15.75" customHeight="1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ht="15.75" customHeight="1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ht="15.75" customHeight="1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ht="15.75" customHeight="1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ht="15.75" customHeight="1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ht="15.75" customHeight="1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ht="15.75" customHeight="1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ht="15.75" customHeight="1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ht="15.75" customHeight="1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ht="15.75" customHeight="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ht="15.75" customHeight="1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ht="15.75" customHeight="1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ht="15.75" customHeight="1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ht="15.75" customHeight="1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ht="15.75" customHeight="1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ht="15.75" customHeight="1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ht="15.75" customHeight="1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ht="15.75" customHeight="1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ht="15.75" customHeight="1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ht="15.75" customHeight="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ht="15.75" customHeight="1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ht="15.75" customHeight="1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ht="15.75" customHeight="1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ht="15.75" customHeight="1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ht="15.75" customHeight="1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ht="15.75" customHeight="1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ht="15.75" customHeight="1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ht="15.75" customHeight="1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ht="15.75" customHeight="1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ht="15.75" customHeight="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ht="15.75" customHeight="1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ht="15.75" customHeight="1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ht="15.75" customHeight="1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ht="15.75" customHeight="1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ht="15.75" customHeight="1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ht="15.75" customHeight="1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ht="15.75" customHeight="1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ht="15.75" customHeight="1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ht="15.75" customHeight="1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ht="15.75" customHeight="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ht="15.75" customHeight="1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ht="15.75" customHeight="1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ht="15.75" customHeight="1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ht="15.75" customHeight="1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ht="15.75" customHeight="1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ht="15.75" customHeight="1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ht="15.75" customHeight="1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ht="15.75" customHeight="1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ht="15.75" customHeight="1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ht="15.75" customHeight="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ht="15.75" customHeight="1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ht="15.75" customHeight="1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ht="15.75" customHeight="1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ht="15.75" customHeight="1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ht="15.75" customHeight="1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ht="15.75" customHeight="1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ht="15.75" customHeight="1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ht="15.75" customHeight="1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ht="15.75" customHeight="1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ht="15.75" customHeight="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ht="15.75" customHeight="1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ht="15.75" customHeight="1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ht="15.75" customHeight="1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ht="15.75" customHeight="1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ht="15.75" customHeight="1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ht="15.75" customHeight="1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ht="15.75" customHeight="1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ht="15.75" customHeight="1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ht="15.75" customHeight="1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ht="15.75" customHeight="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ht="15.75" customHeight="1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ht="15.75" customHeight="1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ht="15.75" customHeight="1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ht="15.75" customHeight="1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ht="15.75" customHeight="1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ht="15.75" customHeight="1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ht="15.75" customHeight="1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ht="15.75" customHeight="1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ht="15.75" customHeight="1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ht="15.75" customHeight="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ht="15.75" customHeight="1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ht="15.75" customHeight="1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ht="15.75" customHeight="1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ht="15.75" customHeight="1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ht="15.75" customHeight="1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ht="15.75" customHeight="1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ht="15.75" customHeight="1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ht="15.75" customHeight="1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ht="15.75" customHeight="1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ht="15.75" customHeight="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ht="15.75" customHeight="1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ht="15.75" customHeight="1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ht="15.75" customHeight="1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ht="15.75" customHeight="1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ht="15.75" customHeight="1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ht="15.75" customHeight="1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ht="15.75" customHeight="1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ht="15.75" customHeight="1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ht="15.75" customHeight="1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ht="15.75" customHeight="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ht="15.75" customHeight="1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ht="15.75" customHeight="1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ht="15.75" customHeight="1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ht="15.75" customHeight="1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ht="15.75" customHeight="1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ht="15.75" customHeight="1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ht="15.75" customHeight="1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ht="15.75" customHeight="1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ht="15.75" customHeight="1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ht="15.75" customHeight="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ht="15.75" customHeight="1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ht="15.75" customHeight="1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ht="15.75" customHeight="1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ht="15.75" customHeight="1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ht="15.75" customHeight="1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ht="15.75" customHeight="1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ht="15.75" customHeight="1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ht="15.75" customHeight="1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ht="15.75" customHeight="1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ht="15.75" customHeight="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ht="15.75" customHeight="1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ht="15.75" customHeight="1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ht="15.75" customHeight="1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ht="15.75" customHeight="1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ht="15.75" customHeight="1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ht="15.75" customHeight="1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ht="15.75" customHeight="1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ht="15.75" customHeight="1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ht="15.75" customHeight="1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ht="15.75" customHeight="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ht="15.75" customHeight="1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ht="15.75" customHeight="1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ht="15.75" customHeight="1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ht="15.75" customHeight="1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ht="15.75" customHeight="1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ht="15.75" customHeight="1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ht="15.75" customHeight="1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ht="15.75" customHeight="1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ht="15.75" customHeight="1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ht="15.75" customHeight="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ht="15.75" customHeight="1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ht="15.75" customHeight="1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ht="15.75" customHeight="1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ht="15.75" customHeight="1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ht="15.75" customHeight="1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ht="15.75" customHeight="1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ht="15.75" customHeight="1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ht="15.75" customHeight="1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ht="15.75" customHeight="1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ht="15.75" customHeight="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ht="15.75" customHeight="1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ht="15.75" customHeight="1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ht="15.75" customHeight="1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ht="15.75" customHeight="1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ht="15.75" customHeight="1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ht="15.75" customHeight="1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ht="15.75" customHeight="1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ht="15.75" customHeight="1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ht="15.75" customHeight="1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ht="15.75" customHeight="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ht="15.75" customHeight="1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ht="15.75" customHeight="1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ht="15.75" customHeight="1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ht="15.75" customHeight="1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ht="15.75" customHeight="1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ht="15.75" customHeight="1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ht="15.75" customHeight="1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ht="15.75" customHeight="1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ht="15.75" customHeight="1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ht="15.75" customHeight="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ht="15.75" customHeight="1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ht="15.75" customHeight="1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ht="15.75" customHeight="1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ht="15.75" customHeight="1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ht="15.75" customHeight="1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ht="15.75" customHeight="1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ht="15.75" customHeight="1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ht="15.75" customHeight="1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ht="15.75" customHeight="1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ht="15.75" customHeight="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ht="15.75" customHeight="1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ht="15.75" customHeight="1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ht="15.75" customHeight="1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ht="15.75" customHeight="1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ht="15.75" customHeight="1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ht="15.75" customHeight="1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ht="15.75" customHeight="1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</sheetData>
  <autoFilter ref="A1:AA1017" xr:uid="{00000000-0009-0000-0000-000009000000}">
    <filterColumn colId="3">
      <filters>
        <filter val="充填1"/>
        <filter val="前置"/>
        <filter val="洗瓶"/>
        <filter val="排瓶(內杯)"/>
        <filter val="排瓶(月亮杯)"/>
        <filter val="排瓶(外杯)"/>
        <filter val="排瓶(細管)"/>
        <filter val="組裝"/>
      </filters>
    </filterColumn>
  </autoFilter>
  <phoneticPr fontId="42" type="noConversion"/>
  <hyperlinks>
    <hyperlink ref="A486" r:id="rId1" location="gid=1275684133&amp;range=A1" xr:uid="{00000000-0004-0000-0900-000000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20" ht="15.75" customHeight="1">
      <c r="A1" s="9" t="s">
        <v>2817</v>
      </c>
      <c r="B1" s="9" t="s">
        <v>6223</v>
      </c>
      <c r="C1" s="9" t="s">
        <v>6224</v>
      </c>
      <c r="D1" s="9" t="s">
        <v>6225</v>
      </c>
      <c r="E1" s="9" t="s">
        <v>360</v>
      </c>
      <c r="F1" s="9" t="s">
        <v>421</v>
      </c>
      <c r="G1" s="9" t="s">
        <v>415</v>
      </c>
      <c r="H1" s="9" t="s">
        <v>420</v>
      </c>
      <c r="I1" s="9" t="s">
        <v>6226</v>
      </c>
      <c r="J1" s="9" t="s">
        <v>6227</v>
      </c>
      <c r="K1" s="9" t="s">
        <v>6228</v>
      </c>
      <c r="L1" s="9" t="s">
        <v>358</v>
      </c>
      <c r="M1" s="9" t="s">
        <v>6229</v>
      </c>
      <c r="N1" s="9" t="s">
        <v>6230</v>
      </c>
      <c r="O1" s="9" t="s">
        <v>6231</v>
      </c>
      <c r="P1" s="9" t="s">
        <v>6232</v>
      </c>
      <c r="Q1" s="9" t="s">
        <v>6233</v>
      </c>
      <c r="R1" s="9" t="s">
        <v>6234</v>
      </c>
      <c r="S1" s="9" t="s">
        <v>6235</v>
      </c>
      <c r="T1" s="59"/>
    </row>
    <row r="2" spans="1:20" ht="15.75" customHeight="1">
      <c r="A2" s="9" t="s">
        <v>2945</v>
      </c>
      <c r="C2" s="9" t="s">
        <v>6236</v>
      </c>
      <c r="D2" s="9" t="s">
        <v>431</v>
      </c>
      <c r="E2" s="9" t="s">
        <v>368</v>
      </c>
      <c r="F2" s="9" t="s">
        <v>436</v>
      </c>
      <c r="G2" s="9" t="s">
        <v>434</v>
      </c>
      <c r="H2" s="87" t="s">
        <v>6237</v>
      </c>
      <c r="I2" s="87" t="s">
        <v>6238</v>
      </c>
      <c r="J2" s="87" t="s">
        <v>6239</v>
      </c>
      <c r="K2" s="87" t="s">
        <v>6240</v>
      </c>
      <c r="L2" s="87" t="s">
        <v>6241</v>
      </c>
      <c r="M2" s="9" t="s">
        <v>6242</v>
      </c>
      <c r="N2" s="87" t="s">
        <v>6239</v>
      </c>
      <c r="O2" s="9" t="s">
        <v>6243</v>
      </c>
      <c r="P2" s="87" t="s">
        <v>3764</v>
      </c>
      <c r="Q2" s="87" t="s">
        <v>6238</v>
      </c>
      <c r="R2" s="87" t="s">
        <v>6244</v>
      </c>
      <c r="S2" s="87" t="s">
        <v>6245</v>
      </c>
      <c r="T2" s="59">
        <f t="shared" ref="T2:T229" si="0">DATEVALUE(L2)</f>
        <v>45265</v>
      </c>
    </row>
    <row r="3" spans="1:20" ht="15.75" customHeight="1">
      <c r="A3" s="9" t="s">
        <v>2945</v>
      </c>
      <c r="C3" s="9" t="s">
        <v>6236</v>
      </c>
      <c r="D3" s="9" t="s">
        <v>431</v>
      </c>
      <c r="E3" s="9" t="s">
        <v>368</v>
      </c>
      <c r="F3" s="9" t="s">
        <v>436</v>
      </c>
      <c r="G3" s="9" t="s">
        <v>434</v>
      </c>
      <c r="H3" s="87" t="s">
        <v>6237</v>
      </c>
      <c r="I3" s="87" t="s">
        <v>6238</v>
      </c>
      <c r="J3" s="87" t="s">
        <v>6245</v>
      </c>
      <c r="K3" s="87" t="s">
        <v>6240</v>
      </c>
      <c r="L3" s="87" t="s">
        <v>6246</v>
      </c>
      <c r="M3" s="9" t="s">
        <v>6247</v>
      </c>
      <c r="N3" s="87" t="s">
        <v>6245</v>
      </c>
      <c r="O3" s="9" t="s">
        <v>6243</v>
      </c>
      <c r="P3" s="87" t="s">
        <v>6238</v>
      </c>
      <c r="Q3" s="87" t="s">
        <v>6238</v>
      </c>
      <c r="R3" s="87" t="s">
        <v>6244</v>
      </c>
      <c r="S3" s="87" t="s">
        <v>6239</v>
      </c>
      <c r="T3" s="59">
        <f t="shared" si="0"/>
        <v>45264</v>
      </c>
    </row>
    <row r="4" spans="1:20" ht="15.75" customHeight="1">
      <c r="A4" s="9" t="s">
        <v>2966</v>
      </c>
      <c r="C4" s="9" t="s">
        <v>6236</v>
      </c>
      <c r="D4" s="9" t="s">
        <v>431</v>
      </c>
      <c r="E4" s="9" t="s">
        <v>368</v>
      </c>
      <c r="F4" s="9" t="s">
        <v>436</v>
      </c>
      <c r="G4" s="9" t="s">
        <v>434</v>
      </c>
      <c r="H4" s="87" t="s">
        <v>6237</v>
      </c>
      <c r="I4" s="87" t="s">
        <v>6248</v>
      </c>
      <c r="J4" s="87" t="s">
        <v>6239</v>
      </c>
      <c r="K4" s="87" t="s">
        <v>6240</v>
      </c>
      <c r="L4" s="87" t="s">
        <v>6249</v>
      </c>
      <c r="M4" s="9" t="s">
        <v>6242</v>
      </c>
      <c r="N4" s="87" t="s">
        <v>6239</v>
      </c>
      <c r="O4" s="9" t="s">
        <v>6243</v>
      </c>
      <c r="P4" s="87" t="s">
        <v>3764</v>
      </c>
      <c r="Q4" s="87" t="s">
        <v>6248</v>
      </c>
      <c r="R4" s="87" t="s">
        <v>6244</v>
      </c>
      <c r="S4" s="87" t="s">
        <v>6245</v>
      </c>
      <c r="T4" s="59">
        <f t="shared" si="0"/>
        <v>45159</v>
      </c>
    </row>
    <row r="5" spans="1:20" ht="15.75" customHeight="1">
      <c r="A5" s="9" t="s">
        <v>2924</v>
      </c>
      <c r="C5" s="9" t="s">
        <v>6236</v>
      </c>
      <c r="D5" s="9" t="s">
        <v>431</v>
      </c>
      <c r="E5" s="9" t="s">
        <v>368</v>
      </c>
      <c r="F5" s="9" t="s">
        <v>436</v>
      </c>
      <c r="G5" s="9" t="s">
        <v>434</v>
      </c>
      <c r="H5" s="87" t="s">
        <v>6237</v>
      </c>
      <c r="I5" s="87" t="s">
        <v>6250</v>
      </c>
      <c r="J5" s="87" t="s">
        <v>6251</v>
      </c>
      <c r="K5" s="87" t="s">
        <v>6240</v>
      </c>
      <c r="L5" s="87" t="s">
        <v>6252</v>
      </c>
      <c r="M5" s="9" t="s">
        <v>6253</v>
      </c>
      <c r="N5" s="87" t="s">
        <v>6251</v>
      </c>
      <c r="O5" s="9" t="s">
        <v>6243</v>
      </c>
      <c r="P5" s="87" t="s">
        <v>6254</v>
      </c>
      <c r="Q5" s="87" t="s">
        <v>6250</v>
      </c>
      <c r="R5" s="87" t="s">
        <v>6255</v>
      </c>
      <c r="S5" s="87" t="s">
        <v>6245</v>
      </c>
      <c r="T5" s="59">
        <f t="shared" si="0"/>
        <v>45158</v>
      </c>
    </row>
    <row r="6" spans="1:20" ht="15.75" customHeight="1">
      <c r="A6" s="9" t="s">
        <v>2966</v>
      </c>
      <c r="C6" s="9" t="s">
        <v>6236</v>
      </c>
      <c r="D6" s="9" t="s">
        <v>431</v>
      </c>
      <c r="E6" s="9" t="s">
        <v>368</v>
      </c>
      <c r="F6" s="9" t="s">
        <v>436</v>
      </c>
      <c r="G6" s="9" t="s">
        <v>434</v>
      </c>
      <c r="H6" s="87" t="s">
        <v>6237</v>
      </c>
      <c r="I6" s="87" t="s">
        <v>6248</v>
      </c>
      <c r="J6" s="87" t="s">
        <v>6256</v>
      </c>
      <c r="K6" s="87" t="s">
        <v>6240</v>
      </c>
      <c r="L6" s="87" t="s">
        <v>6252</v>
      </c>
      <c r="M6" s="9" t="s">
        <v>6257</v>
      </c>
      <c r="N6" s="87" t="s">
        <v>6256</v>
      </c>
      <c r="O6" s="9" t="s">
        <v>6243</v>
      </c>
      <c r="P6" s="87" t="s">
        <v>6258</v>
      </c>
      <c r="Q6" s="87" t="s">
        <v>6248</v>
      </c>
      <c r="R6" s="87" t="s">
        <v>6244</v>
      </c>
      <c r="S6" s="87" t="s">
        <v>6259</v>
      </c>
      <c r="T6" s="59">
        <f t="shared" si="0"/>
        <v>45158</v>
      </c>
    </row>
    <row r="7" spans="1:20" ht="15.75" customHeight="1">
      <c r="A7" s="9" t="s">
        <v>2924</v>
      </c>
      <c r="C7" s="9" t="s">
        <v>6236</v>
      </c>
      <c r="D7" s="9" t="s">
        <v>431</v>
      </c>
      <c r="E7" s="9" t="s">
        <v>368</v>
      </c>
      <c r="F7" s="9" t="s">
        <v>436</v>
      </c>
      <c r="G7" s="9" t="s">
        <v>434</v>
      </c>
      <c r="H7" s="87" t="s">
        <v>6237</v>
      </c>
      <c r="I7" s="87" t="s">
        <v>6250</v>
      </c>
      <c r="J7" s="87" t="s">
        <v>6260</v>
      </c>
      <c r="K7" s="87" t="s">
        <v>6240</v>
      </c>
      <c r="L7" s="87" t="s">
        <v>6261</v>
      </c>
      <c r="M7" s="9" t="s">
        <v>6262</v>
      </c>
      <c r="N7" s="87" t="s">
        <v>6260</v>
      </c>
      <c r="O7" s="9" t="s">
        <v>6243</v>
      </c>
      <c r="P7" s="87" t="s">
        <v>4014</v>
      </c>
      <c r="Q7" s="87" t="s">
        <v>6250</v>
      </c>
      <c r="R7" s="87" t="s">
        <v>6244</v>
      </c>
      <c r="S7" s="87" t="s">
        <v>6263</v>
      </c>
      <c r="T7" s="59">
        <f t="shared" si="0"/>
        <v>45157</v>
      </c>
    </row>
    <row r="8" spans="1:20" ht="15.75" customHeight="1">
      <c r="A8" s="9" t="s">
        <v>2916</v>
      </c>
      <c r="C8" s="9" t="s">
        <v>6236</v>
      </c>
      <c r="D8" s="9" t="s">
        <v>431</v>
      </c>
      <c r="E8" s="9" t="s">
        <v>368</v>
      </c>
      <c r="F8" s="9" t="s">
        <v>436</v>
      </c>
      <c r="G8" s="9" t="s">
        <v>434</v>
      </c>
      <c r="H8" s="87" t="s">
        <v>6264</v>
      </c>
      <c r="I8" s="87" t="s">
        <v>6239</v>
      </c>
      <c r="J8" s="87" t="s">
        <v>5381</v>
      </c>
      <c r="K8" s="87" t="s">
        <v>6240</v>
      </c>
      <c r="L8" s="87" t="s">
        <v>6265</v>
      </c>
      <c r="M8" s="9" t="s">
        <v>6266</v>
      </c>
      <c r="N8" s="87" t="s">
        <v>5381</v>
      </c>
      <c r="O8" s="9" t="s">
        <v>6243</v>
      </c>
      <c r="P8" s="87" t="s">
        <v>4081</v>
      </c>
      <c r="Q8" s="87" t="s">
        <v>6239</v>
      </c>
      <c r="R8" s="87" t="s">
        <v>6267</v>
      </c>
      <c r="S8" s="87" t="s">
        <v>6245</v>
      </c>
      <c r="T8" s="59">
        <f t="shared" si="0"/>
        <v>45155</v>
      </c>
    </row>
    <row r="9" spans="1:20" ht="15.75" customHeight="1">
      <c r="A9" s="9" t="s">
        <v>2944</v>
      </c>
      <c r="C9" s="9" t="s">
        <v>6236</v>
      </c>
      <c r="D9" s="9" t="s">
        <v>431</v>
      </c>
      <c r="E9" s="9" t="s">
        <v>368</v>
      </c>
      <c r="F9" s="9" t="s">
        <v>436</v>
      </c>
      <c r="G9" s="9" t="s">
        <v>434</v>
      </c>
      <c r="H9" s="87" t="s">
        <v>6237</v>
      </c>
      <c r="I9" s="87" t="s">
        <v>6268</v>
      </c>
      <c r="J9" s="87" t="s">
        <v>6268</v>
      </c>
      <c r="K9" s="87" t="s">
        <v>6240</v>
      </c>
      <c r="L9" s="87" t="s">
        <v>6265</v>
      </c>
      <c r="M9" s="9" t="s">
        <v>6269</v>
      </c>
      <c r="N9" s="87" t="s">
        <v>6268</v>
      </c>
      <c r="O9" s="9" t="s">
        <v>6243</v>
      </c>
      <c r="P9" s="87" t="s">
        <v>6270</v>
      </c>
      <c r="Q9" s="87" t="s">
        <v>6268</v>
      </c>
      <c r="R9" s="87" t="s">
        <v>6244</v>
      </c>
      <c r="S9" s="87" t="s">
        <v>6271</v>
      </c>
      <c r="T9" s="59">
        <f t="shared" si="0"/>
        <v>45155</v>
      </c>
    </row>
    <row r="10" spans="1:20" ht="15.75" customHeight="1">
      <c r="A10" s="9" t="s">
        <v>2916</v>
      </c>
      <c r="C10" s="9" t="s">
        <v>6236</v>
      </c>
      <c r="D10" s="9" t="s">
        <v>431</v>
      </c>
      <c r="E10" s="9" t="s">
        <v>368</v>
      </c>
      <c r="F10" s="9" t="s">
        <v>436</v>
      </c>
      <c r="G10" s="9" t="s">
        <v>434</v>
      </c>
      <c r="H10" s="87" t="s">
        <v>6264</v>
      </c>
      <c r="I10" s="87" t="s">
        <v>6239</v>
      </c>
      <c r="J10" s="87" t="s">
        <v>6268</v>
      </c>
      <c r="K10" s="87" t="s">
        <v>6240</v>
      </c>
      <c r="L10" s="87" t="s">
        <v>6272</v>
      </c>
      <c r="M10" s="9" t="s">
        <v>6269</v>
      </c>
      <c r="N10" s="87" t="s">
        <v>6268</v>
      </c>
      <c r="O10" s="9" t="s">
        <v>6243</v>
      </c>
      <c r="P10" s="87" t="s">
        <v>6270</v>
      </c>
      <c r="Q10" s="87" t="s">
        <v>6239</v>
      </c>
      <c r="R10" s="87" t="s">
        <v>6244</v>
      </c>
      <c r="S10" s="87" t="s">
        <v>6271</v>
      </c>
      <c r="T10" s="59">
        <f t="shared" si="0"/>
        <v>45154</v>
      </c>
    </row>
    <row r="11" spans="1:20" ht="15.75" customHeight="1">
      <c r="A11" s="9" t="s">
        <v>2946</v>
      </c>
      <c r="C11" s="9" t="s">
        <v>6236</v>
      </c>
      <c r="D11" s="9" t="s">
        <v>431</v>
      </c>
      <c r="E11" s="9" t="s">
        <v>368</v>
      </c>
      <c r="F11" s="9" t="s">
        <v>436</v>
      </c>
      <c r="G11" s="9" t="s">
        <v>434</v>
      </c>
      <c r="H11" s="87" t="s">
        <v>6264</v>
      </c>
      <c r="I11" s="87" t="s">
        <v>6273</v>
      </c>
      <c r="J11" s="87" t="s">
        <v>6273</v>
      </c>
      <c r="K11" s="87" t="s">
        <v>6240</v>
      </c>
      <c r="L11" s="87" t="s">
        <v>6274</v>
      </c>
      <c r="M11" s="9" t="s">
        <v>6275</v>
      </c>
      <c r="N11" s="87" t="s">
        <v>6273</v>
      </c>
      <c r="O11" s="9" t="s">
        <v>6243</v>
      </c>
      <c r="P11" s="87" t="s">
        <v>6276</v>
      </c>
      <c r="Q11" s="87" t="s">
        <v>6273</v>
      </c>
      <c r="R11" s="87" t="s">
        <v>6244</v>
      </c>
      <c r="S11" s="87" t="s">
        <v>6277</v>
      </c>
      <c r="T11" s="59">
        <f t="shared" si="0"/>
        <v>45153</v>
      </c>
    </row>
    <row r="12" spans="1:20" ht="15.75" customHeight="1">
      <c r="A12" s="9" t="s">
        <v>3029</v>
      </c>
      <c r="C12" s="9" t="s">
        <v>6236</v>
      </c>
      <c r="D12" s="9" t="s">
        <v>431</v>
      </c>
      <c r="E12" s="9" t="s">
        <v>368</v>
      </c>
      <c r="F12" s="9" t="s">
        <v>436</v>
      </c>
      <c r="G12" s="9" t="s">
        <v>434</v>
      </c>
      <c r="H12" s="87" t="s">
        <v>6237</v>
      </c>
      <c r="I12" s="87" t="s">
        <v>6278</v>
      </c>
      <c r="J12" s="87" t="s">
        <v>6239</v>
      </c>
      <c r="K12" s="87" t="s">
        <v>6240</v>
      </c>
      <c r="L12" s="87" t="s">
        <v>6279</v>
      </c>
      <c r="M12" s="9" t="s">
        <v>6242</v>
      </c>
      <c r="N12" s="87" t="s">
        <v>6239</v>
      </c>
      <c r="O12" s="9" t="s">
        <v>6243</v>
      </c>
      <c r="P12" s="87" t="s">
        <v>3764</v>
      </c>
      <c r="Q12" s="87" t="s">
        <v>6278</v>
      </c>
      <c r="R12" s="87" t="s">
        <v>6244</v>
      </c>
      <c r="S12" s="87" t="s">
        <v>6245</v>
      </c>
      <c r="T12" s="59">
        <f t="shared" si="0"/>
        <v>45151</v>
      </c>
    </row>
    <row r="13" spans="1:20" ht="15.75" customHeight="1">
      <c r="A13" s="9" t="s">
        <v>3029</v>
      </c>
      <c r="C13" s="9" t="s">
        <v>6236</v>
      </c>
      <c r="D13" s="9" t="s">
        <v>431</v>
      </c>
      <c r="E13" s="9" t="s">
        <v>368</v>
      </c>
      <c r="F13" s="9" t="s">
        <v>436</v>
      </c>
      <c r="G13" s="9" t="s">
        <v>434</v>
      </c>
      <c r="H13" s="87" t="s">
        <v>6237</v>
      </c>
      <c r="I13" s="87" t="s">
        <v>6278</v>
      </c>
      <c r="J13" s="87" t="s">
        <v>6280</v>
      </c>
      <c r="K13" s="87" t="s">
        <v>6240</v>
      </c>
      <c r="L13" s="87" t="s">
        <v>6281</v>
      </c>
      <c r="M13" s="9" t="s">
        <v>6282</v>
      </c>
      <c r="N13" s="87" t="s">
        <v>6280</v>
      </c>
      <c r="O13" s="9" t="s">
        <v>6243</v>
      </c>
      <c r="P13" s="87" t="s">
        <v>6283</v>
      </c>
      <c r="Q13" s="87" t="s">
        <v>6278</v>
      </c>
      <c r="R13" s="87" t="s">
        <v>6244</v>
      </c>
      <c r="S13" s="87" t="s">
        <v>6284</v>
      </c>
      <c r="T13" s="59">
        <f t="shared" si="0"/>
        <v>45150</v>
      </c>
    </row>
    <row r="14" spans="1:20" ht="15.75" customHeight="1">
      <c r="A14" s="9" t="s">
        <v>3005</v>
      </c>
      <c r="C14" s="9" t="s">
        <v>6236</v>
      </c>
      <c r="D14" s="9" t="s">
        <v>431</v>
      </c>
      <c r="E14" s="9" t="s">
        <v>368</v>
      </c>
      <c r="F14" s="9" t="s">
        <v>436</v>
      </c>
      <c r="G14" s="9" t="s">
        <v>434</v>
      </c>
      <c r="H14" s="87" t="s">
        <v>6237</v>
      </c>
      <c r="I14" s="87" t="s">
        <v>6255</v>
      </c>
      <c r="J14" s="87" t="s">
        <v>6255</v>
      </c>
      <c r="K14" s="87" t="s">
        <v>6240</v>
      </c>
      <c r="L14" s="87" t="s">
        <v>6285</v>
      </c>
      <c r="M14" s="9" t="s">
        <v>6286</v>
      </c>
      <c r="N14" s="87" t="s">
        <v>6255</v>
      </c>
      <c r="O14" s="9" t="s">
        <v>6243</v>
      </c>
      <c r="P14" s="87" t="s">
        <v>4947</v>
      </c>
      <c r="Q14" s="87" t="s">
        <v>6255</v>
      </c>
      <c r="R14" s="87" t="s">
        <v>6244</v>
      </c>
      <c r="S14" s="87" t="s">
        <v>6287</v>
      </c>
      <c r="T14" s="59">
        <f t="shared" si="0"/>
        <v>45148</v>
      </c>
    </row>
    <row r="15" spans="1:20" ht="15.75" customHeight="1">
      <c r="A15" s="9" t="s">
        <v>2949</v>
      </c>
      <c r="C15" s="9" t="s">
        <v>6236</v>
      </c>
      <c r="D15" s="9" t="s">
        <v>431</v>
      </c>
      <c r="E15" s="9" t="s">
        <v>368</v>
      </c>
      <c r="F15" s="9" t="s">
        <v>436</v>
      </c>
      <c r="G15" s="9" t="s">
        <v>434</v>
      </c>
      <c r="H15" s="87" t="s">
        <v>6264</v>
      </c>
      <c r="I15" s="87" t="s">
        <v>6288</v>
      </c>
      <c r="J15" s="87" t="s">
        <v>6239</v>
      </c>
      <c r="K15" s="87" t="s">
        <v>6240</v>
      </c>
      <c r="L15" s="87" t="s">
        <v>6289</v>
      </c>
      <c r="M15" s="9" t="s">
        <v>6242</v>
      </c>
      <c r="N15" s="87" t="s">
        <v>6239</v>
      </c>
      <c r="O15" s="9" t="s">
        <v>6243</v>
      </c>
      <c r="P15" s="87" t="s">
        <v>3764</v>
      </c>
      <c r="Q15" s="87" t="s">
        <v>6288</v>
      </c>
      <c r="R15" s="87" t="s">
        <v>6244</v>
      </c>
      <c r="S15" s="87" t="s">
        <v>6245</v>
      </c>
      <c r="T15" s="59">
        <f t="shared" si="0"/>
        <v>45145</v>
      </c>
    </row>
    <row r="16" spans="1:20" ht="15.75" customHeight="1">
      <c r="A16" s="9" t="s">
        <v>2930</v>
      </c>
      <c r="C16" s="9" t="s">
        <v>6236</v>
      </c>
      <c r="D16" s="9" t="s">
        <v>431</v>
      </c>
      <c r="E16" s="9" t="s">
        <v>368</v>
      </c>
      <c r="F16" s="9" t="s">
        <v>436</v>
      </c>
      <c r="G16" s="9" t="s">
        <v>434</v>
      </c>
      <c r="H16" s="87" t="s">
        <v>6237</v>
      </c>
      <c r="I16" s="87" t="s">
        <v>6290</v>
      </c>
      <c r="J16" s="87" t="s">
        <v>6290</v>
      </c>
      <c r="K16" s="87" t="s">
        <v>6240</v>
      </c>
      <c r="L16" s="87" t="s">
        <v>6291</v>
      </c>
      <c r="M16" s="9" t="s">
        <v>6292</v>
      </c>
      <c r="N16" s="87" t="s">
        <v>6290</v>
      </c>
      <c r="O16" s="9" t="s">
        <v>6243</v>
      </c>
      <c r="P16" s="87" t="s">
        <v>6293</v>
      </c>
      <c r="Q16" s="87" t="s">
        <v>6290</v>
      </c>
      <c r="R16" s="87" t="s">
        <v>6294</v>
      </c>
      <c r="S16" s="87" t="s">
        <v>6295</v>
      </c>
      <c r="T16" s="59">
        <f t="shared" si="0"/>
        <v>45144</v>
      </c>
    </row>
    <row r="17" spans="1:20" ht="15.75" customHeight="1">
      <c r="A17" s="9" t="s">
        <v>2906</v>
      </c>
      <c r="C17" s="9" t="s">
        <v>6236</v>
      </c>
      <c r="D17" s="9" t="s">
        <v>431</v>
      </c>
      <c r="E17" s="9" t="s">
        <v>368</v>
      </c>
      <c r="F17" s="9" t="s">
        <v>436</v>
      </c>
      <c r="G17" s="9" t="s">
        <v>434</v>
      </c>
      <c r="H17" s="87" t="s">
        <v>6264</v>
      </c>
      <c r="I17" s="87" t="s">
        <v>6296</v>
      </c>
      <c r="J17" s="87" t="s">
        <v>6297</v>
      </c>
      <c r="K17" s="87" t="s">
        <v>6240</v>
      </c>
      <c r="L17" s="87" t="s">
        <v>6291</v>
      </c>
      <c r="M17" s="9" t="s">
        <v>6298</v>
      </c>
      <c r="N17" s="87" t="s">
        <v>6297</v>
      </c>
      <c r="O17" s="9" t="s">
        <v>6243</v>
      </c>
      <c r="P17" s="87" t="s">
        <v>6299</v>
      </c>
      <c r="Q17" s="87" t="s">
        <v>6296</v>
      </c>
      <c r="R17" s="87" t="s">
        <v>6259</v>
      </c>
      <c r="S17" s="87" t="s">
        <v>6245</v>
      </c>
      <c r="T17" s="59">
        <f t="shared" si="0"/>
        <v>45144</v>
      </c>
    </row>
    <row r="18" spans="1:20" ht="15.75" customHeight="1">
      <c r="A18" s="9" t="s">
        <v>2949</v>
      </c>
      <c r="C18" s="9" t="s">
        <v>6236</v>
      </c>
      <c r="D18" s="9" t="s">
        <v>431</v>
      </c>
      <c r="E18" s="9" t="s">
        <v>368</v>
      </c>
      <c r="F18" s="9" t="s">
        <v>436</v>
      </c>
      <c r="G18" s="9" t="s">
        <v>434</v>
      </c>
      <c r="H18" s="87" t="s">
        <v>6264</v>
      </c>
      <c r="I18" s="87" t="s">
        <v>6288</v>
      </c>
      <c r="J18" s="87" t="s">
        <v>6300</v>
      </c>
      <c r="K18" s="87" t="s">
        <v>6240</v>
      </c>
      <c r="L18" s="87" t="s">
        <v>6291</v>
      </c>
      <c r="M18" s="9" t="s">
        <v>6301</v>
      </c>
      <c r="N18" s="87" t="s">
        <v>6300</v>
      </c>
      <c r="O18" s="9" t="s">
        <v>6243</v>
      </c>
      <c r="P18" s="87" t="s">
        <v>3861</v>
      </c>
      <c r="Q18" s="87" t="s">
        <v>6288</v>
      </c>
      <c r="R18" s="87" t="s">
        <v>6244</v>
      </c>
      <c r="S18" s="87" t="s">
        <v>6302</v>
      </c>
      <c r="T18" s="59">
        <f t="shared" si="0"/>
        <v>45144</v>
      </c>
    </row>
    <row r="19" spans="1:20" ht="15.75" customHeight="1">
      <c r="A19" s="9" t="s">
        <v>2906</v>
      </c>
      <c r="C19" s="9" t="s">
        <v>6236</v>
      </c>
      <c r="D19" s="9" t="s">
        <v>431</v>
      </c>
      <c r="E19" s="9" t="s">
        <v>368</v>
      </c>
      <c r="F19" s="9" t="s">
        <v>436</v>
      </c>
      <c r="G19" s="9" t="s">
        <v>434</v>
      </c>
      <c r="H19" s="87" t="s">
        <v>6264</v>
      </c>
      <c r="I19" s="87" t="s">
        <v>6296</v>
      </c>
      <c r="J19" s="87" t="s">
        <v>6290</v>
      </c>
      <c r="K19" s="87" t="s">
        <v>6240</v>
      </c>
      <c r="L19" s="87" t="s">
        <v>6303</v>
      </c>
      <c r="M19" s="9" t="s">
        <v>6304</v>
      </c>
      <c r="N19" s="87" t="s">
        <v>6290</v>
      </c>
      <c r="O19" s="9" t="s">
        <v>6243</v>
      </c>
      <c r="P19" s="87" t="s">
        <v>6293</v>
      </c>
      <c r="Q19" s="87" t="s">
        <v>6296</v>
      </c>
      <c r="R19" s="87" t="s">
        <v>6244</v>
      </c>
      <c r="S19" s="87" t="s">
        <v>6305</v>
      </c>
      <c r="T19" s="59">
        <f t="shared" si="0"/>
        <v>45143</v>
      </c>
    </row>
    <row r="20" spans="1:20" ht="15.75" customHeight="1">
      <c r="A20" s="9" t="s">
        <v>2943</v>
      </c>
      <c r="C20" s="9" t="s">
        <v>6236</v>
      </c>
      <c r="D20" s="9" t="s">
        <v>431</v>
      </c>
      <c r="E20" s="9" t="s">
        <v>368</v>
      </c>
      <c r="F20" s="9" t="s">
        <v>436</v>
      </c>
      <c r="G20" s="9" t="s">
        <v>434</v>
      </c>
      <c r="H20" s="87" t="s">
        <v>6237</v>
      </c>
      <c r="I20" s="87" t="s">
        <v>6306</v>
      </c>
      <c r="J20" s="87" t="s">
        <v>6239</v>
      </c>
      <c r="K20" s="87" t="s">
        <v>6240</v>
      </c>
      <c r="L20" s="87" t="s">
        <v>6307</v>
      </c>
      <c r="M20" s="9" t="s">
        <v>6242</v>
      </c>
      <c r="N20" s="87" t="s">
        <v>6239</v>
      </c>
      <c r="O20" s="9" t="s">
        <v>6243</v>
      </c>
      <c r="P20" s="87" t="s">
        <v>3764</v>
      </c>
      <c r="Q20" s="87" t="s">
        <v>6306</v>
      </c>
      <c r="R20" s="87" t="s">
        <v>6244</v>
      </c>
      <c r="S20" s="87" t="s">
        <v>6245</v>
      </c>
      <c r="T20" s="59">
        <f t="shared" si="0"/>
        <v>45137</v>
      </c>
    </row>
    <row r="21" spans="1:20" ht="15.75" customHeight="1">
      <c r="A21" s="9" t="s">
        <v>2943</v>
      </c>
      <c r="C21" s="9" t="s">
        <v>6236</v>
      </c>
      <c r="D21" s="9" t="s">
        <v>431</v>
      </c>
      <c r="E21" s="9" t="s">
        <v>368</v>
      </c>
      <c r="F21" s="9" t="s">
        <v>436</v>
      </c>
      <c r="G21" s="9" t="s">
        <v>434</v>
      </c>
      <c r="H21" s="87" t="s">
        <v>6237</v>
      </c>
      <c r="I21" s="87" t="s">
        <v>6306</v>
      </c>
      <c r="J21" s="87" t="s">
        <v>6237</v>
      </c>
      <c r="K21" s="87" t="s">
        <v>6240</v>
      </c>
      <c r="L21" s="87" t="s">
        <v>6308</v>
      </c>
      <c r="M21" s="9" t="s">
        <v>6309</v>
      </c>
      <c r="N21" s="87" t="s">
        <v>6237</v>
      </c>
      <c r="O21" s="9" t="s">
        <v>6243</v>
      </c>
      <c r="P21" s="87" t="s">
        <v>4953</v>
      </c>
      <c r="Q21" s="87" t="s">
        <v>6306</v>
      </c>
      <c r="R21" s="87" t="s">
        <v>6244</v>
      </c>
      <c r="S21" s="87" t="s">
        <v>6310</v>
      </c>
      <c r="T21" s="59">
        <f t="shared" si="0"/>
        <v>45136</v>
      </c>
    </row>
    <row r="22" spans="1:20" ht="15.75" customHeight="1">
      <c r="A22" s="9" t="s">
        <v>2888</v>
      </c>
      <c r="C22" s="9" t="s">
        <v>6236</v>
      </c>
      <c r="D22" s="9" t="s">
        <v>431</v>
      </c>
      <c r="E22" s="9" t="s">
        <v>368</v>
      </c>
      <c r="F22" s="9" t="s">
        <v>436</v>
      </c>
      <c r="G22" s="9" t="s">
        <v>434</v>
      </c>
      <c r="H22" s="87" t="s">
        <v>6237</v>
      </c>
      <c r="I22" s="87" t="s">
        <v>6264</v>
      </c>
      <c r="J22" s="87" t="s">
        <v>6264</v>
      </c>
      <c r="K22" s="87" t="s">
        <v>6240</v>
      </c>
      <c r="L22" s="87" t="s">
        <v>6311</v>
      </c>
      <c r="M22" s="9" t="s">
        <v>6312</v>
      </c>
      <c r="N22" s="87" t="s">
        <v>6264</v>
      </c>
      <c r="O22" s="9" t="s">
        <v>6243</v>
      </c>
      <c r="P22" s="87" t="s">
        <v>6313</v>
      </c>
      <c r="Q22" s="87" t="s">
        <v>6264</v>
      </c>
      <c r="R22" s="87" t="s">
        <v>6314</v>
      </c>
      <c r="S22" s="87" t="s">
        <v>6277</v>
      </c>
      <c r="T22" s="59">
        <f t="shared" si="0"/>
        <v>45134</v>
      </c>
    </row>
    <row r="23" spans="1:20" ht="15.75" customHeight="1">
      <c r="A23" s="9" t="s">
        <v>2850</v>
      </c>
      <c r="C23" s="9" t="s">
        <v>6236</v>
      </c>
      <c r="D23" s="9" t="s">
        <v>431</v>
      </c>
      <c r="E23" s="9" t="s">
        <v>368</v>
      </c>
      <c r="F23" s="9" t="s">
        <v>436</v>
      </c>
      <c r="G23" s="9" t="s">
        <v>434</v>
      </c>
      <c r="H23" s="87" t="s">
        <v>6264</v>
      </c>
      <c r="I23" s="87" t="s">
        <v>6299</v>
      </c>
      <c r="J23" s="87" t="s">
        <v>6299</v>
      </c>
      <c r="K23" s="87" t="s">
        <v>6240</v>
      </c>
      <c r="L23" s="87" t="s">
        <v>6311</v>
      </c>
      <c r="M23" s="9" t="s">
        <v>6315</v>
      </c>
      <c r="N23" s="87" t="s">
        <v>6299</v>
      </c>
      <c r="O23" s="9" t="s">
        <v>6243</v>
      </c>
      <c r="P23" s="87" t="s">
        <v>3231</v>
      </c>
      <c r="Q23" s="87" t="s">
        <v>6299</v>
      </c>
      <c r="R23" s="87" t="s">
        <v>6244</v>
      </c>
      <c r="S23" s="87" t="s">
        <v>6316</v>
      </c>
      <c r="T23" s="59">
        <f t="shared" si="0"/>
        <v>45134</v>
      </c>
    </row>
    <row r="24" spans="1:20" ht="15.75" customHeight="1">
      <c r="A24" s="9" t="s">
        <v>3026</v>
      </c>
      <c r="C24" s="9" t="s">
        <v>6236</v>
      </c>
      <c r="D24" s="9" t="s">
        <v>431</v>
      </c>
      <c r="E24" s="9" t="s">
        <v>368</v>
      </c>
      <c r="F24" s="9" t="s">
        <v>436</v>
      </c>
      <c r="G24" s="9" t="s">
        <v>434</v>
      </c>
      <c r="H24" s="87" t="s">
        <v>6237</v>
      </c>
      <c r="I24" s="87" t="s">
        <v>6306</v>
      </c>
      <c r="J24" s="87" t="s">
        <v>6239</v>
      </c>
      <c r="K24" s="87" t="s">
        <v>6240</v>
      </c>
      <c r="L24" s="87" t="s">
        <v>6317</v>
      </c>
      <c r="M24" s="9" t="s">
        <v>6242</v>
      </c>
      <c r="N24" s="87" t="s">
        <v>6239</v>
      </c>
      <c r="O24" s="9" t="s">
        <v>6243</v>
      </c>
      <c r="P24" s="87" t="s">
        <v>3764</v>
      </c>
      <c r="Q24" s="87" t="s">
        <v>6306</v>
      </c>
      <c r="R24" s="87" t="s">
        <v>6244</v>
      </c>
      <c r="S24" s="87" t="s">
        <v>6245</v>
      </c>
      <c r="T24" s="59">
        <f t="shared" si="0"/>
        <v>45133</v>
      </c>
    </row>
    <row r="25" spans="1:20" ht="15.75" customHeight="1">
      <c r="A25" s="9" t="s">
        <v>3026</v>
      </c>
      <c r="C25" s="9" t="s">
        <v>6236</v>
      </c>
      <c r="D25" s="9" t="s">
        <v>431</v>
      </c>
      <c r="E25" s="9" t="s">
        <v>368</v>
      </c>
      <c r="F25" s="9" t="s">
        <v>436</v>
      </c>
      <c r="G25" s="9" t="s">
        <v>434</v>
      </c>
      <c r="H25" s="87" t="s">
        <v>6237</v>
      </c>
      <c r="I25" s="87" t="s">
        <v>6306</v>
      </c>
      <c r="J25" s="87" t="s">
        <v>6237</v>
      </c>
      <c r="K25" s="87" t="s">
        <v>6240</v>
      </c>
      <c r="L25" s="87" t="s">
        <v>6318</v>
      </c>
      <c r="M25" s="9" t="s">
        <v>6309</v>
      </c>
      <c r="N25" s="87" t="s">
        <v>6237</v>
      </c>
      <c r="O25" s="9" t="s">
        <v>6243</v>
      </c>
      <c r="P25" s="87" t="s">
        <v>4953</v>
      </c>
      <c r="Q25" s="87" t="s">
        <v>6306</v>
      </c>
      <c r="R25" s="87" t="s">
        <v>6244</v>
      </c>
      <c r="S25" s="87" t="s">
        <v>6310</v>
      </c>
      <c r="T25" s="59">
        <f t="shared" si="0"/>
        <v>45132</v>
      </c>
    </row>
    <row r="26" spans="1:20" ht="15.75" customHeight="1">
      <c r="A26" s="9" t="s">
        <v>2981</v>
      </c>
      <c r="C26" s="9" t="s">
        <v>6236</v>
      </c>
      <c r="D26" s="9" t="s">
        <v>431</v>
      </c>
      <c r="E26" s="9" t="s">
        <v>368</v>
      </c>
      <c r="F26" s="9" t="s">
        <v>436</v>
      </c>
      <c r="G26" s="9" t="s">
        <v>434</v>
      </c>
      <c r="H26" s="87" t="s">
        <v>6237</v>
      </c>
      <c r="I26" s="87" t="s">
        <v>6250</v>
      </c>
      <c r="J26" s="87" t="s">
        <v>6250</v>
      </c>
      <c r="K26" s="87" t="s">
        <v>6240</v>
      </c>
      <c r="L26" s="87" t="s">
        <v>6318</v>
      </c>
      <c r="M26" s="9" t="s">
        <v>6319</v>
      </c>
      <c r="N26" s="87" t="s">
        <v>6250</v>
      </c>
      <c r="O26" s="9" t="s">
        <v>6243</v>
      </c>
      <c r="P26" s="87" t="s">
        <v>6320</v>
      </c>
      <c r="Q26" s="87" t="s">
        <v>6250</v>
      </c>
      <c r="R26" s="87" t="s">
        <v>6321</v>
      </c>
      <c r="S26" s="87" t="s">
        <v>6322</v>
      </c>
      <c r="T26" s="59">
        <f t="shared" si="0"/>
        <v>45132</v>
      </c>
    </row>
    <row r="27" spans="1:20" ht="15.75" customHeight="1">
      <c r="A27" s="9" t="s">
        <v>3012</v>
      </c>
      <c r="C27" s="9" t="s">
        <v>6236</v>
      </c>
      <c r="D27" s="9" t="s">
        <v>431</v>
      </c>
      <c r="E27" s="9" t="s">
        <v>368</v>
      </c>
      <c r="F27" s="9" t="s">
        <v>436</v>
      </c>
      <c r="G27" s="9" t="s">
        <v>434</v>
      </c>
      <c r="H27" s="87" t="s">
        <v>6237</v>
      </c>
      <c r="I27" s="87" t="s">
        <v>6323</v>
      </c>
      <c r="J27" s="87" t="s">
        <v>6323</v>
      </c>
      <c r="K27" s="87" t="s">
        <v>6240</v>
      </c>
      <c r="L27" s="87" t="s">
        <v>6324</v>
      </c>
      <c r="M27" s="9" t="s">
        <v>6325</v>
      </c>
      <c r="N27" s="87" t="s">
        <v>6323</v>
      </c>
      <c r="O27" s="9" t="s">
        <v>6243</v>
      </c>
      <c r="P27" s="87" t="s">
        <v>5374</v>
      </c>
      <c r="Q27" s="87" t="s">
        <v>6323</v>
      </c>
      <c r="R27" s="87" t="s">
        <v>6326</v>
      </c>
      <c r="S27" s="87" t="s">
        <v>6323</v>
      </c>
      <c r="T27" s="59">
        <f t="shared" si="0"/>
        <v>45130</v>
      </c>
    </row>
    <row r="28" spans="1:20" ht="15.75" customHeight="1">
      <c r="A28" s="9" t="s">
        <v>2961</v>
      </c>
      <c r="C28" s="9" t="s">
        <v>6236</v>
      </c>
      <c r="D28" s="9" t="s">
        <v>431</v>
      </c>
      <c r="E28" s="9" t="s">
        <v>368</v>
      </c>
      <c r="F28" s="9" t="s">
        <v>436</v>
      </c>
      <c r="G28" s="9" t="s">
        <v>434</v>
      </c>
      <c r="H28" s="87" t="s">
        <v>6237</v>
      </c>
      <c r="I28" s="87" t="s">
        <v>6327</v>
      </c>
      <c r="J28" s="87" t="s">
        <v>6290</v>
      </c>
      <c r="K28" s="87" t="s">
        <v>6240</v>
      </c>
      <c r="L28" s="87" t="s">
        <v>6324</v>
      </c>
      <c r="M28" s="9" t="s">
        <v>6328</v>
      </c>
      <c r="N28" s="87" t="s">
        <v>6290</v>
      </c>
      <c r="O28" s="9" t="s">
        <v>6243</v>
      </c>
      <c r="P28" s="87" t="s">
        <v>6293</v>
      </c>
      <c r="Q28" s="87" t="s">
        <v>6327</v>
      </c>
      <c r="R28" s="87" t="s">
        <v>6329</v>
      </c>
      <c r="S28" s="87" t="s">
        <v>6245</v>
      </c>
      <c r="T28" s="59">
        <f t="shared" si="0"/>
        <v>45130</v>
      </c>
    </row>
    <row r="29" spans="1:20" ht="15.75" customHeight="1">
      <c r="A29" s="9" t="s">
        <v>2975</v>
      </c>
      <c r="C29" s="9" t="s">
        <v>6236</v>
      </c>
      <c r="D29" s="9" t="s">
        <v>431</v>
      </c>
      <c r="E29" s="9" t="s">
        <v>368</v>
      </c>
      <c r="F29" s="9" t="s">
        <v>436</v>
      </c>
      <c r="G29" s="9" t="s">
        <v>434</v>
      </c>
      <c r="H29" s="87" t="s">
        <v>6264</v>
      </c>
      <c r="I29" s="87" t="s">
        <v>6330</v>
      </c>
      <c r="J29" s="87" t="s">
        <v>6330</v>
      </c>
      <c r="K29" s="87" t="s">
        <v>6240</v>
      </c>
      <c r="L29" s="87" t="s">
        <v>6324</v>
      </c>
      <c r="M29" s="9" t="s">
        <v>6331</v>
      </c>
      <c r="N29" s="87" t="s">
        <v>6330</v>
      </c>
      <c r="O29" s="9" t="s">
        <v>6243</v>
      </c>
      <c r="P29" s="87" t="s">
        <v>6332</v>
      </c>
      <c r="Q29" s="87" t="s">
        <v>6330</v>
      </c>
      <c r="R29" s="87" t="s">
        <v>6244</v>
      </c>
      <c r="S29" s="87" t="s">
        <v>6333</v>
      </c>
      <c r="T29" s="59">
        <f t="shared" si="0"/>
        <v>45130</v>
      </c>
    </row>
    <row r="30" spans="1:20" ht="15.75" customHeight="1">
      <c r="A30" s="9" t="s">
        <v>2961</v>
      </c>
      <c r="C30" s="9" t="s">
        <v>6236</v>
      </c>
      <c r="D30" s="9" t="s">
        <v>431</v>
      </c>
      <c r="E30" s="9" t="s">
        <v>368</v>
      </c>
      <c r="F30" s="9" t="s">
        <v>436</v>
      </c>
      <c r="G30" s="9" t="s">
        <v>434</v>
      </c>
      <c r="H30" s="87" t="s">
        <v>6237</v>
      </c>
      <c r="I30" s="87" t="s">
        <v>6327</v>
      </c>
      <c r="J30" s="87" t="s">
        <v>6334</v>
      </c>
      <c r="K30" s="87" t="s">
        <v>6240</v>
      </c>
      <c r="L30" s="87" t="s">
        <v>6335</v>
      </c>
      <c r="M30" s="9" t="s">
        <v>6336</v>
      </c>
      <c r="N30" s="87" t="s">
        <v>6334</v>
      </c>
      <c r="O30" s="9" t="s">
        <v>6243</v>
      </c>
      <c r="P30" s="87" t="s">
        <v>6290</v>
      </c>
      <c r="Q30" s="87" t="s">
        <v>6327</v>
      </c>
      <c r="R30" s="87" t="s">
        <v>6244</v>
      </c>
      <c r="S30" s="87" t="s">
        <v>6337</v>
      </c>
      <c r="T30" s="59">
        <f t="shared" si="0"/>
        <v>45129</v>
      </c>
    </row>
    <row r="31" spans="1:20" ht="15.75" customHeight="1">
      <c r="A31" s="9" t="s">
        <v>2993</v>
      </c>
      <c r="C31" s="9" t="s">
        <v>6236</v>
      </c>
      <c r="D31" s="9" t="s">
        <v>431</v>
      </c>
      <c r="E31" s="9" t="s">
        <v>368</v>
      </c>
      <c r="F31" s="9" t="s">
        <v>436</v>
      </c>
      <c r="G31" s="9" t="s">
        <v>434</v>
      </c>
      <c r="H31" s="87" t="s">
        <v>6264</v>
      </c>
      <c r="I31" s="87" t="s">
        <v>6238</v>
      </c>
      <c r="J31" s="87" t="s">
        <v>6239</v>
      </c>
      <c r="K31" s="87" t="s">
        <v>6240</v>
      </c>
      <c r="L31" s="87" t="s">
        <v>6338</v>
      </c>
      <c r="M31" s="9" t="s">
        <v>6242</v>
      </c>
      <c r="N31" s="87" t="s">
        <v>6239</v>
      </c>
      <c r="O31" s="9" t="s">
        <v>6243</v>
      </c>
      <c r="P31" s="87" t="s">
        <v>3764</v>
      </c>
      <c r="Q31" s="87" t="s">
        <v>6238</v>
      </c>
      <c r="R31" s="87" t="s">
        <v>6244</v>
      </c>
      <c r="S31" s="87" t="s">
        <v>6245</v>
      </c>
      <c r="T31" s="59">
        <f t="shared" si="0"/>
        <v>45127</v>
      </c>
    </row>
    <row r="32" spans="1:20" ht="15.75" customHeight="1">
      <c r="A32" s="9" t="s">
        <v>2997</v>
      </c>
      <c r="C32" s="9" t="s">
        <v>6236</v>
      </c>
      <c r="D32" s="9" t="s">
        <v>431</v>
      </c>
      <c r="E32" s="9" t="s">
        <v>368</v>
      </c>
      <c r="F32" s="9" t="s">
        <v>436</v>
      </c>
      <c r="G32" s="9" t="s">
        <v>434</v>
      </c>
      <c r="H32" s="87" t="s">
        <v>6237</v>
      </c>
      <c r="I32" s="87" t="s">
        <v>6245</v>
      </c>
      <c r="J32" s="87" t="s">
        <v>6245</v>
      </c>
      <c r="K32" s="87" t="s">
        <v>6240</v>
      </c>
      <c r="L32" s="87" t="s">
        <v>6339</v>
      </c>
      <c r="M32" s="9" t="s">
        <v>6340</v>
      </c>
      <c r="N32" s="87" t="s">
        <v>6245</v>
      </c>
      <c r="O32" s="9" t="s">
        <v>6243</v>
      </c>
      <c r="P32" s="87" t="s">
        <v>6238</v>
      </c>
      <c r="Q32" s="87" t="s">
        <v>6245</v>
      </c>
      <c r="R32" s="87" t="s">
        <v>6341</v>
      </c>
      <c r="S32" s="87" t="s">
        <v>6263</v>
      </c>
      <c r="T32" s="59">
        <f t="shared" si="0"/>
        <v>45126</v>
      </c>
    </row>
    <row r="33" spans="1:20" ht="15.75" customHeight="1">
      <c r="A33" s="9" t="s">
        <v>2993</v>
      </c>
      <c r="C33" s="9" t="s">
        <v>6236</v>
      </c>
      <c r="D33" s="9" t="s">
        <v>431</v>
      </c>
      <c r="E33" s="9" t="s">
        <v>368</v>
      </c>
      <c r="F33" s="9" t="s">
        <v>436</v>
      </c>
      <c r="G33" s="9" t="s">
        <v>434</v>
      </c>
      <c r="H33" s="87" t="s">
        <v>6264</v>
      </c>
      <c r="I33" s="87" t="s">
        <v>6238</v>
      </c>
      <c r="J33" s="87" t="s">
        <v>6245</v>
      </c>
      <c r="K33" s="87" t="s">
        <v>6240</v>
      </c>
      <c r="L33" s="87" t="s">
        <v>6339</v>
      </c>
      <c r="M33" s="9" t="s">
        <v>6247</v>
      </c>
      <c r="N33" s="87" t="s">
        <v>6245</v>
      </c>
      <c r="O33" s="9" t="s">
        <v>6243</v>
      </c>
      <c r="P33" s="87" t="s">
        <v>6238</v>
      </c>
      <c r="Q33" s="87" t="s">
        <v>6238</v>
      </c>
      <c r="R33" s="87" t="s">
        <v>6244</v>
      </c>
      <c r="S33" s="87" t="s">
        <v>6239</v>
      </c>
      <c r="T33" s="59">
        <f t="shared" si="0"/>
        <v>45126</v>
      </c>
    </row>
    <row r="34" spans="1:20" ht="15.75" customHeight="1">
      <c r="A34" s="9" t="s">
        <v>2970</v>
      </c>
      <c r="C34" s="9" t="s">
        <v>6236</v>
      </c>
      <c r="D34" s="9" t="s">
        <v>431</v>
      </c>
      <c r="E34" s="9" t="s">
        <v>368</v>
      </c>
      <c r="F34" s="9" t="s">
        <v>436</v>
      </c>
      <c r="G34" s="9" t="s">
        <v>434</v>
      </c>
      <c r="H34" s="87" t="s">
        <v>6264</v>
      </c>
      <c r="I34" s="87" t="s">
        <v>6342</v>
      </c>
      <c r="J34" s="87" t="s">
        <v>6342</v>
      </c>
      <c r="K34" s="87" t="s">
        <v>6240</v>
      </c>
      <c r="L34" s="87" t="s">
        <v>6343</v>
      </c>
      <c r="M34" s="9" t="s">
        <v>6344</v>
      </c>
      <c r="N34" s="87" t="s">
        <v>6342</v>
      </c>
      <c r="O34" s="9" t="s">
        <v>6243</v>
      </c>
      <c r="P34" s="87" t="s">
        <v>6345</v>
      </c>
      <c r="Q34" s="87" t="s">
        <v>6342</v>
      </c>
      <c r="R34" s="87" t="s">
        <v>6244</v>
      </c>
      <c r="S34" s="87" t="s">
        <v>6346</v>
      </c>
      <c r="T34" s="59">
        <f t="shared" si="0"/>
        <v>45125</v>
      </c>
    </row>
    <row r="35" spans="1:20" ht="15.75" customHeight="1">
      <c r="A35" s="9" t="s">
        <v>2938</v>
      </c>
      <c r="C35" s="9" t="s">
        <v>6236</v>
      </c>
      <c r="D35" s="9" t="s">
        <v>431</v>
      </c>
      <c r="E35" s="9" t="s">
        <v>368</v>
      </c>
      <c r="F35" s="9" t="s">
        <v>436</v>
      </c>
      <c r="G35" s="9" t="s">
        <v>434</v>
      </c>
      <c r="H35" s="87" t="s">
        <v>6237</v>
      </c>
      <c r="I35" s="87" t="s">
        <v>6305</v>
      </c>
      <c r="J35" s="87" t="s">
        <v>6239</v>
      </c>
      <c r="K35" s="87" t="s">
        <v>6240</v>
      </c>
      <c r="L35" s="87" t="s">
        <v>6347</v>
      </c>
      <c r="M35" s="9" t="s">
        <v>6242</v>
      </c>
      <c r="N35" s="87" t="s">
        <v>6239</v>
      </c>
      <c r="O35" s="9" t="s">
        <v>6243</v>
      </c>
      <c r="P35" s="87" t="s">
        <v>3764</v>
      </c>
      <c r="Q35" s="87" t="s">
        <v>6305</v>
      </c>
      <c r="R35" s="87" t="s">
        <v>6244</v>
      </c>
      <c r="S35" s="87" t="s">
        <v>6245</v>
      </c>
      <c r="T35" s="59">
        <f t="shared" si="0"/>
        <v>45123</v>
      </c>
    </row>
    <row r="36" spans="1:20" ht="15.75" customHeight="1">
      <c r="A36" s="9" t="s">
        <v>2938</v>
      </c>
      <c r="C36" s="9" t="s">
        <v>6236</v>
      </c>
      <c r="D36" s="9" t="s">
        <v>431</v>
      </c>
      <c r="E36" s="9" t="s">
        <v>368</v>
      </c>
      <c r="F36" s="9" t="s">
        <v>436</v>
      </c>
      <c r="G36" s="9" t="s">
        <v>434</v>
      </c>
      <c r="H36" s="87" t="s">
        <v>6237</v>
      </c>
      <c r="I36" s="87" t="s">
        <v>6305</v>
      </c>
      <c r="J36" s="87" t="s">
        <v>6348</v>
      </c>
      <c r="K36" s="87" t="s">
        <v>6240</v>
      </c>
      <c r="L36" s="87" t="s">
        <v>6349</v>
      </c>
      <c r="M36" s="9" t="s">
        <v>6350</v>
      </c>
      <c r="N36" s="87" t="s">
        <v>6348</v>
      </c>
      <c r="O36" s="9" t="s">
        <v>6243</v>
      </c>
      <c r="P36" s="87" t="s">
        <v>5381</v>
      </c>
      <c r="Q36" s="87" t="s">
        <v>6305</v>
      </c>
      <c r="R36" s="87" t="s">
        <v>6244</v>
      </c>
      <c r="S36" s="87" t="s">
        <v>6351</v>
      </c>
      <c r="T36" s="59">
        <f t="shared" si="0"/>
        <v>45122</v>
      </c>
    </row>
    <row r="37" spans="1:20" ht="15.75" customHeight="1">
      <c r="A37" s="9" t="s">
        <v>3023</v>
      </c>
      <c r="C37" s="9" t="s">
        <v>6236</v>
      </c>
      <c r="D37" s="9" t="s">
        <v>431</v>
      </c>
      <c r="E37" s="9" t="s">
        <v>368</v>
      </c>
      <c r="F37" s="9" t="s">
        <v>436</v>
      </c>
      <c r="G37" s="9" t="s">
        <v>434</v>
      </c>
      <c r="H37" s="87" t="s">
        <v>6237</v>
      </c>
      <c r="I37" s="87" t="s">
        <v>6278</v>
      </c>
      <c r="J37" s="87" t="s">
        <v>6239</v>
      </c>
      <c r="K37" s="87" t="s">
        <v>6240</v>
      </c>
      <c r="L37" s="87" t="s">
        <v>6352</v>
      </c>
      <c r="M37" s="9" t="s">
        <v>6242</v>
      </c>
      <c r="N37" s="87" t="s">
        <v>6239</v>
      </c>
      <c r="O37" s="9" t="s">
        <v>6243</v>
      </c>
      <c r="P37" s="87" t="s">
        <v>3764</v>
      </c>
      <c r="Q37" s="87" t="s">
        <v>6278</v>
      </c>
      <c r="R37" s="87" t="s">
        <v>6244</v>
      </c>
      <c r="S37" s="87" t="s">
        <v>6245</v>
      </c>
      <c r="T37" s="59">
        <f t="shared" si="0"/>
        <v>45120</v>
      </c>
    </row>
    <row r="38" spans="1:20" ht="15.75" customHeight="1">
      <c r="A38" s="9" t="s">
        <v>3001</v>
      </c>
      <c r="C38" s="9" t="s">
        <v>6236</v>
      </c>
      <c r="D38" s="9" t="s">
        <v>431</v>
      </c>
      <c r="E38" s="9" t="s">
        <v>368</v>
      </c>
      <c r="F38" s="9" t="s">
        <v>436</v>
      </c>
      <c r="G38" s="9" t="s">
        <v>434</v>
      </c>
      <c r="H38" s="87" t="s">
        <v>6237</v>
      </c>
      <c r="I38" s="87" t="s">
        <v>6238</v>
      </c>
      <c r="J38" s="87" t="s">
        <v>6326</v>
      </c>
      <c r="K38" s="87" t="s">
        <v>6240</v>
      </c>
      <c r="L38" s="87" t="s">
        <v>6353</v>
      </c>
      <c r="M38" s="9" t="s">
        <v>6354</v>
      </c>
      <c r="N38" s="87" t="s">
        <v>6326</v>
      </c>
      <c r="O38" s="9" t="s">
        <v>6243</v>
      </c>
      <c r="P38" s="87" t="s">
        <v>6355</v>
      </c>
      <c r="Q38" s="87" t="s">
        <v>6238</v>
      </c>
      <c r="R38" s="87" t="s">
        <v>6287</v>
      </c>
      <c r="S38" s="87" t="s">
        <v>6245</v>
      </c>
      <c r="T38" s="59">
        <f t="shared" si="0"/>
        <v>45119</v>
      </c>
    </row>
    <row r="39" spans="1:20" ht="15.75" customHeight="1">
      <c r="A39" s="9" t="s">
        <v>3023</v>
      </c>
      <c r="C39" s="9" t="s">
        <v>6236</v>
      </c>
      <c r="D39" s="9" t="s">
        <v>431</v>
      </c>
      <c r="E39" s="9" t="s">
        <v>368</v>
      </c>
      <c r="F39" s="9" t="s">
        <v>436</v>
      </c>
      <c r="G39" s="9" t="s">
        <v>434</v>
      </c>
      <c r="H39" s="87" t="s">
        <v>6237</v>
      </c>
      <c r="I39" s="87" t="s">
        <v>6278</v>
      </c>
      <c r="J39" s="87" t="s">
        <v>6280</v>
      </c>
      <c r="K39" s="87" t="s">
        <v>6240</v>
      </c>
      <c r="L39" s="87" t="s">
        <v>6353</v>
      </c>
      <c r="M39" s="9" t="s">
        <v>6282</v>
      </c>
      <c r="N39" s="87" t="s">
        <v>6280</v>
      </c>
      <c r="O39" s="9" t="s">
        <v>6243</v>
      </c>
      <c r="P39" s="87" t="s">
        <v>6283</v>
      </c>
      <c r="Q39" s="87" t="s">
        <v>6278</v>
      </c>
      <c r="R39" s="87" t="s">
        <v>6244</v>
      </c>
      <c r="S39" s="87" t="s">
        <v>6284</v>
      </c>
      <c r="T39" s="59">
        <f t="shared" si="0"/>
        <v>45119</v>
      </c>
    </row>
    <row r="40" spans="1:20" ht="15.75" customHeight="1">
      <c r="A40" s="9" t="s">
        <v>6356</v>
      </c>
      <c r="C40" s="9" t="s">
        <v>6236</v>
      </c>
      <c r="D40" s="9" t="s">
        <v>431</v>
      </c>
      <c r="E40" s="9" t="s">
        <v>368</v>
      </c>
      <c r="F40" s="9" t="s">
        <v>436</v>
      </c>
      <c r="G40" s="9" t="s">
        <v>434</v>
      </c>
      <c r="H40" s="87" t="s">
        <v>6264</v>
      </c>
      <c r="I40" s="87" t="s">
        <v>6357</v>
      </c>
      <c r="J40" s="87" t="s">
        <v>6273</v>
      </c>
      <c r="K40" s="87" t="s">
        <v>6240</v>
      </c>
      <c r="L40" s="87" t="s">
        <v>6358</v>
      </c>
      <c r="M40" s="9" t="s">
        <v>6359</v>
      </c>
      <c r="N40" s="87" t="s">
        <v>6273</v>
      </c>
      <c r="O40" s="9" t="s">
        <v>6243</v>
      </c>
      <c r="P40" s="87" t="s">
        <v>6276</v>
      </c>
      <c r="Q40" s="87" t="s">
        <v>6357</v>
      </c>
      <c r="R40" s="87" t="s">
        <v>6360</v>
      </c>
      <c r="S40" s="87" t="s">
        <v>6245</v>
      </c>
      <c r="T40" s="59">
        <f t="shared" si="0"/>
        <v>45118</v>
      </c>
    </row>
    <row r="41" spans="1:20" ht="15.75" customHeight="1">
      <c r="A41" s="9" t="s">
        <v>3001</v>
      </c>
      <c r="C41" s="9" t="s">
        <v>6236</v>
      </c>
      <c r="D41" s="9" t="s">
        <v>431</v>
      </c>
      <c r="E41" s="9" t="s">
        <v>368</v>
      </c>
      <c r="F41" s="9" t="s">
        <v>436</v>
      </c>
      <c r="G41" s="9" t="s">
        <v>434</v>
      </c>
      <c r="H41" s="87" t="s">
        <v>6237</v>
      </c>
      <c r="I41" s="87" t="s">
        <v>6238</v>
      </c>
      <c r="J41" s="87" t="s">
        <v>6361</v>
      </c>
      <c r="K41" s="87" t="s">
        <v>6240</v>
      </c>
      <c r="L41" s="87" t="s">
        <v>6358</v>
      </c>
      <c r="M41" s="9" t="s">
        <v>6362</v>
      </c>
      <c r="N41" s="87" t="s">
        <v>6361</v>
      </c>
      <c r="O41" s="9" t="s">
        <v>6243</v>
      </c>
      <c r="P41" s="87" t="s">
        <v>6363</v>
      </c>
      <c r="Q41" s="87" t="s">
        <v>6238</v>
      </c>
      <c r="R41" s="87" t="s">
        <v>6244</v>
      </c>
      <c r="S41" s="87" t="s">
        <v>6326</v>
      </c>
      <c r="T41" s="59">
        <f t="shared" si="0"/>
        <v>45118</v>
      </c>
    </row>
    <row r="42" spans="1:20" ht="15.75" customHeight="1">
      <c r="A42" s="9" t="s">
        <v>2866</v>
      </c>
      <c r="C42" s="9" t="s">
        <v>6236</v>
      </c>
      <c r="D42" s="9" t="s">
        <v>431</v>
      </c>
      <c r="E42" s="9" t="s">
        <v>368</v>
      </c>
      <c r="F42" s="9" t="s">
        <v>436</v>
      </c>
      <c r="G42" s="9" t="s">
        <v>434</v>
      </c>
      <c r="H42" s="87" t="s">
        <v>6264</v>
      </c>
      <c r="I42" s="87" t="s">
        <v>6346</v>
      </c>
      <c r="J42" s="87" t="s">
        <v>6346</v>
      </c>
      <c r="K42" s="87" t="s">
        <v>6240</v>
      </c>
      <c r="L42" s="87" t="s">
        <v>6364</v>
      </c>
      <c r="M42" s="9" t="s">
        <v>6365</v>
      </c>
      <c r="N42" s="87" t="s">
        <v>6346</v>
      </c>
      <c r="O42" s="9" t="s">
        <v>6243</v>
      </c>
      <c r="P42" s="87" t="s">
        <v>6366</v>
      </c>
      <c r="Q42" s="87" t="s">
        <v>6346</v>
      </c>
      <c r="R42" s="87" t="s">
        <v>6367</v>
      </c>
      <c r="S42" s="87" t="s">
        <v>6293</v>
      </c>
      <c r="T42" s="59">
        <f t="shared" si="0"/>
        <v>45117</v>
      </c>
    </row>
    <row r="43" spans="1:20" ht="15.75" customHeight="1">
      <c r="A43" s="9" t="s">
        <v>6368</v>
      </c>
      <c r="C43" s="9" t="s">
        <v>6236</v>
      </c>
      <c r="D43" s="9" t="s">
        <v>431</v>
      </c>
      <c r="E43" s="9" t="s">
        <v>368</v>
      </c>
      <c r="F43" s="9" t="s">
        <v>436</v>
      </c>
      <c r="G43" s="9" t="s">
        <v>434</v>
      </c>
      <c r="H43" s="87" t="s">
        <v>6264</v>
      </c>
      <c r="I43" s="87" t="s">
        <v>6357</v>
      </c>
      <c r="J43" s="87" t="s">
        <v>6268</v>
      </c>
      <c r="K43" s="87" t="s">
        <v>6240</v>
      </c>
      <c r="L43" s="87" t="s">
        <v>6364</v>
      </c>
      <c r="M43" s="9" t="s">
        <v>6369</v>
      </c>
      <c r="N43" s="87" t="s">
        <v>6268</v>
      </c>
      <c r="O43" s="9" t="s">
        <v>6243</v>
      </c>
      <c r="P43" s="87" t="s">
        <v>6270</v>
      </c>
      <c r="Q43" s="87" t="s">
        <v>6357</v>
      </c>
      <c r="R43" s="87" t="s">
        <v>6370</v>
      </c>
      <c r="S43" s="87" t="s">
        <v>6245</v>
      </c>
      <c r="T43" s="59">
        <f t="shared" si="0"/>
        <v>45117</v>
      </c>
    </row>
    <row r="44" spans="1:20" ht="15.75" customHeight="1">
      <c r="A44" s="9" t="s">
        <v>6356</v>
      </c>
      <c r="C44" s="9" t="s">
        <v>6236</v>
      </c>
      <c r="D44" s="9" t="s">
        <v>431</v>
      </c>
      <c r="E44" s="9" t="s">
        <v>368</v>
      </c>
      <c r="F44" s="9" t="s">
        <v>436</v>
      </c>
      <c r="G44" s="9" t="s">
        <v>434</v>
      </c>
      <c r="H44" s="87" t="s">
        <v>6264</v>
      </c>
      <c r="I44" s="87" t="s">
        <v>6357</v>
      </c>
      <c r="J44" s="87" t="s">
        <v>6295</v>
      </c>
      <c r="K44" s="87" t="s">
        <v>6240</v>
      </c>
      <c r="L44" s="87" t="s">
        <v>6364</v>
      </c>
      <c r="M44" s="9" t="s">
        <v>6371</v>
      </c>
      <c r="N44" s="87" t="s">
        <v>6295</v>
      </c>
      <c r="O44" s="9" t="s">
        <v>6243</v>
      </c>
      <c r="P44" s="87" t="s">
        <v>6372</v>
      </c>
      <c r="Q44" s="87" t="s">
        <v>6357</v>
      </c>
      <c r="R44" s="87" t="s">
        <v>6244</v>
      </c>
      <c r="S44" s="87" t="s">
        <v>6373</v>
      </c>
      <c r="T44" s="59">
        <f t="shared" si="0"/>
        <v>45117</v>
      </c>
    </row>
    <row r="45" spans="1:20" ht="15.75" customHeight="1">
      <c r="A45" s="9" t="s">
        <v>6374</v>
      </c>
      <c r="C45" s="9" t="s">
        <v>6236</v>
      </c>
      <c r="D45" s="9" t="s">
        <v>431</v>
      </c>
      <c r="E45" s="9" t="s">
        <v>368</v>
      </c>
      <c r="F45" s="9" t="s">
        <v>436</v>
      </c>
      <c r="G45" s="9" t="s">
        <v>434</v>
      </c>
      <c r="H45" s="87" t="s">
        <v>6264</v>
      </c>
      <c r="I45" s="87" t="s">
        <v>6375</v>
      </c>
      <c r="J45" s="87" t="s">
        <v>6376</v>
      </c>
      <c r="K45" s="87" t="s">
        <v>6240</v>
      </c>
      <c r="L45" s="87" t="s">
        <v>6377</v>
      </c>
      <c r="M45" s="9" t="s">
        <v>6378</v>
      </c>
      <c r="N45" s="87" t="s">
        <v>6376</v>
      </c>
      <c r="O45" s="9" t="s">
        <v>6243</v>
      </c>
      <c r="P45" s="87" t="s">
        <v>6379</v>
      </c>
      <c r="Q45" s="87" t="s">
        <v>6375</v>
      </c>
      <c r="R45" s="87" t="s">
        <v>5381</v>
      </c>
      <c r="S45" s="87" t="s">
        <v>6245</v>
      </c>
      <c r="T45" s="59">
        <f t="shared" si="0"/>
        <v>45116</v>
      </c>
    </row>
    <row r="46" spans="1:20" ht="15.75" customHeight="1">
      <c r="A46" s="9" t="s">
        <v>6368</v>
      </c>
      <c r="C46" s="9" t="s">
        <v>6236</v>
      </c>
      <c r="D46" s="9" t="s">
        <v>431</v>
      </c>
      <c r="E46" s="9" t="s">
        <v>368</v>
      </c>
      <c r="F46" s="9" t="s">
        <v>436</v>
      </c>
      <c r="G46" s="9" t="s">
        <v>434</v>
      </c>
      <c r="H46" s="87" t="s">
        <v>6264</v>
      </c>
      <c r="I46" s="87" t="s">
        <v>6357</v>
      </c>
      <c r="J46" s="87" t="s">
        <v>6370</v>
      </c>
      <c r="K46" s="87" t="s">
        <v>6240</v>
      </c>
      <c r="L46" s="87" t="s">
        <v>6377</v>
      </c>
      <c r="M46" s="9" t="s">
        <v>6380</v>
      </c>
      <c r="N46" s="87" t="s">
        <v>6370</v>
      </c>
      <c r="O46" s="9" t="s">
        <v>6243</v>
      </c>
      <c r="P46" s="87" t="s">
        <v>6381</v>
      </c>
      <c r="Q46" s="87" t="s">
        <v>6357</v>
      </c>
      <c r="R46" s="87" t="s">
        <v>6244</v>
      </c>
      <c r="S46" s="87" t="s">
        <v>6382</v>
      </c>
      <c r="T46" s="59">
        <f t="shared" si="0"/>
        <v>45116</v>
      </c>
    </row>
    <row r="47" spans="1:20" ht="15.75" customHeight="1">
      <c r="A47" s="9" t="s">
        <v>6374</v>
      </c>
      <c r="C47" s="9" t="s">
        <v>6236</v>
      </c>
      <c r="D47" s="9" t="s">
        <v>431</v>
      </c>
      <c r="E47" s="9" t="s">
        <v>368</v>
      </c>
      <c r="F47" s="9" t="s">
        <v>436</v>
      </c>
      <c r="G47" s="9" t="s">
        <v>434</v>
      </c>
      <c r="H47" s="87" t="s">
        <v>6264</v>
      </c>
      <c r="I47" s="87" t="s">
        <v>6375</v>
      </c>
      <c r="J47" s="87" t="s">
        <v>6239</v>
      </c>
      <c r="K47" s="87" t="s">
        <v>6240</v>
      </c>
      <c r="L47" s="87" t="s">
        <v>6383</v>
      </c>
      <c r="M47" s="9" t="s">
        <v>6242</v>
      </c>
      <c r="N47" s="87" t="s">
        <v>6239</v>
      </c>
      <c r="O47" s="9" t="s">
        <v>6243</v>
      </c>
      <c r="P47" s="87" t="s">
        <v>3764</v>
      </c>
      <c r="Q47" s="87" t="s">
        <v>6375</v>
      </c>
      <c r="R47" s="87" t="s">
        <v>6244</v>
      </c>
      <c r="S47" s="87" t="s">
        <v>6245</v>
      </c>
      <c r="T47" s="59">
        <f t="shared" si="0"/>
        <v>45115</v>
      </c>
    </row>
    <row r="48" spans="1:20" ht="15.75" customHeight="1">
      <c r="A48" s="9" t="s">
        <v>6384</v>
      </c>
      <c r="C48" s="9" t="s">
        <v>6236</v>
      </c>
      <c r="D48" s="9" t="s">
        <v>431</v>
      </c>
      <c r="E48" s="9" t="s">
        <v>368</v>
      </c>
      <c r="F48" s="9" t="s">
        <v>436</v>
      </c>
      <c r="G48" s="9" t="s">
        <v>434</v>
      </c>
      <c r="H48" s="87" t="s">
        <v>6264</v>
      </c>
      <c r="I48" s="87" t="s">
        <v>6375</v>
      </c>
      <c r="J48" s="87" t="s">
        <v>6348</v>
      </c>
      <c r="K48" s="87" t="s">
        <v>6240</v>
      </c>
      <c r="L48" s="87" t="s">
        <v>6385</v>
      </c>
      <c r="M48" s="9" t="s">
        <v>6386</v>
      </c>
      <c r="N48" s="87" t="s">
        <v>6348</v>
      </c>
      <c r="O48" s="9" t="s">
        <v>6243</v>
      </c>
      <c r="P48" s="87" t="s">
        <v>5381</v>
      </c>
      <c r="Q48" s="87" t="s">
        <v>6375</v>
      </c>
      <c r="R48" s="87" t="s">
        <v>6387</v>
      </c>
      <c r="S48" s="87" t="s">
        <v>6245</v>
      </c>
      <c r="T48" s="59">
        <f t="shared" si="0"/>
        <v>45114</v>
      </c>
    </row>
    <row r="49" spans="1:20" ht="15.75" customHeight="1">
      <c r="A49" s="9" t="s">
        <v>6374</v>
      </c>
      <c r="C49" s="9" t="s">
        <v>6236</v>
      </c>
      <c r="D49" s="9" t="s">
        <v>431</v>
      </c>
      <c r="E49" s="9" t="s">
        <v>368</v>
      </c>
      <c r="F49" s="9" t="s">
        <v>436</v>
      </c>
      <c r="G49" s="9" t="s">
        <v>434</v>
      </c>
      <c r="H49" s="87" t="s">
        <v>6264</v>
      </c>
      <c r="I49" s="87" t="s">
        <v>6375</v>
      </c>
      <c r="J49" s="87" t="s">
        <v>6342</v>
      </c>
      <c r="K49" s="87" t="s">
        <v>6240</v>
      </c>
      <c r="L49" s="87" t="s">
        <v>6385</v>
      </c>
      <c r="M49" s="9" t="s">
        <v>6344</v>
      </c>
      <c r="N49" s="87" t="s">
        <v>6342</v>
      </c>
      <c r="O49" s="9" t="s">
        <v>6243</v>
      </c>
      <c r="P49" s="87" t="s">
        <v>6345</v>
      </c>
      <c r="Q49" s="87" t="s">
        <v>6375</v>
      </c>
      <c r="R49" s="87" t="s">
        <v>6244</v>
      </c>
      <c r="S49" s="87" t="s">
        <v>6346</v>
      </c>
      <c r="T49" s="59">
        <f t="shared" si="0"/>
        <v>45114</v>
      </c>
    </row>
    <row r="50" spans="1:20" ht="15.75" customHeight="1">
      <c r="A50" s="9" t="s">
        <v>6384</v>
      </c>
      <c r="C50" s="9" t="s">
        <v>6236</v>
      </c>
      <c r="D50" s="9" t="s">
        <v>431</v>
      </c>
      <c r="E50" s="9" t="s">
        <v>368</v>
      </c>
      <c r="F50" s="9" t="s">
        <v>436</v>
      </c>
      <c r="G50" s="9" t="s">
        <v>434</v>
      </c>
      <c r="H50" s="87" t="s">
        <v>6264</v>
      </c>
      <c r="I50" s="87" t="s">
        <v>6375</v>
      </c>
      <c r="J50" s="87" t="s">
        <v>6239</v>
      </c>
      <c r="K50" s="87" t="s">
        <v>6240</v>
      </c>
      <c r="L50" s="87" t="s">
        <v>6388</v>
      </c>
      <c r="M50" s="9" t="s">
        <v>6242</v>
      </c>
      <c r="N50" s="87" t="s">
        <v>6239</v>
      </c>
      <c r="O50" s="9" t="s">
        <v>6243</v>
      </c>
      <c r="P50" s="87" t="s">
        <v>3764</v>
      </c>
      <c r="Q50" s="87" t="s">
        <v>6375</v>
      </c>
      <c r="R50" s="87" t="s">
        <v>6244</v>
      </c>
      <c r="S50" s="87" t="s">
        <v>6245</v>
      </c>
      <c r="T50" s="59">
        <f t="shared" si="0"/>
        <v>45113</v>
      </c>
    </row>
    <row r="51" spans="1:20" ht="15.75" customHeight="1">
      <c r="A51" s="9" t="s">
        <v>6384</v>
      </c>
      <c r="C51" s="9" t="s">
        <v>6236</v>
      </c>
      <c r="D51" s="9" t="s">
        <v>431</v>
      </c>
      <c r="E51" s="9" t="s">
        <v>368</v>
      </c>
      <c r="F51" s="9" t="s">
        <v>436</v>
      </c>
      <c r="G51" s="9" t="s">
        <v>434</v>
      </c>
      <c r="H51" s="87" t="s">
        <v>6264</v>
      </c>
      <c r="I51" s="87" t="s">
        <v>6375</v>
      </c>
      <c r="J51" s="87" t="s">
        <v>6239</v>
      </c>
      <c r="K51" s="87" t="s">
        <v>6240</v>
      </c>
      <c r="L51" s="87" t="s">
        <v>6389</v>
      </c>
      <c r="M51" s="9" t="s">
        <v>6242</v>
      </c>
      <c r="N51" s="87" t="s">
        <v>6239</v>
      </c>
      <c r="O51" s="9" t="s">
        <v>6243</v>
      </c>
      <c r="P51" s="87" t="s">
        <v>3764</v>
      </c>
      <c r="Q51" s="87" t="s">
        <v>6375</v>
      </c>
      <c r="R51" s="87" t="s">
        <v>6244</v>
      </c>
      <c r="S51" s="87" t="s">
        <v>6245</v>
      </c>
      <c r="T51" s="59">
        <f t="shared" si="0"/>
        <v>45112</v>
      </c>
    </row>
    <row r="52" spans="1:20" ht="15.75" customHeight="1">
      <c r="A52" s="9" t="s">
        <v>2978</v>
      </c>
      <c r="C52" s="9" t="s">
        <v>6236</v>
      </c>
      <c r="D52" s="9" t="s">
        <v>431</v>
      </c>
      <c r="E52" s="9" t="s">
        <v>368</v>
      </c>
      <c r="F52" s="9" t="s">
        <v>436</v>
      </c>
      <c r="G52" s="9" t="s">
        <v>434</v>
      </c>
      <c r="H52" s="87" t="s">
        <v>6264</v>
      </c>
      <c r="I52" s="87" t="s">
        <v>6306</v>
      </c>
      <c r="J52" s="87" t="s">
        <v>6387</v>
      </c>
      <c r="K52" s="87" t="s">
        <v>6240</v>
      </c>
      <c r="L52" s="87" t="s">
        <v>6390</v>
      </c>
      <c r="M52" s="9" t="s">
        <v>6391</v>
      </c>
      <c r="N52" s="87" t="s">
        <v>6387</v>
      </c>
      <c r="O52" s="9" t="s">
        <v>6243</v>
      </c>
      <c r="P52" s="87" t="s">
        <v>6248</v>
      </c>
      <c r="Q52" s="87" t="s">
        <v>6306</v>
      </c>
      <c r="R52" s="87" t="s">
        <v>6392</v>
      </c>
      <c r="S52" s="87" t="s">
        <v>6245</v>
      </c>
      <c r="T52" s="59">
        <f t="shared" si="0"/>
        <v>45111</v>
      </c>
    </row>
    <row r="53" spans="1:20" ht="15.75" customHeight="1">
      <c r="A53" s="9" t="s">
        <v>6384</v>
      </c>
      <c r="C53" s="9" t="s">
        <v>6236</v>
      </c>
      <c r="D53" s="9" t="s">
        <v>431</v>
      </c>
      <c r="E53" s="9" t="s">
        <v>368</v>
      </c>
      <c r="F53" s="9" t="s">
        <v>436</v>
      </c>
      <c r="G53" s="9" t="s">
        <v>434</v>
      </c>
      <c r="H53" s="87" t="s">
        <v>6264</v>
      </c>
      <c r="I53" s="87" t="s">
        <v>6375</v>
      </c>
      <c r="J53" s="87" t="s">
        <v>6393</v>
      </c>
      <c r="K53" s="87" t="s">
        <v>6240</v>
      </c>
      <c r="L53" s="87" t="s">
        <v>6390</v>
      </c>
      <c r="M53" s="9" t="s">
        <v>6394</v>
      </c>
      <c r="N53" s="87" t="s">
        <v>6393</v>
      </c>
      <c r="O53" s="9" t="s">
        <v>6243</v>
      </c>
      <c r="P53" s="87" t="s">
        <v>6341</v>
      </c>
      <c r="Q53" s="87" t="s">
        <v>6375</v>
      </c>
      <c r="R53" s="87" t="s">
        <v>6244</v>
      </c>
      <c r="S53" s="87" t="s">
        <v>6395</v>
      </c>
      <c r="T53" s="59">
        <f t="shared" si="0"/>
        <v>45111</v>
      </c>
    </row>
    <row r="54" spans="1:20" ht="15.75" customHeight="1">
      <c r="A54" s="9" t="s">
        <v>2987</v>
      </c>
      <c r="C54" s="9" t="s">
        <v>6236</v>
      </c>
      <c r="D54" s="9" t="s">
        <v>431</v>
      </c>
      <c r="E54" s="9" t="s">
        <v>368</v>
      </c>
      <c r="F54" s="9" t="s">
        <v>436</v>
      </c>
      <c r="G54" s="9" t="s">
        <v>434</v>
      </c>
      <c r="H54" s="87" t="s">
        <v>6237</v>
      </c>
      <c r="I54" s="87" t="s">
        <v>6299</v>
      </c>
      <c r="J54" s="87" t="s">
        <v>6299</v>
      </c>
      <c r="K54" s="87" t="s">
        <v>6240</v>
      </c>
      <c r="L54" s="87" t="s">
        <v>6390</v>
      </c>
      <c r="M54" s="9" t="s">
        <v>6396</v>
      </c>
      <c r="N54" s="87" t="s">
        <v>6299</v>
      </c>
      <c r="O54" s="9" t="s">
        <v>6243</v>
      </c>
      <c r="P54" s="87" t="s">
        <v>3231</v>
      </c>
      <c r="Q54" s="87" t="s">
        <v>6299</v>
      </c>
      <c r="R54" s="87" t="s">
        <v>6306</v>
      </c>
      <c r="S54" s="87" t="s">
        <v>6322</v>
      </c>
      <c r="T54" s="59">
        <f t="shared" si="0"/>
        <v>45111</v>
      </c>
    </row>
    <row r="55" spans="1:20" ht="15.75" customHeight="1">
      <c r="A55" s="9" t="s">
        <v>2849</v>
      </c>
      <c r="C55" s="9" t="s">
        <v>6236</v>
      </c>
      <c r="D55" s="9" t="s">
        <v>431</v>
      </c>
      <c r="E55" s="9" t="s">
        <v>368</v>
      </c>
      <c r="F55" s="9" t="s">
        <v>436</v>
      </c>
      <c r="G55" s="9" t="s">
        <v>434</v>
      </c>
      <c r="H55" s="87" t="s">
        <v>6264</v>
      </c>
      <c r="I55" s="87" t="s">
        <v>6397</v>
      </c>
      <c r="J55" s="87" t="s">
        <v>6397</v>
      </c>
      <c r="K55" s="87" t="s">
        <v>6240</v>
      </c>
      <c r="L55" s="87" t="s">
        <v>6398</v>
      </c>
      <c r="M55" s="9" t="s">
        <v>6399</v>
      </c>
      <c r="N55" s="87" t="s">
        <v>6397</v>
      </c>
      <c r="O55" s="9" t="s">
        <v>6243</v>
      </c>
      <c r="P55" s="87" t="s">
        <v>6278</v>
      </c>
      <c r="Q55" s="87" t="s">
        <v>6397</v>
      </c>
      <c r="R55" s="87" t="s">
        <v>6400</v>
      </c>
      <c r="S55" s="87" t="s">
        <v>6295</v>
      </c>
      <c r="T55" s="59">
        <f t="shared" si="0"/>
        <v>45110</v>
      </c>
    </row>
    <row r="56" spans="1:20" ht="15.75" customHeight="1">
      <c r="A56" s="9" t="s">
        <v>2863</v>
      </c>
      <c r="C56" s="9" t="s">
        <v>6236</v>
      </c>
      <c r="D56" s="9" t="s">
        <v>431</v>
      </c>
      <c r="E56" s="9" t="s">
        <v>368</v>
      </c>
      <c r="F56" s="9" t="s">
        <v>436</v>
      </c>
      <c r="G56" s="9" t="s">
        <v>434</v>
      </c>
      <c r="H56" s="87" t="s">
        <v>6264</v>
      </c>
      <c r="I56" s="87" t="s">
        <v>6397</v>
      </c>
      <c r="J56" s="87" t="s">
        <v>6297</v>
      </c>
      <c r="K56" s="87" t="s">
        <v>6240</v>
      </c>
      <c r="L56" s="87" t="s">
        <v>6398</v>
      </c>
      <c r="M56" s="9" t="s">
        <v>6298</v>
      </c>
      <c r="N56" s="87" t="s">
        <v>6297</v>
      </c>
      <c r="O56" s="9" t="s">
        <v>6243</v>
      </c>
      <c r="P56" s="87" t="s">
        <v>6299</v>
      </c>
      <c r="Q56" s="87" t="s">
        <v>6397</v>
      </c>
      <c r="R56" s="87" t="s">
        <v>6259</v>
      </c>
      <c r="S56" s="87" t="s">
        <v>6245</v>
      </c>
      <c r="T56" s="59">
        <f t="shared" si="0"/>
        <v>45110</v>
      </c>
    </row>
    <row r="57" spans="1:20" ht="15.75" customHeight="1">
      <c r="A57" s="9" t="s">
        <v>2978</v>
      </c>
      <c r="C57" s="9" t="s">
        <v>6236</v>
      </c>
      <c r="D57" s="9" t="s">
        <v>431</v>
      </c>
      <c r="E57" s="9" t="s">
        <v>368</v>
      </c>
      <c r="F57" s="9" t="s">
        <v>436</v>
      </c>
      <c r="G57" s="9" t="s">
        <v>434</v>
      </c>
      <c r="H57" s="87" t="s">
        <v>6264</v>
      </c>
      <c r="I57" s="87" t="s">
        <v>6306</v>
      </c>
      <c r="J57" s="87" t="s">
        <v>6401</v>
      </c>
      <c r="K57" s="87" t="s">
        <v>6240</v>
      </c>
      <c r="L57" s="87" t="s">
        <v>6398</v>
      </c>
      <c r="M57" s="9" t="s">
        <v>6402</v>
      </c>
      <c r="N57" s="87" t="s">
        <v>6401</v>
      </c>
      <c r="O57" s="9" t="s">
        <v>6243</v>
      </c>
      <c r="P57" s="87" t="s">
        <v>6403</v>
      </c>
      <c r="Q57" s="87" t="s">
        <v>6306</v>
      </c>
      <c r="R57" s="87" t="s">
        <v>6244</v>
      </c>
      <c r="S57" s="87" t="s">
        <v>6404</v>
      </c>
      <c r="T57" s="59">
        <f t="shared" si="0"/>
        <v>45110</v>
      </c>
    </row>
    <row r="58" spans="1:20" ht="15.75" customHeight="1">
      <c r="A58" s="9" t="s">
        <v>2844</v>
      </c>
      <c r="C58" s="9" t="s">
        <v>6236</v>
      </c>
      <c r="D58" s="9" t="s">
        <v>431</v>
      </c>
      <c r="E58" s="9" t="s">
        <v>368</v>
      </c>
      <c r="F58" s="9" t="s">
        <v>436</v>
      </c>
      <c r="G58" s="9" t="s">
        <v>434</v>
      </c>
      <c r="H58" s="87" t="s">
        <v>6237</v>
      </c>
      <c r="I58" s="87" t="s">
        <v>6405</v>
      </c>
      <c r="J58" s="87" t="s">
        <v>6405</v>
      </c>
      <c r="K58" s="87" t="s">
        <v>6240</v>
      </c>
      <c r="L58" s="87" t="s">
        <v>6406</v>
      </c>
      <c r="M58" s="9" t="s">
        <v>6407</v>
      </c>
      <c r="N58" s="87" t="s">
        <v>6405</v>
      </c>
      <c r="O58" s="9" t="s">
        <v>6243</v>
      </c>
      <c r="P58" s="87" t="s">
        <v>6240</v>
      </c>
      <c r="Q58" s="87" t="s">
        <v>6405</v>
      </c>
      <c r="R58" s="87" t="s">
        <v>6250</v>
      </c>
      <c r="S58" s="87" t="s">
        <v>6250</v>
      </c>
      <c r="T58" s="59">
        <f t="shared" si="0"/>
        <v>45109</v>
      </c>
    </row>
    <row r="59" spans="1:20" ht="15.75" customHeight="1">
      <c r="A59" s="9" t="s">
        <v>2868</v>
      </c>
      <c r="C59" s="9" t="s">
        <v>6236</v>
      </c>
      <c r="D59" s="9" t="s">
        <v>431</v>
      </c>
      <c r="E59" s="9" t="s">
        <v>368</v>
      </c>
      <c r="F59" s="9" t="s">
        <v>436</v>
      </c>
      <c r="G59" s="9" t="s">
        <v>434</v>
      </c>
      <c r="H59" s="87" t="s">
        <v>6237</v>
      </c>
      <c r="I59" s="87" t="s">
        <v>6297</v>
      </c>
      <c r="J59" s="87" t="s">
        <v>6297</v>
      </c>
      <c r="K59" s="87" t="s">
        <v>6240</v>
      </c>
      <c r="L59" s="87" t="s">
        <v>6406</v>
      </c>
      <c r="M59" s="9" t="s">
        <v>6408</v>
      </c>
      <c r="N59" s="87" t="s">
        <v>6297</v>
      </c>
      <c r="O59" s="9" t="s">
        <v>6243</v>
      </c>
      <c r="P59" s="87" t="s">
        <v>6299</v>
      </c>
      <c r="Q59" s="87" t="s">
        <v>6297</v>
      </c>
      <c r="R59" s="87" t="s">
        <v>6409</v>
      </c>
      <c r="S59" s="87" t="s">
        <v>6376</v>
      </c>
      <c r="T59" s="59">
        <f t="shared" si="0"/>
        <v>45109</v>
      </c>
    </row>
    <row r="60" spans="1:20" ht="15.75" customHeight="1">
      <c r="A60" s="9" t="s">
        <v>2870</v>
      </c>
      <c r="C60" s="9" t="s">
        <v>6236</v>
      </c>
      <c r="D60" s="9" t="s">
        <v>431</v>
      </c>
      <c r="E60" s="9" t="s">
        <v>368</v>
      </c>
      <c r="F60" s="9" t="s">
        <v>436</v>
      </c>
      <c r="G60" s="9" t="s">
        <v>434</v>
      </c>
      <c r="H60" s="87" t="s">
        <v>6237</v>
      </c>
      <c r="I60" s="87" t="s">
        <v>6410</v>
      </c>
      <c r="J60" s="87" t="s">
        <v>6411</v>
      </c>
      <c r="K60" s="87" t="s">
        <v>6240</v>
      </c>
      <c r="L60" s="87" t="s">
        <v>6406</v>
      </c>
      <c r="M60" s="9" t="s">
        <v>6412</v>
      </c>
      <c r="N60" s="87" t="s">
        <v>6411</v>
      </c>
      <c r="O60" s="9" t="s">
        <v>6243</v>
      </c>
      <c r="P60" s="87" t="s">
        <v>6321</v>
      </c>
      <c r="Q60" s="87" t="s">
        <v>6410</v>
      </c>
      <c r="R60" s="87" t="s">
        <v>6413</v>
      </c>
      <c r="S60" s="87" t="s">
        <v>6245</v>
      </c>
      <c r="T60" s="59">
        <f t="shared" si="0"/>
        <v>45109</v>
      </c>
    </row>
    <row r="61" spans="1:20" ht="15.75" customHeight="1">
      <c r="A61" s="9" t="s">
        <v>2863</v>
      </c>
      <c r="C61" s="9" t="s">
        <v>6236</v>
      </c>
      <c r="D61" s="9" t="s">
        <v>431</v>
      </c>
      <c r="E61" s="9" t="s">
        <v>368</v>
      </c>
      <c r="F61" s="9" t="s">
        <v>436</v>
      </c>
      <c r="G61" s="9" t="s">
        <v>434</v>
      </c>
      <c r="H61" s="87" t="s">
        <v>6264</v>
      </c>
      <c r="I61" s="87" t="s">
        <v>6397</v>
      </c>
      <c r="J61" s="87" t="s">
        <v>6414</v>
      </c>
      <c r="K61" s="87" t="s">
        <v>6240</v>
      </c>
      <c r="L61" s="87" t="s">
        <v>6406</v>
      </c>
      <c r="M61" s="9" t="s">
        <v>6415</v>
      </c>
      <c r="N61" s="87" t="s">
        <v>6414</v>
      </c>
      <c r="O61" s="9" t="s">
        <v>6243</v>
      </c>
      <c r="P61" s="87" t="s">
        <v>6416</v>
      </c>
      <c r="Q61" s="87" t="s">
        <v>6397</v>
      </c>
      <c r="R61" s="87" t="s">
        <v>6244</v>
      </c>
      <c r="S61" s="87" t="s">
        <v>6417</v>
      </c>
      <c r="T61" s="59">
        <f t="shared" si="0"/>
        <v>45109</v>
      </c>
    </row>
    <row r="62" spans="1:20" ht="15.75" customHeight="1">
      <c r="A62" s="9" t="s">
        <v>3018</v>
      </c>
      <c r="C62" s="9" t="s">
        <v>6236</v>
      </c>
      <c r="D62" s="9" t="s">
        <v>431</v>
      </c>
      <c r="E62" s="9" t="s">
        <v>368</v>
      </c>
      <c r="F62" s="9" t="s">
        <v>436</v>
      </c>
      <c r="G62" s="9" t="s">
        <v>434</v>
      </c>
      <c r="H62" s="87" t="s">
        <v>6237</v>
      </c>
      <c r="I62" s="87" t="s">
        <v>6376</v>
      </c>
      <c r="J62" s="87" t="s">
        <v>6376</v>
      </c>
      <c r="K62" s="87" t="s">
        <v>6240</v>
      </c>
      <c r="L62" s="87" t="s">
        <v>6406</v>
      </c>
      <c r="M62" s="9" t="s">
        <v>6418</v>
      </c>
      <c r="N62" s="87" t="s">
        <v>6376</v>
      </c>
      <c r="O62" s="9" t="s">
        <v>6243</v>
      </c>
      <c r="P62" s="87" t="s">
        <v>6379</v>
      </c>
      <c r="Q62" s="87" t="s">
        <v>6376</v>
      </c>
      <c r="R62" s="87" t="s">
        <v>6419</v>
      </c>
      <c r="S62" s="87" t="s">
        <v>6400</v>
      </c>
      <c r="T62" s="59">
        <f t="shared" si="0"/>
        <v>45109</v>
      </c>
    </row>
    <row r="63" spans="1:20" ht="15.75" customHeight="1">
      <c r="A63" s="9" t="s">
        <v>2870</v>
      </c>
      <c r="C63" s="9" t="s">
        <v>6236</v>
      </c>
      <c r="D63" s="9" t="s">
        <v>431</v>
      </c>
      <c r="E63" s="9" t="s">
        <v>368</v>
      </c>
      <c r="F63" s="9" t="s">
        <v>436</v>
      </c>
      <c r="G63" s="9" t="s">
        <v>434</v>
      </c>
      <c r="H63" s="87" t="s">
        <v>6237</v>
      </c>
      <c r="I63" s="87" t="s">
        <v>6410</v>
      </c>
      <c r="J63" s="87" t="s">
        <v>6239</v>
      </c>
      <c r="K63" s="87" t="s">
        <v>6240</v>
      </c>
      <c r="L63" s="87" t="s">
        <v>6420</v>
      </c>
      <c r="M63" s="9" t="s">
        <v>6242</v>
      </c>
      <c r="N63" s="87" t="s">
        <v>6239</v>
      </c>
      <c r="O63" s="9" t="s">
        <v>6243</v>
      </c>
      <c r="P63" s="87" t="s">
        <v>3764</v>
      </c>
      <c r="Q63" s="87" t="s">
        <v>6410</v>
      </c>
      <c r="R63" s="87" t="s">
        <v>6244</v>
      </c>
      <c r="S63" s="87" t="s">
        <v>6245</v>
      </c>
      <c r="T63" s="59">
        <f t="shared" si="0"/>
        <v>45108</v>
      </c>
    </row>
    <row r="64" spans="1:20" ht="15.75" customHeight="1">
      <c r="A64" s="9" t="s">
        <v>2870</v>
      </c>
      <c r="C64" s="9" t="s">
        <v>6236</v>
      </c>
      <c r="D64" s="9" t="s">
        <v>431</v>
      </c>
      <c r="E64" s="9" t="s">
        <v>368</v>
      </c>
      <c r="F64" s="9" t="s">
        <v>436</v>
      </c>
      <c r="G64" s="9" t="s">
        <v>434</v>
      </c>
      <c r="H64" s="87" t="s">
        <v>6237</v>
      </c>
      <c r="I64" s="87" t="s">
        <v>6410</v>
      </c>
      <c r="J64" s="87" t="s">
        <v>6421</v>
      </c>
      <c r="K64" s="87" t="s">
        <v>6240</v>
      </c>
      <c r="L64" s="87" t="s">
        <v>6422</v>
      </c>
      <c r="M64" s="9" t="s">
        <v>6423</v>
      </c>
      <c r="N64" s="87" t="s">
        <v>6421</v>
      </c>
      <c r="O64" s="9" t="s">
        <v>6243</v>
      </c>
      <c r="P64" s="87" t="s">
        <v>6316</v>
      </c>
      <c r="Q64" s="87" t="s">
        <v>6410</v>
      </c>
      <c r="R64" s="87" t="s">
        <v>6244</v>
      </c>
      <c r="S64" s="87" t="s">
        <v>6424</v>
      </c>
      <c r="T64" s="59">
        <f t="shared" si="0"/>
        <v>45107</v>
      </c>
    </row>
    <row r="65" spans="1:20" ht="15.75" customHeight="1">
      <c r="A65" s="9" t="s">
        <v>2941</v>
      </c>
      <c r="C65" s="9" t="s">
        <v>6236</v>
      </c>
      <c r="D65" s="9" t="s">
        <v>431</v>
      </c>
      <c r="E65" s="9" t="s">
        <v>368</v>
      </c>
      <c r="F65" s="9" t="s">
        <v>436</v>
      </c>
      <c r="G65" s="9" t="s">
        <v>434</v>
      </c>
      <c r="H65" s="87" t="s">
        <v>6237</v>
      </c>
      <c r="I65" s="87" t="s">
        <v>6245</v>
      </c>
      <c r="J65" s="87" t="s">
        <v>6245</v>
      </c>
      <c r="K65" s="87" t="s">
        <v>6240</v>
      </c>
      <c r="L65" s="87" t="s">
        <v>6422</v>
      </c>
      <c r="M65" s="9" t="s">
        <v>6425</v>
      </c>
      <c r="N65" s="87" t="s">
        <v>6245</v>
      </c>
      <c r="O65" s="9" t="s">
        <v>6243</v>
      </c>
      <c r="P65" s="87" t="s">
        <v>6238</v>
      </c>
      <c r="Q65" s="87" t="s">
        <v>6245</v>
      </c>
      <c r="R65" s="87" t="s">
        <v>6417</v>
      </c>
      <c r="S65" s="87" t="s">
        <v>6316</v>
      </c>
      <c r="T65" s="59">
        <f t="shared" si="0"/>
        <v>45107</v>
      </c>
    </row>
    <row r="66" spans="1:20" ht="15.75" customHeight="1">
      <c r="A66" s="9" t="s">
        <v>2859</v>
      </c>
      <c r="C66" s="9" t="s">
        <v>6236</v>
      </c>
      <c r="D66" s="9" t="s">
        <v>431</v>
      </c>
      <c r="E66" s="9" t="s">
        <v>368</v>
      </c>
      <c r="F66" s="9" t="s">
        <v>436</v>
      </c>
      <c r="G66" s="9" t="s">
        <v>434</v>
      </c>
      <c r="H66" s="87" t="s">
        <v>6237</v>
      </c>
      <c r="I66" s="87" t="s">
        <v>4953</v>
      </c>
      <c r="J66" s="87" t="s">
        <v>4953</v>
      </c>
      <c r="K66" s="87" t="s">
        <v>6240</v>
      </c>
      <c r="L66" s="87" t="s">
        <v>6426</v>
      </c>
      <c r="M66" s="9" t="s">
        <v>6427</v>
      </c>
      <c r="N66" s="87" t="s">
        <v>4953</v>
      </c>
      <c r="O66" s="9" t="s">
        <v>6243</v>
      </c>
      <c r="P66" s="87" t="s">
        <v>6306</v>
      </c>
      <c r="Q66" s="87" t="s">
        <v>4953</v>
      </c>
      <c r="R66" s="87" t="s">
        <v>6404</v>
      </c>
      <c r="S66" s="87" t="s">
        <v>6346</v>
      </c>
      <c r="T66" s="59">
        <f t="shared" si="0"/>
        <v>45104</v>
      </c>
    </row>
    <row r="67" spans="1:20" ht="15.75" customHeight="1">
      <c r="A67" s="9" t="s">
        <v>2948</v>
      </c>
      <c r="C67" s="9" t="s">
        <v>6236</v>
      </c>
      <c r="D67" s="9" t="s">
        <v>431</v>
      </c>
      <c r="E67" s="9" t="s">
        <v>368</v>
      </c>
      <c r="F67" s="9" t="s">
        <v>436</v>
      </c>
      <c r="G67" s="9" t="s">
        <v>434</v>
      </c>
      <c r="H67" s="87" t="s">
        <v>6237</v>
      </c>
      <c r="I67" s="87" t="s">
        <v>6428</v>
      </c>
      <c r="J67" s="87" t="s">
        <v>6428</v>
      </c>
      <c r="K67" s="87" t="s">
        <v>6240</v>
      </c>
      <c r="L67" s="87" t="s">
        <v>6426</v>
      </c>
      <c r="M67" s="9" t="s">
        <v>6429</v>
      </c>
      <c r="N67" s="87" t="s">
        <v>6428</v>
      </c>
      <c r="O67" s="9" t="s">
        <v>6243</v>
      </c>
      <c r="P67" s="87" t="s">
        <v>3210</v>
      </c>
      <c r="Q67" s="87" t="s">
        <v>6428</v>
      </c>
      <c r="R67" s="87" t="s">
        <v>6244</v>
      </c>
      <c r="S67" s="87" t="s">
        <v>6430</v>
      </c>
      <c r="T67" s="59">
        <f t="shared" si="0"/>
        <v>45104</v>
      </c>
    </row>
    <row r="68" spans="1:20" ht="15.75" customHeight="1">
      <c r="A68" s="9" t="s">
        <v>2947</v>
      </c>
      <c r="C68" s="9" t="s">
        <v>6236</v>
      </c>
      <c r="D68" s="9" t="s">
        <v>431</v>
      </c>
      <c r="E68" s="9" t="s">
        <v>368</v>
      </c>
      <c r="F68" s="9" t="s">
        <v>436</v>
      </c>
      <c r="G68" s="9" t="s">
        <v>434</v>
      </c>
      <c r="H68" s="87" t="s">
        <v>6237</v>
      </c>
      <c r="I68" s="87" t="s">
        <v>6273</v>
      </c>
      <c r="J68" s="87" t="s">
        <v>6273</v>
      </c>
      <c r="K68" s="87" t="s">
        <v>6240</v>
      </c>
      <c r="L68" s="87" t="s">
        <v>6431</v>
      </c>
      <c r="M68" s="9" t="s">
        <v>6432</v>
      </c>
      <c r="N68" s="87" t="s">
        <v>6273</v>
      </c>
      <c r="O68" s="9" t="s">
        <v>6243</v>
      </c>
      <c r="P68" s="87" t="s">
        <v>6276</v>
      </c>
      <c r="Q68" s="87" t="s">
        <v>6273</v>
      </c>
      <c r="R68" s="87" t="s">
        <v>6333</v>
      </c>
      <c r="S68" s="87" t="s">
        <v>6268</v>
      </c>
      <c r="T68" s="59">
        <f t="shared" si="0"/>
        <v>45103</v>
      </c>
    </row>
    <row r="69" spans="1:20" ht="15.75" customHeight="1">
      <c r="A69" s="9" t="s">
        <v>3003</v>
      </c>
      <c r="C69" s="9" t="s">
        <v>6236</v>
      </c>
      <c r="D69" s="9" t="s">
        <v>431</v>
      </c>
      <c r="E69" s="9" t="s">
        <v>368</v>
      </c>
      <c r="F69" s="9" t="s">
        <v>436</v>
      </c>
      <c r="G69" s="9" t="s">
        <v>434</v>
      </c>
      <c r="H69" s="87" t="s">
        <v>6237</v>
      </c>
      <c r="I69" s="87" t="s">
        <v>6433</v>
      </c>
      <c r="J69" s="87" t="s">
        <v>6334</v>
      </c>
      <c r="K69" s="87" t="s">
        <v>6240</v>
      </c>
      <c r="L69" s="87" t="s">
        <v>6431</v>
      </c>
      <c r="M69" s="9" t="s">
        <v>6434</v>
      </c>
      <c r="N69" s="87" t="s">
        <v>6334</v>
      </c>
      <c r="O69" s="9" t="s">
        <v>6243</v>
      </c>
      <c r="P69" s="87" t="s">
        <v>6290</v>
      </c>
      <c r="Q69" s="87" t="s">
        <v>6433</v>
      </c>
      <c r="R69" s="87" t="s">
        <v>6397</v>
      </c>
      <c r="S69" s="87" t="s">
        <v>6245</v>
      </c>
      <c r="T69" s="59">
        <f t="shared" si="0"/>
        <v>45103</v>
      </c>
    </row>
    <row r="70" spans="1:20" ht="15.75" customHeight="1">
      <c r="A70" s="9" t="s">
        <v>2886</v>
      </c>
      <c r="C70" s="9" t="s">
        <v>6236</v>
      </c>
      <c r="D70" s="9" t="s">
        <v>431</v>
      </c>
      <c r="E70" s="9" t="s">
        <v>368</v>
      </c>
      <c r="F70" s="9" t="s">
        <v>436</v>
      </c>
      <c r="G70" s="9" t="s">
        <v>434</v>
      </c>
      <c r="H70" s="87" t="s">
        <v>6237</v>
      </c>
      <c r="I70" s="87" t="s">
        <v>6435</v>
      </c>
      <c r="J70" s="87" t="s">
        <v>6435</v>
      </c>
      <c r="K70" s="87" t="s">
        <v>6240</v>
      </c>
      <c r="L70" s="87" t="s">
        <v>6431</v>
      </c>
      <c r="M70" s="9" t="s">
        <v>6436</v>
      </c>
      <c r="N70" s="87" t="s">
        <v>6435</v>
      </c>
      <c r="O70" s="9" t="s">
        <v>6243</v>
      </c>
      <c r="P70" s="87" t="s">
        <v>6250</v>
      </c>
      <c r="Q70" s="87" t="s">
        <v>6435</v>
      </c>
      <c r="R70" s="87" t="s">
        <v>6244</v>
      </c>
      <c r="S70" s="87" t="s">
        <v>6437</v>
      </c>
      <c r="T70" s="59">
        <f t="shared" si="0"/>
        <v>45103</v>
      </c>
    </row>
    <row r="71" spans="1:20" ht="15.75" customHeight="1">
      <c r="A71" s="9" t="s">
        <v>2959</v>
      </c>
      <c r="C71" s="9" t="s">
        <v>6236</v>
      </c>
      <c r="D71" s="9" t="s">
        <v>431</v>
      </c>
      <c r="E71" s="9" t="s">
        <v>368</v>
      </c>
      <c r="F71" s="9" t="s">
        <v>436</v>
      </c>
      <c r="G71" s="9" t="s">
        <v>434</v>
      </c>
      <c r="H71" s="87" t="s">
        <v>6237</v>
      </c>
      <c r="I71" s="87" t="s">
        <v>6299</v>
      </c>
      <c r="J71" s="87" t="s">
        <v>6299</v>
      </c>
      <c r="K71" s="87" t="s">
        <v>6240</v>
      </c>
      <c r="L71" s="87" t="s">
        <v>6431</v>
      </c>
      <c r="M71" s="9" t="s">
        <v>6438</v>
      </c>
      <c r="N71" s="87" t="s">
        <v>6299</v>
      </c>
      <c r="O71" s="9" t="s">
        <v>6243</v>
      </c>
      <c r="P71" s="87" t="s">
        <v>3231</v>
      </c>
      <c r="Q71" s="87" t="s">
        <v>6299</v>
      </c>
      <c r="R71" s="87" t="s">
        <v>6439</v>
      </c>
      <c r="S71" s="87" t="s">
        <v>6440</v>
      </c>
      <c r="T71" s="59">
        <f t="shared" si="0"/>
        <v>45103</v>
      </c>
    </row>
    <row r="72" spans="1:20" ht="15.75" customHeight="1">
      <c r="A72" s="9" t="s">
        <v>2985</v>
      </c>
      <c r="C72" s="9" t="s">
        <v>6236</v>
      </c>
      <c r="D72" s="9" t="s">
        <v>431</v>
      </c>
      <c r="E72" s="9" t="s">
        <v>368</v>
      </c>
      <c r="F72" s="9" t="s">
        <v>436</v>
      </c>
      <c r="G72" s="9" t="s">
        <v>434</v>
      </c>
      <c r="H72" s="87" t="s">
        <v>6237</v>
      </c>
      <c r="I72" s="87" t="s">
        <v>6323</v>
      </c>
      <c r="J72" s="87" t="s">
        <v>6323</v>
      </c>
      <c r="K72" s="87" t="s">
        <v>6240</v>
      </c>
      <c r="L72" s="87" t="s">
        <v>6441</v>
      </c>
      <c r="M72" s="9" t="s">
        <v>6442</v>
      </c>
      <c r="N72" s="87" t="s">
        <v>6323</v>
      </c>
      <c r="O72" s="9" t="s">
        <v>6243</v>
      </c>
      <c r="P72" s="87" t="s">
        <v>5374</v>
      </c>
      <c r="Q72" s="87" t="s">
        <v>6323</v>
      </c>
      <c r="R72" s="87" t="s">
        <v>6443</v>
      </c>
      <c r="S72" s="87" t="s">
        <v>6360</v>
      </c>
      <c r="T72" s="59">
        <f t="shared" si="0"/>
        <v>45102</v>
      </c>
    </row>
    <row r="73" spans="1:20" ht="15.75" customHeight="1">
      <c r="A73" s="9" t="s">
        <v>2917</v>
      </c>
      <c r="C73" s="9" t="s">
        <v>6236</v>
      </c>
      <c r="D73" s="9" t="s">
        <v>431</v>
      </c>
      <c r="E73" s="9" t="s">
        <v>368</v>
      </c>
      <c r="F73" s="9" t="s">
        <v>436</v>
      </c>
      <c r="G73" s="9" t="s">
        <v>434</v>
      </c>
      <c r="H73" s="87" t="s">
        <v>6237</v>
      </c>
      <c r="I73" s="87" t="s">
        <v>6299</v>
      </c>
      <c r="J73" s="87" t="s">
        <v>6299</v>
      </c>
      <c r="K73" s="87" t="s">
        <v>6240</v>
      </c>
      <c r="L73" s="87" t="s">
        <v>6441</v>
      </c>
      <c r="M73" s="9" t="s">
        <v>6444</v>
      </c>
      <c r="N73" s="87" t="s">
        <v>6299</v>
      </c>
      <c r="O73" s="9" t="s">
        <v>6243</v>
      </c>
      <c r="P73" s="87" t="s">
        <v>3231</v>
      </c>
      <c r="Q73" s="87" t="s">
        <v>6299</v>
      </c>
      <c r="R73" s="87" t="s">
        <v>6445</v>
      </c>
      <c r="S73" s="87" t="s">
        <v>6268</v>
      </c>
      <c r="T73" s="59">
        <f t="shared" si="0"/>
        <v>45102</v>
      </c>
    </row>
    <row r="74" spans="1:20" ht="15.75" customHeight="1">
      <c r="A74" s="9" t="s">
        <v>3003</v>
      </c>
      <c r="C74" s="9" t="s">
        <v>6236</v>
      </c>
      <c r="D74" s="9" t="s">
        <v>431</v>
      </c>
      <c r="E74" s="9" t="s">
        <v>368</v>
      </c>
      <c r="F74" s="9" t="s">
        <v>436</v>
      </c>
      <c r="G74" s="9" t="s">
        <v>434</v>
      </c>
      <c r="H74" s="87" t="s">
        <v>6237</v>
      </c>
      <c r="I74" s="87" t="s">
        <v>6433</v>
      </c>
      <c r="J74" s="87" t="s">
        <v>4953</v>
      </c>
      <c r="K74" s="87" t="s">
        <v>6240</v>
      </c>
      <c r="L74" s="87" t="s">
        <v>6441</v>
      </c>
      <c r="M74" s="9" t="s">
        <v>6446</v>
      </c>
      <c r="N74" s="87" t="s">
        <v>4953</v>
      </c>
      <c r="O74" s="9" t="s">
        <v>6243</v>
      </c>
      <c r="P74" s="87" t="s">
        <v>6306</v>
      </c>
      <c r="Q74" s="87" t="s">
        <v>6433</v>
      </c>
      <c r="R74" s="87" t="s">
        <v>6244</v>
      </c>
      <c r="S74" s="87" t="s">
        <v>6306</v>
      </c>
      <c r="T74" s="59">
        <f t="shared" si="0"/>
        <v>45102</v>
      </c>
    </row>
    <row r="75" spans="1:20" ht="15.75" customHeight="1">
      <c r="A75" s="9" t="s">
        <v>6447</v>
      </c>
      <c r="C75" s="9" t="s">
        <v>6236</v>
      </c>
      <c r="D75" s="9" t="s">
        <v>431</v>
      </c>
      <c r="E75" s="9" t="s">
        <v>368</v>
      </c>
      <c r="F75" s="9" t="s">
        <v>436</v>
      </c>
      <c r="G75" s="9" t="s">
        <v>434</v>
      </c>
      <c r="H75" s="87" t="s">
        <v>6264</v>
      </c>
      <c r="I75" s="87" t="s">
        <v>6448</v>
      </c>
      <c r="J75" s="87" t="s">
        <v>6239</v>
      </c>
      <c r="K75" s="87" t="s">
        <v>6240</v>
      </c>
      <c r="L75" s="87" t="s">
        <v>6449</v>
      </c>
      <c r="M75" s="9" t="s">
        <v>6242</v>
      </c>
      <c r="N75" s="87" t="s">
        <v>6239</v>
      </c>
      <c r="O75" s="9" t="s">
        <v>6243</v>
      </c>
      <c r="P75" s="87" t="s">
        <v>3764</v>
      </c>
      <c r="Q75" s="87" t="s">
        <v>6448</v>
      </c>
      <c r="R75" s="87" t="s">
        <v>6244</v>
      </c>
      <c r="S75" s="87" t="s">
        <v>6245</v>
      </c>
      <c r="T75" s="59">
        <f t="shared" si="0"/>
        <v>45097</v>
      </c>
    </row>
    <row r="76" spans="1:20" ht="15.75" customHeight="1">
      <c r="A76" s="9" t="s">
        <v>6450</v>
      </c>
      <c r="C76" s="9" t="s">
        <v>6236</v>
      </c>
      <c r="D76" s="9" t="s">
        <v>431</v>
      </c>
      <c r="E76" s="9" t="s">
        <v>368</v>
      </c>
      <c r="F76" s="9" t="s">
        <v>436</v>
      </c>
      <c r="G76" s="9" t="s">
        <v>434</v>
      </c>
      <c r="H76" s="87" t="s">
        <v>6264</v>
      </c>
      <c r="I76" s="87" t="s">
        <v>6448</v>
      </c>
      <c r="J76" s="87" t="s">
        <v>6451</v>
      </c>
      <c r="K76" s="87" t="s">
        <v>6240</v>
      </c>
      <c r="L76" s="87" t="s">
        <v>6452</v>
      </c>
      <c r="M76" s="9" t="s">
        <v>6453</v>
      </c>
      <c r="N76" s="87" t="s">
        <v>6451</v>
      </c>
      <c r="O76" s="9" t="s">
        <v>6243</v>
      </c>
      <c r="P76" s="87" t="s">
        <v>6410</v>
      </c>
      <c r="Q76" s="87" t="s">
        <v>6448</v>
      </c>
      <c r="R76" s="87" t="s">
        <v>6293</v>
      </c>
      <c r="S76" s="87" t="s">
        <v>6245</v>
      </c>
      <c r="T76" s="59">
        <f t="shared" si="0"/>
        <v>45096</v>
      </c>
    </row>
    <row r="77" spans="1:20" ht="15.75" customHeight="1">
      <c r="A77" s="9" t="s">
        <v>6447</v>
      </c>
      <c r="C77" s="9" t="s">
        <v>6236</v>
      </c>
      <c r="D77" s="9" t="s">
        <v>431</v>
      </c>
      <c r="E77" s="9" t="s">
        <v>368</v>
      </c>
      <c r="F77" s="9" t="s">
        <v>436</v>
      </c>
      <c r="G77" s="9" t="s">
        <v>434</v>
      </c>
      <c r="H77" s="87" t="s">
        <v>6264</v>
      </c>
      <c r="I77" s="87" t="s">
        <v>6448</v>
      </c>
      <c r="J77" s="87" t="s">
        <v>6440</v>
      </c>
      <c r="K77" s="87" t="s">
        <v>6240</v>
      </c>
      <c r="L77" s="87" t="s">
        <v>6452</v>
      </c>
      <c r="M77" s="9" t="s">
        <v>6454</v>
      </c>
      <c r="N77" s="87" t="s">
        <v>6440</v>
      </c>
      <c r="O77" s="9" t="s">
        <v>6243</v>
      </c>
      <c r="P77" s="87" t="s">
        <v>5063</v>
      </c>
      <c r="Q77" s="87" t="s">
        <v>6448</v>
      </c>
      <c r="R77" s="87" t="s">
        <v>6244</v>
      </c>
      <c r="S77" s="87" t="s">
        <v>6455</v>
      </c>
      <c r="T77" s="59">
        <f t="shared" si="0"/>
        <v>45096</v>
      </c>
    </row>
    <row r="78" spans="1:20" ht="15.75" customHeight="1">
      <c r="A78" s="9" t="s">
        <v>6450</v>
      </c>
      <c r="C78" s="9" t="s">
        <v>6236</v>
      </c>
      <c r="D78" s="9" t="s">
        <v>431</v>
      </c>
      <c r="E78" s="9" t="s">
        <v>368</v>
      </c>
      <c r="F78" s="9" t="s">
        <v>436</v>
      </c>
      <c r="G78" s="9" t="s">
        <v>434</v>
      </c>
      <c r="H78" s="87" t="s">
        <v>6264</v>
      </c>
      <c r="I78" s="87" t="s">
        <v>6448</v>
      </c>
      <c r="J78" s="87" t="s">
        <v>6239</v>
      </c>
      <c r="K78" s="87" t="s">
        <v>6240</v>
      </c>
      <c r="L78" s="87" t="s">
        <v>6456</v>
      </c>
      <c r="M78" s="9" t="s">
        <v>6242</v>
      </c>
      <c r="N78" s="87" t="s">
        <v>6239</v>
      </c>
      <c r="O78" s="9" t="s">
        <v>6243</v>
      </c>
      <c r="P78" s="87" t="s">
        <v>3764</v>
      </c>
      <c r="Q78" s="87" t="s">
        <v>6448</v>
      </c>
      <c r="R78" s="87" t="s">
        <v>6244</v>
      </c>
      <c r="S78" s="87" t="s">
        <v>6245</v>
      </c>
      <c r="T78" s="59">
        <f t="shared" si="0"/>
        <v>45095</v>
      </c>
    </row>
    <row r="79" spans="1:20" ht="15.75" customHeight="1">
      <c r="A79" s="9" t="s">
        <v>6457</v>
      </c>
      <c r="C79" s="9" t="s">
        <v>6236</v>
      </c>
      <c r="D79" s="9" t="s">
        <v>431</v>
      </c>
      <c r="E79" s="9" t="s">
        <v>368</v>
      </c>
      <c r="F79" s="9" t="s">
        <v>436</v>
      </c>
      <c r="G79" s="9" t="s">
        <v>434</v>
      </c>
      <c r="H79" s="87" t="s">
        <v>6264</v>
      </c>
      <c r="I79" s="87" t="s">
        <v>6260</v>
      </c>
      <c r="J79" s="87" t="s">
        <v>6260</v>
      </c>
      <c r="K79" s="87" t="s">
        <v>6240</v>
      </c>
      <c r="L79" s="87" t="s">
        <v>6458</v>
      </c>
      <c r="M79" s="9" t="s">
        <v>6459</v>
      </c>
      <c r="N79" s="87" t="s">
        <v>6260</v>
      </c>
      <c r="O79" s="9" t="s">
        <v>6243</v>
      </c>
      <c r="P79" s="87" t="s">
        <v>4014</v>
      </c>
      <c r="Q79" s="87" t="s">
        <v>6260</v>
      </c>
      <c r="R79" s="87" t="s">
        <v>6277</v>
      </c>
      <c r="S79" s="87" t="s">
        <v>6255</v>
      </c>
      <c r="T79" s="59">
        <f t="shared" si="0"/>
        <v>45094</v>
      </c>
    </row>
    <row r="80" spans="1:20" ht="15.75" customHeight="1">
      <c r="A80" s="9" t="s">
        <v>6460</v>
      </c>
      <c r="C80" s="9" t="s">
        <v>6236</v>
      </c>
      <c r="D80" s="9" t="s">
        <v>431</v>
      </c>
      <c r="E80" s="9" t="s">
        <v>368</v>
      </c>
      <c r="F80" s="9" t="s">
        <v>436</v>
      </c>
      <c r="G80" s="9" t="s">
        <v>434</v>
      </c>
      <c r="H80" s="87" t="s">
        <v>6264</v>
      </c>
      <c r="I80" s="87" t="s">
        <v>6260</v>
      </c>
      <c r="J80" s="87" t="s">
        <v>6461</v>
      </c>
      <c r="K80" s="87" t="s">
        <v>6240</v>
      </c>
      <c r="L80" s="87" t="s">
        <v>6458</v>
      </c>
      <c r="M80" s="9" t="s">
        <v>6462</v>
      </c>
      <c r="N80" s="87" t="s">
        <v>6461</v>
      </c>
      <c r="O80" s="9" t="s">
        <v>6243</v>
      </c>
      <c r="P80" s="87" t="s">
        <v>6255</v>
      </c>
      <c r="Q80" s="87" t="s">
        <v>6260</v>
      </c>
      <c r="R80" s="87" t="s">
        <v>6280</v>
      </c>
      <c r="S80" s="87" t="s">
        <v>6245</v>
      </c>
      <c r="T80" s="59">
        <f t="shared" si="0"/>
        <v>45094</v>
      </c>
    </row>
    <row r="81" spans="1:20" ht="15.75" customHeight="1">
      <c r="A81" s="9" t="s">
        <v>6450</v>
      </c>
      <c r="C81" s="9" t="s">
        <v>6236</v>
      </c>
      <c r="D81" s="9" t="s">
        <v>431</v>
      </c>
      <c r="E81" s="9" t="s">
        <v>368</v>
      </c>
      <c r="F81" s="9" t="s">
        <v>436</v>
      </c>
      <c r="G81" s="9" t="s">
        <v>434</v>
      </c>
      <c r="H81" s="87" t="s">
        <v>6264</v>
      </c>
      <c r="I81" s="87" t="s">
        <v>6448</v>
      </c>
      <c r="J81" s="87" t="s">
        <v>6302</v>
      </c>
      <c r="K81" s="87" t="s">
        <v>6240</v>
      </c>
      <c r="L81" s="87" t="s">
        <v>6458</v>
      </c>
      <c r="M81" s="9" t="s">
        <v>6463</v>
      </c>
      <c r="N81" s="87" t="s">
        <v>6302</v>
      </c>
      <c r="O81" s="9" t="s">
        <v>6243</v>
      </c>
      <c r="P81" s="87" t="s">
        <v>6464</v>
      </c>
      <c r="Q81" s="87" t="s">
        <v>6448</v>
      </c>
      <c r="R81" s="87" t="s">
        <v>6244</v>
      </c>
      <c r="S81" s="87" t="s">
        <v>6300</v>
      </c>
      <c r="T81" s="59">
        <f t="shared" si="0"/>
        <v>45094</v>
      </c>
    </row>
    <row r="82" spans="1:20" ht="15.75" customHeight="1">
      <c r="A82" s="9" t="s">
        <v>6465</v>
      </c>
      <c r="C82" s="9" t="s">
        <v>6236</v>
      </c>
      <c r="D82" s="9" t="s">
        <v>431</v>
      </c>
      <c r="E82" s="9" t="s">
        <v>368</v>
      </c>
      <c r="F82" s="9" t="s">
        <v>436</v>
      </c>
      <c r="G82" s="9" t="s">
        <v>434</v>
      </c>
      <c r="H82" s="87" t="s">
        <v>6264</v>
      </c>
      <c r="I82" s="87" t="s">
        <v>6260</v>
      </c>
      <c r="J82" s="87" t="s">
        <v>6260</v>
      </c>
      <c r="K82" s="87" t="s">
        <v>6240</v>
      </c>
      <c r="L82" s="87" t="s">
        <v>6466</v>
      </c>
      <c r="M82" s="9" t="s">
        <v>6459</v>
      </c>
      <c r="N82" s="87" t="s">
        <v>6260</v>
      </c>
      <c r="O82" s="9" t="s">
        <v>6243</v>
      </c>
      <c r="P82" s="87" t="s">
        <v>4014</v>
      </c>
      <c r="Q82" s="87" t="s">
        <v>6260</v>
      </c>
      <c r="R82" s="87" t="s">
        <v>6277</v>
      </c>
      <c r="S82" s="87" t="s">
        <v>6255</v>
      </c>
      <c r="T82" s="59">
        <f t="shared" si="0"/>
        <v>45093</v>
      </c>
    </row>
    <row r="83" spans="1:20" ht="15.75" customHeight="1">
      <c r="A83" s="9" t="s">
        <v>6467</v>
      </c>
      <c r="C83" s="9" t="s">
        <v>6236</v>
      </c>
      <c r="D83" s="9" t="s">
        <v>431</v>
      </c>
      <c r="E83" s="9" t="s">
        <v>368</v>
      </c>
      <c r="F83" s="9" t="s">
        <v>436</v>
      </c>
      <c r="G83" s="9" t="s">
        <v>434</v>
      </c>
      <c r="H83" s="87" t="s">
        <v>6264</v>
      </c>
      <c r="I83" s="87" t="s">
        <v>6468</v>
      </c>
      <c r="J83" s="87" t="s">
        <v>6461</v>
      </c>
      <c r="K83" s="87" t="s">
        <v>6240</v>
      </c>
      <c r="L83" s="87" t="s">
        <v>6466</v>
      </c>
      <c r="M83" s="9" t="s">
        <v>6462</v>
      </c>
      <c r="N83" s="87" t="s">
        <v>6461</v>
      </c>
      <c r="O83" s="9" t="s">
        <v>6243</v>
      </c>
      <c r="P83" s="87" t="s">
        <v>6255</v>
      </c>
      <c r="Q83" s="87" t="s">
        <v>6468</v>
      </c>
      <c r="R83" s="87" t="s">
        <v>6280</v>
      </c>
      <c r="S83" s="87" t="s">
        <v>6245</v>
      </c>
      <c r="T83" s="59">
        <f t="shared" si="0"/>
        <v>45093</v>
      </c>
    </row>
    <row r="84" spans="1:20" ht="15.75" customHeight="1">
      <c r="A84" s="9" t="s">
        <v>6460</v>
      </c>
      <c r="C84" s="9" t="s">
        <v>6236</v>
      </c>
      <c r="D84" s="9" t="s">
        <v>431</v>
      </c>
      <c r="E84" s="9" t="s">
        <v>368</v>
      </c>
      <c r="F84" s="9" t="s">
        <v>436</v>
      </c>
      <c r="G84" s="9" t="s">
        <v>434</v>
      </c>
      <c r="H84" s="87" t="s">
        <v>6264</v>
      </c>
      <c r="I84" s="87" t="s">
        <v>6260</v>
      </c>
      <c r="J84" s="87" t="s">
        <v>6302</v>
      </c>
      <c r="K84" s="87" t="s">
        <v>6240</v>
      </c>
      <c r="L84" s="87" t="s">
        <v>6466</v>
      </c>
      <c r="M84" s="9" t="s">
        <v>6463</v>
      </c>
      <c r="N84" s="87" t="s">
        <v>6302</v>
      </c>
      <c r="O84" s="9" t="s">
        <v>6243</v>
      </c>
      <c r="P84" s="87" t="s">
        <v>6464</v>
      </c>
      <c r="Q84" s="87" t="s">
        <v>6260</v>
      </c>
      <c r="R84" s="87" t="s">
        <v>6244</v>
      </c>
      <c r="S84" s="87" t="s">
        <v>6300</v>
      </c>
      <c r="T84" s="59">
        <f t="shared" si="0"/>
        <v>45093</v>
      </c>
    </row>
    <row r="85" spans="1:20" ht="15.75" customHeight="1">
      <c r="A85" s="9" t="s">
        <v>6467</v>
      </c>
      <c r="C85" s="9" t="s">
        <v>6236</v>
      </c>
      <c r="D85" s="9" t="s">
        <v>431</v>
      </c>
      <c r="E85" s="9" t="s">
        <v>368</v>
      </c>
      <c r="F85" s="9" t="s">
        <v>436</v>
      </c>
      <c r="G85" s="9" t="s">
        <v>434</v>
      </c>
      <c r="H85" s="87" t="s">
        <v>6264</v>
      </c>
      <c r="I85" s="87" t="s">
        <v>6468</v>
      </c>
      <c r="J85" s="87" t="s">
        <v>6239</v>
      </c>
      <c r="K85" s="87" t="s">
        <v>6240</v>
      </c>
      <c r="L85" s="87" t="s">
        <v>6469</v>
      </c>
      <c r="M85" s="9" t="s">
        <v>6242</v>
      </c>
      <c r="N85" s="87" t="s">
        <v>6239</v>
      </c>
      <c r="O85" s="9" t="s">
        <v>6243</v>
      </c>
      <c r="P85" s="87" t="s">
        <v>3764</v>
      </c>
      <c r="Q85" s="87" t="s">
        <v>6468</v>
      </c>
      <c r="R85" s="87" t="s">
        <v>6244</v>
      </c>
      <c r="S85" s="87" t="s">
        <v>6245</v>
      </c>
      <c r="T85" s="59">
        <f t="shared" si="0"/>
        <v>45092</v>
      </c>
    </row>
    <row r="86" spans="1:20" ht="15.75" customHeight="1">
      <c r="A86" s="9" t="s">
        <v>6467</v>
      </c>
      <c r="C86" s="9" t="s">
        <v>6236</v>
      </c>
      <c r="D86" s="9" t="s">
        <v>431</v>
      </c>
      <c r="E86" s="9" t="s">
        <v>368</v>
      </c>
      <c r="F86" s="9" t="s">
        <v>436</v>
      </c>
      <c r="G86" s="9" t="s">
        <v>434</v>
      </c>
      <c r="H86" s="87" t="s">
        <v>6264</v>
      </c>
      <c r="I86" s="87" t="s">
        <v>6468</v>
      </c>
      <c r="J86" s="87" t="s">
        <v>6239</v>
      </c>
      <c r="K86" s="87" t="s">
        <v>6240</v>
      </c>
      <c r="L86" s="87" t="s">
        <v>6470</v>
      </c>
      <c r="M86" s="9" t="s">
        <v>6242</v>
      </c>
      <c r="N86" s="87" t="s">
        <v>6239</v>
      </c>
      <c r="O86" s="9" t="s">
        <v>6243</v>
      </c>
      <c r="P86" s="87" t="s">
        <v>3764</v>
      </c>
      <c r="Q86" s="87" t="s">
        <v>6468</v>
      </c>
      <c r="R86" s="87" t="s">
        <v>6244</v>
      </c>
      <c r="S86" s="87" t="s">
        <v>6245</v>
      </c>
      <c r="T86" s="59">
        <f t="shared" si="0"/>
        <v>45091</v>
      </c>
    </row>
    <row r="87" spans="1:20" ht="15.75" customHeight="1">
      <c r="A87" s="9" t="s">
        <v>6467</v>
      </c>
      <c r="C87" s="9" t="s">
        <v>6236</v>
      </c>
      <c r="D87" s="9" t="s">
        <v>431</v>
      </c>
      <c r="E87" s="9" t="s">
        <v>368</v>
      </c>
      <c r="F87" s="9" t="s">
        <v>436</v>
      </c>
      <c r="G87" s="9" t="s">
        <v>434</v>
      </c>
      <c r="H87" s="87" t="s">
        <v>6264</v>
      </c>
      <c r="I87" s="87" t="s">
        <v>6468</v>
      </c>
      <c r="J87" s="87" t="s">
        <v>6348</v>
      </c>
      <c r="K87" s="87" t="s">
        <v>6240</v>
      </c>
      <c r="L87" s="87" t="s">
        <v>6471</v>
      </c>
      <c r="M87" s="9" t="s">
        <v>6350</v>
      </c>
      <c r="N87" s="87" t="s">
        <v>6348</v>
      </c>
      <c r="O87" s="9" t="s">
        <v>6243</v>
      </c>
      <c r="P87" s="87" t="s">
        <v>5381</v>
      </c>
      <c r="Q87" s="87" t="s">
        <v>6468</v>
      </c>
      <c r="R87" s="87" t="s">
        <v>6244</v>
      </c>
      <c r="S87" s="87" t="s">
        <v>6351</v>
      </c>
      <c r="T87" s="59">
        <f t="shared" si="0"/>
        <v>45090</v>
      </c>
    </row>
    <row r="88" spans="1:20" ht="15.75" customHeight="1">
      <c r="A88" s="9" t="s">
        <v>6472</v>
      </c>
      <c r="C88" s="9" t="s">
        <v>6236</v>
      </c>
      <c r="D88" s="9" t="s">
        <v>431</v>
      </c>
      <c r="E88" s="9" t="s">
        <v>368</v>
      </c>
      <c r="F88" s="9" t="s">
        <v>436</v>
      </c>
      <c r="G88" s="9" t="s">
        <v>434</v>
      </c>
      <c r="H88" s="87" t="s">
        <v>6264</v>
      </c>
      <c r="I88" s="87" t="s">
        <v>6468</v>
      </c>
      <c r="J88" s="87" t="s">
        <v>6342</v>
      </c>
      <c r="K88" s="87" t="s">
        <v>6240</v>
      </c>
      <c r="L88" s="87" t="s">
        <v>6471</v>
      </c>
      <c r="M88" s="9" t="s">
        <v>6473</v>
      </c>
      <c r="N88" s="87" t="s">
        <v>6342</v>
      </c>
      <c r="O88" s="9" t="s">
        <v>6243</v>
      </c>
      <c r="P88" s="87" t="s">
        <v>6345</v>
      </c>
      <c r="Q88" s="87" t="s">
        <v>6468</v>
      </c>
      <c r="R88" s="87" t="s">
        <v>6474</v>
      </c>
      <c r="S88" s="87" t="s">
        <v>6245</v>
      </c>
      <c r="T88" s="59">
        <f t="shared" si="0"/>
        <v>45090</v>
      </c>
    </row>
    <row r="89" spans="1:20" ht="15.75" customHeight="1">
      <c r="A89" s="9" t="s">
        <v>6472</v>
      </c>
      <c r="C89" s="9" t="s">
        <v>6236</v>
      </c>
      <c r="D89" s="9" t="s">
        <v>431</v>
      </c>
      <c r="E89" s="9" t="s">
        <v>368</v>
      </c>
      <c r="F89" s="9" t="s">
        <v>436</v>
      </c>
      <c r="G89" s="9" t="s">
        <v>434</v>
      </c>
      <c r="H89" s="87" t="s">
        <v>6264</v>
      </c>
      <c r="I89" s="87" t="s">
        <v>6468</v>
      </c>
      <c r="J89" s="87" t="s">
        <v>6239</v>
      </c>
      <c r="K89" s="87" t="s">
        <v>6240</v>
      </c>
      <c r="L89" s="87" t="s">
        <v>6475</v>
      </c>
      <c r="M89" s="9" t="s">
        <v>6242</v>
      </c>
      <c r="N89" s="87" t="s">
        <v>6239</v>
      </c>
      <c r="O89" s="9" t="s">
        <v>6243</v>
      </c>
      <c r="P89" s="87" t="s">
        <v>3764</v>
      </c>
      <c r="Q89" s="87" t="s">
        <v>6468</v>
      </c>
      <c r="R89" s="87" t="s">
        <v>6244</v>
      </c>
      <c r="S89" s="87" t="s">
        <v>6245</v>
      </c>
      <c r="T89" s="59">
        <f t="shared" si="0"/>
        <v>45089</v>
      </c>
    </row>
    <row r="90" spans="1:20" ht="15.75" customHeight="1">
      <c r="A90" s="9" t="s">
        <v>3032</v>
      </c>
      <c r="C90" s="9" t="s">
        <v>6236</v>
      </c>
      <c r="D90" s="9" t="s">
        <v>431</v>
      </c>
      <c r="E90" s="9" t="s">
        <v>368</v>
      </c>
      <c r="F90" s="9" t="s">
        <v>436</v>
      </c>
      <c r="G90" s="9" t="s">
        <v>434</v>
      </c>
      <c r="H90" s="87" t="s">
        <v>6264</v>
      </c>
      <c r="I90" s="87" t="s">
        <v>6468</v>
      </c>
      <c r="J90" s="87" t="s">
        <v>6428</v>
      </c>
      <c r="K90" s="87" t="s">
        <v>6240</v>
      </c>
      <c r="L90" s="87" t="s">
        <v>6476</v>
      </c>
      <c r="M90" s="9" t="s">
        <v>6477</v>
      </c>
      <c r="N90" s="87" t="s">
        <v>6428</v>
      </c>
      <c r="O90" s="9" t="s">
        <v>6243</v>
      </c>
      <c r="P90" s="87" t="s">
        <v>3210</v>
      </c>
      <c r="Q90" s="87" t="s">
        <v>6468</v>
      </c>
      <c r="R90" s="87" t="s">
        <v>6416</v>
      </c>
      <c r="S90" s="87" t="s">
        <v>6245</v>
      </c>
      <c r="T90" s="59">
        <f t="shared" si="0"/>
        <v>45088</v>
      </c>
    </row>
    <row r="91" spans="1:20" ht="15.75" customHeight="1">
      <c r="A91" s="9" t="s">
        <v>6472</v>
      </c>
      <c r="C91" s="9" t="s">
        <v>6236</v>
      </c>
      <c r="D91" s="9" t="s">
        <v>431</v>
      </c>
      <c r="E91" s="9" t="s">
        <v>368</v>
      </c>
      <c r="F91" s="9" t="s">
        <v>436</v>
      </c>
      <c r="G91" s="9" t="s">
        <v>434</v>
      </c>
      <c r="H91" s="87" t="s">
        <v>6264</v>
      </c>
      <c r="I91" s="87" t="s">
        <v>6468</v>
      </c>
      <c r="J91" s="87" t="s">
        <v>6323</v>
      </c>
      <c r="K91" s="87" t="s">
        <v>6240</v>
      </c>
      <c r="L91" s="87" t="s">
        <v>6476</v>
      </c>
      <c r="M91" s="9" t="s">
        <v>6478</v>
      </c>
      <c r="N91" s="87" t="s">
        <v>6323</v>
      </c>
      <c r="O91" s="9" t="s">
        <v>6243</v>
      </c>
      <c r="P91" s="87" t="s">
        <v>5374</v>
      </c>
      <c r="Q91" s="87" t="s">
        <v>6468</v>
      </c>
      <c r="R91" s="87" t="s">
        <v>6244</v>
      </c>
      <c r="S91" s="87" t="s">
        <v>6479</v>
      </c>
      <c r="T91" s="59">
        <f t="shared" si="0"/>
        <v>45088</v>
      </c>
    </row>
    <row r="92" spans="1:20" ht="15.75" customHeight="1">
      <c r="A92" s="9" t="s">
        <v>3032</v>
      </c>
      <c r="C92" s="9" t="s">
        <v>6236</v>
      </c>
      <c r="D92" s="9" t="s">
        <v>431</v>
      </c>
      <c r="E92" s="9" t="s">
        <v>368</v>
      </c>
      <c r="F92" s="9" t="s">
        <v>436</v>
      </c>
      <c r="G92" s="9" t="s">
        <v>434</v>
      </c>
      <c r="H92" s="87" t="s">
        <v>6264</v>
      </c>
      <c r="I92" s="87" t="s">
        <v>6468</v>
      </c>
      <c r="J92" s="87" t="s">
        <v>6239</v>
      </c>
      <c r="K92" s="87" t="s">
        <v>6240</v>
      </c>
      <c r="L92" s="87" t="s">
        <v>6480</v>
      </c>
      <c r="M92" s="9" t="s">
        <v>6242</v>
      </c>
      <c r="N92" s="87" t="s">
        <v>6239</v>
      </c>
      <c r="O92" s="9" t="s">
        <v>6243</v>
      </c>
      <c r="P92" s="87" t="s">
        <v>3764</v>
      </c>
      <c r="Q92" s="87" t="s">
        <v>6468</v>
      </c>
      <c r="R92" s="87" t="s">
        <v>6244</v>
      </c>
      <c r="S92" s="87" t="s">
        <v>6245</v>
      </c>
      <c r="T92" s="59">
        <f t="shared" si="0"/>
        <v>45087</v>
      </c>
    </row>
    <row r="93" spans="1:20" ht="15.75" customHeight="1">
      <c r="A93" s="9" t="s">
        <v>2904</v>
      </c>
      <c r="C93" s="9" t="s">
        <v>6236</v>
      </c>
      <c r="D93" s="9" t="s">
        <v>431</v>
      </c>
      <c r="E93" s="9" t="s">
        <v>368</v>
      </c>
      <c r="F93" s="9" t="s">
        <v>436</v>
      </c>
      <c r="G93" s="9" t="s">
        <v>434</v>
      </c>
      <c r="H93" s="87" t="s">
        <v>6237</v>
      </c>
      <c r="I93" s="87" t="s">
        <v>6296</v>
      </c>
      <c r="J93" s="87" t="s">
        <v>6296</v>
      </c>
      <c r="K93" s="87" t="s">
        <v>6240</v>
      </c>
      <c r="L93" s="87" t="s">
        <v>6481</v>
      </c>
      <c r="M93" s="9" t="s">
        <v>6482</v>
      </c>
      <c r="N93" s="87" t="s">
        <v>6296</v>
      </c>
      <c r="O93" s="9" t="s">
        <v>6243</v>
      </c>
      <c r="P93" s="87" t="s">
        <v>6287</v>
      </c>
      <c r="Q93" s="87" t="s">
        <v>6296</v>
      </c>
      <c r="R93" s="87" t="s">
        <v>6445</v>
      </c>
      <c r="S93" s="87" t="s">
        <v>6260</v>
      </c>
      <c r="T93" s="59">
        <f t="shared" si="0"/>
        <v>45086</v>
      </c>
    </row>
    <row r="94" spans="1:20" ht="15.75" customHeight="1">
      <c r="A94" s="9" t="s">
        <v>3004</v>
      </c>
      <c r="C94" s="9" t="s">
        <v>6236</v>
      </c>
      <c r="D94" s="9" t="s">
        <v>431</v>
      </c>
      <c r="E94" s="9" t="s">
        <v>368</v>
      </c>
      <c r="F94" s="9" t="s">
        <v>436</v>
      </c>
      <c r="G94" s="9" t="s">
        <v>434</v>
      </c>
      <c r="H94" s="87" t="s">
        <v>6237</v>
      </c>
      <c r="I94" s="87" t="s">
        <v>6264</v>
      </c>
      <c r="J94" s="87" t="s">
        <v>6264</v>
      </c>
      <c r="K94" s="87" t="s">
        <v>6240</v>
      </c>
      <c r="L94" s="87" t="s">
        <v>6481</v>
      </c>
      <c r="M94" s="9" t="s">
        <v>6483</v>
      </c>
      <c r="N94" s="87" t="s">
        <v>6264</v>
      </c>
      <c r="O94" s="9" t="s">
        <v>6243</v>
      </c>
      <c r="P94" s="87" t="s">
        <v>6313</v>
      </c>
      <c r="Q94" s="87" t="s">
        <v>6264</v>
      </c>
      <c r="R94" s="87" t="s">
        <v>6376</v>
      </c>
      <c r="S94" s="87" t="s">
        <v>6484</v>
      </c>
      <c r="T94" s="59">
        <f t="shared" si="0"/>
        <v>45086</v>
      </c>
    </row>
    <row r="95" spans="1:20" ht="15.75" customHeight="1">
      <c r="A95" s="9" t="s">
        <v>2883</v>
      </c>
      <c r="C95" s="9" t="s">
        <v>6236</v>
      </c>
      <c r="D95" s="9" t="s">
        <v>431</v>
      </c>
      <c r="E95" s="9" t="s">
        <v>368</v>
      </c>
      <c r="F95" s="9" t="s">
        <v>436</v>
      </c>
      <c r="G95" s="9" t="s">
        <v>434</v>
      </c>
      <c r="H95" s="87" t="s">
        <v>6237</v>
      </c>
      <c r="I95" s="87" t="s">
        <v>6334</v>
      </c>
      <c r="J95" s="87" t="s">
        <v>6334</v>
      </c>
      <c r="K95" s="87" t="s">
        <v>6240</v>
      </c>
      <c r="L95" s="87" t="s">
        <v>6481</v>
      </c>
      <c r="M95" s="9" t="s">
        <v>6485</v>
      </c>
      <c r="N95" s="87" t="s">
        <v>6334</v>
      </c>
      <c r="O95" s="9" t="s">
        <v>6243</v>
      </c>
      <c r="P95" s="87" t="s">
        <v>6290</v>
      </c>
      <c r="Q95" s="87" t="s">
        <v>6334</v>
      </c>
      <c r="R95" s="87" t="s">
        <v>6486</v>
      </c>
      <c r="S95" s="87" t="s">
        <v>6273</v>
      </c>
      <c r="T95" s="59">
        <f t="shared" si="0"/>
        <v>45086</v>
      </c>
    </row>
    <row r="96" spans="1:20" ht="15.75" customHeight="1">
      <c r="A96" s="9" t="s">
        <v>3006</v>
      </c>
      <c r="C96" s="9" t="s">
        <v>6236</v>
      </c>
      <c r="D96" s="9" t="s">
        <v>431</v>
      </c>
      <c r="E96" s="9" t="s">
        <v>368</v>
      </c>
      <c r="F96" s="9" t="s">
        <v>436</v>
      </c>
      <c r="G96" s="9" t="s">
        <v>434</v>
      </c>
      <c r="H96" s="87" t="s">
        <v>6237</v>
      </c>
      <c r="I96" s="87" t="s">
        <v>4014</v>
      </c>
      <c r="J96" s="87" t="s">
        <v>6393</v>
      </c>
      <c r="K96" s="87" t="s">
        <v>6240</v>
      </c>
      <c r="L96" s="87" t="s">
        <v>6481</v>
      </c>
      <c r="M96" s="9" t="s">
        <v>6487</v>
      </c>
      <c r="N96" s="87" t="s">
        <v>6393</v>
      </c>
      <c r="O96" s="9" t="s">
        <v>6243</v>
      </c>
      <c r="P96" s="87" t="s">
        <v>6341</v>
      </c>
      <c r="Q96" s="87" t="s">
        <v>4014</v>
      </c>
      <c r="R96" s="87" t="s">
        <v>6302</v>
      </c>
      <c r="S96" s="87" t="s">
        <v>6245</v>
      </c>
      <c r="T96" s="59">
        <f t="shared" si="0"/>
        <v>45086</v>
      </c>
    </row>
    <row r="97" spans="1:20" ht="15.75" customHeight="1">
      <c r="A97" s="9" t="s">
        <v>3032</v>
      </c>
      <c r="C97" s="9" t="s">
        <v>6236</v>
      </c>
      <c r="D97" s="9" t="s">
        <v>431</v>
      </c>
      <c r="E97" s="9" t="s">
        <v>368</v>
      </c>
      <c r="F97" s="9" t="s">
        <v>436</v>
      </c>
      <c r="G97" s="9" t="s">
        <v>434</v>
      </c>
      <c r="H97" s="87" t="s">
        <v>6264</v>
      </c>
      <c r="I97" s="87" t="s">
        <v>6468</v>
      </c>
      <c r="J97" s="87" t="s">
        <v>6409</v>
      </c>
      <c r="K97" s="87" t="s">
        <v>6240</v>
      </c>
      <c r="L97" s="87" t="s">
        <v>6481</v>
      </c>
      <c r="M97" s="9" t="s">
        <v>6488</v>
      </c>
      <c r="N97" s="87" t="s">
        <v>6409</v>
      </c>
      <c r="O97" s="9" t="s">
        <v>6243</v>
      </c>
      <c r="P97" s="87" t="s">
        <v>6489</v>
      </c>
      <c r="Q97" s="87" t="s">
        <v>6468</v>
      </c>
      <c r="R97" s="87" t="s">
        <v>6244</v>
      </c>
      <c r="S97" s="87" t="s">
        <v>6360</v>
      </c>
      <c r="T97" s="59">
        <f t="shared" si="0"/>
        <v>45086</v>
      </c>
    </row>
    <row r="98" spans="1:20" ht="15.75" customHeight="1">
      <c r="A98" s="9" t="s">
        <v>3006</v>
      </c>
      <c r="C98" s="9" t="s">
        <v>6236</v>
      </c>
      <c r="D98" s="9" t="s">
        <v>431</v>
      </c>
      <c r="E98" s="9" t="s">
        <v>368</v>
      </c>
      <c r="F98" s="9" t="s">
        <v>436</v>
      </c>
      <c r="G98" s="9" t="s">
        <v>434</v>
      </c>
      <c r="H98" s="87" t="s">
        <v>6237</v>
      </c>
      <c r="I98" s="87" t="s">
        <v>4014</v>
      </c>
      <c r="J98" s="87" t="s">
        <v>6239</v>
      </c>
      <c r="K98" s="87" t="s">
        <v>6240</v>
      </c>
      <c r="L98" s="87" t="s">
        <v>6490</v>
      </c>
      <c r="M98" s="9" t="s">
        <v>6242</v>
      </c>
      <c r="N98" s="87" t="s">
        <v>6239</v>
      </c>
      <c r="O98" s="9" t="s">
        <v>6243</v>
      </c>
      <c r="P98" s="87" t="s">
        <v>3764</v>
      </c>
      <c r="Q98" s="87" t="s">
        <v>4014</v>
      </c>
      <c r="R98" s="87" t="s">
        <v>6244</v>
      </c>
      <c r="S98" s="87" t="s">
        <v>6245</v>
      </c>
      <c r="T98" s="59">
        <f t="shared" si="0"/>
        <v>45085</v>
      </c>
    </row>
    <row r="99" spans="1:20" ht="15.75" customHeight="1">
      <c r="A99" s="9" t="s">
        <v>3006</v>
      </c>
      <c r="C99" s="9" t="s">
        <v>6236</v>
      </c>
      <c r="D99" s="9" t="s">
        <v>431</v>
      </c>
      <c r="E99" s="9" t="s">
        <v>368</v>
      </c>
      <c r="F99" s="9" t="s">
        <v>436</v>
      </c>
      <c r="G99" s="9" t="s">
        <v>434</v>
      </c>
      <c r="H99" s="87" t="s">
        <v>6237</v>
      </c>
      <c r="I99" s="87" t="s">
        <v>4014</v>
      </c>
      <c r="J99" s="87" t="s">
        <v>6239</v>
      </c>
      <c r="K99" s="87" t="s">
        <v>6240</v>
      </c>
      <c r="L99" s="87" t="s">
        <v>6491</v>
      </c>
      <c r="M99" s="9" t="s">
        <v>6242</v>
      </c>
      <c r="N99" s="87" t="s">
        <v>6239</v>
      </c>
      <c r="O99" s="9" t="s">
        <v>6243</v>
      </c>
      <c r="P99" s="87" t="s">
        <v>3764</v>
      </c>
      <c r="Q99" s="87" t="s">
        <v>4014</v>
      </c>
      <c r="R99" s="87" t="s">
        <v>6244</v>
      </c>
      <c r="S99" s="87" t="s">
        <v>6245</v>
      </c>
      <c r="T99" s="59">
        <f t="shared" si="0"/>
        <v>45084</v>
      </c>
    </row>
    <row r="100" spans="1:20" ht="15.75" customHeight="1">
      <c r="A100" s="9" t="s">
        <v>2979</v>
      </c>
      <c r="C100" s="9" t="s">
        <v>6236</v>
      </c>
      <c r="D100" s="9" t="s">
        <v>431</v>
      </c>
      <c r="E100" s="9" t="s">
        <v>368</v>
      </c>
      <c r="F100" s="9" t="s">
        <v>436</v>
      </c>
      <c r="G100" s="9" t="s">
        <v>434</v>
      </c>
      <c r="H100" s="87" t="s">
        <v>6264</v>
      </c>
      <c r="I100" s="87" t="s">
        <v>6273</v>
      </c>
      <c r="J100" s="87" t="s">
        <v>6273</v>
      </c>
      <c r="K100" s="87" t="s">
        <v>6240</v>
      </c>
      <c r="L100" s="87" t="s">
        <v>6492</v>
      </c>
      <c r="M100" s="9" t="s">
        <v>6493</v>
      </c>
      <c r="N100" s="87" t="s">
        <v>6273</v>
      </c>
      <c r="O100" s="9" t="s">
        <v>6243</v>
      </c>
      <c r="P100" s="87" t="s">
        <v>6276</v>
      </c>
      <c r="Q100" s="87" t="s">
        <v>6273</v>
      </c>
      <c r="R100" s="87" t="s">
        <v>6287</v>
      </c>
      <c r="S100" s="87" t="s">
        <v>6260</v>
      </c>
      <c r="T100" s="59">
        <f t="shared" si="0"/>
        <v>45083</v>
      </c>
    </row>
    <row r="101" spans="1:20" ht="15.75" customHeight="1">
      <c r="A101" s="9" t="s">
        <v>2968</v>
      </c>
      <c r="C101" s="9" t="s">
        <v>6236</v>
      </c>
      <c r="D101" s="9" t="s">
        <v>431</v>
      </c>
      <c r="E101" s="9" t="s">
        <v>368</v>
      </c>
      <c r="F101" s="9" t="s">
        <v>436</v>
      </c>
      <c r="G101" s="9" t="s">
        <v>434</v>
      </c>
      <c r="H101" s="87" t="s">
        <v>6264</v>
      </c>
      <c r="I101" s="87" t="s">
        <v>6392</v>
      </c>
      <c r="J101" s="87" t="s">
        <v>6245</v>
      </c>
      <c r="K101" s="87" t="s">
        <v>6240</v>
      </c>
      <c r="L101" s="87" t="s">
        <v>6492</v>
      </c>
      <c r="M101" s="9" t="s">
        <v>6494</v>
      </c>
      <c r="N101" s="87" t="s">
        <v>6245</v>
      </c>
      <c r="O101" s="9" t="s">
        <v>6243</v>
      </c>
      <c r="P101" s="87" t="s">
        <v>6238</v>
      </c>
      <c r="Q101" s="87" t="s">
        <v>6392</v>
      </c>
      <c r="R101" s="87" t="s">
        <v>6376</v>
      </c>
      <c r="S101" s="87" t="s">
        <v>6245</v>
      </c>
      <c r="T101" s="59">
        <f t="shared" si="0"/>
        <v>45083</v>
      </c>
    </row>
    <row r="102" spans="1:20" ht="15.75" customHeight="1">
      <c r="A102" s="9" t="s">
        <v>3006</v>
      </c>
      <c r="C102" s="9" t="s">
        <v>6236</v>
      </c>
      <c r="D102" s="9" t="s">
        <v>431</v>
      </c>
      <c r="E102" s="9" t="s">
        <v>368</v>
      </c>
      <c r="F102" s="9" t="s">
        <v>436</v>
      </c>
      <c r="G102" s="9" t="s">
        <v>434</v>
      </c>
      <c r="H102" s="87" t="s">
        <v>6237</v>
      </c>
      <c r="I102" s="87" t="s">
        <v>4014</v>
      </c>
      <c r="J102" s="87" t="s">
        <v>6280</v>
      </c>
      <c r="K102" s="87" t="s">
        <v>6240</v>
      </c>
      <c r="L102" s="87" t="s">
        <v>6492</v>
      </c>
      <c r="M102" s="9" t="s">
        <v>6282</v>
      </c>
      <c r="N102" s="87" t="s">
        <v>6280</v>
      </c>
      <c r="O102" s="9" t="s">
        <v>6243</v>
      </c>
      <c r="P102" s="87" t="s">
        <v>6283</v>
      </c>
      <c r="Q102" s="87" t="s">
        <v>4014</v>
      </c>
      <c r="R102" s="87" t="s">
        <v>6244</v>
      </c>
      <c r="S102" s="87" t="s">
        <v>6284</v>
      </c>
      <c r="T102" s="59">
        <f t="shared" si="0"/>
        <v>45083</v>
      </c>
    </row>
    <row r="103" spans="1:20" ht="15.75" customHeight="1">
      <c r="A103" s="9" t="s">
        <v>3030</v>
      </c>
      <c r="C103" s="9" t="s">
        <v>6236</v>
      </c>
      <c r="D103" s="9" t="s">
        <v>431</v>
      </c>
      <c r="E103" s="9" t="s">
        <v>368</v>
      </c>
      <c r="F103" s="9" t="s">
        <v>436</v>
      </c>
      <c r="G103" s="9" t="s">
        <v>434</v>
      </c>
      <c r="H103" s="87" t="s">
        <v>6237</v>
      </c>
      <c r="I103" s="87" t="s">
        <v>6401</v>
      </c>
      <c r="J103" s="87" t="s">
        <v>6392</v>
      </c>
      <c r="K103" s="87" t="s">
        <v>6240</v>
      </c>
      <c r="L103" s="87" t="s">
        <v>6495</v>
      </c>
      <c r="M103" s="9" t="s">
        <v>6496</v>
      </c>
      <c r="N103" s="87" t="s">
        <v>6392</v>
      </c>
      <c r="O103" s="9" t="s">
        <v>6243</v>
      </c>
      <c r="P103" s="87" t="s">
        <v>3236</v>
      </c>
      <c r="Q103" s="87" t="s">
        <v>6401</v>
      </c>
      <c r="R103" s="87" t="s">
        <v>6497</v>
      </c>
      <c r="S103" s="87" t="s">
        <v>6245</v>
      </c>
      <c r="T103" s="59">
        <f t="shared" si="0"/>
        <v>45082</v>
      </c>
    </row>
    <row r="104" spans="1:20" ht="15.75" customHeight="1">
      <c r="A104" s="9" t="s">
        <v>2968</v>
      </c>
      <c r="C104" s="9" t="s">
        <v>6236</v>
      </c>
      <c r="D104" s="9" t="s">
        <v>431</v>
      </c>
      <c r="E104" s="9" t="s">
        <v>368</v>
      </c>
      <c r="F104" s="9" t="s">
        <v>436</v>
      </c>
      <c r="G104" s="9" t="s">
        <v>434</v>
      </c>
      <c r="H104" s="87" t="s">
        <v>6264</v>
      </c>
      <c r="I104" s="87" t="s">
        <v>6392</v>
      </c>
      <c r="J104" s="87" t="s">
        <v>6498</v>
      </c>
      <c r="K104" s="87" t="s">
        <v>6240</v>
      </c>
      <c r="L104" s="87" t="s">
        <v>6495</v>
      </c>
      <c r="M104" s="9" t="s">
        <v>6499</v>
      </c>
      <c r="N104" s="87" t="s">
        <v>6498</v>
      </c>
      <c r="O104" s="9" t="s">
        <v>6243</v>
      </c>
      <c r="P104" s="87" t="s">
        <v>4019</v>
      </c>
      <c r="Q104" s="87" t="s">
        <v>6392</v>
      </c>
      <c r="R104" s="87" t="s">
        <v>6244</v>
      </c>
      <c r="S104" s="87" t="s">
        <v>6500</v>
      </c>
      <c r="T104" s="59">
        <f t="shared" si="0"/>
        <v>45082</v>
      </c>
    </row>
    <row r="105" spans="1:20" ht="15.75" customHeight="1">
      <c r="A105" s="9" t="s">
        <v>3030</v>
      </c>
      <c r="C105" s="9" t="s">
        <v>6236</v>
      </c>
      <c r="D105" s="9" t="s">
        <v>431</v>
      </c>
      <c r="E105" s="9" t="s">
        <v>368</v>
      </c>
      <c r="F105" s="9" t="s">
        <v>436</v>
      </c>
      <c r="G105" s="9" t="s">
        <v>434</v>
      </c>
      <c r="H105" s="87" t="s">
        <v>6237</v>
      </c>
      <c r="I105" s="87" t="s">
        <v>6401</v>
      </c>
      <c r="J105" s="87" t="s">
        <v>6264</v>
      </c>
      <c r="K105" s="87" t="s">
        <v>6240</v>
      </c>
      <c r="L105" s="87" t="s">
        <v>6501</v>
      </c>
      <c r="M105" s="9" t="s">
        <v>6502</v>
      </c>
      <c r="N105" s="87" t="s">
        <v>6264</v>
      </c>
      <c r="O105" s="9" t="s">
        <v>6243</v>
      </c>
      <c r="P105" s="87" t="s">
        <v>6313</v>
      </c>
      <c r="Q105" s="87" t="s">
        <v>6401</v>
      </c>
      <c r="R105" s="87" t="s">
        <v>6244</v>
      </c>
      <c r="S105" s="87" t="s">
        <v>6503</v>
      </c>
      <c r="T105" s="59">
        <f t="shared" si="0"/>
        <v>45081</v>
      </c>
    </row>
    <row r="106" spans="1:20" ht="15.75" customHeight="1">
      <c r="A106" s="9" t="s">
        <v>2940</v>
      </c>
      <c r="C106" s="9" t="s">
        <v>6236</v>
      </c>
      <c r="D106" s="9" t="s">
        <v>431</v>
      </c>
      <c r="E106" s="9" t="s">
        <v>368</v>
      </c>
      <c r="F106" s="9" t="s">
        <v>436</v>
      </c>
      <c r="G106" s="9" t="s">
        <v>434</v>
      </c>
      <c r="H106" s="87" t="s">
        <v>6264</v>
      </c>
      <c r="I106" s="87" t="s">
        <v>6504</v>
      </c>
      <c r="J106" s="87" t="s">
        <v>6267</v>
      </c>
      <c r="K106" s="87" t="s">
        <v>6240</v>
      </c>
      <c r="L106" s="87" t="s">
        <v>6501</v>
      </c>
      <c r="M106" s="9" t="s">
        <v>6505</v>
      </c>
      <c r="N106" s="87" t="s">
        <v>6267</v>
      </c>
      <c r="O106" s="9" t="s">
        <v>6243</v>
      </c>
      <c r="P106" s="87" t="s">
        <v>6506</v>
      </c>
      <c r="Q106" s="87" t="s">
        <v>6504</v>
      </c>
      <c r="R106" s="87" t="s">
        <v>6310</v>
      </c>
      <c r="S106" s="87" t="s">
        <v>6245</v>
      </c>
      <c r="T106" s="59">
        <f t="shared" si="0"/>
        <v>45081</v>
      </c>
    </row>
    <row r="107" spans="1:20" ht="15.75" customHeight="1">
      <c r="A107" s="9" t="s">
        <v>2940</v>
      </c>
      <c r="C107" s="9" t="s">
        <v>6236</v>
      </c>
      <c r="D107" s="9" t="s">
        <v>431</v>
      </c>
      <c r="E107" s="9" t="s">
        <v>368</v>
      </c>
      <c r="F107" s="9" t="s">
        <v>436</v>
      </c>
      <c r="G107" s="9" t="s">
        <v>434</v>
      </c>
      <c r="H107" s="87" t="s">
        <v>6264</v>
      </c>
      <c r="I107" s="87" t="s">
        <v>6504</v>
      </c>
      <c r="J107" s="87" t="s">
        <v>6239</v>
      </c>
      <c r="K107" s="87" t="s">
        <v>6240</v>
      </c>
      <c r="L107" s="87" t="s">
        <v>6507</v>
      </c>
      <c r="M107" s="9" t="s">
        <v>6242</v>
      </c>
      <c r="N107" s="87" t="s">
        <v>6239</v>
      </c>
      <c r="O107" s="9" t="s">
        <v>6243</v>
      </c>
      <c r="P107" s="87" t="s">
        <v>3764</v>
      </c>
      <c r="Q107" s="87" t="s">
        <v>6504</v>
      </c>
      <c r="R107" s="87" t="s">
        <v>6244</v>
      </c>
      <c r="S107" s="87" t="s">
        <v>6245</v>
      </c>
      <c r="T107" s="59">
        <f t="shared" si="0"/>
        <v>45080</v>
      </c>
    </row>
    <row r="108" spans="1:20" ht="15.75" customHeight="1">
      <c r="A108" s="9" t="s">
        <v>2995</v>
      </c>
      <c r="C108" s="9" t="s">
        <v>6236</v>
      </c>
      <c r="D108" s="9" t="s">
        <v>431</v>
      </c>
      <c r="E108" s="9" t="s">
        <v>368</v>
      </c>
      <c r="F108" s="9" t="s">
        <v>436</v>
      </c>
      <c r="G108" s="9" t="s">
        <v>434</v>
      </c>
      <c r="H108" s="87" t="s">
        <v>6237</v>
      </c>
      <c r="I108" s="87" t="s">
        <v>6260</v>
      </c>
      <c r="J108" s="87" t="s">
        <v>6260</v>
      </c>
      <c r="K108" s="87" t="s">
        <v>6240</v>
      </c>
      <c r="L108" s="87" t="s">
        <v>6508</v>
      </c>
      <c r="M108" s="9" t="s">
        <v>6509</v>
      </c>
      <c r="N108" s="87" t="s">
        <v>6260</v>
      </c>
      <c r="O108" s="9" t="s">
        <v>6243</v>
      </c>
      <c r="P108" s="87" t="s">
        <v>4014</v>
      </c>
      <c r="Q108" s="87" t="s">
        <v>6260</v>
      </c>
      <c r="R108" s="87" t="s">
        <v>6287</v>
      </c>
      <c r="S108" s="87" t="s">
        <v>6273</v>
      </c>
      <c r="T108" s="59">
        <f t="shared" si="0"/>
        <v>45079</v>
      </c>
    </row>
    <row r="109" spans="1:20" ht="15.75" customHeight="1">
      <c r="A109" s="9" t="s">
        <v>3009</v>
      </c>
      <c r="C109" s="9" t="s">
        <v>6236</v>
      </c>
      <c r="D109" s="9" t="s">
        <v>431</v>
      </c>
      <c r="E109" s="9" t="s">
        <v>368</v>
      </c>
      <c r="F109" s="9" t="s">
        <v>436</v>
      </c>
      <c r="G109" s="9" t="s">
        <v>434</v>
      </c>
      <c r="H109" s="87" t="s">
        <v>6237</v>
      </c>
      <c r="I109" s="87" t="s">
        <v>6321</v>
      </c>
      <c r="J109" s="87" t="s">
        <v>6393</v>
      </c>
      <c r="K109" s="87" t="s">
        <v>6240</v>
      </c>
      <c r="L109" s="87" t="s">
        <v>6508</v>
      </c>
      <c r="M109" s="9" t="s">
        <v>6487</v>
      </c>
      <c r="N109" s="87" t="s">
        <v>6393</v>
      </c>
      <c r="O109" s="9" t="s">
        <v>6243</v>
      </c>
      <c r="P109" s="87" t="s">
        <v>6341</v>
      </c>
      <c r="Q109" s="87" t="s">
        <v>6321</v>
      </c>
      <c r="R109" s="87" t="s">
        <v>6302</v>
      </c>
      <c r="S109" s="87" t="s">
        <v>6245</v>
      </c>
      <c r="T109" s="59">
        <f t="shared" si="0"/>
        <v>45079</v>
      </c>
    </row>
    <row r="110" spans="1:20" ht="15.75" customHeight="1">
      <c r="A110" s="9" t="s">
        <v>2940</v>
      </c>
      <c r="C110" s="9" t="s">
        <v>6236</v>
      </c>
      <c r="D110" s="9" t="s">
        <v>431</v>
      </c>
      <c r="E110" s="9" t="s">
        <v>368</v>
      </c>
      <c r="F110" s="9" t="s">
        <v>436</v>
      </c>
      <c r="G110" s="9" t="s">
        <v>434</v>
      </c>
      <c r="H110" s="87" t="s">
        <v>6264</v>
      </c>
      <c r="I110" s="87" t="s">
        <v>6504</v>
      </c>
      <c r="J110" s="87" t="s">
        <v>6280</v>
      </c>
      <c r="K110" s="87" t="s">
        <v>6240</v>
      </c>
      <c r="L110" s="87" t="s">
        <v>6508</v>
      </c>
      <c r="M110" s="9" t="s">
        <v>6282</v>
      </c>
      <c r="N110" s="87" t="s">
        <v>6280</v>
      </c>
      <c r="O110" s="9" t="s">
        <v>6243</v>
      </c>
      <c r="P110" s="87" t="s">
        <v>6283</v>
      </c>
      <c r="Q110" s="87" t="s">
        <v>6504</v>
      </c>
      <c r="R110" s="87" t="s">
        <v>6244</v>
      </c>
      <c r="S110" s="87" t="s">
        <v>6284</v>
      </c>
      <c r="T110" s="59">
        <f t="shared" si="0"/>
        <v>45079</v>
      </c>
    </row>
    <row r="111" spans="1:20" ht="15.75" customHeight="1">
      <c r="A111" s="9" t="s">
        <v>3009</v>
      </c>
      <c r="C111" s="9" t="s">
        <v>6236</v>
      </c>
      <c r="D111" s="9" t="s">
        <v>431</v>
      </c>
      <c r="E111" s="9" t="s">
        <v>368</v>
      </c>
      <c r="F111" s="9" t="s">
        <v>436</v>
      </c>
      <c r="G111" s="9" t="s">
        <v>434</v>
      </c>
      <c r="H111" s="87" t="s">
        <v>6237</v>
      </c>
      <c r="I111" s="87" t="s">
        <v>6321</v>
      </c>
      <c r="J111" s="87" t="s">
        <v>6239</v>
      </c>
      <c r="K111" s="87" t="s">
        <v>6240</v>
      </c>
      <c r="L111" s="87" t="s">
        <v>6510</v>
      </c>
      <c r="M111" s="9" t="s">
        <v>6242</v>
      </c>
      <c r="N111" s="87" t="s">
        <v>6239</v>
      </c>
      <c r="O111" s="9" t="s">
        <v>6243</v>
      </c>
      <c r="P111" s="87" t="s">
        <v>3764</v>
      </c>
      <c r="Q111" s="87" t="s">
        <v>6321</v>
      </c>
      <c r="R111" s="87" t="s">
        <v>6244</v>
      </c>
      <c r="S111" s="87" t="s">
        <v>6245</v>
      </c>
      <c r="T111" s="59">
        <f t="shared" si="0"/>
        <v>45078</v>
      </c>
    </row>
    <row r="112" spans="1:20" ht="15.75" customHeight="1">
      <c r="A112" s="9" t="s">
        <v>2834</v>
      </c>
      <c r="C112" s="9" t="s">
        <v>6236</v>
      </c>
      <c r="D112" s="9" t="s">
        <v>431</v>
      </c>
      <c r="E112" s="9" t="s">
        <v>368</v>
      </c>
      <c r="F112" s="9" t="s">
        <v>436</v>
      </c>
      <c r="G112" s="9" t="s">
        <v>434</v>
      </c>
      <c r="H112" s="87" t="s">
        <v>6237</v>
      </c>
      <c r="I112" s="87" t="s">
        <v>6421</v>
      </c>
      <c r="J112" s="87" t="s">
        <v>6421</v>
      </c>
      <c r="K112" s="87" t="s">
        <v>6240</v>
      </c>
      <c r="L112" s="87" t="s">
        <v>6511</v>
      </c>
      <c r="M112" s="9" t="s">
        <v>6423</v>
      </c>
      <c r="N112" s="87" t="s">
        <v>6421</v>
      </c>
      <c r="O112" s="9" t="s">
        <v>6243</v>
      </c>
      <c r="P112" s="87" t="s">
        <v>6316</v>
      </c>
      <c r="Q112" s="87" t="s">
        <v>6421</v>
      </c>
      <c r="R112" s="87" t="s">
        <v>6244</v>
      </c>
      <c r="S112" s="87" t="s">
        <v>6424</v>
      </c>
      <c r="T112" s="59">
        <f t="shared" si="0"/>
        <v>45077</v>
      </c>
    </row>
    <row r="113" spans="1:20" ht="15.75" customHeight="1">
      <c r="A113" s="9" t="s">
        <v>2957</v>
      </c>
      <c r="C113" s="9" t="s">
        <v>6236</v>
      </c>
      <c r="D113" s="9" t="s">
        <v>431</v>
      </c>
      <c r="E113" s="9" t="s">
        <v>368</v>
      </c>
      <c r="F113" s="9" t="s">
        <v>436</v>
      </c>
      <c r="G113" s="9" t="s">
        <v>434</v>
      </c>
      <c r="H113" s="87" t="s">
        <v>6237</v>
      </c>
      <c r="I113" s="87" t="s">
        <v>6306</v>
      </c>
      <c r="J113" s="87" t="s">
        <v>6316</v>
      </c>
      <c r="K113" s="87" t="s">
        <v>6240</v>
      </c>
      <c r="L113" s="87" t="s">
        <v>6511</v>
      </c>
      <c r="M113" s="9" t="s">
        <v>6512</v>
      </c>
      <c r="N113" s="87" t="s">
        <v>6316</v>
      </c>
      <c r="O113" s="9" t="s">
        <v>6243</v>
      </c>
      <c r="P113" s="87" t="s">
        <v>3240</v>
      </c>
      <c r="Q113" s="87" t="s">
        <v>6306</v>
      </c>
      <c r="R113" s="87" t="s">
        <v>6417</v>
      </c>
      <c r="S113" s="87" t="s">
        <v>6245</v>
      </c>
      <c r="T113" s="59">
        <f t="shared" si="0"/>
        <v>45077</v>
      </c>
    </row>
    <row r="114" spans="1:20" ht="15.75" customHeight="1">
      <c r="A114" s="9" t="s">
        <v>2896</v>
      </c>
      <c r="C114" s="9" t="s">
        <v>6236</v>
      </c>
      <c r="D114" s="9" t="s">
        <v>431</v>
      </c>
      <c r="E114" s="9" t="s">
        <v>368</v>
      </c>
      <c r="F114" s="9" t="s">
        <v>436</v>
      </c>
      <c r="G114" s="9" t="s">
        <v>434</v>
      </c>
      <c r="H114" s="87" t="s">
        <v>6237</v>
      </c>
      <c r="I114" s="87" t="s">
        <v>6433</v>
      </c>
      <c r="J114" s="87" t="s">
        <v>6433</v>
      </c>
      <c r="K114" s="87" t="s">
        <v>6240</v>
      </c>
      <c r="L114" s="87" t="s">
        <v>6513</v>
      </c>
      <c r="M114" s="9" t="s">
        <v>6514</v>
      </c>
      <c r="N114" s="87" t="s">
        <v>6433</v>
      </c>
      <c r="O114" s="9" t="s">
        <v>6243</v>
      </c>
      <c r="P114" s="87" t="s">
        <v>6305</v>
      </c>
      <c r="Q114" s="87" t="s">
        <v>6433</v>
      </c>
      <c r="R114" s="87" t="s">
        <v>6443</v>
      </c>
      <c r="S114" s="87" t="s">
        <v>6300</v>
      </c>
      <c r="T114" s="59">
        <f t="shared" si="0"/>
        <v>45076</v>
      </c>
    </row>
    <row r="115" spans="1:20" ht="15.75" customHeight="1">
      <c r="A115" s="9" t="s">
        <v>2983</v>
      </c>
      <c r="C115" s="9" t="s">
        <v>6236</v>
      </c>
      <c r="D115" s="9" t="s">
        <v>431</v>
      </c>
      <c r="E115" s="9" t="s">
        <v>368</v>
      </c>
      <c r="F115" s="9" t="s">
        <v>436</v>
      </c>
      <c r="G115" s="9" t="s">
        <v>434</v>
      </c>
      <c r="H115" s="87" t="s">
        <v>6237</v>
      </c>
      <c r="I115" s="87" t="s">
        <v>6515</v>
      </c>
      <c r="J115" s="87" t="s">
        <v>6409</v>
      </c>
      <c r="K115" s="87" t="s">
        <v>6240</v>
      </c>
      <c r="L115" s="87" t="s">
        <v>6513</v>
      </c>
      <c r="M115" s="9" t="s">
        <v>6516</v>
      </c>
      <c r="N115" s="87" t="s">
        <v>6409</v>
      </c>
      <c r="O115" s="9" t="s">
        <v>6243</v>
      </c>
      <c r="P115" s="87" t="s">
        <v>6489</v>
      </c>
      <c r="Q115" s="87" t="s">
        <v>6515</v>
      </c>
      <c r="R115" s="87" t="s">
        <v>6277</v>
      </c>
      <c r="S115" s="87" t="s">
        <v>6245</v>
      </c>
      <c r="T115" s="59">
        <f t="shared" si="0"/>
        <v>45076</v>
      </c>
    </row>
    <row r="116" spans="1:20" ht="15.75" customHeight="1">
      <c r="A116" s="9" t="s">
        <v>2957</v>
      </c>
      <c r="C116" s="9" t="s">
        <v>6236</v>
      </c>
      <c r="D116" s="9" t="s">
        <v>431</v>
      </c>
      <c r="E116" s="9" t="s">
        <v>368</v>
      </c>
      <c r="F116" s="9" t="s">
        <v>436</v>
      </c>
      <c r="G116" s="9" t="s">
        <v>434</v>
      </c>
      <c r="H116" s="87" t="s">
        <v>6237</v>
      </c>
      <c r="I116" s="87" t="s">
        <v>6306</v>
      </c>
      <c r="J116" s="87" t="s">
        <v>4953</v>
      </c>
      <c r="K116" s="87" t="s">
        <v>6240</v>
      </c>
      <c r="L116" s="87" t="s">
        <v>6513</v>
      </c>
      <c r="M116" s="9" t="s">
        <v>6446</v>
      </c>
      <c r="N116" s="87" t="s">
        <v>4953</v>
      </c>
      <c r="O116" s="9" t="s">
        <v>6243</v>
      </c>
      <c r="P116" s="87" t="s">
        <v>6306</v>
      </c>
      <c r="Q116" s="87" t="s">
        <v>6306</v>
      </c>
      <c r="R116" s="87" t="s">
        <v>6244</v>
      </c>
      <c r="S116" s="87" t="s">
        <v>6306</v>
      </c>
      <c r="T116" s="59">
        <f t="shared" si="0"/>
        <v>45076</v>
      </c>
    </row>
    <row r="117" spans="1:20" ht="15.75" customHeight="1">
      <c r="A117" s="9" t="s">
        <v>2928</v>
      </c>
      <c r="C117" s="9" t="s">
        <v>6236</v>
      </c>
      <c r="D117" s="9" t="s">
        <v>431</v>
      </c>
      <c r="E117" s="9" t="s">
        <v>368</v>
      </c>
      <c r="F117" s="9" t="s">
        <v>436</v>
      </c>
      <c r="G117" s="9" t="s">
        <v>434</v>
      </c>
      <c r="H117" s="87" t="s">
        <v>6264</v>
      </c>
      <c r="I117" s="87" t="s">
        <v>6254</v>
      </c>
      <c r="J117" s="87" t="s">
        <v>6264</v>
      </c>
      <c r="K117" s="87" t="s">
        <v>6240</v>
      </c>
      <c r="L117" s="87" t="s">
        <v>6517</v>
      </c>
      <c r="M117" s="9" t="s">
        <v>6518</v>
      </c>
      <c r="N117" s="87" t="s">
        <v>6264</v>
      </c>
      <c r="O117" s="9" t="s">
        <v>6243</v>
      </c>
      <c r="P117" s="87" t="s">
        <v>6313</v>
      </c>
      <c r="Q117" s="87" t="s">
        <v>6254</v>
      </c>
      <c r="R117" s="87" t="s">
        <v>6268</v>
      </c>
      <c r="S117" s="87" t="s">
        <v>6245</v>
      </c>
      <c r="T117" s="59">
        <f t="shared" si="0"/>
        <v>45075</v>
      </c>
    </row>
    <row r="118" spans="1:20" ht="15.75" customHeight="1">
      <c r="A118" s="9" t="s">
        <v>2983</v>
      </c>
      <c r="C118" s="9" t="s">
        <v>6236</v>
      </c>
      <c r="D118" s="9" t="s">
        <v>431</v>
      </c>
      <c r="E118" s="9" t="s">
        <v>368</v>
      </c>
      <c r="F118" s="9" t="s">
        <v>436</v>
      </c>
      <c r="G118" s="9" t="s">
        <v>434</v>
      </c>
      <c r="H118" s="87" t="s">
        <v>6237</v>
      </c>
      <c r="I118" s="87" t="s">
        <v>6515</v>
      </c>
      <c r="J118" s="87" t="s">
        <v>6267</v>
      </c>
      <c r="K118" s="87" t="s">
        <v>6240</v>
      </c>
      <c r="L118" s="87" t="s">
        <v>6517</v>
      </c>
      <c r="M118" s="9" t="s">
        <v>6519</v>
      </c>
      <c r="N118" s="87" t="s">
        <v>6267</v>
      </c>
      <c r="O118" s="9" t="s">
        <v>6243</v>
      </c>
      <c r="P118" s="87" t="s">
        <v>6506</v>
      </c>
      <c r="Q118" s="87" t="s">
        <v>6515</v>
      </c>
      <c r="R118" s="87" t="s">
        <v>6244</v>
      </c>
      <c r="S118" s="87" t="s">
        <v>6451</v>
      </c>
      <c r="T118" s="59">
        <f t="shared" si="0"/>
        <v>45075</v>
      </c>
    </row>
    <row r="119" spans="1:20" ht="15.75" customHeight="1">
      <c r="A119" s="9" t="s">
        <v>3031</v>
      </c>
      <c r="C119" s="9" t="s">
        <v>6236</v>
      </c>
      <c r="D119" s="9" t="s">
        <v>431</v>
      </c>
      <c r="E119" s="9" t="s">
        <v>368</v>
      </c>
      <c r="F119" s="9" t="s">
        <v>436</v>
      </c>
      <c r="G119" s="9" t="s">
        <v>434</v>
      </c>
      <c r="H119" s="87" t="s">
        <v>6237</v>
      </c>
      <c r="I119" s="87" t="s">
        <v>6293</v>
      </c>
      <c r="J119" s="87" t="s">
        <v>6293</v>
      </c>
      <c r="K119" s="87" t="s">
        <v>6240</v>
      </c>
      <c r="L119" s="87" t="s">
        <v>6520</v>
      </c>
      <c r="M119" s="9" t="s">
        <v>6521</v>
      </c>
      <c r="N119" s="87" t="s">
        <v>6293</v>
      </c>
      <c r="O119" s="9" t="s">
        <v>6243</v>
      </c>
      <c r="P119" s="87" t="s">
        <v>4828</v>
      </c>
      <c r="Q119" s="87" t="s">
        <v>6293</v>
      </c>
      <c r="R119" s="87" t="s">
        <v>6367</v>
      </c>
      <c r="S119" s="87" t="s">
        <v>6346</v>
      </c>
      <c r="T119" s="59">
        <f t="shared" si="0"/>
        <v>45074</v>
      </c>
    </row>
    <row r="120" spans="1:20" ht="15.75" customHeight="1">
      <c r="A120" s="9" t="s">
        <v>6522</v>
      </c>
      <c r="C120" s="9" t="s">
        <v>6236</v>
      </c>
      <c r="D120" s="9" t="s">
        <v>431</v>
      </c>
      <c r="E120" s="9" t="s">
        <v>368</v>
      </c>
      <c r="F120" s="9" t="s">
        <v>436</v>
      </c>
      <c r="G120" s="9" t="s">
        <v>434</v>
      </c>
      <c r="H120" s="87" t="s">
        <v>6264</v>
      </c>
      <c r="I120" s="87" t="s">
        <v>6254</v>
      </c>
      <c r="J120" s="87" t="s">
        <v>6348</v>
      </c>
      <c r="K120" s="87" t="s">
        <v>6240</v>
      </c>
      <c r="L120" s="87" t="s">
        <v>6520</v>
      </c>
      <c r="M120" s="9" t="s">
        <v>6386</v>
      </c>
      <c r="N120" s="87" t="s">
        <v>6348</v>
      </c>
      <c r="O120" s="9" t="s">
        <v>6243</v>
      </c>
      <c r="P120" s="87" t="s">
        <v>5381</v>
      </c>
      <c r="Q120" s="87" t="s">
        <v>6254</v>
      </c>
      <c r="R120" s="87" t="s">
        <v>6387</v>
      </c>
      <c r="S120" s="87" t="s">
        <v>6245</v>
      </c>
      <c r="T120" s="59">
        <f t="shared" si="0"/>
        <v>45074</v>
      </c>
    </row>
    <row r="121" spans="1:20" ht="15.75" customHeight="1">
      <c r="A121" s="9" t="s">
        <v>2928</v>
      </c>
      <c r="C121" s="9" t="s">
        <v>6236</v>
      </c>
      <c r="D121" s="9" t="s">
        <v>431</v>
      </c>
      <c r="E121" s="9" t="s">
        <v>368</v>
      </c>
      <c r="F121" s="9" t="s">
        <v>436</v>
      </c>
      <c r="G121" s="9" t="s">
        <v>434</v>
      </c>
      <c r="H121" s="87" t="s">
        <v>6264</v>
      </c>
      <c r="I121" s="87" t="s">
        <v>6254</v>
      </c>
      <c r="J121" s="87" t="s">
        <v>6295</v>
      </c>
      <c r="K121" s="87" t="s">
        <v>6240</v>
      </c>
      <c r="L121" s="87" t="s">
        <v>6520</v>
      </c>
      <c r="M121" s="9" t="s">
        <v>6371</v>
      </c>
      <c r="N121" s="87" t="s">
        <v>6295</v>
      </c>
      <c r="O121" s="9" t="s">
        <v>6243</v>
      </c>
      <c r="P121" s="87" t="s">
        <v>6372</v>
      </c>
      <c r="Q121" s="87" t="s">
        <v>6254</v>
      </c>
      <c r="R121" s="87" t="s">
        <v>6244</v>
      </c>
      <c r="S121" s="87" t="s">
        <v>6373</v>
      </c>
      <c r="T121" s="59">
        <f t="shared" si="0"/>
        <v>45074</v>
      </c>
    </row>
    <row r="122" spans="1:20" ht="15.75" customHeight="1">
      <c r="A122" s="88" t="s">
        <v>2825</v>
      </c>
      <c r="C122" s="9" t="s">
        <v>6236</v>
      </c>
      <c r="D122" s="9" t="s">
        <v>431</v>
      </c>
      <c r="E122" s="9" t="s">
        <v>368</v>
      </c>
      <c r="F122" s="9" t="s">
        <v>436</v>
      </c>
      <c r="G122" s="9" t="s">
        <v>434</v>
      </c>
      <c r="H122" s="87" t="s">
        <v>6405</v>
      </c>
      <c r="I122" s="87" t="s">
        <v>6435</v>
      </c>
      <c r="J122" s="87" t="s">
        <v>6435</v>
      </c>
      <c r="K122" s="87" t="s">
        <v>6240</v>
      </c>
      <c r="L122" s="87" t="s">
        <v>6523</v>
      </c>
      <c r="M122" s="9" t="s">
        <v>6524</v>
      </c>
      <c r="N122" s="87" t="s">
        <v>6435</v>
      </c>
      <c r="O122" s="9" t="s">
        <v>6243</v>
      </c>
      <c r="P122" s="87" t="s">
        <v>6250</v>
      </c>
      <c r="Q122" s="87" t="s">
        <v>6435</v>
      </c>
      <c r="R122" s="87" t="s">
        <v>6525</v>
      </c>
      <c r="S122" s="87" t="s">
        <v>6373</v>
      </c>
      <c r="T122" s="59">
        <f t="shared" si="0"/>
        <v>45073</v>
      </c>
    </row>
    <row r="123" spans="1:20" ht="15.75" customHeight="1">
      <c r="A123" s="89" t="s">
        <v>3020</v>
      </c>
      <c r="C123" s="9" t="s">
        <v>6236</v>
      </c>
      <c r="D123" s="9" t="s">
        <v>431</v>
      </c>
      <c r="E123" s="9" t="s">
        <v>368</v>
      </c>
      <c r="F123" s="9" t="s">
        <v>436</v>
      </c>
      <c r="G123" s="9" t="s">
        <v>434</v>
      </c>
      <c r="H123" s="87" t="s">
        <v>6264</v>
      </c>
      <c r="I123" s="87" t="s">
        <v>6326</v>
      </c>
      <c r="J123" s="87" t="s">
        <v>6526</v>
      </c>
      <c r="K123" s="87" t="s">
        <v>6240</v>
      </c>
      <c r="L123" s="87" t="s">
        <v>6523</v>
      </c>
      <c r="M123" s="9" t="s">
        <v>6527</v>
      </c>
      <c r="N123" s="87" t="s">
        <v>6526</v>
      </c>
      <c r="O123" s="9" t="s">
        <v>6243</v>
      </c>
      <c r="P123" s="87" t="s">
        <v>4023</v>
      </c>
      <c r="Q123" s="87" t="s">
        <v>6326</v>
      </c>
      <c r="R123" s="87" t="s">
        <v>6367</v>
      </c>
      <c r="S123" s="87" t="s">
        <v>6245</v>
      </c>
      <c r="T123" s="59">
        <f t="shared" si="0"/>
        <v>45073</v>
      </c>
    </row>
    <row r="124" spans="1:20" ht="15.75" customHeight="1">
      <c r="A124" s="9" t="s">
        <v>6522</v>
      </c>
      <c r="C124" s="9" t="s">
        <v>6236</v>
      </c>
      <c r="D124" s="9" t="s">
        <v>431</v>
      </c>
      <c r="E124" s="9" t="s">
        <v>368</v>
      </c>
      <c r="F124" s="9" t="s">
        <v>436</v>
      </c>
      <c r="G124" s="9" t="s">
        <v>434</v>
      </c>
      <c r="H124" s="87" t="s">
        <v>6264</v>
      </c>
      <c r="I124" s="87" t="s">
        <v>6254</v>
      </c>
      <c r="J124" s="87" t="s">
        <v>6528</v>
      </c>
      <c r="K124" s="87" t="s">
        <v>6240</v>
      </c>
      <c r="L124" s="87" t="s">
        <v>6523</v>
      </c>
      <c r="M124" s="9" t="s">
        <v>6529</v>
      </c>
      <c r="N124" s="87" t="s">
        <v>6528</v>
      </c>
      <c r="O124" s="9" t="s">
        <v>6243</v>
      </c>
      <c r="P124" s="87" t="s">
        <v>6474</v>
      </c>
      <c r="Q124" s="87" t="s">
        <v>6254</v>
      </c>
      <c r="R124" s="87" t="s">
        <v>6244</v>
      </c>
      <c r="S124" s="87" t="s">
        <v>6443</v>
      </c>
      <c r="T124" s="59">
        <f t="shared" si="0"/>
        <v>45073</v>
      </c>
    </row>
    <row r="125" spans="1:20" ht="15.75" customHeight="1">
      <c r="A125" s="90" t="s">
        <v>2879</v>
      </c>
      <c r="C125" s="9" t="s">
        <v>6236</v>
      </c>
      <c r="D125" s="9" t="s">
        <v>431</v>
      </c>
      <c r="E125" s="9" t="s">
        <v>368</v>
      </c>
      <c r="F125" s="9" t="s">
        <v>436</v>
      </c>
      <c r="G125" s="9" t="s">
        <v>434</v>
      </c>
      <c r="H125" s="87" t="s">
        <v>6264</v>
      </c>
      <c r="I125" s="87" t="s">
        <v>6254</v>
      </c>
      <c r="J125" s="87" t="s">
        <v>6254</v>
      </c>
      <c r="K125" s="87" t="s">
        <v>6240</v>
      </c>
      <c r="L125" s="87" t="s">
        <v>6530</v>
      </c>
      <c r="M125" s="9" t="s">
        <v>6531</v>
      </c>
      <c r="N125" s="87" t="s">
        <v>6254</v>
      </c>
      <c r="O125" s="9" t="s">
        <v>6243</v>
      </c>
      <c r="P125" s="87" t="s">
        <v>5968</v>
      </c>
      <c r="Q125" s="87" t="s">
        <v>6254</v>
      </c>
      <c r="R125" s="87" t="s">
        <v>6532</v>
      </c>
      <c r="S125" s="87" t="s">
        <v>6430</v>
      </c>
      <c r="T125" s="59">
        <f t="shared" si="0"/>
        <v>45072</v>
      </c>
    </row>
    <row r="126" spans="1:20" ht="15.75" customHeight="1">
      <c r="A126" s="91" t="s">
        <v>2890</v>
      </c>
      <c r="C126" s="9" t="s">
        <v>6236</v>
      </c>
      <c r="D126" s="9" t="s">
        <v>431</v>
      </c>
      <c r="E126" s="9" t="s">
        <v>368</v>
      </c>
      <c r="F126" s="9" t="s">
        <v>436</v>
      </c>
      <c r="G126" s="9" t="s">
        <v>434</v>
      </c>
      <c r="H126" s="87" t="s">
        <v>6237</v>
      </c>
      <c r="I126" s="87" t="s">
        <v>6296</v>
      </c>
      <c r="J126" s="87" t="s">
        <v>6296</v>
      </c>
      <c r="K126" s="87" t="s">
        <v>6240</v>
      </c>
      <c r="L126" s="87" t="s">
        <v>6530</v>
      </c>
      <c r="M126" s="9" t="s">
        <v>6533</v>
      </c>
      <c r="N126" s="87" t="s">
        <v>6296</v>
      </c>
      <c r="O126" s="9" t="s">
        <v>6243</v>
      </c>
      <c r="P126" s="87" t="s">
        <v>6287</v>
      </c>
      <c r="Q126" s="87" t="s">
        <v>6296</v>
      </c>
      <c r="R126" s="87" t="s">
        <v>6404</v>
      </c>
      <c r="S126" s="87" t="s">
        <v>6299</v>
      </c>
      <c r="T126" s="59">
        <f t="shared" si="0"/>
        <v>45072</v>
      </c>
    </row>
    <row r="127" spans="1:20" ht="15.75" customHeight="1">
      <c r="A127" s="9" t="s">
        <v>2955</v>
      </c>
      <c r="C127" s="9" t="s">
        <v>6236</v>
      </c>
      <c r="D127" s="9" t="s">
        <v>431</v>
      </c>
      <c r="E127" s="9" t="s">
        <v>368</v>
      </c>
      <c r="F127" s="9" t="s">
        <v>436</v>
      </c>
      <c r="G127" s="9" t="s">
        <v>434</v>
      </c>
      <c r="H127" s="87" t="s">
        <v>6237</v>
      </c>
      <c r="I127" s="87" t="s">
        <v>4014</v>
      </c>
      <c r="J127" s="87" t="s">
        <v>6421</v>
      </c>
      <c r="K127" s="87" t="s">
        <v>6240</v>
      </c>
      <c r="L127" s="87" t="s">
        <v>6530</v>
      </c>
      <c r="M127" s="9" t="s">
        <v>6534</v>
      </c>
      <c r="N127" s="87" t="s">
        <v>6421</v>
      </c>
      <c r="O127" s="9" t="s">
        <v>6243</v>
      </c>
      <c r="P127" s="87" t="s">
        <v>6316</v>
      </c>
      <c r="Q127" s="87" t="s">
        <v>4014</v>
      </c>
      <c r="R127" s="87" t="s">
        <v>6535</v>
      </c>
      <c r="S127" s="87" t="s">
        <v>6245</v>
      </c>
      <c r="T127" s="59">
        <f t="shared" si="0"/>
        <v>45072</v>
      </c>
    </row>
    <row r="128" spans="1:20" ht="15.75" customHeight="1">
      <c r="A128" s="89" t="s">
        <v>3020</v>
      </c>
      <c r="C128" s="9" t="s">
        <v>6236</v>
      </c>
      <c r="D128" s="9" t="s">
        <v>431</v>
      </c>
      <c r="E128" s="9" t="s">
        <v>368</v>
      </c>
      <c r="F128" s="9" t="s">
        <v>436</v>
      </c>
      <c r="G128" s="9" t="s">
        <v>434</v>
      </c>
      <c r="H128" s="87" t="s">
        <v>6264</v>
      </c>
      <c r="I128" s="87" t="s">
        <v>6326</v>
      </c>
      <c r="J128" s="87" t="s">
        <v>6264</v>
      </c>
      <c r="K128" s="87" t="s">
        <v>6240</v>
      </c>
      <c r="L128" s="87" t="s">
        <v>6530</v>
      </c>
      <c r="M128" s="9" t="s">
        <v>6502</v>
      </c>
      <c r="N128" s="87" t="s">
        <v>6264</v>
      </c>
      <c r="O128" s="9" t="s">
        <v>6243</v>
      </c>
      <c r="P128" s="87" t="s">
        <v>6313</v>
      </c>
      <c r="Q128" s="87" t="s">
        <v>6326</v>
      </c>
      <c r="R128" s="87" t="s">
        <v>6244</v>
      </c>
      <c r="S128" s="87" t="s">
        <v>6503</v>
      </c>
      <c r="T128" s="59">
        <f t="shared" si="0"/>
        <v>45072</v>
      </c>
    </row>
    <row r="129" spans="1:20" ht="15.75" customHeight="1">
      <c r="A129" s="84" t="s">
        <v>2918</v>
      </c>
      <c r="C129" s="9" t="s">
        <v>6236</v>
      </c>
      <c r="D129" s="9" t="s">
        <v>431</v>
      </c>
      <c r="E129" s="9" t="s">
        <v>368</v>
      </c>
      <c r="F129" s="9" t="s">
        <v>436</v>
      </c>
      <c r="G129" s="9" t="s">
        <v>434</v>
      </c>
      <c r="H129" s="87" t="s">
        <v>6237</v>
      </c>
      <c r="I129" s="87" t="s">
        <v>6245</v>
      </c>
      <c r="J129" s="87" t="s">
        <v>6245</v>
      </c>
      <c r="K129" s="87" t="s">
        <v>6240</v>
      </c>
      <c r="L129" s="87" t="s">
        <v>6530</v>
      </c>
      <c r="M129" s="9" t="s">
        <v>6536</v>
      </c>
      <c r="N129" s="87" t="s">
        <v>6245</v>
      </c>
      <c r="O129" s="9" t="s">
        <v>6243</v>
      </c>
      <c r="P129" s="87" t="s">
        <v>6238</v>
      </c>
      <c r="Q129" s="87" t="s">
        <v>6245</v>
      </c>
      <c r="R129" s="87" t="s">
        <v>6310</v>
      </c>
      <c r="S129" s="87" t="s">
        <v>6267</v>
      </c>
      <c r="T129" s="59">
        <f t="shared" si="0"/>
        <v>45072</v>
      </c>
    </row>
    <row r="130" spans="1:20" ht="15.75" customHeight="1">
      <c r="A130" s="9" t="s">
        <v>2955</v>
      </c>
      <c r="C130" s="9" t="s">
        <v>6236</v>
      </c>
      <c r="D130" s="9" t="s">
        <v>431</v>
      </c>
      <c r="E130" s="9" t="s">
        <v>368</v>
      </c>
      <c r="F130" s="9" t="s">
        <v>436</v>
      </c>
      <c r="G130" s="9" t="s">
        <v>434</v>
      </c>
      <c r="H130" s="87" t="s">
        <v>6237</v>
      </c>
      <c r="I130" s="87" t="s">
        <v>4014</v>
      </c>
      <c r="J130" s="87" t="s">
        <v>6239</v>
      </c>
      <c r="K130" s="87" t="s">
        <v>6240</v>
      </c>
      <c r="L130" s="87" t="s">
        <v>6537</v>
      </c>
      <c r="M130" s="9" t="s">
        <v>6242</v>
      </c>
      <c r="N130" s="87" t="s">
        <v>6239</v>
      </c>
      <c r="O130" s="9" t="s">
        <v>6243</v>
      </c>
      <c r="P130" s="87" t="s">
        <v>3764</v>
      </c>
      <c r="Q130" s="87" t="s">
        <v>4014</v>
      </c>
      <c r="R130" s="87" t="s">
        <v>6244</v>
      </c>
      <c r="S130" s="87" t="s">
        <v>6245</v>
      </c>
      <c r="T130" s="59">
        <f t="shared" si="0"/>
        <v>45071</v>
      </c>
    </row>
    <row r="131" spans="1:20" ht="15.75" customHeight="1">
      <c r="A131" s="9" t="s">
        <v>2955</v>
      </c>
      <c r="C131" s="9" t="s">
        <v>6236</v>
      </c>
      <c r="D131" s="9" t="s">
        <v>431</v>
      </c>
      <c r="E131" s="9" t="s">
        <v>368</v>
      </c>
      <c r="F131" s="9" t="s">
        <v>436</v>
      </c>
      <c r="G131" s="9" t="s">
        <v>434</v>
      </c>
      <c r="H131" s="87" t="s">
        <v>6237</v>
      </c>
      <c r="I131" s="87" t="s">
        <v>4014</v>
      </c>
      <c r="J131" s="87" t="s">
        <v>6239</v>
      </c>
      <c r="K131" s="87" t="s">
        <v>6240</v>
      </c>
      <c r="L131" s="87" t="s">
        <v>6538</v>
      </c>
      <c r="M131" s="9" t="s">
        <v>6242</v>
      </c>
      <c r="N131" s="87" t="s">
        <v>6239</v>
      </c>
      <c r="O131" s="9" t="s">
        <v>6243</v>
      </c>
      <c r="P131" s="87" t="s">
        <v>3764</v>
      </c>
      <c r="Q131" s="87" t="s">
        <v>4014</v>
      </c>
      <c r="R131" s="87" t="s">
        <v>6244</v>
      </c>
      <c r="S131" s="87" t="s">
        <v>6245</v>
      </c>
      <c r="T131" s="59">
        <f t="shared" si="0"/>
        <v>45070</v>
      </c>
    </row>
    <row r="132" spans="1:20" ht="15.75" customHeight="1">
      <c r="A132" s="9" t="s">
        <v>2973</v>
      </c>
      <c r="C132" s="9" t="s">
        <v>6236</v>
      </c>
      <c r="D132" s="9" t="s">
        <v>431</v>
      </c>
      <c r="E132" s="9" t="s">
        <v>368</v>
      </c>
      <c r="F132" s="9" t="s">
        <v>436</v>
      </c>
      <c r="G132" s="9" t="s">
        <v>434</v>
      </c>
      <c r="H132" s="87" t="s">
        <v>6237</v>
      </c>
      <c r="I132" s="87" t="s">
        <v>6306</v>
      </c>
      <c r="J132" s="87" t="s">
        <v>6526</v>
      </c>
      <c r="K132" s="87" t="s">
        <v>6240</v>
      </c>
      <c r="L132" s="87" t="s">
        <v>6539</v>
      </c>
      <c r="M132" s="9" t="s">
        <v>6527</v>
      </c>
      <c r="N132" s="87" t="s">
        <v>6526</v>
      </c>
      <c r="O132" s="9" t="s">
        <v>6243</v>
      </c>
      <c r="P132" s="87" t="s">
        <v>4023</v>
      </c>
      <c r="Q132" s="87" t="s">
        <v>6306</v>
      </c>
      <c r="R132" s="87" t="s">
        <v>6367</v>
      </c>
      <c r="S132" s="87" t="s">
        <v>6245</v>
      </c>
      <c r="T132" s="59">
        <f t="shared" si="0"/>
        <v>45069</v>
      </c>
    </row>
    <row r="133" spans="1:20" ht="15.75" customHeight="1">
      <c r="A133" s="9" t="s">
        <v>2955</v>
      </c>
      <c r="C133" s="9" t="s">
        <v>6236</v>
      </c>
      <c r="D133" s="9" t="s">
        <v>431</v>
      </c>
      <c r="E133" s="9" t="s">
        <v>368</v>
      </c>
      <c r="F133" s="9" t="s">
        <v>436</v>
      </c>
      <c r="G133" s="9" t="s">
        <v>434</v>
      </c>
      <c r="H133" s="87" t="s">
        <v>6237</v>
      </c>
      <c r="I133" s="87" t="s">
        <v>4014</v>
      </c>
      <c r="J133" s="87" t="s">
        <v>6295</v>
      </c>
      <c r="K133" s="87" t="s">
        <v>6240</v>
      </c>
      <c r="L133" s="87" t="s">
        <v>6539</v>
      </c>
      <c r="M133" s="9" t="s">
        <v>6371</v>
      </c>
      <c r="N133" s="87" t="s">
        <v>6295</v>
      </c>
      <c r="O133" s="9" t="s">
        <v>6243</v>
      </c>
      <c r="P133" s="87" t="s">
        <v>6372</v>
      </c>
      <c r="Q133" s="87" t="s">
        <v>4014</v>
      </c>
      <c r="R133" s="87" t="s">
        <v>6244</v>
      </c>
      <c r="S133" s="87" t="s">
        <v>6373</v>
      </c>
      <c r="T133" s="59">
        <f t="shared" si="0"/>
        <v>45069</v>
      </c>
    </row>
    <row r="134" spans="1:20" ht="15.75" customHeight="1">
      <c r="A134" s="9" t="s">
        <v>2872</v>
      </c>
      <c r="C134" s="9" t="s">
        <v>6236</v>
      </c>
      <c r="D134" s="9" t="s">
        <v>431</v>
      </c>
      <c r="E134" s="9" t="s">
        <v>368</v>
      </c>
      <c r="F134" s="9" t="s">
        <v>436</v>
      </c>
      <c r="G134" s="9" t="s">
        <v>434</v>
      </c>
      <c r="H134" s="87" t="s">
        <v>6237</v>
      </c>
      <c r="I134" s="87" t="s">
        <v>6251</v>
      </c>
      <c r="J134" s="87" t="s">
        <v>6251</v>
      </c>
      <c r="K134" s="87" t="s">
        <v>6240</v>
      </c>
      <c r="L134" s="87" t="s">
        <v>6540</v>
      </c>
      <c r="M134" s="9" t="s">
        <v>6541</v>
      </c>
      <c r="N134" s="87" t="s">
        <v>6251</v>
      </c>
      <c r="O134" s="9" t="s">
        <v>6243</v>
      </c>
      <c r="P134" s="87" t="s">
        <v>6254</v>
      </c>
      <c r="Q134" s="87" t="s">
        <v>6251</v>
      </c>
      <c r="R134" s="87" t="s">
        <v>6497</v>
      </c>
      <c r="S134" s="87" t="s">
        <v>6277</v>
      </c>
      <c r="T134" s="59">
        <f t="shared" si="0"/>
        <v>45068</v>
      </c>
    </row>
    <row r="135" spans="1:20" ht="15.75" customHeight="1">
      <c r="A135" s="9" t="s">
        <v>2855</v>
      </c>
      <c r="C135" s="9" t="s">
        <v>6236</v>
      </c>
      <c r="D135" s="9" t="s">
        <v>431</v>
      </c>
      <c r="E135" s="9" t="s">
        <v>368</v>
      </c>
      <c r="F135" s="9" t="s">
        <v>436</v>
      </c>
      <c r="G135" s="9" t="s">
        <v>434</v>
      </c>
      <c r="H135" s="87" t="s">
        <v>6264</v>
      </c>
      <c r="I135" s="87" t="s">
        <v>6421</v>
      </c>
      <c r="J135" s="87" t="s">
        <v>6421</v>
      </c>
      <c r="K135" s="87" t="s">
        <v>6240</v>
      </c>
      <c r="L135" s="87" t="s">
        <v>6540</v>
      </c>
      <c r="M135" s="9" t="s">
        <v>6542</v>
      </c>
      <c r="N135" s="87" t="s">
        <v>6421</v>
      </c>
      <c r="O135" s="9" t="s">
        <v>6243</v>
      </c>
      <c r="P135" s="87" t="s">
        <v>6316</v>
      </c>
      <c r="Q135" s="87" t="s">
        <v>6421</v>
      </c>
      <c r="R135" s="87" t="s">
        <v>6543</v>
      </c>
      <c r="S135" s="87" t="s">
        <v>6322</v>
      </c>
      <c r="T135" s="59">
        <f t="shared" si="0"/>
        <v>45068</v>
      </c>
    </row>
    <row r="136" spans="1:20" ht="15.75" customHeight="1">
      <c r="A136" s="9" t="s">
        <v>2914</v>
      </c>
      <c r="C136" s="9" t="s">
        <v>6236</v>
      </c>
      <c r="D136" s="9" t="s">
        <v>431</v>
      </c>
      <c r="E136" s="9" t="s">
        <v>368</v>
      </c>
      <c r="F136" s="9" t="s">
        <v>436</v>
      </c>
      <c r="G136" s="9" t="s">
        <v>434</v>
      </c>
      <c r="H136" s="87" t="s">
        <v>6237</v>
      </c>
      <c r="I136" s="87" t="s">
        <v>6255</v>
      </c>
      <c r="J136" s="87" t="s">
        <v>6255</v>
      </c>
      <c r="K136" s="87" t="s">
        <v>6240</v>
      </c>
      <c r="L136" s="87" t="s">
        <v>6540</v>
      </c>
      <c r="M136" s="9" t="s">
        <v>6544</v>
      </c>
      <c r="N136" s="87" t="s">
        <v>6255</v>
      </c>
      <c r="O136" s="9" t="s">
        <v>6243</v>
      </c>
      <c r="P136" s="87" t="s">
        <v>4947</v>
      </c>
      <c r="Q136" s="87" t="s">
        <v>6255</v>
      </c>
      <c r="R136" s="87" t="s">
        <v>6392</v>
      </c>
      <c r="S136" s="87" t="s">
        <v>6259</v>
      </c>
      <c r="T136" s="59">
        <f t="shared" si="0"/>
        <v>45068</v>
      </c>
    </row>
    <row r="137" spans="1:20" ht="15.75" customHeight="1">
      <c r="A137" s="9" t="s">
        <v>3010</v>
      </c>
      <c r="C137" s="9" t="s">
        <v>6236</v>
      </c>
      <c r="D137" s="9" t="s">
        <v>431</v>
      </c>
      <c r="E137" s="9" t="s">
        <v>368</v>
      </c>
      <c r="F137" s="9" t="s">
        <v>436</v>
      </c>
      <c r="G137" s="9" t="s">
        <v>434</v>
      </c>
      <c r="H137" s="87" t="s">
        <v>6237</v>
      </c>
      <c r="I137" s="87" t="s">
        <v>6299</v>
      </c>
      <c r="J137" s="87" t="s">
        <v>6251</v>
      </c>
      <c r="K137" s="87" t="s">
        <v>6240</v>
      </c>
      <c r="L137" s="87" t="s">
        <v>6540</v>
      </c>
      <c r="M137" s="9" t="s">
        <v>6253</v>
      </c>
      <c r="N137" s="87" t="s">
        <v>6251</v>
      </c>
      <c r="O137" s="9" t="s">
        <v>6243</v>
      </c>
      <c r="P137" s="87" t="s">
        <v>6254</v>
      </c>
      <c r="Q137" s="87" t="s">
        <v>6299</v>
      </c>
      <c r="R137" s="87" t="s">
        <v>6255</v>
      </c>
      <c r="S137" s="87" t="s">
        <v>6245</v>
      </c>
      <c r="T137" s="59">
        <f t="shared" si="0"/>
        <v>45068</v>
      </c>
    </row>
    <row r="138" spans="1:20" ht="15.75" customHeight="1">
      <c r="A138" s="9" t="s">
        <v>6545</v>
      </c>
      <c r="C138" s="9" t="s">
        <v>6236</v>
      </c>
      <c r="D138" s="9" t="s">
        <v>431</v>
      </c>
      <c r="E138" s="9" t="s">
        <v>368</v>
      </c>
      <c r="F138" s="9" t="s">
        <v>436</v>
      </c>
      <c r="G138" s="9" t="s">
        <v>434</v>
      </c>
      <c r="H138" s="87" t="s">
        <v>6264</v>
      </c>
      <c r="I138" s="87" t="s">
        <v>6405</v>
      </c>
      <c r="J138" s="87" t="s">
        <v>6405</v>
      </c>
      <c r="K138" s="87" t="s">
        <v>6240</v>
      </c>
      <c r="L138" s="87" t="s">
        <v>6540</v>
      </c>
      <c r="M138" s="9" t="s">
        <v>6546</v>
      </c>
      <c r="N138" s="87" t="s">
        <v>6405</v>
      </c>
      <c r="O138" s="9" t="s">
        <v>6547</v>
      </c>
      <c r="P138" s="87" t="s">
        <v>6240</v>
      </c>
      <c r="Q138" s="87" t="s">
        <v>6405</v>
      </c>
      <c r="R138" s="87" t="s">
        <v>6244</v>
      </c>
      <c r="S138" s="87" t="s">
        <v>6244</v>
      </c>
      <c r="T138" s="59">
        <f t="shared" si="0"/>
        <v>45068</v>
      </c>
    </row>
    <row r="139" spans="1:20" ht="15.75" customHeight="1">
      <c r="A139" s="9" t="s">
        <v>2973</v>
      </c>
      <c r="C139" s="9" t="s">
        <v>6236</v>
      </c>
      <c r="D139" s="9" t="s">
        <v>431</v>
      </c>
      <c r="E139" s="9" t="s">
        <v>368</v>
      </c>
      <c r="F139" s="9" t="s">
        <v>436</v>
      </c>
      <c r="G139" s="9" t="s">
        <v>434</v>
      </c>
      <c r="H139" s="87" t="s">
        <v>6237</v>
      </c>
      <c r="I139" s="87" t="s">
        <v>6306</v>
      </c>
      <c r="J139" s="87" t="s">
        <v>6498</v>
      </c>
      <c r="K139" s="87" t="s">
        <v>6240</v>
      </c>
      <c r="L139" s="87" t="s">
        <v>6540</v>
      </c>
      <c r="M139" s="9" t="s">
        <v>6499</v>
      </c>
      <c r="N139" s="87" t="s">
        <v>6498</v>
      </c>
      <c r="O139" s="9" t="s">
        <v>6243</v>
      </c>
      <c r="P139" s="87" t="s">
        <v>4019</v>
      </c>
      <c r="Q139" s="87" t="s">
        <v>6306</v>
      </c>
      <c r="R139" s="87" t="s">
        <v>6244</v>
      </c>
      <c r="S139" s="87" t="s">
        <v>6500</v>
      </c>
      <c r="T139" s="59">
        <f t="shared" si="0"/>
        <v>45068</v>
      </c>
    </row>
    <row r="140" spans="1:20" ht="15.75" customHeight="1">
      <c r="A140" s="9" t="s">
        <v>2900</v>
      </c>
      <c r="C140" s="9" t="s">
        <v>6236</v>
      </c>
      <c r="D140" s="9" t="s">
        <v>431</v>
      </c>
      <c r="E140" s="9" t="s">
        <v>368</v>
      </c>
      <c r="F140" s="9" t="s">
        <v>436</v>
      </c>
      <c r="G140" s="9" t="s">
        <v>434</v>
      </c>
      <c r="H140" s="87" t="s">
        <v>6237</v>
      </c>
      <c r="I140" s="87" t="s">
        <v>6305</v>
      </c>
      <c r="J140" s="87" t="s">
        <v>6401</v>
      </c>
      <c r="K140" s="87" t="s">
        <v>6240</v>
      </c>
      <c r="L140" s="87" t="s">
        <v>6548</v>
      </c>
      <c r="M140" s="9" t="s">
        <v>6549</v>
      </c>
      <c r="N140" s="87" t="s">
        <v>6401</v>
      </c>
      <c r="O140" s="9" t="s">
        <v>6243</v>
      </c>
      <c r="P140" s="87" t="s">
        <v>6403</v>
      </c>
      <c r="Q140" s="87" t="s">
        <v>6305</v>
      </c>
      <c r="R140" s="87" t="s">
        <v>6479</v>
      </c>
      <c r="S140" s="87" t="s">
        <v>6245</v>
      </c>
      <c r="T140" s="59">
        <f t="shared" si="0"/>
        <v>45067</v>
      </c>
    </row>
    <row r="141" spans="1:20" ht="15.75" customHeight="1">
      <c r="A141" s="9" t="s">
        <v>3010</v>
      </c>
      <c r="C141" s="9" t="s">
        <v>6236</v>
      </c>
      <c r="D141" s="9" t="s">
        <v>431</v>
      </c>
      <c r="E141" s="9" t="s">
        <v>368</v>
      </c>
      <c r="F141" s="9" t="s">
        <v>436</v>
      </c>
      <c r="G141" s="9" t="s">
        <v>434</v>
      </c>
      <c r="H141" s="87" t="s">
        <v>6237</v>
      </c>
      <c r="I141" s="87" t="s">
        <v>6299</v>
      </c>
      <c r="J141" s="87" t="s">
        <v>6329</v>
      </c>
      <c r="K141" s="87" t="s">
        <v>6240</v>
      </c>
      <c r="L141" s="87" t="s">
        <v>6548</v>
      </c>
      <c r="M141" s="9" t="s">
        <v>6550</v>
      </c>
      <c r="N141" s="87" t="s">
        <v>6329</v>
      </c>
      <c r="O141" s="9" t="s">
        <v>6243</v>
      </c>
      <c r="P141" s="87" t="s">
        <v>6448</v>
      </c>
      <c r="Q141" s="87" t="s">
        <v>6299</v>
      </c>
      <c r="R141" s="87" t="s">
        <v>6244</v>
      </c>
      <c r="S141" s="87" t="s">
        <v>6367</v>
      </c>
      <c r="T141" s="59">
        <f t="shared" si="0"/>
        <v>45067</v>
      </c>
    </row>
    <row r="142" spans="1:20" ht="15.75" customHeight="1">
      <c r="A142" s="9" t="s">
        <v>2953</v>
      </c>
      <c r="C142" s="9" t="s">
        <v>6236</v>
      </c>
      <c r="D142" s="9" t="s">
        <v>431</v>
      </c>
      <c r="E142" s="9" t="s">
        <v>368</v>
      </c>
      <c r="F142" s="9" t="s">
        <v>436</v>
      </c>
      <c r="G142" s="9" t="s">
        <v>434</v>
      </c>
      <c r="H142" s="87" t="s">
        <v>6237</v>
      </c>
      <c r="I142" s="87" t="s">
        <v>6295</v>
      </c>
      <c r="J142" s="87" t="s">
        <v>6295</v>
      </c>
      <c r="K142" s="87" t="s">
        <v>6240</v>
      </c>
      <c r="L142" s="87" t="s">
        <v>6551</v>
      </c>
      <c r="M142" s="9" t="s">
        <v>6552</v>
      </c>
      <c r="N142" s="87" t="s">
        <v>6295</v>
      </c>
      <c r="O142" s="9" t="s">
        <v>6243</v>
      </c>
      <c r="P142" s="87" t="s">
        <v>6372</v>
      </c>
      <c r="Q142" s="87" t="s">
        <v>6295</v>
      </c>
      <c r="R142" s="87" t="s">
        <v>6263</v>
      </c>
      <c r="S142" s="87" t="s">
        <v>6294</v>
      </c>
      <c r="T142" s="59">
        <f t="shared" si="0"/>
        <v>45066</v>
      </c>
    </row>
    <row r="143" spans="1:20" ht="15.75" customHeight="1">
      <c r="A143" s="9" t="s">
        <v>2951</v>
      </c>
      <c r="C143" s="9" t="s">
        <v>6236</v>
      </c>
      <c r="D143" s="9" t="s">
        <v>431</v>
      </c>
      <c r="E143" s="9" t="s">
        <v>368</v>
      </c>
      <c r="F143" s="9" t="s">
        <v>436</v>
      </c>
      <c r="G143" s="9" t="s">
        <v>434</v>
      </c>
      <c r="H143" s="87" t="s">
        <v>6237</v>
      </c>
      <c r="I143" s="87" t="s">
        <v>6238</v>
      </c>
      <c r="J143" s="87" t="s">
        <v>6414</v>
      </c>
      <c r="K143" s="87" t="s">
        <v>6240</v>
      </c>
      <c r="L143" s="87" t="s">
        <v>6551</v>
      </c>
      <c r="M143" s="9" t="s">
        <v>6553</v>
      </c>
      <c r="N143" s="87" t="s">
        <v>6414</v>
      </c>
      <c r="O143" s="9" t="s">
        <v>6243</v>
      </c>
      <c r="P143" s="87" t="s">
        <v>6416</v>
      </c>
      <c r="Q143" s="87" t="s">
        <v>6238</v>
      </c>
      <c r="R143" s="87" t="s">
        <v>6299</v>
      </c>
      <c r="S143" s="87" t="s">
        <v>6245</v>
      </c>
      <c r="T143" s="59">
        <f t="shared" si="0"/>
        <v>45066</v>
      </c>
    </row>
    <row r="144" spans="1:20" ht="15.75" customHeight="1">
      <c r="A144" s="9" t="s">
        <v>2900</v>
      </c>
      <c r="C144" s="9" t="s">
        <v>6236</v>
      </c>
      <c r="D144" s="9" t="s">
        <v>431</v>
      </c>
      <c r="E144" s="9" t="s">
        <v>368</v>
      </c>
      <c r="F144" s="9" t="s">
        <v>436</v>
      </c>
      <c r="G144" s="9" t="s">
        <v>434</v>
      </c>
      <c r="H144" s="87" t="s">
        <v>6237</v>
      </c>
      <c r="I144" s="87" t="s">
        <v>6305</v>
      </c>
      <c r="J144" s="87" t="s">
        <v>6376</v>
      </c>
      <c r="K144" s="87" t="s">
        <v>6240</v>
      </c>
      <c r="L144" s="87" t="s">
        <v>6551</v>
      </c>
      <c r="M144" s="9" t="s">
        <v>6554</v>
      </c>
      <c r="N144" s="87" t="s">
        <v>6376</v>
      </c>
      <c r="O144" s="9" t="s">
        <v>6243</v>
      </c>
      <c r="P144" s="87" t="s">
        <v>6379</v>
      </c>
      <c r="Q144" s="87" t="s">
        <v>6305</v>
      </c>
      <c r="R144" s="87" t="s">
        <v>6244</v>
      </c>
      <c r="S144" s="87" t="s">
        <v>6555</v>
      </c>
      <c r="T144" s="59">
        <f t="shared" si="0"/>
        <v>45066</v>
      </c>
    </row>
    <row r="145" spans="1:20" ht="15.75" customHeight="1">
      <c r="A145" s="9" t="s">
        <v>2951</v>
      </c>
      <c r="C145" s="9" t="s">
        <v>6236</v>
      </c>
      <c r="D145" s="9" t="s">
        <v>431</v>
      </c>
      <c r="E145" s="9" t="s">
        <v>368</v>
      </c>
      <c r="F145" s="9" t="s">
        <v>436</v>
      </c>
      <c r="G145" s="9" t="s">
        <v>434</v>
      </c>
      <c r="H145" s="87" t="s">
        <v>6237</v>
      </c>
      <c r="I145" s="87" t="s">
        <v>6238</v>
      </c>
      <c r="J145" s="87" t="s">
        <v>6239</v>
      </c>
      <c r="K145" s="87" t="s">
        <v>6240</v>
      </c>
      <c r="L145" s="87" t="s">
        <v>6556</v>
      </c>
      <c r="M145" s="9" t="s">
        <v>6242</v>
      </c>
      <c r="N145" s="87" t="s">
        <v>6239</v>
      </c>
      <c r="O145" s="9" t="s">
        <v>6243</v>
      </c>
      <c r="P145" s="87" t="s">
        <v>3764</v>
      </c>
      <c r="Q145" s="87" t="s">
        <v>6238</v>
      </c>
      <c r="R145" s="87" t="s">
        <v>6244</v>
      </c>
      <c r="S145" s="87" t="s">
        <v>6245</v>
      </c>
      <c r="T145" s="59">
        <f t="shared" si="0"/>
        <v>45065</v>
      </c>
    </row>
    <row r="146" spans="1:20" ht="15.75" customHeight="1">
      <c r="A146" s="9" t="s">
        <v>2920</v>
      </c>
      <c r="C146" s="9" t="s">
        <v>6236</v>
      </c>
      <c r="D146" s="9" t="s">
        <v>431</v>
      </c>
      <c r="E146" s="9" t="s">
        <v>368</v>
      </c>
      <c r="F146" s="9" t="s">
        <v>436</v>
      </c>
      <c r="G146" s="9" t="s">
        <v>434</v>
      </c>
      <c r="H146" s="87" t="s">
        <v>6237</v>
      </c>
      <c r="I146" s="87" t="s">
        <v>6299</v>
      </c>
      <c r="J146" s="87" t="s">
        <v>6280</v>
      </c>
      <c r="K146" s="87" t="s">
        <v>6240</v>
      </c>
      <c r="L146" s="87" t="s">
        <v>6557</v>
      </c>
      <c r="M146" s="9" t="s">
        <v>6558</v>
      </c>
      <c r="N146" s="87" t="s">
        <v>6280</v>
      </c>
      <c r="O146" s="9" t="s">
        <v>6243</v>
      </c>
      <c r="P146" s="87" t="s">
        <v>6283</v>
      </c>
      <c r="Q146" s="87" t="s">
        <v>6299</v>
      </c>
      <c r="R146" s="87" t="s">
        <v>6330</v>
      </c>
      <c r="S146" s="87" t="s">
        <v>6245</v>
      </c>
      <c r="T146" s="59">
        <f t="shared" si="0"/>
        <v>45064</v>
      </c>
    </row>
    <row r="147" spans="1:20" ht="15.75" customHeight="1">
      <c r="A147" s="9" t="s">
        <v>2951</v>
      </c>
      <c r="C147" s="9" t="s">
        <v>6236</v>
      </c>
      <c r="D147" s="9" t="s">
        <v>431</v>
      </c>
      <c r="E147" s="9" t="s">
        <v>368</v>
      </c>
      <c r="F147" s="9" t="s">
        <v>436</v>
      </c>
      <c r="G147" s="9" t="s">
        <v>434</v>
      </c>
      <c r="H147" s="87" t="s">
        <v>6237</v>
      </c>
      <c r="I147" s="87" t="s">
        <v>6238</v>
      </c>
      <c r="J147" s="87" t="s">
        <v>6251</v>
      </c>
      <c r="K147" s="87" t="s">
        <v>6240</v>
      </c>
      <c r="L147" s="87" t="s">
        <v>6557</v>
      </c>
      <c r="M147" s="9" t="s">
        <v>6559</v>
      </c>
      <c r="N147" s="87" t="s">
        <v>6251</v>
      </c>
      <c r="O147" s="9" t="s">
        <v>6243</v>
      </c>
      <c r="P147" s="87" t="s">
        <v>6254</v>
      </c>
      <c r="Q147" s="87" t="s">
        <v>6238</v>
      </c>
      <c r="R147" s="87" t="s">
        <v>6244</v>
      </c>
      <c r="S147" s="87" t="s">
        <v>6560</v>
      </c>
      <c r="T147" s="59">
        <f t="shared" si="0"/>
        <v>45064</v>
      </c>
    </row>
    <row r="148" spans="1:20" ht="15.75" customHeight="1">
      <c r="A148" s="9" t="s">
        <v>2893</v>
      </c>
      <c r="C148" s="9" t="s">
        <v>6236</v>
      </c>
      <c r="D148" s="9" t="s">
        <v>431</v>
      </c>
      <c r="E148" s="9" t="s">
        <v>368</v>
      </c>
      <c r="F148" s="9" t="s">
        <v>436</v>
      </c>
      <c r="G148" s="9" t="s">
        <v>434</v>
      </c>
      <c r="H148" s="87" t="s">
        <v>6264</v>
      </c>
      <c r="I148" s="87" t="s">
        <v>6392</v>
      </c>
      <c r="J148" s="87" t="s">
        <v>6392</v>
      </c>
      <c r="K148" s="87" t="s">
        <v>6240</v>
      </c>
      <c r="L148" s="87" t="s">
        <v>6557</v>
      </c>
      <c r="M148" s="9" t="s">
        <v>6561</v>
      </c>
      <c r="N148" s="87" t="s">
        <v>6392</v>
      </c>
      <c r="O148" s="9" t="s">
        <v>6243</v>
      </c>
      <c r="P148" s="87" t="s">
        <v>3236</v>
      </c>
      <c r="Q148" s="87" t="s">
        <v>6392</v>
      </c>
      <c r="R148" s="87" t="s">
        <v>6562</v>
      </c>
      <c r="S148" s="87" t="s">
        <v>6361</v>
      </c>
      <c r="T148" s="59">
        <f t="shared" si="0"/>
        <v>45064</v>
      </c>
    </row>
    <row r="149" spans="1:20" ht="15.75" customHeight="1">
      <c r="A149" s="9" t="s">
        <v>2891</v>
      </c>
      <c r="C149" s="9" t="s">
        <v>6236</v>
      </c>
      <c r="D149" s="9" t="s">
        <v>431</v>
      </c>
      <c r="E149" s="9" t="s">
        <v>368</v>
      </c>
      <c r="F149" s="9" t="s">
        <v>436</v>
      </c>
      <c r="G149" s="9" t="s">
        <v>434</v>
      </c>
      <c r="H149" s="87" t="s">
        <v>6237</v>
      </c>
      <c r="I149" s="87" t="s">
        <v>6245</v>
      </c>
      <c r="J149" s="87" t="s">
        <v>6290</v>
      </c>
      <c r="K149" s="87" t="s">
        <v>6240</v>
      </c>
      <c r="L149" s="87" t="s">
        <v>6563</v>
      </c>
      <c r="M149" s="9" t="s">
        <v>6328</v>
      </c>
      <c r="N149" s="87" t="s">
        <v>6290</v>
      </c>
      <c r="O149" s="9" t="s">
        <v>6243</v>
      </c>
      <c r="P149" s="87" t="s">
        <v>6293</v>
      </c>
      <c r="Q149" s="87" t="s">
        <v>6245</v>
      </c>
      <c r="R149" s="87" t="s">
        <v>6329</v>
      </c>
      <c r="S149" s="87" t="s">
        <v>6245</v>
      </c>
      <c r="T149" s="59">
        <f t="shared" si="0"/>
        <v>45063</v>
      </c>
    </row>
    <row r="150" spans="1:20" ht="15.75" customHeight="1">
      <c r="A150" s="9" t="s">
        <v>2920</v>
      </c>
      <c r="C150" s="9" t="s">
        <v>6236</v>
      </c>
      <c r="D150" s="9" t="s">
        <v>431</v>
      </c>
      <c r="E150" s="9" t="s">
        <v>368</v>
      </c>
      <c r="F150" s="9" t="s">
        <v>436</v>
      </c>
      <c r="G150" s="9" t="s">
        <v>434</v>
      </c>
      <c r="H150" s="87" t="s">
        <v>6237</v>
      </c>
      <c r="I150" s="87" t="s">
        <v>6299</v>
      </c>
      <c r="J150" s="87" t="s">
        <v>6435</v>
      </c>
      <c r="K150" s="87" t="s">
        <v>6240</v>
      </c>
      <c r="L150" s="87" t="s">
        <v>6563</v>
      </c>
      <c r="M150" s="9" t="s">
        <v>6436</v>
      </c>
      <c r="N150" s="87" t="s">
        <v>6435</v>
      </c>
      <c r="O150" s="9" t="s">
        <v>6243</v>
      </c>
      <c r="P150" s="87" t="s">
        <v>6250</v>
      </c>
      <c r="Q150" s="87" t="s">
        <v>6299</v>
      </c>
      <c r="R150" s="87" t="s">
        <v>6244</v>
      </c>
      <c r="S150" s="87" t="s">
        <v>6437</v>
      </c>
      <c r="T150" s="59">
        <f t="shared" si="0"/>
        <v>45063</v>
      </c>
    </row>
    <row r="151" spans="1:20" ht="15.75" customHeight="1">
      <c r="A151" s="9" t="s">
        <v>3028</v>
      </c>
      <c r="C151" s="9" t="s">
        <v>6236</v>
      </c>
      <c r="D151" s="9" t="s">
        <v>431</v>
      </c>
      <c r="E151" s="9" t="s">
        <v>368</v>
      </c>
      <c r="F151" s="9" t="s">
        <v>436</v>
      </c>
      <c r="G151" s="9" t="s">
        <v>434</v>
      </c>
      <c r="H151" s="87" t="s">
        <v>6237</v>
      </c>
      <c r="I151" s="87" t="s">
        <v>6357</v>
      </c>
      <c r="J151" s="87" t="s">
        <v>6357</v>
      </c>
      <c r="K151" s="87" t="s">
        <v>6240</v>
      </c>
      <c r="L151" s="87" t="s">
        <v>6563</v>
      </c>
      <c r="M151" s="9" t="s">
        <v>6564</v>
      </c>
      <c r="N151" s="87" t="s">
        <v>6357</v>
      </c>
      <c r="O151" s="9" t="s">
        <v>6243</v>
      </c>
      <c r="P151" s="87" t="s">
        <v>6565</v>
      </c>
      <c r="Q151" s="87" t="s">
        <v>6357</v>
      </c>
      <c r="R151" s="87" t="s">
        <v>6439</v>
      </c>
      <c r="S151" s="87" t="s">
        <v>6323</v>
      </c>
      <c r="T151" s="59">
        <f t="shared" si="0"/>
        <v>45063</v>
      </c>
    </row>
    <row r="152" spans="1:20" ht="15.75" customHeight="1">
      <c r="A152" s="9" t="s">
        <v>2891</v>
      </c>
      <c r="C152" s="9" t="s">
        <v>6236</v>
      </c>
      <c r="D152" s="9" t="s">
        <v>431</v>
      </c>
      <c r="E152" s="9" t="s">
        <v>368</v>
      </c>
      <c r="F152" s="9" t="s">
        <v>436</v>
      </c>
      <c r="G152" s="9" t="s">
        <v>434</v>
      </c>
      <c r="H152" s="87" t="s">
        <v>6237</v>
      </c>
      <c r="I152" s="87" t="s">
        <v>6245</v>
      </c>
      <c r="J152" s="87" t="s">
        <v>6348</v>
      </c>
      <c r="K152" s="87" t="s">
        <v>6240</v>
      </c>
      <c r="L152" s="87" t="s">
        <v>6566</v>
      </c>
      <c r="M152" s="9" t="s">
        <v>6350</v>
      </c>
      <c r="N152" s="87" t="s">
        <v>6348</v>
      </c>
      <c r="O152" s="9" t="s">
        <v>6243</v>
      </c>
      <c r="P152" s="87" t="s">
        <v>5381</v>
      </c>
      <c r="Q152" s="87" t="s">
        <v>6245</v>
      </c>
      <c r="R152" s="87" t="s">
        <v>6244</v>
      </c>
      <c r="S152" s="87" t="s">
        <v>6351</v>
      </c>
      <c r="T152" s="59">
        <f t="shared" si="0"/>
        <v>45062</v>
      </c>
    </row>
    <row r="153" spans="1:20" ht="15.75" customHeight="1">
      <c r="A153" s="9" t="s">
        <v>3011</v>
      </c>
      <c r="C153" s="9" t="s">
        <v>6236</v>
      </c>
      <c r="D153" s="9" t="s">
        <v>431</v>
      </c>
      <c r="E153" s="9" t="s">
        <v>368</v>
      </c>
      <c r="F153" s="9" t="s">
        <v>436</v>
      </c>
      <c r="G153" s="9" t="s">
        <v>434</v>
      </c>
      <c r="H153" s="87" t="s">
        <v>6237</v>
      </c>
      <c r="I153" s="87" t="s">
        <v>6567</v>
      </c>
      <c r="J153" s="87" t="s">
        <v>6342</v>
      </c>
      <c r="K153" s="87" t="s">
        <v>6240</v>
      </c>
      <c r="L153" s="87" t="s">
        <v>6566</v>
      </c>
      <c r="M153" s="9" t="s">
        <v>6473</v>
      </c>
      <c r="N153" s="87" t="s">
        <v>6342</v>
      </c>
      <c r="O153" s="9" t="s">
        <v>6243</v>
      </c>
      <c r="P153" s="87" t="s">
        <v>6345</v>
      </c>
      <c r="Q153" s="87" t="s">
        <v>6567</v>
      </c>
      <c r="R153" s="87" t="s">
        <v>6474</v>
      </c>
      <c r="S153" s="87" t="s">
        <v>6245</v>
      </c>
      <c r="T153" s="59">
        <f t="shared" si="0"/>
        <v>45062</v>
      </c>
    </row>
    <row r="154" spans="1:20" ht="15.75" customHeight="1">
      <c r="A154" s="9" t="s">
        <v>2911</v>
      </c>
      <c r="C154" s="9" t="s">
        <v>6236</v>
      </c>
      <c r="D154" s="9" t="s">
        <v>431</v>
      </c>
      <c r="E154" s="9" t="s">
        <v>368</v>
      </c>
      <c r="F154" s="9" t="s">
        <v>436</v>
      </c>
      <c r="G154" s="9" t="s">
        <v>434</v>
      </c>
      <c r="H154" s="87" t="s">
        <v>6237</v>
      </c>
      <c r="I154" s="87" t="s">
        <v>6562</v>
      </c>
      <c r="J154" s="87" t="s">
        <v>6486</v>
      </c>
      <c r="K154" s="87" t="s">
        <v>6240</v>
      </c>
      <c r="L154" s="87" t="s">
        <v>6568</v>
      </c>
      <c r="M154" s="9" t="s">
        <v>6569</v>
      </c>
      <c r="N154" s="87" t="s">
        <v>6486</v>
      </c>
      <c r="O154" s="9" t="s">
        <v>6243</v>
      </c>
      <c r="P154" s="87" t="s">
        <v>5079</v>
      </c>
      <c r="Q154" s="87" t="s">
        <v>6562</v>
      </c>
      <c r="R154" s="87" t="s">
        <v>6326</v>
      </c>
      <c r="S154" s="87" t="s">
        <v>6245</v>
      </c>
      <c r="T154" s="59">
        <f t="shared" si="0"/>
        <v>45061</v>
      </c>
    </row>
    <row r="155" spans="1:20" ht="15.75" customHeight="1">
      <c r="A155" s="9" t="s">
        <v>3011</v>
      </c>
      <c r="C155" s="9" t="s">
        <v>6236</v>
      </c>
      <c r="D155" s="9" t="s">
        <v>431</v>
      </c>
      <c r="E155" s="9" t="s">
        <v>368</v>
      </c>
      <c r="F155" s="9" t="s">
        <v>436</v>
      </c>
      <c r="G155" s="9" t="s">
        <v>434</v>
      </c>
      <c r="H155" s="87" t="s">
        <v>6237</v>
      </c>
      <c r="I155" s="87" t="s">
        <v>6567</v>
      </c>
      <c r="J155" s="87" t="s">
        <v>6330</v>
      </c>
      <c r="K155" s="87" t="s">
        <v>6240</v>
      </c>
      <c r="L155" s="87" t="s">
        <v>6568</v>
      </c>
      <c r="M155" s="9" t="s">
        <v>6331</v>
      </c>
      <c r="N155" s="87" t="s">
        <v>6330</v>
      </c>
      <c r="O155" s="9" t="s">
        <v>6243</v>
      </c>
      <c r="P155" s="87" t="s">
        <v>6332</v>
      </c>
      <c r="Q155" s="87" t="s">
        <v>6567</v>
      </c>
      <c r="R155" s="87" t="s">
        <v>6244</v>
      </c>
      <c r="S155" s="87" t="s">
        <v>6333</v>
      </c>
      <c r="T155" s="59">
        <f t="shared" si="0"/>
        <v>45061</v>
      </c>
    </row>
    <row r="156" spans="1:20" ht="15.75" customHeight="1">
      <c r="A156" s="9" t="s">
        <v>2894</v>
      </c>
      <c r="C156" s="9" t="s">
        <v>6236</v>
      </c>
      <c r="D156" s="9" t="s">
        <v>431</v>
      </c>
      <c r="E156" s="9" t="s">
        <v>368</v>
      </c>
      <c r="F156" s="9" t="s">
        <v>436</v>
      </c>
      <c r="G156" s="9" t="s">
        <v>434</v>
      </c>
      <c r="H156" s="87" t="s">
        <v>6237</v>
      </c>
      <c r="I156" s="87" t="s">
        <v>6479</v>
      </c>
      <c r="J156" s="87" t="s">
        <v>6570</v>
      </c>
      <c r="K156" s="87" t="s">
        <v>6240</v>
      </c>
      <c r="L156" s="87" t="s">
        <v>6571</v>
      </c>
      <c r="M156" s="9" t="s">
        <v>6572</v>
      </c>
      <c r="N156" s="87" t="s">
        <v>6570</v>
      </c>
      <c r="O156" s="9" t="s">
        <v>6243</v>
      </c>
      <c r="P156" s="87" t="s">
        <v>6573</v>
      </c>
      <c r="Q156" s="87" t="s">
        <v>6479</v>
      </c>
      <c r="R156" s="87" t="s">
        <v>6455</v>
      </c>
      <c r="S156" s="87" t="s">
        <v>6245</v>
      </c>
      <c r="T156" s="59">
        <f t="shared" si="0"/>
        <v>45060</v>
      </c>
    </row>
    <row r="157" spans="1:20" ht="15.75" customHeight="1">
      <c r="A157" s="9" t="s">
        <v>2911</v>
      </c>
      <c r="C157" s="9" t="s">
        <v>6236</v>
      </c>
      <c r="D157" s="9" t="s">
        <v>431</v>
      </c>
      <c r="E157" s="9" t="s">
        <v>368</v>
      </c>
      <c r="F157" s="9" t="s">
        <v>436</v>
      </c>
      <c r="G157" s="9" t="s">
        <v>434</v>
      </c>
      <c r="H157" s="87" t="s">
        <v>6237</v>
      </c>
      <c r="I157" s="87" t="s">
        <v>6562</v>
      </c>
      <c r="J157" s="87" t="s">
        <v>6333</v>
      </c>
      <c r="K157" s="87" t="s">
        <v>6240</v>
      </c>
      <c r="L157" s="87" t="s">
        <v>6571</v>
      </c>
      <c r="M157" s="9" t="s">
        <v>6574</v>
      </c>
      <c r="N157" s="87" t="s">
        <v>6333</v>
      </c>
      <c r="O157" s="9" t="s">
        <v>6243</v>
      </c>
      <c r="P157" s="87" t="s">
        <v>6575</v>
      </c>
      <c r="Q157" s="87" t="s">
        <v>6562</v>
      </c>
      <c r="R157" s="87" t="s">
        <v>6244</v>
      </c>
      <c r="S157" s="87" t="s">
        <v>6330</v>
      </c>
      <c r="T157" s="59">
        <f t="shared" si="0"/>
        <v>45060</v>
      </c>
    </row>
    <row r="158" spans="1:20" ht="15.75" customHeight="1">
      <c r="A158" s="9" t="s">
        <v>2999</v>
      </c>
      <c r="C158" s="9" t="s">
        <v>6236</v>
      </c>
      <c r="D158" s="9" t="s">
        <v>431</v>
      </c>
      <c r="E158" s="9" t="s">
        <v>368</v>
      </c>
      <c r="F158" s="9" t="s">
        <v>436</v>
      </c>
      <c r="G158" s="9" t="s">
        <v>434</v>
      </c>
      <c r="H158" s="87" t="s">
        <v>6237</v>
      </c>
      <c r="I158" s="87" t="s">
        <v>6238</v>
      </c>
      <c r="J158" s="87" t="s">
        <v>6346</v>
      </c>
      <c r="K158" s="87" t="s">
        <v>6240</v>
      </c>
      <c r="L158" s="87" t="s">
        <v>6576</v>
      </c>
      <c r="M158" s="9" t="s">
        <v>6577</v>
      </c>
      <c r="N158" s="87" t="s">
        <v>6346</v>
      </c>
      <c r="O158" s="9" t="s">
        <v>6243</v>
      </c>
      <c r="P158" s="87" t="s">
        <v>6366</v>
      </c>
      <c r="Q158" s="87" t="s">
        <v>6238</v>
      </c>
      <c r="R158" s="87" t="s">
        <v>6322</v>
      </c>
      <c r="S158" s="87" t="s">
        <v>6245</v>
      </c>
      <c r="T158" s="59">
        <f t="shared" si="0"/>
        <v>45059</v>
      </c>
    </row>
    <row r="159" spans="1:20" ht="15.75" customHeight="1">
      <c r="A159" s="9" t="s">
        <v>2894</v>
      </c>
      <c r="C159" s="9" t="s">
        <v>6236</v>
      </c>
      <c r="D159" s="9" t="s">
        <v>431</v>
      </c>
      <c r="E159" s="9" t="s">
        <v>368</v>
      </c>
      <c r="F159" s="9" t="s">
        <v>436</v>
      </c>
      <c r="G159" s="9" t="s">
        <v>434</v>
      </c>
      <c r="H159" s="87" t="s">
        <v>6237</v>
      </c>
      <c r="I159" s="87" t="s">
        <v>6479</v>
      </c>
      <c r="J159" s="87" t="s">
        <v>6430</v>
      </c>
      <c r="K159" s="87" t="s">
        <v>6240</v>
      </c>
      <c r="L159" s="87" t="s">
        <v>6576</v>
      </c>
      <c r="M159" s="9" t="s">
        <v>6578</v>
      </c>
      <c r="N159" s="87" t="s">
        <v>6430</v>
      </c>
      <c r="O159" s="9" t="s">
        <v>6243</v>
      </c>
      <c r="P159" s="87" t="s">
        <v>6579</v>
      </c>
      <c r="Q159" s="87" t="s">
        <v>6479</v>
      </c>
      <c r="R159" s="87" t="s">
        <v>6244</v>
      </c>
      <c r="S159" s="87" t="s">
        <v>6428</v>
      </c>
      <c r="T159" s="59">
        <f t="shared" si="0"/>
        <v>45059</v>
      </c>
    </row>
    <row r="160" spans="1:20" ht="15.75" customHeight="1">
      <c r="A160" s="9" t="s">
        <v>2847</v>
      </c>
      <c r="C160" s="9" t="s">
        <v>6236</v>
      </c>
      <c r="D160" s="9" t="s">
        <v>431</v>
      </c>
      <c r="E160" s="9" t="s">
        <v>368</v>
      </c>
      <c r="F160" s="9" t="s">
        <v>436</v>
      </c>
      <c r="G160" s="9" t="s">
        <v>434</v>
      </c>
      <c r="H160" s="87" t="s">
        <v>6334</v>
      </c>
      <c r="I160" s="87" t="s">
        <v>6580</v>
      </c>
      <c r="J160" s="87" t="s">
        <v>6348</v>
      </c>
      <c r="K160" s="87" t="s">
        <v>6240</v>
      </c>
      <c r="L160" s="87" t="s">
        <v>6581</v>
      </c>
      <c r="M160" s="9" t="s">
        <v>6386</v>
      </c>
      <c r="N160" s="87" t="s">
        <v>6348</v>
      </c>
      <c r="O160" s="9" t="s">
        <v>6243</v>
      </c>
      <c r="P160" s="87" t="s">
        <v>5381</v>
      </c>
      <c r="Q160" s="87" t="s">
        <v>6580</v>
      </c>
      <c r="R160" s="87" t="s">
        <v>6387</v>
      </c>
      <c r="S160" s="87" t="s">
        <v>6245</v>
      </c>
      <c r="T160" s="59">
        <f t="shared" si="0"/>
        <v>45058</v>
      </c>
    </row>
    <row r="161" spans="1:20" ht="15.75" customHeight="1">
      <c r="A161" s="9" t="s">
        <v>2999</v>
      </c>
      <c r="C161" s="9" t="s">
        <v>6236</v>
      </c>
      <c r="D161" s="9" t="s">
        <v>431</v>
      </c>
      <c r="E161" s="9" t="s">
        <v>368</v>
      </c>
      <c r="F161" s="9" t="s">
        <v>436</v>
      </c>
      <c r="G161" s="9" t="s">
        <v>434</v>
      </c>
      <c r="H161" s="87" t="s">
        <v>6237</v>
      </c>
      <c r="I161" s="87" t="s">
        <v>6238</v>
      </c>
      <c r="J161" s="87" t="s">
        <v>6342</v>
      </c>
      <c r="K161" s="87" t="s">
        <v>6240</v>
      </c>
      <c r="L161" s="87" t="s">
        <v>6581</v>
      </c>
      <c r="M161" s="9" t="s">
        <v>6344</v>
      </c>
      <c r="N161" s="87" t="s">
        <v>6342</v>
      </c>
      <c r="O161" s="9" t="s">
        <v>6243</v>
      </c>
      <c r="P161" s="87" t="s">
        <v>6345</v>
      </c>
      <c r="Q161" s="87" t="s">
        <v>6238</v>
      </c>
      <c r="R161" s="87" t="s">
        <v>6244</v>
      </c>
      <c r="S161" s="87" t="s">
        <v>6346</v>
      </c>
      <c r="T161" s="59">
        <f t="shared" si="0"/>
        <v>45058</v>
      </c>
    </row>
    <row r="162" spans="1:20" ht="15.75" customHeight="1">
      <c r="A162" s="9" t="s">
        <v>2847</v>
      </c>
      <c r="C162" s="9" t="s">
        <v>6236</v>
      </c>
      <c r="D162" s="9" t="s">
        <v>431</v>
      </c>
      <c r="E162" s="9" t="s">
        <v>368</v>
      </c>
      <c r="F162" s="9" t="s">
        <v>436</v>
      </c>
      <c r="G162" s="9" t="s">
        <v>434</v>
      </c>
      <c r="H162" s="87" t="s">
        <v>6334</v>
      </c>
      <c r="I162" s="87" t="s">
        <v>6580</v>
      </c>
      <c r="J162" s="87" t="s">
        <v>6239</v>
      </c>
      <c r="K162" s="87" t="s">
        <v>6240</v>
      </c>
      <c r="L162" s="87" t="s">
        <v>6582</v>
      </c>
      <c r="M162" s="9" t="s">
        <v>6242</v>
      </c>
      <c r="N162" s="87" t="s">
        <v>6239</v>
      </c>
      <c r="O162" s="9" t="s">
        <v>6243</v>
      </c>
      <c r="P162" s="87" t="s">
        <v>3764</v>
      </c>
      <c r="Q162" s="87" t="s">
        <v>6580</v>
      </c>
      <c r="R162" s="87" t="s">
        <v>6244</v>
      </c>
      <c r="S162" s="87" t="s">
        <v>6245</v>
      </c>
      <c r="T162" s="59">
        <f t="shared" si="0"/>
        <v>45057</v>
      </c>
    </row>
    <row r="163" spans="1:20" ht="15.75" customHeight="1">
      <c r="A163" s="9" t="s">
        <v>2847</v>
      </c>
      <c r="C163" s="9" t="s">
        <v>6236</v>
      </c>
      <c r="D163" s="9" t="s">
        <v>431</v>
      </c>
      <c r="E163" s="9" t="s">
        <v>368</v>
      </c>
      <c r="F163" s="9" t="s">
        <v>436</v>
      </c>
      <c r="G163" s="9" t="s">
        <v>434</v>
      </c>
      <c r="H163" s="87" t="s">
        <v>6334</v>
      </c>
      <c r="I163" s="87" t="s">
        <v>6580</v>
      </c>
      <c r="J163" s="87" t="s">
        <v>6239</v>
      </c>
      <c r="K163" s="87" t="s">
        <v>6240</v>
      </c>
      <c r="L163" s="87" t="s">
        <v>6583</v>
      </c>
      <c r="M163" s="9" t="s">
        <v>6242</v>
      </c>
      <c r="N163" s="87" t="s">
        <v>6239</v>
      </c>
      <c r="O163" s="9" t="s">
        <v>6243</v>
      </c>
      <c r="P163" s="87" t="s">
        <v>3764</v>
      </c>
      <c r="Q163" s="87" t="s">
        <v>6580</v>
      </c>
      <c r="R163" s="87" t="s">
        <v>6244</v>
      </c>
      <c r="S163" s="87" t="s">
        <v>6245</v>
      </c>
      <c r="T163" s="59">
        <f t="shared" si="0"/>
        <v>45056</v>
      </c>
    </row>
    <row r="164" spans="1:20" ht="15.75" customHeight="1">
      <c r="A164" s="9" t="s">
        <v>2847</v>
      </c>
      <c r="C164" s="9" t="s">
        <v>6236</v>
      </c>
      <c r="D164" s="9" t="s">
        <v>431</v>
      </c>
      <c r="E164" s="9" t="s">
        <v>368</v>
      </c>
      <c r="F164" s="9" t="s">
        <v>436</v>
      </c>
      <c r="G164" s="9" t="s">
        <v>434</v>
      </c>
      <c r="H164" s="87" t="s">
        <v>6334</v>
      </c>
      <c r="I164" s="87" t="s">
        <v>6580</v>
      </c>
      <c r="J164" s="87" t="s">
        <v>6239</v>
      </c>
      <c r="K164" s="87" t="s">
        <v>6240</v>
      </c>
      <c r="L164" s="87" t="s">
        <v>6584</v>
      </c>
      <c r="M164" s="9" t="s">
        <v>6242</v>
      </c>
      <c r="N164" s="87" t="s">
        <v>6239</v>
      </c>
      <c r="O164" s="9" t="s">
        <v>6243</v>
      </c>
      <c r="P164" s="87" t="s">
        <v>3764</v>
      </c>
      <c r="Q164" s="87" t="s">
        <v>6580</v>
      </c>
      <c r="R164" s="87" t="s">
        <v>6244</v>
      </c>
      <c r="S164" s="87" t="s">
        <v>6245</v>
      </c>
      <c r="T164" s="59">
        <f t="shared" si="0"/>
        <v>45055</v>
      </c>
    </row>
    <row r="165" spans="1:20" ht="15.75" customHeight="1">
      <c r="A165" s="9" t="s">
        <v>2902</v>
      </c>
      <c r="C165" s="9" t="s">
        <v>6236</v>
      </c>
      <c r="D165" s="9" t="s">
        <v>431</v>
      </c>
      <c r="E165" s="9" t="s">
        <v>368</v>
      </c>
      <c r="F165" s="9" t="s">
        <v>436</v>
      </c>
      <c r="G165" s="9" t="s">
        <v>434</v>
      </c>
      <c r="H165" s="87" t="s">
        <v>6264</v>
      </c>
      <c r="I165" s="87" t="s">
        <v>6239</v>
      </c>
      <c r="J165" s="87" t="s">
        <v>5381</v>
      </c>
      <c r="K165" s="87" t="s">
        <v>6240</v>
      </c>
      <c r="L165" s="87" t="s">
        <v>6585</v>
      </c>
      <c r="M165" s="9" t="s">
        <v>6266</v>
      </c>
      <c r="N165" s="87" t="s">
        <v>5381</v>
      </c>
      <c r="O165" s="9" t="s">
        <v>6243</v>
      </c>
      <c r="P165" s="87" t="s">
        <v>4081</v>
      </c>
      <c r="Q165" s="87" t="s">
        <v>6239</v>
      </c>
      <c r="R165" s="87" t="s">
        <v>6267</v>
      </c>
      <c r="S165" s="87" t="s">
        <v>6245</v>
      </c>
      <c r="T165" s="59">
        <f t="shared" si="0"/>
        <v>45054</v>
      </c>
    </row>
    <row r="166" spans="1:20" ht="15.75" customHeight="1">
      <c r="A166" s="9" t="s">
        <v>2847</v>
      </c>
      <c r="C166" s="9" t="s">
        <v>6236</v>
      </c>
      <c r="D166" s="9" t="s">
        <v>431</v>
      </c>
      <c r="E166" s="9" t="s">
        <v>368</v>
      </c>
      <c r="F166" s="9" t="s">
        <v>436</v>
      </c>
      <c r="G166" s="9" t="s">
        <v>434</v>
      </c>
      <c r="H166" s="87" t="s">
        <v>6334</v>
      </c>
      <c r="I166" s="87" t="s">
        <v>6580</v>
      </c>
      <c r="J166" s="87" t="s">
        <v>6268</v>
      </c>
      <c r="K166" s="87" t="s">
        <v>6240</v>
      </c>
      <c r="L166" s="87" t="s">
        <v>6585</v>
      </c>
      <c r="M166" s="9" t="s">
        <v>6269</v>
      </c>
      <c r="N166" s="87" t="s">
        <v>6268</v>
      </c>
      <c r="O166" s="9" t="s">
        <v>6243</v>
      </c>
      <c r="P166" s="87" t="s">
        <v>6270</v>
      </c>
      <c r="Q166" s="87" t="s">
        <v>6580</v>
      </c>
      <c r="R166" s="87" t="s">
        <v>6244</v>
      </c>
      <c r="S166" s="87" t="s">
        <v>6271</v>
      </c>
      <c r="T166" s="59">
        <f t="shared" si="0"/>
        <v>45054</v>
      </c>
    </row>
    <row r="167" spans="1:20" ht="15.75" customHeight="1">
      <c r="A167" s="9" t="s">
        <v>2899</v>
      </c>
      <c r="C167" s="9" t="s">
        <v>6236</v>
      </c>
      <c r="D167" s="9" t="s">
        <v>431</v>
      </c>
      <c r="E167" s="9" t="s">
        <v>368</v>
      </c>
      <c r="F167" s="9" t="s">
        <v>436</v>
      </c>
      <c r="G167" s="9" t="s">
        <v>434</v>
      </c>
      <c r="H167" s="87" t="s">
        <v>6237</v>
      </c>
      <c r="I167" s="87" t="s">
        <v>6299</v>
      </c>
      <c r="J167" s="87" t="s">
        <v>6299</v>
      </c>
      <c r="K167" s="87" t="s">
        <v>6240</v>
      </c>
      <c r="L167" s="87" t="s">
        <v>6586</v>
      </c>
      <c r="M167" s="9" t="s">
        <v>6587</v>
      </c>
      <c r="N167" s="87" t="s">
        <v>6299</v>
      </c>
      <c r="O167" s="9" t="s">
        <v>6243</v>
      </c>
      <c r="P167" s="87" t="s">
        <v>3231</v>
      </c>
      <c r="Q167" s="87" t="s">
        <v>6299</v>
      </c>
      <c r="R167" s="87" t="s">
        <v>6267</v>
      </c>
      <c r="S167" s="87" t="s">
        <v>6409</v>
      </c>
      <c r="T167" s="59">
        <f t="shared" si="0"/>
        <v>45053</v>
      </c>
    </row>
    <row r="168" spans="1:20" ht="15.75" customHeight="1">
      <c r="A168" s="9" t="s">
        <v>2991</v>
      </c>
      <c r="C168" s="9" t="s">
        <v>6236</v>
      </c>
      <c r="D168" s="9" t="s">
        <v>431</v>
      </c>
      <c r="E168" s="9" t="s">
        <v>368</v>
      </c>
      <c r="F168" s="9" t="s">
        <v>436</v>
      </c>
      <c r="G168" s="9" t="s">
        <v>434</v>
      </c>
      <c r="H168" s="87" t="s">
        <v>6237</v>
      </c>
      <c r="I168" s="87" t="s">
        <v>6565</v>
      </c>
      <c r="J168" s="87" t="s">
        <v>6255</v>
      </c>
      <c r="K168" s="87" t="s">
        <v>6240</v>
      </c>
      <c r="L168" s="87" t="s">
        <v>6586</v>
      </c>
      <c r="M168" s="9" t="s">
        <v>6588</v>
      </c>
      <c r="N168" s="87" t="s">
        <v>6255</v>
      </c>
      <c r="O168" s="9" t="s">
        <v>6243</v>
      </c>
      <c r="P168" s="87" t="s">
        <v>4947</v>
      </c>
      <c r="Q168" s="87" t="s">
        <v>6565</v>
      </c>
      <c r="R168" s="87" t="s">
        <v>6361</v>
      </c>
      <c r="S168" s="87" t="s">
        <v>6245</v>
      </c>
      <c r="T168" s="59">
        <f t="shared" si="0"/>
        <v>45053</v>
      </c>
    </row>
    <row r="169" spans="1:20" ht="15.75" customHeight="1">
      <c r="A169" s="9" t="s">
        <v>2902</v>
      </c>
      <c r="C169" s="9" t="s">
        <v>6236</v>
      </c>
      <c r="D169" s="9" t="s">
        <v>431</v>
      </c>
      <c r="E169" s="9" t="s">
        <v>368</v>
      </c>
      <c r="F169" s="9" t="s">
        <v>436</v>
      </c>
      <c r="G169" s="9" t="s">
        <v>434</v>
      </c>
      <c r="H169" s="87" t="s">
        <v>6264</v>
      </c>
      <c r="I169" s="87" t="s">
        <v>6239</v>
      </c>
      <c r="J169" s="87" t="s">
        <v>6268</v>
      </c>
      <c r="K169" s="87" t="s">
        <v>6240</v>
      </c>
      <c r="L169" s="87" t="s">
        <v>6586</v>
      </c>
      <c r="M169" s="9" t="s">
        <v>6269</v>
      </c>
      <c r="N169" s="87" t="s">
        <v>6268</v>
      </c>
      <c r="O169" s="9" t="s">
        <v>6243</v>
      </c>
      <c r="P169" s="87" t="s">
        <v>6270</v>
      </c>
      <c r="Q169" s="87" t="s">
        <v>6239</v>
      </c>
      <c r="R169" s="87" t="s">
        <v>6244</v>
      </c>
      <c r="S169" s="87" t="s">
        <v>6271</v>
      </c>
      <c r="T169" s="59">
        <f t="shared" si="0"/>
        <v>45053</v>
      </c>
    </row>
    <row r="170" spans="1:20" ht="15.75" customHeight="1">
      <c r="A170" s="9" t="s">
        <v>2991</v>
      </c>
      <c r="C170" s="9" t="s">
        <v>6236</v>
      </c>
      <c r="D170" s="9" t="s">
        <v>431</v>
      </c>
      <c r="E170" s="9" t="s">
        <v>368</v>
      </c>
      <c r="F170" s="9" t="s">
        <v>436</v>
      </c>
      <c r="G170" s="9" t="s">
        <v>434</v>
      </c>
      <c r="H170" s="87" t="s">
        <v>6237</v>
      </c>
      <c r="I170" s="87" t="s">
        <v>6565</v>
      </c>
      <c r="J170" s="87" t="s">
        <v>6239</v>
      </c>
      <c r="K170" s="87" t="s">
        <v>6240</v>
      </c>
      <c r="L170" s="87" t="s">
        <v>6589</v>
      </c>
      <c r="M170" s="9" t="s">
        <v>6242</v>
      </c>
      <c r="N170" s="87" t="s">
        <v>6239</v>
      </c>
      <c r="O170" s="9" t="s">
        <v>6243</v>
      </c>
      <c r="P170" s="87" t="s">
        <v>3764</v>
      </c>
      <c r="Q170" s="87" t="s">
        <v>6565</v>
      </c>
      <c r="R170" s="87" t="s">
        <v>6244</v>
      </c>
      <c r="S170" s="87" t="s">
        <v>6245</v>
      </c>
      <c r="T170" s="59">
        <f t="shared" si="0"/>
        <v>45052</v>
      </c>
    </row>
    <row r="171" spans="1:20" ht="15.75" customHeight="1">
      <c r="A171" s="9" t="s">
        <v>2991</v>
      </c>
      <c r="C171" s="9" t="s">
        <v>6236</v>
      </c>
      <c r="D171" s="9" t="s">
        <v>431</v>
      </c>
      <c r="E171" s="9" t="s">
        <v>368</v>
      </c>
      <c r="F171" s="9" t="s">
        <v>436</v>
      </c>
      <c r="G171" s="9" t="s">
        <v>434</v>
      </c>
      <c r="H171" s="87" t="s">
        <v>6237</v>
      </c>
      <c r="I171" s="87" t="s">
        <v>6565</v>
      </c>
      <c r="J171" s="87" t="s">
        <v>6239</v>
      </c>
      <c r="K171" s="87" t="s">
        <v>6240</v>
      </c>
      <c r="L171" s="87" t="s">
        <v>6590</v>
      </c>
      <c r="M171" s="9" t="s">
        <v>6242</v>
      </c>
      <c r="N171" s="87" t="s">
        <v>6239</v>
      </c>
      <c r="O171" s="9" t="s">
        <v>6243</v>
      </c>
      <c r="P171" s="87" t="s">
        <v>3764</v>
      </c>
      <c r="Q171" s="87" t="s">
        <v>6565</v>
      </c>
      <c r="R171" s="87" t="s">
        <v>6244</v>
      </c>
      <c r="S171" s="87" t="s">
        <v>6245</v>
      </c>
      <c r="T171" s="59">
        <f t="shared" si="0"/>
        <v>45051</v>
      </c>
    </row>
    <row r="172" spans="1:20" ht="15.75" customHeight="1">
      <c r="A172" s="9" t="s">
        <v>2991</v>
      </c>
      <c r="C172" s="9" t="s">
        <v>6236</v>
      </c>
      <c r="D172" s="9" t="s">
        <v>431</v>
      </c>
      <c r="E172" s="9" t="s">
        <v>368</v>
      </c>
      <c r="F172" s="9" t="s">
        <v>436</v>
      </c>
      <c r="G172" s="9" t="s">
        <v>434</v>
      </c>
      <c r="H172" s="87" t="s">
        <v>6237</v>
      </c>
      <c r="I172" s="87" t="s">
        <v>6565</v>
      </c>
      <c r="J172" s="87" t="s">
        <v>6239</v>
      </c>
      <c r="K172" s="87" t="s">
        <v>6240</v>
      </c>
      <c r="L172" s="87" t="s">
        <v>6591</v>
      </c>
      <c r="M172" s="9" t="s">
        <v>6242</v>
      </c>
      <c r="N172" s="87" t="s">
        <v>6239</v>
      </c>
      <c r="O172" s="9" t="s">
        <v>6243</v>
      </c>
      <c r="P172" s="87" t="s">
        <v>3764</v>
      </c>
      <c r="Q172" s="87" t="s">
        <v>6565</v>
      </c>
      <c r="R172" s="87" t="s">
        <v>6244</v>
      </c>
      <c r="S172" s="87" t="s">
        <v>6245</v>
      </c>
      <c r="T172" s="59">
        <f t="shared" si="0"/>
        <v>45050</v>
      </c>
    </row>
    <row r="173" spans="1:20" ht="15.75" customHeight="1">
      <c r="A173" s="9" t="s">
        <v>3025</v>
      </c>
      <c r="C173" s="9" t="s">
        <v>6236</v>
      </c>
      <c r="D173" s="9" t="s">
        <v>431</v>
      </c>
      <c r="E173" s="9" t="s">
        <v>368</v>
      </c>
      <c r="F173" s="9" t="s">
        <v>436</v>
      </c>
      <c r="G173" s="9" t="s">
        <v>434</v>
      </c>
      <c r="H173" s="87" t="s">
        <v>6237</v>
      </c>
      <c r="I173" s="87" t="s">
        <v>6484</v>
      </c>
      <c r="J173" s="87" t="s">
        <v>6535</v>
      </c>
      <c r="K173" s="87" t="s">
        <v>6240</v>
      </c>
      <c r="L173" s="87" t="s">
        <v>6592</v>
      </c>
      <c r="M173" s="9" t="s">
        <v>6593</v>
      </c>
      <c r="N173" s="87" t="s">
        <v>6535</v>
      </c>
      <c r="O173" s="9" t="s">
        <v>6243</v>
      </c>
      <c r="P173" s="87" t="s">
        <v>6594</v>
      </c>
      <c r="Q173" s="87" t="s">
        <v>6484</v>
      </c>
      <c r="R173" s="87" t="s">
        <v>6428</v>
      </c>
      <c r="S173" s="87" t="s">
        <v>6245</v>
      </c>
      <c r="T173" s="59">
        <f t="shared" si="0"/>
        <v>45049</v>
      </c>
    </row>
    <row r="174" spans="1:20" ht="15.75" customHeight="1">
      <c r="A174" s="9" t="s">
        <v>2991</v>
      </c>
      <c r="C174" s="9" t="s">
        <v>6236</v>
      </c>
      <c r="D174" s="9" t="s">
        <v>431</v>
      </c>
      <c r="E174" s="9" t="s">
        <v>368</v>
      </c>
      <c r="F174" s="9" t="s">
        <v>436</v>
      </c>
      <c r="G174" s="9" t="s">
        <v>434</v>
      </c>
      <c r="H174" s="87" t="s">
        <v>6237</v>
      </c>
      <c r="I174" s="87" t="s">
        <v>6565</v>
      </c>
      <c r="J174" s="87" t="s">
        <v>6404</v>
      </c>
      <c r="K174" s="87" t="s">
        <v>6240</v>
      </c>
      <c r="L174" s="87" t="s">
        <v>6592</v>
      </c>
      <c r="M174" s="9" t="s">
        <v>6595</v>
      </c>
      <c r="N174" s="87" t="s">
        <v>6404</v>
      </c>
      <c r="O174" s="9" t="s">
        <v>6243</v>
      </c>
      <c r="P174" s="87" t="s">
        <v>6596</v>
      </c>
      <c r="Q174" s="87" t="s">
        <v>6565</v>
      </c>
      <c r="R174" s="87" t="s">
        <v>6244</v>
      </c>
      <c r="S174" s="87" t="s">
        <v>6401</v>
      </c>
      <c r="T174" s="59">
        <f t="shared" si="0"/>
        <v>45049</v>
      </c>
    </row>
    <row r="175" spans="1:20" ht="15.75" customHeight="1">
      <c r="A175" s="9" t="s">
        <v>3025</v>
      </c>
      <c r="C175" s="9" t="s">
        <v>6236</v>
      </c>
      <c r="D175" s="9" t="s">
        <v>431</v>
      </c>
      <c r="E175" s="9" t="s">
        <v>368</v>
      </c>
      <c r="F175" s="9" t="s">
        <v>436</v>
      </c>
      <c r="G175" s="9" t="s">
        <v>434</v>
      </c>
      <c r="H175" s="87" t="s">
        <v>6237</v>
      </c>
      <c r="I175" s="87" t="s">
        <v>6484</v>
      </c>
      <c r="J175" s="87" t="s">
        <v>6461</v>
      </c>
      <c r="K175" s="87" t="s">
        <v>6240</v>
      </c>
      <c r="L175" s="87" t="s">
        <v>6597</v>
      </c>
      <c r="M175" s="9" t="s">
        <v>6598</v>
      </c>
      <c r="N175" s="87" t="s">
        <v>6461</v>
      </c>
      <c r="O175" s="9" t="s">
        <v>6243</v>
      </c>
      <c r="P175" s="87" t="s">
        <v>6255</v>
      </c>
      <c r="Q175" s="87" t="s">
        <v>6484</v>
      </c>
      <c r="R175" s="87" t="s">
        <v>6244</v>
      </c>
      <c r="S175" s="87" t="s">
        <v>6599</v>
      </c>
      <c r="T175" s="59">
        <f t="shared" si="0"/>
        <v>45048</v>
      </c>
    </row>
    <row r="176" spans="1:20" ht="15.75" customHeight="1">
      <c r="A176" s="9" t="s">
        <v>2934</v>
      </c>
      <c r="C176" s="9" t="s">
        <v>6236</v>
      </c>
      <c r="D176" s="9" t="s">
        <v>431</v>
      </c>
      <c r="E176" s="9" t="s">
        <v>368</v>
      </c>
      <c r="F176" s="9" t="s">
        <v>436</v>
      </c>
      <c r="G176" s="9" t="s">
        <v>434</v>
      </c>
      <c r="H176" s="87" t="s">
        <v>6237</v>
      </c>
      <c r="I176" s="87" t="s">
        <v>6305</v>
      </c>
      <c r="J176" s="87" t="s">
        <v>6287</v>
      </c>
      <c r="K176" s="87" t="s">
        <v>6240</v>
      </c>
      <c r="L176" s="87" t="s">
        <v>6597</v>
      </c>
      <c r="M176" s="9" t="s">
        <v>6600</v>
      </c>
      <c r="N176" s="87" t="s">
        <v>6287</v>
      </c>
      <c r="O176" s="9" t="s">
        <v>6243</v>
      </c>
      <c r="P176" s="87" t="s">
        <v>3734</v>
      </c>
      <c r="Q176" s="87" t="s">
        <v>6305</v>
      </c>
      <c r="R176" s="87" t="s">
        <v>6560</v>
      </c>
      <c r="S176" s="87" t="s">
        <v>6245</v>
      </c>
      <c r="T176" s="59">
        <f t="shared" si="0"/>
        <v>45048</v>
      </c>
    </row>
    <row r="177" spans="1:20" ht="15.75" customHeight="1">
      <c r="A177" s="9" t="s">
        <v>2840</v>
      </c>
      <c r="C177" s="9" t="s">
        <v>6236</v>
      </c>
      <c r="D177" s="9" t="s">
        <v>431</v>
      </c>
      <c r="E177" s="9" t="s">
        <v>368</v>
      </c>
      <c r="F177" s="9" t="s">
        <v>436</v>
      </c>
      <c r="G177" s="9" t="s">
        <v>434</v>
      </c>
      <c r="H177" s="87" t="s">
        <v>6264</v>
      </c>
      <c r="I177" s="87" t="s">
        <v>6313</v>
      </c>
      <c r="J177" s="87" t="s">
        <v>6313</v>
      </c>
      <c r="K177" s="87" t="s">
        <v>6240</v>
      </c>
      <c r="L177" s="87" t="s">
        <v>6601</v>
      </c>
      <c r="M177" s="9" t="s">
        <v>6602</v>
      </c>
      <c r="N177" s="87" t="s">
        <v>6313</v>
      </c>
      <c r="O177" s="9" t="s">
        <v>6243</v>
      </c>
      <c r="P177" s="87" t="s">
        <v>6357</v>
      </c>
      <c r="Q177" s="87" t="s">
        <v>6313</v>
      </c>
      <c r="R177" s="87" t="s">
        <v>6443</v>
      </c>
      <c r="S177" s="87" t="s">
        <v>6416</v>
      </c>
      <c r="T177" s="59">
        <f t="shared" si="0"/>
        <v>45047</v>
      </c>
    </row>
    <row r="178" spans="1:20" ht="15.75" customHeight="1">
      <c r="A178" s="9" t="s">
        <v>3014</v>
      </c>
      <c r="C178" s="9" t="s">
        <v>6236</v>
      </c>
      <c r="D178" s="9" t="s">
        <v>431</v>
      </c>
      <c r="E178" s="9" t="s">
        <v>368</v>
      </c>
      <c r="F178" s="9" t="s">
        <v>436</v>
      </c>
      <c r="G178" s="9" t="s">
        <v>434</v>
      </c>
      <c r="H178" s="87" t="s">
        <v>6237</v>
      </c>
      <c r="I178" s="87" t="s">
        <v>6238</v>
      </c>
      <c r="J178" s="87" t="s">
        <v>6322</v>
      </c>
      <c r="K178" s="87" t="s">
        <v>6240</v>
      </c>
      <c r="L178" s="87" t="s">
        <v>6601</v>
      </c>
      <c r="M178" s="9" t="s">
        <v>6603</v>
      </c>
      <c r="N178" s="87" t="s">
        <v>6322</v>
      </c>
      <c r="O178" s="9" t="s">
        <v>6243</v>
      </c>
      <c r="P178" s="87" t="s">
        <v>6604</v>
      </c>
      <c r="Q178" s="87" t="s">
        <v>6238</v>
      </c>
      <c r="R178" s="87" t="s">
        <v>6500</v>
      </c>
      <c r="S178" s="87" t="s">
        <v>6245</v>
      </c>
      <c r="T178" s="59">
        <f t="shared" si="0"/>
        <v>45047</v>
      </c>
    </row>
    <row r="179" spans="1:20" ht="15.75" customHeight="1">
      <c r="A179" s="9" t="s">
        <v>2934</v>
      </c>
      <c r="C179" s="9" t="s">
        <v>6236</v>
      </c>
      <c r="D179" s="9" t="s">
        <v>431</v>
      </c>
      <c r="E179" s="9" t="s">
        <v>368</v>
      </c>
      <c r="F179" s="9" t="s">
        <v>436</v>
      </c>
      <c r="G179" s="9" t="s">
        <v>434</v>
      </c>
      <c r="H179" s="87" t="s">
        <v>6237</v>
      </c>
      <c r="I179" s="87" t="s">
        <v>6305</v>
      </c>
      <c r="J179" s="87" t="s">
        <v>4953</v>
      </c>
      <c r="K179" s="87" t="s">
        <v>6240</v>
      </c>
      <c r="L179" s="87" t="s">
        <v>6601</v>
      </c>
      <c r="M179" s="9" t="s">
        <v>6446</v>
      </c>
      <c r="N179" s="87" t="s">
        <v>4953</v>
      </c>
      <c r="O179" s="9" t="s">
        <v>6243</v>
      </c>
      <c r="P179" s="87" t="s">
        <v>6306</v>
      </c>
      <c r="Q179" s="87" t="s">
        <v>6305</v>
      </c>
      <c r="R179" s="87" t="s">
        <v>6244</v>
      </c>
      <c r="S179" s="87" t="s">
        <v>6306</v>
      </c>
      <c r="T179" s="59">
        <f t="shared" si="0"/>
        <v>45047</v>
      </c>
    </row>
    <row r="180" spans="1:20" ht="15.75" customHeight="1">
      <c r="A180" s="9" t="s">
        <v>2912</v>
      </c>
      <c r="C180" s="9" t="s">
        <v>6236</v>
      </c>
      <c r="D180" s="9" t="s">
        <v>431</v>
      </c>
      <c r="E180" s="9" t="s">
        <v>368</v>
      </c>
      <c r="F180" s="9" t="s">
        <v>436</v>
      </c>
      <c r="G180" s="9" t="s">
        <v>434</v>
      </c>
      <c r="H180" s="87" t="s">
        <v>6237</v>
      </c>
      <c r="I180" s="87" t="s">
        <v>6346</v>
      </c>
      <c r="J180" s="87" t="s">
        <v>6387</v>
      </c>
      <c r="K180" s="87" t="s">
        <v>6240</v>
      </c>
      <c r="L180" s="87" t="s">
        <v>6605</v>
      </c>
      <c r="M180" s="9" t="s">
        <v>6391</v>
      </c>
      <c r="N180" s="87" t="s">
        <v>6387</v>
      </c>
      <c r="O180" s="9" t="s">
        <v>6243</v>
      </c>
      <c r="P180" s="87" t="s">
        <v>6248</v>
      </c>
      <c r="Q180" s="87" t="s">
        <v>6346</v>
      </c>
      <c r="R180" s="87" t="s">
        <v>6392</v>
      </c>
      <c r="S180" s="87" t="s">
        <v>6245</v>
      </c>
      <c r="T180" s="59">
        <f t="shared" si="0"/>
        <v>45046</v>
      </c>
    </row>
    <row r="181" spans="1:20" ht="15.75" customHeight="1">
      <c r="A181" s="9" t="s">
        <v>3014</v>
      </c>
      <c r="C181" s="9" t="s">
        <v>6236</v>
      </c>
      <c r="D181" s="9" t="s">
        <v>431</v>
      </c>
      <c r="E181" s="9" t="s">
        <v>368</v>
      </c>
      <c r="F181" s="9" t="s">
        <v>436</v>
      </c>
      <c r="G181" s="9" t="s">
        <v>434</v>
      </c>
      <c r="H181" s="87" t="s">
        <v>6237</v>
      </c>
      <c r="I181" s="87" t="s">
        <v>6238</v>
      </c>
      <c r="J181" s="87" t="s">
        <v>6606</v>
      </c>
      <c r="K181" s="87" t="s">
        <v>6240</v>
      </c>
      <c r="L181" s="87" t="s">
        <v>6605</v>
      </c>
      <c r="M181" s="9" t="s">
        <v>6607</v>
      </c>
      <c r="N181" s="87" t="s">
        <v>6606</v>
      </c>
      <c r="O181" s="9" t="s">
        <v>6243</v>
      </c>
      <c r="P181" s="87" t="s">
        <v>6608</v>
      </c>
      <c r="Q181" s="87" t="s">
        <v>6238</v>
      </c>
      <c r="R181" s="87" t="s">
        <v>6244</v>
      </c>
      <c r="S181" s="87" t="s">
        <v>6322</v>
      </c>
      <c r="T181" s="59">
        <f t="shared" si="0"/>
        <v>45046</v>
      </c>
    </row>
    <row r="182" spans="1:20" ht="15.75" customHeight="1">
      <c r="A182" s="9" t="s">
        <v>2876</v>
      </c>
      <c r="C182" s="9" t="s">
        <v>6236</v>
      </c>
      <c r="D182" s="9" t="s">
        <v>431</v>
      </c>
      <c r="E182" s="9" t="s">
        <v>368</v>
      </c>
      <c r="F182" s="9" t="s">
        <v>436</v>
      </c>
      <c r="G182" s="9" t="s">
        <v>434</v>
      </c>
      <c r="H182" s="87" t="s">
        <v>6237</v>
      </c>
      <c r="I182" s="87" t="s">
        <v>6316</v>
      </c>
      <c r="J182" s="87" t="s">
        <v>6330</v>
      </c>
      <c r="K182" s="87" t="s">
        <v>6240</v>
      </c>
      <c r="L182" s="87" t="s">
        <v>6609</v>
      </c>
      <c r="M182" s="9" t="s">
        <v>6610</v>
      </c>
      <c r="N182" s="87" t="s">
        <v>6330</v>
      </c>
      <c r="O182" s="9" t="s">
        <v>6243</v>
      </c>
      <c r="P182" s="87" t="s">
        <v>6332</v>
      </c>
      <c r="Q182" s="87" t="s">
        <v>6316</v>
      </c>
      <c r="R182" s="87" t="s">
        <v>6357</v>
      </c>
      <c r="S182" s="87" t="s">
        <v>6245</v>
      </c>
      <c r="T182" s="59">
        <f t="shared" si="0"/>
        <v>45045</v>
      </c>
    </row>
    <row r="183" spans="1:20" ht="15.75" customHeight="1">
      <c r="A183" s="9" t="s">
        <v>2912</v>
      </c>
      <c r="C183" s="9" t="s">
        <v>6236</v>
      </c>
      <c r="D183" s="9" t="s">
        <v>431</v>
      </c>
      <c r="E183" s="9" t="s">
        <v>368</v>
      </c>
      <c r="F183" s="9" t="s">
        <v>436</v>
      </c>
      <c r="G183" s="9" t="s">
        <v>434</v>
      </c>
      <c r="H183" s="87" t="s">
        <v>6237</v>
      </c>
      <c r="I183" s="87" t="s">
        <v>6346</v>
      </c>
      <c r="J183" s="87" t="s">
        <v>6405</v>
      </c>
      <c r="K183" s="87" t="s">
        <v>6240</v>
      </c>
      <c r="L183" s="87" t="s">
        <v>6609</v>
      </c>
      <c r="M183" s="9" t="s">
        <v>6546</v>
      </c>
      <c r="N183" s="87" t="s">
        <v>6405</v>
      </c>
      <c r="O183" s="9" t="s">
        <v>6243</v>
      </c>
      <c r="P183" s="87" t="s">
        <v>6240</v>
      </c>
      <c r="Q183" s="87" t="s">
        <v>6346</v>
      </c>
      <c r="R183" s="87" t="s">
        <v>6244</v>
      </c>
      <c r="S183" s="87" t="s">
        <v>6244</v>
      </c>
      <c r="T183" s="59">
        <f t="shared" si="0"/>
        <v>45045</v>
      </c>
    </row>
    <row r="184" spans="1:20" ht="15.75" customHeight="1">
      <c r="A184" s="9" t="s">
        <v>2880</v>
      </c>
      <c r="C184" s="9" t="s">
        <v>6236</v>
      </c>
      <c r="D184" s="9" t="s">
        <v>431</v>
      </c>
      <c r="E184" s="9" t="s">
        <v>368</v>
      </c>
      <c r="F184" s="9" t="s">
        <v>436</v>
      </c>
      <c r="G184" s="9" t="s">
        <v>434</v>
      </c>
      <c r="H184" s="87" t="s">
        <v>6237</v>
      </c>
      <c r="I184" s="87" t="s">
        <v>6264</v>
      </c>
      <c r="J184" s="87" t="s">
        <v>6264</v>
      </c>
      <c r="K184" s="87" t="s">
        <v>6240</v>
      </c>
      <c r="L184" s="87" t="s">
        <v>6609</v>
      </c>
      <c r="M184" s="9" t="s">
        <v>6611</v>
      </c>
      <c r="N184" s="87" t="s">
        <v>6264</v>
      </c>
      <c r="O184" s="9" t="s">
        <v>6243</v>
      </c>
      <c r="P184" s="87" t="s">
        <v>6313</v>
      </c>
      <c r="Q184" s="87" t="s">
        <v>6264</v>
      </c>
      <c r="R184" s="87" t="s">
        <v>6337</v>
      </c>
      <c r="S184" s="87" t="s">
        <v>6310</v>
      </c>
      <c r="T184" s="59">
        <f t="shared" si="0"/>
        <v>45045</v>
      </c>
    </row>
    <row r="185" spans="1:20" ht="15.75" customHeight="1">
      <c r="A185" s="9" t="s">
        <v>2846</v>
      </c>
      <c r="C185" s="9" t="s">
        <v>6236</v>
      </c>
      <c r="D185" s="9" t="s">
        <v>431</v>
      </c>
      <c r="E185" s="9" t="s">
        <v>368</v>
      </c>
      <c r="F185" s="9" t="s">
        <v>436</v>
      </c>
      <c r="G185" s="9" t="s">
        <v>434</v>
      </c>
      <c r="H185" s="87" t="s">
        <v>6264</v>
      </c>
      <c r="I185" s="87" t="s">
        <v>6299</v>
      </c>
      <c r="J185" s="87" t="s">
        <v>6299</v>
      </c>
      <c r="K185" s="87" t="s">
        <v>6240</v>
      </c>
      <c r="L185" s="87" t="s">
        <v>6609</v>
      </c>
      <c r="M185" s="9" t="s">
        <v>6612</v>
      </c>
      <c r="N185" s="87" t="s">
        <v>6299</v>
      </c>
      <c r="O185" s="9" t="s">
        <v>6243</v>
      </c>
      <c r="P185" s="87" t="s">
        <v>3231</v>
      </c>
      <c r="Q185" s="87" t="s">
        <v>6299</v>
      </c>
      <c r="R185" s="87" t="s">
        <v>6321</v>
      </c>
      <c r="S185" s="87" t="s">
        <v>6543</v>
      </c>
      <c r="T185" s="59">
        <f t="shared" si="0"/>
        <v>45045</v>
      </c>
    </row>
    <row r="186" spans="1:20" ht="15.75" customHeight="1">
      <c r="A186" s="9" t="s">
        <v>3008</v>
      </c>
      <c r="C186" s="9" t="s">
        <v>6236</v>
      </c>
      <c r="D186" s="9" t="s">
        <v>431</v>
      </c>
      <c r="E186" s="9" t="s">
        <v>368</v>
      </c>
      <c r="F186" s="9" t="s">
        <v>436</v>
      </c>
      <c r="G186" s="9" t="s">
        <v>434</v>
      </c>
      <c r="H186" s="87" t="s">
        <v>6237</v>
      </c>
      <c r="I186" s="87" t="s">
        <v>6300</v>
      </c>
      <c r="J186" s="87" t="s">
        <v>6333</v>
      </c>
      <c r="K186" s="87" t="s">
        <v>6240</v>
      </c>
      <c r="L186" s="87" t="s">
        <v>6613</v>
      </c>
      <c r="M186" s="9" t="s">
        <v>6614</v>
      </c>
      <c r="N186" s="87" t="s">
        <v>6333</v>
      </c>
      <c r="O186" s="9" t="s">
        <v>6243</v>
      </c>
      <c r="P186" s="87" t="s">
        <v>6575</v>
      </c>
      <c r="Q186" s="87" t="s">
        <v>6300</v>
      </c>
      <c r="R186" s="87" t="s">
        <v>6284</v>
      </c>
      <c r="S186" s="87" t="s">
        <v>6245</v>
      </c>
      <c r="T186" s="59">
        <f t="shared" si="0"/>
        <v>45044</v>
      </c>
    </row>
    <row r="187" spans="1:20" ht="15.75" customHeight="1">
      <c r="A187" s="9" t="s">
        <v>2876</v>
      </c>
      <c r="C187" s="9" t="s">
        <v>6236</v>
      </c>
      <c r="D187" s="9" t="s">
        <v>431</v>
      </c>
      <c r="E187" s="9" t="s">
        <v>368</v>
      </c>
      <c r="F187" s="9" t="s">
        <v>436</v>
      </c>
      <c r="G187" s="9" t="s">
        <v>434</v>
      </c>
      <c r="H187" s="87" t="s">
        <v>6237</v>
      </c>
      <c r="I187" s="87" t="s">
        <v>6316</v>
      </c>
      <c r="J187" s="87" t="s">
        <v>6570</v>
      </c>
      <c r="K187" s="87" t="s">
        <v>6240</v>
      </c>
      <c r="L187" s="87" t="s">
        <v>6613</v>
      </c>
      <c r="M187" s="9" t="s">
        <v>6615</v>
      </c>
      <c r="N187" s="87" t="s">
        <v>6570</v>
      </c>
      <c r="O187" s="9" t="s">
        <v>6243</v>
      </c>
      <c r="P187" s="87" t="s">
        <v>6573</v>
      </c>
      <c r="Q187" s="87" t="s">
        <v>6316</v>
      </c>
      <c r="R187" s="87" t="s">
        <v>6244</v>
      </c>
      <c r="S187" s="87" t="s">
        <v>6532</v>
      </c>
      <c r="T187" s="59">
        <f t="shared" si="0"/>
        <v>45044</v>
      </c>
    </row>
    <row r="188" spans="1:20" ht="15.75" customHeight="1">
      <c r="A188" s="9" t="s">
        <v>3007</v>
      </c>
      <c r="C188" s="9" t="s">
        <v>6236</v>
      </c>
      <c r="D188" s="9" t="s">
        <v>431</v>
      </c>
      <c r="E188" s="9" t="s">
        <v>368</v>
      </c>
      <c r="F188" s="9" t="s">
        <v>436</v>
      </c>
      <c r="G188" s="9" t="s">
        <v>434</v>
      </c>
      <c r="H188" s="87" t="s">
        <v>6237</v>
      </c>
      <c r="I188" s="87" t="s">
        <v>6238</v>
      </c>
      <c r="J188" s="87" t="s">
        <v>6293</v>
      </c>
      <c r="K188" s="87" t="s">
        <v>6240</v>
      </c>
      <c r="L188" s="87" t="s">
        <v>6616</v>
      </c>
      <c r="M188" s="9" t="s">
        <v>6617</v>
      </c>
      <c r="N188" s="87" t="s">
        <v>6293</v>
      </c>
      <c r="O188" s="9" t="s">
        <v>6243</v>
      </c>
      <c r="P188" s="87" t="s">
        <v>4828</v>
      </c>
      <c r="Q188" s="87" t="s">
        <v>6238</v>
      </c>
      <c r="R188" s="87" t="s">
        <v>6555</v>
      </c>
      <c r="S188" s="87" t="s">
        <v>6245</v>
      </c>
      <c r="T188" s="59">
        <f t="shared" si="0"/>
        <v>45043</v>
      </c>
    </row>
    <row r="189" spans="1:20" ht="15.75" customHeight="1">
      <c r="A189" s="9" t="s">
        <v>3008</v>
      </c>
      <c r="C189" s="9" t="s">
        <v>6236</v>
      </c>
      <c r="D189" s="9" t="s">
        <v>431</v>
      </c>
      <c r="E189" s="9" t="s">
        <v>368</v>
      </c>
      <c r="F189" s="9" t="s">
        <v>436</v>
      </c>
      <c r="G189" s="9" t="s">
        <v>434</v>
      </c>
      <c r="H189" s="87" t="s">
        <v>6237</v>
      </c>
      <c r="I189" s="87" t="s">
        <v>6300</v>
      </c>
      <c r="J189" s="87" t="s">
        <v>6290</v>
      </c>
      <c r="K189" s="87" t="s">
        <v>6240</v>
      </c>
      <c r="L189" s="87" t="s">
        <v>6616</v>
      </c>
      <c r="M189" s="9" t="s">
        <v>6304</v>
      </c>
      <c r="N189" s="87" t="s">
        <v>6290</v>
      </c>
      <c r="O189" s="9" t="s">
        <v>6243</v>
      </c>
      <c r="P189" s="87" t="s">
        <v>6293</v>
      </c>
      <c r="Q189" s="87" t="s">
        <v>6300</v>
      </c>
      <c r="R189" s="87" t="s">
        <v>6244</v>
      </c>
      <c r="S189" s="87" t="s">
        <v>6305</v>
      </c>
      <c r="T189" s="59">
        <f t="shared" si="0"/>
        <v>45043</v>
      </c>
    </row>
    <row r="190" spans="1:20" ht="15.75" customHeight="1">
      <c r="A190" s="9" t="s">
        <v>2852</v>
      </c>
      <c r="C190" s="9" t="s">
        <v>6236</v>
      </c>
      <c r="D190" s="9" t="s">
        <v>431</v>
      </c>
      <c r="E190" s="9" t="s">
        <v>368</v>
      </c>
      <c r="F190" s="9" t="s">
        <v>436</v>
      </c>
      <c r="G190" s="9" t="s">
        <v>434</v>
      </c>
      <c r="H190" s="87" t="s">
        <v>6237</v>
      </c>
      <c r="I190" s="87" t="s">
        <v>6498</v>
      </c>
      <c r="J190" s="87" t="s">
        <v>6498</v>
      </c>
      <c r="K190" s="87" t="s">
        <v>6240</v>
      </c>
      <c r="L190" s="87" t="s">
        <v>6616</v>
      </c>
      <c r="M190" s="9" t="s">
        <v>6618</v>
      </c>
      <c r="N190" s="87" t="s">
        <v>6498</v>
      </c>
      <c r="O190" s="9" t="s">
        <v>6243</v>
      </c>
      <c r="P190" s="87" t="s">
        <v>4019</v>
      </c>
      <c r="Q190" s="87" t="s">
        <v>6498</v>
      </c>
      <c r="R190" s="87" t="s">
        <v>6437</v>
      </c>
      <c r="S190" s="87" t="s">
        <v>6619</v>
      </c>
      <c r="T190" s="59">
        <f t="shared" si="0"/>
        <v>45043</v>
      </c>
    </row>
    <row r="191" spans="1:20" ht="15.75" customHeight="1">
      <c r="A191" s="9" t="s">
        <v>2977</v>
      </c>
      <c r="C191" s="9" t="s">
        <v>6236</v>
      </c>
      <c r="D191" s="9" t="s">
        <v>431</v>
      </c>
      <c r="E191" s="9" t="s">
        <v>368</v>
      </c>
      <c r="F191" s="9" t="s">
        <v>436</v>
      </c>
      <c r="G191" s="9" t="s">
        <v>434</v>
      </c>
      <c r="H191" s="87" t="s">
        <v>6237</v>
      </c>
      <c r="I191" s="87" t="s">
        <v>6348</v>
      </c>
      <c r="J191" s="87" t="s">
        <v>6348</v>
      </c>
      <c r="K191" s="87" t="s">
        <v>6240</v>
      </c>
      <c r="L191" s="87" t="s">
        <v>6620</v>
      </c>
      <c r="M191" s="9" t="s">
        <v>6621</v>
      </c>
      <c r="N191" s="87" t="s">
        <v>6348</v>
      </c>
      <c r="O191" s="9" t="s">
        <v>6243</v>
      </c>
      <c r="P191" s="87" t="s">
        <v>5381</v>
      </c>
      <c r="Q191" s="87" t="s">
        <v>6348</v>
      </c>
      <c r="R191" s="87" t="s">
        <v>6370</v>
      </c>
      <c r="S191" s="87" t="s">
        <v>6498</v>
      </c>
      <c r="T191" s="59">
        <f t="shared" si="0"/>
        <v>45042</v>
      </c>
    </row>
    <row r="192" spans="1:20" ht="15.75" customHeight="1">
      <c r="A192" s="9" t="s">
        <v>2874</v>
      </c>
      <c r="C192" s="9" t="s">
        <v>6236</v>
      </c>
      <c r="D192" s="9" t="s">
        <v>431</v>
      </c>
      <c r="E192" s="9" t="s">
        <v>368</v>
      </c>
      <c r="F192" s="9" t="s">
        <v>436</v>
      </c>
      <c r="G192" s="9" t="s">
        <v>434</v>
      </c>
      <c r="H192" s="87" t="s">
        <v>6237</v>
      </c>
      <c r="I192" s="87" t="s">
        <v>6316</v>
      </c>
      <c r="J192" s="87" t="s">
        <v>6327</v>
      </c>
      <c r="K192" s="87" t="s">
        <v>6240</v>
      </c>
      <c r="L192" s="87" t="s">
        <v>6620</v>
      </c>
      <c r="M192" s="9" t="s">
        <v>6622</v>
      </c>
      <c r="N192" s="87" t="s">
        <v>6327</v>
      </c>
      <c r="O192" s="9" t="s">
        <v>6243</v>
      </c>
      <c r="P192" s="87" t="s">
        <v>6392</v>
      </c>
      <c r="Q192" s="87" t="s">
        <v>6316</v>
      </c>
      <c r="R192" s="87" t="s">
        <v>6254</v>
      </c>
      <c r="S192" s="87" t="s">
        <v>6245</v>
      </c>
      <c r="T192" s="59">
        <f t="shared" si="0"/>
        <v>45042</v>
      </c>
    </row>
    <row r="193" spans="1:20" ht="15.75" customHeight="1">
      <c r="A193" s="9" t="s">
        <v>3007</v>
      </c>
      <c r="C193" s="9" t="s">
        <v>6236</v>
      </c>
      <c r="D193" s="9" t="s">
        <v>431</v>
      </c>
      <c r="E193" s="9" t="s">
        <v>368</v>
      </c>
      <c r="F193" s="9" t="s">
        <v>436</v>
      </c>
      <c r="G193" s="9" t="s">
        <v>434</v>
      </c>
      <c r="H193" s="87" t="s">
        <v>6237</v>
      </c>
      <c r="I193" s="87" t="s">
        <v>6238</v>
      </c>
      <c r="J193" s="87" t="s">
        <v>5381</v>
      </c>
      <c r="K193" s="87" t="s">
        <v>6240</v>
      </c>
      <c r="L193" s="87" t="s">
        <v>6620</v>
      </c>
      <c r="M193" s="9" t="s">
        <v>6623</v>
      </c>
      <c r="N193" s="87" t="s">
        <v>5381</v>
      </c>
      <c r="O193" s="9" t="s">
        <v>6243</v>
      </c>
      <c r="P193" s="87" t="s">
        <v>4081</v>
      </c>
      <c r="Q193" s="87" t="s">
        <v>6238</v>
      </c>
      <c r="R193" s="87" t="s">
        <v>6244</v>
      </c>
      <c r="S193" s="87" t="s">
        <v>6293</v>
      </c>
      <c r="T193" s="59">
        <f t="shared" si="0"/>
        <v>45042</v>
      </c>
    </row>
    <row r="194" spans="1:20" ht="15.75" customHeight="1">
      <c r="A194" s="9" t="s">
        <v>3027</v>
      </c>
      <c r="C194" s="9" t="s">
        <v>6236</v>
      </c>
      <c r="D194" s="9" t="s">
        <v>431</v>
      </c>
      <c r="E194" s="9" t="s">
        <v>368</v>
      </c>
      <c r="F194" s="9" t="s">
        <v>436</v>
      </c>
      <c r="G194" s="9" t="s">
        <v>434</v>
      </c>
      <c r="H194" s="87" t="s">
        <v>6237</v>
      </c>
      <c r="I194" s="87" t="s">
        <v>6239</v>
      </c>
      <c r="J194" s="87" t="s">
        <v>6570</v>
      </c>
      <c r="K194" s="87" t="s">
        <v>6240</v>
      </c>
      <c r="L194" s="87" t="s">
        <v>6624</v>
      </c>
      <c r="M194" s="9" t="s">
        <v>6572</v>
      </c>
      <c r="N194" s="87" t="s">
        <v>6570</v>
      </c>
      <c r="O194" s="9" t="s">
        <v>6243</v>
      </c>
      <c r="P194" s="87" t="s">
        <v>6573</v>
      </c>
      <c r="Q194" s="87" t="s">
        <v>6239</v>
      </c>
      <c r="R194" s="87" t="s">
        <v>6455</v>
      </c>
      <c r="S194" s="87" t="s">
        <v>6245</v>
      </c>
      <c r="T194" s="59">
        <f t="shared" si="0"/>
        <v>45041</v>
      </c>
    </row>
    <row r="195" spans="1:20" ht="15.75" customHeight="1">
      <c r="A195" s="9" t="s">
        <v>2874</v>
      </c>
      <c r="C195" s="9" t="s">
        <v>6236</v>
      </c>
      <c r="D195" s="9" t="s">
        <v>431</v>
      </c>
      <c r="E195" s="9" t="s">
        <v>368</v>
      </c>
      <c r="F195" s="9" t="s">
        <v>436</v>
      </c>
      <c r="G195" s="9" t="s">
        <v>434</v>
      </c>
      <c r="H195" s="87" t="s">
        <v>6237</v>
      </c>
      <c r="I195" s="87" t="s">
        <v>6316</v>
      </c>
      <c r="J195" s="87" t="s">
        <v>6333</v>
      </c>
      <c r="K195" s="87" t="s">
        <v>6240</v>
      </c>
      <c r="L195" s="87" t="s">
        <v>6624</v>
      </c>
      <c r="M195" s="9" t="s">
        <v>6574</v>
      </c>
      <c r="N195" s="87" t="s">
        <v>6333</v>
      </c>
      <c r="O195" s="9" t="s">
        <v>6243</v>
      </c>
      <c r="P195" s="87" t="s">
        <v>6575</v>
      </c>
      <c r="Q195" s="87" t="s">
        <v>6316</v>
      </c>
      <c r="R195" s="87" t="s">
        <v>6244</v>
      </c>
      <c r="S195" s="87" t="s">
        <v>6330</v>
      </c>
      <c r="T195" s="59">
        <f t="shared" si="0"/>
        <v>45041</v>
      </c>
    </row>
    <row r="196" spans="1:20" ht="15.75" customHeight="1">
      <c r="A196" s="9" t="s">
        <v>6625</v>
      </c>
      <c r="C196" s="9" t="s">
        <v>6236</v>
      </c>
      <c r="D196" s="9" t="s">
        <v>431</v>
      </c>
      <c r="E196" s="9" t="s">
        <v>368</v>
      </c>
      <c r="F196" s="9" t="s">
        <v>436</v>
      </c>
      <c r="G196" s="9" t="s">
        <v>434</v>
      </c>
      <c r="H196" s="87" t="s">
        <v>6237</v>
      </c>
      <c r="I196" s="87" t="s">
        <v>6455</v>
      </c>
      <c r="J196" s="87" t="s">
        <v>6455</v>
      </c>
      <c r="K196" s="87" t="s">
        <v>6240</v>
      </c>
      <c r="L196" s="87" t="s">
        <v>6624</v>
      </c>
      <c r="M196" s="9" t="s">
        <v>6626</v>
      </c>
      <c r="N196" s="87" t="s">
        <v>6455</v>
      </c>
      <c r="O196" s="9" t="s">
        <v>6547</v>
      </c>
      <c r="P196" s="87" t="s">
        <v>6627</v>
      </c>
      <c r="Q196" s="87" t="s">
        <v>6455</v>
      </c>
      <c r="R196" s="87" t="s">
        <v>6244</v>
      </c>
      <c r="S196" s="87" t="s">
        <v>6440</v>
      </c>
      <c r="T196" s="59">
        <f t="shared" si="0"/>
        <v>45041</v>
      </c>
    </row>
    <row r="197" spans="1:20" ht="15.75" customHeight="1">
      <c r="A197" s="9" t="s">
        <v>2892</v>
      </c>
      <c r="C197" s="9" t="s">
        <v>6236</v>
      </c>
      <c r="D197" s="9" t="s">
        <v>431</v>
      </c>
      <c r="E197" s="9" t="s">
        <v>368</v>
      </c>
      <c r="F197" s="9" t="s">
        <v>436</v>
      </c>
      <c r="G197" s="9" t="s">
        <v>434</v>
      </c>
      <c r="H197" s="87" t="s">
        <v>6237</v>
      </c>
      <c r="I197" s="87" t="s">
        <v>6376</v>
      </c>
      <c r="J197" s="87" t="s">
        <v>6570</v>
      </c>
      <c r="K197" s="87" t="s">
        <v>6240</v>
      </c>
      <c r="L197" s="87" t="s">
        <v>6628</v>
      </c>
      <c r="M197" s="9" t="s">
        <v>6572</v>
      </c>
      <c r="N197" s="87" t="s">
        <v>6570</v>
      </c>
      <c r="O197" s="9" t="s">
        <v>6243</v>
      </c>
      <c r="P197" s="87" t="s">
        <v>6573</v>
      </c>
      <c r="Q197" s="87" t="s">
        <v>6376</v>
      </c>
      <c r="R197" s="87" t="s">
        <v>6455</v>
      </c>
      <c r="S197" s="87" t="s">
        <v>6245</v>
      </c>
      <c r="T197" s="59">
        <f t="shared" si="0"/>
        <v>45040</v>
      </c>
    </row>
    <row r="198" spans="1:20" ht="15.75" customHeight="1">
      <c r="A198" s="9" t="s">
        <v>2971</v>
      </c>
      <c r="C198" s="9" t="s">
        <v>6236</v>
      </c>
      <c r="D198" s="9" t="s">
        <v>431</v>
      </c>
      <c r="E198" s="9" t="s">
        <v>368</v>
      </c>
      <c r="F198" s="9" t="s">
        <v>436</v>
      </c>
      <c r="G198" s="9" t="s">
        <v>434</v>
      </c>
      <c r="H198" s="87" t="s">
        <v>6237</v>
      </c>
      <c r="I198" s="87" t="s">
        <v>6306</v>
      </c>
      <c r="J198" s="87" t="s">
        <v>6239</v>
      </c>
      <c r="K198" s="87" t="s">
        <v>6240</v>
      </c>
      <c r="L198" s="87" t="s">
        <v>6628</v>
      </c>
      <c r="M198" s="9" t="s">
        <v>6242</v>
      </c>
      <c r="N198" s="87" t="s">
        <v>6239</v>
      </c>
      <c r="O198" s="9" t="s">
        <v>6547</v>
      </c>
      <c r="P198" s="87" t="s">
        <v>3764</v>
      </c>
      <c r="Q198" s="87" t="s">
        <v>6306</v>
      </c>
      <c r="R198" s="87" t="s">
        <v>6244</v>
      </c>
      <c r="S198" s="87" t="s">
        <v>6245</v>
      </c>
      <c r="T198" s="59">
        <f t="shared" si="0"/>
        <v>45040</v>
      </c>
    </row>
    <row r="199" spans="1:20" ht="15.75" customHeight="1">
      <c r="A199" s="9" t="s">
        <v>3027</v>
      </c>
      <c r="C199" s="9" t="s">
        <v>6236</v>
      </c>
      <c r="D199" s="9" t="s">
        <v>431</v>
      </c>
      <c r="E199" s="9" t="s">
        <v>368</v>
      </c>
      <c r="F199" s="9" t="s">
        <v>436</v>
      </c>
      <c r="G199" s="9" t="s">
        <v>434</v>
      </c>
      <c r="H199" s="87" t="s">
        <v>6237</v>
      </c>
      <c r="I199" s="87" t="s">
        <v>6239</v>
      </c>
      <c r="J199" s="87" t="s">
        <v>6333</v>
      </c>
      <c r="K199" s="87" t="s">
        <v>6240</v>
      </c>
      <c r="L199" s="87" t="s">
        <v>6628</v>
      </c>
      <c r="M199" s="9" t="s">
        <v>6574</v>
      </c>
      <c r="N199" s="87" t="s">
        <v>6333</v>
      </c>
      <c r="O199" s="9" t="s">
        <v>6243</v>
      </c>
      <c r="P199" s="87" t="s">
        <v>6575</v>
      </c>
      <c r="Q199" s="87" t="s">
        <v>6239</v>
      </c>
      <c r="R199" s="87" t="s">
        <v>6244</v>
      </c>
      <c r="S199" s="87" t="s">
        <v>6330</v>
      </c>
      <c r="T199" s="59">
        <f t="shared" si="0"/>
        <v>45040</v>
      </c>
    </row>
    <row r="200" spans="1:20" ht="15.75" customHeight="1">
      <c r="A200" s="9" t="s">
        <v>2892</v>
      </c>
      <c r="C200" s="9" t="s">
        <v>6236</v>
      </c>
      <c r="D200" s="9" t="s">
        <v>431</v>
      </c>
      <c r="E200" s="9" t="s">
        <v>368</v>
      </c>
      <c r="F200" s="9" t="s">
        <v>436</v>
      </c>
      <c r="G200" s="9" t="s">
        <v>434</v>
      </c>
      <c r="H200" s="87" t="s">
        <v>6237</v>
      </c>
      <c r="I200" s="87" t="s">
        <v>6376</v>
      </c>
      <c r="J200" s="87" t="s">
        <v>6393</v>
      </c>
      <c r="K200" s="87" t="s">
        <v>6240</v>
      </c>
      <c r="L200" s="87" t="s">
        <v>6629</v>
      </c>
      <c r="M200" s="9" t="s">
        <v>6394</v>
      </c>
      <c r="N200" s="87" t="s">
        <v>6393</v>
      </c>
      <c r="O200" s="9" t="s">
        <v>6243</v>
      </c>
      <c r="P200" s="87" t="s">
        <v>6341</v>
      </c>
      <c r="Q200" s="87" t="s">
        <v>6376</v>
      </c>
      <c r="R200" s="87" t="s">
        <v>6244</v>
      </c>
      <c r="S200" s="87" t="s">
        <v>6395</v>
      </c>
      <c r="T200" s="59">
        <f t="shared" si="0"/>
        <v>45039</v>
      </c>
    </row>
    <row r="201" spans="1:20" ht="15.75" customHeight="1">
      <c r="A201" s="9" t="s">
        <v>2971</v>
      </c>
      <c r="C201" s="9" t="s">
        <v>6236</v>
      </c>
      <c r="D201" s="9" t="s">
        <v>431</v>
      </c>
      <c r="E201" s="9" t="s">
        <v>368</v>
      </c>
      <c r="F201" s="9" t="s">
        <v>436</v>
      </c>
      <c r="G201" s="9" t="s">
        <v>434</v>
      </c>
      <c r="H201" s="87" t="s">
        <v>6237</v>
      </c>
      <c r="I201" s="87" t="s">
        <v>6306</v>
      </c>
      <c r="J201" s="87" t="s">
        <v>6237</v>
      </c>
      <c r="K201" s="87" t="s">
        <v>6240</v>
      </c>
      <c r="L201" s="87" t="s">
        <v>6629</v>
      </c>
      <c r="M201" s="9" t="s">
        <v>6309</v>
      </c>
      <c r="N201" s="87" t="s">
        <v>6237</v>
      </c>
      <c r="O201" s="9" t="s">
        <v>6547</v>
      </c>
      <c r="P201" s="87" t="s">
        <v>4953</v>
      </c>
      <c r="Q201" s="87" t="s">
        <v>6306</v>
      </c>
      <c r="R201" s="87" t="s">
        <v>6244</v>
      </c>
      <c r="S201" s="87" t="s">
        <v>6310</v>
      </c>
      <c r="T201" s="59">
        <f t="shared" si="0"/>
        <v>45039</v>
      </c>
    </row>
    <row r="202" spans="1:20" ht="15.75" customHeight="1">
      <c r="A202" s="9" t="s">
        <v>2936</v>
      </c>
      <c r="C202" s="9" t="s">
        <v>6236</v>
      </c>
      <c r="D202" s="9" t="s">
        <v>431</v>
      </c>
      <c r="E202" s="9" t="s">
        <v>368</v>
      </c>
      <c r="F202" s="9" t="s">
        <v>436</v>
      </c>
      <c r="G202" s="9" t="s">
        <v>434</v>
      </c>
      <c r="H202" s="87" t="s">
        <v>6264</v>
      </c>
      <c r="I202" s="87" t="s">
        <v>6375</v>
      </c>
      <c r="J202" s="87" t="s">
        <v>6277</v>
      </c>
      <c r="K202" s="87" t="s">
        <v>6240</v>
      </c>
      <c r="L202" s="87" t="s">
        <v>6629</v>
      </c>
      <c r="M202" s="9" t="s">
        <v>6630</v>
      </c>
      <c r="N202" s="87" t="s">
        <v>6277</v>
      </c>
      <c r="O202" s="9" t="s">
        <v>6243</v>
      </c>
      <c r="P202" s="87" t="s">
        <v>6631</v>
      </c>
      <c r="Q202" s="87" t="s">
        <v>6375</v>
      </c>
      <c r="R202" s="87" t="s">
        <v>6306</v>
      </c>
      <c r="S202" s="87" t="s">
        <v>6245</v>
      </c>
      <c r="T202" s="59">
        <f t="shared" si="0"/>
        <v>45039</v>
      </c>
    </row>
    <row r="203" spans="1:20" ht="15.75" customHeight="1">
      <c r="A203" s="9" t="s">
        <v>2936</v>
      </c>
      <c r="C203" s="9" t="s">
        <v>6236</v>
      </c>
      <c r="D203" s="9" t="s">
        <v>431</v>
      </c>
      <c r="E203" s="9" t="s">
        <v>368</v>
      </c>
      <c r="F203" s="9" t="s">
        <v>436</v>
      </c>
      <c r="G203" s="9" t="s">
        <v>434</v>
      </c>
      <c r="H203" s="87" t="s">
        <v>6264</v>
      </c>
      <c r="I203" s="87" t="s">
        <v>6375</v>
      </c>
      <c r="J203" s="87" t="s">
        <v>6239</v>
      </c>
      <c r="K203" s="87" t="s">
        <v>6240</v>
      </c>
      <c r="L203" s="87" t="s">
        <v>6632</v>
      </c>
      <c r="M203" s="9" t="s">
        <v>6242</v>
      </c>
      <c r="N203" s="87" t="s">
        <v>6239</v>
      </c>
      <c r="O203" s="9" t="s">
        <v>6243</v>
      </c>
      <c r="P203" s="87" t="s">
        <v>3764</v>
      </c>
      <c r="Q203" s="87" t="s">
        <v>6375</v>
      </c>
      <c r="R203" s="87" t="s">
        <v>6244</v>
      </c>
      <c r="S203" s="87" t="s">
        <v>6245</v>
      </c>
      <c r="T203" s="59">
        <f t="shared" si="0"/>
        <v>45038</v>
      </c>
    </row>
    <row r="204" spans="1:20" ht="15.75" customHeight="1">
      <c r="A204" s="9" t="s">
        <v>2922</v>
      </c>
      <c r="C204" s="9" t="s">
        <v>6236</v>
      </c>
      <c r="D204" s="9" t="s">
        <v>431</v>
      </c>
      <c r="E204" s="9" t="s">
        <v>368</v>
      </c>
      <c r="F204" s="9" t="s">
        <v>436</v>
      </c>
      <c r="G204" s="9" t="s">
        <v>434</v>
      </c>
      <c r="H204" s="87" t="s">
        <v>6237</v>
      </c>
      <c r="I204" s="87" t="s">
        <v>6323</v>
      </c>
      <c r="J204" s="87" t="s">
        <v>6323</v>
      </c>
      <c r="K204" s="87" t="s">
        <v>6240</v>
      </c>
      <c r="L204" s="87" t="s">
        <v>6633</v>
      </c>
      <c r="M204" s="9" t="s">
        <v>6325</v>
      </c>
      <c r="N204" s="87" t="s">
        <v>6323</v>
      </c>
      <c r="O204" s="9" t="s">
        <v>6243</v>
      </c>
      <c r="P204" s="87" t="s">
        <v>5374</v>
      </c>
      <c r="Q204" s="87" t="s">
        <v>6323</v>
      </c>
      <c r="R204" s="87" t="s">
        <v>6326</v>
      </c>
      <c r="S204" s="87" t="s">
        <v>6323</v>
      </c>
      <c r="T204" s="59">
        <f t="shared" si="0"/>
        <v>45037</v>
      </c>
    </row>
    <row r="205" spans="1:20" ht="15.75" customHeight="1">
      <c r="A205" s="9" t="s">
        <v>2936</v>
      </c>
      <c r="C205" s="9" t="s">
        <v>6236</v>
      </c>
      <c r="D205" s="9" t="s">
        <v>431</v>
      </c>
      <c r="E205" s="9" t="s">
        <v>368</v>
      </c>
      <c r="F205" s="9" t="s">
        <v>436</v>
      </c>
      <c r="G205" s="9" t="s">
        <v>434</v>
      </c>
      <c r="H205" s="87" t="s">
        <v>6264</v>
      </c>
      <c r="I205" s="87" t="s">
        <v>6375</v>
      </c>
      <c r="J205" s="87" t="s">
        <v>6330</v>
      </c>
      <c r="K205" s="87" t="s">
        <v>6240</v>
      </c>
      <c r="L205" s="87" t="s">
        <v>6633</v>
      </c>
      <c r="M205" s="9" t="s">
        <v>6331</v>
      </c>
      <c r="N205" s="87" t="s">
        <v>6330</v>
      </c>
      <c r="O205" s="9" t="s">
        <v>6243</v>
      </c>
      <c r="P205" s="87" t="s">
        <v>6332</v>
      </c>
      <c r="Q205" s="87" t="s">
        <v>6375</v>
      </c>
      <c r="R205" s="87" t="s">
        <v>6244</v>
      </c>
      <c r="S205" s="87" t="s">
        <v>6333</v>
      </c>
      <c r="T205" s="59">
        <f t="shared" si="0"/>
        <v>45037</v>
      </c>
    </row>
    <row r="206" spans="1:20" ht="15.75" customHeight="1">
      <c r="A206" s="9" t="s">
        <v>2972</v>
      </c>
      <c r="C206" s="9" t="s">
        <v>6236</v>
      </c>
      <c r="D206" s="9" t="s">
        <v>431</v>
      </c>
      <c r="E206" s="9" t="s">
        <v>368</v>
      </c>
      <c r="F206" s="9" t="s">
        <v>436</v>
      </c>
      <c r="G206" s="9" t="s">
        <v>434</v>
      </c>
      <c r="H206" s="87" t="s">
        <v>6240</v>
      </c>
      <c r="I206" s="87" t="s">
        <v>6299</v>
      </c>
      <c r="J206" s="87" t="s">
        <v>6299</v>
      </c>
      <c r="K206" s="87" t="s">
        <v>6240</v>
      </c>
      <c r="L206" s="87" t="s">
        <v>6634</v>
      </c>
      <c r="M206" s="9" t="s">
        <v>6315</v>
      </c>
      <c r="N206" s="87" t="s">
        <v>6299</v>
      </c>
      <c r="O206" s="9" t="s">
        <v>6243</v>
      </c>
      <c r="P206" s="87" t="s">
        <v>3231</v>
      </c>
      <c r="Q206" s="87" t="s">
        <v>6299</v>
      </c>
      <c r="R206" s="87" t="s">
        <v>6244</v>
      </c>
      <c r="S206" s="87" t="s">
        <v>6316</v>
      </c>
      <c r="T206" s="59">
        <f t="shared" si="0"/>
        <v>45034</v>
      </c>
    </row>
    <row r="207" spans="1:20" ht="15.75" customHeight="1">
      <c r="A207" s="9" t="s">
        <v>2913</v>
      </c>
      <c r="C207" s="9" t="s">
        <v>6236</v>
      </c>
      <c r="D207" s="9" t="s">
        <v>431</v>
      </c>
      <c r="E207" s="9" t="s">
        <v>368</v>
      </c>
      <c r="F207" s="9" t="s">
        <v>436</v>
      </c>
      <c r="G207" s="9" t="s">
        <v>434</v>
      </c>
      <c r="H207" s="87" t="s">
        <v>6264</v>
      </c>
      <c r="I207" s="87" t="s">
        <v>6255</v>
      </c>
      <c r="J207" s="87" t="s">
        <v>6255</v>
      </c>
      <c r="K207" s="87" t="s">
        <v>6240</v>
      </c>
      <c r="L207" s="87" t="s">
        <v>6635</v>
      </c>
      <c r="M207" s="9" t="s">
        <v>6286</v>
      </c>
      <c r="N207" s="87" t="s">
        <v>6255</v>
      </c>
      <c r="O207" s="9" t="s">
        <v>6243</v>
      </c>
      <c r="P207" s="87" t="s">
        <v>4947</v>
      </c>
      <c r="Q207" s="87" t="s">
        <v>6255</v>
      </c>
      <c r="R207" s="87" t="s">
        <v>6244</v>
      </c>
      <c r="S207" s="87" t="s">
        <v>6287</v>
      </c>
      <c r="T207" s="59">
        <f t="shared" si="0"/>
        <v>45029</v>
      </c>
    </row>
    <row r="208" spans="1:20" ht="15.75" customHeight="1">
      <c r="A208" s="9" t="s">
        <v>2932</v>
      </c>
      <c r="C208" s="9" t="s">
        <v>6236</v>
      </c>
      <c r="D208" s="9" t="s">
        <v>431</v>
      </c>
      <c r="E208" s="9" t="s">
        <v>368</v>
      </c>
      <c r="F208" s="9" t="s">
        <v>436</v>
      </c>
      <c r="G208" s="9" t="s">
        <v>434</v>
      </c>
      <c r="H208" s="87" t="s">
        <v>6237</v>
      </c>
      <c r="I208" s="87" t="s">
        <v>6636</v>
      </c>
      <c r="J208" s="87" t="s">
        <v>6239</v>
      </c>
      <c r="K208" s="87" t="s">
        <v>6240</v>
      </c>
      <c r="L208" s="87" t="s">
        <v>6637</v>
      </c>
      <c r="M208" s="9" t="s">
        <v>6242</v>
      </c>
      <c r="N208" s="87" t="s">
        <v>6239</v>
      </c>
      <c r="O208" s="9" t="s">
        <v>6243</v>
      </c>
      <c r="P208" s="87" t="s">
        <v>3764</v>
      </c>
      <c r="Q208" s="87" t="s">
        <v>6636</v>
      </c>
      <c r="R208" s="87" t="s">
        <v>6244</v>
      </c>
      <c r="S208" s="87" t="s">
        <v>6245</v>
      </c>
      <c r="T208" s="59">
        <f t="shared" si="0"/>
        <v>45027</v>
      </c>
    </row>
    <row r="209" spans="1:20" ht="15.75" customHeight="1">
      <c r="A209" s="9" t="s">
        <v>2932</v>
      </c>
      <c r="C209" s="9" t="s">
        <v>6236</v>
      </c>
      <c r="D209" s="9" t="s">
        <v>431</v>
      </c>
      <c r="E209" s="9" t="s">
        <v>368</v>
      </c>
      <c r="F209" s="9" t="s">
        <v>436</v>
      </c>
      <c r="G209" s="9" t="s">
        <v>434</v>
      </c>
      <c r="H209" s="87" t="s">
        <v>6237</v>
      </c>
      <c r="I209" s="87" t="s">
        <v>6636</v>
      </c>
      <c r="J209" s="87" t="s">
        <v>6555</v>
      </c>
      <c r="K209" s="87" t="s">
        <v>6240</v>
      </c>
      <c r="L209" s="87" t="s">
        <v>6638</v>
      </c>
      <c r="M209" s="9" t="s">
        <v>6639</v>
      </c>
      <c r="N209" s="87" t="s">
        <v>6555</v>
      </c>
      <c r="O209" s="9" t="s">
        <v>6243</v>
      </c>
      <c r="P209" s="87" t="s">
        <v>6640</v>
      </c>
      <c r="Q209" s="87" t="s">
        <v>6636</v>
      </c>
      <c r="R209" s="87" t="s">
        <v>6244</v>
      </c>
      <c r="S209" s="87" t="s">
        <v>6376</v>
      </c>
      <c r="T209" s="59">
        <f t="shared" si="0"/>
        <v>45026</v>
      </c>
    </row>
    <row r="210" spans="1:20" ht="15.75" customHeight="1">
      <c r="A210" s="9" t="s">
        <v>2989</v>
      </c>
      <c r="C210" s="9" t="s">
        <v>6236</v>
      </c>
      <c r="D210" s="9" t="s">
        <v>431</v>
      </c>
      <c r="E210" s="9" t="s">
        <v>368</v>
      </c>
      <c r="F210" s="9" t="s">
        <v>436</v>
      </c>
      <c r="G210" s="9" t="s">
        <v>434</v>
      </c>
      <c r="H210" s="87" t="s">
        <v>6264</v>
      </c>
      <c r="I210" s="87" t="s">
        <v>6437</v>
      </c>
      <c r="J210" s="87" t="s">
        <v>6239</v>
      </c>
      <c r="K210" s="87" t="s">
        <v>6240</v>
      </c>
      <c r="L210" s="87" t="s">
        <v>6641</v>
      </c>
      <c r="M210" s="9" t="s">
        <v>6242</v>
      </c>
      <c r="N210" s="87" t="s">
        <v>6239</v>
      </c>
      <c r="O210" s="9" t="s">
        <v>6243</v>
      </c>
      <c r="P210" s="87" t="s">
        <v>3764</v>
      </c>
      <c r="Q210" s="87" t="s">
        <v>6437</v>
      </c>
      <c r="R210" s="87" t="s">
        <v>6244</v>
      </c>
      <c r="S210" s="87" t="s">
        <v>6245</v>
      </c>
      <c r="T210" s="59">
        <f t="shared" si="0"/>
        <v>45025</v>
      </c>
    </row>
    <row r="211" spans="1:20" ht="15.75" customHeight="1">
      <c r="A211" s="9" t="s">
        <v>2989</v>
      </c>
      <c r="C211" s="9" t="s">
        <v>6236</v>
      </c>
      <c r="D211" s="9" t="s">
        <v>431</v>
      </c>
      <c r="E211" s="9" t="s">
        <v>368</v>
      </c>
      <c r="F211" s="9" t="s">
        <v>436</v>
      </c>
      <c r="G211" s="9" t="s">
        <v>434</v>
      </c>
      <c r="H211" s="87" t="s">
        <v>6264</v>
      </c>
      <c r="I211" s="87" t="s">
        <v>6437</v>
      </c>
      <c r="J211" s="87" t="s">
        <v>6642</v>
      </c>
      <c r="K211" s="87" t="s">
        <v>6240</v>
      </c>
      <c r="L211" s="87" t="s">
        <v>6643</v>
      </c>
      <c r="M211" s="9" t="s">
        <v>6644</v>
      </c>
      <c r="N211" s="87" t="s">
        <v>6642</v>
      </c>
      <c r="O211" s="9" t="s">
        <v>6243</v>
      </c>
      <c r="P211" s="87" t="s">
        <v>6445</v>
      </c>
      <c r="Q211" s="87" t="s">
        <v>6437</v>
      </c>
      <c r="R211" s="87" t="s">
        <v>6244</v>
      </c>
      <c r="S211" s="87" t="s">
        <v>6645</v>
      </c>
      <c r="T211" s="59">
        <f t="shared" si="0"/>
        <v>45024</v>
      </c>
    </row>
    <row r="212" spans="1:20" ht="15.75" customHeight="1">
      <c r="A212" s="9" t="s">
        <v>6646</v>
      </c>
      <c r="C212" s="9" t="s">
        <v>6236</v>
      </c>
      <c r="D212" s="9" t="s">
        <v>431</v>
      </c>
      <c r="E212" s="9" t="s">
        <v>368</v>
      </c>
      <c r="F212" s="9" t="s">
        <v>436</v>
      </c>
      <c r="G212" s="9" t="s">
        <v>434</v>
      </c>
      <c r="H212" s="87" t="s">
        <v>6264</v>
      </c>
      <c r="I212" s="87" t="s">
        <v>6448</v>
      </c>
      <c r="J212" s="87" t="s">
        <v>6239</v>
      </c>
      <c r="K212" s="87" t="s">
        <v>6240</v>
      </c>
      <c r="L212" s="87" t="s">
        <v>6647</v>
      </c>
      <c r="M212" s="9" t="s">
        <v>6242</v>
      </c>
      <c r="N212" s="87" t="s">
        <v>6239</v>
      </c>
      <c r="O212" s="9" t="s">
        <v>6243</v>
      </c>
      <c r="P212" s="87" t="s">
        <v>3764</v>
      </c>
      <c r="Q212" s="87" t="s">
        <v>6448</v>
      </c>
      <c r="R212" s="87" t="s">
        <v>6244</v>
      </c>
      <c r="S212" s="87" t="s">
        <v>6245</v>
      </c>
      <c r="T212" s="59">
        <f t="shared" si="0"/>
        <v>45022</v>
      </c>
    </row>
    <row r="213" spans="1:20" ht="15.75" customHeight="1">
      <c r="A213" s="9" t="s">
        <v>3016</v>
      </c>
      <c r="C213" s="9" t="s">
        <v>6236</v>
      </c>
      <c r="D213" s="9" t="s">
        <v>431</v>
      </c>
      <c r="E213" s="9" t="s">
        <v>368</v>
      </c>
      <c r="F213" s="9" t="s">
        <v>436</v>
      </c>
      <c r="G213" s="9" t="s">
        <v>434</v>
      </c>
      <c r="H213" s="87" t="s">
        <v>6237</v>
      </c>
      <c r="I213" s="87" t="s">
        <v>3236</v>
      </c>
      <c r="J213" s="87" t="s">
        <v>6451</v>
      </c>
      <c r="K213" s="87" t="s">
        <v>6240</v>
      </c>
      <c r="L213" s="87" t="s">
        <v>6648</v>
      </c>
      <c r="M213" s="9" t="s">
        <v>6453</v>
      </c>
      <c r="N213" s="87" t="s">
        <v>6451</v>
      </c>
      <c r="O213" s="9" t="s">
        <v>6243</v>
      </c>
      <c r="P213" s="87" t="s">
        <v>6410</v>
      </c>
      <c r="Q213" s="87" t="s">
        <v>3236</v>
      </c>
      <c r="R213" s="87" t="s">
        <v>6293</v>
      </c>
      <c r="S213" s="87" t="s">
        <v>6245</v>
      </c>
      <c r="T213" s="59">
        <f t="shared" si="0"/>
        <v>45021</v>
      </c>
    </row>
    <row r="214" spans="1:20" ht="15.75" customHeight="1">
      <c r="A214" s="9" t="s">
        <v>6646</v>
      </c>
      <c r="C214" s="9" t="s">
        <v>6236</v>
      </c>
      <c r="D214" s="9" t="s">
        <v>431</v>
      </c>
      <c r="E214" s="9" t="s">
        <v>368</v>
      </c>
      <c r="F214" s="9" t="s">
        <v>436</v>
      </c>
      <c r="G214" s="9" t="s">
        <v>434</v>
      </c>
      <c r="H214" s="87" t="s">
        <v>6264</v>
      </c>
      <c r="I214" s="87" t="s">
        <v>6448</v>
      </c>
      <c r="J214" s="87" t="s">
        <v>6440</v>
      </c>
      <c r="K214" s="87" t="s">
        <v>6240</v>
      </c>
      <c r="L214" s="87" t="s">
        <v>6648</v>
      </c>
      <c r="M214" s="9" t="s">
        <v>6454</v>
      </c>
      <c r="N214" s="87" t="s">
        <v>6440</v>
      </c>
      <c r="O214" s="9" t="s">
        <v>6243</v>
      </c>
      <c r="P214" s="87" t="s">
        <v>5063</v>
      </c>
      <c r="Q214" s="87" t="s">
        <v>6448</v>
      </c>
      <c r="R214" s="87" t="s">
        <v>6244</v>
      </c>
      <c r="S214" s="87" t="s">
        <v>6455</v>
      </c>
      <c r="T214" s="59">
        <f t="shared" si="0"/>
        <v>45021</v>
      </c>
    </row>
    <row r="215" spans="1:20" ht="15.75" customHeight="1">
      <c r="A215" s="9" t="s">
        <v>3016</v>
      </c>
      <c r="C215" s="9" t="s">
        <v>6236</v>
      </c>
      <c r="D215" s="9" t="s">
        <v>431</v>
      </c>
      <c r="E215" s="9" t="s">
        <v>368</v>
      </c>
      <c r="F215" s="9" t="s">
        <v>436</v>
      </c>
      <c r="G215" s="9" t="s">
        <v>434</v>
      </c>
      <c r="H215" s="87" t="s">
        <v>6237</v>
      </c>
      <c r="I215" s="87" t="s">
        <v>3236</v>
      </c>
      <c r="J215" s="87" t="s">
        <v>6239</v>
      </c>
      <c r="K215" s="87" t="s">
        <v>6240</v>
      </c>
      <c r="L215" s="87" t="s">
        <v>6649</v>
      </c>
      <c r="M215" s="9" t="s">
        <v>6242</v>
      </c>
      <c r="N215" s="87" t="s">
        <v>6239</v>
      </c>
      <c r="O215" s="9" t="s">
        <v>6243</v>
      </c>
      <c r="P215" s="87" t="s">
        <v>3764</v>
      </c>
      <c r="Q215" s="87" t="s">
        <v>3236</v>
      </c>
      <c r="R215" s="87" t="s">
        <v>6244</v>
      </c>
      <c r="S215" s="87" t="s">
        <v>6245</v>
      </c>
      <c r="T215" s="59">
        <f t="shared" si="0"/>
        <v>45020</v>
      </c>
    </row>
    <row r="216" spans="1:20" ht="15.75" customHeight="1">
      <c r="A216" s="9" t="s">
        <v>3016</v>
      </c>
      <c r="C216" s="9" t="s">
        <v>6236</v>
      </c>
      <c r="D216" s="9" t="s">
        <v>431</v>
      </c>
      <c r="E216" s="9" t="s">
        <v>368</v>
      </c>
      <c r="F216" s="9" t="s">
        <v>436</v>
      </c>
      <c r="G216" s="9" t="s">
        <v>434</v>
      </c>
      <c r="H216" s="87" t="s">
        <v>6237</v>
      </c>
      <c r="I216" s="87" t="s">
        <v>3236</v>
      </c>
      <c r="J216" s="87" t="s">
        <v>6239</v>
      </c>
      <c r="K216" s="87" t="s">
        <v>6240</v>
      </c>
      <c r="L216" s="87" t="s">
        <v>6650</v>
      </c>
      <c r="M216" s="9" t="s">
        <v>6242</v>
      </c>
      <c r="N216" s="87" t="s">
        <v>6239</v>
      </c>
      <c r="O216" s="9" t="s">
        <v>6243</v>
      </c>
      <c r="P216" s="87" t="s">
        <v>3764</v>
      </c>
      <c r="Q216" s="87" t="s">
        <v>3236</v>
      </c>
      <c r="R216" s="87" t="s">
        <v>6244</v>
      </c>
      <c r="S216" s="87" t="s">
        <v>6245</v>
      </c>
      <c r="T216" s="59">
        <f t="shared" si="0"/>
        <v>45019</v>
      </c>
    </row>
    <row r="217" spans="1:20" ht="15.75" customHeight="1">
      <c r="A217" s="9" t="s">
        <v>3016</v>
      </c>
      <c r="C217" s="9" t="s">
        <v>6236</v>
      </c>
      <c r="D217" s="9" t="s">
        <v>431</v>
      </c>
      <c r="E217" s="9" t="s">
        <v>368</v>
      </c>
      <c r="F217" s="9" t="s">
        <v>436</v>
      </c>
      <c r="G217" s="9" t="s">
        <v>434</v>
      </c>
      <c r="H217" s="87" t="s">
        <v>6237</v>
      </c>
      <c r="I217" s="87" t="s">
        <v>3236</v>
      </c>
      <c r="J217" s="87" t="s">
        <v>6651</v>
      </c>
      <c r="K217" s="87" t="s">
        <v>6240</v>
      </c>
      <c r="L217" s="87" t="s">
        <v>6652</v>
      </c>
      <c r="M217" s="9" t="s">
        <v>6653</v>
      </c>
      <c r="N217" s="87" t="s">
        <v>6651</v>
      </c>
      <c r="O217" s="9" t="s">
        <v>6243</v>
      </c>
      <c r="P217" s="87" t="s">
        <v>6654</v>
      </c>
      <c r="Q217" s="87" t="s">
        <v>3236</v>
      </c>
      <c r="R217" s="87" t="s">
        <v>6244</v>
      </c>
      <c r="S217" s="87" t="s">
        <v>6535</v>
      </c>
      <c r="T217" s="59">
        <f t="shared" si="0"/>
        <v>45018</v>
      </c>
    </row>
    <row r="218" spans="1:20" ht="15.75" customHeight="1">
      <c r="A218" s="9" t="s">
        <v>2926</v>
      </c>
      <c r="C218" s="9" t="s">
        <v>6236</v>
      </c>
      <c r="D218" s="9" t="s">
        <v>431</v>
      </c>
      <c r="E218" s="9" t="s">
        <v>368</v>
      </c>
      <c r="F218" s="9" t="s">
        <v>436</v>
      </c>
      <c r="G218" s="9" t="s">
        <v>434</v>
      </c>
      <c r="H218" s="87" t="s">
        <v>6237</v>
      </c>
      <c r="I218" s="87" t="s">
        <v>6255</v>
      </c>
      <c r="J218" s="87" t="s">
        <v>6255</v>
      </c>
      <c r="K218" s="87" t="s">
        <v>6240</v>
      </c>
      <c r="L218" s="87" t="s">
        <v>6655</v>
      </c>
      <c r="M218" s="9" t="s">
        <v>6286</v>
      </c>
      <c r="N218" s="87" t="s">
        <v>6255</v>
      </c>
      <c r="O218" s="9" t="s">
        <v>6243</v>
      </c>
      <c r="P218" s="87" t="s">
        <v>4947</v>
      </c>
      <c r="Q218" s="87" t="s">
        <v>6255</v>
      </c>
      <c r="R218" s="87" t="s">
        <v>6244</v>
      </c>
      <c r="S218" s="87" t="s">
        <v>6287</v>
      </c>
      <c r="T218" s="59">
        <f t="shared" si="0"/>
        <v>45011</v>
      </c>
    </row>
    <row r="219" spans="1:20" ht="15.75" customHeight="1">
      <c r="A219" s="9" t="s">
        <v>2915</v>
      </c>
      <c r="C219" s="9" t="s">
        <v>6236</v>
      </c>
      <c r="D219" s="9" t="s">
        <v>431</v>
      </c>
      <c r="E219" s="9" t="s">
        <v>368</v>
      </c>
      <c r="F219" s="9" t="s">
        <v>436</v>
      </c>
      <c r="G219" s="9" t="s">
        <v>434</v>
      </c>
      <c r="H219" s="87" t="s">
        <v>6237</v>
      </c>
      <c r="I219" s="87" t="s">
        <v>6238</v>
      </c>
      <c r="J219" s="87" t="s">
        <v>6239</v>
      </c>
      <c r="K219" s="87" t="s">
        <v>6240</v>
      </c>
      <c r="L219" s="87" t="s">
        <v>6656</v>
      </c>
      <c r="M219" s="9" t="s">
        <v>6242</v>
      </c>
      <c r="N219" s="87" t="s">
        <v>6239</v>
      </c>
      <c r="O219" s="9" t="s">
        <v>6243</v>
      </c>
      <c r="P219" s="87" t="s">
        <v>3764</v>
      </c>
      <c r="Q219" s="87" t="s">
        <v>6238</v>
      </c>
      <c r="R219" s="87" t="s">
        <v>6244</v>
      </c>
      <c r="S219" s="87" t="s">
        <v>6245</v>
      </c>
      <c r="T219" s="59">
        <f t="shared" si="0"/>
        <v>45006</v>
      </c>
    </row>
    <row r="220" spans="1:20" ht="15.75" customHeight="1">
      <c r="A220" s="9" t="s">
        <v>2915</v>
      </c>
      <c r="C220" s="9" t="s">
        <v>6236</v>
      </c>
      <c r="D220" s="9" t="s">
        <v>431</v>
      </c>
      <c r="E220" s="9" t="s">
        <v>368</v>
      </c>
      <c r="F220" s="9" t="s">
        <v>436</v>
      </c>
      <c r="G220" s="9" t="s">
        <v>434</v>
      </c>
      <c r="H220" s="87" t="s">
        <v>6237</v>
      </c>
      <c r="I220" s="87" t="s">
        <v>6238</v>
      </c>
      <c r="J220" s="87" t="s">
        <v>6245</v>
      </c>
      <c r="K220" s="87" t="s">
        <v>6240</v>
      </c>
      <c r="L220" s="87" t="s">
        <v>6657</v>
      </c>
      <c r="M220" s="9" t="s">
        <v>6247</v>
      </c>
      <c r="N220" s="87" t="s">
        <v>6245</v>
      </c>
      <c r="O220" s="9" t="s">
        <v>6243</v>
      </c>
      <c r="P220" s="87" t="s">
        <v>6238</v>
      </c>
      <c r="Q220" s="87" t="s">
        <v>6238</v>
      </c>
      <c r="R220" s="87" t="s">
        <v>6244</v>
      </c>
      <c r="S220" s="87" t="s">
        <v>6239</v>
      </c>
      <c r="T220" s="59">
        <f t="shared" si="0"/>
        <v>45005</v>
      </c>
    </row>
    <row r="221" spans="1:20" ht="15.75" customHeight="1">
      <c r="A221" s="9" t="s">
        <v>2909</v>
      </c>
      <c r="C221" s="9" t="s">
        <v>6236</v>
      </c>
      <c r="D221" s="9" t="s">
        <v>431</v>
      </c>
      <c r="E221" s="9" t="s">
        <v>368</v>
      </c>
      <c r="F221" s="9" t="s">
        <v>436</v>
      </c>
      <c r="G221" s="9" t="s">
        <v>434</v>
      </c>
      <c r="H221" s="87" t="s">
        <v>6237</v>
      </c>
      <c r="I221" s="87" t="s">
        <v>6515</v>
      </c>
      <c r="J221" s="87" t="s">
        <v>6239</v>
      </c>
      <c r="K221" s="87" t="s">
        <v>6240</v>
      </c>
      <c r="L221" s="87" t="s">
        <v>6658</v>
      </c>
      <c r="M221" s="9" t="s">
        <v>6242</v>
      </c>
      <c r="N221" s="87" t="s">
        <v>6239</v>
      </c>
      <c r="O221" s="9" t="s">
        <v>6243</v>
      </c>
      <c r="P221" s="87" t="s">
        <v>3764</v>
      </c>
      <c r="Q221" s="87" t="s">
        <v>6515</v>
      </c>
      <c r="R221" s="87" t="s">
        <v>6244</v>
      </c>
      <c r="S221" s="87" t="s">
        <v>6245</v>
      </c>
      <c r="T221" s="59">
        <f t="shared" si="0"/>
        <v>44990</v>
      </c>
    </row>
    <row r="222" spans="1:20" ht="15.75" customHeight="1">
      <c r="A222" s="9" t="s">
        <v>2909</v>
      </c>
      <c r="C222" s="9" t="s">
        <v>6236</v>
      </c>
      <c r="D222" s="9" t="s">
        <v>431</v>
      </c>
      <c r="E222" s="9" t="s">
        <v>368</v>
      </c>
      <c r="F222" s="9" t="s">
        <v>436</v>
      </c>
      <c r="G222" s="9" t="s">
        <v>434</v>
      </c>
      <c r="H222" s="87" t="s">
        <v>6237</v>
      </c>
      <c r="I222" s="87" t="s">
        <v>6515</v>
      </c>
      <c r="J222" s="87" t="s">
        <v>6455</v>
      </c>
      <c r="K222" s="87" t="s">
        <v>6240</v>
      </c>
      <c r="L222" s="87" t="s">
        <v>6659</v>
      </c>
      <c r="M222" s="9" t="s">
        <v>6626</v>
      </c>
      <c r="N222" s="87" t="s">
        <v>6455</v>
      </c>
      <c r="O222" s="9" t="s">
        <v>6243</v>
      </c>
      <c r="P222" s="87" t="s">
        <v>6627</v>
      </c>
      <c r="Q222" s="87" t="s">
        <v>6515</v>
      </c>
      <c r="R222" s="87" t="s">
        <v>6244</v>
      </c>
      <c r="S222" s="87" t="s">
        <v>6440</v>
      </c>
      <c r="T222" s="59">
        <f t="shared" si="0"/>
        <v>44989</v>
      </c>
    </row>
    <row r="223" spans="1:20" ht="15.75" customHeight="1">
      <c r="A223" s="9" t="s">
        <v>2908</v>
      </c>
      <c r="C223" s="9" t="s">
        <v>6236</v>
      </c>
      <c r="D223" s="9" t="s">
        <v>431</v>
      </c>
      <c r="E223" s="9" t="s">
        <v>368</v>
      </c>
      <c r="F223" s="9" t="s">
        <v>436</v>
      </c>
      <c r="G223" s="9" t="s">
        <v>434</v>
      </c>
      <c r="H223" s="87" t="s">
        <v>6264</v>
      </c>
      <c r="I223" s="87" t="s">
        <v>6660</v>
      </c>
      <c r="J223" s="87" t="s">
        <v>6239</v>
      </c>
      <c r="K223" s="87" t="s">
        <v>6240</v>
      </c>
      <c r="L223" s="87" t="s">
        <v>6661</v>
      </c>
      <c r="M223" s="9" t="s">
        <v>6242</v>
      </c>
      <c r="N223" s="87" t="s">
        <v>6239</v>
      </c>
      <c r="O223" s="9" t="s">
        <v>6243</v>
      </c>
      <c r="P223" s="87" t="s">
        <v>3764</v>
      </c>
      <c r="Q223" s="87" t="s">
        <v>6660</v>
      </c>
      <c r="R223" s="87" t="s">
        <v>6244</v>
      </c>
      <c r="S223" s="87" t="s">
        <v>6245</v>
      </c>
      <c r="T223" s="59">
        <f t="shared" si="0"/>
        <v>44980</v>
      </c>
    </row>
    <row r="224" spans="1:20" ht="15.75" customHeight="1">
      <c r="A224" s="9" t="s">
        <v>2908</v>
      </c>
      <c r="C224" s="9" t="s">
        <v>6236</v>
      </c>
      <c r="D224" s="9" t="s">
        <v>431</v>
      </c>
      <c r="E224" s="9" t="s">
        <v>368</v>
      </c>
      <c r="F224" s="9" t="s">
        <v>436</v>
      </c>
      <c r="G224" s="9" t="s">
        <v>434</v>
      </c>
      <c r="H224" s="87" t="s">
        <v>6264</v>
      </c>
      <c r="I224" s="87" t="s">
        <v>6660</v>
      </c>
      <c r="J224" s="87" t="s">
        <v>6239</v>
      </c>
      <c r="K224" s="87" t="s">
        <v>6240</v>
      </c>
      <c r="L224" s="87" t="s">
        <v>6662</v>
      </c>
      <c r="M224" s="9" t="s">
        <v>6242</v>
      </c>
      <c r="N224" s="87" t="s">
        <v>6239</v>
      </c>
      <c r="O224" s="9" t="s">
        <v>6243</v>
      </c>
      <c r="P224" s="87" t="s">
        <v>3764</v>
      </c>
      <c r="Q224" s="87" t="s">
        <v>6660</v>
      </c>
      <c r="R224" s="87" t="s">
        <v>6244</v>
      </c>
      <c r="S224" s="87" t="s">
        <v>6245</v>
      </c>
      <c r="T224" s="59">
        <f t="shared" si="0"/>
        <v>44979</v>
      </c>
    </row>
    <row r="225" spans="1:20" ht="15.75" customHeight="1">
      <c r="A225" s="9" t="s">
        <v>2908</v>
      </c>
      <c r="C225" s="9" t="s">
        <v>6236</v>
      </c>
      <c r="D225" s="9" t="s">
        <v>431</v>
      </c>
      <c r="E225" s="9" t="s">
        <v>368</v>
      </c>
      <c r="F225" s="9" t="s">
        <v>436</v>
      </c>
      <c r="G225" s="9" t="s">
        <v>434</v>
      </c>
      <c r="H225" s="87" t="s">
        <v>6264</v>
      </c>
      <c r="I225" s="87" t="s">
        <v>6660</v>
      </c>
      <c r="J225" s="87" t="s">
        <v>6526</v>
      </c>
      <c r="K225" s="87" t="s">
        <v>6240</v>
      </c>
      <c r="L225" s="87" t="s">
        <v>6663</v>
      </c>
      <c r="M225" s="9" t="s">
        <v>6664</v>
      </c>
      <c r="N225" s="87" t="s">
        <v>6526</v>
      </c>
      <c r="O225" s="9" t="s">
        <v>6243</v>
      </c>
      <c r="P225" s="87" t="s">
        <v>4023</v>
      </c>
      <c r="Q225" s="87" t="s">
        <v>6660</v>
      </c>
      <c r="R225" s="87" t="s">
        <v>6244</v>
      </c>
      <c r="S225" s="87" t="s">
        <v>6400</v>
      </c>
      <c r="T225" s="59">
        <f t="shared" si="0"/>
        <v>44978</v>
      </c>
    </row>
    <row r="226" spans="1:20" ht="15.75" customHeight="1">
      <c r="A226" s="9" t="s">
        <v>2963</v>
      </c>
      <c r="C226" s="9" t="s">
        <v>6236</v>
      </c>
      <c r="D226" s="9" t="s">
        <v>431</v>
      </c>
      <c r="E226" s="9" t="s">
        <v>368</v>
      </c>
      <c r="F226" s="9" t="s">
        <v>436</v>
      </c>
      <c r="G226" s="9" t="s">
        <v>434</v>
      </c>
      <c r="H226" s="87" t="s">
        <v>6237</v>
      </c>
      <c r="I226" s="87" t="s">
        <v>6451</v>
      </c>
      <c r="J226" s="87" t="s">
        <v>6451</v>
      </c>
      <c r="K226" s="87" t="s">
        <v>6240</v>
      </c>
      <c r="L226" s="87" t="s">
        <v>6665</v>
      </c>
      <c r="M226" s="9" t="s">
        <v>6666</v>
      </c>
      <c r="N226" s="87" t="s">
        <v>6451</v>
      </c>
      <c r="O226" s="9" t="s">
        <v>6243</v>
      </c>
      <c r="P226" s="87" t="s">
        <v>6410</v>
      </c>
      <c r="Q226" s="87" t="s">
        <v>6451</v>
      </c>
      <c r="R226" s="87" t="s">
        <v>6244</v>
      </c>
      <c r="S226" s="87" t="s">
        <v>6267</v>
      </c>
      <c r="T226" s="59">
        <f t="shared" si="0"/>
        <v>44970</v>
      </c>
    </row>
    <row r="227" spans="1:20" ht="15.75" customHeight="1">
      <c r="A227" s="9" t="s">
        <v>2919</v>
      </c>
      <c r="C227" s="9" t="s">
        <v>6236</v>
      </c>
      <c r="D227" s="9" t="s">
        <v>431</v>
      </c>
      <c r="E227" s="9" t="s">
        <v>368</v>
      </c>
      <c r="F227" s="9" t="s">
        <v>436</v>
      </c>
      <c r="G227" s="9" t="s">
        <v>434</v>
      </c>
      <c r="H227" s="87" t="s">
        <v>6237</v>
      </c>
      <c r="I227" s="87" t="s">
        <v>6238</v>
      </c>
      <c r="J227" s="87" t="s">
        <v>6239</v>
      </c>
      <c r="K227" s="87" t="s">
        <v>6240</v>
      </c>
      <c r="L227" s="87" t="s">
        <v>6667</v>
      </c>
      <c r="M227" s="9" t="s">
        <v>6242</v>
      </c>
      <c r="N227" s="87" t="s">
        <v>6239</v>
      </c>
      <c r="O227" s="9" t="s">
        <v>6243</v>
      </c>
      <c r="P227" s="87" t="s">
        <v>3764</v>
      </c>
      <c r="Q227" s="87" t="s">
        <v>6238</v>
      </c>
      <c r="R227" s="87" t="s">
        <v>6244</v>
      </c>
      <c r="S227" s="87" t="s">
        <v>6245</v>
      </c>
      <c r="T227" s="59">
        <f t="shared" si="0"/>
        <v>44969</v>
      </c>
    </row>
    <row r="228" spans="1:20" ht="15.75" customHeight="1">
      <c r="A228" s="9" t="s">
        <v>2919</v>
      </c>
      <c r="C228" s="9" t="s">
        <v>6236</v>
      </c>
      <c r="D228" s="9" t="s">
        <v>431</v>
      </c>
      <c r="E228" s="9" t="s">
        <v>368</v>
      </c>
      <c r="F228" s="9" t="s">
        <v>436</v>
      </c>
      <c r="G228" s="9" t="s">
        <v>434</v>
      </c>
      <c r="H228" s="87" t="s">
        <v>6237</v>
      </c>
      <c r="I228" s="87" t="s">
        <v>6238</v>
      </c>
      <c r="J228" s="87" t="s">
        <v>6245</v>
      </c>
      <c r="K228" s="87" t="s">
        <v>6240</v>
      </c>
      <c r="L228" s="87" t="s">
        <v>6668</v>
      </c>
      <c r="M228" s="9" t="s">
        <v>6247</v>
      </c>
      <c r="N228" s="87" t="s">
        <v>6245</v>
      </c>
      <c r="O228" s="9" t="s">
        <v>6243</v>
      </c>
      <c r="P228" s="87" t="s">
        <v>6238</v>
      </c>
      <c r="Q228" s="87" t="s">
        <v>6238</v>
      </c>
      <c r="R228" s="87" t="s">
        <v>6244</v>
      </c>
      <c r="S228" s="87" t="s">
        <v>6239</v>
      </c>
      <c r="T228" s="59">
        <f t="shared" si="0"/>
        <v>44968</v>
      </c>
    </row>
    <row r="229" spans="1:20" ht="15.75" customHeight="1">
      <c r="A229" s="9" t="s">
        <v>6669</v>
      </c>
      <c r="C229" s="9" t="s">
        <v>6236</v>
      </c>
      <c r="D229" s="9" t="s">
        <v>431</v>
      </c>
      <c r="E229" s="9" t="s">
        <v>368</v>
      </c>
      <c r="F229" s="9" t="s">
        <v>436</v>
      </c>
      <c r="G229" s="9" t="s">
        <v>434</v>
      </c>
      <c r="H229" s="87" t="s">
        <v>6237</v>
      </c>
      <c r="I229" s="87" t="s">
        <v>6264</v>
      </c>
      <c r="J229" s="87" t="s">
        <v>6264</v>
      </c>
      <c r="K229" s="87" t="s">
        <v>6240</v>
      </c>
      <c r="L229" s="87" t="s">
        <v>6670</v>
      </c>
      <c r="M229" s="9" t="s">
        <v>6502</v>
      </c>
      <c r="N229" s="87" t="s">
        <v>6264</v>
      </c>
      <c r="O229" s="9" t="s">
        <v>6243</v>
      </c>
      <c r="P229" s="87" t="s">
        <v>6313</v>
      </c>
      <c r="Q229" s="87" t="s">
        <v>6264</v>
      </c>
      <c r="R229" s="87" t="s">
        <v>6244</v>
      </c>
      <c r="S229" s="87" t="s">
        <v>6503</v>
      </c>
      <c r="T229" s="59">
        <f t="shared" si="0"/>
        <v>44965</v>
      </c>
    </row>
    <row r="230" spans="1:20" ht="15.75" customHeight="1">
      <c r="T230" s="59"/>
    </row>
    <row r="231" spans="1:20" ht="15.75" customHeight="1">
      <c r="T231" s="59"/>
    </row>
    <row r="232" spans="1:20" ht="15.75" customHeight="1">
      <c r="Q232" s="9">
        <f>(55+97)*5/60</f>
        <v>12.666666666666666</v>
      </c>
      <c r="T232" s="59"/>
    </row>
    <row r="233" spans="1:20" ht="15.75" customHeight="1">
      <c r="T233" s="59"/>
    </row>
    <row r="234" spans="1:20" ht="15.75" customHeight="1">
      <c r="Q234" s="9">
        <f>20+480+260</f>
        <v>760</v>
      </c>
      <c r="T234" s="59"/>
    </row>
    <row r="235" spans="1:20" ht="15.75" customHeight="1">
      <c r="Q235" s="9">
        <f>Q234/60</f>
        <v>12.666666666666666</v>
      </c>
      <c r="T235" s="59"/>
    </row>
    <row r="236" spans="1:20" ht="15.75" customHeight="1">
      <c r="T236" s="59"/>
    </row>
    <row r="237" spans="1:20" ht="15.75" customHeight="1">
      <c r="T237" s="59"/>
    </row>
    <row r="238" spans="1:20" ht="15.75" customHeight="1">
      <c r="T238" s="59"/>
    </row>
    <row r="239" spans="1:20" ht="15.75" customHeight="1">
      <c r="T239" s="59"/>
    </row>
    <row r="240" spans="1:20" ht="15.75" customHeight="1">
      <c r="T240" s="59"/>
    </row>
    <row r="241" spans="20:20" ht="15.75" customHeight="1">
      <c r="T241" s="59"/>
    </row>
    <row r="242" spans="20:20" ht="15.75" customHeight="1">
      <c r="T242" s="59"/>
    </row>
    <row r="243" spans="20:20" ht="15.75" customHeight="1">
      <c r="T243" s="59"/>
    </row>
    <row r="244" spans="20:20" ht="15.75" customHeight="1">
      <c r="T244" s="59"/>
    </row>
    <row r="245" spans="20:20" ht="15.75" customHeight="1">
      <c r="T245" s="59"/>
    </row>
    <row r="246" spans="20:20" ht="15.75" customHeight="1">
      <c r="T246" s="59"/>
    </row>
    <row r="247" spans="20:20" ht="15.75" customHeight="1">
      <c r="T247" s="59"/>
    </row>
    <row r="248" spans="20:20" ht="15.75" customHeight="1">
      <c r="T248" s="59"/>
    </row>
    <row r="249" spans="20:20" ht="15.75" customHeight="1">
      <c r="T249" s="59"/>
    </row>
    <row r="250" spans="20:20" ht="15.75" customHeight="1">
      <c r="T250" s="59"/>
    </row>
    <row r="251" spans="20:20" ht="15.75" customHeight="1">
      <c r="T251" s="59"/>
    </row>
    <row r="252" spans="20:20" ht="15.75" customHeight="1">
      <c r="T252" s="59"/>
    </row>
    <row r="253" spans="20:20" ht="15.75" customHeight="1">
      <c r="T253" s="59"/>
    </row>
    <row r="254" spans="20:20" ht="15.75" customHeight="1">
      <c r="T254" s="59"/>
    </row>
    <row r="255" spans="20:20" ht="15.75" customHeight="1">
      <c r="T255" s="59"/>
    </row>
    <row r="256" spans="20:20" ht="15.75" customHeight="1">
      <c r="T256" s="59"/>
    </row>
    <row r="257" spans="20:20" ht="15.75" customHeight="1">
      <c r="T257" s="59"/>
    </row>
    <row r="258" spans="20:20" ht="15.75" customHeight="1">
      <c r="T258" s="59"/>
    </row>
    <row r="259" spans="20:20" ht="15.75" customHeight="1">
      <c r="T259" s="59"/>
    </row>
    <row r="260" spans="20:20" ht="15.75" customHeight="1">
      <c r="T260" s="59"/>
    </row>
    <row r="261" spans="20:20" ht="15.75" customHeight="1">
      <c r="T261" s="59"/>
    </row>
    <row r="262" spans="20:20" ht="15.75" customHeight="1">
      <c r="T262" s="59"/>
    </row>
    <row r="263" spans="20:20" ht="15.75" customHeight="1">
      <c r="T263" s="59"/>
    </row>
    <row r="264" spans="20:20" ht="15.75" customHeight="1">
      <c r="T264" s="59"/>
    </row>
    <row r="265" spans="20:20" ht="15.75" customHeight="1">
      <c r="T265" s="59"/>
    </row>
    <row r="266" spans="20:20" ht="15.75" customHeight="1">
      <c r="T266" s="59"/>
    </row>
    <row r="267" spans="20:20" ht="15.75" customHeight="1">
      <c r="T267" s="59"/>
    </row>
    <row r="268" spans="20:20" ht="15.75" customHeight="1">
      <c r="T268" s="59"/>
    </row>
    <row r="269" spans="20:20" ht="15.75" customHeight="1">
      <c r="T269" s="59"/>
    </row>
    <row r="270" spans="20:20" ht="15.75" customHeight="1">
      <c r="T270" s="59"/>
    </row>
    <row r="271" spans="20:20" ht="15.75" customHeight="1">
      <c r="T271" s="59"/>
    </row>
    <row r="272" spans="20:20" ht="15.75" customHeight="1">
      <c r="T272" s="59"/>
    </row>
    <row r="273" spans="20:20" ht="15.75" customHeight="1">
      <c r="T273" s="59"/>
    </row>
    <row r="274" spans="20:20" ht="15.75" customHeight="1">
      <c r="T274" s="59"/>
    </row>
    <row r="275" spans="20:20" ht="15.75" customHeight="1">
      <c r="T275" s="59"/>
    </row>
    <row r="276" spans="20:20" ht="15.75" customHeight="1">
      <c r="T276" s="59"/>
    </row>
    <row r="277" spans="20:20" ht="15.75" customHeight="1">
      <c r="T277" s="59"/>
    </row>
    <row r="278" spans="20:20" ht="15.75" customHeight="1">
      <c r="T278" s="59"/>
    </row>
    <row r="279" spans="20:20" ht="15.75" customHeight="1">
      <c r="T279" s="59"/>
    </row>
    <row r="280" spans="20:20" ht="15.75" customHeight="1">
      <c r="T280" s="59"/>
    </row>
    <row r="281" spans="20:20" ht="15.75" customHeight="1">
      <c r="T281" s="59"/>
    </row>
    <row r="282" spans="20:20" ht="15.75" customHeight="1">
      <c r="T282" s="59"/>
    </row>
    <row r="283" spans="20:20" ht="15.75" customHeight="1">
      <c r="T283" s="59"/>
    </row>
    <row r="284" spans="20:20" ht="15.75" customHeight="1">
      <c r="T284" s="59"/>
    </row>
    <row r="285" spans="20:20" ht="15.75" customHeight="1">
      <c r="T285" s="59"/>
    </row>
    <row r="286" spans="20:20" ht="15.75" customHeight="1">
      <c r="T286" s="59"/>
    </row>
    <row r="287" spans="20:20" ht="15.75" customHeight="1">
      <c r="T287" s="59"/>
    </row>
    <row r="288" spans="20:20" ht="15.75" customHeight="1">
      <c r="T288" s="59"/>
    </row>
    <row r="289" spans="20:20" ht="15.75" customHeight="1">
      <c r="T289" s="59"/>
    </row>
    <row r="290" spans="20:20" ht="15.75" customHeight="1">
      <c r="T290" s="59"/>
    </row>
    <row r="291" spans="20:20" ht="15.75" customHeight="1">
      <c r="T291" s="59"/>
    </row>
    <row r="292" spans="20:20" ht="15.75" customHeight="1">
      <c r="T292" s="59"/>
    </row>
    <row r="293" spans="20:20" ht="15.75" customHeight="1">
      <c r="T293" s="59"/>
    </row>
    <row r="294" spans="20:20" ht="15.75" customHeight="1">
      <c r="T294" s="59"/>
    </row>
    <row r="295" spans="20:20" ht="15.75" customHeight="1">
      <c r="T295" s="59"/>
    </row>
    <row r="296" spans="20:20" ht="15.75" customHeight="1">
      <c r="T296" s="59"/>
    </row>
    <row r="297" spans="20:20" ht="15.75" customHeight="1">
      <c r="T297" s="59"/>
    </row>
    <row r="298" spans="20:20" ht="15.75" customHeight="1">
      <c r="T298" s="59"/>
    </row>
    <row r="299" spans="20:20" ht="15.75" customHeight="1">
      <c r="T299" s="59"/>
    </row>
    <row r="300" spans="20:20" ht="15.75" customHeight="1">
      <c r="T300" s="59"/>
    </row>
    <row r="301" spans="20:20" ht="15.75" customHeight="1">
      <c r="T301" s="59"/>
    </row>
    <row r="302" spans="20:20" ht="15.75" customHeight="1">
      <c r="T302" s="59"/>
    </row>
    <row r="303" spans="20:20" ht="15.75" customHeight="1">
      <c r="T303" s="59"/>
    </row>
    <row r="304" spans="20:20" ht="15.75" customHeight="1">
      <c r="T304" s="59"/>
    </row>
    <row r="305" spans="20:20" ht="15.75" customHeight="1">
      <c r="T305" s="59"/>
    </row>
    <row r="306" spans="20:20" ht="15.75" customHeight="1">
      <c r="T306" s="59"/>
    </row>
    <row r="307" spans="20:20" ht="15.75" customHeight="1">
      <c r="T307" s="59"/>
    </row>
    <row r="308" spans="20:20" ht="15.75" customHeight="1">
      <c r="T308" s="59"/>
    </row>
    <row r="309" spans="20:20" ht="15.75" customHeight="1">
      <c r="T309" s="59"/>
    </row>
    <row r="310" spans="20:20" ht="15.75" customHeight="1">
      <c r="T310" s="59"/>
    </row>
    <row r="311" spans="20:20" ht="15.75" customHeight="1">
      <c r="T311" s="59"/>
    </row>
    <row r="312" spans="20:20" ht="15.75" customHeight="1">
      <c r="T312" s="59"/>
    </row>
    <row r="313" spans="20:20" ht="15.75" customHeight="1">
      <c r="T313" s="59"/>
    </row>
    <row r="314" spans="20:20" ht="15.75" customHeight="1">
      <c r="T314" s="59"/>
    </row>
    <row r="315" spans="20:20" ht="15.75" customHeight="1">
      <c r="T315" s="59"/>
    </row>
    <row r="316" spans="20:20" ht="15.75" customHeight="1">
      <c r="T316" s="59"/>
    </row>
    <row r="317" spans="20:20" ht="15.75" customHeight="1">
      <c r="T317" s="59"/>
    </row>
    <row r="318" spans="20:20" ht="15.75" customHeight="1">
      <c r="T318" s="59"/>
    </row>
    <row r="319" spans="20:20" ht="15.75" customHeight="1">
      <c r="T319" s="59"/>
    </row>
    <row r="320" spans="20:20" ht="15.75" customHeight="1">
      <c r="T320" s="59"/>
    </row>
    <row r="321" spans="20:20" ht="15.75" customHeight="1">
      <c r="T321" s="59"/>
    </row>
    <row r="322" spans="20:20" ht="15.75" customHeight="1">
      <c r="T322" s="59"/>
    </row>
    <row r="323" spans="20:20" ht="15.75" customHeight="1">
      <c r="T323" s="59"/>
    </row>
    <row r="324" spans="20:20" ht="15.75" customHeight="1">
      <c r="T324" s="59"/>
    </row>
    <row r="325" spans="20:20" ht="15.75" customHeight="1">
      <c r="T325" s="59"/>
    </row>
    <row r="326" spans="20:20" ht="15.75" customHeight="1">
      <c r="T326" s="59"/>
    </row>
    <row r="327" spans="20:20" ht="15.75" customHeight="1">
      <c r="T327" s="59"/>
    </row>
    <row r="328" spans="20:20" ht="15.75" customHeight="1">
      <c r="T328" s="59"/>
    </row>
    <row r="329" spans="20:20" ht="15.75" customHeight="1">
      <c r="T329" s="59"/>
    </row>
    <row r="330" spans="20:20" ht="15.75" customHeight="1">
      <c r="T330" s="59"/>
    </row>
    <row r="331" spans="20:20" ht="15.75" customHeight="1">
      <c r="T331" s="59"/>
    </row>
    <row r="332" spans="20:20" ht="15.75" customHeight="1">
      <c r="T332" s="59"/>
    </row>
    <row r="333" spans="20:20" ht="15.75" customHeight="1">
      <c r="T333" s="59"/>
    </row>
    <row r="334" spans="20:20" ht="15.75" customHeight="1">
      <c r="T334" s="59"/>
    </row>
    <row r="335" spans="20:20" ht="15.75" customHeight="1">
      <c r="T335" s="59"/>
    </row>
    <row r="336" spans="20:20" ht="15.75" customHeight="1">
      <c r="T336" s="59"/>
    </row>
    <row r="337" spans="20:20" ht="15.75" customHeight="1">
      <c r="T337" s="59"/>
    </row>
    <row r="338" spans="20:20" ht="15.75" customHeight="1">
      <c r="T338" s="59"/>
    </row>
    <row r="339" spans="20:20" ht="15.75" customHeight="1">
      <c r="T339" s="59"/>
    </row>
    <row r="340" spans="20:20" ht="15.75" customHeight="1">
      <c r="T340" s="59"/>
    </row>
    <row r="341" spans="20:20" ht="15.75" customHeight="1">
      <c r="T341" s="59"/>
    </row>
    <row r="342" spans="20:20" ht="15.75" customHeight="1">
      <c r="T342" s="59"/>
    </row>
    <row r="343" spans="20:20" ht="15.75" customHeight="1">
      <c r="T343" s="59"/>
    </row>
    <row r="344" spans="20:20" ht="15.75" customHeight="1">
      <c r="T344" s="59"/>
    </row>
    <row r="345" spans="20:20" ht="15.75" customHeight="1">
      <c r="T345" s="59"/>
    </row>
    <row r="346" spans="20:20" ht="15.75" customHeight="1">
      <c r="T346" s="59"/>
    </row>
    <row r="347" spans="20:20" ht="15.75" customHeight="1">
      <c r="T347" s="59"/>
    </row>
    <row r="348" spans="20:20" ht="15.75" customHeight="1">
      <c r="T348" s="59"/>
    </row>
    <row r="349" spans="20:20" ht="15.75" customHeight="1">
      <c r="T349" s="59"/>
    </row>
    <row r="350" spans="20:20" ht="15.75" customHeight="1">
      <c r="T350" s="59"/>
    </row>
    <row r="351" spans="20:20" ht="15.75" customHeight="1">
      <c r="T351" s="59"/>
    </row>
    <row r="352" spans="20:20" ht="15.75" customHeight="1">
      <c r="T352" s="59"/>
    </row>
    <row r="353" spans="20:20" ht="15.75" customHeight="1">
      <c r="T353" s="59"/>
    </row>
    <row r="354" spans="20:20" ht="15.75" customHeight="1">
      <c r="T354" s="59"/>
    </row>
    <row r="355" spans="20:20" ht="15.75" customHeight="1">
      <c r="T355" s="59"/>
    </row>
    <row r="356" spans="20:20" ht="15.75" customHeight="1">
      <c r="T356" s="59"/>
    </row>
    <row r="357" spans="20:20" ht="15.75" customHeight="1">
      <c r="T357" s="59"/>
    </row>
    <row r="358" spans="20:20" ht="15.75" customHeight="1">
      <c r="T358" s="59"/>
    </row>
    <row r="359" spans="20:20" ht="15.75" customHeight="1">
      <c r="T359" s="59"/>
    </row>
    <row r="360" spans="20:20" ht="15.75" customHeight="1">
      <c r="T360" s="59"/>
    </row>
    <row r="361" spans="20:20" ht="15.75" customHeight="1">
      <c r="T361" s="59"/>
    </row>
    <row r="362" spans="20:20" ht="15.75" customHeight="1">
      <c r="T362" s="59"/>
    </row>
    <row r="363" spans="20:20" ht="15.75" customHeight="1">
      <c r="T363" s="59"/>
    </row>
    <row r="364" spans="20:20" ht="15.75" customHeight="1">
      <c r="T364" s="59"/>
    </row>
    <row r="365" spans="20:20" ht="15.75" customHeight="1">
      <c r="T365" s="59"/>
    </row>
    <row r="366" spans="20:20" ht="15.75" customHeight="1">
      <c r="T366" s="59"/>
    </row>
    <row r="367" spans="20:20" ht="15.75" customHeight="1">
      <c r="T367" s="59"/>
    </row>
    <row r="368" spans="20:20" ht="15.75" customHeight="1">
      <c r="T368" s="59"/>
    </row>
    <row r="369" spans="20:20" ht="15.75" customHeight="1">
      <c r="T369" s="59"/>
    </row>
    <row r="370" spans="20:20" ht="15.75" customHeight="1">
      <c r="T370" s="59"/>
    </row>
    <row r="371" spans="20:20" ht="15.75" customHeight="1">
      <c r="T371" s="59"/>
    </row>
    <row r="372" spans="20:20" ht="15.75" customHeight="1">
      <c r="T372" s="59"/>
    </row>
    <row r="373" spans="20:20" ht="15.75" customHeight="1">
      <c r="T373" s="59"/>
    </row>
    <row r="374" spans="20:20" ht="15.75" customHeight="1">
      <c r="T374" s="59"/>
    </row>
    <row r="375" spans="20:20" ht="15.75" customHeight="1">
      <c r="T375" s="59"/>
    </row>
    <row r="376" spans="20:20" ht="15.75" customHeight="1">
      <c r="T376" s="59"/>
    </row>
    <row r="377" spans="20:20" ht="15.75" customHeight="1">
      <c r="T377" s="59"/>
    </row>
    <row r="378" spans="20:20" ht="15.75" customHeight="1">
      <c r="T378" s="59"/>
    </row>
    <row r="379" spans="20:20" ht="15.75" customHeight="1">
      <c r="T379" s="59"/>
    </row>
    <row r="380" spans="20:20" ht="15.75" customHeight="1">
      <c r="T380" s="59"/>
    </row>
    <row r="381" spans="20:20" ht="15.75" customHeight="1">
      <c r="T381" s="59"/>
    </row>
    <row r="382" spans="20:20" ht="15.75" customHeight="1">
      <c r="T382" s="59"/>
    </row>
    <row r="383" spans="20:20" ht="15.75" customHeight="1">
      <c r="T383" s="59"/>
    </row>
    <row r="384" spans="20:20" ht="15.75" customHeight="1">
      <c r="T384" s="59"/>
    </row>
    <row r="385" spans="20:20" ht="15.75" customHeight="1">
      <c r="T385" s="59"/>
    </row>
    <row r="386" spans="20:20" ht="15.75" customHeight="1">
      <c r="T386" s="59"/>
    </row>
    <row r="387" spans="20:20" ht="15.75" customHeight="1">
      <c r="T387" s="59"/>
    </row>
    <row r="388" spans="20:20" ht="15.75" customHeight="1">
      <c r="T388" s="59"/>
    </row>
    <row r="389" spans="20:20" ht="15.75" customHeight="1">
      <c r="T389" s="59"/>
    </row>
    <row r="390" spans="20:20" ht="15.75" customHeight="1">
      <c r="T390" s="59"/>
    </row>
    <row r="391" spans="20:20" ht="15.75" customHeight="1">
      <c r="T391" s="59"/>
    </row>
    <row r="392" spans="20:20" ht="15.75" customHeight="1">
      <c r="T392" s="59"/>
    </row>
    <row r="393" spans="20:20" ht="15.75" customHeight="1">
      <c r="T393" s="59"/>
    </row>
    <row r="394" spans="20:20" ht="15.75" customHeight="1">
      <c r="T394" s="59"/>
    </row>
    <row r="395" spans="20:20" ht="15.75" customHeight="1">
      <c r="T395" s="59"/>
    </row>
    <row r="396" spans="20:20" ht="15.75" customHeight="1">
      <c r="T396" s="59"/>
    </row>
    <row r="397" spans="20:20" ht="15.75" customHeight="1">
      <c r="T397" s="59"/>
    </row>
    <row r="398" spans="20:20" ht="15.75" customHeight="1">
      <c r="T398" s="59"/>
    </row>
    <row r="399" spans="20:20" ht="15.75" customHeight="1">
      <c r="T399" s="59"/>
    </row>
    <row r="400" spans="20:20" ht="15.75" customHeight="1">
      <c r="T400" s="59"/>
    </row>
    <row r="401" spans="20:20" ht="15.75" customHeight="1">
      <c r="T401" s="59"/>
    </row>
    <row r="402" spans="20:20" ht="15.75" customHeight="1">
      <c r="T402" s="59"/>
    </row>
    <row r="403" spans="20:20" ht="15.75" customHeight="1">
      <c r="T403" s="59"/>
    </row>
    <row r="404" spans="20:20" ht="15.75" customHeight="1">
      <c r="T404" s="59"/>
    </row>
    <row r="405" spans="20:20" ht="15.75" customHeight="1">
      <c r="T405" s="59"/>
    </row>
    <row r="406" spans="20:20" ht="15.75" customHeight="1">
      <c r="T406" s="59"/>
    </row>
    <row r="407" spans="20:20" ht="15.75" customHeight="1">
      <c r="T407" s="59"/>
    </row>
    <row r="408" spans="20:20" ht="15.75" customHeight="1">
      <c r="T408" s="59"/>
    </row>
    <row r="409" spans="20:20" ht="15.75" customHeight="1">
      <c r="T409" s="59"/>
    </row>
    <row r="410" spans="20:20" ht="15.75" customHeight="1">
      <c r="T410" s="59"/>
    </row>
    <row r="411" spans="20:20" ht="15.75" customHeight="1">
      <c r="T411" s="59"/>
    </row>
    <row r="412" spans="20:20" ht="15.75" customHeight="1">
      <c r="T412" s="59"/>
    </row>
    <row r="413" spans="20:20" ht="15.75" customHeight="1">
      <c r="T413" s="59"/>
    </row>
    <row r="414" spans="20:20" ht="15.75" customHeight="1">
      <c r="T414" s="59"/>
    </row>
    <row r="415" spans="20:20" ht="15.75" customHeight="1">
      <c r="T415" s="59"/>
    </row>
    <row r="416" spans="20:20" ht="15.75" customHeight="1">
      <c r="T416" s="59"/>
    </row>
    <row r="417" spans="20:20" ht="15.75" customHeight="1">
      <c r="T417" s="59"/>
    </row>
    <row r="418" spans="20:20" ht="15.75" customHeight="1">
      <c r="T418" s="59"/>
    </row>
    <row r="419" spans="20:20" ht="15.75" customHeight="1">
      <c r="T419" s="59"/>
    </row>
    <row r="420" spans="20:20" ht="15.75" customHeight="1">
      <c r="T420" s="59"/>
    </row>
    <row r="421" spans="20:20" ht="15.75" customHeight="1">
      <c r="T421" s="59"/>
    </row>
    <row r="422" spans="20:20" ht="15.75" customHeight="1">
      <c r="T422" s="59"/>
    </row>
    <row r="423" spans="20:20" ht="15.75" customHeight="1">
      <c r="T423" s="59"/>
    </row>
    <row r="424" spans="20:20" ht="15.75" customHeight="1">
      <c r="T424" s="59"/>
    </row>
    <row r="425" spans="20:20" ht="15.75" customHeight="1">
      <c r="T425" s="59"/>
    </row>
    <row r="426" spans="20:20" ht="15.75" customHeight="1">
      <c r="T426" s="59"/>
    </row>
    <row r="427" spans="20:20" ht="15.75" customHeight="1">
      <c r="T427" s="59"/>
    </row>
    <row r="428" spans="20:20" ht="15.75" customHeight="1">
      <c r="T428" s="59"/>
    </row>
    <row r="429" spans="20:20" ht="15.75" customHeight="1">
      <c r="T429" s="59"/>
    </row>
    <row r="430" spans="20:20" ht="15.75" customHeight="1">
      <c r="T430" s="59"/>
    </row>
    <row r="431" spans="20:20" ht="15.75" customHeight="1">
      <c r="T431" s="59"/>
    </row>
    <row r="432" spans="20:20" ht="15.75" customHeight="1">
      <c r="T432" s="59"/>
    </row>
    <row r="433" spans="20:20" ht="15.75" customHeight="1">
      <c r="T433" s="59"/>
    </row>
    <row r="434" spans="20:20" ht="15.75" customHeight="1">
      <c r="T434" s="59"/>
    </row>
    <row r="435" spans="20:20" ht="15.75" customHeight="1">
      <c r="T435" s="59"/>
    </row>
    <row r="436" spans="20:20" ht="15.75" customHeight="1"/>
    <row r="437" spans="20:20" ht="15.75" customHeight="1"/>
    <row r="438" spans="20:20" ht="15.75" customHeight="1"/>
    <row r="439" spans="20:20" ht="15.75" customHeight="1"/>
    <row r="440" spans="20:20" ht="15.75" customHeight="1"/>
    <row r="441" spans="20:20" ht="15.75" customHeight="1"/>
    <row r="442" spans="20:20" ht="15.75" customHeight="1"/>
    <row r="443" spans="20:20" ht="15.75" customHeight="1"/>
    <row r="444" spans="20:20" ht="15.75" customHeight="1"/>
    <row r="445" spans="20:20" ht="15.75" customHeight="1"/>
    <row r="446" spans="20:20" ht="15.75" customHeight="1"/>
    <row r="447" spans="20:20" ht="15.75" customHeight="1"/>
    <row r="448" spans="20:20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229" xr:uid="{00000000-0009-0000-0000-00000B000000}"/>
  <phoneticPr fontId="42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S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19" ht="15.75" customHeight="1">
      <c r="A1" s="9" t="s">
        <v>2817</v>
      </c>
      <c r="B1" s="9" t="s">
        <v>6223</v>
      </c>
      <c r="C1" s="9" t="s">
        <v>6224</v>
      </c>
      <c r="D1" s="9" t="s">
        <v>6225</v>
      </c>
      <c r="E1" s="9" t="s">
        <v>360</v>
      </c>
      <c r="F1" s="9" t="s">
        <v>421</v>
      </c>
      <c r="G1" s="9" t="s">
        <v>415</v>
      </c>
      <c r="H1" s="9" t="s">
        <v>420</v>
      </c>
      <c r="I1" s="9" t="s">
        <v>6226</v>
      </c>
      <c r="J1" s="9" t="s">
        <v>6227</v>
      </c>
      <c r="K1" s="9" t="s">
        <v>6228</v>
      </c>
      <c r="L1" s="9" t="s">
        <v>358</v>
      </c>
      <c r="M1" s="9" t="s">
        <v>6229</v>
      </c>
      <c r="N1" s="9" t="s">
        <v>6230</v>
      </c>
      <c r="O1" s="9" t="s">
        <v>6231</v>
      </c>
      <c r="P1" s="9" t="s">
        <v>6232</v>
      </c>
      <c r="Q1" s="9" t="s">
        <v>6233</v>
      </c>
      <c r="R1" s="9" t="s">
        <v>6234</v>
      </c>
      <c r="S1" s="9" t="s">
        <v>6235</v>
      </c>
    </row>
    <row r="2" spans="1:19" ht="15.75" customHeight="1">
      <c r="A2" s="9" t="s">
        <v>2945</v>
      </c>
      <c r="C2" s="9" t="s">
        <v>6671</v>
      </c>
      <c r="D2" s="9" t="s">
        <v>6672</v>
      </c>
      <c r="E2" s="9" t="s">
        <v>439</v>
      </c>
      <c r="F2" s="9" t="s">
        <v>436</v>
      </c>
      <c r="G2" s="9" t="s">
        <v>440</v>
      </c>
      <c r="H2" s="87" t="s">
        <v>6405</v>
      </c>
      <c r="I2" s="87" t="s">
        <v>6357</v>
      </c>
      <c r="J2" s="87" t="s">
        <v>6357</v>
      </c>
      <c r="K2" s="87" t="s">
        <v>6240</v>
      </c>
      <c r="L2" s="87" t="s">
        <v>6673</v>
      </c>
      <c r="M2" s="9" t="s">
        <v>6674</v>
      </c>
      <c r="N2" s="87" t="s">
        <v>6357</v>
      </c>
      <c r="O2" s="9" t="s">
        <v>6243</v>
      </c>
      <c r="P2" s="87" t="s">
        <v>6565</v>
      </c>
      <c r="Q2" s="87" t="s">
        <v>6357</v>
      </c>
      <c r="R2" s="87" t="s">
        <v>6645</v>
      </c>
      <c r="S2" s="87" t="s">
        <v>6329</v>
      </c>
    </row>
    <row r="3" spans="1:19" ht="15.75" customHeight="1">
      <c r="A3" s="9" t="s">
        <v>2945</v>
      </c>
      <c r="C3" s="9" t="s">
        <v>6236</v>
      </c>
      <c r="D3" s="9" t="s">
        <v>431</v>
      </c>
      <c r="E3" s="9" t="s">
        <v>368</v>
      </c>
      <c r="F3" s="9" t="s">
        <v>436</v>
      </c>
      <c r="G3" s="9" t="s">
        <v>434</v>
      </c>
      <c r="H3" s="87" t="s">
        <v>6237</v>
      </c>
      <c r="I3" s="87" t="s">
        <v>6238</v>
      </c>
      <c r="J3" s="87" t="s">
        <v>6245</v>
      </c>
      <c r="K3" s="87" t="s">
        <v>6240</v>
      </c>
      <c r="L3" s="87" t="s">
        <v>6246</v>
      </c>
      <c r="M3" s="9" t="s">
        <v>6675</v>
      </c>
      <c r="N3" s="87" t="s">
        <v>6245</v>
      </c>
      <c r="O3" s="9" t="s">
        <v>6243</v>
      </c>
      <c r="P3" s="87" t="s">
        <v>6238</v>
      </c>
      <c r="Q3" s="87" t="s">
        <v>6238</v>
      </c>
      <c r="R3" s="87" t="s">
        <v>6645</v>
      </c>
      <c r="S3" s="87" t="s">
        <v>6500</v>
      </c>
    </row>
    <row r="4" spans="1:19" ht="15.75" customHeight="1">
      <c r="A4" s="9" t="s">
        <v>2945</v>
      </c>
      <c r="C4" s="9" t="s">
        <v>6236</v>
      </c>
      <c r="D4" s="9" t="s">
        <v>431</v>
      </c>
      <c r="E4" s="9" t="s">
        <v>368</v>
      </c>
      <c r="F4" s="9" t="s">
        <v>436</v>
      </c>
      <c r="G4" s="9" t="s">
        <v>434</v>
      </c>
      <c r="H4" s="87" t="s">
        <v>6237</v>
      </c>
      <c r="I4" s="87" t="s">
        <v>6238</v>
      </c>
      <c r="J4" s="87" t="s">
        <v>6239</v>
      </c>
      <c r="K4" s="87" t="s">
        <v>6240</v>
      </c>
      <c r="L4" s="87" t="s">
        <v>6241</v>
      </c>
      <c r="M4" s="9" t="s">
        <v>6676</v>
      </c>
      <c r="N4" s="87" t="s">
        <v>6239</v>
      </c>
      <c r="O4" s="9" t="s">
        <v>6243</v>
      </c>
      <c r="P4" s="87" t="s">
        <v>3764</v>
      </c>
      <c r="Q4" s="87" t="s">
        <v>6238</v>
      </c>
      <c r="R4" s="87" t="s">
        <v>6645</v>
      </c>
      <c r="S4" s="87" t="s">
        <v>6327</v>
      </c>
    </row>
    <row r="5" spans="1:19" ht="15.75" customHeight="1">
      <c r="A5" s="9" t="s">
        <v>2963</v>
      </c>
      <c r="C5" s="9" t="s">
        <v>6671</v>
      </c>
      <c r="D5" s="9" t="s">
        <v>6672</v>
      </c>
      <c r="E5" s="9" t="s">
        <v>439</v>
      </c>
      <c r="F5" s="9" t="s">
        <v>436</v>
      </c>
      <c r="G5" s="9" t="s">
        <v>440</v>
      </c>
      <c r="H5" s="87" t="s">
        <v>6405</v>
      </c>
      <c r="I5" s="87" t="s">
        <v>6570</v>
      </c>
      <c r="J5" s="87" t="s">
        <v>6570</v>
      </c>
      <c r="K5" s="87" t="s">
        <v>6240</v>
      </c>
      <c r="L5" s="87" t="s">
        <v>6677</v>
      </c>
      <c r="M5" s="9" t="s">
        <v>6678</v>
      </c>
      <c r="N5" s="87" t="s">
        <v>6570</v>
      </c>
      <c r="O5" s="9" t="s">
        <v>6243</v>
      </c>
      <c r="P5" s="87" t="s">
        <v>6573</v>
      </c>
      <c r="Q5" s="87" t="s">
        <v>6570</v>
      </c>
      <c r="R5" s="87" t="s">
        <v>6645</v>
      </c>
      <c r="S5" s="87" t="s">
        <v>6316</v>
      </c>
    </row>
    <row r="6" spans="1:19" ht="15.75" customHeight="1">
      <c r="A6" s="9" t="s">
        <v>2919</v>
      </c>
      <c r="C6" s="9" t="s">
        <v>6236</v>
      </c>
      <c r="D6" s="9" t="s">
        <v>431</v>
      </c>
      <c r="E6" s="9" t="s">
        <v>368</v>
      </c>
      <c r="F6" s="9" t="s">
        <v>436</v>
      </c>
      <c r="G6" s="9" t="s">
        <v>434</v>
      </c>
      <c r="H6" s="87" t="s">
        <v>6237</v>
      </c>
      <c r="I6" s="87" t="s">
        <v>6238</v>
      </c>
      <c r="J6" s="87" t="s">
        <v>6239</v>
      </c>
      <c r="K6" s="87" t="s">
        <v>6240</v>
      </c>
      <c r="L6" s="87" t="s">
        <v>6677</v>
      </c>
      <c r="M6" s="9" t="s">
        <v>6676</v>
      </c>
      <c r="N6" s="87" t="s">
        <v>6239</v>
      </c>
      <c r="O6" s="9" t="s">
        <v>6243</v>
      </c>
      <c r="P6" s="87" t="s">
        <v>3764</v>
      </c>
      <c r="Q6" s="87" t="s">
        <v>6238</v>
      </c>
      <c r="R6" s="87" t="s">
        <v>6645</v>
      </c>
      <c r="S6" s="87" t="s">
        <v>6327</v>
      </c>
    </row>
    <row r="7" spans="1:19" ht="15.75" customHeight="1">
      <c r="A7" s="9" t="s">
        <v>2963</v>
      </c>
      <c r="C7" s="9" t="s">
        <v>6236</v>
      </c>
      <c r="D7" s="9" t="s">
        <v>431</v>
      </c>
      <c r="E7" s="9" t="s">
        <v>368</v>
      </c>
      <c r="F7" s="9" t="s">
        <v>436</v>
      </c>
      <c r="G7" s="9" t="s">
        <v>434</v>
      </c>
      <c r="H7" s="87" t="s">
        <v>6237</v>
      </c>
      <c r="I7" s="87" t="s">
        <v>6451</v>
      </c>
      <c r="J7" s="87" t="s">
        <v>6451</v>
      </c>
      <c r="K7" s="87" t="s">
        <v>6240</v>
      </c>
      <c r="L7" s="87" t="s">
        <v>6665</v>
      </c>
      <c r="M7" s="9" t="s">
        <v>6679</v>
      </c>
      <c r="N7" s="87" t="s">
        <v>6451</v>
      </c>
      <c r="O7" s="9" t="s">
        <v>6243</v>
      </c>
      <c r="P7" s="87" t="s">
        <v>6410</v>
      </c>
      <c r="Q7" s="87" t="s">
        <v>6451</v>
      </c>
      <c r="R7" s="87" t="s">
        <v>6645</v>
      </c>
      <c r="S7" s="87" t="s">
        <v>6651</v>
      </c>
    </row>
    <row r="8" spans="1:19" ht="15.75" customHeight="1">
      <c r="A8" s="9" t="s">
        <v>2908</v>
      </c>
      <c r="C8" s="9" t="s">
        <v>6671</v>
      </c>
      <c r="D8" s="9" t="s">
        <v>6672</v>
      </c>
      <c r="E8" s="9" t="s">
        <v>439</v>
      </c>
      <c r="F8" s="9" t="s">
        <v>436</v>
      </c>
      <c r="G8" s="9" t="s">
        <v>440</v>
      </c>
      <c r="H8" s="87" t="s">
        <v>6405</v>
      </c>
      <c r="I8" s="87" t="s">
        <v>6680</v>
      </c>
      <c r="J8" s="87" t="s">
        <v>6440</v>
      </c>
      <c r="K8" s="87" t="s">
        <v>6240</v>
      </c>
      <c r="L8" s="87" t="s">
        <v>6681</v>
      </c>
      <c r="M8" s="9" t="s">
        <v>6682</v>
      </c>
      <c r="N8" s="87" t="s">
        <v>6440</v>
      </c>
      <c r="O8" s="9" t="s">
        <v>6243</v>
      </c>
      <c r="P8" s="87" t="s">
        <v>5063</v>
      </c>
      <c r="Q8" s="87" t="s">
        <v>6680</v>
      </c>
      <c r="R8" s="87" t="s">
        <v>6645</v>
      </c>
      <c r="S8" s="87" t="s">
        <v>6535</v>
      </c>
    </row>
    <row r="9" spans="1:19" ht="15.75" customHeight="1">
      <c r="A9" s="9" t="s">
        <v>2908</v>
      </c>
      <c r="C9" s="9" t="s">
        <v>6671</v>
      </c>
      <c r="D9" s="9" t="s">
        <v>6672</v>
      </c>
      <c r="E9" s="9" t="s">
        <v>439</v>
      </c>
      <c r="F9" s="9" t="s">
        <v>436</v>
      </c>
      <c r="G9" s="9" t="s">
        <v>440</v>
      </c>
      <c r="H9" s="87" t="s">
        <v>6405</v>
      </c>
      <c r="I9" s="87" t="s">
        <v>6680</v>
      </c>
      <c r="J9" s="87" t="s">
        <v>6239</v>
      </c>
      <c r="K9" s="87" t="s">
        <v>6240</v>
      </c>
      <c r="L9" s="87" t="s">
        <v>6683</v>
      </c>
      <c r="M9" s="9" t="s">
        <v>6676</v>
      </c>
      <c r="N9" s="87" t="s">
        <v>6239</v>
      </c>
      <c r="O9" s="9" t="s">
        <v>6243</v>
      </c>
      <c r="P9" s="87" t="s">
        <v>3764</v>
      </c>
      <c r="Q9" s="87" t="s">
        <v>6680</v>
      </c>
      <c r="R9" s="87" t="s">
        <v>6645</v>
      </c>
      <c r="S9" s="87" t="s">
        <v>6327</v>
      </c>
    </row>
    <row r="10" spans="1:19" ht="15.75" customHeight="1">
      <c r="A10" s="9" t="s">
        <v>2908</v>
      </c>
      <c r="C10" s="9" t="s">
        <v>6671</v>
      </c>
      <c r="D10" s="9" t="s">
        <v>6672</v>
      </c>
      <c r="E10" s="9" t="s">
        <v>439</v>
      </c>
      <c r="F10" s="9" t="s">
        <v>436</v>
      </c>
      <c r="G10" s="9" t="s">
        <v>440</v>
      </c>
      <c r="H10" s="87" t="s">
        <v>6405</v>
      </c>
      <c r="I10" s="87" t="s">
        <v>6680</v>
      </c>
      <c r="J10" s="87" t="s">
        <v>6239</v>
      </c>
      <c r="K10" s="87" t="s">
        <v>6240</v>
      </c>
      <c r="L10" s="87" t="s">
        <v>6684</v>
      </c>
      <c r="M10" s="9" t="s">
        <v>6676</v>
      </c>
      <c r="N10" s="87" t="s">
        <v>6239</v>
      </c>
      <c r="O10" s="9" t="s">
        <v>6243</v>
      </c>
      <c r="P10" s="87" t="s">
        <v>3764</v>
      </c>
      <c r="Q10" s="87" t="s">
        <v>6680</v>
      </c>
      <c r="R10" s="87" t="s">
        <v>6645</v>
      </c>
      <c r="S10" s="87" t="s">
        <v>6327</v>
      </c>
    </row>
    <row r="11" spans="1:19" ht="15.75" customHeight="1">
      <c r="A11" s="9" t="s">
        <v>2908</v>
      </c>
      <c r="C11" s="9" t="s">
        <v>6236</v>
      </c>
      <c r="D11" s="9" t="s">
        <v>431</v>
      </c>
      <c r="E11" s="9" t="s">
        <v>368</v>
      </c>
      <c r="F11" s="9" t="s">
        <v>436</v>
      </c>
      <c r="G11" s="9" t="s">
        <v>434</v>
      </c>
      <c r="H11" s="87" t="s">
        <v>6264</v>
      </c>
      <c r="I11" s="87" t="s">
        <v>6660</v>
      </c>
      <c r="J11" s="87" t="s">
        <v>6526</v>
      </c>
      <c r="K11" s="87" t="s">
        <v>6240</v>
      </c>
      <c r="L11" s="87" t="s">
        <v>6663</v>
      </c>
      <c r="M11" s="9" t="s">
        <v>6685</v>
      </c>
      <c r="N11" s="87" t="s">
        <v>6526</v>
      </c>
      <c r="O11" s="9" t="s">
        <v>6243</v>
      </c>
      <c r="P11" s="87" t="s">
        <v>4023</v>
      </c>
      <c r="Q11" s="87" t="s">
        <v>6660</v>
      </c>
      <c r="R11" s="87" t="s">
        <v>6645</v>
      </c>
      <c r="S11" s="87" t="s">
        <v>6486</v>
      </c>
    </row>
    <row r="12" spans="1:19" ht="15.75" customHeight="1">
      <c r="A12" s="9" t="s">
        <v>2908</v>
      </c>
      <c r="C12" s="9" t="s">
        <v>6236</v>
      </c>
      <c r="D12" s="9" t="s">
        <v>431</v>
      </c>
      <c r="E12" s="9" t="s">
        <v>368</v>
      </c>
      <c r="F12" s="9" t="s">
        <v>436</v>
      </c>
      <c r="G12" s="9" t="s">
        <v>434</v>
      </c>
      <c r="H12" s="87" t="s">
        <v>6264</v>
      </c>
      <c r="I12" s="87" t="s">
        <v>6660</v>
      </c>
      <c r="J12" s="87" t="s">
        <v>6239</v>
      </c>
      <c r="K12" s="87" t="s">
        <v>6240</v>
      </c>
      <c r="L12" s="87" t="s">
        <v>6662</v>
      </c>
      <c r="M12" s="9" t="s">
        <v>6676</v>
      </c>
      <c r="N12" s="87" t="s">
        <v>6239</v>
      </c>
      <c r="O12" s="9" t="s">
        <v>6243</v>
      </c>
      <c r="P12" s="87" t="s">
        <v>3764</v>
      </c>
      <c r="Q12" s="87" t="s">
        <v>6660</v>
      </c>
      <c r="R12" s="87" t="s">
        <v>6645</v>
      </c>
      <c r="S12" s="87" t="s">
        <v>6327</v>
      </c>
    </row>
    <row r="13" spans="1:19" ht="15.75" customHeight="1">
      <c r="A13" s="9" t="s">
        <v>2908</v>
      </c>
      <c r="C13" s="9" t="s">
        <v>6236</v>
      </c>
      <c r="D13" s="9" t="s">
        <v>431</v>
      </c>
      <c r="E13" s="9" t="s">
        <v>368</v>
      </c>
      <c r="F13" s="9" t="s">
        <v>436</v>
      </c>
      <c r="G13" s="9" t="s">
        <v>434</v>
      </c>
      <c r="H13" s="87" t="s">
        <v>6264</v>
      </c>
      <c r="I13" s="87" t="s">
        <v>6660</v>
      </c>
      <c r="J13" s="87" t="s">
        <v>6239</v>
      </c>
      <c r="K13" s="87" t="s">
        <v>6240</v>
      </c>
      <c r="L13" s="87" t="s">
        <v>6661</v>
      </c>
      <c r="M13" s="9" t="s">
        <v>6676</v>
      </c>
      <c r="N13" s="87" t="s">
        <v>6239</v>
      </c>
      <c r="O13" s="9" t="s">
        <v>6243</v>
      </c>
      <c r="P13" s="87" t="s">
        <v>3764</v>
      </c>
      <c r="Q13" s="87" t="s">
        <v>6660</v>
      </c>
      <c r="R13" s="87" t="s">
        <v>6645</v>
      </c>
      <c r="S13" s="87" t="s">
        <v>6327</v>
      </c>
    </row>
    <row r="14" spans="1:19" ht="15.75" customHeight="1">
      <c r="A14" s="9" t="s">
        <v>2909</v>
      </c>
      <c r="C14" s="9" t="s">
        <v>6671</v>
      </c>
      <c r="D14" s="9" t="s">
        <v>6672</v>
      </c>
      <c r="E14" s="9" t="s">
        <v>439</v>
      </c>
      <c r="F14" s="9" t="s">
        <v>436</v>
      </c>
      <c r="G14" s="9" t="s">
        <v>440</v>
      </c>
      <c r="H14" s="87" t="s">
        <v>6405</v>
      </c>
      <c r="I14" s="87" t="s">
        <v>6562</v>
      </c>
      <c r="J14" s="87" t="s">
        <v>6421</v>
      </c>
      <c r="K14" s="87" t="s">
        <v>6240</v>
      </c>
      <c r="L14" s="87" t="s">
        <v>6686</v>
      </c>
      <c r="M14" s="9" t="s">
        <v>6687</v>
      </c>
      <c r="N14" s="87" t="s">
        <v>6421</v>
      </c>
      <c r="O14" s="9" t="s">
        <v>6243</v>
      </c>
      <c r="P14" s="87" t="s">
        <v>6316</v>
      </c>
      <c r="Q14" s="87" t="s">
        <v>6562</v>
      </c>
      <c r="R14" s="87" t="s">
        <v>6645</v>
      </c>
      <c r="S14" s="87" t="s">
        <v>6532</v>
      </c>
    </row>
    <row r="15" spans="1:19" ht="15.75" customHeight="1">
      <c r="A15" s="9" t="s">
        <v>2919</v>
      </c>
      <c r="C15" s="9" t="s">
        <v>6236</v>
      </c>
      <c r="D15" s="9" t="s">
        <v>431</v>
      </c>
      <c r="E15" s="9" t="s">
        <v>368</v>
      </c>
      <c r="F15" s="9" t="s">
        <v>436</v>
      </c>
      <c r="G15" s="9" t="s">
        <v>434</v>
      </c>
      <c r="H15" s="87" t="s">
        <v>6237</v>
      </c>
      <c r="I15" s="87" t="s">
        <v>6238</v>
      </c>
      <c r="J15" s="87" t="s">
        <v>6245</v>
      </c>
      <c r="K15" s="87" t="s">
        <v>6240</v>
      </c>
      <c r="L15" s="87" t="s">
        <v>6688</v>
      </c>
      <c r="M15" s="9" t="s">
        <v>6675</v>
      </c>
      <c r="N15" s="87" t="s">
        <v>6245</v>
      </c>
      <c r="O15" s="9" t="s">
        <v>6243</v>
      </c>
      <c r="P15" s="87" t="s">
        <v>6238</v>
      </c>
      <c r="Q15" s="87" t="s">
        <v>6238</v>
      </c>
      <c r="R15" s="87" t="s">
        <v>6645</v>
      </c>
      <c r="S15" s="87" t="s">
        <v>6500</v>
      </c>
    </row>
    <row r="16" spans="1:19" ht="15.75" customHeight="1">
      <c r="A16" s="9" t="s">
        <v>2915</v>
      </c>
      <c r="C16" s="9" t="s">
        <v>6671</v>
      </c>
      <c r="D16" s="9" t="s">
        <v>6672</v>
      </c>
      <c r="E16" s="9" t="s">
        <v>439</v>
      </c>
      <c r="F16" s="9" t="s">
        <v>436</v>
      </c>
      <c r="G16" s="9" t="s">
        <v>440</v>
      </c>
      <c r="H16" s="87" t="s">
        <v>6405</v>
      </c>
      <c r="I16" s="87" t="s">
        <v>6357</v>
      </c>
      <c r="J16" s="87" t="s">
        <v>6357</v>
      </c>
      <c r="K16" s="87" t="s">
        <v>6240</v>
      </c>
      <c r="L16" s="87" t="s">
        <v>6689</v>
      </c>
      <c r="M16" s="9" t="s">
        <v>6674</v>
      </c>
      <c r="N16" s="87" t="s">
        <v>6357</v>
      </c>
      <c r="O16" s="9" t="s">
        <v>6243</v>
      </c>
      <c r="P16" s="87" t="s">
        <v>6565</v>
      </c>
      <c r="Q16" s="87" t="s">
        <v>6357</v>
      </c>
      <c r="R16" s="87" t="s">
        <v>6645</v>
      </c>
      <c r="S16" s="87" t="s">
        <v>6329</v>
      </c>
    </row>
    <row r="17" spans="1:19" ht="15.75" customHeight="1">
      <c r="A17" s="9" t="s">
        <v>2909</v>
      </c>
      <c r="C17" s="9" t="s">
        <v>6671</v>
      </c>
      <c r="D17" s="9" t="s">
        <v>6672</v>
      </c>
      <c r="E17" s="9" t="s">
        <v>439</v>
      </c>
      <c r="F17" s="9" t="s">
        <v>436</v>
      </c>
      <c r="G17" s="9" t="s">
        <v>440</v>
      </c>
      <c r="H17" s="87" t="s">
        <v>6405</v>
      </c>
      <c r="I17" s="87" t="s">
        <v>6562</v>
      </c>
      <c r="J17" s="87" t="s">
        <v>6239</v>
      </c>
      <c r="K17" s="87" t="s">
        <v>6240</v>
      </c>
      <c r="L17" s="87" t="s">
        <v>6690</v>
      </c>
      <c r="M17" s="9" t="s">
        <v>6676</v>
      </c>
      <c r="N17" s="87" t="s">
        <v>6239</v>
      </c>
      <c r="O17" s="9" t="s">
        <v>6243</v>
      </c>
      <c r="P17" s="87" t="s">
        <v>3764</v>
      </c>
      <c r="Q17" s="87" t="s">
        <v>6562</v>
      </c>
      <c r="R17" s="87" t="s">
        <v>6645</v>
      </c>
      <c r="S17" s="87" t="s">
        <v>6327</v>
      </c>
    </row>
    <row r="18" spans="1:19" ht="15.75" customHeight="1">
      <c r="A18" s="9" t="s">
        <v>2915</v>
      </c>
      <c r="C18" s="9" t="s">
        <v>6236</v>
      </c>
      <c r="D18" s="9" t="s">
        <v>431</v>
      </c>
      <c r="E18" s="9" t="s">
        <v>368</v>
      </c>
      <c r="F18" s="9" t="s">
        <v>436</v>
      </c>
      <c r="G18" s="9" t="s">
        <v>434</v>
      </c>
      <c r="H18" s="87" t="s">
        <v>6237</v>
      </c>
      <c r="I18" s="87" t="s">
        <v>6238</v>
      </c>
      <c r="J18" s="87" t="s">
        <v>6245</v>
      </c>
      <c r="K18" s="87" t="s">
        <v>6240</v>
      </c>
      <c r="L18" s="87" t="s">
        <v>6657</v>
      </c>
      <c r="M18" s="9" t="s">
        <v>6675</v>
      </c>
      <c r="N18" s="87" t="s">
        <v>6245</v>
      </c>
      <c r="O18" s="9" t="s">
        <v>6243</v>
      </c>
      <c r="P18" s="87" t="s">
        <v>6238</v>
      </c>
      <c r="Q18" s="87" t="s">
        <v>6238</v>
      </c>
      <c r="R18" s="87" t="s">
        <v>6645</v>
      </c>
      <c r="S18" s="87" t="s">
        <v>6500</v>
      </c>
    </row>
    <row r="19" spans="1:19" ht="15.75" customHeight="1">
      <c r="A19" s="9" t="s">
        <v>2915</v>
      </c>
      <c r="C19" s="9" t="s">
        <v>6236</v>
      </c>
      <c r="D19" s="9" t="s">
        <v>431</v>
      </c>
      <c r="E19" s="9" t="s">
        <v>368</v>
      </c>
      <c r="F19" s="9" t="s">
        <v>436</v>
      </c>
      <c r="G19" s="9" t="s">
        <v>434</v>
      </c>
      <c r="H19" s="87" t="s">
        <v>6237</v>
      </c>
      <c r="I19" s="87" t="s">
        <v>6238</v>
      </c>
      <c r="J19" s="87" t="s">
        <v>6239</v>
      </c>
      <c r="K19" s="87" t="s">
        <v>6240</v>
      </c>
      <c r="L19" s="87" t="s">
        <v>6656</v>
      </c>
      <c r="M19" s="9" t="s">
        <v>6676</v>
      </c>
      <c r="N19" s="87" t="s">
        <v>6239</v>
      </c>
      <c r="O19" s="9" t="s">
        <v>6243</v>
      </c>
      <c r="P19" s="87" t="s">
        <v>3764</v>
      </c>
      <c r="Q19" s="87" t="s">
        <v>6238</v>
      </c>
      <c r="R19" s="87" t="s">
        <v>6645</v>
      </c>
      <c r="S19" s="87" t="s">
        <v>6327</v>
      </c>
    </row>
    <row r="20" spans="1:19" ht="15.75" customHeight="1">
      <c r="A20" s="9" t="s">
        <v>2926</v>
      </c>
      <c r="C20" s="9" t="s">
        <v>6671</v>
      </c>
      <c r="D20" s="9" t="s">
        <v>6672</v>
      </c>
      <c r="E20" s="9" t="s">
        <v>439</v>
      </c>
      <c r="F20" s="9" t="s">
        <v>436</v>
      </c>
      <c r="G20" s="9" t="s">
        <v>440</v>
      </c>
      <c r="H20" s="87" t="s">
        <v>6405</v>
      </c>
      <c r="I20" s="87" t="s">
        <v>6245</v>
      </c>
      <c r="J20" s="87" t="s">
        <v>6245</v>
      </c>
      <c r="K20" s="87" t="s">
        <v>6240</v>
      </c>
      <c r="L20" s="87" t="s">
        <v>6691</v>
      </c>
      <c r="M20" s="9" t="s">
        <v>6675</v>
      </c>
      <c r="N20" s="87" t="s">
        <v>6245</v>
      </c>
      <c r="O20" s="9" t="s">
        <v>6243</v>
      </c>
      <c r="P20" s="87" t="s">
        <v>6238</v>
      </c>
      <c r="Q20" s="87" t="s">
        <v>6245</v>
      </c>
      <c r="R20" s="87" t="s">
        <v>6645</v>
      </c>
      <c r="S20" s="87" t="s">
        <v>6500</v>
      </c>
    </row>
    <row r="21" spans="1:19" ht="15.75" customHeight="1">
      <c r="A21" s="9" t="s">
        <v>2926</v>
      </c>
      <c r="C21" s="9" t="s">
        <v>6236</v>
      </c>
      <c r="D21" s="9" t="s">
        <v>431</v>
      </c>
      <c r="E21" s="9" t="s">
        <v>368</v>
      </c>
      <c r="F21" s="9" t="s">
        <v>436</v>
      </c>
      <c r="G21" s="9" t="s">
        <v>434</v>
      </c>
      <c r="H21" s="87" t="s">
        <v>6237</v>
      </c>
      <c r="I21" s="87" t="s">
        <v>6255</v>
      </c>
      <c r="J21" s="87" t="s">
        <v>6255</v>
      </c>
      <c r="K21" s="87" t="s">
        <v>6240</v>
      </c>
      <c r="L21" s="87" t="s">
        <v>6692</v>
      </c>
      <c r="M21" s="9" t="s">
        <v>6693</v>
      </c>
      <c r="N21" s="87" t="s">
        <v>6255</v>
      </c>
      <c r="O21" s="9" t="s">
        <v>6243</v>
      </c>
      <c r="P21" s="87" t="s">
        <v>4947</v>
      </c>
      <c r="Q21" s="87" t="s">
        <v>6255</v>
      </c>
      <c r="R21" s="87" t="s">
        <v>6645</v>
      </c>
      <c r="S21" s="87" t="s">
        <v>6300</v>
      </c>
    </row>
    <row r="22" spans="1:19" ht="15.75" customHeight="1">
      <c r="A22" s="9" t="s">
        <v>3016</v>
      </c>
      <c r="C22" s="9" t="s">
        <v>6236</v>
      </c>
      <c r="D22" s="9" t="s">
        <v>431</v>
      </c>
      <c r="E22" s="9" t="s">
        <v>368</v>
      </c>
      <c r="F22" s="9" t="s">
        <v>436</v>
      </c>
      <c r="G22" s="9" t="s">
        <v>434</v>
      </c>
      <c r="H22" s="87" t="s">
        <v>6237</v>
      </c>
      <c r="I22" s="87" t="s">
        <v>3236</v>
      </c>
      <c r="J22" s="87" t="s">
        <v>6642</v>
      </c>
      <c r="K22" s="87" t="s">
        <v>6240</v>
      </c>
      <c r="L22" s="87" t="s">
        <v>6694</v>
      </c>
      <c r="M22" s="9" t="s">
        <v>6695</v>
      </c>
      <c r="N22" s="87" t="s">
        <v>6642</v>
      </c>
      <c r="O22" s="9" t="s">
        <v>6243</v>
      </c>
      <c r="P22" s="87" t="s">
        <v>6445</v>
      </c>
      <c r="Q22" s="87" t="s">
        <v>3236</v>
      </c>
      <c r="R22" s="87" t="s">
        <v>6645</v>
      </c>
      <c r="S22" s="87" t="s">
        <v>6341</v>
      </c>
    </row>
    <row r="23" spans="1:19" ht="15.75" customHeight="1">
      <c r="A23" s="9" t="s">
        <v>3016</v>
      </c>
      <c r="C23" s="9" t="s">
        <v>6236</v>
      </c>
      <c r="D23" s="9" t="s">
        <v>431</v>
      </c>
      <c r="E23" s="9" t="s">
        <v>368</v>
      </c>
      <c r="F23" s="9" t="s">
        <v>436</v>
      </c>
      <c r="G23" s="9" t="s">
        <v>434</v>
      </c>
      <c r="H23" s="87" t="s">
        <v>6237</v>
      </c>
      <c r="I23" s="87" t="s">
        <v>3236</v>
      </c>
      <c r="J23" s="87" t="s">
        <v>6239</v>
      </c>
      <c r="K23" s="87" t="s">
        <v>6240</v>
      </c>
      <c r="L23" s="87" t="s">
        <v>6696</v>
      </c>
      <c r="M23" s="9" t="s">
        <v>6676</v>
      </c>
      <c r="N23" s="87" t="s">
        <v>6239</v>
      </c>
      <c r="O23" s="9" t="s">
        <v>6243</v>
      </c>
      <c r="P23" s="87" t="s">
        <v>3764</v>
      </c>
      <c r="Q23" s="87" t="s">
        <v>3236</v>
      </c>
      <c r="R23" s="87" t="s">
        <v>6645</v>
      </c>
      <c r="S23" s="87" t="s">
        <v>6327</v>
      </c>
    </row>
    <row r="24" spans="1:19" ht="15.75" customHeight="1">
      <c r="A24" s="9" t="s">
        <v>2909</v>
      </c>
      <c r="C24" s="9" t="s">
        <v>6236</v>
      </c>
      <c r="D24" s="9" t="s">
        <v>431</v>
      </c>
      <c r="E24" s="9" t="s">
        <v>368</v>
      </c>
      <c r="F24" s="9" t="s">
        <v>436</v>
      </c>
      <c r="G24" s="9" t="s">
        <v>434</v>
      </c>
      <c r="H24" s="87" t="s">
        <v>6237</v>
      </c>
      <c r="I24" s="87" t="s">
        <v>4947</v>
      </c>
      <c r="J24" s="87" t="s">
        <v>6409</v>
      </c>
      <c r="K24" s="87" t="s">
        <v>6240</v>
      </c>
      <c r="L24" s="87" t="s">
        <v>6697</v>
      </c>
      <c r="M24" s="9" t="s">
        <v>6698</v>
      </c>
      <c r="N24" s="87" t="s">
        <v>6409</v>
      </c>
      <c r="O24" s="9" t="s">
        <v>6243</v>
      </c>
      <c r="P24" s="87" t="s">
        <v>6489</v>
      </c>
      <c r="Q24" s="87" t="s">
        <v>4947</v>
      </c>
      <c r="R24" s="87" t="s">
        <v>6645</v>
      </c>
      <c r="S24" s="87" t="s">
        <v>6409</v>
      </c>
    </row>
    <row r="25" spans="1:19" ht="15.75" customHeight="1">
      <c r="A25" s="9" t="s">
        <v>3016</v>
      </c>
      <c r="C25" s="9" t="s">
        <v>6236</v>
      </c>
      <c r="D25" s="9" t="s">
        <v>431</v>
      </c>
      <c r="E25" s="9" t="s">
        <v>368</v>
      </c>
      <c r="F25" s="9" t="s">
        <v>436</v>
      </c>
      <c r="G25" s="9" t="s">
        <v>434</v>
      </c>
      <c r="H25" s="87" t="s">
        <v>6237</v>
      </c>
      <c r="I25" s="87" t="s">
        <v>3236</v>
      </c>
      <c r="J25" s="87" t="s">
        <v>6239</v>
      </c>
      <c r="K25" s="87" t="s">
        <v>6240</v>
      </c>
      <c r="L25" s="87" t="s">
        <v>6699</v>
      </c>
      <c r="M25" s="9" t="s">
        <v>6676</v>
      </c>
      <c r="N25" s="87" t="s">
        <v>6239</v>
      </c>
      <c r="O25" s="9" t="s">
        <v>6243</v>
      </c>
      <c r="P25" s="87" t="s">
        <v>3764</v>
      </c>
      <c r="Q25" s="87" t="s">
        <v>3236</v>
      </c>
      <c r="R25" s="87" t="s">
        <v>6645</v>
      </c>
      <c r="S25" s="87" t="s">
        <v>6327</v>
      </c>
    </row>
    <row r="26" spans="1:19" ht="15.75" customHeight="1">
      <c r="A26" s="9" t="s">
        <v>2989</v>
      </c>
      <c r="C26" s="9" t="s">
        <v>6236</v>
      </c>
      <c r="D26" s="9" t="s">
        <v>431</v>
      </c>
      <c r="E26" s="9" t="s">
        <v>368</v>
      </c>
      <c r="F26" s="9" t="s">
        <v>436</v>
      </c>
      <c r="G26" s="9" t="s">
        <v>434</v>
      </c>
      <c r="H26" s="87" t="s">
        <v>6264</v>
      </c>
      <c r="I26" s="87" t="s">
        <v>6437</v>
      </c>
      <c r="J26" s="87" t="s">
        <v>6405</v>
      </c>
      <c r="K26" s="87" t="s">
        <v>6240</v>
      </c>
      <c r="L26" s="87" t="s">
        <v>6700</v>
      </c>
      <c r="M26" s="9" t="s">
        <v>6701</v>
      </c>
      <c r="N26" s="87" t="s">
        <v>6405</v>
      </c>
      <c r="O26" s="9" t="s">
        <v>6243</v>
      </c>
      <c r="P26" s="87" t="s">
        <v>6240</v>
      </c>
      <c r="Q26" s="87" t="s">
        <v>6437</v>
      </c>
      <c r="R26" s="87" t="s">
        <v>6645</v>
      </c>
      <c r="S26" s="87" t="s">
        <v>6645</v>
      </c>
    </row>
    <row r="27" spans="1:19" ht="15.75" customHeight="1">
      <c r="A27" s="9" t="s">
        <v>3016</v>
      </c>
      <c r="C27" s="9" t="s">
        <v>6236</v>
      </c>
      <c r="D27" s="9" t="s">
        <v>431</v>
      </c>
      <c r="E27" s="9" t="s">
        <v>368</v>
      </c>
      <c r="F27" s="9" t="s">
        <v>436</v>
      </c>
      <c r="G27" s="9" t="s">
        <v>434</v>
      </c>
      <c r="H27" s="87" t="s">
        <v>6237</v>
      </c>
      <c r="I27" s="87" t="s">
        <v>3236</v>
      </c>
      <c r="J27" s="87" t="s">
        <v>6341</v>
      </c>
      <c r="K27" s="87" t="s">
        <v>6240</v>
      </c>
      <c r="L27" s="87" t="s">
        <v>6700</v>
      </c>
      <c r="M27" s="9" t="s">
        <v>6702</v>
      </c>
      <c r="N27" s="87" t="s">
        <v>6341</v>
      </c>
      <c r="O27" s="9" t="s">
        <v>6243</v>
      </c>
      <c r="P27" s="87" t="s">
        <v>6703</v>
      </c>
      <c r="Q27" s="87" t="s">
        <v>3236</v>
      </c>
      <c r="R27" s="87" t="s">
        <v>6351</v>
      </c>
      <c r="S27" s="87" t="s">
        <v>6327</v>
      </c>
    </row>
    <row r="28" spans="1:19" ht="15.75" customHeight="1">
      <c r="A28" s="9" t="s">
        <v>2909</v>
      </c>
      <c r="C28" s="9" t="s">
        <v>6236</v>
      </c>
      <c r="D28" s="9" t="s">
        <v>431</v>
      </c>
      <c r="E28" s="9" t="s">
        <v>368</v>
      </c>
      <c r="F28" s="9" t="s">
        <v>436</v>
      </c>
      <c r="G28" s="9" t="s">
        <v>434</v>
      </c>
      <c r="H28" s="87" t="s">
        <v>6237</v>
      </c>
      <c r="I28" s="87" t="s">
        <v>4947</v>
      </c>
      <c r="J28" s="87" t="s">
        <v>6239</v>
      </c>
      <c r="K28" s="87" t="s">
        <v>6240</v>
      </c>
      <c r="L28" s="87" t="s">
        <v>6704</v>
      </c>
      <c r="M28" s="9" t="s">
        <v>6676</v>
      </c>
      <c r="N28" s="87" t="s">
        <v>6239</v>
      </c>
      <c r="O28" s="9" t="s">
        <v>6243</v>
      </c>
      <c r="P28" s="87" t="s">
        <v>3764</v>
      </c>
      <c r="Q28" s="87" t="s">
        <v>4947</v>
      </c>
      <c r="R28" s="87" t="s">
        <v>6645</v>
      </c>
      <c r="S28" s="87" t="s">
        <v>6327</v>
      </c>
    </row>
    <row r="29" spans="1:19" ht="15.75" customHeight="1">
      <c r="A29" s="9" t="s">
        <v>2892</v>
      </c>
      <c r="C29" s="9" t="s">
        <v>6671</v>
      </c>
      <c r="D29" s="9" t="s">
        <v>6672</v>
      </c>
      <c r="E29" s="9" t="s">
        <v>439</v>
      </c>
      <c r="F29" s="9" t="s">
        <v>436</v>
      </c>
      <c r="G29" s="9" t="s">
        <v>440</v>
      </c>
      <c r="H29" s="87" t="s">
        <v>6405</v>
      </c>
      <c r="I29" s="87" t="s">
        <v>6260</v>
      </c>
      <c r="J29" s="87" t="s">
        <v>6260</v>
      </c>
      <c r="K29" s="87" t="s">
        <v>6240</v>
      </c>
      <c r="L29" s="87" t="s">
        <v>6638</v>
      </c>
      <c r="M29" s="9" t="s">
        <v>6705</v>
      </c>
      <c r="N29" s="87" t="s">
        <v>6260</v>
      </c>
      <c r="O29" s="9" t="s">
        <v>6243</v>
      </c>
      <c r="P29" s="87" t="s">
        <v>4014</v>
      </c>
      <c r="Q29" s="87" t="s">
        <v>6260</v>
      </c>
      <c r="R29" s="87" t="s">
        <v>6645</v>
      </c>
      <c r="S29" s="87" t="s">
        <v>6392</v>
      </c>
    </row>
    <row r="30" spans="1:19" ht="15.75" customHeight="1">
      <c r="A30" s="9" t="s">
        <v>2936</v>
      </c>
      <c r="C30" s="9" t="s">
        <v>6236</v>
      </c>
      <c r="D30" s="9" t="s">
        <v>431</v>
      </c>
      <c r="E30" s="9" t="s">
        <v>368</v>
      </c>
      <c r="F30" s="9" t="s">
        <v>436</v>
      </c>
      <c r="G30" s="9" t="s">
        <v>434</v>
      </c>
      <c r="H30" s="87" t="s">
        <v>6264</v>
      </c>
      <c r="I30" s="87" t="s">
        <v>6375</v>
      </c>
      <c r="J30" s="87" t="s">
        <v>6239</v>
      </c>
      <c r="K30" s="87" t="s">
        <v>6240</v>
      </c>
      <c r="L30" s="87" t="s">
        <v>6638</v>
      </c>
      <c r="M30" s="9" t="s">
        <v>6676</v>
      </c>
      <c r="N30" s="87" t="s">
        <v>6239</v>
      </c>
      <c r="O30" s="9" t="s">
        <v>6243</v>
      </c>
      <c r="P30" s="87" t="s">
        <v>3764</v>
      </c>
      <c r="Q30" s="87" t="s">
        <v>6375</v>
      </c>
      <c r="R30" s="87" t="s">
        <v>6645</v>
      </c>
      <c r="S30" s="87" t="s">
        <v>6327</v>
      </c>
    </row>
    <row r="31" spans="1:19" ht="15.75" customHeight="1">
      <c r="A31" s="9" t="s">
        <v>2892</v>
      </c>
      <c r="C31" s="9" t="s">
        <v>6236</v>
      </c>
      <c r="D31" s="9" t="s">
        <v>431</v>
      </c>
      <c r="E31" s="9" t="s">
        <v>368</v>
      </c>
      <c r="F31" s="9" t="s">
        <v>436</v>
      </c>
      <c r="G31" s="9" t="s">
        <v>434</v>
      </c>
      <c r="H31" s="87" t="s">
        <v>6237</v>
      </c>
      <c r="I31" s="87" t="s">
        <v>6376</v>
      </c>
      <c r="J31" s="87" t="s">
        <v>6376</v>
      </c>
      <c r="K31" s="87" t="s">
        <v>6240</v>
      </c>
      <c r="L31" s="87" t="s">
        <v>6637</v>
      </c>
      <c r="M31" s="9" t="s">
        <v>6706</v>
      </c>
      <c r="N31" s="87" t="s">
        <v>6376</v>
      </c>
      <c r="O31" s="9" t="s">
        <v>6243</v>
      </c>
      <c r="P31" s="87" t="s">
        <v>6379</v>
      </c>
      <c r="Q31" s="87" t="s">
        <v>6376</v>
      </c>
      <c r="R31" s="87" t="s">
        <v>6373</v>
      </c>
      <c r="S31" s="87" t="s">
        <v>6302</v>
      </c>
    </row>
    <row r="32" spans="1:19" ht="15.75" customHeight="1">
      <c r="A32" s="9" t="s">
        <v>2874</v>
      </c>
      <c r="C32" s="9" t="s">
        <v>6671</v>
      </c>
      <c r="D32" s="9" t="s">
        <v>6672</v>
      </c>
      <c r="E32" s="9" t="s">
        <v>439</v>
      </c>
      <c r="F32" s="9" t="s">
        <v>436</v>
      </c>
      <c r="G32" s="9" t="s">
        <v>440</v>
      </c>
      <c r="H32" s="87" t="s">
        <v>6405</v>
      </c>
      <c r="I32" s="87" t="s">
        <v>6479</v>
      </c>
      <c r="J32" s="87" t="s">
        <v>6479</v>
      </c>
      <c r="K32" s="87" t="s">
        <v>6240</v>
      </c>
      <c r="L32" s="87" t="s">
        <v>6637</v>
      </c>
      <c r="M32" s="9" t="s">
        <v>6707</v>
      </c>
      <c r="N32" s="87" t="s">
        <v>6479</v>
      </c>
      <c r="O32" s="9" t="s">
        <v>6243</v>
      </c>
      <c r="P32" s="87" t="s">
        <v>5417</v>
      </c>
      <c r="Q32" s="87" t="s">
        <v>6479</v>
      </c>
      <c r="R32" s="87" t="s">
        <v>6645</v>
      </c>
      <c r="S32" s="87" t="s">
        <v>6433</v>
      </c>
    </row>
    <row r="33" spans="1:19" ht="15.75" customHeight="1">
      <c r="A33" s="9" t="s">
        <v>3027</v>
      </c>
      <c r="C33" s="9" t="s">
        <v>6236</v>
      </c>
      <c r="D33" s="9" t="s">
        <v>431</v>
      </c>
      <c r="E33" s="9" t="s">
        <v>368</v>
      </c>
      <c r="F33" s="9" t="s">
        <v>436</v>
      </c>
      <c r="G33" s="9" t="s">
        <v>434</v>
      </c>
      <c r="H33" s="87" t="s">
        <v>6237</v>
      </c>
      <c r="I33" s="87" t="s">
        <v>6239</v>
      </c>
      <c r="J33" s="87" t="s">
        <v>6393</v>
      </c>
      <c r="K33" s="87" t="s">
        <v>6240</v>
      </c>
      <c r="L33" s="87" t="s">
        <v>6637</v>
      </c>
      <c r="M33" s="9" t="s">
        <v>6708</v>
      </c>
      <c r="N33" s="87" t="s">
        <v>6393</v>
      </c>
      <c r="O33" s="9" t="s">
        <v>6243</v>
      </c>
      <c r="P33" s="87" t="s">
        <v>6341</v>
      </c>
      <c r="Q33" s="87" t="s">
        <v>6239</v>
      </c>
      <c r="R33" s="87" t="s">
        <v>6645</v>
      </c>
      <c r="S33" s="87" t="s">
        <v>6256</v>
      </c>
    </row>
    <row r="34" spans="1:19" ht="15.75" customHeight="1">
      <c r="A34" s="9" t="s">
        <v>2936</v>
      </c>
      <c r="C34" s="9" t="s">
        <v>6236</v>
      </c>
      <c r="D34" s="9" t="s">
        <v>431</v>
      </c>
      <c r="E34" s="9" t="s">
        <v>368</v>
      </c>
      <c r="F34" s="9" t="s">
        <v>436</v>
      </c>
      <c r="G34" s="9" t="s">
        <v>434</v>
      </c>
      <c r="H34" s="87" t="s">
        <v>6264</v>
      </c>
      <c r="I34" s="87" t="s">
        <v>6375</v>
      </c>
      <c r="J34" s="87" t="s">
        <v>6255</v>
      </c>
      <c r="K34" s="87" t="s">
        <v>6240</v>
      </c>
      <c r="L34" s="87" t="s">
        <v>6637</v>
      </c>
      <c r="M34" s="9" t="s">
        <v>6709</v>
      </c>
      <c r="N34" s="87" t="s">
        <v>6255</v>
      </c>
      <c r="O34" s="9" t="s">
        <v>6243</v>
      </c>
      <c r="P34" s="87" t="s">
        <v>4947</v>
      </c>
      <c r="Q34" s="87" t="s">
        <v>6375</v>
      </c>
      <c r="R34" s="87" t="s">
        <v>6294</v>
      </c>
      <c r="S34" s="87" t="s">
        <v>6327</v>
      </c>
    </row>
    <row r="35" spans="1:19" ht="15.75" customHeight="1">
      <c r="A35" s="9" t="s">
        <v>2874</v>
      </c>
      <c r="C35" s="9" t="s">
        <v>6236</v>
      </c>
      <c r="D35" s="9" t="s">
        <v>431</v>
      </c>
      <c r="E35" s="9" t="s">
        <v>368</v>
      </c>
      <c r="F35" s="9" t="s">
        <v>436</v>
      </c>
      <c r="G35" s="9" t="s">
        <v>434</v>
      </c>
      <c r="H35" s="87" t="s">
        <v>6237</v>
      </c>
      <c r="I35" s="87" t="s">
        <v>6316</v>
      </c>
      <c r="J35" s="87" t="s">
        <v>6393</v>
      </c>
      <c r="K35" s="87" t="s">
        <v>6240</v>
      </c>
      <c r="L35" s="87" t="s">
        <v>6710</v>
      </c>
      <c r="M35" s="9" t="s">
        <v>6708</v>
      </c>
      <c r="N35" s="87" t="s">
        <v>6393</v>
      </c>
      <c r="O35" s="9" t="s">
        <v>6243</v>
      </c>
      <c r="P35" s="87" t="s">
        <v>6341</v>
      </c>
      <c r="Q35" s="87" t="s">
        <v>6316</v>
      </c>
      <c r="R35" s="87" t="s">
        <v>6645</v>
      </c>
      <c r="S35" s="87" t="s">
        <v>6256</v>
      </c>
    </row>
    <row r="36" spans="1:19" ht="15.75" customHeight="1">
      <c r="A36" s="9" t="s">
        <v>2977</v>
      </c>
      <c r="C36" s="9" t="s">
        <v>6671</v>
      </c>
      <c r="D36" s="9" t="s">
        <v>6672</v>
      </c>
      <c r="E36" s="9" t="s">
        <v>439</v>
      </c>
      <c r="F36" s="9" t="s">
        <v>436</v>
      </c>
      <c r="G36" s="9" t="s">
        <v>440</v>
      </c>
      <c r="H36" s="87" t="s">
        <v>6405</v>
      </c>
      <c r="I36" s="87" t="s">
        <v>6297</v>
      </c>
      <c r="J36" s="87" t="s">
        <v>6297</v>
      </c>
      <c r="K36" s="87" t="s">
        <v>6240</v>
      </c>
      <c r="L36" s="87" t="s">
        <v>6710</v>
      </c>
      <c r="M36" s="9" t="s">
        <v>6711</v>
      </c>
      <c r="N36" s="87" t="s">
        <v>6297</v>
      </c>
      <c r="O36" s="9" t="s">
        <v>6243</v>
      </c>
      <c r="P36" s="87" t="s">
        <v>6299</v>
      </c>
      <c r="Q36" s="87" t="s">
        <v>6297</v>
      </c>
      <c r="R36" s="87" t="s">
        <v>6245</v>
      </c>
      <c r="S36" s="87" t="s">
        <v>6414</v>
      </c>
    </row>
    <row r="37" spans="1:19" ht="15.75" customHeight="1">
      <c r="A37" s="9" t="s">
        <v>3027</v>
      </c>
      <c r="C37" s="9" t="s">
        <v>6236</v>
      </c>
      <c r="D37" s="9" t="s">
        <v>431</v>
      </c>
      <c r="E37" s="9" t="s">
        <v>368</v>
      </c>
      <c r="F37" s="9" t="s">
        <v>436</v>
      </c>
      <c r="G37" s="9" t="s">
        <v>434</v>
      </c>
      <c r="H37" s="87" t="s">
        <v>6237</v>
      </c>
      <c r="I37" s="87" t="s">
        <v>6239</v>
      </c>
      <c r="J37" s="87" t="s">
        <v>6277</v>
      </c>
      <c r="K37" s="87" t="s">
        <v>6240</v>
      </c>
      <c r="L37" s="87" t="s">
        <v>6710</v>
      </c>
      <c r="M37" s="9" t="s">
        <v>6712</v>
      </c>
      <c r="N37" s="87" t="s">
        <v>6277</v>
      </c>
      <c r="O37" s="9" t="s">
        <v>6243</v>
      </c>
      <c r="P37" s="87" t="s">
        <v>6631</v>
      </c>
      <c r="Q37" s="87" t="s">
        <v>6239</v>
      </c>
      <c r="R37" s="87" t="s">
        <v>6373</v>
      </c>
      <c r="S37" s="87" t="s">
        <v>6327</v>
      </c>
    </row>
    <row r="38" spans="1:19" ht="15.75" customHeight="1">
      <c r="A38" s="9" t="s">
        <v>3007</v>
      </c>
      <c r="C38" s="9" t="s">
        <v>6671</v>
      </c>
      <c r="D38" s="9" t="s">
        <v>6672</v>
      </c>
      <c r="E38" s="9" t="s">
        <v>439</v>
      </c>
      <c r="F38" s="9" t="s">
        <v>436</v>
      </c>
      <c r="G38" s="9" t="s">
        <v>440</v>
      </c>
      <c r="H38" s="87" t="s">
        <v>6405</v>
      </c>
      <c r="I38" s="87" t="s">
        <v>6497</v>
      </c>
      <c r="J38" s="87" t="s">
        <v>6497</v>
      </c>
      <c r="K38" s="87" t="s">
        <v>6240</v>
      </c>
      <c r="L38" s="87" t="s">
        <v>6710</v>
      </c>
      <c r="M38" s="9" t="s">
        <v>6713</v>
      </c>
      <c r="N38" s="87" t="s">
        <v>6497</v>
      </c>
      <c r="O38" s="9" t="s">
        <v>6243</v>
      </c>
      <c r="P38" s="87" t="s">
        <v>6714</v>
      </c>
      <c r="Q38" s="87" t="s">
        <v>6497</v>
      </c>
      <c r="R38" s="87" t="s">
        <v>6645</v>
      </c>
      <c r="S38" s="87" t="s">
        <v>6397</v>
      </c>
    </row>
    <row r="39" spans="1:19" ht="15.75" customHeight="1">
      <c r="A39" s="9" t="s">
        <v>2874</v>
      </c>
      <c r="C39" s="9" t="s">
        <v>6236</v>
      </c>
      <c r="D39" s="9" t="s">
        <v>431</v>
      </c>
      <c r="E39" s="9" t="s">
        <v>368</v>
      </c>
      <c r="F39" s="9" t="s">
        <v>436</v>
      </c>
      <c r="G39" s="9" t="s">
        <v>434</v>
      </c>
      <c r="H39" s="87" t="s">
        <v>6237</v>
      </c>
      <c r="I39" s="87" t="s">
        <v>6316</v>
      </c>
      <c r="J39" s="87" t="s">
        <v>6322</v>
      </c>
      <c r="K39" s="87" t="s">
        <v>6240</v>
      </c>
      <c r="L39" s="87" t="s">
        <v>6635</v>
      </c>
      <c r="M39" s="9" t="s">
        <v>6715</v>
      </c>
      <c r="N39" s="87" t="s">
        <v>6322</v>
      </c>
      <c r="O39" s="9" t="s">
        <v>6243</v>
      </c>
      <c r="P39" s="87" t="s">
        <v>6604</v>
      </c>
      <c r="Q39" s="87" t="s">
        <v>6316</v>
      </c>
      <c r="R39" s="87" t="s">
        <v>6263</v>
      </c>
      <c r="S39" s="87" t="s">
        <v>6327</v>
      </c>
    </row>
    <row r="40" spans="1:19" ht="15.75" customHeight="1">
      <c r="A40" s="9" t="s">
        <v>2977</v>
      </c>
      <c r="C40" s="9" t="s">
        <v>6236</v>
      </c>
      <c r="D40" s="9" t="s">
        <v>431</v>
      </c>
      <c r="E40" s="9" t="s">
        <v>368</v>
      </c>
      <c r="F40" s="9" t="s">
        <v>436</v>
      </c>
      <c r="G40" s="9" t="s">
        <v>434</v>
      </c>
      <c r="H40" s="87" t="s">
        <v>6237</v>
      </c>
      <c r="I40" s="87" t="s">
        <v>6348</v>
      </c>
      <c r="J40" s="87" t="s">
        <v>6348</v>
      </c>
      <c r="K40" s="87" t="s">
        <v>6240</v>
      </c>
      <c r="L40" s="87" t="s">
        <v>6635</v>
      </c>
      <c r="M40" s="9" t="s">
        <v>6716</v>
      </c>
      <c r="N40" s="87" t="s">
        <v>6348</v>
      </c>
      <c r="O40" s="9" t="s">
        <v>6243</v>
      </c>
      <c r="P40" s="87" t="s">
        <v>5381</v>
      </c>
      <c r="Q40" s="87" t="s">
        <v>6348</v>
      </c>
      <c r="R40" s="87" t="s">
        <v>6479</v>
      </c>
      <c r="S40" s="87" t="s">
        <v>6555</v>
      </c>
    </row>
    <row r="41" spans="1:19" ht="15.75" customHeight="1">
      <c r="A41" s="9" t="s">
        <v>3007</v>
      </c>
      <c r="C41" s="9" t="s">
        <v>6236</v>
      </c>
      <c r="D41" s="9" t="s">
        <v>431</v>
      </c>
      <c r="E41" s="9" t="s">
        <v>368</v>
      </c>
      <c r="F41" s="9" t="s">
        <v>436</v>
      </c>
      <c r="G41" s="9" t="s">
        <v>434</v>
      </c>
      <c r="H41" s="87" t="s">
        <v>6237</v>
      </c>
      <c r="I41" s="87" t="s">
        <v>6238</v>
      </c>
      <c r="J41" s="87" t="s">
        <v>6528</v>
      </c>
      <c r="K41" s="87" t="s">
        <v>6240</v>
      </c>
      <c r="L41" s="87" t="s">
        <v>6635</v>
      </c>
      <c r="M41" s="9" t="s">
        <v>6717</v>
      </c>
      <c r="N41" s="87" t="s">
        <v>6528</v>
      </c>
      <c r="O41" s="9" t="s">
        <v>6243</v>
      </c>
      <c r="P41" s="87" t="s">
        <v>6474</v>
      </c>
      <c r="Q41" s="87" t="s">
        <v>6238</v>
      </c>
      <c r="R41" s="87" t="s">
        <v>6645</v>
      </c>
      <c r="S41" s="87" t="s">
        <v>6367</v>
      </c>
    </row>
    <row r="42" spans="1:19" ht="15.75" customHeight="1">
      <c r="A42" s="9" t="s">
        <v>2876</v>
      </c>
      <c r="C42" s="9" t="s">
        <v>6671</v>
      </c>
      <c r="D42" s="9" t="s">
        <v>6672</v>
      </c>
      <c r="E42" s="9" t="s">
        <v>439</v>
      </c>
      <c r="F42" s="9" t="s">
        <v>436</v>
      </c>
      <c r="G42" s="9" t="s">
        <v>440</v>
      </c>
      <c r="H42" s="87" t="s">
        <v>6405</v>
      </c>
      <c r="I42" s="87" t="s">
        <v>6479</v>
      </c>
      <c r="J42" s="87" t="s">
        <v>6297</v>
      </c>
      <c r="K42" s="87" t="s">
        <v>6240</v>
      </c>
      <c r="L42" s="87" t="s">
        <v>6718</v>
      </c>
      <c r="M42" s="9" t="s">
        <v>6719</v>
      </c>
      <c r="N42" s="87" t="s">
        <v>6297</v>
      </c>
      <c r="O42" s="9" t="s">
        <v>6243</v>
      </c>
      <c r="P42" s="87" t="s">
        <v>6299</v>
      </c>
      <c r="Q42" s="87" t="s">
        <v>6479</v>
      </c>
      <c r="R42" s="87" t="s">
        <v>6645</v>
      </c>
      <c r="S42" s="87" t="s">
        <v>6306</v>
      </c>
    </row>
    <row r="43" spans="1:19" ht="15.75" customHeight="1">
      <c r="A43" s="9" t="s">
        <v>3007</v>
      </c>
      <c r="C43" s="9" t="s">
        <v>6236</v>
      </c>
      <c r="D43" s="9" t="s">
        <v>431</v>
      </c>
      <c r="E43" s="9" t="s">
        <v>368</v>
      </c>
      <c r="F43" s="9" t="s">
        <v>436</v>
      </c>
      <c r="G43" s="9" t="s">
        <v>434</v>
      </c>
      <c r="H43" s="87" t="s">
        <v>6237</v>
      </c>
      <c r="I43" s="87" t="s">
        <v>6238</v>
      </c>
      <c r="J43" s="87" t="s">
        <v>6239</v>
      </c>
      <c r="K43" s="87" t="s">
        <v>6240</v>
      </c>
      <c r="L43" s="87" t="s">
        <v>6718</v>
      </c>
      <c r="M43" s="9" t="s">
        <v>6676</v>
      </c>
      <c r="N43" s="87" t="s">
        <v>6239</v>
      </c>
      <c r="O43" s="9" t="s">
        <v>6243</v>
      </c>
      <c r="P43" s="87" t="s">
        <v>3764</v>
      </c>
      <c r="Q43" s="87" t="s">
        <v>6238</v>
      </c>
      <c r="R43" s="87" t="s">
        <v>6645</v>
      </c>
      <c r="S43" s="87" t="s">
        <v>6327</v>
      </c>
    </row>
    <row r="44" spans="1:19" ht="15.75" customHeight="1">
      <c r="A44" s="9" t="s">
        <v>2852</v>
      </c>
      <c r="C44" s="9" t="s">
        <v>6671</v>
      </c>
      <c r="D44" s="9" t="s">
        <v>6672</v>
      </c>
      <c r="E44" s="9" t="s">
        <v>439</v>
      </c>
      <c r="F44" s="9" t="s">
        <v>436</v>
      </c>
      <c r="G44" s="9" t="s">
        <v>440</v>
      </c>
      <c r="H44" s="87" t="s">
        <v>6405</v>
      </c>
      <c r="I44" s="87" t="s">
        <v>6498</v>
      </c>
      <c r="J44" s="87" t="s">
        <v>6498</v>
      </c>
      <c r="K44" s="87" t="s">
        <v>6240</v>
      </c>
      <c r="L44" s="87" t="s">
        <v>6718</v>
      </c>
      <c r="M44" s="9" t="s">
        <v>6720</v>
      </c>
      <c r="N44" s="87" t="s">
        <v>6498</v>
      </c>
      <c r="O44" s="9" t="s">
        <v>6243</v>
      </c>
      <c r="P44" s="87" t="s">
        <v>4019</v>
      </c>
      <c r="Q44" s="87" t="s">
        <v>6498</v>
      </c>
      <c r="R44" s="87" t="s">
        <v>6443</v>
      </c>
      <c r="S44" s="87" t="s">
        <v>6526</v>
      </c>
    </row>
    <row r="45" spans="1:19" ht="15.75" customHeight="1">
      <c r="A45" s="9" t="s">
        <v>3008</v>
      </c>
      <c r="C45" s="9" t="s">
        <v>6236</v>
      </c>
      <c r="D45" s="9" t="s">
        <v>431</v>
      </c>
      <c r="E45" s="9" t="s">
        <v>368</v>
      </c>
      <c r="F45" s="9" t="s">
        <v>436</v>
      </c>
      <c r="G45" s="9" t="s">
        <v>434</v>
      </c>
      <c r="H45" s="87" t="s">
        <v>6237</v>
      </c>
      <c r="I45" s="87" t="s">
        <v>6300</v>
      </c>
      <c r="J45" s="87" t="s">
        <v>6404</v>
      </c>
      <c r="K45" s="87" t="s">
        <v>6240</v>
      </c>
      <c r="L45" s="87" t="s">
        <v>6721</v>
      </c>
      <c r="M45" s="9" t="s">
        <v>6722</v>
      </c>
      <c r="N45" s="87" t="s">
        <v>6404</v>
      </c>
      <c r="O45" s="9" t="s">
        <v>6243</v>
      </c>
      <c r="P45" s="87" t="s">
        <v>6596</v>
      </c>
      <c r="Q45" s="87" t="s">
        <v>6300</v>
      </c>
      <c r="R45" s="87" t="s">
        <v>6645</v>
      </c>
      <c r="S45" s="87" t="s">
        <v>6455</v>
      </c>
    </row>
    <row r="46" spans="1:19" ht="15.75" customHeight="1">
      <c r="A46" s="9" t="s">
        <v>2876</v>
      </c>
      <c r="C46" s="9" t="s">
        <v>6671</v>
      </c>
      <c r="D46" s="9" t="s">
        <v>6672</v>
      </c>
      <c r="E46" s="9" t="s">
        <v>439</v>
      </c>
      <c r="F46" s="9" t="s">
        <v>436</v>
      </c>
      <c r="G46" s="9" t="s">
        <v>440</v>
      </c>
      <c r="H46" s="87" t="s">
        <v>6405</v>
      </c>
      <c r="I46" s="87" t="s">
        <v>6479</v>
      </c>
      <c r="J46" s="87" t="s">
        <v>6300</v>
      </c>
      <c r="K46" s="87" t="s">
        <v>6240</v>
      </c>
      <c r="L46" s="87" t="s">
        <v>6721</v>
      </c>
      <c r="M46" s="9" t="s">
        <v>6723</v>
      </c>
      <c r="N46" s="87" t="s">
        <v>6300</v>
      </c>
      <c r="O46" s="9" t="s">
        <v>6243</v>
      </c>
      <c r="P46" s="87" t="s">
        <v>3861</v>
      </c>
      <c r="Q46" s="87" t="s">
        <v>6479</v>
      </c>
      <c r="R46" s="87" t="s">
        <v>6256</v>
      </c>
      <c r="S46" s="87" t="s">
        <v>6327</v>
      </c>
    </row>
    <row r="47" spans="1:19" ht="15.75" customHeight="1">
      <c r="A47" s="9" t="s">
        <v>2846</v>
      </c>
      <c r="C47" s="9" t="s">
        <v>6671</v>
      </c>
      <c r="D47" s="9" t="s">
        <v>6672</v>
      </c>
      <c r="E47" s="9" t="s">
        <v>439</v>
      </c>
      <c r="F47" s="9" t="s">
        <v>436</v>
      </c>
      <c r="G47" s="9" t="s">
        <v>440</v>
      </c>
      <c r="H47" s="87" t="s">
        <v>6405</v>
      </c>
      <c r="I47" s="87" t="s">
        <v>6346</v>
      </c>
      <c r="J47" s="87" t="s">
        <v>6296</v>
      </c>
      <c r="K47" s="87" t="s">
        <v>6240</v>
      </c>
      <c r="L47" s="87" t="s">
        <v>6721</v>
      </c>
      <c r="M47" s="9" t="s">
        <v>6724</v>
      </c>
      <c r="N47" s="87" t="s">
        <v>6296</v>
      </c>
      <c r="O47" s="9" t="s">
        <v>6243</v>
      </c>
      <c r="P47" s="87" t="s">
        <v>6287</v>
      </c>
      <c r="Q47" s="87" t="s">
        <v>6346</v>
      </c>
      <c r="R47" s="87" t="s">
        <v>6645</v>
      </c>
      <c r="S47" s="87" t="s">
        <v>6287</v>
      </c>
    </row>
    <row r="48" spans="1:19" ht="15.75" customHeight="1">
      <c r="A48" s="9" t="s">
        <v>3007</v>
      </c>
      <c r="C48" s="9" t="s">
        <v>6236</v>
      </c>
      <c r="D48" s="9" t="s">
        <v>431</v>
      </c>
      <c r="E48" s="9" t="s">
        <v>368</v>
      </c>
      <c r="F48" s="9" t="s">
        <v>436</v>
      </c>
      <c r="G48" s="9" t="s">
        <v>434</v>
      </c>
      <c r="H48" s="87" t="s">
        <v>6237</v>
      </c>
      <c r="I48" s="87" t="s">
        <v>6238</v>
      </c>
      <c r="J48" s="87" t="s">
        <v>6264</v>
      </c>
      <c r="K48" s="87" t="s">
        <v>6240</v>
      </c>
      <c r="L48" s="87" t="s">
        <v>6721</v>
      </c>
      <c r="M48" s="9" t="s">
        <v>6725</v>
      </c>
      <c r="N48" s="87" t="s">
        <v>6264</v>
      </c>
      <c r="O48" s="9" t="s">
        <v>6243</v>
      </c>
      <c r="P48" s="87" t="s">
        <v>6313</v>
      </c>
      <c r="Q48" s="87" t="s">
        <v>6238</v>
      </c>
      <c r="R48" s="87" t="s">
        <v>6348</v>
      </c>
      <c r="S48" s="87" t="s">
        <v>6327</v>
      </c>
    </row>
    <row r="49" spans="1:19" ht="15.75" customHeight="1">
      <c r="A49" s="9" t="s">
        <v>2852</v>
      </c>
      <c r="C49" s="9" t="s">
        <v>6236</v>
      </c>
      <c r="D49" s="9" t="s">
        <v>431</v>
      </c>
      <c r="E49" s="9" t="s">
        <v>368</v>
      </c>
      <c r="F49" s="9" t="s">
        <v>436</v>
      </c>
      <c r="G49" s="9" t="s">
        <v>434</v>
      </c>
      <c r="H49" s="87" t="s">
        <v>6237</v>
      </c>
      <c r="I49" s="87" t="s">
        <v>6498</v>
      </c>
      <c r="J49" s="87" t="s">
        <v>6498</v>
      </c>
      <c r="K49" s="87" t="s">
        <v>6240</v>
      </c>
      <c r="L49" s="87" t="s">
        <v>6721</v>
      </c>
      <c r="M49" s="9" t="s">
        <v>6726</v>
      </c>
      <c r="N49" s="87" t="s">
        <v>6498</v>
      </c>
      <c r="O49" s="9" t="s">
        <v>6243</v>
      </c>
      <c r="P49" s="87" t="s">
        <v>4019</v>
      </c>
      <c r="Q49" s="87" t="s">
        <v>6498</v>
      </c>
      <c r="R49" s="87" t="s">
        <v>6293</v>
      </c>
      <c r="S49" s="87" t="s">
        <v>6313</v>
      </c>
    </row>
    <row r="50" spans="1:19" ht="15.75" customHeight="1">
      <c r="A50" s="9" t="s">
        <v>2880</v>
      </c>
      <c r="C50" s="9" t="s">
        <v>6671</v>
      </c>
      <c r="D50" s="9" t="s">
        <v>6672</v>
      </c>
      <c r="E50" s="9" t="s">
        <v>439</v>
      </c>
      <c r="F50" s="9" t="s">
        <v>436</v>
      </c>
      <c r="G50" s="9" t="s">
        <v>440</v>
      </c>
      <c r="H50" s="87" t="s">
        <v>6405</v>
      </c>
      <c r="I50" s="87" t="s">
        <v>6405</v>
      </c>
      <c r="J50" s="87" t="s">
        <v>6405</v>
      </c>
      <c r="K50" s="87" t="s">
        <v>6240</v>
      </c>
      <c r="L50" s="87" t="s">
        <v>6634</v>
      </c>
      <c r="M50" s="9" t="s">
        <v>6727</v>
      </c>
      <c r="N50" s="87" t="s">
        <v>6405</v>
      </c>
      <c r="O50" s="9" t="s">
        <v>6243</v>
      </c>
      <c r="P50" s="87" t="s">
        <v>6240</v>
      </c>
      <c r="Q50" s="87" t="s">
        <v>6405</v>
      </c>
      <c r="R50" s="87" t="s">
        <v>6295</v>
      </c>
      <c r="S50" s="87" t="s">
        <v>6295</v>
      </c>
    </row>
    <row r="51" spans="1:19" ht="15.75" customHeight="1">
      <c r="A51" s="9" t="s">
        <v>3008</v>
      </c>
      <c r="C51" s="9" t="s">
        <v>6236</v>
      </c>
      <c r="D51" s="9" t="s">
        <v>431</v>
      </c>
      <c r="E51" s="9" t="s">
        <v>368</v>
      </c>
      <c r="F51" s="9" t="s">
        <v>436</v>
      </c>
      <c r="G51" s="9" t="s">
        <v>434</v>
      </c>
      <c r="H51" s="87" t="s">
        <v>6237</v>
      </c>
      <c r="I51" s="87" t="s">
        <v>6300</v>
      </c>
      <c r="J51" s="87" t="s">
        <v>6528</v>
      </c>
      <c r="K51" s="87" t="s">
        <v>6240</v>
      </c>
      <c r="L51" s="87" t="s">
        <v>6634</v>
      </c>
      <c r="M51" s="9" t="s">
        <v>6728</v>
      </c>
      <c r="N51" s="87" t="s">
        <v>6528</v>
      </c>
      <c r="O51" s="9" t="s">
        <v>6243</v>
      </c>
      <c r="P51" s="87" t="s">
        <v>6474</v>
      </c>
      <c r="Q51" s="87" t="s">
        <v>6300</v>
      </c>
      <c r="R51" s="87" t="s">
        <v>6295</v>
      </c>
      <c r="S51" s="87" t="s">
        <v>6327</v>
      </c>
    </row>
    <row r="52" spans="1:19" ht="15.75" customHeight="1">
      <c r="A52" s="9" t="s">
        <v>2876</v>
      </c>
      <c r="C52" s="9" t="s">
        <v>6236</v>
      </c>
      <c r="D52" s="9" t="s">
        <v>431</v>
      </c>
      <c r="E52" s="9" t="s">
        <v>368</v>
      </c>
      <c r="F52" s="9" t="s">
        <v>436</v>
      </c>
      <c r="G52" s="9" t="s">
        <v>434</v>
      </c>
      <c r="H52" s="87" t="s">
        <v>6237</v>
      </c>
      <c r="I52" s="87" t="s">
        <v>6316</v>
      </c>
      <c r="J52" s="87" t="s">
        <v>6357</v>
      </c>
      <c r="K52" s="87" t="s">
        <v>6240</v>
      </c>
      <c r="L52" s="87" t="s">
        <v>6634</v>
      </c>
      <c r="M52" s="9" t="s">
        <v>6674</v>
      </c>
      <c r="N52" s="87" t="s">
        <v>6357</v>
      </c>
      <c r="O52" s="9" t="s">
        <v>6243</v>
      </c>
      <c r="P52" s="87" t="s">
        <v>6565</v>
      </c>
      <c r="Q52" s="87" t="s">
        <v>6316</v>
      </c>
      <c r="R52" s="87" t="s">
        <v>6645</v>
      </c>
      <c r="S52" s="87" t="s">
        <v>6329</v>
      </c>
    </row>
    <row r="53" spans="1:19" ht="15.75" customHeight="1">
      <c r="A53" s="9" t="s">
        <v>3014</v>
      </c>
      <c r="C53" s="9" t="s">
        <v>6671</v>
      </c>
      <c r="D53" s="9" t="s">
        <v>6672</v>
      </c>
      <c r="E53" s="9" t="s">
        <v>439</v>
      </c>
      <c r="F53" s="9" t="s">
        <v>436</v>
      </c>
      <c r="G53" s="9" t="s">
        <v>440</v>
      </c>
      <c r="H53" s="87" t="s">
        <v>6405</v>
      </c>
      <c r="I53" s="87" t="s">
        <v>6357</v>
      </c>
      <c r="J53" s="87" t="s">
        <v>6357</v>
      </c>
      <c r="K53" s="87" t="s">
        <v>6240</v>
      </c>
      <c r="L53" s="87" t="s">
        <v>6634</v>
      </c>
      <c r="M53" s="9" t="s">
        <v>6674</v>
      </c>
      <c r="N53" s="87" t="s">
        <v>6357</v>
      </c>
      <c r="O53" s="9" t="s">
        <v>6243</v>
      </c>
      <c r="P53" s="87" t="s">
        <v>6565</v>
      </c>
      <c r="Q53" s="87" t="s">
        <v>6357</v>
      </c>
      <c r="R53" s="87" t="s">
        <v>6645</v>
      </c>
      <c r="S53" s="87" t="s">
        <v>6329</v>
      </c>
    </row>
    <row r="54" spans="1:19" ht="15.75" customHeight="1">
      <c r="A54" s="9" t="s">
        <v>2846</v>
      </c>
      <c r="C54" s="9" t="s">
        <v>6671</v>
      </c>
      <c r="D54" s="9" t="s">
        <v>6672</v>
      </c>
      <c r="E54" s="9" t="s">
        <v>439</v>
      </c>
      <c r="F54" s="9" t="s">
        <v>436</v>
      </c>
      <c r="G54" s="9" t="s">
        <v>440</v>
      </c>
      <c r="H54" s="87" t="s">
        <v>6405</v>
      </c>
      <c r="I54" s="87" t="s">
        <v>6346</v>
      </c>
      <c r="J54" s="87" t="s">
        <v>4953</v>
      </c>
      <c r="K54" s="87" t="s">
        <v>6240</v>
      </c>
      <c r="L54" s="87" t="s">
        <v>6634</v>
      </c>
      <c r="M54" s="9" t="s">
        <v>6729</v>
      </c>
      <c r="N54" s="87" t="s">
        <v>4953</v>
      </c>
      <c r="O54" s="9" t="s">
        <v>6243</v>
      </c>
      <c r="P54" s="87" t="s">
        <v>6306</v>
      </c>
      <c r="Q54" s="87" t="s">
        <v>6346</v>
      </c>
      <c r="R54" s="87" t="s">
        <v>6259</v>
      </c>
      <c r="S54" s="87" t="s">
        <v>6327</v>
      </c>
    </row>
    <row r="55" spans="1:19" ht="15.75" customHeight="1">
      <c r="A55" s="9" t="s">
        <v>2880</v>
      </c>
      <c r="C55" s="9" t="s">
        <v>6236</v>
      </c>
      <c r="D55" s="9" t="s">
        <v>431</v>
      </c>
      <c r="E55" s="9" t="s">
        <v>368</v>
      </c>
      <c r="F55" s="9" t="s">
        <v>436</v>
      </c>
      <c r="G55" s="9" t="s">
        <v>434</v>
      </c>
      <c r="H55" s="87" t="s">
        <v>6237</v>
      </c>
      <c r="I55" s="87" t="s">
        <v>6264</v>
      </c>
      <c r="J55" s="87" t="s">
        <v>6264</v>
      </c>
      <c r="K55" s="87" t="s">
        <v>6240</v>
      </c>
      <c r="L55" s="87" t="s">
        <v>6730</v>
      </c>
      <c r="M55" s="9" t="s">
        <v>6731</v>
      </c>
      <c r="N55" s="87" t="s">
        <v>6264</v>
      </c>
      <c r="O55" s="9" t="s">
        <v>6243</v>
      </c>
      <c r="P55" s="87" t="s">
        <v>6313</v>
      </c>
      <c r="Q55" s="87" t="s">
        <v>6264</v>
      </c>
      <c r="R55" s="87" t="s">
        <v>6606</v>
      </c>
      <c r="S55" s="87" t="s">
        <v>6404</v>
      </c>
    </row>
    <row r="56" spans="1:19" ht="15.75" customHeight="1">
      <c r="A56" s="9" t="s">
        <v>2912</v>
      </c>
      <c r="C56" s="9" t="s">
        <v>6236</v>
      </c>
      <c r="D56" s="9" t="s">
        <v>431</v>
      </c>
      <c r="E56" s="9" t="s">
        <v>368</v>
      </c>
      <c r="F56" s="9" t="s">
        <v>436</v>
      </c>
      <c r="G56" s="9" t="s">
        <v>434</v>
      </c>
      <c r="H56" s="87" t="s">
        <v>6237</v>
      </c>
      <c r="I56" s="87" t="s">
        <v>6346</v>
      </c>
      <c r="J56" s="87" t="s">
        <v>6346</v>
      </c>
      <c r="K56" s="87" t="s">
        <v>6240</v>
      </c>
      <c r="L56" s="87" t="s">
        <v>6730</v>
      </c>
      <c r="M56" s="9" t="s">
        <v>6732</v>
      </c>
      <c r="N56" s="87" t="s">
        <v>6346</v>
      </c>
      <c r="O56" s="9" t="s">
        <v>6243</v>
      </c>
      <c r="P56" s="87" t="s">
        <v>6366</v>
      </c>
      <c r="Q56" s="87" t="s">
        <v>6346</v>
      </c>
      <c r="R56" s="87" t="s">
        <v>6733</v>
      </c>
      <c r="S56" s="87" t="s">
        <v>6392</v>
      </c>
    </row>
    <row r="57" spans="1:19" ht="15.75" customHeight="1">
      <c r="A57" s="9" t="s">
        <v>2876</v>
      </c>
      <c r="C57" s="9" t="s">
        <v>6236</v>
      </c>
      <c r="D57" s="9" t="s">
        <v>431</v>
      </c>
      <c r="E57" s="9" t="s">
        <v>368</v>
      </c>
      <c r="F57" s="9" t="s">
        <v>436</v>
      </c>
      <c r="G57" s="9" t="s">
        <v>434</v>
      </c>
      <c r="H57" s="87" t="s">
        <v>6237</v>
      </c>
      <c r="I57" s="87" t="s">
        <v>6316</v>
      </c>
      <c r="J57" s="87" t="s">
        <v>6240</v>
      </c>
      <c r="K57" s="87" t="s">
        <v>6240</v>
      </c>
      <c r="L57" s="87" t="s">
        <v>6730</v>
      </c>
      <c r="M57" s="9" t="s">
        <v>6734</v>
      </c>
      <c r="N57" s="87" t="s">
        <v>6240</v>
      </c>
      <c r="O57" s="9" t="s">
        <v>6243</v>
      </c>
      <c r="P57" s="87" t="s">
        <v>6397</v>
      </c>
      <c r="Q57" s="87" t="s">
        <v>6316</v>
      </c>
      <c r="R57" s="87" t="s">
        <v>6421</v>
      </c>
      <c r="S57" s="87" t="s">
        <v>6327</v>
      </c>
    </row>
    <row r="58" spans="1:19" ht="15.75" customHeight="1">
      <c r="A58" s="9" t="s">
        <v>3014</v>
      </c>
      <c r="C58" s="9" t="s">
        <v>6236</v>
      </c>
      <c r="D58" s="9" t="s">
        <v>431</v>
      </c>
      <c r="E58" s="9" t="s">
        <v>368</v>
      </c>
      <c r="F58" s="9" t="s">
        <v>436</v>
      </c>
      <c r="G58" s="9" t="s">
        <v>434</v>
      </c>
      <c r="H58" s="87" t="s">
        <v>6237</v>
      </c>
      <c r="I58" s="87" t="s">
        <v>6238</v>
      </c>
      <c r="J58" s="87" t="s">
        <v>6290</v>
      </c>
      <c r="K58" s="87" t="s">
        <v>6240</v>
      </c>
      <c r="L58" s="87" t="s">
        <v>6730</v>
      </c>
      <c r="M58" s="9" t="s">
        <v>6735</v>
      </c>
      <c r="N58" s="87" t="s">
        <v>6290</v>
      </c>
      <c r="O58" s="9" t="s">
        <v>6243</v>
      </c>
      <c r="P58" s="87" t="s">
        <v>6293</v>
      </c>
      <c r="Q58" s="87" t="s">
        <v>6238</v>
      </c>
      <c r="R58" s="87" t="s">
        <v>6645</v>
      </c>
      <c r="S58" s="87" t="s">
        <v>6525</v>
      </c>
    </row>
    <row r="59" spans="1:19" ht="15.75" customHeight="1">
      <c r="A59" s="9" t="s">
        <v>2846</v>
      </c>
      <c r="C59" s="9" t="s">
        <v>6236</v>
      </c>
      <c r="D59" s="9" t="s">
        <v>431</v>
      </c>
      <c r="E59" s="9" t="s">
        <v>368</v>
      </c>
      <c r="F59" s="9" t="s">
        <v>436</v>
      </c>
      <c r="G59" s="9" t="s">
        <v>434</v>
      </c>
      <c r="H59" s="87" t="s">
        <v>6264</v>
      </c>
      <c r="I59" s="87" t="s">
        <v>6299</v>
      </c>
      <c r="J59" s="87" t="s">
        <v>6299</v>
      </c>
      <c r="K59" s="87" t="s">
        <v>6240</v>
      </c>
      <c r="L59" s="87" t="s">
        <v>6730</v>
      </c>
      <c r="M59" s="9" t="s">
        <v>6736</v>
      </c>
      <c r="N59" s="87" t="s">
        <v>6299</v>
      </c>
      <c r="O59" s="9" t="s">
        <v>6243</v>
      </c>
      <c r="P59" s="87" t="s">
        <v>3231</v>
      </c>
      <c r="Q59" s="87" t="s">
        <v>6299</v>
      </c>
      <c r="R59" s="87" t="s">
        <v>6400</v>
      </c>
      <c r="S59" s="87" t="s">
        <v>6414</v>
      </c>
    </row>
    <row r="60" spans="1:19" ht="15.75" customHeight="1">
      <c r="A60" s="9" t="s">
        <v>2971</v>
      </c>
      <c r="C60" s="9" t="s">
        <v>6671</v>
      </c>
      <c r="D60" s="9" t="s">
        <v>6672</v>
      </c>
      <c r="E60" s="9" t="s">
        <v>439</v>
      </c>
      <c r="F60" s="9" t="s">
        <v>436</v>
      </c>
      <c r="G60" s="9" t="s">
        <v>440</v>
      </c>
      <c r="H60" s="87" t="s">
        <v>6405</v>
      </c>
      <c r="I60" s="87" t="s">
        <v>6267</v>
      </c>
      <c r="J60" s="87" t="s">
        <v>6267</v>
      </c>
      <c r="K60" s="87" t="s">
        <v>6240</v>
      </c>
      <c r="L60" s="87" t="s">
        <v>6737</v>
      </c>
      <c r="M60" s="9" t="s">
        <v>6738</v>
      </c>
      <c r="N60" s="87" t="s">
        <v>6267</v>
      </c>
      <c r="O60" s="9" t="s">
        <v>6547</v>
      </c>
      <c r="P60" s="87" t="s">
        <v>6506</v>
      </c>
      <c r="Q60" s="87" t="s">
        <v>6267</v>
      </c>
      <c r="R60" s="87" t="s">
        <v>6645</v>
      </c>
      <c r="S60" s="87" t="s">
        <v>6313</v>
      </c>
    </row>
    <row r="61" spans="1:19" ht="15.75" customHeight="1">
      <c r="A61" s="9" t="s">
        <v>3014</v>
      </c>
      <c r="C61" s="9" t="s">
        <v>6236</v>
      </c>
      <c r="D61" s="9" t="s">
        <v>431</v>
      </c>
      <c r="E61" s="9" t="s">
        <v>368</v>
      </c>
      <c r="F61" s="9" t="s">
        <v>436</v>
      </c>
      <c r="G61" s="9" t="s">
        <v>434</v>
      </c>
      <c r="H61" s="87" t="s">
        <v>6237</v>
      </c>
      <c r="I61" s="87" t="s">
        <v>6238</v>
      </c>
      <c r="J61" s="87" t="s">
        <v>6239</v>
      </c>
      <c r="K61" s="87" t="s">
        <v>6240</v>
      </c>
      <c r="L61" s="87" t="s">
        <v>6737</v>
      </c>
      <c r="M61" s="9" t="s">
        <v>6676</v>
      </c>
      <c r="N61" s="87" t="s">
        <v>6239</v>
      </c>
      <c r="O61" s="9" t="s">
        <v>6243</v>
      </c>
      <c r="P61" s="87" t="s">
        <v>3764</v>
      </c>
      <c r="Q61" s="87" t="s">
        <v>6238</v>
      </c>
      <c r="R61" s="87" t="s">
        <v>6645</v>
      </c>
      <c r="S61" s="87" t="s">
        <v>6327</v>
      </c>
    </row>
    <row r="62" spans="1:19" ht="15.75" customHeight="1">
      <c r="A62" s="9" t="s">
        <v>2934</v>
      </c>
      <c r="C62" s="9" t="s">
        <v>6671</v>
      </c>
      <c r="D62" s="9" t="s">
        <v>6672</v>
      </c>
      <c r="E62" s="9" t="s">
        <v>439</v>
      </c>
      <c r="F62" s="9" t="s">
        <v>436</v>
      </c>
      <c r="G62" s="9" t="s">
        <v>440</v>
      </c>
      <c r="H62" s="87" t="s">
        <v>6405</v>
      </c>
      <c r="I62" s="87" t="s">
        <v>6357</v>
      </c>
      <c r="J62" s="87" t="s">
        <v>6357</v>
      </c>
      <c r="K62" s="87" t="s">
        <v>6240</v>
      </c>
      <c r="L62" s="87" t="s">
        <v>6737</v>
      </c>
      <c r="M62" s="9" t="s">
        <v>6674</v>
      </c>
      <c r="N62" s="87" t="s">
        <v>6357</v>
      </c>
      <c r="O62" s="9" t="s">
        <v>6243</v>
      </c>
      <c r="P62" s="87" t="s">
        <v>6565</v>
      </c>
      <c r="Q62" s="87" t="s">
        <v>6357</v>
      </c>
      <c r="R62" s="87" t="s">
        <v>6645</v>
      </c>
      <c r="S62" s="87" t="s">
        <v>6329</v>
      </c>
    </row>
    <row r="63" spans="1:19" ht="15.75" customHeight="1">
      <c r="A63" s="9" t="s">
        <v>2971</v>
      </c>
      <c r="C63" s="9" t="s">
        <v>6236</v>
      </c>
      <c r="D63" s="9" t="s">
        <v>431</v>
      </c>
      <c r="E63" s="9" t="s">
        <v>368</v>
      </c>
      <c r="F63" s="9" t="s">
        <v>436</v>
      </c>
      <c r="G63" s="9" t="s">
        <v>434</v>
      </c>
      <c r="H63" s="87" t="s">
        <v>6237</v>
      </c>
      <c r="I63" s="87" t="s">
        <v>6306</v>
      </c>
      <c r="J63" s="87" t="s">
        <v>6237</v>
      </c>
      <c r="K63" s="87" t="s">
        <v>6240</v>
      </c>
      <c r="L63" s="87" t="s">
        <v>6633</v>
      </c>
      <c r="M63" s="9" t="s">
        <v>6739</v>
      </c>
      <c r="N63" s="87" t="s">
        <v>6237</v>
      </c>
      <c r="O63" s="9" t="s">
        <v>6547</v>
      </c>
      <c r="P63" s="87" t="s">
        <v>4953</v>
      </c>
      <c r="Q63" s="87" t="s">
        <v>6306</v>
      </c>
      <c r="R63" s="87" t="s">
        <v>6645</v>
      </c>
      <c r="S63" s="87" t="s">
        <v>6424</v>
      </c>
    </row>
    <row r="64" spans="1:19" ht="15.75" customHeight="1">
      <c r="A64" s="9" t="s">
        <v>2840</v>
      </c>
      <c r="C64" s="9" t="s">
        <v>6236</v>
      </c>
      <c r="D64" s="9" t="s">
        <v>431</v>
      </c>
      <c r="E64" s="9" t="s">
        <v>368</v>
      </c>
      <c r="F64" s="9" t="s">
        <v>436</v>
      </c>
      <c r="G64" s="9" t="s">
        <v>434</v>
      </c>
      <c r="H64" s="87" t="s">
        <v>6264</v>
      </c>
      <c r="I64" s="87" t="s">
        <v>6313</v>
      </c>
      <c r="J64" s="87" t="s">
        <v>6313</v>
      </c>
      <c r="K64" s="87" t="s">
        <v>6240</v>
      </c>
      <c r="L64" s="87" t="s">
        <v>6633</v>
      </c>
      <c r="M64" s="9" t="s">
        <v>6740</v>
      </c>
      <c r="N64" s="87" t="s">
        <v>6313</v>
      </c>
      <c r="O64" s="9" t="s">
        <v>6243</v>
      </c>
      <c r="P64" s="87" t="s">
        <v>6357</v>
      </c>
      <c r="Q64" s="87" t="s">
        <v>6313</v>
      </c>
      <c r="R64" s="87" t="s">
        <v>6299</v>
      </c>
      <c r="S64" s="87" t="s">
        <v>6268</v>
      </c>
    </row>
    <row r="65" spans="1:19" ht="15.75" customHeight="1">
      <c r="A65" s="9" t="s">
        <v>3014</v>
      </c>
      <c r="C65" s="9" t="s">
        <v>6236</v>
      </c>
      <c r="D65" s="9" t="s">
        <v>431</v>
      </c>
      <c r="E65" s="9" t="s">
        <v>368</v>
      </c>
      <c r="F65" s="9" t="s">
        <v>436</v>
      </c>
      <c r="G65" s="9" t="s">
        <v>434</v>
      </c>
      <c r="H65" s="87" t="s">
        <v>6237</v>
      </c>
      <c r="I65" s="87" t="s">
        <v>6238</v>
      </c>
      <c r="J65" s="87" t="s">
        <v>6348</v>
      </c>
      <c r="K65" s="87" t="s">
        <v>6240</v>
      </c>
      <c r="L65" s="87" t="s">
        <v>6633</v>
      </c>
      <c r="M65" s="9" t="s">
        <v>6741</v>
      </c>
      <c r="N65" s="87" t="s">
        <v>6348</v>
      </c>
      <c r="O65" s="9" t="s">
        <v>6243</v>
      </c>
      <c r="P65" s="87" t="s">
        <v>5381</v>
      </c>
      <c r="Q65" s="87" t="s">
        <v>6238</v>
      </c>
      <c r="R65" s="87" t="s">
        <v>6397</v>
      </c>
      <c r="S65" s="87" t="s">
        <v>6327</v>
      </c>
    </row>
    <row r="66" spans="1:19" ht="15.75" customHeight="1">
      <c r="A66" s="9" t="s">
        <v>2934</v>
      </c>
      <c r="C66" s="9" t="s">
        <v>6236</v>
      </c>
      <c r="D66" s="9" t="s">
        <v>431</v>
      </c>
      <c r="E66" s="9" t="s">
        <v>368</v>
      </c>
      <c r="F66" s="9" t="s">
        <v>436</v>
      </c>
      <c r="G66" s="9" t="s">
        <v>434</v>
      </c>
      <c r="H66" s="87" t="s">
        <v>6237</v>
      </c>
      <c r="I66" s="87" t="s">
        <v>6305</v>
      </c>
      <c r="J66" s="87" t="s">
        <v>6326</v>
      </c>
      <c r="K66" s="87" t="s">
        <v>6240</v>
      </c>
      <c r="L66" s="87" t="s">
        <v>6633</v>
      </c>
      <c r="M66" s="9" t="s">
        <v>6742</v>
      </c>
      <c r="N66" s="87" t="s">
        <v>6326</v>
      </c>
      <c r="O66" s="9" t="s">
        <v>6243</v>
      </c>
      <c r="P66" s="87" t="s">
        <v>6355</v>
      </c>
      <c r="Q66" s="87" t="s">
        <v>6305</v>
      </c>
      <c r="R66" s="87" t="s">
        <v>6645</v>
      </c>
      <c r="S66" s="87" t="s">
        <v>6294</v>
      </c>
    </row>
    <row r="67" spans="1:19" ht="15.75" customHeight="1">
      <c r="A67" s="9" t="s">
        <v>3025</v>
      </c>
      <c r="C67" s="9" t="s">
        <v>6671</v>
      </c>
      <c r="D67" s="9" t="s">
        <v>6672</v>
      </c>
      <c r="E67" s="9" t="s">
        <v>439</v>
      </c>
      <c r="F67" s="9" t="s">
        <v>436</v>
      </c>
      <c r="G67" s="9" t="s">
        <v>440</v>
      </c>
      <c r="H67" s="87" t="s">
        <v>6405</v>
      </c>
      <c r="I67" s="87" t="s">
        <v>6250</v>
      </c>
      <c r="J67" s="87" t="s">
        <v>6250</v>
      </c>
      <c r="K67" s="87" t="s">
        <v>6240</v>
      </c>
      <c r="L67" s="87" t="s">
        <v>6633</v>
      </c>
      <c r="M67" s="9" t="s">
        <v>6743</v>
      </c>
      <c r="N67" s="87" t="s">
        <v>6250</v>
      </c>
      <c r="O67" s="9" t="s">
        <v>6243</v>
      </c>
      <c r="P67" s="87" t="s">
        <v>6320</v>
      </c>
      <c r="Q67" s="87" t="s">
        <v>6250</v>
      </c>
      <c r="R67" s="87" t="s">
        <v>6645</v>
      </c>
      <c r="S67" s="87" t="s">
        <v>6361</v>
      </c>
    </row>
    <row r="68" spans="1:19" ht="15.75" customHeight="1">
      <c r="A68" s="9" t="s">
        <v>2991</v>
      </c>
      <c r="C68" s="9" t="s">
        <v>6236</v>
      </c>
      <c r="D68" s="9" t="s">
        <v>431</v>
      </c>
      <c r="E68" s="9" t="s">
        <v>368</v>
      </c>
      <c r="F68" s="9" t="s">
        <v>436</v>
      </c>
      <c r="G68" s="9" t="s">
        <v>434</v>
      </c>
      <c r="H68" s="87" t="s">
        <v>6237</v>
      </c>
      <c r="I68" s="87" t="s">
        <v>6565</v>
      </c>
      <c r="J68" s="87" t="s">
        <v>6297</v>
      </c>
      <c r="K68" s="87" t="s">
        <v>6240</v>
      </c>
      <c r="L68" s="87" t="s">
        <v>6628</v>
      </c>
      <c r="M68" s="9" t="s">
        <v>6719</v>
      </c>
      <c r="N68" s="87" t="s">
        <v>6297</v>
      </c>
      <c r="O68" s="9" t="s">
        <v>6243</v>
      </c>
      <c r="P68" s="87" t="s">
        <v>6299</v>
      </c>
      <c r="Q68" s="87" t="s">
        <v>6565</v>
      </c>
      <c r="R68" s="87" t="s">
        <v>6645</v>
      </c>
      <c r="S68" s="87" t="s">
        <v>6306</v>
      </c>
    </row>
    <row r="69" spans="1:19" ht="15.75" customHeight="1">
      <c r="A69" s="9" t="s">
        <v>2971</v>
      </c>
      <c r="C69" s="9" t="s">
        <v>6236</v>
      </c>
      <c r="D69" s="9" t="s">
        <v>431</v>
      </c>
      <c r="E69" s="9" t="s">
        <v>368</v>
      </c>
      <c r="F69" s="9" t="s">
        <v>436</v>
      </c>
      <c r="G69" s="9" t="s">
        <v>434</v>
      </c>
      <c r="H69" s="87" t="s">
        <v>6237</v>
      </c>
      <c r="I69" s="87" t="s">
        <v>6306</v>
      </c>
      <c r="J69" s="87" t="s">
        <v>6239</v>
      </c>
      <c r="K69" s="87" t="s">
        <v>6240</v>
      </c>
      <c r="L69" s="87" t="s">
        <v>6628</v>
      </c>
      <c r="M69" s="9" t="s">
        <v>6676</v>
      </c>
      <c r="N69" s="87" t="s">
        <v>6239</v>
      </c>
      <c r="O69" s="9" t="s">
        <v>6547</v>
      </c>
      <c r="P69" s="87" t="s">
        <v>3764</v>
      </c>
      <c r="Q69" s="87" t="s">
        <v>6306</v>
      </c>
      <c r="R69" s="87" t="s">
        <v>6645</v>
      </c>
      <c r="S69" s="87" t="s">
        <v>6327</v>
      </c>
    </row>
    <row r="70" spans="1:19" ht="15.75" customHeight="1">
      <c r="A70" s="9" t="s">
        <v>2934</v>
      </c>
      <c r="C70" s="9" t="s">
        <v>6236</v>
      </c>
      <c r="D70" s="9" t="s">
        <v>431</v>
      </c>
      <c r="E70" s="9" t="s">
        <v>368</v>
      </c>
      <c r="F70" s="9" t="s">
        <v>436</v>
      </c>
      <c r="G70" s="9" t="s">
        <v>434</v>
      </c>
      <c r="H70" s="87" t="s">
        <v>6237</v>
      </c>
      <c r="I70" s="87" t="s">
        <v>6305</v>
      </c>
      <c r="J70" s="87" t="s">
        <v>6273</v>
      </c>
      <c r="K70" s="87" t="s">
        <v>6240</v>
      </c>
      <c r="L70" s="87" t="s">
        <v>6628</v>
      </c>
      <c r="M70" s="9" t="s">
        <v>6744</v>
      </c>
      <c r="N70" s="87" t="s">
        <v>6273</v>
      </c>
      <c r="O70" s="9" t="s">
        <v>6243</v>
      </c>
      <c r="P70" s="87" t="s">
        <v>6276</v>
      </c>
      <c r="Q70" s="87" t="s">
        <v>6305</v>
      </c>
      <c r="R70" s="87" t="s">
        <v>6409</v>
      </c>
      <c r="S70" s="87" t="s">
        <v>6327</v>
      </c>
    </row>
    <row r="71" spans="1:19" ht="15.75" customHeight="1">
      <c r="A71" s="9" t="s">
        <v>3025</v>
      </c>
      <c r="C71" s="9" t="s">
        <v>6236</v>
      </c>
      <c r="D71" s="9" t="s">
        <v>431</v>
      </c>
      <c r="E71" s="9" t="s">
        <v>368</v>
      </c>
      <c r="F71" s="9" t="s">
        <v>436</v>
      </c>
      <c r="G71" s="9" t="s">
        <v>434</v>
      </c>
      <c r="H71" s="87" t="s">
        <v>6237</v>
      </c>
      <c r="I71" s="87" t="s">
        <v>6484</v>
      </c>
      <c r="J71" s="87" t="s">
        <v>6484</v>
      </c>
      <c r="K71" s="87" t="s">
        <v>6240</v>
      </c>
      <c r="L71" s="87" t="s">
        <v>6628</v>
      </c>
      <c r="M71" s="9" t="s">
        <v>6745</v>
      </c>
      <c r="N71" s="87" t="s">
        <v>6484</v>
      </c>
      <c r="O71" s="9" t="s">
        <v>6243</v>
      </c>
      <c r="P71" s="87" t="s">
        <v>6375</v>
      </c>
      <c r="Q71" s="87" t="s">
        <v>6484</v>
      </c>
      <c r="R71" s="87" t="s">
        <v>6443</v>
      </c>
      <c r="S71" s="87" t="s">
        <v>6250</v>
      </c>
    </row>
    <row r="72" spans="1:19" ht="15.75" customHeight="1">
      <c r="A72" s="9" t="s">
        <v>2991</v>
      </c>
      <c r="C72" s="9" t="s">
        <v>6236</v>
      </c>
      <c r="D72" s="9" t="s">
        <v>431</v>
      </c>
      <c r="E72" s="9" t="s">
        <v>368</v>
      </c>
      <c r="F72" s="9" t="s">
        <v>436</v>
      </c>
      <c r="G72" s="9" t="s">
        <v>434</v>
      </c>
      <c r="H72" s="87" t="s">
        <v>6237</v>
      </c>
      <c r="I72" s="87" t="s">
        <v>6565</v>
      </c>
      <c r="J72" s="87" t="s">
        <v>6239</v>
      </c>
      <c r="K72" s="87" t="s">
        <v>6240</v>
      </c>
      <c r="L72" s="87" t="s">
        <v>6624</v>
      </c>
      <c r="M72" s="9" t="s">
        <v>6676</v>
      </c>
      <c r="N72" s="87" t="s">
        <v>6239</v>
      </c>
      <c r="O72" s="9" t="s">
        <v>6243</v>
      </c>
      <c r="P72" s="87" t="s">
        <v>3764</v>
      </c>
      <c r="Q72" s="87" t="s">
        <v>6565</v>
      </c>
      <c r="R72" s="87" t="s">
        <v>6645</v>
      </c>
      <c r="S72" s="87" t="s">
        <v>6327</v>
      </c>
    </row>
    <row r="73" spans="1:19" ht="15.75" customHeight="1">
      <c r="A73" s="9" t="s">
        <v>2991</v>
      </c>
      <c r="C73" s="9" t="s">
        <v>6236</v>
      </c>
      <c r="D73" s="9" t="s">
        <v>431</v>
      </c>
      <c r="E73" s="9" t="s">
        <v>368</v>
      </c>
      <c r="F73" s="9" t="s">
        <v>436</v>
      </c>
      <c r="G73" s="9" t="s">
        <v>434</v>
      </c>
      <c r="H73" s="87" t="s">
        <v>6237</v>
      </c>
      <c r="I73" s="87" t="s">
        <v>6565</v>
      </c>
      <c r="J73" s="87" t="s">
        <v>6239</v>
      </c>
      <c r="K73" s="87" t="s">
        <v>6240</v>
      </c>
      <c r="L73" s="87" t="s">
        <v>6620</v>
      </c>
      <c r="M73" s="9" t="s">
        <v>6676</v>
      </c>
      <c r="N73" s="87" t="s">
        <v>6239</v>
      </c>
      <c r="O73" s="9" t="s">
        <v>6243</v>
      </c>
      <c r="P73" s="87" t="s">
        <v>3764</v>
      </c>
      <c r="Q73" s="87" t="s">
        <v>6565</v>
      </c>
      <c r="R73" s="87" t="s">
        <v>6645</v>
      </c>
      <c r="S73" s="87" t="s">
        <v>6327</v>
      </c>
    </row>
    <row r="74" spans="1:19" ht="15.75" customHeight="1">
      <c r="A74" s="9" t="s">
        <v>2991</v>
      </c>
      <c r="C74" s="9" t="s">
        <v>6236</v>
      </c>
      <c r="D74" s="9" t="s">
        <v>431</v>
      </c>
      <c r="E74" s="9" t="s">
        <v>368</v>
      </c>
      <c r="F74" s="9" t="s">
        <v>436</v>
      </c>
      <c r="G74" s="9" t="s">
        <v>434</v>
      </c>
      <c r="H74" s="87" t="s">
        <v>6237</v>
      </c>
      <c r="I74" s="87" t="s">
        <v>6565</v>
      </c>
      <c r="J74" s="87" t="s">
        <v>6239</v>
      </c>
      <c r="K74" s="87" t="s">
        <v>6240</v>
      </c>
      <c r="L74" s="87" t="s">
        <v>6616</v>
      </c>
      <c r="M74" s="9" t="s">
        <v>6676</v>
      </c>
      <c r="N74" s="87" t="s">
        <v>6239</v>
      </c>
      <c r="O74" s="9" t="s">
        <v>6243</v>
      </c>
      <c r="P74" s="87" t="s">
        <v>3764</v>
      </c>
      <c r="Q74" s="87" t="s">
        <v>6565</v>
      </c>
      <c r="R74" s="87" t="s">
        <v>6645</v>
      </c>
      <c r="S74" s="87" t="s">
        <v>6327</v>
      </c>
    </row>
    <row r="75" spans="1:19" ht="15.75" customHeight="1">
      <c r="A75" s="9" t="s">
        <v>2899</v>
      </c>
      <c r="C75" s="9" t="s">
        <v>6671</v>
      </c>
      <c r="D75" s="9" t="s">
        <v>6672</v>
      </c>
      <c r="E75" s="9" t="s">
        <v>439</v>
      </c>
      <c r="F75" s="9" t="s">
        <v>436</v>
      </c>
      <c r="G75" s="9" t="s">
        <v>440</v>
      </c>
      <c r="H75" s="87" t="s">
        <v>6405</v>
      </c>
      <c r="I75" s="87" t="s">
        <v>6329</v>
      </c>
      <c r="J75" s="87" t="s">
        <v>6329</v>
      </c>
      <c r="K75" s="87" t="s">
        <v>6240</v>
      </c>
      <c r="L75" s="87" t="s">
        <v>6616</v>
      </c>
      <c r="M75" s="9" t="s">
        <v>6746</v>
      </c>
      <c r="N75" s="87" t="s">
        <v>6329</v>
      </c>
      <c r="O75" s="9" t="s">
        <v>6243</v>
      </c>
      <c r="P75" s="87" t="s">
        <v>6448</v>
      </c>
      <c r="Q75" s="87" t="s">
        <v>6329</v>
      </c>
      <c r="R75" s="87" t="s">
        <v>6645</v>
      </c>
      <c r="S75" s="87" t="s">
        <v>6357</v>
      </c>
    </row>
    <row r="76" spans="1:19" ht="15.75" customHeight="1">
      <c r="A76" s="9" t="s">
        <v>2991</v>
      </c>
      <c r="C76" s="9" t="s">
        <v>6236</v>
      </c>
      <c r="D76" s="9" t="s">
        <v>431</v>
      </c>
      <c r="E76" s="9" t="s">
        <v>368</v>
      </c>
      <c r="F76" s="9" t="s">
        <v>436</v>
      </c>
      <c r="G76" s="9" t="s">
        <v>434</v>
      </c>
      <c r="H76" s="87" t="s">
        <v>6237</v>
      </c>
      <c r="I76" s="87" t="s">
        <v>6565</v>
      </c>
      <c r="J76" s="87" t="s">
        <v>6314</v>
      </c>
      <c r="K76" s="87" t="s">
        <v>6240</v>
      </c>
      <c r="L76" s="87" t="s">
        <v>6613</v>
      </c>
      <c r="M76" s="9" t="s">
        <v>6747</v>
      </c>
      <c r="N76" s="87" t="s">
        <v>6314</v>
      </c>
      <c r="O76" s="9" t="s">
        <v>6243</v>
      </c>
      <c r="P76" s="87" t="s">
        <v>6748</v>
      </c>
      <c r="Q76" s="87" t="s">
        <v>6565</v>
      </c>
      <c r="R76" s="87" t="s">
        <v>6287</v>
      </c>
      <c r="S76" s="87" t="s">
        <v>6327</v>
      </c>
    </row>
    <row r="77" spans="1:19" ht="15.75" customHeight="1">
      <c r="A77" s="9" t="s">
        <v>2847</v>
      </c>
      <c r="C77" s="9" t="s">
        <v>6671</v>
      </c>
      <c r="D77" s="9" t="s">
        <v>6672</v>
      </c>
      <c r="E77" s="9" t="s">
        <v>439</v>
      </c>
      <c r="F77" s="9" t="s">
        <v>436</v>
      </c>
      <c r="G77" s="9" t="s">
        <v>440</v>
      </c>
      <c r="H77" s="87" t="s">
        <v>6405</v>
      </c>
      <c r="I77" s="87" t="s">
        <v>6567</v>
      </c>
      <c r="J77" s="87" t="s">
        <v>6346</v>
      </c>
      <c r="K77" s="87" t="s">
        <v>6240</v>
      </c>
      <c r="L77" s="87" t="s">
        <v>6613</v>
      </c>
      <c r="M77" s="9" t="s">
        <v>6749</v>
      </c>
      <c r="N77" s="87" t="s">
        <v>6346</v>
      </c>
      <c r="O77" s="9" t="s">
        <v>6243</v>
      </c>
      <c r="P77" s="87" t="s">
        <v>6366</v>
      </c>
      <c r="Q77" s="87" t="s">
        <v>6567</v>
      </c>
      <c r="R77" s="87" t="s">
        <v>6645</v>
      </c>
      <c r="S77" s="87" t="s">
        <v>5381</v>
      </c>
    </row>
    <row r="78" spans="1:19" ht="15.75" customHeight="1">
      <c r="A78" s="9" t="s">
        <v>2899</v>
      </c>
      <c r="C78" s="9" t="s">
        <v>6236</v>
      </c>
      <c r="D78" s="9" t="s">
        <v>431</v>
      </c>
      <c r="E78" s="9" t="s">
        <v>368</v>
      </c>
      <c r="F78" s="9" t="s">
        <v>436</v>
      </c>
      <c r="G78" s="9" t="s">
        <v>434</v>
      </c>
      <c r="H78" s="87" t="s">
        <v>6237</v>
      </c>
      <c r="I78" s="87" t="s">
        <v>6299</v>
      </c>
      <c r="J78" s="87" t="s">
        <v>6414</v>
      </c>
      <c r="K78" s="87" t="s">
        <v>6240</v>
      </c>
      <c r="L78" s="87" t="s">
        <v>6613</v>
      </c>
      <c r="M78" s="9" t="s">
        <v>6750</v>
      </c>
      <c r="N78" s="87" t="s">
        <v>6414</v>
      </c>
      <c r="O78" s="9" t="s">
        <v>6243</v>
      </c>
      <c r="P78" s="87" t="s">
        <v>6416</v>
      </c>
      <c r="Q78" s="87" t="s">
        <v>6299</v>
      </c>
      <c r="R78" s="87" t="s">
        <v>6645</v>
      </c>
      <c r="S78" s="87" t="s">
        <v>6284</v>
      </c>
    </row>
    <row r="79" spans="1:19" ht="15.75" customHeight="1">
      <c r="A79" s="9" t="s">
        <v>2989</v>
      </c>
      <c r="C79" s="9" t="s">
        <v>6236</v>
      </c>
      <c r="D79" s="9" t="s">
        <v>431</v>
      </c>
      <c r="E79" s="9" t="s">
        <v>368</v>
      </c>
      <c r="F79" s="9" t="s">
        <v>436</v>
      </c>
      <c r="G79" s="9" t="s">
        <v>434</v>
      </c>
      <c r="H79" s="87" t="s">
        <v>6264</v>
      </c>
      <c r="I79" s="87" t="s">
        <v>6437</v>
      </c>
      <c r="J79" s="87" t="s">
        <v>6239</v>
      </c>
      <c r="K79" s="87" t="s">
        <v>6240</v>
      </c>
      <c r="L79" s="87" t="s">
        <v>6650</v>
      </c>
      <c r="M79" s="9" t="s">
        <v>6676</v>
      </c>
      <c r="N79" s="87" t="s">
        <v>6239</v>
      </c>
      <c r="O79" s="9" t="s">
        <v>6243</v>
      </c>
      <c r="P79" s="87" t="s">
        <v>3764</v>
      </c>
      <c r="Q79" s="87" t="s">
        <v>6437</v>
      </c>
      <c r="R79" s="87" t="s">
        <v>6645</v>
      </c>
      <c r="S79" s="87" t="s">
        <v>6327</v>
      </c>
    </row>
    <row r="80" spans="1:19" ht="15.75" customHeight="1">
      <c r="A80" s="9" t="s">
        <v>2972</v>
      </c>
      <c r="C80" s="9" t="s">
        <v>6671</v>
      </c>
      <c r="D80" s="9" t="s">
        <v>6672</v>
      </c>
      <c r="E80" s="9" t="s">
        <v>439</v>
      </c>
      <c r="F80" s="9" t="s">
        <v>436</v>
      </c>
      <c r="G80" s="9" t="s">
        <v>440</v>
      </c>
      <c r="H80" s="87" t="s">
        <v>6405</v>
      </c>
      <c r="I80" s="87" t="s">
        <v>6255</v>
      </c>
      <c r="J80" s="87" t="s">
        <v>6255</v>
      </c>
      <c r="K80" s="87" t="s">
        <v>6240</v>
      </c>
      <c r="L80" s="87" t="s">
        <v>6649</v>
      </c>
      <c r="M80" s="9" t="s">
        <v>6751</v>
      </c>
      <c r="N80" s="87" t="s">
        <v>6255</v>
      </c>
      <c r="O80" s="9" t="s">
        <v>6243</v>
      </c>
      <c r="P80" s="87" t="s">
        <v>4947</v>
      </c>
      <c r="Q80" s="87" t="s">
        <v>6255</v>
      </c>
      <c r="R80" s="87" t="s">
        <v>6404</v>
      </c>
      <c r="S80" s="87" t="s">
        <v>6570</v>
      </c>
    </row>
    <row r="81" spans="1:19" ht="15.75" customHeight="1">
      <c r="A81" s="9" t="s">
        <v>2989</v>
      </c>
      <c r="C81" s="9" t="s">
        <v>6236</v>
      </c>
      <c r="D81" s="9" t="s">
        <v>431</v>
      </c>
      <c r="E81" s="9" t="s">
        <v>368</v>
      </c>
      <c r="F81" s="9" t="s">
        <v>436</v>
      </c>
      <c r="G81" s="9" t="s">
        <v>434</v>
      </c>
      <c r="H81" s="87" t="s">
        <v>6264</v>
      </c>
      <c r="I81" s="87" t="s">
        <v>6437</v>
      </c>
      <c r="J81" s="87" t="s">
        <v>6327</v>
      </c>
      <c r="K81" s="87" t="s">
        <v>6240</v>
      </c>
      <c r="L81" s="87" t="s">
        <v>6649</v>
      </c>
      <c r="M81" s="9" t="s">
        <v>6752</v>
      </c>
      <c r="N81" s="87" t="s">
        <v>6327</v>
      </c>
      <c r="O81" s="9" t="s">
        <v>6243</v>
      </c>
      <c r="P81" s="87" t="s">
        <v>6392</v>
      </c>
      <c r="Q81" s="87" t="s">
        <v>6437</v>
      </c>
      <c r="R81" s="87" t="s">
        <v>6411</v>
      </c>
      <c r="S81" s="87" t="s">
        <v>6327</v>
      </c>
    </row>
    <row r="82" spans="1:19" ht="15.75" customHeight="1">
      <c r="A82" s="9" t="s">
        <v>2932</v>
      </c>
      <c r="C82" s="9" t="s">
        <v>6236</v>
      </c>
      <c r="D82" s="9" t="s">
        <v>431</v>
      </c>
      <c r="E82" s="9" t="s">
        <v>368</v>
      </c>
      <c r="F82" s="9" t="s">
        <v>436</v>
      </c>
      <c r="G82" s="9" t="s">
        <v>434</v>
      </c>
      <c r="H82" s="87" t="s">
        <v>6237</v>
      </c>
      <c r="I82" s="87" t="s">
        <v>6636</v>
      </c>
      <c r="J82" s="87" t="s">
        <v>6500</v>
      </c>
      <c r="K82" s="87" t="s">
        <v>6240</v>
      </c>
      <c r="L82" s="87" t="s">
        <v>6649</v>
      </c>
      <c r="M82" s="9" t="s">
        <v>6753</v>
      </c>
      <c r="N82" s="87" t="s">
        <v>6500</v>
      </c>
      <c r="O82" s="9" t="s">
        <v>6243</v>
      </c>
      <c r="P82" s="87" t="s">
        <v>3749</v>
      </c>
      <c r="Q82" s="87" t="s">
        <v>6636</v>
      </c>
      <c r="R82" s="87" t="s">
        <v>6645</v>
      </c>
      <c r="S82" s="87" t="s">
        <v>6245</v>
      </c>
    </row>
    <row r="83" spans="1:19" ht="15.75" customHeight="1">
      <c r="A83" s="9" t="s">
        <v>2936</v>
      </c>
      <c r="C83" s="9" t="s">
        <v>6671</v>
      </c>
      <c r="D83" s="9" t="s">
        <v>6672</v>
      </c>
      <c r="E83" s="9" t="s">
        <v>439</v>
      </c>
      <c r="F83" s="9" t="s">
        <v>436</v>
      </c>
      <c r="G83" s="9" t="s">
        <v>440</v>
      </c>
      <c r="H83" s="87" t="s">
        <v>6405</v>
      </c>
      <c r="I83" s="87" t="s">
        <v>6754</v>
      </c>
      <c r="J83" s="87" t="s">
        <v>6293</v>
      </c>
      <c r="K83" s="87" t="s">
        <v>6240</v>
      </c>
      <c r="L83" s="87" t="s">
        <v>6649</v>
      </c>
      <c r="M83" s="9" t="s">
        <v>6755</v>
      </c>
      <c r="N83" s="87" t="s">
        <v>6293</v>
      </c>
      <c r="O83" s="9" t="s">
        <v>6243</v>
      </c>
      <c r="P83" s="87" t="s">
        <v>4828</v>
      </c>
      <c r="Q83" s="87" t="s">
        <v>6754</v>
      </c>
      <c r="R83" s="87" t="s">
        <v>6645</v>
      </c>
      <c r="S83" s="87" t="s">
        <v>6430</v>
      </c>
    </row>
    <row r="84" spans="1:19" ht="15.75" customHeight="1">
      <c r="A84" s="9" t="s">
        <v>2913</v>
      </c>
      <c r="C84" s="9" t="s">
        <v>6236</v>
      </c>
      <c r="D84" s="9" t="s">
        <v>431</v>
      </c>
      <c r="E84" s="9" t="s">
        <v>368</v>
      </c>
      <c r="F84" s="9" t="s">
        <v>436</v>
      </c>
      <c r="G84" s="9" t="s">
        <v>434</v>
      </c>
      <c r="H84" s="87" t="s">
        <v>6264</v>
      </c>
      <c r="I84" s="87" t="s">
        <v>6255</v>
      </c>
      <c r="J84" s="87" t="s">
        <v>6435</v>
      </c>
      <c r="K84" s="87" t="s">
        <v>6240</v>
      </c>
      <c r="L84" s="87" t="s">
        <v>6648</v>
      </c>
      <c r="M84" s="9" t="s">
        <v>6756</v>
      </c>
      <c r="N84" s="87" t="s">
        <v>6435</v>
      </c>
      <c r="O84" s="9" t="s">
        <v>6243</v>
      </c>
      <c r="P84" s="87" t="s">
        <v>6250</v>
      </c>
      <c r="Q84" s="87" t="s">
        <v>6255</v>
      </c>
      <c r="R84" s="87" t="s">
        <v>6645</v>
      </c>
      <c r="S84" s="87" t="s">
        <v>6733</v>
      </c>
    </row>
    <row r="85" spans="1:19" ht="15.75" customHeight="1">
      <c r="A85" s="9" t="s">
        <v>2922</v>
      </c>
      <c r="C85" s="9" t="s">
        <v>6671</v>
      </c>
      <c r="D85" s="9" t="s">
        <v>6672</v>
      </c>
      <c r="E85" s="9" t="s">
        <v>439</v>
      </c>
      <c r="F85" s="9" t="s">
        <v>436</v>
      </c>
      <c r="G85" s="9" t="s">
        <v>440</v>
      </c>
      <c r="H85" s="87" t="s">
        <v>6405</v>
      </c>
      <c r="I85" s="87" t="s">
        <v>6245</v>
      </c>
      <c r="J85" s="87" t="s">
        <v>6245</v>
      </c>
      <c r="K85" s="87" t="s">
        <v>6240</v>
      </c>
      <c r="L85" s="87" t="s">
        <v>6648</v>
      </c>
      <c r="M85" s="9" t="s">
        <v>6675</v>
      </c>
      <c r="N85" s="87" t="s">
        <v>6245</v>
      </c>
      <c r="O85" s="9" t="s">
        <v>6547</v>
      </c>
      <c r="P85" s="87" t="s">
        <v>6238</v>
      </c>
      <c r="Q85" s="87" t="s">
        <v>6245</v>
      </c>
      <c r="R85" s="87" t="s">
        <v>6645</v>
      </c>
      <c r="S85" s="87" t="s">
        <v>6500</v>
      </c>
    </row>
    <row r="86" spans="1:19" ht="15.75" customHeight="1">
      <c r="A86" s="9" t="s">
        <v>2932</v>
      </c>
      <c r="C86" s="9" t="s">
        <v>6236</v>
      </c>
      <c r="D86" s="9" t="s">
        <v>431</v>
      </c>
      <c r="E86" s="9" t="s">
        <v>368</v>
      </c>
      <c r="F86" s="9" t="s">
        <v>436</v>
      </c>
      <c r="G86" s="9" t="s">
        <v>434</v>
      </c>
      <c r="H86" s="87" t="s">
        <v>6237</v>
      </c>
      <c r="I86" s="87" t="s">
        <v>6636</v>
      </c>
      <c r="J86" s="87" t="s">
        <v>6416</v>
      </c>
      <c r="K86" s="87" t="s">
        <v>6240</v>
      </c>
      <c r="L86" s="87" t="s">
        <v>6648</v>
      </c>
      <c r="M86" s="9" t="s">
        <v>6757</v>
      </c>
      <c r="N86" s="87" t="s">
        <v>6416</v>
      </c>
      <c r="O86" s="9" t="s">
        <v>6243</v>
      </c>
      <c r="P86" s="87" t="s">
        <v>6758</v>
      </c>
      <c r="Q86" s="87" t="s">
        <v>6636</v>
      </c>
      <c r="R86" s="87" t="s">
        <v>6239</v>
      </c>
      <c r="S86" s="87" t="s">
        <v>6327</v>
      </c>
    </row>
    <row r="87" spans="1:19" ht="15.75" customHeight="1">
      <c r="A87" s="9" t="s">
        <v>2936</v>
      </c>
      <c r="C87" s="9" t="s">
        <v>6671</v>
      </c>
      <c r="D87" s="9" t="s">
        <v>6672</v>
      </c>
      <c r="E87" s="9" t="s">
        <v>439</v>
      </c>
      <c r="F87" s="9" t="s">
        <v>436</v>
      </c>
      <c r="G87" s="9" t="s">
        <v>440</v>
      </c>
      <c r="H87" s="87" t="s">
        <v>6405</v>
      </c>
      <c r="I87" s="87" t="s">
        <v>6754</v>
      </c>
      <c r="J87" s="87" t="s">
        <v>6239</v>
      </c>
      <c r="K87" s="87" t="s">
        <v>6240</v>
      </c>
      <c r="L87" s="87" t="s">
        <v>6648</v>
      </c>
      <c r="M87" s="9" t="s">
        <v>6676</v>
      </c>
      <c r="N87" s="87" t="s">
        <v>6239</v>
      </c>
      <c r="O87" s="9" t="s">
        <v>6243</v>
      </c>
      <c r="P87" s="87" t="s">
        <v>3764</v>
      </c>
      <c r="Q87" s="87" t="s">
        <v>6754</v>
      </c>
      <c r="R87" s="87" t="s">
        <v>6645</v>
      </c>
      <c r="S87" s="87" t="s">
        <v>6327</v>
      </c>
    </row>
    <row r="88" spans="1:19" ht="15.75" customHeight="1">
      <c r="A88" s="9" t="s">
        <v>2972</v>
      </c>
      <c r="C88" s="9" t="s">
        <v>6236</v>
      </c>
      <c r="D88" s="9" t="s">
        <v>431</v>
      </c>
      <c r="E88" s="9" t="s">
        <v>368</v>
      </c>
      <c r="F88" s="9" t="s">
        <v>436</v>
      </c>
      <c r="G88" s="9" t="s">
        <v>434</v>
      </c>
      <c r="H88" s="87" t="s">
        <v>6240</v>
      </c>
      <c r="I88" s="87" t="s">
        <v>6299</v>
      </c>
      <c r="J88" s="87" t="s">
        <v>6299</v>
      </c>
      <c r="K88" s="87" t="s">
        <v>6240</v>
      </c>
      <c r="L88" s="87" t="s">
        <v>6647</v>
      </c>
      <c r="M88" s="9" t="s">
        <v>6759</v>
      </c>
      <c r="N88" s="87" t="s">
        <v>6299</v>
      </c>
      <c r="O88" s="9" t="s">
        <v>6243</v>
      </c>
      <c r="P88" s="87" t="s">
        <v>3231</v>
      </c>
      <c r="Q88" s="87" t="s">
        <v>6299</v>
      </c>
      <c r="R88" s="87" t="s">
        <v>5381</v>
      </c>
      <c r="S88" s="87" t="s">
        <v>6259</v>
      </c>
    </row>
    <row r="89" spans="1:19" ht="15.75" customHeight="1">
      <c r="A89" s="9" t="s">
        <v>2913</v>
      </c>
      <c r="C89" s="9" t="s">
        <v>6236</v>
      </c>
      <c r="D89" s="9" t="s">
        <v>431</v>
      </c>
      <c r="E89" s="9" t="s">
        <v>368</v>
      </c>
      <c r="F89" s="9" t="s">
        <v>436</v>
      </c>
      <c r="G89" s="9" t="s">
        <v>434</v>
      </c>
      <c r="H89" s="87" t="s">
        <v>6264</v>
      </c>
      <c r="I89" s="87" t="s">
        <v>6255</v>
      </c>
      <c r="J89" s="87" t="s">
        <v>6393</v>
      </c>
      <c r="K89" s="87" t="s">
        <v>6240</v>
      </c>
      <c r="L89" s="87" t="s">
        <v>6647</v>
      </c>
      <c r="M89" s="9" t="s">
        <v>6760</v>
      </c>
      <c r="N89" s="87" t="s">
        <v>6393</v>
      </c>
      <c r="O89" s="9" t="s">
        <v>6243</v>
      </c>
      <c r="P89" s="87" t="s">
        <v>6341</v>
      </c>
      <c r="Q89" s="87" t="s">
        <v>6255</v>
      </c>
      <c r="R89" s="87" t="s">
        <v>6255</v>
      </c>
      <c r="S89" s="87" t="s">
        <v>6327</v>
      </c>
    </row>
    <row r="90" spans="1:19" ht="15.75" customHeight="1">
      <c r="A90" s="9" t="s">
        <v>2922</v>
      </c>
      <c r="C90" s="9" t="s">
        <v>6236</v>
      </c>
      <c r="D90" s="9" t="s">
        <v>431</v>
      </c>
      <c r="E90" s="9" t="s">
        <v>368</v>
      </c>
      <c r="F90" s="9" t="s">
        <v>436</v>
      </c>
      <c r="G90" s="9" t="s">
        <v>434</v>
      </c>
      <c r="H90" s="87" t="s">
        <v>6237</v>
      </c>
      <c r="I90" s="87" t="s">
        <v>6323</v>
      </c>
      <c r="J90" s="87" t="s">
        <v>6323</v>
      </c>
      <c r="K90" s="87" t="s">
        <v>6240</v>
      </c>
      <c r="L90" s="87" t="s">
        <v>6647</v>
      </c>
      <c r="M90" s="9" t="s">
        <v>6761</v>
      </c>
      <c r="N90" s="87" t="s">
        <v>6323</v>
      </c>
      <c r="O90" s="9" t="s">
        <v>6243</v>
      </c>
      <c r="P90" s="87" t="s">
        <v>5374</v>
      </c>
      <c r="Q90" s="87" t="s">
        <v>6323</v>
      </c>
      <c r="R90" s="87" t="s">
        <v>6424</v>
      </c>
      <c r="S90" s="87" t="s">
        <v>6382</v>
      </c>
    </row>
    <row r="91" spans="1:19" ht="15.75" customHeight="1">
      <c r="A91" s="9" t="s">
        <v>2936</v>
      </c>
      <c r="C91" s="9" t="s">
        <v>6236</v>
      </c>
      <c r="D91" s="9" t="s">
        <v>431</v>
      </c>
      <c r="E91" s="9" t="s">
        <v>368</v>
      </c>
      <c r="F91" s="9" t="s">
        <v>436</v>
      </c>
      <c r="G91" s="9" t="s">
        <v>434</v>
      </c>
      <c r="H91" s="87" t="s">
        <v>6264</v>
      </c>
      <c r="I91" s="87" t="s">
        <v>6375</v>
      </c>
      <c r="J91" s="87" t="s">
        <v>6264</v>
      </c>
      <c r="K91" s="87" t="s">
        <v>6240</v>
      </c>
      <c r="L91" s="87" t="s">
        <v>6647</v>
      </c>
      <c r="M91" s="9" t="s">
        <v>6762</v>
      </c>
      <c r="N91" s="87" t="s">
        <v>6264</v>
      </c>
      <c r="O91" s="9" t="s">
        <v>6243</v>
      </c>
      <c r="P91" s="87" t="s">
        <v>6313</v>
      </c>
      <c r="Q91" s="87" t="s">
        <v>6375</v>
      </c>
      <c r="R91" s="87" t="s">
        <v>6645</v>
      </c>
      <c r="S91" s="87" t="s">
        <v>6474</v>
      </c>
    </row>
    <row r="92" spans="1:19" ht="15.75" customHeight="1">
      <c r="A92" s="9" t="s">
        <v>2936</v>
      </c>
      <c r="C92" s="9" t="s">
        <v>6236</v>
      </c>
      <c r="D92" s="9" t="s">
        <v>431</v>
      </c>
      <c r="E92" s="9" t="s">
        <v>368</v>
      </c>
      <c r="F92" s="9" t="s">
        <v>436</v>
      </c>
      <c r="G92" s="9" t="s">
        <v>434</v>
      </c>
      <c r="H92" s="87" t="s">
        <v>6264</v>
      </c>
      <c r="I92" s="87" t="s">
        <v>6375</v>
      </c>
      <c r="J92" s="87" t="s">
        <v>6239</v>
      </c>
      <c r="K92" s="87" t="s">
        <v>6240</v>
      </c>
      <c r="L92" s="87" t="s">
        <v>6763</v>
      </c>
      <c r="M92" s="9" t="s">
        <v>6676</v>
      </c>
      <c r="N92" s="87" t="s">
        <v>6239</v>
      </c>
      <c r="O92" s="9" t="s">
        <v>6243</v>
      </c>
      <c r="P92" s="87" t="s">
        <v>3764</v>
      </c>
      <c r="Q92" s="87" t="s">
        <v>6375</v>
      </c>
      <c r="R92" s="87" t="s">
        <v>6645</v>
      </c>
      <c r="S92" s="87" t="s">
        <v>6327</v>
      </c>
    </row>
    <row r="93" spans="1:19" ht="15.75" customHeight="1">
      <c r="A93" s="9" t="s">
        <v>2911</v>
      </c>
      <c r="C93" s="9" t="s">
        <v>6236</v>
      </c>
      <c r="D93" s="9" t="s">
        <v>431</v>
      </c>
      <c r="E93" s="9" t="s">
        <v>368</v>
      </c>
      <c r="F93" s="9" t="s">
        <v>436</v>
      </c>
      <c r="G93" s="9" t="s">
        <v>434</v>
      </c>
      <c r="H93" s="87" t="s">
        <v>6237</v>
      </c>
      <c r="I93" s="87" t="s">
        <v>6562</v>
      </c>
      <c r="J93" s="87" t="s">
        <v>6267</v>
      </c>
      <c r="K93" s="87" t="s">
        <v>6240</v>
      </c>
      <c r="L93" s="87" t="s">
        <v>6583</v>
      </c>
      <c r="M93" s="9" t="s">
        <v>6764</v>
      </c>
      <c r="N93" s="87" t="s">
        <v>6267</v>
      </c>
      <c r="O93" s="9" t="s">
        <v>6243</v>
      </c>
      <c r="P93" s="87" t="s">
        <v>6506</v>
      </c>
      <c r="Q93" s="87" t="s">
        <v>6562</v>
      </c>
      <c r="R93" s="87" t="s">
        <v>6424</v>
      </c>
      <c r="S93" s="87" t="s">
        <v>6327</v>
      </c>
    </row>
    <row r="94" spans="1:19" ht="15.75" customHeight="1">
      <c r="A94" s="9" t="s">
        <v>3011</v>
      </c>
      <c r="C94" s="9" t="s">
        <v>6236</v>
      </c>
      <c r="D94" s="9" t="s">
        <v>431</v>
      </c>
      <c r="E94" s="9" t="s">
        <v>368</v>
      </c>
      <c r="F94" s="9" t="s">
        <v>436</v>
      </c>
      <c r="G94" s="9" t="s">
        <v>434</v>
      </c>
      <c r="H94" s="87" t="s">
        <v>6237</v>
      </c>
      <c r="I94" s="87" t="s">
        <v>6567</v>
      </c>
      <c r="J94" s="87" t="s">
        <v>6264</v>
      </c>
      <c r="K94" s="87" t="s">
        <v>6240</v>
      </c>
      <c r="L94" s="87" t="s">
        <v>6583</v>
      </c>
      <c r="M94" s="9" t="s">
        <v>6762</v>
      </c>
      <c r="N94" s="87" t="s">
        <v>6264</v>
      </c>
      <c r="O94" s="9" t="s">
        <v>6243</v>
      </c>
      <c r="P94" s="87" t="s">
        <v>6313</v>
      </c>
      <c r="Q94" s="87" t="s">
        <v>6567</v>
      </c>
      <c r="R94" s="87" t="s">
        <v>6645</v>
      </c>
      <c r="S94" s="87" t="s">
        <v>6474</v>
      </c>
    </row>
    <row r="95" spans="1:19" ht="15.75" customHeight="1">
      <c r="A95" s="9" t="s">
        <v>2891</v>
      </c>
      <c r="C95" s="9" t="s">
        <v>6671</v>
      </c>
      <c r="D95" s="9" t="s">
        <v>6672</v>
      </c>
      <c r="E95" s="9" t="s">
        <v>439</v>
      </c>
      <c r="F95" s="9" t="s">
        <v>436</v>
      </c>
      <c r="G95" s="9" t="s">
        <v>440</v>
      </c>
      <c r="H95" s="87" t="s">
        <v>6405</v>
      </c>
      <c r="I95" s="87" t="s">
        <v>6273</v>
      </c>
      <c r="J95" s="87" t="s">
        <v>6273</v>
      </c>
      <c r="K95" s="87" t="s">
        <v>6240</v>
      </c>
      <c r="L95" s="87" t="s">
        <v>6582</v>
      </c>
      <c r="M95" s="9" t="s">
        <v>6765</v>
      </c>
      <c r="N95" s="87" t="s">
        <v>6273</v>
      </c>
      <c r="O95" s="9" t="s">
        <v>6243</v>
      </c>
      <c r="P95" s="87" t="s">
        <v>6276</v>
      </c>
      <c r="Q95" s="87" t="s">
        <v>6273</v>
      </c>
      <c r="R95" s="87" t="s">
        <v>6382</v>
      </c>
      <c r="S95" s="87" t="s">
        <v>6280</v>
      </c>
    </row>
    <row r="96" spans="1:19" ht="15.75" customHeight="1">
      <c r="A96" s="9" t="s">
        <v>3028</v>
      </c>
      <c r="C96" s="9" t="s">
        <v>6671</v>
      </c>
      <c r="D96" s="9" t="s">
        <v>6672</v>
      </c>
      <c r="E96" s="9" t="s">
        <v>439</v>
      </c>
      <c r="F96" s="9" t="s">
        <v>436</v>
      </c>
      <c r="G96" s="9" t="s">
        <v>440</v>
      </c>
      <c r="H96" s="87" t="s">
        <v>6405</v>
      </c>
      <c r="I96" s="87" t="s">
        <v>6498</v>
      </c>
      <c r="J96" s="87" t="s">
        <v>6498</v>
      </c>
      <c r="K96" s="87" t="s">
        <v>6240</v>
      </c>
      <c r="L96" s="87" t="s">
        <v>6582</v>
      </c>
      <c r="M96" s="9" t="s">
        <v>6766</v>
      </c>
      <c r="N96" s="87" t="s">
        <v>6498</v>
      </c>
      <c r="O96" s="9" t="s">
        <v>6243</v>
      </c>
      <c r="P96" s="87" t="s">
        <v>4019</v>
      </c>
      <c r="Q96" s="87" t="s">
        <v>6498</v>
      </c>
      <c r="R96" s="87" t="s">
        <v>6645</v>
      </c>
      <c r="S96" s="87" t="s">
        <v>6263</v>
      </c>
    </row>
    <row r="97" spans="1:19" ht="15.75" customHeight="1">
      <c r="A97" s="9" t="s">
        <v>3011</v>
      </c>
      <c r="C97" s="9" t="s">
        <v>6236</v>
      </c>
      <c r="D97" s="9" t="s">
        <v>431</v>
      </c>
      <c r="E97" s="9" t="s">
        <v>368</v>
      </c>
      <c r="F97" s="9" t="s">
        <v>436</v>
      </c>
      <c r="G97" s="9" t="s">
        <v>434</v>
      </c>
      <c r="H97" s="87" t="s">
        <v>6237</v>
      </c>
      <c r="I97" s="87" t="s">
        <v>6567</v>
      </c>
      <c r="J97" s="87" t="s">
        <v>6239</v>
      </c>
      <c r="K97" s="87" t="s">
        <v>6240</v>
      </c>
      <c r="L97" s="87" t="s">
        <v>6582</v>
      </c>
      <c r="M97" s="9" t="s">
        <v>6676</v>
      </c>
      <c r="N97" s="87" t="s">
        <v>6239</v>
      </c>
      <c r="O97" s="9" t="s">
        <v>6243</v>
      </c>
      <c r="P97" s="87" t="s">
        <v>3764</v>
      </c>
      <c r="Q97" s="87" t="s">
        <v>6567</v>
      </c>
      <c r="R97" s="87" t="s">
        <v>6645</v>
      </c>
      <c r="S97" s="87" t="s">
        <v>6327</v>
      </c>
    </row>
    <row r="98" spans="1:19" ht="15.75" customHeight="1">
      <c r="A98" s="9" t="s">
        <v>2920</v>
      </c>
      <c r="C98" s="9" t="s">
        <v>6671</v>
      </c>
      <c r="D98" s="9" t="s">
        <v>6672</v>
      </c>
      <c r="E98" s="9" t="s">
        <v>439</v>
      </c>
      <c r="F98" s="9" t="s">
        <v>436</v>
      </c>
      <c r="G98" s="9" t="s">
        <v>440</v>
      </c>
      <c r="H98" s="87" t="s">
        <v>6405</v>
      </c>
      <c r="I98" s="87" t="s">
        <v>6250</v>
      </c>
      <c r="J98" s="87" t="s">
        <v>6250</v>
      </c>
      <c r="K98" s="87" t="s">
        <v>6240</v>
      </c>
      <c r="L98" s="87" t="s">
        <v>6581</v>
      </c>
      <c r="M98" s="9" t="s">
        <v>6767</v>
      </c>
      <c r="N98" s="87" t="s">
        <v>6250</v>
      </c>
      <c r="O98" s="9" t="s">
        <v>6243</v>
      </c>
      <c r="P98" s="87" t="s">
        <v>6320</v>
      </c>
      <c r="Q98" s="87" t="s">
        <v>6250</v>
      </c>
      <c r="R98" s="87" t="s">
        <v>6440</v>
      </c>
      <c r="S98" s="87" t="s">
        <v>6313</v>
      </c>
    </row>
    <row r="99" spans="1:19" ht="15.75" customHeight="1">
      <c r="A99" s="9" t="s">
        <v>2891</v>
      </c>
      <c r="C99" s="9" t="s">
        <v>6236</v>
      </c>
      <c r="D99" s="9" t="s">
        <v>431</v>
      </c>
      <c r="E99" s="9" t="s">
        <v>368</v>
      </c>
      <c r="F99" s="9" t="s">
        <v>436</v>
      </c>
      <c r="G99" s="9" t="s">
        <v>434</v>
      </c>
      <c r="H99" s="87" t="s">
        <v>6237</v>
      </c>
      <c r="I99" s="87" t="s">
        <v>6245</v>
      </c>
      <c r="J99" s="87" t="s">
        <v>6245</v>
      </c>
      <c r="K99" s="87" t="s">
        <v>6240</v>
      </c>
      <c r="L99" s="87" t="s">
        <v>6581</v>
      </c>
      <c r="M99" s="9" t="s">
        <v>6768</v>
      </c>
      <c r="N99" s="87" t="s">
        <v>6245</v>
      </c>
      <c r="O99" s="9" t="s">
        <v>6243</v>
      </c>
      <c r="P99" s="87" t="s">
        <v>6238</v>
      </c>
      <c r="Q99" s="87" t="s">
        <v>6245</v>
      </c>
      <c r="R99" s="87" t="s">
        <v>5381</v>
      </c>
      <c r="S99" s="87" t="s">
        <v>6376</v>
      </c>
    </row>
    <row r="100" spans="1:19" ht="15.75" customHeight="1">
      <c r="A100" s="9" t="s">
        <v>2893</v>
      </c>
      <c r="C100" s="9" t="s">
        <v>6671</v>
      </c>
      <c r="D100" s="9" t="s">
        <v>6672</v>
      </c>
      <c r="E100" s="9" t="s">
        <v>439</v>
      </c>
      <c r="F100" s="9" t="s">
        <v>436</v>
      </c>
      <c r="G100" s="9" t="s">
        <v>440</v>
      </c>
      <c r="H100" s="87" t="s">
        <v>6405</v>
      </c>
      <c r="I100" s="87" t="s">
        <v>6346</v>
      </c>
      <c r="J100" s="87" t="s">
        <v>6346</v>
      </c>
      <c r="K100" s="87" t="s">
        <v>6240</v>
      </c>
      <c r="L100" s="87" t="s">
        <v>6581</v>
      </c>
      <c r="M100" s="9" t="s">
        <v>6749</v>
      </c>
      <c r="N100" s="87" t="s">
        <v>6346</v>
      </c>
      <c r="O100" s="9" t="s">
        <v>6243</v>
      </c>
      <c r="P100" s="87" t="s">
        <v>6366</v>
      </c>
      <c r="Q100" s="87" t="s">
        <v>6346</v>
      </c>
      <c r="R100" s="87" t="s">
        <v>6645</v>
      </c>
      <c r="S100" s="87" t="s">
        <v>5381</v>
      </c>
    </row>
    <row r="101" spans="1:19" ht="15.75" customHeight="1">
      <c r="A101" s="9" t="s">
        <v>3028</v>
      </c>
      <c r="C101" s="9" t="s">
        <v>6236</v>
      </c>
      <c r="D101" s="9" t="s">
        <v>431</v>
      </c>
      <c r="E101" s="9" t="s">
        <v>368</v>
      </c>
      <c r="F101" s="9" t="s">
        <v>436</v>
      </c>
      <c r="G101" s="9" t="s">
        <v>434</v>
      </c>
      <c r="H101" s="87" t="s">
        <v>6237</v>
      </c>
      <c r="I101" s="87" t="s">
        <v>6357</v>
      </c>
      <c r="J101" s="87" t="s">
        <v>6387</v>
      </c>
      <c r="K101" s="87" t="s">
        <v>6240</v>
      </c>
      <c r="L101" s="87" t="s">
        <v>6581</v>
      </c>
      <c r="M101" s="9" t="s">
        <v>6769</v>
      </c>
      <c r="N101" s="87" t="s">
        <v>6387</v>
      </c>
      <c r="O101" s="9" t="s">
        <v>6243</v>
      </c>
      <c r="P101" s="87" t="s">
        <v>6248</v>
      </c>
      <c r="Q101" s="87" t="s">
        <v>6357</v>
      </c>
      <c r="R101" s="87" t="s">
        <v>6645</v>
      </c>
      <c r="S101" s="87" t="s">
        <v>6382</v>
      </c>
    </row>
    <row r="102" spans="1:19" ht="15.75" customHeight="1">
      <c r="A102" s="9" t="s">
        <v>3011</v>
      </c>
      <c r="C102" s="9" t="s">
        <v>6236</v>
      </c>
      <c r="D102" s="9" t="s">
        <v>431</v>
      </c>
      <c r="E102" s="9" t="s">
        <v>368</v>
      </c>
      <c r="F102" s="9" t="s">
        <v>436</v>
      </c>
      <c r="G102" s="9" t="s">
        <v>434</v>
      </c>
      <c r="H102" s="87" t="s">
        <v>6237</v>
      </c>
      <c r="I102" s="87" t="s">
        <v>6567</v>
      </c>
      <c r="J102" s="87" t="s">
        <v>6254</v>
      </c>
      <c r="K102" s="87" t="s">
        <v>6240</v>
      </c>
      <c r="L102" s="87" t="s">
        <v>6581</v>
      </c>
      <c r="M102" s="9" t="s">
        <v>6770</v>
      </c>
      <c r="N102" s="87" t="s">
        <v>6254</v>
      </c>
      <c r="O102" s="9" t="s">
        <v>6243</v>
      </c>
      <c r="P102" s="87" t="s">
        <v>5968</v>
      </c>
      <c r="Q102" s="87" t="s">
        <v>6567</v>
      </c>
      <c r="R102" s="87" t="s">
        <v>6413</v>
      </c>
      <c r="S102" s="87" t="s">
        <v>6327</v>
      </c>
    </row>
    <row r="103" spans="1:19" ht="15.75" customHeight="1">
      <c r="A103" s="9" t="s">
        <v>2920</v>
      </c>
      <c r="C103" s="9" t="s">
        <v>6236</v>
      </c>
      <c r="D103" s="9" t="s">
        <v>431</v>
      </c>
      <c r="E103" s="9" t="s">
        <v>368</v>
      </c>
      <c r="F103" s="9" t="s">
        <v>436</v>
      </c>
      <c r="G103" s="9" t="s">
        <v>434</v>
      </c>
      <c r="H103" s="87" t="s">
        <v>6237</v>
      </c>
      <c r="I103" s="87" t="s">
        <v>6299</v>
      </c>
      <c r="J103" s="87" t="s">
        <v>6299</v>
      </c>
      <c r="K103" s="87" t="s">
        <v>6240</v>
      </c>
      <c r="L103" s="87" t="s">
        <v>6568</v>
      </c>
      <c r="M103" s="9" t="s">
        <v>6771</v>
      </c>
      <c r="N103" s="87" t="s">
        <v>6299</v>
      </c>
      <c r="O103" s="9" t="s">
        <v>6243</v>
      </c>
      <c r="P103" s="87" t="s">
        <v>3231</v>
      </c>
      <c r="Q103" s="87" t="s">
        <v>6299</v>
      </c>
      <c r="R103" s="87" t="s">
        <v>6256</v>
      </c>
      <c r="S103" s="87" t="s">
        <v>6293</v>
      </c>
    </row>
    <row r="104" spans="1:19" ht="15.75" customHeight="1">
      <c r="A104" s="9" t="s">
        <v>2893</v>
      </c>
      <c r="C104" s="9" t="s">
        <v>6236</v>
      </c>
      <c r="D104" s="9" t="s">
        <v>431</v>
      </c>
      <c r="E104" s="9" t="s">
        <v>368</v>
      </c>
      <c r="F104" s="9" t="s">
        <v>436</v>
      </c>
      <c r="G104" s="9" t="s">
        <v>434</v>
      </c>
      <c r="H104" s="87" t="s">
        <v>6264</v>
      </c>
      <c r="I104" s="87" t="s">
        <v>6392</v>
      </c>
      <c r="J104" s="87" t="s">
        <v>6296</v>
      </c>
      <c r="K104" s="87" t="s">
        <v>6240</v>
      </c>
      <c r="L104" s="87" t="s">
        <v>6568</v>
      </c>
      <c r="M104" s="9" t="s">
        <v>6724</v>
      </c>
      <c r="N104" s="87" t="s">
        <v>6296</v>
      </c>
      <c r="O104" s="9" t="s">
        <v>6243</v>
      </c>
      <c r="P104" s="87" t="s">
        <v>6287</v>
      </c>
      <c r="Q104" s="87" t="s">
        <v>6392</v>
      </c>
      <c r="R104" s="87" t="s">
        <v>6645</v>
      </c>
      <c r="S104" s="87" t="s">
        <v>6287</v>
      </c>
    </row>
    <row r="105" spans="1:19" ht="15.75" customHeight="1">
      <c r="A105" s="9" t="s">
        <v>3028</v>
      </c>
      <c r="C105" s="9" t="s">
        <v>6236</v>
      </c>
      <c r="D105" s="9" t="s">
        <v>431</v>
      </c>
      <c r="E105" s="9" t="s">
        <v>368</v>
      </c>
      <c r="F105" s="9" t="s">
        <v>436</v>
      </c>
      <c r="G105" s="9" t="s">
        <v>434</v>
      </c>
      <c r="H105" s="87" t="s">
        <v>6237</v>
      </c>
      <c r="I105" s="87" t="s">
        <v>6357</v>
      </c>
      <c r="J105" s="87" t="s">
        <v>6346</v>
      </c>
      <c r="K105" s="87" t="s">
        <v>6240</v>
      </c>
      <c r="L105" s="87" t="s">
        <v>6568</v>
      </c>
      <c r="M105" s="9" t="s">
        <v>6772</v>
      </c>
      <c r="N105" s="87" t="s">
        <v>6346</v>
      </c>
      <c r="O105" s="9" t="s">
        <v>6243</v>
      </c>
      <c r="P105" s="87" t="s">
        <v>6366</v>
      </c>
      <c r="Q105" s="87" t="s">
        <v>6357</v>
      </c>
      <c r="R105" s="87" t="s">
        <v>6370</v>
      </c>
      <c r="S105" s="87" t="s">
        <v>6327</v>
      </c>
    </row>
    <row r="106" spans="1:19" ht="15.75" customHeight="1">
      <c r="A106" s="9" t="s">
        <v>2893</v>
      </c>
      <c r="C106" s="9" t="s">
        <v>6236</v>
      </c>
      <c r="D106" s="9" t="s">
        <v>431</v>
      </c>
      <c r="E106" s="9" t="s">
        <v>368</v>
      </c>
      <c r="F106" s="9" t="s">
        <v>436</v>
      </c>
      <c r="G106" s="9" t="s">
        <v>434</v>
      </c>
      <c r="H106" s="87" t="s">
        <v>6264</v>
      </c>
      <c r="I106" s="87" t="s">
        <v>6392</v>
      </c>
      <c r="J106" s="87" t="s">
        <v>6302</v>
      </c>
      <c r="K106" s="87" t="s">
        <v>6240</v>
      </c>
      <c r="L106" s="87" t="s">
        <v>6566</v>
      </c>
      <c r="M106" s="9" t="s">
        <v>6773</v>
      </c>
      <c r="N106" s="87" t="s">
        <v>6302</v>
      </c>
      <c r="O106" s="9" t="s">
        <v>6243</v>
      </c>
      <c r="P106" s="87" t="s">
        <v>6464</v>
      </c>
      <c r="Q106" s="87" t="s">
        <v>6392</v>
      </c>
      <c r="R106" s="87" t="s">
        <v>6361</v>
      </c>
      <c r="S106" s="87" t="s">
        <v>6327</v>
      </c>
    </row>
    <row r="107" spans="1:19" ht="15.75" customHeight="1">
      <c r="A107" s="9" t="s">
        <v>2951</v>
      </c>
      <c r="C107" s="9" t="s">
        <v>6236</v>
      </c>
      <c r="D107" s="9" t="s">
        <v>431</v>
      </c>
      <c r="E107" s="9" t="s">
        <v>368</v>
      </c>
      <c r="F107" s="9" t="s">
        <v>436</v>
      </c>
      <c r="G107" s="9" t="s">
        <v>434</v>
      </c>
      <c r="H107" s="87" t="s">
        <v>6237</v>
      </c>
      <c r="I107" s="87" t="s">
        <v>6238</v>
      </c>
      <c r="J107" s="87" t="s">
        <v>6409</v>
      </c>
      <c r="K107" s="87" t="s">
        <v>6240</v>
      </c>
      <c r="L107" s="87" t="s">
        <v>6566</v>
      </c>
      <c r="M107" s="9" t="s">
        <v>6698</v>
      </c>
      <c r="N107" s="87" t="s">
        <v>6409</v>
      </c>
      <c r="O107" s="9" t="s">
        <v>6243</v>
      </c>
      <c r="P107" s="87" t="s">
        <v>6489</v>
      </c>
      <c r="Q107" s="87" t="s">
        <v>6238</v>
      </c>
      <c r="R107" s="87" t="s">
        <v>6645</v>
      </c>
      <c r="S107" s="87" t="s">
        <v>6409</v>
      </c>
    </row>
    <row r="108" spans="1:19" ht="15.75" customHeight="1">
      <c r="A108" s="9" t="s">
        <v>2953</v>
      </c>
      <c r="C108" s="9" t="s">
        <v>6671</v>
      </c>
      <c r="D108" s="9" t="s">
        <v>6672</v>
      </c>
      <c r="E108" s="9" t="s">
        <v>439</v>
      </c>
      <c r="F108" s="9" t="s">
        <v>436</v>
      </c>
      <c r="G108" s="9" t="s">
        <v>440</v>
      </c>
      <c r="H108" s="87" t="s">
        <v>6405</v>
      </c>
      <c r="I108" s="87" t="s">
        <v>6411</v>
      </c>
      <c r="J108" s="87" t="s">
        <v>6411</v>
      </c>
      <c r="K108" s="87" t="s">
        <v>6240</v>
      </c>
      <c r="L108" s="87" t="s">
        <v>6566</v>
      </c>
      <c r="M108" s="9" t="s">
        <v>6774</v>
      </c>
      <c r="N108" s="87" t="s">
        <v>6411</v>
      </c>
      <c r="O108" s="9" t="s">
        <v>6243</v>
      </c>
      <c r="P108" s="87" t="s">
        <v>6321</v>
      </c>
      <c r="Q108" s="87" t="s">
        <v>6411</v>
      </c>
      <c r="R108" s="87" t="s">
        <v>6645</v>
      </c>
      <c r="S108" s="87" t="s">
        <v>6416</v>
      </c>
    </row>
    <row r="109" spans="1:19" ht="15.75" customHeight="1">
      <c r="A109" s="9" t="s">
        <v>2951</v>
      </c>
      <c r="C109" s="9" t="s">
        <v>6236</v>
      </c>
      <c r="D109" s="9" t="s">
        <v>431</v>
      </c>
      <c r="E109" s="9" t="s">
        <v>368</v>
      </c>
      <c r="F109" s="9" t="s">
        <v>436</v>
      </c>
      <c r="G109" s="9" t="s">
        <v>434</v>
      </c>
      <c r="H109" s="87" t="s">
        <v>6237</v>
      </c>
      <c r="I109" s="87" t="s">
        <v>6238</v>
      </c>
      <c r="J109" s="87" t="s">
        <v>6360</v>
      </c>
      <c r="K109" s="87" t="s">
        <v>6240</v>
      </c>
      <c r="L109" s="87" t="s">
        <v>6563</v>
      </c>
      <c r="M109" s="9" t="s">
        <v>6775</v>
      </c>
      <c r="N109" s="87" t="s">
        <v>6360</v>
      </c>
      <c r="O109" s="9" t="s">
        <v>6243</v>
      </c>
      <c r="P109" s="87" t="s">
        <v>6776</v>
      </c>
      <c r="Q109" s="87" t="s">
        <v>6238</v>
      </c>
      <c r="R109" s="87" t="s">
        <v>6277</v>
      </c>
      <c r="S109" s="87" t="s">
        <v>6327</v>
      </c>
    </row>
    <row r="110" spans="1:19" ht="15.75" customHeight="1">
      <c r="A110" s="9" t="s">
        <v>2953</v>
      </c>
      <c r="C110" s="9" t="s">
        <v>6236</v>
      </c>
      <c r="D110" s="9" t="s">
        <v>431</v>
      </c>
      <c r="E110" s="9" t="s">
        <v>368</v>
      </c>
      <c r="F110" s="9" t="s">
        <v>436</v>
      </c>
      <c r="G110" s="9" t="s">
        <v>434</v>
      </c>
      <c r="H110" s="87" t="s">
        <v>6237</v>
      </c>
      <c r="I110" s="87" t="s">
        <v>6295</v>
      </c>
      <c r="J110" s="87" t="s">
        <v>6255</v>
      </c>
      <c r="K110" s="87" t="s">
        <v>6240</v>
      </c>
      <c r="L110" s="87" t="s">
        <v>6563</v>
      </c>
      <c r="M110" s="9" t="s">
        <v>6693</v>
      </c>
      <c r="N110" s="87" t="s">
        <v>6255</v>
      </c>
      <c r="O110" s="9" t="s">
        <v>6243</v>
      </c>
      <c r="P110" s="87" t="s">
        <v>4947</v>
      </c>
      <c r="Q110" s="87" t="s">
        <v>6295</v>
      </c>
      <c r="R110" s="87" t="s">
        <v>6645</v>
      </c>
      <c r="S110" s="87" t="s">
        <v>6300</v>
      </c>
    </row>
    <row r="111" spans="1:19" ht="15.75" customHeight="1">
      <c r="A111" s="9" t="s">
        <v>2900</v>
      </c>
      <c r="C111" s="9" t="s">
        <v>6671</v>
      </c>
      <c r="D111" s="9" t="s">
        <v>6672</v>
      </c>
      <c r="E111" s="9" t="s">
        <v>439</v>
      </c>
      <c r="F111" s="9" t="s">
        <v>436</v>
      </c>
      <c r="G111" s="9" t="s">
        <v>440</v>
      </c>
      <c r="H111" s="87" t="s">
        <v>6405</v>
      </c>
      <c r="I111" s="87" t="s">
        <v>6479</v>
      </c>
      <c r="J111" s="87" t="s">
        <v>6479</v>
      </c>
      <c r="K111" s="87" t="s">
        <v>6240</v>
      </c>
      <c r="L111" s="87" t="s">
        <v>6563</v>
      </c>
      <c r="M111" s="9" t="s">
        <v>6707</v>
      </c>
      <c r="N111" s="87" t="s">
        <v>6479</v>
      </c>
      <c r="O111" s="9" t="s">
        <v>6243</v>
      </c>
      <c r="P111" s="87" t="s">
        <v>5417</v>
      </c>
      <c r="Q111" s="87" t="s">
        <v>6479</v>
      </c>
      <c r="R111" s="87" t="s">
        <v>6645</v>
      </c>
      <c r="S111" s="87" t="s">
        <v>6433</v>
      </c>
    </row>
    <row r="112" spans="1:19" ht="15.75" customHeight="1">
      <c r="A112" s="9" t="s">
        <v>2953</v>
      </c>
      <c r="C112" s="9" t="s">
        <v>6236</v>
      </c>
      <c r="D112" s="9" t="s">
        <v>431</v>
      </c>
      <c r="E112" s="9" t="s">
        <v>368</v>
      </c>
      <c r="F112" s="9" t="s">
        <v>436</v>
      </c>
      <c r="G112" s="9" t="s">
        <v>434</v>
      </c>
      <c r="H112" s="87" t="s">
        <v>6237</v>
      </c>
      <c r="I112" s="87" t="s">
        <v>6295</v>
      </c>
      <c r="J112" s="87" t="s">
        <v>6334</v>
      </c>
      <c r="K112" s="87" t="s">
        <v>6240</v>
      </c>
      <c r="L112" s="87" t="s">
        <v>6557</v>
      </c>
      <c r="M112" s="9" t="s">
        <v>6777</v>
      </c>
      <c r="N112" s="87" t="s">
        <v>6334</v>
      </c>
      <c r="O112" s="9" t="s">
        <v>6243</v>
      </c>
      <c r="P112" s="87" t="s">
        <v>6290</v>
      </c>
      <c r="Q112" s="87" t="s">
        <v>6295</v>
      </c>
      <c r="R112" s="87" t="s">
        <v>6642</v>
      </c>
      <c r="S112" s="87" t="s">
        <v>6327</v>
      </c>
    </row>
    <row r="113" spans="1:19" ht="15.75" customHeight="1">
      <c r="A113" s="9" t="s">
        <v>2855</v>
      </c>
      <c r="C113" s="9" t="s">
        <v>6671</v>
      </c>
      <c r="D113" s="9" t="s">
        <v>6672</v>
      </c>
      <c r="E113" s="9" t="s">
        <v>439</v>
      </c>
      <c r="F113" s="9" t="s">
        <v>436</v>
      </c>
      <c r="G113" s="9" t="s">
        <v>440</v>
      </c>
      <c r="H113" s="87" t="s">
        <v>6405</v>
      </c>
      <c r="I113" s="87" t="s">
        <v>6297</v>
      </c>
      <c r="J113" s="87" t="s">
        <v>6297</v>
      </c>
      <c r="K113" s="87" t="s">
        <v>6240</v>
      </c>
      <c r="L113" s="87" t="s">
        <v>6557</v>
      </c>
      <c r="M113" s="9" t="s">
        <v>6778</v>
      </c>
      <c r="N113" s="87" t="s">
        <v>6297</v>
      </c>
      <c r="O113" s="9" t="s">
        <v>6243</v>
      </c>
      <c r="P113" s="87" t="s">
        <v>6299</v>
      </c>
      <c r="Q113" s="87" t="s">
        <v>6297</v>
      </c>
      <c r="R113" s="87" t="s">
        <v>6351</v>
      </c>
      <c r="S113" s="87" t="s">
        <v>6443</v>
      </c>
    </row>
    <row r="114" spans="1:19" ht="15.75" customHeight="1">
      <c r="A114" s="9" t="s">
        <v>2872</v>
      </c>
      <c r="C114" s="9" t="s">
        <v>6671</v>
      </c>
      <c r="D114" s="9" t="s">
        <v>6672</v>
      </c>
      <c r="E114" s="9" t="s">
        <v>439</v>
      </c>
      <c r="F114" s="9" t="s">
        <v>436</v>
      </c>
      <c r="G114" s="9" t="s">
        <v>440</v>
      </c>
      <c r="H114" s="87" t="s">
        <v>6405</v>
      </c>
      <c r="I114" s="87" t="s">
        <v>6237</v>
      </c>
      <c r="J114" s="87" t="s">
        <v>6405</v>
      </c>
      <c r="K114" s="87" t="s">
        <v>6240</v>
      </c>
      <c r="L114" s="87" t="s">
        <v>6557</v>
      </c>
      <c r="M114" s="9" t="s">
        <v>6701</v>
      </c>
      <c r="N114" s="87" t="s">
        <v>6405</v>
      </c>
      <c r="O114" s="9" t="s">
        <v>6243</v>
      </c>
      <c r="P114" s="87" t="s">
        <v>6240</v>
      </c>
      <c r="Q114" s="87" t="s">
        <v>6237</v>
      </c>
      <c r="R114" s="87" t="s">
        <v>6645</v>
      </c>
      <c r="S114" s="87" t="s">
        <v>6645</v>
      </c>
    </row>
    <row r="115" spans="1:19" ht="15.75" customHeight="1">
      <c r="A115" s="9" t="s">
        <v>2900</v>
      </c>
      <c r="C115" s="9" t="s">
        <v>6236</v>
      </c>
      <c r="D115" s="9" t="s">
        <v>431</v>
      </c>
      <c r="E115" s="9" t="s">
        <v>368</v>
      </c>
      <c r="F115" s="9" t="s">
        <v>436</v>
      </c>
      <c r="G115" s="9" t="s">
        <v>434</v>
      </c>
      <c r="H115" s="87" t="s">
        <v>6237</v>
      </c>
      <c r="I115" s="87" t="s">
        <v>6305</v>
      </c>
      <c r="J115" s="87" t="s">
        <v>6271</v>
      </c>
      <c r="K115" s="87" t="s">
        <v>6240</v>
      </c>
      <c r="L115" s="87" t="s">
        <v>6557</v>
      </c>
      <c r="M115" s="9" t="s">
        <v>6779</v>
      </c>
      <c r="N115" s="87" t="s">
        <v>6271</v>
      </c>
      <c r="O115" s="9" t="s">
        <v>6243</v>
      </c>
      <c r="P115" s="87" t="s">
        <v>3746</v>
      </c>
      <c r="Q115" s="87" t="s">
        <v>6305</v>
      </c>
      <c r="R115" s="87" t="s">
        <v>6645</v>
      </c>
      <c r="S115" s="87" t="s">
        <v>6348</v>
      </c>
    </row>
    <row r="116" spans="1:19" ht="15.75" customHeight="1">
      <c r="A116" s="9" t="s">
        <v>2914</v>
      </c>
      <c r="C116" s="9" t="s">
        <v>6671</v>
      </c>
      <c r="D116" s="9" t="s">
        <v>6672</v>
      </c>
      <c r="E116" s="9" t="s">
        <v>439</v>
      </c>
      <c r="F116" s="9" t="s">
        <v>436</v>
      </c>
      <c r="G116" s="9" t="s">
        <v>440</v>
      </c>
      <c r="H116" s="87" t="s">
        <v>6405</v>
      </c>
      <c r="I116" s="87" t="s">
        <v>6346</v>
      </c>
      <c r="J116" s="87" t="s">
        <v>6346</v>
      </c>
      <c r="K116" s="87" t="s">
        <v>6240</v>
      </c>
      <c r="L116" s="87" t="s">
        <v>6557</v>
      </c>
      <c r="M116" s="9" t="s">
        <v>6780</v>
      </c>
      <c r="N116" s="87" t="s">
        <v>6346</v>
      </c>
      <c r="O116" s="9" t="s">
        <v>6243</v>
      </c>
      <c r="P116" s="87" t="s">
        <v>6366</v>
      </c>
      <c r="Q116" s="87" t="s">
        <v>6346</v>
      </c>
      <c r="R116" s="87" t="s">
        <v>6525</v>
      </c>
      <c r="S116" s="87" t="s">
        <v>6322</v>
      </c>
    </row>
    <row r="117" spans="1:19" ht="15.75" customHeight="1">
      <c r="A117" s="9" t="s">
        <v>2855</v>
      </c>
      <c r="C117" s="9" t="s">
        <v>6236</v>
      </c>
      <c r="D117" s="9" t="s">
        <v>431</v>
      </c>
      <c r="E117" s="9" t="s">
        <v>368</v>
      </c>
      <c r="F117" s="9" t="s">
        <v>436</v>
      </c>
      <c r="G117" s="9" t="s">
        <v>434</v>
      </c>
      <c r="H117" s="87" t="s">
        <v>6264</v>
      </c>
      <c r="I117" s="87" t="s">
        <v>6421</v>
      </c>
      <c r="J117" s="87" t="s">
        <v>6290</v>
      </c>
      <c r="K117" s="87" t="s">
        <v>6240</v>
      </c>
      <c r="L117" s="87" t="s">
        <v>6556</v>
      </c>
      <c r="M117" s="9" t="s">
        <v>6735</v>
      </c>
      <c r="N117" s="87" t="s">
        <v>6290</v>
      </c>
      <c r="O117" s="9" t="s">
        <v>6243</v>
      </c>
      <c r="P117" s="87" t="s">
        <v>6293</v>
      </c>
      <c r="Q117" s="87" t="s">
        <v>6421</v>
      </c>
      <c r="R117" s="87" t="s">
        <v>6645</v>
      </c>
      <c r="S117" s="87" t="s">
        <v>6525</v>
      </c>
    </row>
    <row r="118" spans="1:19" ht="15.75" customHeight="1">
      <c r="A118" s="9" t="s">
        <v>2872</v>
      </c>
      <c r="C118" s="9" t="s">
        <v>6671</v>
      </c>
      <c r="D118" s="9" t="s">
        <v>6672</v>
      </c>
      <c r="E118" s="9" t="s">
        <v>439</v>
      </c>
      <c r="F118" s="9" t="s">
        <v>436</v>
      </c>
      <c r="G118" s="9" t="s">
        <v>440</v>
      </c>
      <c r="H118" s="87" t="s">
        <v>6405</v>
      </c>
      <c r="I118" s="87" t="s">
        <v>6237</v>
      </c>
      <c r="J118" s="87" t="s">
        <v>6264</v>
      </c>
      <c r="K118" s="87" t="s">
        <v>6240</v>
      </c>
      <c r="L118" s="87" t="s">
        <v>6556</v>
      </c>
      <c r="M118" s="9" t="s">
        <v>6725</v>
      </c>
      <c r="N118" s="87" t="s">
        <v>6264</v>
      </c>
      <c r="O118" s="9" t="s">
        <v>6243</v>
      </c>
      <c r="P118" s="87" t="s">
        <v>6313</v>
      </c>
      <c r="Q118" s="87" t="s">
        <v>6237</v>
      </c>
      <c r="R118" s="87" t="s">
        <v>6348</v>
      </c>
      <c r="S118" s="87" t="s">
        <v>6327</v>
      </c>
    </row>
    <row r="119" spans="1:19" ht="15.75" customHeight="1">
      <c r="A119" s="9" t="s">
        <v>2900</v>
      </c>
      <c r="C119" s="9" t="s">
        <v>6236</v>
      </c>
      <c r="D119" s="9" t="s">
        <v>431</v>
      </c>
      <c r="E119" s="9" t="s">
        <v>368</v>
      </c>
      <c r="F119" s="9" t="s">
        <v>436</v>
      </c>
      <c r="G119" s="9" t="s">
        <v>434</v>
      </c>
      <c r="H119" s="87" t="s">
        <v>6237</v>
      </c>
      <c r="I119" s="87" t="s">
        <v>6305</v>
      </c>
      <c r="J119" s="87" t="s">
        <v>6421</v>
      </c>
      <c r="K119" s="87" t="s">
        <v>6240</v>
      </c>
      <c r="L119" s="87" t="s">
        <v>6556</v>
      </c>
      <c r="M119" s="9" t="s">
        <v>6781</v>
      </c>
      <c r="N119" s="87" t="s">
        <v>6421</v>
      </c>
      <c r="O119" s="9" t="s">
        <v>6243</v>
      </c>
      <c r="P119" s="87" t="s">
        <v>6316</v>
      </c>
      <c r="Q119" s="87" t="s">
        <v>6305</v>
      </c>
      <c r="R119" s="87" t="s">
        <v>6451</v>
      </c>
      <c r="S119" s="87" t="s">
        <v>6327</v>
      </c>
    </row>
    <row r="120" spans="1:19" ht="15.75" customHeight="1">
      <c r="A120" s="9" t="s">
        <v>2973</v>
      </c>
      <c r="C120" s="9" t="s">
        <v>6671</v>
      </c>
      <c r="D120" s="9" t="s">
        <v>6672</v>
      </c>
      <c r="E120" s="9" t="s">
        <v>439</v>
      </c>
      <c r="F120" s="9" t="s">
        <v>436</v>
      </c>
      <c r="G120" s="9" t="s">
        <v>440</v>
      </c>
      <c r="H120" s="87" t="s">
        <v>6405</v>
      </c>
      <c r="I120" s="87" t="s">
        <v>6267</v>
      </c>
      <c r="J120" s="87" t="s">
        <v>6267</v>
      </c>
      <c r="K120" s="87" t="s">
        <v>6240</v>
      </c>
      <c r="L120" s="87" t="s">
        <v>6556</v>
      </c>
      <c r="M120" s="9" t="s">
        <v>6738</v>
      </c>
      <c r="N120" s="87" t="s">
        <v>6267</v>
      </c>
      <c r="O120" s="9" t="s">
        <v>6243</v>
      </c>
      <c r="P120" s="87" t="s">
        <v>6506</v>
      </c>
      <c r="Q120" s="87" t="s">
        <v>6267</v>
      </c>
      <c r="R120" s="87" t="s">
        <v>6645</v>
      </c>
      <c r="S120" s="87" t="s">
        <v>6313</v>
      </c>
    </row>
    <row r="121" spans="1:19" ht="15.75" customHeight="1">
      <c r="A121" s="9" t="s">
        <v>3010</v>
      </c>
      <c r="C121" s="9" t="s">
        <v>6236</v>
      </c>
      <c r="D121" s="9" t="s">
        <v>431</v>
      </c>
      <c r="E121" s="9" t="s">
        <v>368</v>
      </c>
      <c r="F121" s="9" t="s">
        <v>436</v>
      </c>
      <c r="G121" s="9" t="s">
        <v>434</v>
      </c>
      <c r="H121" s="87" t="s">
        <v>6237</v>
      </c>
      <c r="I121" s="87" t="s">
        <v>6299</v>
      </c>
      <c r="J121" s="87" t="s">
        <v>6299</v>
      </c>
      <c r="K121" s="87" t="s">
        <v>6240</v>
      </c>
      <c r="L121" s="87" t="s">
        <v>6556</v>
      </c>
      <c r="M121" s="9" t="s">
        <v>6782</v>
      </c>
      <c r="N121" s="87" t="s">
        <v>6299</v>
      </c>
      <c r="O121" s="9" t="s">
        <v>6243</v>
      </c>
      <c r="P121" s="87" t="s">
        <v>3231</v>
      </c>
      <c r="Q121" s="87" t="s">
        <v>6299</v>
      </c>
      <c r="R121" s="87" t="s">
        <v>6326</v>
      </c>
      <c r="S121" s="87" t="s">
        <v>6570</v>
      </c>
    </row>
    <row r="122" spans="1:19" ht="15.75" customHeight="1">
      <c r="A122" s="9" t="s">
        <v>2914</v>
      </c>
      <c r="C122" s="9" t="s">
        <v>6236</v>
      </c>
      <c r="D122" s="9" t="s">
        <v>431</v>
      </c>
      <c r="E122" s="9" t="s">
        <v>368</v>
      </c>
      <c r="F122" s="9" t="s">
        <v>436</v>
      </c>
      <c r="G122" s="9" t="s">
        <v>434</v>
      </c>
      <c r="H122" s="87" t="s">
        <v>6237</v>
      </c>
      <c r="I122" s="87" t="s">
        <v>6255</v>
      </c>
      <c r="J122" s="87" t="s">
        <v>6255</v>
      </c>
      <c r="K122" s="87" t="s">
        <v>6240</v>
      </c>
      <c r="L122" s="87" t="s">
        <v>6556</v>
      </c>
      <c r="M122" s="9" t="s">
        <v>6783</v>
      </c>
      <c r="N122" s="87" t="s">
        <v>6255</v>
      </c>
      <c r="O122" s="9" t="s">
        <v>6243</v>
      </c>
      <c r="P122" s="87" t="s">
        <v>4947</v>
      </c>
      <c r="Q122" s="87" t="s">
        <v>6255</v>
      </c>
      <c r="R122" s="87" t="s">
        <v>6733</v>
      </c>
      <c r="S122" s="87" t="s">
        <v>6333</v>
      </c>
    </row>
    <row r="123" spans="1:19" ht="15.75" customHeight="1">
      <c r="A123" s="9" t="s">
        <v>2847</v>
      </c>
      <c r="C123" s="9" t="s">
        <v>6671</v>
      </c>
      <c r="D123" s="9" t="s">
        <v>6672</v>
      </c>
      <c r="E123" s="9" t="s">
        <v>439</v>
      </c>
      <c r="F123" s="9" t="s">
        <v>436</v>
      </c>
      <c r="G123" s="9" t="s">
        <v>440</v>
      </c>
      <c r="H123" s="87" t="s">
        <v>6405</v>
      </c>
      <c r="I123" s="87" t="s">
        <v>6567</v>
      </c>
      <c r="J123" s="87" t="s">
        <v>6239</v>
      </c>
      <c r="K123" s="87" t="s">
        <v>6240</v>
      </c>
      <c r="L123" s="87" t="s">
        <v>6601</v>
      </c>
      <c r="M123" s="9" t="s">
        <v>6676</v>
      </c>
      <c r="N123" s="87" t="s">
        <v>6239</v>
      </c>
      <c r="O123" s="9" t="s">
        <v>6243</v>
      </c>
      <c r="P123" s="87" t="s">
        <v>3764</v>
      </c>
      <c r="Q123" s="87" t="s">
        <v>6567</v>
      </c>
      <c r="R123" s="87" t="s">
        <v>6645</v>
      </c>
      <c r="S123" s="87" t="s">
        <v>6327</v>
      </c>
    </row>
    <row r="124" spans="1:19" ht="15.75" customHeight="1">
      <c r="A124" s="9" t="s">
        <v>2902</v>
      </c>
      <c r="C124" s="9" t="s">
        <v>6236</v>
      </c>
      <c r="D124" s="9" t="s">
        <v>431</v>
      </c>
      <c r="E124" s="9" t="s">
        <v>368</v>
      </c>
      <c r="F124" s="9" t="s">
        <v>436</v>
      </c>
      <c r="G124" s="9" t="s">
        <v>434</v>
      </c>
      <c r="H124" s="87" t="s">
        <v>6264</v>
      </c>
      <c r="I124" s="87" t="s">
        <v>6239</v>
      </c>
      <c r="J124" s="87" t="s">
        <v>6555</v>
      </c>
      <c r="K124" s="87" t="s">
        <v>6240</v>
      </c>
      <c r="L124" s="87" t="s">
        <v>6601</v>
      </c>
      <c r="M124" s="9" t="s">
        <v>6784</v>
      </c>
      <c r="N124" s="87" t="s">
        <v>6555</v>
      </c>
      <c r="O124" s="9" t="s">
        <v>6243</v>
      </c>
      <c r="P124" s="87" t="s">
        <v>6640</v>
      </c>
      <c r="Q124" s="87" t="s">
        <v>6239</v>
      </c>
      <c r="R124" s="87" t="s">
        <v>6645</v>
      </c>
      <c r="S124" s="87" t="s">
        <v>6254</v>
      </c>
    </row>
    <row r="125" spans="1:19" ht="15.75" customHeight="1">
      <c r="A125" s="9" t="s">
        <v>2899</v>
      </c>
      <c r="C125" s="9" t="s">
        <v>6236</v>
      </c>
      <c r="D125" s="9" t="s">
        <v>431</v>
      </c>
      <c r="E125" s="9" t="s">
        <v>368</v>
      </c>
      <c r="F125" s="9" t="s">
        <v>436</v>
      </c>
      <c r="G125" s="9" t="s">
        <v>434</v>
      </c>
      <c r="H125" s="87" t="s">
        <v>6237</v>
      </c>
      <c r="I125" s="87" t="s">
        <v>6299</v>
      </c>
      <c r="J125" s="87" t="s">
        <v>6411</v>
      </c>
      <c r="K125" s="87" t="s">
        <v>6240</v>
      </c>
      <c r="L125" s="87" t="s">
        <v>6601</v>
      </c>
      <c r="M125" s="9" t="s">
        <v>6785</v>
      </c>
      <c r="N125" s="87" t="s">
        <v>6411</v>
      </c>
      <c r="O125" s="9" t="s">
        <v>6243</v>
      </c>
      <c r="P125" s="87" t="s">
        <v>6321</v>
      </c>
      <c r="Q125" s="87" t="s">
        <v>6299</v>
      </c>
      <c r="R125" s="87" t="s">
        <v>6323</v>
      </c>
      <c r="S125" s="87" t="s">
        <v>6327</v>
      </c>
    </row>
    <row r="126" spans="1:19" ht="15.75" customHeight="1">
      <c r="A126" s="9" t="s">
        <v>2855</v>
      </c>
      <c r="C126" s="9" t="s">
        <v>6236</v>
      </c>
      <c r="D126" s="9" t="s">
        <v>431</v>
      </c>
      <c r="E126" s="9" t="s">
        <v>368</v>
      </c>
      <c r="F126" s="9" t="s">
        <v>436</v>
      </c>
      <c r="G126" s="9" t="s">
        <v>434</v>
      </c>
      <c r="H126" s="87" t="s">
        <v>6264</v>
      </c>
      <c r="I126" s="87" t="s">
        <v>6421</v>
      </c>
      <c r="J126" s="87" t="s">
        <v>6461</v>
      </c>
      <c r="K126" s="87" t="s">
        <v>6240</v>
      </c>
      <c r="L126" s="87" t="s">
        <v>6540</v>
      </c>
      <c r="M126" s="9" t="s">
        <v>6786</v>
      </c>
      <c r="N126" s="87" t="s">
        <v>6461</v>
      </c>
      <c r="O126" s="9" t="s">
        <v>6243</v>
      </c>
      <c r="P126" s="87" t="s">
        <v>6255</v>
      </c>
      <c r="Q126" s="87" t="s">
        <v>6421</v>
      </c>
      <c r="R126" s="87" t="s">
        <v>6414</v>
      </c>
      <c r="S126" s="87" t="s">
        <v>6327</v>
      </c>
    </row>
    <row r="127" spans="1:19" ht="15.75" customHeight="1">
      <c r="A127" s="9" t="s">
        <v>2872</v>
      </c>
      <c r="C127" s="9" t="s">
        <v>6236</v>
      </c>
      <c r="D127" s="9" t="s">
        <v>431</v>
      </c>
      <c r="E127" s="9" t="s">
        <v>368</v>
      </c>
      <c r="F127" s="9" t="s">
        <v>436</v>
      </c>
      <c r="G127" s="9" t="s">
        <v>434</v>
      </c>
      <c r="H127" s="87" t="s">
        <v>6237</v>
      </c>
      <c r="I127" s="87" t="s">
        <v>6251</v>
      </c>
      <c r="J127" s="87" t="s">
        <v>6251</v>
      </c>
      <c r="K127" s="87" t="s">
        <v>6240</v>
      </c>
      <c r="L127" s="87" t="s">
        <v>6540</v>
      </c>
      <c r="M127" s="9" t="s">
        <v>6787</v>
      </c>
      <c r="N127" s="87" t="s">
        <v>6251</v>
      </c>
      <c r="O127" s="9" t="s">
        <v>6243</v>
      </c>
      <c r="P127" s="87" t="s">
        <v>6254</v>
      </c>
      <c r="Q127" s="87" t="s">
        <v>6251</v>
      </c>
      <c r="R127" s="87" t="s">
        <v>6245</v>
      </c>
      <c r="S127" s="87" t="s">
        <v>6296</v>
      </c>
    </row>
    <row r="128" spans="1:19" ht="15.75" customHeight="1">
      <c r="A128" s="9" t="s">
        <v>2973</v>
      </c>
      <c r="C128" s="9" t="s">
        <v>6236</v>
      </c>
      <c r="D128" s="9" t="s">
        <v>431</v>
      </c>
      <c r="E128" s="9" t="s">
        <v>368</v>
      </c>
      <c r="F128" s="9" t="s">
        <v>436</v>
      </c>
      <c r="G128" s="9" t="s">
        <v>434</v>
      </c>
      <c r="H128" s="87" t="s">
        <v>6237</v>
      </c>
      <c r="I128" s="87" t="s">
        <v>6306</v>
      </c>
      <c r="J128" s="87" t="s">
        <v>6497</v>
      </c>
      <c r="K128" s="87" t="s">
        <v>6240</v>
      </c>
      <c r="L128" s="87" t="s">
        <v>6540</v>
      </c>
      <c r="M128" s="9" t="s">
        <v>6713</v>
      </c>
      <c r="N128" s="87" t="s">
        <v>6497</v>
      </c>
      <c r="O128" s="9" t="s">
        <v>6243</v>
      </c>
      <c r="P128" s="87" t="s">
        <v>6714</v>
      </c>
      <c r="Q128" s="87" t="s">
        <v>6306</v>
      </c>
      <c r="R128" s="87" t="s">
        <v>6645</v>
      </c>
      <c r="S128" s="87" t="s">
        <v>6397</v>
      </c>
    </row>
    <row r="129" spans="1:19" ht="15.75" customHeight="1">
      <c r="A129" s="9" t="s">
        <v>2973</v>
      </c>
      <c r="C129" s="9" t="s">
        <v>6236</v>
      </c>
      <c r="D129" s="9" t="s">
        <v>431</v>
      </c>
      <c r="E129" s="9" t="s">
        <v>368</v>
      </c>
      <c r="F129" s="9" t="s">
        <v>436</v>
      </c>
      <c r="G129" s="9" t="s">
        <v>434</v>
      </c>
      <c r="H129" s="87" t="s">
        <v>6237</v>
      </c>
      <c r="I129" s="87" t="s">
        <v>6306</v>
      </c>
      <c r="J129" s="87" t="s">
        <v>6414</v>
      </c>
      <c r="K129" s="87" t="s">
        <v>6240</v>
      </c>
      <c r="L129" s="87" t="s">
        <v>6539</v>
      </c>
      <c r="M129" s="9" t="s">
        <v>6788</v>
      </c>
      <c r="N129" s="87" t="s">
        <v>6414</v>
      </c>
      <c r="O129" s="9" t="s">
        <v>6243</v>
      </c>
      <c r="P129" s="87" t="s">
        <v>6416</v>
      </c>
      <c r="Q129" s="87" t="s">
        <v>6306</v>
      </c>
      <c r="R129" s="87" t="s">
        <v>6570</v>
      </c>
      <c r="S129" s="87" t="s">
        <v>6327</v>
      </c>
    </row>
    <row r="130" spans="1:19" ht="15.75" customHeight="1">
      <c r="A130" s="9" t="s">
        <v>2955</v>
      </c>
      <c r="C130" s="9" t="s">
        <v>6236</v>
      </c>
      <c r="D130" s="9" t="s">
        <v>431</v>
      </c>
      <c r="E130" s="9" t="s">
        <v>368</v>
      </c>
      <c r="F130" s="9" t="s">
        <v>436</v>
      </c>
      <c r="G130" s="9" t="s">
        <v>434</v>
      </c>
      <c r="H130" s="87" t="s">
        <v>6237</v>
      </c>
      <c r="I130" s="87" t="s">
        <v>4014</v>
      </c>
      <c r="J130" s="87" t="s">
        <v>6314</v>
      </c>
      <c r="K130" s="87" t="s">
        <v>6240</v>
      </c>
      <c r="L130" s="87" t="s">
        <v>6539</v>
      </c>
      <c r="M130" s="9" t="s">
        <v>6789</v>
      </c>
      <c r="N130" s="87" t="s">
        <v>6314</v>
      </c>
      <c r="O130" s="9" t="s">
        <v>6243</v>
      </c>
      <c r="P130" s="87" t="s">
        <v>6748</v>
      </c>
      <c r="Q130" s="87" t="s">
        <v>4014</v>
      </c>
      <c r="R130" s="87" t="s">
        <v>6645</v>
      </c>
      <c r="S130" s="87" t="s">
        <v>6280</v>
      </c>
    </row>
    <row r="131" spans="1:19" ht="15.75" customHeight="1">
      <c r="A131" s="9" t="s">
        <v>2890</v>
      </c>
      <c r="C131" s="9" t="s">
        <v>6671</v>
      </c>
      <c r="D131" s="9" t="s">
        <v>6672</v>
      </c>
      <c r="E131" s="9" t="s">
        <v>439</v>
      </c>
      <c r="F131" s="9" t="s">
        <v>436</v>
      </c>
      <c r="G131" s="9" t="s">
        <v>440</v>
      </c>
      <c r="H131" s="87" t="s">
        <v>6405</v>
      </c>
      <c r="I131" s="87" t="s">
        <v>6642</v>
      </c>
      <c r="J131" s="87" t="s">
        <v>6642</v>
      </c>
      <c r="K131" s="87" t="s">
        <v>6240</v>
      </c>
      <c r="L131" s="87" t="s">
        <v>6538</v>
      </c>
      <c r="M131" s="9" t="s">
        <v>6790</v>
      </c>
      <c r="N131" s="87" t="s">
        <v>6642</v>
      </c>
      <c r="O131" s="9" t="s">
        <v>6243</v>
      </c>
      <c r="P131" s="87" t="s">
        <v>6445</v>
      </c>
      <c r="Q131" s="87" t="s">
        <v>6642</v>
      </c>
      <c r="R131" s="87" t="s">
        <v>6245</v>
      </c>
      <c r="S131" s="87" t="s">
        <v>6327</v>
      </c>
    </row>
    <row r="132" spans="1:19" ht="15.75" customHeight="1">
      <c r="A132" s="9" t="s">
        <v>2879</v>
      </c>
      <c r="C132" s="9" t="s">
        <v>6671</v>
      </c>
      <c r="D132" s="9" t="s">
        <v>6672</v>
      </c>
      <c r="E132" s="9" t="s">
        <v>439</v>
      </c>
      <c r="F132" s="9" t="s">
        <v>436</v>
      </c>
      <c r="G132" s="9" t="s">
        <v>440</v>
      </c>
      <c r="H132" s="87" t="s">
        <v>6405</v>
      </c>
      <c r="I132" s="87" t="s">
        <v>6433</v>
      </c>
      <c r="J132" s="87" t="s">
        <v>6433</v>
      </c>
      <c r="K132" s="87" t="s">
        <v>6240</v>
      </c>
      <c r="L132" s="87" t="s">
        <v>6538</v>
      </c>
      <c r="M132" s="9" t="s">
        <v>6791</v>
      </c>
      <c r="N132" s="87" t="s">
        <v>6433</v>
      </c>
      <c r="O132" s="9" t="s">
        <v>6243</v>
      </c>
      <c r="P132" s="87" t="s">
        <v>6305</v>
      </c>
      <c r="Q132" s="87" t="s">
        <v>6433</v>
      </c>
      <c r="R132" s="87" t="s">
        <v>6413</v>
      </c>
      <c r="S132" s="87" t="s">
        <v>6397</v>
      </c>
    </row>
    <row r="133" spans="1:19" ht="15.75" customHeight="1">
      <c r="A133" s="9" t="s">
        <v>2928</v>
      </c>
      <c r="C133" s="9" t="s">
        <v>6671</v>
      </c>
      <c r="D133" s="9" t="s">
        <v>6672</v>
      </c>
      <c r="E133" s="9" t="s">
        <v>439</v>
      </c>
      <c r="F133" s="9" t="s">
        <v>436</v>
      </c>
      <c r="G133" s="9" t="s">
        <v>440</v>
      </c>
      <c r="H133" s="87" t="s">
        <v>6405</v>
      </c>
      <c r="I133" s="87" t="s">
        <v>4953</v>
      </c>
      <c r="J133" s="87" t="s">
        <v>4953</v>
      </c>
      <c r="K133" s="87" t="s">
        <v>6240</v>
      </c>
      <c r="L133" s="87" t="s">
        <v>6538</v>
      </c>
      <c r="M133" s="9" t="s">
        <v>6792</v>
      </c>
      <c r="N133" s="87" t="s">
        <v>4953</v>
      </c>
      <c r="O133" s="9" t="s">
        <v>6243</v>
      </c>
      <c r="P133" s="87" t="s">
        <v>6306</v>
      </c>
      <c r="Q133" s="87" t="s">
        <v>4953</v>
      </c>
      <c r="R133" s="87" t="s">
        <v>6239</v>
      </c>
      <c r="S133" s="87" t="s">
        <v>6277</v>
      </c>
    </row>
    <row r="134" spans="1:19" ht="15.75" customHeight="1">
      <c r="A134" s="9" t="s">
        <v>2983</v>
      </c>
      <c r="C134" s="9" t="s">
        <v>6671</v>
      </c>
      <c r="D134" s="9" t="s">
        <v>6672</v>
      </c>
      <c r="E134" s="9" t="s">
        <v>439</v>
      </c>
      <c r="F134" s="9" t="s">
        <v>436</v>
      </c>
      <c r="G134" s="9" t="s">
        <v>440</v>
      </c>
      <c r="H134" s="87" t="s">
        <v>6405</v>
      </c>
      <c r="I134" s="87" t="s">
        <v>6305</v>
      </c>
      <c r="J134" s="87" t="s">
        <v>6435</v>
      </c>
      <c r="K134" s="87" t="s">
        <v>6240</v>
      </c>
      <c r="L134" s="87" t="s">
        <v>6538</v>
      </c>
      <c r="M134" s="9" t="s">
        <v>6756</v>
      </c>
      <c r="N134" s="87" t="s">
        <v>6435</v>
      </c>
      <c r="O134" s="9" t="s">
        <v>6243</v>
      </c>
      <c r="P134" s="87" t="s">
        <v>6250</v>
      </c>
      <c r="Q134" s="87" t="s">
        <v>6305</v>
      </c>
      <c r="R134" s="87" t="s">
        <v>6645</v>
      </c>
      <c r="S134" s="87" t="s">
        <v>6733</v>
      </c>
    </row>
    <row r="135" spans="1:19" ht="15.75" customHeight="1">
      <c r="A135" s="9" t="s">
        <v>2955</v>
      </c>
      <c r="C135" s="9" t="s">
        <v>6236</v>
      </c>
      <c r="D135" s="9" t="s">
        <v>431</v>
      </c>
      <c r="E135" s="9" t="s">
        <v>368</v>
      </c>
      <c r="F135" s="9" t="s">
        <v>436</v>
      </c>
      <c r="G135" s="9" t="s">
        <v>434</v>
      </c>
      <c r="H135" s="87" t="s">
        <v>6237</v>
      </c>
      <c r="I135" s="87" t="s">
        <v>4014</v>
      </c>
      <c r="J135" s="87" t="s">
        <v>6239</v>
      </c>
      <c r="K135" s="87" t="s">
        <v>6240</v>
      </c>
      <c r="L135" s="87" t="s">
        <v>6538</v>
      </c>
      <c r="M135" s="9" t="s">
        <v>6676</v>
      </c>
      <c r="N135" s="87" t="s">
        <v>6239</v>
      </c>
      <c r="O135" s="9" t="s">
        <v>6243</v>
      </c>
      <c r="P135" s="87" t="s">
        <v>3764</v>
      </c>
      <c r="Q135" s="87" t="s">
        <v>4014</v>
      </c>
      <c r="R135" s="87" t="s">
        <v>6645</v>
      </c>
      <c r="S135" s="87" t="s">
        <v>6327</v>
      </c>
    </row>
    <row r="136" spans="1:19" ht="15.75" customHeight="1">
      <c r="A136" s="9" t="s">
        <v>3031</v>
      </c>
      <c r="C136" s="9" t="s">
        <v>6671</v>
      </c>
      <c r="D136" s="9" t="s">
        <v>6672</v>
      </c>
      <c r="E136" s="9" t="s">
        <v>439</v>
      </c>
      <c r="F136" s="9" t="s">
        <v>436</v>
      </c>
      <c r="G136" s="9" t="s">
        <v>440</v>
      </c>
      <c r="H136" s="87" t="s">
        <v>6405</v>
      </c>
      <c r="I136" s="87" t="s">
        <v>6255</v>
      </c>
      <c r="J136" s="87" t="s">
        <v>6255</v>
      </c>
      <c r="K136" s="87" t="s">
        <v>6240</v>
      </c>
      <c r="L136" s="87" t="s">
        <v>6538</v>
      </c>
      <c r="M136" s="9" t="s">
        <v>6793</v>
      </c>
      <c r="N136" s="87" t="s">
        <v>6255</v>
      </c>
      <c r="O136" s="9" t="s">
        <v>6243</v>
      </c>
      <c r="P136" s="87" t="s">
        <v>4947</v>
      </c>
      <c r="Q136" s="87" t="s">
        <v>6255</v>
      </c>
      <c r="R136" s="87" t="s">
        <v>6543</v>
      </c>
      <c r="S136" s="87" t="s">
        <v>6376</v>
      </c>
    </row>
    <row r="137" spans="1:19" ht="15.75" customHeight="1">
      <c r="A137" s="9" t="s">
        <v>2890</v>
      </c>
      <c r="C137" s="9" t="s">
        <v>6236</v>
      </c>
      <c r="D137" s="9" t="s">
        <v>431</v>
      </c>
      <c r="E137" s="9" t="s">
        <v>368</v>
      </c>
      <c r="F137" s="9" t="s">
        <v>436</v>
      </c>
      <c r="G137" s="9" t="s">
        <v>434</v>
      </c>
      <c r="H137" s="87" t="s">
        <v>6237</v>
      </c>
      <c r="I137" s="87" t="s">
        <v>6296</v>
      </c>
      <c r="J137" s="87" t="s">
        <v>6296</v>
      </c>
      <c r="K137" s="87" t="s">
        <v>6240</v>
      </c>
      <c r="L137" s="87" t="s">
        <v>6537</v>
      </c>
      <c r="M137" s="9" t="s">
        <v>6794</v>
      </c>
      <c r="N137" s="87" t="s">
        <v>6296</v>
      </c>
      <c r="O137" s="9" t="s">
        <v>6243</v>
      </c>
      <c r="P137" s="87" t="s">
        <v>6287</v>
      </c>
      <c r="Q137" s="87" t="s">
        <v>6296</v>
      </c>
      <c r="R137" s="87" t="s">
        <v>6271</v>
      </c>
      <c r="S137" s="87" t="s">
        <v>6277</v>
      </c>
    </row>
    <row r="138" spans="1:19" ht="15.75" customHeight="1">
      <c r="A138" s="9" t="s">
        <v>2879</v>
      </c>
      <c r="C138" s="9" t="s">
        <v>6236</v>
      </c>
      <c r="D138" s="9" t="s">
        <v>431</v>
      </c>
      <c r="E138" s="9" t="s">
        <v>368</v>
      </c>
      <c r="F138" s="9" t="s">
        <v>436</v>
      </c>
      <c r="G138" s="9" t="s">
        <v>434</v>
      </c>
      <c r="H138" s="87" t="s">
        <v>6264</v>
      </c>
      <c r="I138" s="87" t="s">
        <v>6254</v>
      </c>
      <c r="J138" s="87" t="s">
        <v>6642</v>
      </c>
      <c r="K138" s="87" t="s">
        <v>6240</v>
      </c>
      <c r="L138" s="87" t="s">
        <v>6537</v>
      </c>
      <c r="M138" s="9" t="s">
        <v>6695</v>
      </c>
      <c r="N138" s="87" t="s">
        <v>6642</v>
      </c>
      <c r="O138" s="9" t="s">
        <v>6243</v>
      </c>
      <c r="P138" s="87" t="s">
        <v>6445</v>
      </c>
      <c r="Q138" s="87" t="s">
        <v>6254</v>
      </c>
      <c r="R138" s="87" t="s">
        <v>6645</v>
      </c>
      <c r="S138" s="87" t="s">
        <v>6341</v>
      </c>
    </row>
    <row r="139" spans="1:19" ht="15.75" customHeight="1">
      <c r="A139" s="9" t="s">
        <v>2983</v>
      </c>
      <c r="C139" s="9" t="s">
        <v>6671</v>
      </c>
      <c r="D139" s="9" t="s">
        <v>6672</v>
      </c>
      <c r="E139" s="9" t="s">
        <v>439</v>
      </c>
      <c r="F139" s="9" t="s">
        <v>436</v>
      </c>
      <c r="G139" s="9" t="s">
        <v>440</v>
      </c>
      <c r="H139" s="87" t="s">
        <v>6405</v>
      </c>
      <c r="I139" s="87" t="s">
        <v>6305</v>
      </c>
      <c r="J139" s="87" t="s">
        <v>6239</v>
      </c>
      <c r="K139" s="87" t="s">
        <v>6240</v>
      </c>
      <c r="L139" s="87" t="s">
        <v>6537</v>
      </c>
      <c r="M139" s="9" t="s">
        <v>6676</v>
      </c>
      <c r="N139" s="87" t="s">
        <v>6239</v>
      </c>
      <c r="O139" s="9" t="s">
        <v>6243</v>
      </c>
      <c r="P139" s="87" t="s">
        <v>3764</v>
      </c>
      <c r="Q139" s="87" t="s">
        <v>6305</v>
      </c>
      <c r="R139" s="87" t="s">
        <v>6645</v>
      </c>
      <c r="S139" s="87" t="s">
        <v>6327</v>
      </c>
    </row>
    <row r="140" spans="1:19" ht="15.75" customHeight="1">
      <c r="A140" s="9" t="s">
        <v>2955</v>
      </c>
      <c r="C140" s="9" t="s">
        <v>6236</v>
      </c>
      <c r="D140" s="9" t="s">
        <v>431</v>
      </c>
      <c r="E140" s="9" t="s">
        <v>368</v>
      </c>
      <c r="F140" s="9" t="s">
        <v>436</v>
      </c>
      <c r="G140" s="9" t="s">
        <v>434</v>
      </c>
      <c r="H140" s="87" t="s">
        <v>6237</v>
      </c>
      <c r="I140" s="87" t="s">
        <v>4014</v>
      </c>
      <c r="J140" s="87" t="s">
        <v>6445</v>
      </c>
      <c r="K140" s="87" t="s">
        <v>6240</v>
      </c>
      <c r="L140" s="87" t="s">
        <v>6537</v>
      </c>
      <c r="M140" s="9" t="s">
        <v>6795</v>
      </c>
      <c r="N140" s="87" t="s">
        <v>6445</v>
      </c>
      <c r="O140" s="9" t="s">
        <v>6243</v>
      </c>
      <c r="P140" s="87" t="s">
        <v>6796</v>
      </c>
      <c r="Q140" s="87" t="s">
        <v>4014</v>
      </c>
      <c r="R140" s="87" t="s">
        <v>6543</v>
      </c>
      <c r="S140" s="87" t="s">
        <v>6327</v>
      </c>
    </row>
    <row r="141" spans="1:19" ht="15.75" customHeight="1">
      <c r="A141" s="9" t="s">
        <v>2879</v>
      </c>
      <c r="C141" s="9" t="s">
        <v>6236</v>
      </c>
      <c r="D141" s="9" t="s">
        <v>431</v>
      </c>
      <c r="E141" s="9" t="s">
        <v>368</v>
      </c>
      <c r="F141" s="9" t="s">
        <v>436</v>
      </c>
      <c r="G141" s="9" t="s">
        <v>434</v>
      </c>
      <c r="H141" s="87" t="s">
        <v>6264</v>
      </c>
      <c r="I141" s="87" t="s">
        <v>6254</v>
      </c>
      <c r="J141" s="87" t="s">
        <v>6433</v>
      </c>
      <c r="K141" s="87" t="s">
        <v>6240</v>
      </c>
      <c r="L141" s="87" t="s">
        <v>6530</v>
      </c>
      <c r="M141" s="9" t="s">
        <v>6797</v>
      </c>
      <c r="N141" s="87" t="s">
        <v>6433</v>
      </c>
      <c r="O141" s="9" t="s">
        <v>6243</v>
      </c>
      <c r="P141" s="87" t="s">
        <v>6305</v>
      </c>
      <c r="Q141" s="87" t="s">
        <v>6254</v>
      </c>
      <c r="R141" s="87" t="s">
        <v>6329</v>
      </c>
      <c r="S141" s="87" t="s">
        <v>6327</v>
      </c>
    </row>
    <row r="142" spans="1:19" ht="15.75" customHeight="1">
      <c r="A142" s="9" t="s">
        <v>2918</v>
      </c>
      <c r="C142" s="9" t="s">
        <v>6236</v>
      </c>
      <c r="D142" s="9" t="s">
        <v>431</v>
      </c>
      <c r="E142" s="9" t="s">
        <v>368</v>
      </c>
      <c r="F142" s="9" t="s">
        <v>436</v>
      </c>
      <c r="G142" s="9" t="s">
        <v>434</v>
      </c>
      <c r="H142" s="87" t="s">
        <v>6237</v>
      </c>
      <c r="I142" s="87" t="s">
        <v>6245</v>
      </c>
      <c r="J142" s="87" t="s">
        <v>6245</v>
      </c>
      <c r="K142" s="87" t="s">
        <v>6240</v>
      </c>
      <c r="L142" s="87" t="s">
        <v>6530</v>
      </c>
      <c r="M142" s="9" t="s">
        <v>6798</v>
      </c>
      <c r="N142" s="87" t="s">
        <v>6245</v>
      </c>
      <c r="O142" s="9" t="s">
        <v>6243</v>
      </c>
      <c r="P142" s="87" t="s">
        <v>6238</v>
      </c>
      <c r="Q142" s="87" t="s">
        <v>6245</v>
      </c>
      <c r="R142" s="87" t="s">
        <v>6404</v>
      </c>
      <c r="S142" s="87" t="s">
        <v>6323</v>
      </c>
    </row>
    <row r="143" spans="1:19" ht="15.75" customHeight="1">
      <c r="A143" s="9" t="s">
        <v>2983</v>
      </c>
      <c r="C143" s="9" t="s">
        <v>6671</v>
      </c>
      <c r="D143" s="9" t="s">
        <v>6672</v>
      </c>
      <c r="E143" s="9" t="s">
        <v>439</v>
      </c>
      <c r="F143" s="9" t="s">
        <v>436</v>
      </c>
      <c r="G143" s="9" t="s">
        <v>440</v>
      </c>
      <c r="H143" s="87" t="s">
        <v>6405</v>
      </c>
      <c r="I143" s="87" t="s">
        <v>6305</v>
      </c>
      <c r="J143" s="87" t="s">
        <v>6264</v>
      </c>
      <c r="K143" s="87" t="s">
        <v>6240</v>
      </c>
      <c r="L143" s="87" t="s">
        <v>6530</v>
      </c>
      <c r="M143" s="9" t="s">
        <v>6725</v>
      </c>
      <c r="N143" s="87" t="s">
        <v>6264</v>
      </c>
      <c r="O143" s="9" t="s">
        <v>6243</v>
      </c>
      <c r="P143" s="87" t="s">
        <v>6313</v>
      </c>
      <c r="Q143" s="87" t="s">
        <v>6305</v>
      </c>
      <c r="R143" s="87" t="s">
        <v>6348</v>
      </c>
      <c r="S143" s="87" t="s">
        <v>6327</v>
      </c>
    </row>
    <row r="144" spans="1:19" ht="15.75" customHeight="1">
      <c r="A144" s="9" t="s">
        <v>2896</v>
      </c>
      <c r="C144" s="9" t="s">
        <v>6671</v>
      </c>
      <c r="D144" s="9" t="s">
        <v>6672</v>
      </c>
      <c r="E144" s="9" t="s">
        <v>439</v>
      </c>
      <c r="F144" s="9" t="s">
        <v>436</v>
      </c>
      <c r="G144" s="9" t="s">
        <v>440</v>
      </c>
      <c r="H144" s="87" t="s">
        <v>6405</v>
      </c>
      <c r="I144" s="87" t="s">
        <v>6290</v>
      </c>
      <c r="J144" s="87" t="s">
        <v>6290</v>
      </c>
      <c r="K144" s="87" t="s">
        <v>6240</v>
      </c>
      <c r="L144" s="87" t="s">
        <v>6530</v>
      </c>
      <c r="M144" s="9" t="s">
        <v>6799</v>
      </c>
      <c r="N144" s="87" t="s">
        <v>6290</v>
      </c>
      <c r="O144" s="9" t="s">
        <v>6243</v>
      </c>
      <c r="P144" s="87" t="s">
        <v>6293</v>
      </c>
      <c r="Q144" s="87" t="s">
        <v>6290</v>
      </c>
      <c r="R144" s="87" t="s">
        <v>6245</v>
      </c>
      <c r="S144" s="87" t="s">
        <v>6313</v>
      </c>
    </row>
    <row r="145" spans="1:19" ht="15.75" customHeight="1">
      <c r="A145" s="9" t="s">
        <v>2957</v>
      </c>
      <c r="C145" s="9" t="s">
        <v>6671</v>
      </c>
      <c r="D145" s="9" t="s">
        <v>6672</v>
      </c>
      <c r="E145" s="9" t="s">
        <v>439</v>
      </c>
      <c r="F145" s="9" t="s">
        <v>436</v>
      </c>
      <c r="G145" s="9" t="s">
        <v>440</v>
      </c>
      <c r="H145" s="87" t="s">
        <v>6405</v>
      </c>
      <c r="I145" s="87" t="s">
        <v>3231</v>
      </c>
      <c r="J145" s="87" t="s">
        <v>6497</v>
      </c>
      <c r="K145" s="87" t="s">
        <v>6240</v>
      </c>
      <c r="L145" s="87" t="s">
        <v>6530</v>
      </c>
      <c r="M145" s="9" t="s">
        <v>6713</v>
      </c>
      <c r="N145" s="87" t="s">
        <v>6497</v>
      </c>
      <c r="O145" s="9" t="s">
        <v>6243</v>
      </c>
      <c r="P145" s="87" t="s">
        <v>6714</v>
      </c>
      <c r="Q145" s="87" t="s">
        <v>3231</v>
      </c>
      <c r="R145" s="87" t="s">
        <v>6645</v>
      </c>
      <c r="S145" s="87" t="s">
        <v>6397</v>
      </c>
    </row>
    <row r="146" spans="1:19" ht="15.75" customHeight="1">
      <c r="A146" s="9" t="s">
        <v>3020</v>
      </c>
      <c r="C146" s="9" t="s">
        <v>6236</v>
      </c>
      <c r="D146" s="9" t="s">
        <v>431</v>
      </c>
      <c r="E146" s="9" t="s">
        <v>368</v>
      </c>
      <c r="F146" s="9" t="s">
        <v>436</v>
      </c>
      <c r="G146" s="9" t="s">
        <v>434</v>
      </c>
      <c r="H146" s="87" t="s">
        <v>6264</v>
      </c>
      <c r="I146" s="87" t="s">
        <v>6326</v>
      </c>
      <c r="J146" s="87" t="s">
        <v>6293</v>
      </c>
      <c r="K146" s="87" t="s">
        <v>6240</v>
      </c>
      <c r="L146" s="87" t="s">
        <v>6530</v>
      </c>
      <c r="M146" s="9" t="s">
        <v>6755</v>
      </c>
      <c r="N146" s="87" t="s">
        <v>6293</v>
      </c>
      <c r="O146" s="9" t="s">
        <v>6243</v>
      </c>
      <c r="P146" s="87" t="s">
        <v>4828</v>
      </c>
      <c r="Q146" s="87" t="s">
        <v>6326</v>
      </c>
      <c r="R146" s="87" t="s">
        <v>6645</v>
      </c>
      <c r="S146" s="87" t="s">
        <v>6430</v>
      </c>
    </row>
    <row r="147" spans="1:19" ht="15.75" customHeight="1">
      <c r="A147" s="9" t="s">
        <v>2928</v>
      </c>
      <c r="C147" s="9" t="s">
        <v>6236</v>
      </c>
      <c r="D147" s="9" t="s">
        <v>431</v>
      </c>
      <c r="E147" s="9" t="s">
        <v>368</v>
      </c>
      <c r="F147" s="9" t="s">
        <v>436</v>
      </c>
      <c r="G147" s="9" t="s">
        <v>434</v>
      </c>
      <c r="H147" s="87" t="s">
        <v>6264</v>
      </c>
      <c r="I147" s="87" t="s">
        <v>6254</v>
      </c>
      <c r="J147" s="87" t="s">
        <v>6296</v>
      </c>
      <c r="K147" s="87" t="s">
        <v>6240</v>
      </c>
      <c r="L147" s="87" t="s">
        <v>6517</v>
      </c>
      <c r="M147" s="9" t="s">
        <v>6724</v>
      </c>
      <c r="N147" s="87" t="s">
        <v>6296</v>
      </c>
      <c r="O147" s="9" t="s">
        <v>6243</v>
      </c>
      <c r="P147" s="87" t="s">
        <v>6287</v>
      </c>
      <c r="Q147" s="87" t="s">
        <v>6254</v>
      </c>
      <c r="R147" s="87" t="s">
        <v>6645</v>
      </c>
      <c r="S147" s="87" t="s">
        <v>6287</v>
      </c>
    </row>
    <row r="148" spans="1:19" ht="15.75" customHeight="1">
      <c r="A148" s="9" t="s">
        <v>2957</v>
      </c>
      <c r="C148" s="9" t="s">
        <v>6671</v>
      </c>
      <c r="D148" s="9" t="s">
        <v>6672</v>
      </c>
      <c r="E148" s="9" t="s">
        <v>439</v>
      </c>
      <c r="F148" s="9" t="s">
        <v>436</v>
      </c>
      <c r="G148" s="9" t="s">
        <v>440</v>
      </c>
      <c r="H148" s="87" t="s">
        <v>6405</v>
      </c>
      <c r="I148" s="87" t="s">
        <v>3231</v>
      </c>
      <c r="J148" s="87" t="s">
        <v>6239</v>
      </c>
      <c r="K148" s="87" t="s">
        <v>6240</v>
      </c>
      <c r="L148" s="87" t="s">
        <v>6517</v>
      </c>
      <c r="M148" s="9" t="s">
        <v>6676</v>
      </c>
      <c r="N148" s="87" t="s">
        <v>6239</v>
      </c>
      <c r="O148" s="9" t="s">
        <v>6243</v>
      </c>
      <c r="P148" s="87" t="s">
        <v>3764</v>
      </c>
      <c r="Q148" s="87" t="s">
        <v>3231</v>
      </c>
      <c r="R148" s="87" t="s">
        <v>6645</v>
      </c>
      <c r="S148" s="87" t="s">
        <v>6327</v>
      </c>
    </row>
    <row r="149" spans="1:19" ht="15.75" customHeight="1">
      <c r="A149" s="9" t="s">
        <v>3020</v>
      </c>
      <c r="C149" s="9" t="s">
        <v>6236</v>
      </c>
      <c r="D149" s="9" t="s">
        <v>431</v>
      </c>
      <c r="E149" s="9" t="s">
        <v>368</v>
      </c>
      <c r="F149" s="9" t="s">
        <v>436</v>
      </c>
      <c r="G149" s="9" t="s">
        <v>434</v>
      </c>
      <c r="H149" s="87" t="s">
        <v>6264</v>
      </c>
      <c r="I149" s="87" t="s">
        <v>6326</v>
      </c>
      <c r="J149" s="87" t="s">
        <v>6414</v>
      </c>
      <c r="K149" s="87" t="s">
        <v>6240</v>
      </c>
      <c r="L149" s="87" t="s">
        <v>6517</v>
      </c>
      <c r="M149" s="9" t="s">
        <v>6788</v>
      </c>
      <c r="N149" s="87" t="s">
        <v>6414</v>
      </c>
      <c r="O149" s="9" t="s">
        <v>6243</v>
      </c>
      <c r="P149" s="87" t="s">
        <v>6416</v>
      </c>
      <c r="Q149" s="87" t="s">
        <v>6326</v>
      </c>
      <c r="R149" s="87" t="s">
        <v>6570</v>
      </c>
      <c r="S149" s="87" t="s">
        <v>6327</v>
      </c>
    </row>
    <row r="150" spans="1:19" ht="15.75" customHeight="1">
      <c r="A150" s="9" t="s">
        <v>3031</v>
      </c>
      <c r="C150" s="9" t="s">
        <v>6236</v>
      </c>
      <c r="D150" s="9" t="s">
        <v>431</v>
      </c>
      <c r="E150" s="9" t="s">
        <v>368</v>
      </c>
      <c r="F150" s="9" t="s">
        <v>436</v>
      </c>
      <c r="G150" s="9" t="s">
        <v>434</v>
      </c>
      <c r="H150" s="87" t="s">
        <v>6237</v>
      </c>
      <c r="I150" s="87" t="s">
        <v>6293</v>
      </c>
      <c r="J150" s="87" t="s">
        <v>6293</v>
      </c>
      <c r="K150" s="87" t="s">
        <v>6240</v>
      </c>
      <c r="L150" s="87" t="s">
        <v>6517</v>
      </c>
      <c r="M150" s="9" t="s">
        <v>6800</v>
      </c>
      <c r="N150" s="87" t="s">
        <v>6293</v>
      </c>
      <c r="O150" s="9" t="s">
        <v>6243</v>
      </c>
      <c r="P150" s="87" t="s">
        <v>4828</v>
      </c>
      <c r="Q150" s="87" t="s">
        <v>6293</v>
      </c>
      <c r="R150" s="87" t="s">
        <v>6256</v>
      </c>
      <c r="S150" s="87" t="s">
        <v>6299</v>
      </c>
    </row>
    <row r="151" spans="1:19" ht="15.75" customHeight="1">
      <c r="A151" s="9" t="s">
        <v>2825</v>
      </c>
      <c r="C151" s="9" t="s">
        <v>6236</v>
      </c>
      <c r="D151" s="9" t="s">
        <v>431</v>
      </c>
      <c r="E151" s="9" t="s">
        <v>368</v>
      </c>
      <c r="F151" s="9" t="s">
        <v>436</v>
      </c>
      <c r="G151" s="9" t="s">
        <v>434</v>
      </c>
      <c r="H151" s="87" t="s">
        <v>6405</v>
      </c>
      <c r="I151" s="87" t="s">
        <v>6435</v>
      </c>
      <c r="J151" s="87" t="s">
        <v>6435</v>
      </c>
      <c r="K151" s="87" t="s">
        <v>6240</v>
      </c>
      <c r="L151" s="87" t="s">
        <v>6517</v>
      </c>
      <c r="M151" s="9" t="s">
        <v>6801</v>
      </c>
      <c r="N151" s="87" t="s">
        <v>6435</v>
      </c>
      <c r="O151" s="9" t="s">
        <v>6243</v>
      </c>
      <c r="P151" s="87" t="s">
        <v>6250</v>
      </c>
      <c r="Q151" s="87" t="s">
        <v>6435</v>
      </c>
      <c r="R151" s="87" t="s">
        <v>6535</v>
      </c>
      <c r="S151" s="87" t="s">
        <v>6280</v>
      </c>
    </row>
    <row r="152" spans="1:19" ht="15.75" customHeight="1">
      <c r="A152" s="9" t="s">
        <v>2847</v>
      </c>
      <c r="C152" s="9" t="s">
        <v>6236</v>
      </c>
      <c r="D152" s="9" t="s">
        <v>431</v>
      </c>
      <c r="E152" s="9" t="s">
        <v>368</v>
      </c>
      <c r="F152" s="9" t="s">
        <v>436</v>
      </c>
      <c r="G152" s="9" t="s">
        <v>434</v>
      </c>
      <c r="H152" s="87" t="s">
        <v>6334</v>
      </c>
      <c r="I152" s="87" t="s">
        <v>6580</v>
      </c>
      <c r="J152" s="87" t="s">
        <v>6555</v>
      </c>
      <c r="K152" s="87" t="s">
        <v>6240</v>
      </c>
      <c r="L152" s="87" t="s">
        <v>6597</v>
      </c>
      <c r="M152" s="9" t="s">
        <v>6784</v>
      </c>
      <c r="N152" s="87" t="s">
        <v>6555</v>
      </c>
      <c r="O152" s="9" t="s">
        <v>6243</v>
      </c>
      <c r="P152" s="87" t="s">
        <v>6640</v>
      </c>
      <c r="Q152" s="87" t="s">
        <v>6580</v>
      </c>
      <c r="R152" s="87" t="s">
        <v>6645</v>
      </c>
      <c r="S152" s="87" t="s">
        <v>6254</v>
      </c>
    </row>
    <row r="153" spans="1:19" ht="15.75" customHeight="1">
      <c r="A153" s="9" t="s">
        <v>2902</v>
      </c>
      <c r="C153" s="9" t="s">
        <v>6236</v>
      </c>
      <c r="D153" s="9" t="s">
        <v>431</v>
      </c>
      <c r="E153" s="9" t="s">
        <v>368</v>
      </c>
      <c r="F153" s="9" t="s">
        <v>436</v>
      </c>
      <c r="G153" s="9" t="s">
        <v>434</v>
      </c>
      <c r="H153" s="87" t="s">
        <v>6264</v>
      </c>
      <c r="I153" s="87" t="s">
        <v>6239</v>
      </c>
      <c r="J153" s="87" t="s">
        <v>6411</v>
      </c>
      <c r="K153" s="87" t="s">
        <v>6240</v>
      </c>
      <c r="L153" s="87" t="s">
        <v>6597</v>
      </c>
      <c r="M153" s="9" t="s">
        <v>6785</v>
      </c>
      <c r="N153" s="87" t="s">
        <v>6411</v>
      </c>
      <c r="O153" s="9" t="s">
        <v>6243</v>
      </c>
      <c r="P153" s="87" t="s">
        <v>6321</v>
      </c>
      <c r="Q153" s="87" t="s">
        <v>6239</v>
      </c>
      <c r="R153" s="87" t="s">
        <v>6323</v>
      </c>
      <c r="S153" s="87" t="s">
        <v>6327</v>
      </c>
    </row>
    <row r="154" spans="1:19" ht="15.75" customHeight="1">
      <c r="A154" s="9" t="s">
        <v>2928</v>
      </c>
      <c r="C154" s="9" t="s">
        <v>6236</v>
      </c>
      <c r="D154" s="9" t="s">
        <v>431</v>
      </c>
      <c r="E154" s="9" t="s">
        <v>368</v>
      </c>
      <c r="F154" s="9" t="s">
        <v>436</v>
      </c>
      <c r="G154" s="9" t="s">
        <v>434</v>
      </c>
      <c r="H154" s="87" t="s">
        <v>6264</v>
      </c>
      <c r="I154" s="87" t="s">
        <v>6254</v>
      </c>
      <c r="J154" s="87" t="s">
        <v>6414</v>
      </c>
      <c r="K154" s="87" t="s">
        <v>6240</v>
      </c>
      <c r="L154" s="87" t="s">
        <v>6513</v>
      </c>
      <c r="M154" s="9" t="s">
        <v>6788</v>
      </c>
      <c r="N154" s="87" t="s">
        <v>6414</v>
      </c>
      <c r="O154" s="9" t="s">
        <v>6243</v>
      </c>
      <c r="P154" s="87" t="s">
        <v>6416</v>
      </c>
      <c r="Q154" s="87" t="s">
        <v>6254</v>
      </c>
      <c r="R154" s="87" t="s">
        <v>6570</v>
      </c>
      <c r="S154" s="87" t="s">
        <v>6327</v>
      </c>
    </row>
    <row r="155" spans="1:19" ht="15.75" customHeight="1">
      <c r="A155" s="9" t="s">
        <v>2983</v>
      </c>
      <c r="C155" s="9" t="s">
        <v>6236</v>
      </c>
      <c r="D155" s="9" t="s">
        <v>431</v>
      </c>
      <c r="E155" s="9" t="s">
        <v>368</v>
      </c>
      <c r="F155" s="9" t="s">
        <v>436</v>
      </c>
      <c r="G155" s="9" t="s">
        <v>434</v>
      </c>
      <c r="H155" s="87" t="s">
        <v>6237</v>
      </c>
      <c r="I155" s="87" t="s">
        <v>6515</v>
      </c>
      <c r="J155" s="87" t="s">
        <v>6314</v>
      </c>
      <c r="K155" s="87" t="s">
        <v>6240</v>
      </c>
      <c r="L155" s="87" t="s">
        <v>6513</v>
      </c>
      <c r="M155" s="9" t="s">
        <v>6789</v>
      </c>
      <c r="N155" s="87" t="s">
        <v>6314</v>
      </c>
      <c r="O155" s="9" t="s">
        <v>6243</v>
      </c>
      <c r="P155" s="87" t="s">
        <v>6748</v>
      </c>
      <c r="Q155" s="87" t="s">
        <v>6515</v>
      </c>
      <c r="R155" s="87" t="s">
        <v>6645</v>
      </c>
      <c r="S155" s="87" t="s">
        <v>6280</v>
      </c>
    </row>
    <row r="156" spans="1:19" ht="15.75" customHeight="1">
      <c r="A156" s="9" t="s">
        <v>2957</v>
      </c>
      <c r="C156" s="9" t="s">
        <v>6671</v>
      </c>
      <c r="D156" s="9" t="s">
        <v>6672</v>
      </c>
      <c r="E156" s="9" t="s">
        <v>439</v>
      </c>
      <c r="F156" s="9" t="s">
        <v>436</v>
      </c>
      <c r="G156" s="9" t="s">
        <v>440</v>
      </c>
      <c r="H156" s="87" t="s">
        <v>6405</v>
      </c>
      <c r="I156" s="87" t="s">
        <v>3231</v>
      </c>
      <c r="J156" s="87" t="s">
        <v>6528</v>
      </c>
      <c r="K156" s="87" t="s">
        <v>6240</v>
      </c>
      <c r="L156" s="87" t="s">
        <v>6513</v>
      </c>
      <c r="M156" s="9" t="s">
        <v>6728</v>
      </c>
      <c r="N156" s="87" t="s">
        <v>6528</v>
      </c>
      <c r="O156" s="9" t="s">
        <v>6243</v>
      </c>
      <c r="P156" s="87" t="s">
        <v>6474</v>
      </c>
      <c r="Q156" s="87" t="s">
        <v>3231</v>
      </c>
      <c r="R156" s="87" t="s">
        <v>6295</v>
      </c>
      <c r="S156" s="87" t="s">
        <v>6327</v>
      </c>
    </row>
    <row r="157" spans="1:19" ht="15.75" customHeight="1">
      <c r="A157" s="9" t="s">
        <v>2834</v>
      </c>
      <c r="C157" s="9" t="s">
        <v>6671</v>
      </c>
      <c r="D157" s="9" t="s">
        <v>6672</v>
      </c>
      <c r="E157" s="9" t="s">
        <v>439</v>
      </c>
      <c r="F157" s="9" t="s">
        <v>436</v>
      </c>
      <c r="G157" s="9" t="s">
        <v>440</v>
      </c>
      <c r="H157" s="87" t="s">
        <v>6405</v>
      </c>
      <c r="I157" s="87" t="s">
        <v>6642</v>
      </c>
      <c r="J157" s="87" t="s">
        <v>6642</v>
      </c>
      <c r="K157" s="87" t="s">
        <v>6240</v>
      </c>
      <c r="L157" s="87" t="s">
        <v>6513</v>
      </c>
      <c r="M157" s="9" t="s">
        <v>6802</v>
      </c>
      <c r="N157" s="87" t="s">
        <v>6642</v>
      </c>
      <c r="O157" s="9" t="s">
        <v>6243</v>
      </c>
      <c r="P157" s="87" t="s">
        <v>6445</v>
      </c>
      <c r="Q157" s="87" t="s">
        <v>6642</v>
      </c>
      <c r="R157" s="87" t="s">
        <v>6484</v>
      </c>
      <c r="S157" s="87" t="s">
        <v>6329</v>
      </c>
    </row>
    <row r="158" spans="1:19" ht="15.75" customHeight="1">
      <c r="A158" s="9" t="s">
        <v>2995</v>
      </c>
      <c r="C158" s="9" t="s">
        <v>6671</v>
      </c>
      <c r="D158" s="9" t="s">
        <v>6672</v>
      </c>
      <c r="E158" s="9" t="s">
        <v>439</v>
      </c>
      <c r="F158" s="9" t="s">
        <v>436</v>
      </c>
      <c r="G158" s="9" t="s">
        <v>440</v>
      </c>
      <c r="H158" s="87" t="s">
        <v>6405</v>
      </c>
      <c r="I158" s="87" t="s">
        <v>6455</v>
      </c>
      <c r="J158" s="87" t="s">
        <v>6455</v>
      </c>
      <c r="K158" s="87" t="s">
        <v>6240</v>
      </c>
      <c r="L158" s="87" t="s">
        <v>6513</v>
      </c>
      <c r="M158" s="9" t="s">
        <v>6803</v>
      </c>
      <c r="N158" s="87" t="s">
        <v>6455</v>
      </c>
      <c r="O158" s="9" t="s">
        <v>6243</v>
      </c>
      <c r="P158" s="87" t="s">
        <v>6627</v>
      </c>
      <c r="Q158" s="87" t="s">
        <v>6455</v>
      </c>
      <c r="R158" s="87" t="s">
        <v>6239</v>
      </c>
      <c r="S158" s="87" t="s">
        <v>6413</v>
      </c>
    </row>
    <row r="159" spans="1:19" ht="15.75" customHeight="1">
      <c r="A159" s="9" t="s">
        <v>2940</v>
      </c>
      <c r="C159" s="9" t="s">
        <v>6671</v>
      </c>
      <c r="D159" s="9" t="s">
        <v>6672</v>
      </c>
      <c r="E159" s="9" t="s">
        <v>439</v>
      </c>
      <c r="F159" s="9" t="s">
        <v>436</v>
      </c>
      <c r="G159" s="9" t="s">
        <v>440</v>
      </c>
      <c r="H159" s="87" t="s">
        <v>6405</v>
      </c>
      <c r="I159" s="87" t="s">
        <v>6573</v>
      </c>
      <c r="J159" s="87" t="s">
        <v>6435</v>
      </c>
      <c r="K159" s="87" t="s">
        <v>6240</v>
      </c>
      <c r="L159" s="87" t="s">
        <v>6513</v>
      </c>
      <c r="M159" s="9" t="s">
        <v>6756</v>
      </c>
      <c r="N159" s="87" t="s">
        <v>6435</v>
      </c>
      <c r="O159" s="9" t="s">
        <v>6243</v>
      </c>
      <c r="P159" s="87" t="s">
        <v>6250</v>
      </c>
      <c r="Q159" s="87" t="s">
        <v>6573</v>
      </c>
      <c r="R159" s="87" t="s">
        <v>6645</v>
      </c>
      <c r="S159" s="87" t="s">
        <v>6733</v>
      </c>
    </row>
    <row r="160" spans="1:19" ht="15.75" customHeight="1">
      <c r="A160" s="9" t="s">
        <v>2983</v>
      </c>
      <c r="C160" s="9" t="s">
        <v>6236</v>
      </c>
      <c r="D160" s="9" t="s">
        <v>431</v>
      </c>
      <c r="E160" s="9" t="s">
        <v>368</v>
      </c>
      <c r="F160" s="9" t="s">
        <v>436</v>
      </c>
      <c r="G160" s="9" t="s">
        <v>434</v>
      </c>
      <c r="H160" s="87" t="s">
        <v>6237</v>
      </c>
      <c r="I160" s="87" t="s">
        <v>6515</v>
      </c>
      <c r="J160" s="87" t="s">
        <v>6333</v>
      </c>
      <c r="K160" s="87" t="s">
        <v>6240</v>
      </c>
      <c r="L160" s="87" t="s">
        <v>6511</v>
      </c>
      <c r="M160" s="9" t="s">
        <v>6804</v>
      </c>
      <c r="N160" s="87" t="s">
        <v>6333</v>
      </c>
      <c r="O160" s="9" t="s">
        <v>6243</v>
      </c>
      <c r="P160" s="87" t="s">
        <v>6575</v>
      </c>
      <c r="Q160" s="87" t="s">
        <v>6515</v>
      </c>
      <c r="R160" s="87" t="s">
        <v>6314</v>
      </c>
      <c r="S160" s="87" t="s">
        <v>6327</v>
      </c>
    </row>
    <row r="161" spans="1:19" ht="15.75" customHeight="1">
      <c r="A161" s="9" t="s">
        <v>2896</v>
      </c>
      <c r="C161" s="9" t="s">
        <v>6236</v>
      </c>
      <c r="D161" s="9" t="s">
        <v>431</v>
      </c>
      <c r="E161" s="9" t="s">
        <v>368</v>
      </c>
      <c r="F161" s="9" t="s">
        <v>436</v>
      </c>
      <c r="G161" s="9" t="s">
        <v>434</v>
      </c>
      <c r="H161" s="87" t="s">
        <v>6237</v>
      </c>
      <c r="I161" s="87" t="s">
        <v>6433</v>
      </c>
      <c r="J161" s="87" t="s">
        <v>6433</v>
      </c>
      <c r="K161" s="87" t="s">
        <v>6240</v>
      </c>
      <c r="L161" s="87" t="s">
        <v>6511</v>
      </c>
      <c r="M161" s="9" t="s">
        <v>6805</v>
      </c>
      <c r="N161" s="87" t="s">
        <v>6433</v>
      </c>
      <c r="O161" s="9" t="s">
        <v>6243</v>
      </c>
      <c r="P161" s="87" t="s">
        <v>6305</v>
      </c>
      <c r="Q161" s="87" t="s">
        <v>6433</v>
      </c>
      <c r="R161" s="87" t="s">
        <v>6395</v>
      </c>
      <c r="S161" s="87" t="s">
        <v>6316</v>
      </c>
    </row>
    <row r="162" spans="1:19" ht="15.75" customHeight="1">
      <c r="A162" s="9" t="s">
        <v>2957</v>
      </c>
      <c r="C162" s="9" t="s">
        <v>6236</v>
      </c>
      <c r="D162" s="9" t="s">
        <v>431</v>
      </c>
      <c r="E162" s="9" t="s">
        <v>368</v>
      </c>
      <c r="F162" s="9" t="s">
        <v>436</v>
      </c>
      <c r="G162" s="9" t="s">
        <v>434</v>
      </c>
      <c r="H162" s="87" t="s">
        <v>6237</v>
      </c>
      <c r="I162" s="87" t="s">
        <v>6306</v>
      </c>
      <c r="J162" s="87" t="s">
        <v>6461</v>
      </c>
      <c r="K162" s="87" t="s">
        <v>6240</v>
      </c>
      <c r="L162" s="87" t="s">
        <v>6511</v>
      </c>
      <c r="M162" s="9" t="s">
        <v>6806</v>
      </c>
      <c r="N162" s="87" t="s">
        <v>6461</v>
      </c>
      <c r="O162" s="9" t="s">
        <v>6243</v>
      </c>
      <c r="P162" s="87" t="s">
        <v>6255</v>
      </c>
      <c r="Q162" s="87" t="s">
        <v>6306</v>
      </c>
      <c r="R162" s="87" t="s">
        <v>6645</v>
      </c>
      <c r="S162" s="87" t="s">
        <v>6419</v>
      </c>
    </row>
    <row r="163" spans="1:19" ht="15.75" customHeight="1">
      <c r="A163" s="9" t="s">
        <v>2940</v>
      </c>
      <c r="C163" s="9" t="s">
        <v>6671</v>
      </c>
      <c r="D163" s="9" t="s">
        <v>6672</v>
      </c>
      <c r="E163" s="9" t="s">
        <v>439</v>
      </c>
      <c r="F163" s="9" t="s">
        <v>436</v>
      </c>
      <c r="G163" s="9" t="s">
        <v>440</v>
      </c>
      <c r="H163" s="87" t="s">
        <v>6405</v>
      </c>
      <c r="I163" s="87" t="s">
        <v>6573</v>
      </c>
      <c r="J163" s="87" t="s">
        <v>6239</v>
      </c>
      <c r="K163" s="87" t="s">
        <v>6240</v>
      </c>
      <c r="L163" s="87" t="s">
        <v>6511</v>
      </c>
      <c r="M163" s="9" t="s">
        <v>6676</v>
      </c>
      <c r="N163" s="87" t="s">
        <v>6239</v>
      </c>
      <c r="O163" s="9" t="s">
        <v>6243</v>
      </c>
      <c r="P163" s="87" t="s">
        <v>3764</v>
      </c>
      <c r="Q163" s="87" t="s">
        <v>6573</v>
      </c>
      <c r="R163" s="87" t="s">
        <v>6645</v>
      </c>
      <c r="S163" s="87" t="s">
        <v>6327</v>
      </c>
    </row>
    <row r="164" spans="1:19" ht="15.75" customHeight="1">
      <c r="A164" s="9" t="s">
        <v>2847</v>
      </c>
      <c r="C164" s="9" t="s">
        <v>6236</v>
      </c>
      <c r="D164" s="9" t="s">
        <v>431</v>
      </c>
      <c r="E164" s="9" t="s">
        <v>368</v>
      </c>
      <c r="F164" s="9" t="s">
        <v>436</v>
      </c>
      <c r="G164" s="9" t="s">
        <v>434</v>
      </c>
      <c r="H164" s="87" t="s">
        <v>6334</v>
      </c>
      <c r="I164" s="87" t="s">
        <v>6580</v>
      </c>
      <c r="J164" s="87" t="s">
        <v>6239</v>
      </c>
      <c r="K164" s="87" t="s">
        <v>6240</v>
      </c>
      <c r="L164" s="87" t="s">
        <v>6592</v>
      </c>
      <c r="M164" s="9" t="s">
        <v>6676</v>
      </c>
      <c r="N164" s="87" t="s">
        <v>6239</v>
      </c>
      <c r="O164" s="9" t="s">
        <v>6243</v>
      </c>
      <c r="P164" s="87" t="s">
        <v>3764</v>
      </c>
      <c r="Q164" s="87" t="s">
        <v>6580</v>
      </c>
      <c r="R164" s="87" t="s">
        <v>6645</v>
      </c>
      <c r="S164" s="87" t="s">
        <v>6327</v>
      </c>
    </row>
    <row r="165" spans="1:19" ht="15.75" customHeight="1">
      <c r="A165" s="9" t="s">
        <v>2847</v>
      </c>
      <c r="C165" s="9" t="s">
        <v>6236</v>
      </c>
      <c r="D165" s="9" t="s">
        <v>431</v>
      </c>
      <c r="E165" s="9" t="s">
        <v>368</v>
      </c>
      <c r="F165" s="9" t="s">
        <v>436</v>
      </c>
      <c r="G165" s="9" t="s">
        <v>434</v>
      </c>
      <c r="H165" s="87" t="s">
        <v>6334</v>
      </c>
      <c r="I165" s="87" t="s">
        <v>6580</v>
      </c>
      <c r="J165" s="87" t="s">
        <v>6239</v>
      </c>
      <c r="K165" s="87" t="s">
        <v>6240</v>
      </c>
      <c r="L165" s="87" t="s">
        <v>6591</v>
      </c>
      <c r="M165" s="9" t="s">
        <v>6676</v>
      </c>
      <c r="N165" s="87" t="s">
        <v>6239</v>
      </c>
      <c r="O165" s="9" t="s">
        <v>6243</v>
      </c>
      <c r="P165" s="87" t="s">
        <v>3764</v>
      </c>
      <c r="Q165" s="87" t="s">
        <v>6580</v>
      </c>
      <c r="R165" s="87" t="s">
        <v>6645</v>
      </c>
      <c r="S165" s="87" t="s">
        <v>6327</v>
      </c>
    </row>
    <row r="166" spans="1:19" ht="15.75" customHeight="1">
      <c r="A166" s="9" t="s">
        <v>2894</v>
      </c>
      <c r="C166" s="9" t="s">
        <v>6671</v>
      </c>
      <c r="D166" s="9" t="s">
        <v>6672</v>
      </c>
      <c r="E166" s="9" t="s">
        <v>439</v>
      </c>
      <c r="F166" s="9" t="s">
        <v>436</v>
      </c>
      <c r="G166" s="9" t="s">
        <v>440</v>
      </c>
      <c r="H166" s="87" t="s">
        <v>6405</v>
      </c>
      <c r="I166" s="87" t="s">
        <v>6306</v>
      </c>
      <c r="J166" s="87" t="s">
        <v>6414</v>
      </c>
      <c r="K166" s="87" t="s">
        <v>6240</v>
      </c>
      <c r="L166" s="87" t="s">
        <v>6591</v>
      </c>
      <c r="M166" s="9" t="s">
        <v>6750</v>
      </c>
      <c r="N166" s="87" t="s">
        <v>6414</v>
      </c>
      <c r="O166" s="9" t="s">
        <v>6243</v>
      </c>
      <c r="P166" s="87" t="s">
        <v>6416</v>
      </c>
      <c r="Q166" s="87" t="s">
        <v>6306</v>
      </c>
      <c r="R166" s="87" t="s">
        <v>6645</v>
      </c>
      <c r="S166" s="87" t="s">
        <v>6284</v>
      </c>
    </row>
    <row r="167" spans="1:19" ht="15.75" customHeight="1">
      <c r="A167" s="9" t="s">
        <v>2847</v>
      </c>
      <c r="C167" s="9" t="s">
        <v>6236</v>
      </c>
      <c r="D167" s="9" t="s">
        <v>431</v>
      </c>
      <c r="E167" s="9" t="s">
        <v>368</v>
      </c>
      <c r="F167" s="9" t="s">
        <v>436</v>
      </c>
      <c r="G167" s="9" t="s">
        <v>434</v>
      </c>
      <c r="H167" s="87" t="s">
        <v>6334</v>
      </c>
      <c r="I167" s="87" t="s">
        <v>6580</v>
      </c>
      <c r="J167" s="87" t="s">
        <v>6401</v>
      </c>
      <c r="K167" s="87" t="s">
        <v>6240</v>
      </c>
      <c r="L167" s="87" t="s">
        <v>6590</v>
      </c>
      <c r="M167" s="9" t="s">
        <v>6807</v>
      </c>
      <c r="N167" s="87" t="s">
        <v>6401</v>
      </c>
      <c r="O167" s="9" t="s">
        <v>6243</v>
      </c>
      <c r="P167" s="87" t="s">
        <v>6403</v>
      </c>
      <c r="Q167" s="87" t="s">
        <v>6580</v>
      </c>
      <c r="R167" s="87" t="s">
        <v>6619</v>
      </c>
      <c r="S167" s="87" t="s">
        <v>6327</v>
      </c>
    </row>
    <row r="168" spans="1:19" ht="15.75" customHeight="1">
      <c r="A168" s="9" t="s">
        <v>2911</v>
      </c>
      <c r="C168" s="9" t="s">
        <v>6671</v>
      </c>
      <c r="D168" s="9" t="s">
        <v>6672</v>
      </c>
      <c r="E168" s="9" t="s">
        <v>439</v>
      </c>
      <c r="F168" s="9" t="s">
        <v>436</v>
      </c>
      <c r="G168" s="9" t="s">
        <v>440</v>
      </c>
      <c r="H168" s="87" t="s">
        <v>6405</v>
      </c>
      <c r="I168" s="87" t="s">
        <v>6341</v>
      </c>
      <c r="J168" s="87" t="s">
        <v>6642</v>
      </c>
      <c r="K168" s="87" t="s">
        <v>6240</v>
      </c>
      <c r="L168" s="87" t="s">
        <v>6590</v>
      </c>
      <c r="M168" s="9" t="s">
        <v>6695</v>
      </c>
      <c r="N168" s="87" t="s">
        <v>6642</v>
      </c>
      <c r="O168" s="9" t="s">
        <v>6243</v>
      </c>
      <c r="P168" s="87" t="s">
        <v>6445</v>
      </c>
      <c r="Q168" s="87" t="s">
        <v>6341</v>
      </c>
      <c r="R168" s="87" t="s">
        <v>6645</v>
      </c>
      <c r="S168" s="87" t="s">
        <v>6341</v>
      </c>
    </row>
    <row r="169" spans="1:19" ht="15.75" customHeight="1">
      <c r="A169" s="9" t="s">
        <v>2894</v>
      </c>
      <c r="C169" s="9" t="s">
        <v>6671</v>
      </c>
      <c r="D169" s="9" t="s">
        <v>6672</v>
      </c>
      <c r="E169" s="9" t="s">
        <v>439</v>
      </c>
      <c r="F169" s="9" t="s">
        <v>436</v>
      </c>
      <c r="G169" s="9" t="s">
        <v>440</v>
      </c>
      <c r="H169" s="87" t="s">
        <v>6405</v>
      </c>
      <c r="I169" s="87" t="s">
        <v>6306</v>
      </c>
      <c r="J169" s="87" t="s">
        <v>6497</v>
      </c>
      <c r="K169" s="87" t="s">
        <v>6240</v>
      </c>
      <c r="L169" s="87" t="s">
        <v>6590</v>
      </c>
      <c r="M169" s="9" t="s">
        <v>6808</v>
      </c>
      <c r="N169" s="87" t="s">
        <v>6497</v>
      </c>
      <c r="O169" s="9" t="s">
        <v>6243</v>
      </c>
      <c r="P169" s="87" t="s">
        <v>6714</v>
      </c>
      <c r="Q169" s="87" t="s">
        <v>6306</v>
      </c>
      <c r="R169" s="87" t="s">
        <v>6271</v>
      </c>
      <c r="S169" s="87" t="s">
        <v>6327</v>
      </c>
    </row>
    <row r="170" spans="1:19" ht="15.75" customHeight="1">
      <c r="A170" s="9" t="s">
        <v>2999</v>
      </c>
      <c r="C170" s="9" t="s">
        <v>6236</v>
      </c>
      <c r="D170" s="9" t="s">
        <v>431</v>
      </c>
      <c r="E170" s="9" t="s">
        <v>368</v>
      </c>
      <c r="F170" s="9" t="s">
        <v>436</v>
      </c>
      <c r="G170" s="9" t="s">
        <v>434</v>
      </c>
      <c r="H170" s="87" t="s">
        <v>6237</v>
      </c>
      <c r="I170" s="87" t="s">
        <v>6238</v>
      </c>
      <c r="J170" s="87" t="s">
        <v>6329</v>
      </c>
      <c r="K170" s="87" t="s">
        <v>6240</v>
      </c>
      <c r="L170" s="87" t="s">
        <v>6590</v>
      </c>
      <c r="M170" s="9" t="s">
        <v>6746</v>
      </c>
      <c r="N170" s="87" t="s">
        <v>6329</v>
      </c>
      <c r="O170" s="9" t="s">
        <v>6243</v>
      </c>
      <c r="P170" s="87" t="s">
        <v>6448</v>
      </c>
      <c r="Q170" s="87" t="s">
        <v>6238</v>
      </c>
      <c r="R170" s="87" t="s">
        <v>6645</v>
      </c>
      <c r="S170" s="87" t="s">
        <v>6357</v>
      </c>
    </row>
    <row r="171" spans="1:19" ht="15.75" customHeight="1">
      <c r="A171" s="9" t="s">
        <v>2911</v>
      </c>
      <c r="C171" s="9" t="s">
        <v>6671</v>
      </c>
      <c r="D171" s="9" t="s">
        <v>6672</v>
      </c>
      <c r="E171" s="9" t="s">
        <v>439</v>
      </c>
      <c r="F171" s="9" t="s">
        <v>436</v>
      </c>
      <c r="G171" s="9" t="s">
        <v>440</v>
      </c>
      <c r="H171" s="87" t="s">
        <v>6405</v>
      </c>
      <c r="I171" s="87" t="s">
        <v>6341</v>
      </c>
      <c r="J171" s="87" t="s">
        <v>6342</v>
      </c>
      <c r="K171" s="87" t="s">
        <v>6240</v>
      </c>
      <c r="L171" s="87" t="s">
        <v>6585</v>
      </c>
      <c r="M171" s="9" t="s">
        <v>6809</v>
      </c>
      <c r="N171" s="87" t="s">
        <v>6342</v>
      </c>
      <c r="O171" s="9" t="s">
        <v>6243</v>
      </c>
      <c r="P171" s="87" t="s">
        <v>6345</v>
      </c>
      <c r="Q171" s="87" t="s">
        <v>6341</v>
      </c>
      <c r="R171" s="87" t="s">
        <v>6267</v>
      </c>
      <c r="S171" s="87" t="s">
        <v>6327</v>
      </c>
    </row>
    <row r="172" spans="1:19" ht="15.75" customHeight="1">
      <c r="A172" s="9" t="s">
        <v>2894</v>
      </c>
      <c r="C172" s="9" t="s">
        <v>6236</v>
      </c>
      <c r="D172" s="9" t="s">
        <v>431</v>
      </c>
      <c r="E172" s="9" t="s">
        <v>368</v>
      </c>
      <c r="F172" s="9" t="s">
        <v>436</v>
      </c>
      <c r="G172" s="9" t="s">
        <v>434</v>
      </c>
      <c r="H172" s="87" t="s">
        <v>6237</v>
      </c>
      <c r="I172" s="87" t="s">
        <v>6479</v>
      </c>
      <c r="J172" s="87" t="s">
        <v>6810</v>
      </c>
      <c r="K172" s="87" t="s">
        <v>6240</v>
      </c>
      <c r="L172" s="87" t="s">
        <v>6585</v>
      </c>
      <c r="M172" s="9" t="s">
        <v>6811</v>
      </c>
      <c r="N172" s="87" t="s">
        <v>6810</v>
      </c>
      <c r="O172" s="9" t="s">
        <v>6243</v>
      </c>
      <c r="P172" s="87" t="s">
        <v>6484</v>
      </c>
      <c r="Q172" s="87" t="s">
        <v>6479</v>
      </c>
      <c r="R172" s="87" t="s">
        <v>6645</v>
      </c>
      <c r="S172" s="87" t="s">
        <v>6443</v>
      </c>
    </row>
    <row r="173" spans="1:19" ht="15.75" customHeight="1">
      <c r="A173" s="9" t="s">
        <v>3011</v>
      </c>
      <c r="C173" s="9" t="s">
        <v>6671</v>
      </c>
      <c r="D173" s="9" t="s">
        <v>6672</v>
      </c>
      <c r="E173" s="9" t="s">
        <v>439</v>
      </c>
      <c r="F173" s="9" t="s">
        <v>436</v>
      </c>
      <c r="G173" s="9" t="s">
        <v>440</v>
      </c>
      <c r="H173" s="87" t="s">
        <v>6405</v>
      </c>
      <c r="I173" s="87" t="s">
        <v>6305</v>
      </c>
      <c r="J173" s="87" t="s">
        <v>6348</v>
      </c>
      <c r="K173" s="87" t="s">
        <v>6240</v>
      </c>
      <c r="L173" s="87" t="s">
        <v>6585</v>
      </c>
      <c r="M173" s="9" t="s">
        <v>6812</v>
      </c>
      <c r="N173" s="87" t="s">
        <v>6348</v>
      </c>
      <c r="O173" s="9" t="s">
        <v>6243</v>
      </c>
      <c r="P173" s="87" t="s">
        <v>5381</v>
      </c>
      <c r="Q173" s="87" t="s">
        <v>6305</v>
      </c>
      <c r="R173" s="87" t="s">
        <v>6645</v>
      </c>
      <c r="S173" s="87" t="s">
        <v>6271</v>
      </c>
    </row>
    <row r="174" spans="1:19" ht="15.75" customHeight="1">
      <c r="A174" s="9" t="s">
        <v>2999</v>
      </c>
      <c r="C174" s="9" t="s">
        <v>6236</v>
      </c>
      <c r="D174" s="9" t="s">
        <v>431</v>
      </c>
      <c r="E174" s="9" t="s">
        <v>368</v>
      </c>
      <c r="F174" s="9" t="s">
        <v>436</v>
      </c>
      <c r="G174" s="9" t="s">
        <v>434</v>
      </c>
      <c r="H174" s="87" t="s">
        <v>6237</v>
      </c>
      <c r="I174" s="87" t="s">
        <v>6238</v>
      </c>
      <c r="J174" s="87" t="s">
        <v>6367</v>
      </c>
      <c r="K174" s="87" t="s">
        <v>6240</v>
      </c>
      <c r="L174" s="87" t="s">
        <v>6585</v>
      </c>
      <c r="M174" s="9" t="s">
        <v>6813</v>
      </c>
      <c r="N174" s="87" t="s">
        <v>6367</v>
      </c>
      <c r="O174" s="9" t="s">
        <v>6243</v>
      </c>
      <c r="P174" s="87" t="s">
        <v>6814</v>
      </c>
      <c r="Q174" s="87" t="s">
        <v>6238</v>
      </c>
      <c r="R174" s="87" t="s">
        <v>6525</v>
      </c>
      <c r="S174" s="87" t="s">
        <v>6327</v>
      </c>
    </row>
    <row r="175" spans="1:19" ht="15.75" customHeight="1">
      <c r="A175" s="9" t="s">
        <v>2911</v>
      </c>
      <c r="C175" s="9" t="s">
        <v>6236</v>
      </c>
      <c r="D175" s="9" t="s">
        <v>431</v>
      </c>
      <c r="E175" s="9" t="s">
        <v>368</v>
      </c>
      <c r="F175" s="9" t="s">
        <v>436</v>
      </c>
      <c r="G175" s="9" t="s">
        <v>434</v>
      </c>
      <c r="H175" s="87" t="s">
        <v>6237</v>
      </c>
      <c r="I175" s="87" t="s">
        <v>6562</v>
      </c>
      <c r="J175" s="87" t="s">
        <v>6393</v>
      </c>
      <c r="K175" s="87" t="s">
        <v>6240</v>
      </c>
      <c r="L175" s="87" t="s">
        <v>6584</v>
      </c>
      <c r="M175" s="9" t="s">
        <v>6708</v>
      </c>
      <c r="N175" s="87" t="s">
        <v>6393</v>
      </c>
      <c r="O175" s="9" t="s">
        <v>6243</v>
      </c>
      <c r="P175" s="87" t="s">
        <v>6341</v>
      </c>
      <c r="Q175" s="87" t="s">
        <v>6562</v>
      </c>
      <c r="R175" s="87" t="s">
        <v>6645</v>
      </c>
      <c r="S175" s="87" t="s">
        <v>6256</v>
      </c>
    </row>
    <row r="176" spans="1:19" ht="15.75" customHeight="1">
      <c r="A176" s="9" t="s">
        <v>2894</v>
      </c>
      <c r="C176" s="9" t="s">
        <v>6236</v>
      </c>
      <c r="D176" s="9" t="s">
        <v>431</v>
      </c>
      <c r="E176" s="9" t="s">
        <v>368</v>
      </c>
      <c r="F176" s="9" t="s">
        <v>436</v>
      </c>
      <c r="G176" s="9" t="s">
        <v>434</v>
      </c>
      <c r="H176" s="87" t="s">
        <v>6237</v>
      </c>
      <c r="I176" s="87" t="s">
        <v>6479</v>
      </c>
      <c r="J176" s="87" t="s">
        <v>6277</v>
      </c>
      <c r="K176" s="87" t="s">
        <v>6240</v>
      </c>
      <c r="L176" s="87" t="s">
        <v>6584</v>
      </c>
      <c r="M176" s="9" t="s">
        <v>6712</v>
      </c>
      <c r="N176" s="87" t="s">
        <v>6277</v>
      </c>
      <c r="O176" s="9" t="s">
        <v>6243</v>
      </c>
      <c r="P176" s="87" t="s">
        <v>6631</v>
      </c>
      <c r="Q176" s="87" t="s">
        <v>6479</v>
      </c>
      <c r="R176" s="87" t="s">
        <v>6373</v>
      </c>
      <c r="S176" s="87" t="s">
        <v>6327</v>
      </c>
    </row>
    <row r="177" spans="1:19" ht="15.75" customHeight="1">
      <c r="A177" s="9" t="s">
        <v>3011</v>
      </c>
      <c r="C177" s="9" t="s">
        <v>6671</v>
      </c>
      <c r="D177" s="9" t="s">
        <v>6672</v>
      </c>
      <c r="E177" s="9" t="s">
        <v>439</v>
      </c>
      <c r="F177" s="9" t="s">
        <v>436</v>
      </c>
      <c r="G177" s="9" t="s">
        <v>440</v>
      </c>
      <c r="H177" s="87" t="s">
        <v>6405</v>
      </c>
      <c r="I177" s="87" t="s">
        <v>6305</v>
      </c>
      <c r="J177" s="87" t="s">
        <v>6239</v>
      </c>
      <c r="K177" s="87" t="s">
        <v>6240</v>
      </c>
      <c r="L177" s="87" t="s">
        <v>6584</v>
      </c>
      <c r="M177" s="9" t="s">
        <v>6676</v>
      </c>
      <c r="N177" s="87" t="s">
        <v>6239</v>
      </c>
      <c r="O177" s="9" t="s">
        <v>6243</v>
      </c>
      <c r="P177" s="87" t="s">
        <v>3764</v>
      </c>
      <c r="Q177" s="87" t="s">
        <v>6305</v>
      </c>
      <c r="R177" s="87" t="s">
        <v>6645</v>
      </c>
      <c r="S177" s="87" t="s">
        <v>6327</v>
      </c>
    </row>
    <row r="178" spans="1:19" ht="15.75" customHeight="1">
      <c r="A178" s="9" t="s">
        <v>3006</v>
      </c>
      <c r="C178" s="9" t="s">
        <v>6236</v>
      </c>
      <c r="D178" s="9" t="s">
        <v>431</v>
      </c>
      <c r="E178" s="9" t="s">
        <v>368</v>
      </c>
      <c r="F178" s="9" t="s">
        <v>436</v>
      </c>
      <c r="G178" s="9" t="s">
        <v>434</v>
      </c>
      <c r="H178" s="87" t="s">
        <v>6237</v>
      </c>
      <c r="I178" s="87" t="s">
        <v>4014</v>
      </c>
      <c r="J178" s="87" t="s">
        <v>6239</v>
      </c>
      <c r="K178" s="87" t="s">
        <v>6240</v>
      </c>
      <c r="L178" s="87" t="s">
        <v>6475</v>
      </c>
      <c r="M178" s="9" t="s">
        <v>6676</v>
      </c>
      <c r="N178" s="87" t="s">
        <v>6239</v>
      </c>
      <c r="O178" s="9" t="s">
        <v>6243</v>
      </c>
      <c r="P178" s="87" t="s">
        <v>3764</v>
      </c>
      <c r="Q178" s="87" t="s">
        <v>4014</v>
      </c>
      <c r="R178" s="87" t="s">
        <v>6645</v>
      </c>
      <c r="S178" s="87" t="s">
        <v>6327</v>
      </c>
    </row>
    <row r="179" spans="1:19" ht="15.75" customHeight="1">
      <c r="A179" s="9" t="s">
        <v>3032</v>
      </c>
      <c r="C179" s="9" t="s">
        <v>6671</v>
      </c>
      <c r="D179" s="9" t="s">
        <v>6672</v>
      </c>
      <c r="E179" s="9" t="s">
        <v>439</v>
      </c>
      <c r="F179" s="9" t="s">
        <v>436</v>
      </c>
      <c r="G179" s="9" t="s">
        <v>440</v>
      </c>
      <c r="H179" s="87" t="s">
        <v>6405</v>
      </c>
      <c r="I179" s="87" t="s">
        <v>6815</v>
      </c>
      <c r="J179" s="87" t="s">
        <v>6239</v>
      </c>
      <c r="K179" s="87" t="s">
        <v>6240</v>
      </c>
      <c r="L179" s="87" t="s">
        <v>6475</v>
      </c>
      <c r="M179" s="9" t="s">
        <v>6676</v>
      </c>
      <c r="N179" s="87" t="s">
        <v>6239</v>
      </c>
      <c r="O179" s="9" t="s">
        <v>6243</v>
      </c>
      <c r="P179" s="87" t="s">
        <v>3764</v>
      </c>
      <c r="Q179" s="87" t="s">
        <v>6815</v>
      </c>
      <c r="R179" s="87" t="s">
        <v>6645</v>
      </c>
      <c r="S179" s="87" t="s">
        <v>6327</v>
      </c>
    </row>
    <row r="180" spans="1:19" ht="15.75" customHeight="1">
      <c r="A180" s="9" t="s">
        <v>3006</v>
      </c>
      <c r="C180" s="9" t="s">
        <v>6236</v>
      </c>
      <c r="D180" s="9" t="s">
        <v>431</v>
      </c>
      <c r="E180" s="9" t="s">
        <v>368</v>
      </c>
      <c r="F180" s="9" t="s">
        <v>436</v>
      </c>
      <c r="G180" s="9" t="s">
        <v>434</v>
      </c>
      <c r="H180" s="87" t="s">
        <v>6237</v>
      </c>
      <c r="I180" s="87" t="s">
        <v>4014</v>
      </c>
      <c r="J180" s="87" t="s">
        <v>6239</v>
      </c>
      <c r="K180" s="87" t="s">
        <v>6240</v>
      </c>
      <c r="L180" s="87" t="s">
        <v>6471</v>
      </c>
      <c r="M180" s="9" t="s">
        <v>6676</v>
      </c>
      <c r="N180" s="87" t="s">
        <v>6239</v>
      </c>
      <c r="O180" s="9" t="s">
        <v>6243</v>
      </c>
      <c r="P180" s="87" t="s">
        <v>3764</v>
      </c>
      <c r="Q180" s="87" t="s">
        <v>4014</v>
      </c>
      <c r="R180" s="87" t="s">
        <v>6645</v>
      </c>
      <c r="S180" s="87" t="s">
        <v>6327</v>
      </c>
    </row>
    <row r="181" spans="1:19" ht="15.75" customHeight="1">
      <c r="A181" s="9" t="s">
        <v>3032</v>
      </c>
      <c r="C181" s="9" t="s">
        <v>6671</v>
      </c>
      <c r="D181" s="9" t="s">
        <v>6672</v>
      </c>
      <c r="E181" s="9" t="s">
        <v>439</v>
      </c>
      <c r="F181" s="9" t="s">
        <v>436</v>
      </c>
      <c r="G181" s="9" t="s">
        <v>440</v>
      </c>
      <c r="H181" s="87" t="s">
        <v>6405</v>
      </c>
      <c r="I181" s="87" t="s">
        <v>6815</v>
      </c>
      <c r="J181" s="87" t="s">
        <v>6239</v>
      </c>
      <c r="K181" s="87" t="s">
        <v>6240</v>
      </c>
      <c r="L181" s="87" t="s">
        <v>6471</v>
      </c>
      <c r="M181" s="9" t="s">
        <v>6676</v>
      </c>
      <c r="N181" s="87" t="s">
        <v>6239</v>
      </c>
      <c r="O181" s="9" t="s">
        <v>6243</v>
      </c>
      <c r="P181" s="87" t="s">
        <v>3764</v>
      </c>
      <c r="Q181" s="87" t="s">
        <v>6815</v>
      </c>
      <c r="R181" s="87" t="s">
        <v>6645</v>
      </c>
      <c r="S181" s="87" t="s">
        <v>6327</v>
      </c>
    </row>
    <row r="182" spans="1:19" ht="15.75" customHeight="1">
      <c r="A182" s="9" t="s">
        <v>2883</v>
      </c>
      <c r="C182" s="9" t="s">
        <v>6236</v>
      </c>
      <c r="D182" s="9" t="s">
        <v>431</v>
      </c>
      <c r="E182" s="9" t="s">
        <v>368</v>
      </c>
      <c r="F182" s="9" t="s">
        <v>436</v>
      </c>
      <c r="G182" s="9" t="s">
        <v>434</v>
      </c>
      <c r="H182" s="87" t="s">
        <v>6237</v>
      </c>
      <c r="I182" s="87" t="s">
        <v>6334</v>
      </c>
      <c r="J182" s="87" t="s">
        <v>6334</v>
      </c>
      <c r="K182" s="87" t="s">
        <v>6240</v>
      </c>
      <c r="L182" s="87" t="s">
        <v>6470</v>
      </c>
      <c r="M182" s="9" t="s">
        <v>6816</v>
      </c>
      <c r="N182" s="87" t="s">
        <v>6334</v>
      </c>
      <c r="O182" s="9" t="s">
        <v>6243</v>
      </c>
      <c r="P182" s="87" t="s">
        <v>6290</v>
      </c>
      <c r="Q182" s="87" t="s">
        <v>6334</v>
      </c>
      <c r="R182" s="87" t="s">
        <v>6413</v>
      </c>
      <c r="S182" s="87" t="s">
        <v>6484</v>
      </c>
    </row>
    <row r="183" spans="1:19" ht="15.75" customHeight="1">
      <c r="A183" s="9" t="s">
        <v>3004</v>
      </c>
      <c r="C183" s="9" t="s">
        <v>6236</v>
      </c>
      <c r="D183" s="9" t="s">
        <v>431</v>
      </c>
      <c r="E183" s="9" t="s">
        <v>368</v>
      </c>
      <c r="F183" s="9" t="s">
        <v>436</v>
      </c>
      <c r="G183" s="9" t="s">
        <v>434</v>
      </c>
      <c r="H183" s="87" t="s">
        <v>6237</v>
      </c>
      <c r="I183" s="87" t="s">
        <v>6264</v>
      </c>
      <c r="J183" s="87" t="s">
        <v>6264</v>
      </c>
      <c r="K183" s="87" t="s">
        <v>6240</v>
      </c>
      <c r="L183" s="87" t="s">
        <v>6470</v>
      </c>
      <c r="M183" s="9" t="s">
        <v>6817</v>
      </c>
      <c r="N183" s="87" t="s">
        <v>6264</v>
      </c>
      <c r="O183" s="9" t="s">
        <v>6243</v>
      </c>
      <c r="P183" s="87" t="s">
        <v>6313</v>
      </c>
      <c r="Q183" s="87" t="s">
        <v>6264</v>
      </c>
      <c r="R183" s="87" t="s">
        <v>6370</v>
      </c>
      <c r="S183" s="87" t="s">
        <v>6376</v>
      </c>
    </row>
    <row r="184" spans="1:19" ht="15.75" customHeight="1">
      <c r="A184" s="9" t="s">
        <v>3006</v>
      </c>
      <c r="C184" s="9" t="s">
        <v>6236</v>
      </c>
      <c r="D184" s="9" t="s">
        <v>431</v>
      </c>
      <c r="E184" s="9" t="s">
        <v>368</v>
      </c>
      <c r="F184" s="9" t="s">
        <v>436</v>
      </c>
      <c r="G184" s="9" t="s">
        <v>434</v>
      </c>
      <c r="H184" s="87" t="s">
        <v>6237</v>
      </c>
      <c r="I184" s="87" t="s">
        <v>4014</v>
      </c>
      <c r="J184" s="87" t="s">
        <v>6329</v>
      </c>
      <c r="K184" s="87" t="s">
        <v>6240</v>
      </c>
      <c r="L184" s="87" t="s">
        <v>6470</v>
      </c>
      <c r="M184" s="9" t="s">
        <v>6818</v>
      </c>
      <c r="N184" s="87" t="s">
        <v>6329</v>
      </c>
      <c r="O184" s="9" t="s">
        <v>6243</v>
      </c>
      <c r="P184" s="87" t="s">
        <v>6448</v>
      </c>
      <c r="Q184" s="87" t="s">
        <v>4014</v>
      </c>
      <c r="R184" s="87" t="s">
        <v>6486</v>
      </c>
      <c r="S184" s="87" t="s">
        <v>6327</v>
      </c>
    </row>
    <row r="185" spans="1:19" ht="15.75" customHeight="1">
      <c r="A185" s="9" t="s">
        <v>2904</v>
      </c>
      <c r="C185" s="9" t="s">
        <v>6236</v>
      </c>
      <c r="D185" s="9" t="s">
        <v>431</v>
      </c>
      <c r="E185" s="9" t="s">
        <v>368</v>
      </c>
      <c r="F185" s="9" t="s">
        <v>436</v>
      </c>
      <c r="G185" s="9" t="s">
        <v>434</v>
      </c>
      <c r="H185" s="87" t="s">
        <v>6237</v>
      </c>
      <c r="I185" s="87" t="s">
        <v>6296</v>
      </c>
      <c r="J185" s="87" t="s">
        <v>6296</v>
      </c>
      <c r="K185" s="87" t="s">
        <v>6240</v>
      </c>
      <c r="L185" s="87" t="s">
        <v>6470</v>
      </c>
      <c r="M185" s="9" t="s">
        <v>6819</v>
      </c>
      <c r="N185" s="87" t="s">
        <v>6296</v>
      </c>
      <c r="O185" s="9" t="s">
        <v>6243</v>
      </c>
      <c r="P185" s="87" t="s">
        <v>6287</v>
      </c>
      <c r="Q185" s="87" t="s">
        <v>6296</v>
      </c>
      <c r="R185" s="87" t="s">
        <v>6326</v>
      </c>
      <c r="S185" s="87" t="s">
        <v>6293</v>
      </c>
    </row>
    <row r="186" spans="1:19" ht="15.75" customHeight="1">
      <c r="A186" s="9" t="s">
        <v>3032</v>
      </c>
      <c r="C186" s="9" t="s">
        <v>6236</v>
      </c>
      <c r="D186" s="9" t="s">
        <v>431</v>
      </c>
      <c r="E186" s="9" t="s">
        <v>368</v>
      </c>
      <c r="F186" s="9" t="s">
        <v>436</v>
      </c>
      <c r="G186" s="9" t="s">
        <v>434</v>
      </c>
      <c r="H186" s="87" t="s">
        <v>6264</v>
      </c>
      <c r="I186" s="87" t="s">
        <v>6820</v>
      </c>
      <c r="J186" s="87" t="s">
        <v>6299</v>
      </c>
      <c r="K186" s="87" t="s">
        <v>6240</v>
      </c>
      <c r="L186" s="87" t="s">
        <v>6470</v>
      </c>
      <c r="M186" s="9" t="s">
        <v>6821</v>
      </c>
      <c r="N186" s="87" t="s">
        <v>6299</v>
      </c>
      <c r="O186" s="9" t="s">
        <v>6243</v>
      </c>
      <c r="P186" s="87" t="s">
        <v>3231</v>
      </c>
      <c r="Q186" s="87" t="s">
        <v>6820</v>
      </c>
      <c r="R186" s="87" t="s">
        <v>6645</v>
      </c>
      <c r="S186" s="87" t="s">
        <v>6333</v>
      </c>
    </row>
    <row r="187" spans="1:19" ht="15.75" customHeight="1">
      <c r="A187" s="9" t="s">
        <v>3032</v>
      </c>
      <c r="C187" s="9" t="s">
        <v>6236</v>
      </c>
      <c r="D187" s="9" t="s">
        <v>431</v>
      </c>
      <c r="E187" s="9" t="s">
        <v>368</v>
      </c>
      <c r="F187" s="9" t="s">
        <v>436</v>
      </c>
      <c r="G187" s="9" t="s">
        <v>434</v>
      </c>
      <c r="H187" s="87" t="s">
        <v>6264</v>
      </c>
      <c r="I187" s="87" t="s">
        <v>6820</v>
      </c>
      <c r="J187" s="87" t="s">
        <v>6239</v>
      </c>
      <c r="K187" s="87" t="s">
        <v>6240</v>
      </c>
      <c r="L187" s="87" t="s">
        <v>6469</v>
      </c>
      <c r="M187" s="9" t="s">
        <v>6676</v>
      </c>
      <c r="N187" s="87" t="s">
        <v>6239</v>
      </c>
      <c r="O187" s="9" t="s">
        <v>6243</v>
      </c>
      <c r="P187" s="87" t="s">
        <v>3764</v>
      </c>
      <c r="Q187" s="87" t="s">
        <v>6820</v>
      </c>
      <c r="R187" s="87" t="s">
        <v>6645</v>
      </c>
      <c r="S187" s="87" t="s">
        <v>6327</v>
      </c>
    </row>
    <row r="188" spans="1:19" ht="15.75" customHeight="1">
      <c r="A188" s="9" t="s">
        <v>3032</v>
      </c>
      <c r="C188" s="9" t="s">
        <v>6236</v>
      </c>
      <c r="D188" s="9" t="s">
        <v>431</v>
      </c>
      <c r="E188" s="9" t="s">
        <v>368</v>
      </c>
      <c r="F188" s="9" t="s">
        <v>436</v>
      </c>
      <c r="G188" s="9" t="s">
        <v>434</v>
      </c>
      <c r="H188" s="87" t="s">
        <v>6264</v>
      </c>
      <c r="I188" s="87" t="s">
        <v>6820</v>
      </c>
      <c r="J188" s="87" t="s">
        <v>6239</v>
      </c>
      <c r="K188" s="87" t="s">
        <v>6240</v>
      </c>
      <c r="L188" s="87" t="s">
        <v>6466</v>
      </c>
      <c r="M188" s="9" t="s">
        <v>6676</v>
      </c>
      <c r="N188" s="87" t="s">
        <v>6239</v>
      </c>
      <c r="O188" s="9" t="s">
        <v>6243</v>
      </c>
      <c r="P188" s="87" t="s">
        <v>3764</v>
      </c>
      <c r="Q188" s="87" t="s">
        <v>6820</v>
      </c>
      <c r="R188" s="87" t="s">
        <v>6645</v>
      </c>
      <c r="S188" s="87" t="s">
        <v>6327</v>
      </c>
    </row>
    <row r="189" spans="1:19" ht="15.75" customHeight="1">
      <c r="A189" s="9" t="s">
        <v>3032</v>
      </c>
      <c r="C189" s="9" t="s">
        <v>6236</v>
      </c>
      <c r="D189" s="9" t="s">
        <v>431</v>
      </c>
      <c r="E189" s="9" t="s">
        <v>368</v>
      </c>
      <c r="F189" s="9" t="s">
        <v>436</v>
      </c>
      <c r="G189" s="9" t="s">
        <v>434</v>
      </c>
      <c r="H189" s="87" t="s">
        <v>6264</v>
      </c>
      <c r="I189" s="87" t="s">
        <v>6820</v>
      </c>
      <c r="J189" s="87" t="s">
        <v>6239</v>
      </c>
      <c r="K189" s="87" t="s">
        <v>6240</v>
      </c>
      <c r="L189" s="87" t="s">
        <v>6452</v>
      </c>
      <c r="M189" s="9" t="s">
        <v>6676</v>
      </c>
      <c r="N189" s="87" t="s">
        <v>6239</v>
      </c>
      <c r="O189" s="9" t="s">
        <v>6243</v>
      </c>
      <c r="P189" s="87" t="s">
        <v>3764</v>
      </c>
      <c r="Q189" s="87" t="s">
        <v>6820</v>
      </c>
      <c r="R189" s="87" t="s">
        <v>6645</v>
      </c>
      <c r="S189" s="87" t="s">
        <v>6327</v>
      </c>
    </row>
    <row r="190" spans="1:19" ht="15.75" customHeight="1">
      <c r="A190" s="9" t="s">
        <v>2957</v>
      </c>
      <c r="C190" s="9" t="s">
        <v>6236</v>
      </c>
      <c r="D190" s="9" t="s">
        <v>431</v>
      </c>
      <c r="E190" s="9" t="s">
        <v>368</v>
      </c>
      <c r="F190" s="9" t="s">
        <v>436</v>
      </c>
      <c r="G190" s="9" t="s">
        <v>434</v>
      </c>
      <c r="H190" s="87" t="s">
        <v>6237</v>
      </c>
      <c r="I190" s="87" t="s">
        <v>6306</v>
      </c>
      <c r="J190" s="87" t="s">
        <v>6271</v>
      </c>
      <c r="K190" s="87" t="s">
        <v>6240</v>
      </c>
      <c r="L190" s="87" t="s">
        <v>6510</v>
      </c>
      <c r="M190" s="9" t="s">
        <v>6822</v>
      </c>
      <c r="N190" s="87" t="s">
        <v>6271</v>
      </c>
      <c r="O190" s="9" t="s">
        <v>6243</v>
      </c>
      <c r="P190" s="87" t="s">
        <v>3746</v>
      </c>
      <c r="Q190" s="87" t="s">
        <v>6306</v>
      </c>
      <c r="R190" s="87" t="s">
        <v>6474</v>
      </c>
      <c r="S190" s="87" t="s">
        <v>6327</v>
      </c>
    </row>
    <row r="191" spans="1:19" ht="15.75" customHeight="1">
      <c r="A191" s="9" t="s">
        <v>2834</v>
      </c>
      <c r="C191" s="9" t="s">
        <v>6236</v>
      </c>
      <c r="D191" s="9" t="s">
        <v>431</v>
      </c>
      <c r="E191" s="9" t="s">
        <v>368</v>
      </c>
      <c r="F191" s="9" t="s">
        <v>436</v>
      </c>
      <c r="G191" s="9" t="s">
        <v>434</v>
      </c>
      <c r="H191" s="87" t="s">
        <v>6237</v>
      </c>
      <c r="I191" s="87" t="s">
        <v>6421</v>
      </c>
      <c r="J191" s="87" t="s">
        <v>6334</v>
      </c>
      <c r="K191" s="87" t="s">
        <v>6240</v>
      </c>
      <c r="L191" s="87" t="s">
        <v>6510</v>
      </c>
      <c r="M191" s="9" t="s">
        <v>6823</v>
      </c>
      <c r="N191" s="87" t="s">
        <v>6334</v>
      </c>
      <c r="O191" s="9" t="s">
        <v>6243</v>
      </c>
      <c r="P191" s="87" t="s">
        <v>6290</v>
      </c>
      <c r="Q191" s="87" t="s">
        <v>6421</v>
      </c>
      <c r="R191" s="87" t="s">
        <v>6645</v>
      </c>
      <c r="S191" s="87" t="s">
        <v>6351</v>
      </c>
    </row>
    <row r="192" spans="1:19" ht="15.75" customHeight="1">
      <c r="A192" s="9" t="s">
        <v>3030</v>
      </c>
      <c r="C192" s="9" t="s">
        <v>6671</v>
      </c>
      <c r="D192" s="9" t="s">
        <v>6672</v>
      </c>
      <c r="E192" s="9" t="s">
        <v>439</v>
      </c>
      <c r="F192" s="9" t="s">
        <v>436</v>
      </c>
      <c r="G192" s="9" t="s">
        <v>440</v>
      </c>
      <c r="H192" s="87" t="s">
        <v>6405</v>
      </c>
      <c r="I192" s="87" t="s">
        <v>6323</v>
      </c>
      <c r="J192" s="87" t="s">
        <v>6323</v>
      </c>
      <c r="K192" s="87" t="s">
        <v>6240</v>
      </c>
      <c r="L192" s="87" t="s">
        <v>6510</v>
      </c>
      <c r="M192" s="9" t="s">
        <v>6824</v>
      </c>
      <c r="N192" s="87" t="s">
        <v>6323</v>
      </c>
      <c r="O192" s="9" t="s">
        <v>6243</v>
      </c>
      <c r="P192" s="87" t="s">
        <v>5374</v>
      </c>
      <c r="Q192" s="87" t="s">
        <v>6323</v>
      </c>
      <c r="R192" s="87" t="s">
        <v>6300</v>
      </c>
      <c r="S192" s="87" t="s">
        <v>6484</v>
      </c>
    </row>
    <row r="193" spans="1:19" ht="15.75" customHeight="1">
      <c r="A193" s="9" t="s">
        <v>2968</v>
      </c>
      <c r="C193" s="9" t="s">
        <v>6671</v>
      </c>
      <c r="D193" s="9" t="s">
        <v>6672</v>
      </c>
      <c r="E193" s="9" t="s">
        <v>439</v>
      </c>
      <c r="F193" s="9" t="s">
        <v>436</v>
      </c>
      <c r="G193" s="9" t="s">
        <v>440</v>
      </c>
      <c r="H193" s="87" t="s">
        <v>6405</v>
      </c>
      <c r="I193" s="87" t="s">
        <v>6346</v>
      </c>
      <c r="J193" s="87" t="s">
        <v>6280</v>
      </c>
      <c r="K193" s="87" t="s">
        <v>6240</v>
      </c>
      <c r="L193" s="87" t="s">
        <v>6510</v>
      </c>
      <c r="M193" s="9" t="s">
        <v>6825</v>
      </c>
      <c r="N193" s="87" t="s">
        <v>6280</v>
      </c>
      <c r="O193" s="9" t="s">
        <v>6243</v>
      </c>
      <c r="P193" s="87" t="s">
        <v>6283</v>
      </c>
      <c r="Q193" s="87" t="s">
        <v>6346</v>
      </c>
      <c r="R193" s="87" t="s">
        <v>6645</v>
      </c>
      <c r="S193" s="87" t="s">
        <v>6314</v>
      </c>
    </row>
    <row r="194" spans="1:19" ht="15.75" customHeight="1">
      <c r="A194" s="9" t="s">
        <v>2940</v>
      </c>
      <c r="C194" s="9" t="s">
        <v>6671</v>
      </c>
      <c r="D194" s="9" t="s">
        <v>6672</v>
      </c>
      <c r="E194" s="9" t="s">
        <v>439</v>
      </c>
      <c r="F194" s="9" t="s">
        <v>436</v>
      </c>
      <c r="G194" s="9" t="s">
        <v>440</v>
      </c>
      <c r="H194" s="87" t="s">
        <v>6405</v>
      </c>
      <c r="I194" s="87" t="s">
        <v>6573</v>
      </c>
      <c r="J194" s="87" t="s">
        <v>6329</v>
      </c>
      <c r="K194" s="87" t="s">
        <v>6240</v>
      </c>
      <c r="L194" s="87" t="s">
        <v>6510</v>
      </c>
      <c r="M194" s="9" t="s">
        <v>6818</v>
      </c>
      <c r="N194" s="87" t="s">
        <v>6329</v>
      </c>
      <c r="O194" s="9" t="s">
        <v>6243</v>
      </c>
      <c r="P194" s="87" t="s">
        <v>6448</v>
      </c>
      <c r="Q194" s="87" t="s">
        <v>6573</v>
      </c>
      <c r="R194" s="87" t="s">
        <v>6486</v>
      </c>
      <c r="S194" s="87" t="s">
        <v>6327</v>
      </c>
    </row>
    <row r="195" spans="1:19" ht="15.75" customHeight="1">
      <c r="A195" s="9" t="s">
        <v>3032</v>
      </c>
      <c r="C195" s="9" t="s">
        <v>6236</v>
      </c>
      <c r="D195" s="9" t="s">
        <v>431</v>
      </c>
      <c r="E195" s="9" t="s">
        <v>368</v>
      </c>
      <c r="F195" s="9" t="s">
        <v>436</v>
      </c>
      <c r="G195" s="9" t="s">
        <v>434</v>
      </c>
      <c r="H195" s="87" t="s">
        <v>6264</v>
      </c>
      <c r="I195" s="87" t="s">
        <v>6820</v>
      </c>
      <c r="J195" s="87" t="s">
        <v>6239</v>
      </c>
      <c r="K195" s="87" t="s">
        <v>6240</v>
      </c>
      <c r="L195" s="87" t="s">
        <v>6449</v>
      </c>
      <c r="M195" s="9" t="s">
        <v>6676</v>
      </c>
      <c r="N195" s="87" t="s">
        <v>6239</v>
      </c>
      <c r="O195" s="9" t="s">
        <v>6243</v>
      </c>
      <c r="P195" s="87" t="s">
        <v>3764</v>
      </c>
      <c r="Q195" s="87" t="s">
        <v>6820</v>
      </c>
      <c r="R195" s="87" t="s">
        <v>6645</v>
      </c>
      <c r="S195" s="87" t="s">
        <v>6327</v>
      </c>
    </row>
    <row r="196" spans="1:19" ht="15.75" customHeight="1">
      <c r="A196" s="9" t="s">
        <v>3003</v>
      </c>
      <c r="C196" s="9" t="s">
        <v>6671</v>
      </c>
      <c r="D196" s="9" t="s">
        <v>6672</v>
      </c>
      <c r="E196" s="9" t="s">
        <v>439</v>
      </c>
      <c r="F196" s="9" t="s">
        <v>436</v>
      </c>
      <c r="G196" s="9" t="s">
        <v>440</v>
      </c>
      <c r="H196" s="87" t="s">
        <v>6405</v>
      </c>
      <c r="I196" s="87" t="s">
        <v>6327</v>
      </c>
      <c r="J196" s="87" t="s">
        <v>6327</v>
      </c>
      <c r="K196" s="87" t="s">
        <v>6240</v>
      </c>
      <c r="L196" s="87" t="s">
        <v>6826</v>
      </c>
      <c r="M196" s="9" t="s">
        <v>6827</v>
      </c>
      <c r="N196" s="87" t="s">
        <v>6327</v>
      </c>
      <c r="O196" s="9" t="s">
        <v>6243</v>
      </c>
      <c r="P196" s="87" t="s">
        <v>6392</v>
      </c>
      <c r="Q196" s="87" t="s">
        <v>6327</v>
      </c>
      <c r="R196" s="87" t="s">
        <v>6645</v>
      </c>
      <c r="S196" s="87" t="s">
        <v>6239</v>
      </c>
    </row>
    <row r="197" spans="1:19" ht="15.75" customHeight="1">
      <c r="A197" s="9" t="s">
        <v>2985</v>
      </c>
      <c r="C197" s="9" t="s">
        <v>6671</v>
      </c>
      <c r="D197" s="9" t="s">
        <v>6672</v>
      </c>
      <c r="E197" s="9" t="s">
        <v>439</v>
      </c>
      <c r="F197" s="9" t="s">
        <v>436</v>
      </c>
      <c r="G197" s="9" t="s">
        <v>440</v>
      </c>
      <c r="H197" s="87" t="s">
        <v>6405</v>
      </c>
      <c r="I197" s="87" t="s">
        <v>6245</v>
      </c>
      <c r="J197" s="87" t="s">
        <v>6245</v>
      </c>
      <c r="K197" s="87" t="s">
        <v>6240</v>
      </c>
      <c r="L197" s="87" t="s">
        <v>6826</v>
      </c>
      <c r="M197" s="9" t="s">
        <v>6340</v>
      </c>
      <c r="N197" s="87" t="s">
        <v>6245</v>
      </c>
      <c r="O197" s="9" t="s">
        <v>6243</v>
      </c>
      <c r="P197" s="87" t="s">
        <v>6238</v>
      </c>
      <c r="Q197" s="87" t="s">
        <v>6245</v>
      </c>
      <c r="R197" s="87" t="s">
        <v>6341</v>
      </c>
      <c r="S197" s="87" t="s">
        <v>6263</v>
      </c>
    </row>
    <row r="198" spans="1:19" ht="15.75" customHeight="1">
      <c r="A198" s="9" t="s">
        <v>3003</v>
      </c>
      <c r="C198" s="9" t="s">
        <v>6236</v>
      </c>
      <c r="D198" s="9" t="s">
        <v>431</v>
      </c>
      <c r="E198" s="9" t="s">
        <v>368</v>
      </c>
      <c r="F198" s="9" t="s">
        <v>436</v>
      </c>
      <c r="G198" s="9" t="s">
        <v>434</v>
      </c>
      <c r="H198" s="87" t="s">
        <v>6237</v>
      </c>
      <c r="I198" s="87" t="s">
        <v>6433</v>
      </c>
      <c r="J198" s="87" t="s">
        <v>4953</v>
      </c>
      <c r="K198" s="87" t="s">
        <v>6240</v>
      </c>
      <c r="L198" s="87" t="s">
        <v>6828</v>
      </c>
      <c r="M198" s="9" t="s">
        <v>6829</v>
      </c>
      <c r="N198" s="87" t="s">
        <v>4953</v>
      </c>
      <c r="O198" s="9" t="s">
        <v>6243</v>
      </c>
      <c r="P198" s="87" t="s">
        <v>6306</v>
      </c>
      <c r="Q198" s="87" t="s">
        <v>6433</v>
      </c>
      <c r="R198" s="87" t="s">
        <v>6645</v>
      </c>
      <c r="S198" s="87" t="s">
        <v>6373</v>
      </c>
    </row>
    <row r="199" spans="1:19" ht="15.75" customHeight="1">
      <c r="A199" s="9" t="s">
        <v>2947</v>
      </c>
      <c r="C199" s="9" t="s">
        <v>6671</v>
      </c>
      <c r="D199" s="9" t="s">
        <v>6672</v>
      </c>
      <c r="E199" s="9" t="s">
        <v>439</v>
      </c>
      <c r="F199" s="9" t="s">
        <v>436</v>
      </c>
      <c r="G199" s="9" t="s">
        <v>440</v>
      </c>
      <c r="H199" s="87" t="s">
        <v>6405</v>
      </c>
      <c r="I199" s="87" t="s">
        <v>6245</v>
      </c>
      <c r="J199" s="87" t="s">
        <v>6245</v>
      </c>
      <c r="K199" s="87" t="s">
        <v>6240</v>
      </c>
      <c r="L199" s="87" t="s">
        <v>6828</v>
      </c>
      <c r="M199" s="9" t="s">
        <v>6830</v>
      </c>
      <c r="N199" s="87" t="s">
        <v>6245</v>
      </c>
      <c r="O199" s="9" t="s">
        <v>6243</v>
      </c>
      <c r="P199" s="87" t="s">
        <v>6238</v>
      </c>
      <c r="Q199" s="87" t="s">
        <v>6245</v>
      </c>
      <c r="R199" s="87" t="s">
        <v>6555</v>
      </c>
      <c r="S199" s="87" t="s">
        <v>6293</v>
      </c>
    </row>
    <row r="200" spans="1:19" ht="15.75" customHeight="1">
      <c r="A200" s="9" t="s">
        <v>2959</v>
      </c>
      <c r="C200" s="9" t="s">
        <v>6671</v>
      </c>
      <c r="D200" s="9" t="s">
        <v>6672</v>
      </c>
      <c r="E200" s="9" t="s">
        <v>439</v>
      </c>
      <c r="F200" s="9" t="s">
        <v>436</v>
      </c>
      <c r="G200" s="9" t="s">
        <v>440</v>
      </c>
      <c r="H200" s="87" t="s">
        <v>6405</v>
      </c>
      <c r="I200" s="87" t="s">
        <v>6245</v>
      </c>
      <c r="J200" s="87" t="s">
        <v>6245</v>
      </c>
      <c r="K200" s="87" t="s">
        <v>6240</v>
      </c>
      <c r="L200" s="87" t="s">
        <v>6828</v>
      </c>
      <c r="M200" s="9" t="s">
        <v>6831</v>
      </c>
      <c r="N200" s="87" t="s">
        <v>6245</v>
      </c>
      <c r="O200" s="9" t="s">
        <v>6243</v>
      </c>
      <c r="P200" s="87" t="s">
        <v>6238</v>
      </c>
      <c r="Q200" s="87" t="s">
        <v>6245</v>
      </c>
      <c r="R200" s="87" t="s">
        <v>6733</v>
      </c>
      <c r="S200" s="87" t="s">
        <v>6619</v>
      </c>
    </row>
    <row r="201" spans="1:19" ht="15.75" customHeight="1">
      <c r="A201" s="9" t="s">
        <v>2917</v>
      </c>
      <c r="C201" s="9" t="s">
        <v>6236</v>
      </c>
      <c r="D201" s="9" t="s">
        <v>431</v>
      </c>
      <c r="E201" s="9" t="s">
        <v>368</v>
      </c>
      <c r="F201" s="9" t="s">
        <v>436</v>
      </c>
      <c r="G201" s="9" t="s">
        <v>434</v>
      </c>
      <c r="H201" s="87" t="s">
        <v>6237</v>
      </c>
      <c r="I201" s="87" t="s">
        <v>6299</v>
      </c>
      <c r="J201" s="87" t="s">
        <v>6299</v>
      </c>
      <c r="K201" s="87" t="s">
        <v>6240</v>
      </c>
      <c r="L201" s="87" t="s">
        <v>6828</v>
      </c>
      <c r="M201" s="9" t="s">
        <v>6832</v>
      </c>
      <c r="N201" s="87" t="s">
        <v>6299</v>
      </c>
      <c r="O201" s="9" t="s">
        <v>6243</v>
      </c>
      <c r="P201" s="87" t="s">
        <v>3231</v>
      </c>
      <c r="Q201" s="87" t="s">
        <v>6299</v>
      </c>
      <c r="R201" s="87" t="s">
        <v>6361</v>
      </c>
      <c r="S201" s="87" t="s">
        <v>6348</v>
      </c>
    </row>
    <row r="202" spans="1:19" ht="15.75" customHeight="1">
      <c r="A202" s="9" t="s">
        <v>2985</v>
      </c>
      <c r="C202" s="9" t="s">
        <v>6236</v>
      </c>
      <c r="D202" s="9" t="s">
        <v>431</v>
      </c>
      <c r="E202" s="9" t="s">
        <v>368</v>
      </c>
      <c r="F202" s="9" t="s">
        <v>436</v>
      </c>
      <c r="G202" s="9" t="s">
        <v>434</v>
      </c>
      <c r="H202" s="87" t="s">
        <v>6237</v>
      </c>
      <c r="I202" s="87" t="s">
        <v>6323</v>
      </c>
      <c r="J202" s="87" t="s">
        <v>6323</v>
      </c>
      <c r="K202" s="87" t="s">
        <v>6240</v>
      </c>
      <c r="L202" s="87" t="s">
        <v>6828</v>
      </c>
      <c r="M202" s="9" t="s">
        <v>6833</v>
      </c>
      <c r="N202" s="87" t="s">
        <v>6323</v>
      </c>
      <c r="O202" s="9" t="s">
        <v>6243</v>
      </c>
      <c r="P202" s="87" t="s">
        <v>5374</v>
      </c>
      <c r="Q202" s="87" t="s">
        <v>6323</v>
      </c>
      <c r="R202" s="87" t="s">
        <v>6367</v>
      </c>
      <c r="S202" s="87" t="s">
        <v>6409</v>
      </c>
    </row>
    <row r="203" spans="1:19" ht="15.75" customHeight="1">
      <c r="A203" s="9" t="s">
        <v>2886</v>
      </c>
      <c r="C203" s="9" t="s">
        <v>6671</v>
      </c>
      <c r="D203" s="9" t="s">
        <v>6672</v>
      </c>
      <c r="E203" s="9" t="s">
        <v>439</v>
      </c>
      <c r="F203" s="9" t="s">
        <v>436</v>
      </c>
      <c r="G203" s="9" t="s">
        <v>440</v>
      </c>
      <c r="H203" s="87" t="s">
        <v>6405</v>
      </c>
      <c r="I203" s="87" t="s">
        <v>6290</v>
      </c>
      <c r="J203" s="87" t="s">
        <v>6290</v>
      </c>
      <c r="K203" s="87" t="s">
        <v>6240</v>
      </c>
      <c r="L203" s="87" t="s">
        <v>6828</v>
      </c>
      <c r="M203" s="9" t="s">
        <v>6735</v>
      </c>
      <c r="N203" s="87" t="s">
        <v>6290</v>
      </c>
      <c r="O203" s="9" t="s">
        <v>6243</v>
      </c>
      <c r="P203" s="87" t="s">
        <v>6293</v>
      </c>
      <c r="Q203" s="87" t="s">
        <v>6290</v>
      </c>
      <c r="R203" s="87" t="s">
        <v>6645</v>
      </c>
      <c r="S203" s="87" t="s">
        <v>6525</v>
      </c>
    </row>
    <row r="204" spans="1:19" ht="15.75" customHeight="1">
      <c r="A204" s="9" t="s">
        <v>3003</v>
      </c>
      <c r="C204" s="9" t="s">
        <v>6236</v>
      </c>
      <c r="D204" s="9" t="s">
        <v>431</v>
      </c>
      <c r="E204" s="9" t="s">
        <v>368</v>
      </c>
      <c r="F204" s="9" t="s">
        <v>436</v>
      </c>
      <c r="G204" s="9" t="s">
        <v>434</v>
      </c>
      <c r="H204" s="87" t="s">
        <v>6237</v>
      </c>
      <c r="I204" s="87" t="s">
        <v>6433</v>
      </c>
      <c r="J204" s="87" t="s">
        <v>6334</v>
      </c>
      <c r="K204" s="87" t="s">
        <v>6240</v>
      </c>
      <c r="L204" s="87" t="s">
        <v>6431</v>
      </c>
      <c r="M204" s="9" t="s">
        <v>6777</v>
      </c>
      <c r="N204" s="87" t="s">
        <v>6334</v>
      </c>
      <c r="O204" s="9" t="s">
        <v>6243</v>
      </c>
      <c r="P204" s="87" t="s">
        <v>6290</v>
      </c>
      <c r="Q204" s="87" t="s">
        <v>6433</v>
      </c>
      <c r="R204" s="87" t="s">
        <v>6642</v>
      </c>
      <c r="S204" s="87" t="s">
        <v>6327</v>
      </c>
    </row>
    <row r="205" spans="1:19" ht="15.75" customHeight="1">
      <c r="A205" s="9" t="s">
        <v>2947</v>
      </c>
      <c r="C205" s="9" t="s">
        <v>6236</v>
      </c>
      <c r="D205" s="9" t="s">
        <v>431</v>
      </c>
      <c r="E205" s="9" t="s">
        <v>368</v>
      </c>
      <c r="F205" s="9" t="s">
        <v>436</v>
      </c>
      <c r="G205" s="9" t="s">
        <v>434</v>
      </c>
      <c r="H205" s="87" t="s">
        <v>6237</v>
      </c>
      <c r="I205" s="87" t="s">
        <v>6273</v>
      </c>
      <c r="J205" s="87" t="s">
        <v>6273</v>
      </c>
      <c r="K205" s="87" t="s">
        <v>6240</v>
      </c>
      <c r="L205" s="87" t="s">
        <v>6431</v>
      </c>
      <c r="M205" s="9" t="s">
        <v>6834</v>
      </c>
      <c r="N205" s="87" t="s">
        <v>6273</v>
      </c>
      <c r="O205" s="9" t="s">
        <v>6243</v>
      </c>
      <c r="P205" s="87" t="s">
        <v>6276</v>
      </c>
      <c r="Q205" s="87" t="s">
        <v>6273</v>
      </c>
      <c r="R205" s="87" t="s">
        <v>6400</v>
      </c>
      <c r="S205" s="87" t="s">
        <v>6348</v>
      </c>
    </row>
    <row r="206" spans="1:19" ht="15.75" customHeight="1">
      <c r="A206" s="9" t="s">
        <v>2959</v>
      </c>
      <c r="C206" s="9" t="s">
        <v>6236</v>
      </c>
      <c r="D206" s="9" t="s">
        <v>431</v>
      </c>
      <c r="E206" s="9" t="s">
        <v>368</v>
      </c>
      <c r="F206" s="9" t="s">
        <v>436</v>
      </c>
      <c r="G206" s="9" t="s">
        <v>434</v>
      </c>
      <c r="H206" s="87" t="s">
        <v>6237</v>
      </c>
      <c r="I206" s="87" t="s">
        <v>6299</v>
      </c>
      <c r="J206" s="87" t="s">
        <v>6299</v>
      </c>
      <c r="K206" s="87" t="s">
        <v>6240</v>
      </c>
      <c r="L206" s="87" t="s">
        <v>6431</v>
      </c>
      <c r="M206" s="9" t="s">
        <v>6835</v>
      </c>
      <c r="N206" s="87" t="s">
        <v>6299</v>
      </c>
      <c r="O206" s="9" t="s">
        <v>6243</v>
      </c>
      <c r="P206" s="87" t="s">
        <v>3231</v>
      </c>
      <c r="Q206" s="87" t="s">
        <v>6299</v>
      </c>
      <c r="R206" s="87" t="s">
        <v>6239</v>
      </c>
      <c r="S206" s="87" t="s">
        <v>6404</v>
      </c>
    </row>
    <row r="207" spans="1:19" ht="15.75" customHeight="1">
      <c r="A207" s="9" t="s">
        <v>2886</v>
      </c>
      <c r="C207" s="9" t="s">
        <v>6236</v>
      </c>
      <c r="D207" s="9" t="s">
        <v>431</v>
      </c>
      <c r="E207" s="9" t="s">
        <v>368</v>
      </c>
      <c r="F207" s="9" t="s">
        <v>436</v>
      </c>
      <c r="G207" s="9" t="s">
        <v>434</v>
      </c>
      <c r="H207" s="87" t="s">
        <v>6237</v>
      </c>
      <c r="I207" s="87" t="s">
        <v>6435</v>
      </c>
      <c r="J207" s="87" t="s">
        <v>6435</v>
      </c>
      <c r="K207" s="87" t="s">
        <v>6240</v>
      </c>
      <c r="L207" s="87" t="s">
        <v>6431</v>
      </c>
      <c r="M207" s="9" t="s">
        <v>6756</v>
      </c>
      <c r="N207" s="87" t="s">
        <v>6435</v>
      </c>
      <c r="O207" s="9" t="s">
        <v>6243</v>
      </c>
      <c r="P207" s="87" t="s">
        <v>6250</v>
      </c>
      <c r="Q207" s="87" t="s">
        <v>6435</v>
      </c>
      <c r="R207" s="87" t="s">
        <v>6645</v>
      </c>
      <c r="S207" s="87" t="s">
        <v>6733</v>
      </c>
    </row>
    <row r="208" spans="1:19" ht="15.75" customHeight="1">
      <c r="A208" s="9" t="s">
        <v>2859</v>
      </c>
      <c r="C208" s="9" t="s">
        <v>6671</v>
      </c>
      <c r="D208" s="9" t="s">
        <v>6672</v>
      </c>
      <c r="E208" s="9" t="s">
        <v>439</v>
      </c>
      <c r="F208" s="9" t="s">
        <v>436</v>
      </c>
      <c r="G208" s="9" t="s">
        <v>440</v>
      </c>
      <c r="H208" s="87" t="s">
        <v>6405</v>
      </c>
      <c r="I208" s="87" t="s">
        <v>6296</v>
      </c>
      <c r="J208" s="87" t="s">
        <v>6296</v>
      </c>
      <c r="K208" s="87" t="s">
        <v>6240</v>
      </c>
      <c r="L208" s="87" t="s">
        <v>6431</v>
      </c>
      <c r="M208" s="9" t="s">
        <v>6724</v>
      </c>
      <c r="N208" s="87" t="s">
        <v>6296</v>
      </c>
      <c r="O208" s="9" t="s">
        <v>6243</v>
      </c>
      <c r="P208" s="87" t="s">
        <v>6287</v>
      </c>
      <c r="Q208" s="87" t="s">
        <v>6296</v>
      </c>
      <c r="R208" s="87" t="s">
        <v>6645</v>
      </c>
      <c r="S208" s="87" t="s">
        <v>6287</v>
      </c>
    </row>
    <row r="209" spans="1:19" ht="15.75" customHeight="1">
      <c r="A209" s="9" t="s">
        <v>2859</v>
      </c>
      <c r="C209" s="9" t="s">
        <v>6236</v>
      </c>
      <c r="D209" s="9" t="s">
        <v>431</v>
      </c>
      <c r="E209" s="9" t="s">
        <v>368</v>
      </c>
      <c r="F209" s="9" t="s">
        <v>436</v>
      </c>
      <c r="G209" s="9" t="s">
        <v>434</v>
      </c>
      <c r="H209" s="87" t="s">
        <v>6237</v>
      </c>
      <c r="I209" s="87" t="s">
        <v>4953</v>
      </c>
      <c r="J209" s="87" t="s">
        <v>4953</v>
      </c>
      <c r="K209" s="87" t="s">
        <v>6240</v>
      </c>
      <c r="L209" s="87" t="s">
        <v>6426</v>
      </c>
      <c r="M209" s="9" t="s">
        <v>6836</v>
      </c>
      <c r="N209" s="87" t="s">
        <v>4953</v>
      </c>
      <c r="O209" s="9" t="s">
        <v>6243</v>
      </c>
      <c r="P209" s="87" t="s">
        <v>6306</v>
      </c>
      <c r="Q209" s="87" t="s">
        <v>4953</v>
      </c>
      <c r="R209" s="87" t="s">
        <v>6484</v>
      </c>
      <c r="S209" s="87" t="s">
        <v>6268</v>
      </c>
    </row>
    <row r="210" spans="1:19" ht="15.75" customHeight="1">
      <c r="A210" s="9" t="s">
        <v>2948</v>
      </c>
      <c r="C210" s="9" t="s">
        <v>6236</v>
      </c>
      <c r="D210" s="9" t="s">
        <v>431</v>
      </c>
      <c r="E210" s="9" t="s">
        <v>368</v>
      </c>
      <c r="F210" s="9" t="s">
        <v>436</v>
      </c>
      <c r="G210" s="9" t="s">
        <v>434</v>
      </c>
      <c r="H210" s="87" t="s">
        <v>6237</v>
      </c>
      <c r="I210" s="87" t="s">
        <v>6428</v>
      </c>
      <c r="J210" s="87" t="s">
        <v>6428</v>
      </c>
      <c r="K210" s="87" t="s">
        <v>6240</v>
      </c>
      <c r="L210" s="87" t="s">
        <v>6426</v>
      </c>
      <c r="M210" s="9" t="s">
        <v>6837</v>
      </c>
      <c r="N210" s="87" t="s">
        <v>6428</v>
      </c>
      <c r="O210" s="9" t="s">
        <v>6243</v>
      </c>
      <c r="P210" s="87" t="s">
        <v>3210</v>
      </c>
      <c r="Q210" s="87" t="s">
        <v>6428</v>
      </c>
      <c r="R210" s="87" t="s">
        <v>6645</v>
      </c>
      <c r="S210" s="87" t="s">
        <v>6413</v>
      </c>
    </row>
    <row r="211" spans="1:19" ht="15.75" customHeight="1">
      <c r="A211" s="9" t="s">
        <v>2870</v>
      </c>
      <c r="C211" s="9" t="s">
        <v>6671</v>
      </c>
      <c r="D211" s="9" t="s">
        <v>6672</v>
      </c>
      <c r="E211" s="9" t="s">
        <v>439</v>
      </c>
      <c r="F211" s="9" t="s">
        <v>436</v>
      </c>
      <c r="G211" s="9" t="s">
        <v>440</v>
      </c>
      <c r="H211" s="87" t="s">
        <v>6405</v>
      </c>
      <c r="I211" s="87" t="s">
        <v>6392</v>
      </c>
      <c r="J211" s="87" t="s">
        <v>6392</v>
      </c>
      <c r="K211" s="87" t="s">
        <v>6240</v>
      </c>
      <c r="L211" s="87" t="s">
        <v>6838</v>
      </c>
      <c r="M211" s="9" t="s">
        <v>6839</v>
      </c>
      <c r="N211" s="87" t="s">
        <v>6392</v>
      </c>
      <c r="O211" s="9" t="s">
        <v>6243</v>
      </c>
      <c r="P211" s="87" t="s">
        <v>3236</v>
      </c>
      <c r="Q211" s="87" t="s">
        <v>6392</v>
      </c>
      <c r="R211" s="87" t="s">
        <v>6645</v>
      </c>
      <c r="S211" s="87" t="s">
        <v>6260</v>
      </c>
    </row>
    <row r="212" spans="1:19" ht="15.75" customHeight="1">
      <c r="A212" s="9" t="s">
        <v>2941</v>
      </c>
      <c r="C212" s="9" t="s">
        <v>6236</v>
      </c>
      <c r="D212" s="9" t="s">
        <v>431</v>
      </c>
      <c r="E212" s="9" t="s">
        <v>368</v>
      </c>
      <c r="F212" s="9" t="s">
        <v>436</v>
      </c>
      <c r="G212" s="9" t="s">
        <v>434</v>
      </c>
      <c r="H212" s="87" t="s">
        <v>6237</v>
      </c>
      <c r="I212" s="87" t="s">
        <v>6245</v>
      </c>
      <c r="J212" s="87" t="s">
        <v>6245</v>
      </c>
      <c r="K212" s="87" t="s">
        <v>6240</v>
      </c>
      <c r="L212" s="87" t="s">
        <v>6840</v>
      </c>
      <c r="M212" s="9" t="s">
        <v>6841</v>
      </c>
      <c r="N212" s="87" t="s">
        <v>6245</v>
      </c>
      <c r="O212" s="9" t="s">
        <v>6243</v>
      </c>
      <c r="P212" s="87" t="s">
        <v>6238</v>
      </c>
      <c r="Q212" s="87" t="s">
        <v>6245</v>
      </c>
      <c r="R212" s="87" t="s">
        <v>6333</v>
      </c>
      <c r="S212" s="87" t="s">
        <v>6484</v>
      </c>
    </row>
    <row r="213" spans="1:19" ht="15.75" customHeight="1">
      <c r="A213" s="9" t="s">
        <v>2870</v>
      </c>
      <c r="C213" s="9" t="s">
        <v>6236</v>
      </c>
      <c r="D213" s="9" t="s">
        <v>431</v>
      </c>
      <c r="E213" s="9" t="s">
        <v>368</v>
      </c>
      <c r="F213" s="9" t="s">
        <v>436</v>
      </c>
      <c r="G213" s="9" t="s">
        <v>434</v>
      </c>
      <c r="H213" s="87" t="s">
        <v>6237</v>
      </c>
      <c r="I213" s="87" t="s">
        <v>6410</v>
      </c>
      <c r="J213" s="87" t="s">
        <v>6535</v>
      </c>
      <c r="K213" s="87" t="s">
        <v>6240</v>
      </c>
      <c r="L213" s="87" t="s">
        <v>6840</v>
      </c>
      <c r="M213" s="9" t="s">
        <v>6842</v>
      </c>
      <c r="N213" s="87" t="s">
        <v>6535</v>
      </c>
      <c r="O213" s="9" t="s">
        <v>6243</v>
      </c>
      <c r="P213" s="87" t="s">
        <v>6594</v>
      </c>
      <c r="Q213" s="87" t="s">
        <v>6410</v>
      </c>
      <c r="R213" s="87" t="s">
        <v>6645</v>
      </c>
      <c r="S213" s="87" t="s">
        <v>6440</v>
      </c>
    </row>
    <row r="214" spans="1:19" ht="15.75" customHeight="1">
      <c r="A214" s="9" t="s">
        <v>2834</v>
      </c>
      <c r="C214" s="9" t="s">
        <v>6236</v>
      </c>
      <c r="D214" s="9" t="s">
        <v>431</v>
      </c>
      <c r="E214" s="9" t="s">
        <v>368</v>
      </c>
      <c r="F214" s="9" t="s">
        <v>436</v>
      </c>
      <c r="G214" s="9" t="s">
        <v>434</v>
      </c>
      <c r="H214" s="87" t="s">
        <v>6237</v>
      </c>
      <c r="I214" s="87" t="s">
        <v>6421</v>
      </c>
      <c r="J214" s="87" t="s">
        <v>6348</v>
      </c>
      <c r="K214" s="87" t="s">
        <v>6240</v>
      </c>
      <c r="L214" s="87" t="s">
        <v>6508</v>
      </c>
      <c r="M214" s="9" t="s">
        <v>6741</v>
      </c>
      <c r="N214" s="87" t="s">
        <v>6348</v>
      </c>
      <c r="O214" s="9" t="s">
        <v>6243</v>
      </c>
      <c r="P214" s="87" t="s">
        <v>5381</v>
      </c>
      <c r="Q214" s="87" t="s">
        <v>6421</v>
      </c>
      <c r="R214" s="87" t="s">
        <v>6397</v>
      </c>
      <c r="S214" s="87" t="s">
        <v>6327</v>
      </c>
    </row>
    <row r="215" spans="1:19" ht="15.75" customHeight="1">
      <c r="A215" s="9" t="s">
        <v>3009</v>
      </c>
      <c r="C215" s="9" t="s">
        <v>6236</v>
      </c>
      <c r="D215" s="9" t="s">
        <v>431</v>
      </c>
      <c r="E215" s="9" t="s">
        <v>368</v>
      </c>
      <c r="F215" s="9" t="s">
        <v>436</v>
      </c>
      <c r="G215" s="9" t="s">
        <v>434</v>
      </c>
      <c r="H215" s="87" t="s">
        <v>6237</v>
      </c>
      <c r="I215" s="87" t="s">
        <v>6321</v>
      </c>
      <c r="J215" s="87" t="s">
        <v>6342</v>
      </c>
      <c r="K215" s="87" t="s">
        <v>6240</v>
      </c>
      <c r="L215" s="87" t="s">
        <v>6508</v>
      </c>
      <c r="M215" s="9" t="s">
        <v>6843</v>
      </c>
      <c r="N215" s="87" t="s">
        <v>6342</v>
      </c>
      <c r="O215" s="9" t="s">
        <v>6243</v>
      </c>
      <c r="P215" s="87" t="s">
        <v>6345</v>
      </c>
      <c r="Q215" s="87" t="s">
        <v>6321</v>
      </c>
      <c r="R215" s="87" t="s">
        <v>6645</v>
      </c>
      <c r="S215" s="87" t="s">
        <v>6268</v>
      </c>
    </row>
    <row r="216" spans="1:19" ht="15.75" customHeight="1">
      <c r="A216" s="9" t="s">
        <v>2968</v>
      </c>
      <c r="C216" s="9" t="s">
        <v>6671</v>
      </c>
      <c r="D216" s="9" t="s">
        <v>6672</v>
      </c>
      <c r="E216" s="9" t="s">
        <v>439</v>
      </c>
      <c r="F216" s="9" t="s">
        <v>436</v>
      </c>
      <c r="G216" s="9" t="s">
        <v>440</v>
      </c>
      <c r="H216" s="87" t="s">
        <v>6405</v>
      </c>
      <c r="I216" s="87" t="s">
        <v>6346</v>
      </c>
      <c r="J216" s="87" t="s">
        <v>6810</v>
      </c>
      <c r="K216" s="87" t="s">
        <v>6240</v>
      </c>
      <c r="L216" s="87" t="s">
        <v>6508</v>
      </c>
      <c r="M216" s="9" t="s">
        <v>6844</v>
      </c>
      <c r="N216" s="87" t="s">
        <v>6810</v>
      </c>
      <c r="O216" s="9" t="s">
        <v>6243</v>
      </c>
      <c r="P216" s="87" t="s">
        <v>6484</v>
      </c>
      <c r="Q216" s="87" t="s">
        <v>6346</v>
      </c>
      <c r="R216" s="87" t="s">
        <v>4953</v>
      </c>
      <c r="S216" s="87" t="s">
        <v>6327</v>
      </c>
    </row>
    <row r="217" spans="1:19" ht="15.75" customHeight="1">
      <c r="A217" s="9" t="s">
        <v>3006</v>
      </c>
      <c r="C217" s="9" t="s">
        <v>6671</v>
      </c>
      <c r="D217" s="9" t="s">
        <v>6672</v>
      </c>
      <c r="E217" s="9" t="s">
        <v>439</v>
      </c>
      <c r="F217" s="9" t="s">
        <v>436</v>
      </c>
      <c r="G217" s="9" t="s">
        <v>440</v>
      </c>
      <c r="H217" s="87" t="s">
        <v>6405</v>
      </c>
      <c r="I217" s="87" t="s">
        <v>6248</v>
      </c>
      <c r="J217" s="87" t="s">
        <v>6367</v>
      </c>
      <c r="K217" s="87" t="s">
        <v>6240</v>
      </c>
      <c r="L217" s="87" t="s">
        <v>6508</v>
      </c>
      <c r="M217" s="9" t="s">
        <v>6845</v>
      </c>
      <c r="N217" s="87" t="s">
        <v>6367</v>
      </c>
      <c r="O217" s="9" t="s">
        <v>6243</v>
      </c>
      <c r="P217" s="87" t="s">
        <v>6814</v>
      </c>
      <c r="Q217" s="87" t="s">
        <v>6248</v>
      </c>
      <c r="R217" s="87" t="s">
        <v>6645</v>
      </c>
      <c r="S217" s="87" t="s">
        <v>6528</v>
      </c>
    </row>
    <row r="218" spans="1:19" ht="15.75" customHeight="1">
      <c r="A218" s="9" t="s">
        <v>2870</v>
      </c>
      <c r="C218" s="9" t="s">
        <v>6236</v>
      </c>
      <c r="D218" s="9" t="s">
        <v>431</v>
      </c>
      <c r="E218" s="9" t="s">
        <v>368</v>
      </c>
      <c r="F218" s="9" t="s">
        <v>436</v>
      </c>
      <c r="G218" s="9" t="s">
        <v>434</v>
      </c>
      <c r="H218" s="87" t="s">
        <v>6237</v>
      </c>
      <c r="I218" s="87" t="s">
        <v>6410</v>
      </c>
      <c r="J218" s="87" t="s">
        <v>6239</v>
      </c>
      <c r="K218" s="87" t="s">
        <v>6240</v>
      </c>
      <c r="L218" s="87" t="s">
        <v>6422</v>
      </c>
      <c r="M218" s="9" t="s">
        <v>6676</v>
      </c>
      <c r="N218" s="87" t="s">
        <v>6239</v>
      </c>
      <c r="O218" s="9" t="s">
        <v>6243</v>
      </c>
      <c r="P218" s="87" t="s">
        <v>3764</v>
      </c>
      <c r="Q218" s="87" t="s">
        <v>6410</v>
      </c>
      <c r="R218" s="87" t="s">
        <v>6645</v>
      </c>
      <c r="S218" s="87" t="s">
        <v>6327</v>
      </c>
    </row>
    <row r="219" spans="1:19" ht="15.75" customHeight="1">
      <c r="A219" s="9" t="s">
        <v>3009</v>
      </c>
      <c r="C219" s="9" t="s">
        <v>6236</v>
      </c>
      <c r="D219" s="9" t="s">
        <v>431</v>
      </c>
      <c r="E219" s="9" t="s">
        <v>368</v>
      </c>
      <c r="F219" s="9" t="s">
        <v>436</v>
      </c>
      <c r="G219" s="9" t="s">
        <v>434</v>
      </c>
      <c r="H219" s="87" t="s">
        <v>6237</v>
      </c>
      <c r="I219" s="87" t="s">
        <v>6321</v>
      </c>
      <c r="J219" s="87" t="s">
        <v>6329</v>
      </c>
      <c r="K219" s="87" t="s">
        <v>6240</v>
      </c>
      <c r="L219" s="87" t="s">
        <v>6495</v>
      </c>
      <c r="M219" s="9" t="s">
        <v>6818</v>
      </c>
      <c r="N219" s="87" t="s">
        <v>6329</v>
      </c>
      <c r="O219" s="9" t="s">
        <v>6243</v>
      </c>
      <c r="P219" s="87" t="s">
        <v>6448</v>
      </c>
      <c r="Q219" s="87" t="s">
        <v>6321</v>
      </c>
      <c r="R219" s="87" t="s">
        <v>6486</v>
      </c>
      <c r="S219" s="87" t="s">
        <v>6327</v>
      </c>
    </row>
    <row r="220" spans="1:19" ht="15.75" customHeight="1">
      <c r="A220" s="9" t="s">
        <v>2995</v>
      </c>
      <c r="C220" s="9" t="s">
        <v>6236</v>
      </c>
      <c r="D220" s="9" t="s">
        <v>431</v>
      </c>
      <c r="E220" s="9" t="s">
        <v>368</v>
      </c>
      <c r="F220" s="9" t="s">
        <v>436</v>
      </c>
      <c r="G220" s="9" t="s">
        <v>434</v>
      </c>
      <c r="H220" s="87" t="s">
        <v>6237</v>
      </c>
      <c r="I220" s="87" t="s">
        <v>6260</v>
      </c>
      <c r="J220" s="87" t="s">
        <v>6260</v>
      </c>
      <c r="K220" s="87" t="s">
        <v>6240</v>
      </c>
      <c r="L220" s="87" t="s">
        <v>6495</v>
      </c>
      <c r="M220" s="9" t="s">
        <v>6846</v>
      </c>
      <c r="N220" s="87" t="s">
        <v>6260</v>
      </c>
      <c r="O220" s="9" t="s">
        <v>6243</v>
      </c>
      <c r="P220" s="87" t="s">
        <v>4014</v>
      </c>
      <c r="Q220" s="87" t="s">
        <v>6260</v>
      </c>
      <c r="R220" s="87" t="s">
        <v>6532</v>
      </c>
      <c r="S220" s="87" t="s">
        <v>6484</v>
      </c>
    </row>
    <row r="221" spans="1:19" ht="15.75" customHeight="1">
      <c r="A221" s="9" t="s">
        <v>3006</v>
      </c>
      <c r="C221" s="9" t="s">
        <v>6671</v>
      </c>
      <c r="D221" s="9" t="s">
        <v>6672</v>
      </c>
      <c r="E221" s="9" t="s">
        <v>439</v>
      </c>
      <c r="F221" s="9" t="s">
        <v>436</v>
      </c>
      <c r="G221" s="9" t="s">
        <v>440</v>
      </c>
      <c r="H221" s="87" t="s">
        <v>6405</v>
      </c>
      <c r="I221" s="87" t="s">
        <v>6248</v>
      </c>
      <c r="J221" s="87" t="s">
        <v>6239</v>
      </c>
      <c r="K221" s="87" t="s">
        <v>6240</v>
      </c>
      <c r="L221" s="87" t="s">
        <v>6495</v>
      </c>
      <c r="M221" s="9" t="s">
        <v>6676</v>
      </c>
      <c r="N221" s="87" t="s">
        <v>6239</v>
      </c>
      <c r="O221" s="9" t="s">
        <v>6243</v>
      </c>
      <c r="P221" s="87" t="s">
        <v>3764</v>
      </c>
      <c r="Q221" s="87" t="s">
        <v>6248</v>
      </c>
      <c r="R221" s="87" t="s">
        <v>6645</v>
      </c>
      <c r="S221" s="87" t="s">
        <v>6327</v>
      </c>
    </row>
    <row r="222" spans="1:19" ht="15.75" customHeight="1">
      <c r="A222" s="9" t="s">
        <v>2940</v>
      </c>
      <c r="C222" s="9" t="s">
        <v>6236</v>
      </c>
      <c r="D222" s="9" t="s">
        <v>431</v>
      </c>
      <c r="E222" s="9" t="s">
        <v>368</v>
      </c>
      <c r="F222" s="9" t="s">
        <v>436</v>
      </c>
      <c r="G222" s="9" t="s">
        <v>434</v>
      </c>
      <c r="H222" s="87" t="s">
        <v>6264</v>
      </c>
      <c r="I222" s="87" t="s">
        <v>6504</v>
      </c>
      <c r="J222" s="87" t="s">
        <v>6313</v>
      </c>
      <c r="K222" s="87" t="s">
        <v>6240</v>
      </c>
      <c r="L222" s="87" t="s">
        <v>6495</v>
      </c>
      <c r="M222" s="9" t="s">
        <v>6847</v>
      </c>
      <c r="N222" s="87" t="s">
        <v>6313</v>
      </c>
      <c r="O222" s="9" t="s">
        <v>6243</v>
      </c>
      <c r="P222" s="87" t="s">
        <v>6357</v>
      </c>
      <c r="Q222" s="87" t="s">
        <v>6504</v>
      </c>
      <c r="R222" s="87" t="s">
        <v>6645</v>
      </c>
      <c r="S222" s="87" t="s">
        <v>6267</v>
      </c>
    </row>
    <row r="223" spans="1:19" ht="15.75" customHeight="1">
      <c r="A223" s="9" t="s">
        <v>2883</v>
      </c>
      <c r="C223" s="9" t="s">
        <v>6671</v>
      </c>
      <c r="D223" s="9" t="s">
        <v>6672</v>
      </c>
      <c r="E223" s="9" t="s">
        <v>439</v>
      </c>
      <c r="F223" s="9" t="s">
        <v>436</v>
      </c>
      <c r="G223" s="9" t="s">
        <v>440</v>
      </c>
      <c r="H223" s="87" t="s">
        <v>6405</v>
      </c>
      <c r="I223" s="87" t="s">
        <v>6405</v>
      </c>
      <c r="J223" s="87" t="s">
        <v>6405</v>
      </c>
      <c r="K223" s="87" t="s">
        <v>6240</v>
      </c>
      <c r="L223" s="87" t="s">
        <v>6492</v>
      </c>
      <c r="M223" s="9" t="s">
        <v>6848</v>
      </c>
      <c r="N223" s="87" t="s">
        <v>6405</v>
      </c>
      <c r="O223" s="9" t="s">
        <v>6243</v>
      </c>
      <c r="P223" s="87" t="s">
        <v>6240</v>
      </c>
      <c r="Q223" s="87" t="s">
        <v>6405</v>
      </c>
      <c r="R223" s="87" t="s">
        <v>6348</v>
      </c>
      <c r="S223" s="87" t="s">
        <v>6348</v>
      </c>
    </row>
    <row r="224" spans="1:19" ht="15.75" customHeight="1">
      <c r="A224" s="9" t="s">
        <v>3004</v>
      </c>
      <c r="C224" s="9" t="s">
        <v>6671</v>
      </c>
      <c r="D224" s="9" t="s">
        <v>6672</v>
      </c>
      <c r="E224" s="9" t="s">
        <v>439</v>
      </c>
      <c r="F224" s="9" t="s">
        <v>436</v>
      </c>
      <c r="G224" s="9" t="s">
        <v>440</v>
      </c>
      <c r="H224" s="87" t="s">
        <v>6405</v>
      </c>
      <c r="I224" s="87" t="s">
        <v>6405</v>
      </c>
      <c r="J224" s="87" t="s">
        <v>6405</v>
      </c>
      <c r="K224" s="87" t="s">
        <v>6240</v>
      </c>
      <c r="L224" s="87" t="s">
        <v>6492</v>
      </c>
      <c r="M224" s="9" t="s">
        <v>6849</v>
      </c>
      <c r="N224" s="87" t="s">
        <v>6405</v>
      </c>
      <c r="O224" s="9" t="s">
        <v>6243</v>
      </c>
      <c r="P224" s="87" t="s">
        <v>6240</v>
      </c>
      <c r="Q224" s="87" t="s">
        <v>6405</v>
      </c>
      <c r="R224" s="87" t="s">
        <v>6313</v>
      </c>
      <c r="S224" s="87" t="s">
        <v>6313</v>
      </c>
    </row>
    <row r="225" spans="1:19" ht="15.75" customHeight="1">
      <c r="A225" s="9" t="s">
        <v>3006</v>
      </c>
      <c r="C225" s="9" t="s">
        <v>6671</v>
      </c>
      <c r="D225" s="9" t="s">
        <v>6672</v>
      </c>
      <c r="E225" s="9" t="s">
        <v>439</v>
      </c>
      <c r="F225" s="9" t="s">
        <v>436</v>
      </c>
      <c r="G225" s="9" t="s">
        <v>440</v>
      </c>
      <c r="H225" s="87" t="s">
        <v>6405</v>
      </c>
      <c r="I225" s="87" t="s">
        <v>6248</v>
      </c>
      <c r="J225" s="87" t="s">
        <v>6334</v>
      </c>
      <c r="K225" s="87" t="s">
        <v>6240</v>
      </c>
      <c r="L225" s="87" t="s">
        <v>6492</v>
      </c>
      <c r="M225" s="9" t="s">
        <v>6777</v>
      </c>
      <c r="N225" s="87" t="s">
        <v>6334</v>
      </c>
      <c r="O225" s="9" t="s">
        <v>6243</v>
      </c>
      <c r="P225" s="87" t="s">
        <v>6290</v>
      </c>
      <c r="Q225" s="87" t="s">
        <v>6248</v>
      </c>
      <c r="R225" s="87" t="s">
        <v>6642</v>
      </c>
      <c r="S225" s="87" t="s">
        <v>6327</v>
      </c>
    </row>
    <row r="226" spans="1:19" ht="15.75" customHeight="1">
      <c r="A226" s="9" t="s">
        <v>2940</v>
      </c>
      <c r="C226" s="9" t="s">
        <v>6236</v>
      </c>
      <c r="D226" s="9" t="s">
        <v>431</v>
      </c>
      <c r="E226" s="9" t="s">
        <v>368</v>
      </c>
      <c r="F226" s="9" t="s">
        <v>436</v>
      </c>
      <c r="G226" s="9" t="s">
        <v>434</v>
      </c>
      <c r="H226" s="87" t="s">
        <v>6264</v>
      </c>
      <c r="I226" s="87" t="s">
        <v>6504</v>
      </c>
      <c r="J226" s="87" t="s">
        <v>6239</v>
      </c>
      <c r="K226" s="87" t="s">
        <v>6240</v>
      </c>
      <c r="L226" s="87" t="s">
        <v>6492</v>
      </c>
      <c r="M226" s="9" t="s">
        <v>6676</v>
      </c>
      <c r="N226" s="87" t="s">
        <v>6239</v>
      </c>
      <c r="O226" s="9" t="s">
        <v>6243</v>
      </c>
      <c r="P226" s="87" t="s">
        <v>3764</v>
      </c>
      <c r="Q226" s="87" t="s">
        <v>6504</v>
      </c>
      <c r="R226" s="87" t="s">
        <v>6645</v>
      </c>
      <c r="S226" s="87" t="s">
        <v>6327</v>
      </c>
    </row>
    <row r="227" spans="1:19" ht="15.75" customHeight="1">
      <c r="A227" s="9" t="s">
        <v>2904</v>
      </c>
      <c r="C227" s="9" t="s">
        <v>6671</v>
      </c>
      <c r="D227" s="9" t="s">
        <v>6672</v>
      </c>
      <c r="E227" s="9" t="s">
        <v>439</v>
      </c>
      <c r="F227" s="9" t="s">
        <v>436</v>
      </c>
      <c r="G227" s="9" t="s">
        <v>440</v>
      </c>
      <c r="H227" s="87" t="s">
        <v>6405</v>
      </c>
      <c r="I227" s="87" t="s">
        <v>6296</v>
      </c>
      <c r="J227" s="87" t="s">
        <v>6296</v>
      </c>
      <c r="K227" s="87" t="s">
        <v>6240</v>
      </c>
      <c r="L227" s="87" t="s">
        <v>6492</v>
      </c>
      <c r="M227" s="9" t="s">
        <v>6850</v>
      </c>
      <c r="N227" s="87" t="s">
        <v>6296</v>
      </c>
      <c r="O227" s="9" t="s">
        <v>6243</v>
      </c>
      <c r="P227" s="87" t="s">
        <v>6287</v>
      </c>
      <c r="Q227" s="87" t="s">
        <v>6296</v>
      </c>
      <c r="R227" s="87" t="s">
        <v>6329</v>
      </c>
      <c r="S227" s="87" t="s">
        <v>6421</v>
      </c>
    </row>
    <row r="228" spans="1:19" ht="15.75" customHeight="1">
      <c r="A228" s="9" t="s">
        <v>3032</v>
      </c>
      <c r="C228" s="9" t="s">
        <v>6671</v>
      </c>
      <c r="D228" s="9" t="s">
        <v>6672</v>
      </c>
      <c r="E228" s="9" t="s">
        <v>439</v>
      </c>
      <c r="F228" s="9" t="s">
        <v>436</v>
      </c>
      <c r="G228" s="9" t="s">
        <v>440</v>
      </c>
      <c r="H228" s="87" t="s">
        <v>6405</v>
      </c>
      <c r="I228" s="87" t="s">
        <v>6815</v>
      </c>
      <c r="J228" s="87" t="s">
        <v>6619</v>
      </c>
      <c r="K228" s="87" t="s">
        <v>6240</v>
      </c>
      <c r="L228" s="87" t="s">
        <v>6492</v>
      </c>
      <c r="M228" s="9" t="s">
        <v>6851</v>
      </c>
      <c r="N228" s="87" t="s">
        <v>6619</v>
      </c>
      <c r="O228" s="9" t="s">
        <v>6243</v>
      </c>
      <c r="P228" s="87" t="s">
        <v>6852</v>
      </c>
      <c r="Q228" s="87" t="s">
        <v>6815</v>
      </c>
      <c r="R228" s="87" t="s">
        <v>6645</v>
      </c>
      <c r="S228" s="87" t="s">
        <v>6323</v>
      </c>
    </row>
    <row r="229" spans="1:19" ht="15.75" customHeight="1">
      <c r="A229" s="9" t="s">
        <v>2940</v>
      </c>
      <c r="C229" s="9" t="s">
        <v>6236</v>
      </c>
      <c r="D229" s="9" t="s">
        <v>431</v>
      </c>
      <c r="E229" s="9" t="s">
        <v>368</v>
      </c>
      <c r="F229" s="9" t="s">
        <v>436</v>
      </c>
      <c r="G229" s="9" t="s">
        <v>434</v>
      </c>
      <c r="H229" s="87" t="s">
        <v>6264</v>
      </c>
      <c r="I229" s="87" t="s">
        <v>6504</v>
      </c>
      <c r="J229" s="87" t="s">
        <v>6239</v>
      </c>
      <c r="K229" s="87" t="s">
        <v>6240</v>
      </c>
      <c r="L229" s="87" t="s">
        <v>6491</v>
      </c>
      <c r="M229" s="9" t="s">
        <v>6676</v>
      </c>
      <c r="N229" s="87" t="s">
        <v>6239</v>
      </c>
      <c r="O229" s="9" t="s">
        <v>6243</v>
      </c>
      <c r="P229" s="87" t="s">
        <v>3764</v>
      </c>
      <c r="Q229" s="87" t="s">
        <v>6504</v>
      </c>
      <c r="R229" s="87" t="s">
        <v>6645</v>
      </c>
      <c r="S229" s="87" t="s">
        <v>6327</v>
      </c>
    </row>
    <row r="230" spans="1:19" ht="15.75" customHeight="1">
      <c r="A230" s="9" t="s">
        <v>3032</v>
      </c>
      <c r="C230" s="9" t="s">
        <v>6671</v>
      </c>
      <c r="D230" s="9" t="s">
        <v>6672</v>
      </c>
      <c r="E230" s="9" t="s">
        <v>439</v>
      </c>
      <c r="F230" s="9" t="s">
        <v>436</v>
      </c>
      <c r="G230" s="9" t="s">
        <v>440</v>
      </c>
      <c r="H230" s="87" t="s">
        <v>6405</v>
      </c>
      <c r="I230" s="87" t="s">
        <v>6815</v>
      </c>
      <c r="J230" s="87" t="s">
        <v>6239</v>
      </c>
      <c r="K230" s="87" t="s">
        <v>6240</v>
      </c>
      <c r="L230" s="87" t="s">
        <v>6491</v>
      </c>
      <c r="M230" s="9" t="s">
        <v>6676</v>
      </c>
      <c r="N230" s="87" t="s">
        <v>6239</v>
      </c>
      <c r="O230" s="9" t="s">
        <v>6243</v>
      </c>
      <c r="P230" s="87" t="s">
        <v>3764</v>
      </c>
      <c r="Q230" s="87" t="s">
        <v>6815</v>
      </c>
      <c r="R230" s="87" t="s">
        <v>6645</v>
      </c>
      <c r="S230" s="87" t="s">
        <v>6327</v>
      </c>
    </row>
    <row r="231" spans="1:19" ht="15.75" customHeight="1">
      <c r="A231" s="9" t="s">
        <v>3030</v>
      </c>
      <c r="C231" s="9" t="s">
        <v>6236</v>
      </c>
      <c r="D231" s="9" t="s">
        <v>431</v>
      </c>
      <c r="E231" s="9" t="s">
        <v>368</v>
      </c>
      <c r="F231" s="9" t="s">
        <v>436</v>
      </c>
      <c r="G231" s="9" t="s">
        <v>434</v>
      </c>
      <c r="H231" s="87" t="s">
        <v>6237</v>
      </c>
      <c r="I231" s="87" t="s">
        <v>6401</v>
      </c>
      <c r="J231" s="87" t="s">
        <v>6401</v>
      </c>
      <c r="K231" s="87" t="s">
        <v>6240</v>
      </c>
      <c r="L231" s="87" t="s">
        <v>6490</v>
      </c>
      <c r="M231" s="9" t="s">
        <v>6853</v>
      </c>
      <c r="N231" s="87" t="s">
        <v>6401</v>
      </c>
      <c r="O231" s="9" t="s">
        <v>6243</v>
      </c>
      <c r="P231" s="87" t="s">
        <v>6403</v>
      </c>
      <c r="Q231" s="87" t="s">
        <v>6401</v>
      </c>
      <c r="R231" s="87" t="s">
        <v>6416</v>
      </c>
      <c r="S231" s="87" t="s">
        <v>6411</v>
      </c>
    </row>
    <row r="232" spans="1:19" ht="15.75" customHeight="1">
      <c r="A232" s="9" t="s">
        <v>2968</v>
      </c>
      <c r="C232" s="9" t="s">
        <v>6236</v>
      </c>
      <c r="D232" s="9" t="s">
        <v>431</v>
      </c>
      <c r="E232" s="9" t="s">
        <v>368</v>
      </c>
      <c r="F232" s="9" t="s">
        <v>436</v>
      </c>
      <c r="G232" s="9" t="s">
        <v>434</v>
      </c>
      <c r="H232" s="87" t="s">
        <v>6264</v>
      </c>
      <c r="I232" s="87" t="s">
        <v>6392</v>
      </c>
      <c r="J232" s="87" t="s">
        <v>6433</v>
      </c>
      <c r="K232" s="87" t="s">
        <v>6240</v>
      </c>
      <c r="L232" s="87" t="s">
        <v>6490</v>
      </c>
      <c r="M232" s="9" t="s">
        <v>6854</v>
      </c>
      <c r="N232" s="87" t="s">
        <v>6433</v>
      </c>
      <c r="O232" s="9" t="s">
        <v>6243</v>
      </c>
      <c r="P232" s="87" t="s">
        <v>6305</v>
      </c>
      <c r="Q232" s="87" t="s">
        <v>6392</v>
      </c>
      <c r="R232" s="87" t="s">
        <v>6645</v>
      </c>
      <c r="S232" s="87" t="s">
        <v>6479</v>
      </c>
    </row>
    <row r="233" spans="1:19" ht="15.75" customHeight="1">
      <c r="A233" s="9" t="s">
        <v>2940</v>
      </c>
      <c r="C233" s="9" t="s">
        <v>6236</v>
      </c>
      <c r="D233" s="9" t="s">
        <v>431</v>
      </c>
      <c r="E233" s="9" t="s">
        <v>368</v>
      </c>
      <c r="F233" s="9" t="s">
        <v>436</v>
      </c>
      <c r="G233" s="9" t="s">
        <v>434</v>
      </c>
      <c r="H233" s="87" t="s">
        <v>6264</v>
      </c>
      <c r="I233" s="87" t="s">
        <v>6504</v>
      </c>
      <c r="J233" s="87" t="s">
        <v>6435</v>
      </c>
      <c r="K233" s="87" t="s">
        <v>6240</v>
      </c>
      <c r="L233" s="87" t="s">
        <v>6490</v>
      </c>
      <c r="M233" s="9" t="s">
        <v>6855</v>
      </c>
      <c r="N233" s="87" t="s">
        <v>6435</v>
      </c>
      <c r="O233" s="9" t="s">
        <v>6243</v>
      </c>
      <c r="P233" s="87" t="s">
        <v>6250</v>
      </c>
      <c r="Q233" s="87" t="s">
        <v>6504</v>
      </c>
      <c r="R233" s="87" t="s">
        <v>6433</v>
      </c>
      <c r="S233" s="87" t="s">
        <v>6327</v>
      </c>
    </row>
    <row r="234" spans="1:19" ht="15.75" customHeight="1">
      <c r="A234" s="9" t="s">
        <v>3032</v>
      </c>
      <c r="C234" s="9" t="s">
        <v>6671</v>
      </c>
      <c r="D234" s="9" t="s">
        <v>6672</v>
      </c>
      <c r="E234" s="9" t="s">
        <v>439</v>
      </c>
      <c r="F234" s="9" t="s">
        <v>436</v>
      </c>
      <c r="G234" s="9" t="s">
        <v>440</v>
      </c>
      <c r="H234" s="87" t="s">
        <v>6405</v>
      </c>
      <c r="I234" s="87" t="s">
        <v>6815</v>
      </c>
      <c r="J234" s="87" t="s">
        <v>6239</v>
      </c>
      <c r="K234" s="87" t="s">
        <v>6240</v>
      </c>
      <c r="L234" s="87" t="s">
        <v>6490</v>
      </c>
      <c r="M234" s="9" t="s">
        <v>6676</v>
      </c>
      <c r="N234" s="87" t="s">
        <v>6239</v>
      </c>
      <c r="O234" s="9" t="s">
        <v>6243</v>
      </c>
      <c r="P234" s="87" t="s">
        <v>3764</v>
      </c>
      <c r="Q234" s="87" t="s">
        <v>6815</v>
      </c>
      <c r="R234" s="87" t="s">
        <v>6645</v>
      </c>
      <c r="S234" s="87" t="s">
        <v>6327</v>
      </c>
    </row>
    <row r="235" spans="1:19" ht="15.75" customHeight="1">
      <c r="A235" s="9" t="s">
        <v>2979</v>
      </c>
      <c r="C235" s="9" t="s">
        <v>6236</v>
      </c>
      <c r="D235" s="9" t="s">
        <v>431</v>
      </c>
      <c r="E235" s="9" t="s">
        <v>368</v>
      </c>
      <c r="F235" s="9" t="s">
        <v>436</v>
      </c>
      <c r="G235" s="9" t="s">
        <v>434</v>
      </c>
      <c r="H235" s="87" t="s">
        <v>6264</v>
      </c>
      <c r="I235" s="87" t="s">
        <v>6273</v>
      </c>
      <c r="J235" s="87" t="s">
        <v>6273</v>
      </c>
      <c r="K235" s="87" t="s">
        <v>6240</v>
      </c>
      <c r="L235" s="87" t="s">
        <v>6481</v>
      </c>
      <c r="M235" s="9" t="s">
        <v>6856</v>
      </c>
      <c r="N235" s="87" t="s">
        <v>6273</v>
      </c>
      <c r="O235" s="9" t="s">
        <v>6243</v>
      </c>
      <c r="P235" s="87" t="s">
        <v>6276</v>
      </c>
      <c r="Q235" s="87" t="s">
        <v>6273</v>
      </c>
      <c r="R235" s="87" t="s">
        <v>6532</v>
      </c>
      <c r="S235" s="87" t="s">
        <v>6293</v>
      </c>
    </row>
    <row r="236" spans="1:19" ht="15.75" customHeight="1">
      <c r="A236" s="9" t="s">
        <v>2968</v>
      </c>
      <c r="C236" s="9" t="s">
        <v>6236</v>
      </c>
      <c r="D236" s="9" t="s">
        <v>431</v>
      </c>
      <c r="E236" s="9" t="s">
        <v>368</v>
      </c>
      <c r="F236" s="9" t="s">
        <v>436</v>
      </c>
      <c r="G236" s="9" t="s">
        <v>434</v>
      </c>
      <c r="H236" s="87" t="s">
        <v>6264</v>
      </c>
      <c r="I236" s="87" t="s">
        <v>6392</v>
      </c>
      <c r="J236" s="87" t="s">
        <v>6346</v>
      </c>
      <c r="K236" s="87" t="s">
        <v>6240</v>
      </c>
      <c r="L236" s="87" t="s">
        <v>6481</v>
      </c>
      <c r="M236" s="9" t="s">
        <v>6772</v>
      </c>
      <c r="N236" s="87" t="s">
        <v>6346</v>
      </c>
      <c r="O236" s="9" t="s">
        <v>6243</v>
      </c>
      <c r="P236" s="87" t="s">
        <v>6366</v>
      </c>
      <c r="Q236" s="87" t="s">
        <v>6392</v>
      </c>
      <c r="R236" s="87" t="s">
        <v>6370</v>
      </c>
      <c r="S236" s="87" t="s">
        <v>6327</v>
      </c>
    </row>
    <row r="237" spans="1:19" ht="15.75" customHeight="1">
      <c r="A237" s="9" t="s">
        <v>3006</v>
      </c>
      <c r="C237" s="9" t="s">
        <v>6236</v>
      </c>
      <c r="D237" s="9" t="s">
        <v>431</v>
      </c>
      <c r="E237" s="9" t="s">
        <v>368</v>
      </c>
      <c r="F237" s="9" t="s">
        <v>436</v>
      </c>
      <c r="G237" s="9" t="s">
        <v>434</v>
      </c>
      <c r="H237" s="87" t="s">
        <v>6237</v>
      </c>
      <c r="I237" s="87" t="s">
        <v>4014</v>
      </c>
      <c r="J237" s="87" t="s">
        <v>6313</v>
      </c>
      <c r="K237" s="87" t="s">
        <v>6240</v>
      </c>
      <c r="L237" s="87" t="s">
        <v>6481</v>
      </c>
      <c r="M237" s="9" t="s">
        <v>6847</v>
      </c>
      <c r="N237" s="87" t="s">
        <v>6313</v>
      </c>
      <c r="O237" s="9" t="s">
        <v>6243</v>
      </c>
      <c r="P237" s="87" t="s">
        <v>6357</v>
      </c>
      <c r="Q237" s="87" t="s">
        <v>4014</v>
      </c>
      <c r="R237" s="87" t="s">
        <v>6645</v>
      </c>
      <c r="S237" s="87" t="s">
        <v>6267</v>
      </c>
    </row>
    <row r="238" spans="1:19" ht="15.75" customHeight="1">
      <c r="A238" s="9" t="s">
        <v>3032</v>
      </c>
      <c r="C238" s="9" t="s">
        <v>6671</v>
      </c>
      <c r="D238" s="9" t="s">
        <v>6672</v>
      </c>
      <c r="E238" s="9" t="s">
        <v>439</v>
      </c>
      <c r="F238" s="9" t="s">
        <v>436</v>
      </c>
      <c r="G238" s="9" t="s">
        <v>440</v>
      </c>
      <c r="H238" s="87" t="s">
        <v>6405</v>
      </c>
      <c r="I238" s="87" t="s">
        <v>6815</v>
      </c>
      <c r="J238" s="87" t="s">
        <v>6239</v>
      </c>
      <c r="K238" s="87" t="s">
        <v>6240</v>
      </c>
      <c r="L238" s="87" t="s">
        <v>6481</v>
      </c>
      <c r="M238" s="9" t="s">
        <v>6676</v>
      </c>
      <c r="N238" s="87" t="s">
        <v>6239</v>
      </c>
      <c r="O238" s="9" t="s">
        <v>6243</v>
      </c>
      <c r="P238" s="87" t="s">
        <v>3764</v>
      </c>
      <c r="Q238" s="87" t="s">
        <v>6815</v>
      </c>
      <c r="R238" s="87" t="s">
        <v>6645</v>
      </c>
      <c r="S238" s="87" t="s">
        <v>6327</v>
      </c>
    </row>
    <row r="239" spans="1:19" ht="15.75" customHeight="1">
      <c r="A239" s="9" t="s">
        <v>3023</v>
      </c>
      <c r="C239" s="9" t="s">
        <v>6671</v>
      </c>
      <c r="D239" s="9" t="s">
        <v>6672</v>
      </c>
      <c r="E239" s="9" t="s">
        <v>439</v>
      </c>
      <c r="F239" s="9" t="s">
        <v>436</v>
      </c>
      <c r="G239" s="9" t="s">
        <v>440</v>
      </c>
      <c r="H239" s="87" t="s">
        <v>6405</v>
      </c>
      <c r="I239" s="87" t="s">
        <v>6351</v>
      </c>
      <c r="J239" s="87" t="s">
        <v>6290</v>
      </c>
      <c r="K239" s="87" t="s">
        <v>6240</v>
      </c>
      <c r="L239" s="87" t="s">
        <v>6364</v>
      </c>
      <c r="M239" s="9" t="s">
        <v>6735</v>
      </c>
      <c r="N239" s="87" t="s">
        <v>6290</v>
      </c>
      <c r="O239" s="9" t="s">
        <v>6243</v>
      </c>
      <c r="P239" s="87" t="s">
        <v>6293</v>
      </c>
      <c r="Q239" s="87" t="s">
        <v>6351</v>
      </c>
      <c r="R239" s="87" t="s">
        <v>6645</v>
      </c>
      <c r="S239" s="87" t="s">
        <v>6525</v>
      </c>
    </row>
    <row r="240" spans="1:19" ht="15.75" customHeight="1">
      <c r="A240" s="9" t="s">
        <v>2987</v>
      </c>
      <c r="C240" s="9" t="s">
        <v>6236</v>
      </c>
      <c r="D240" s="9" t="s">
        <v>431</v>
      </c>
      <c r="E240" s="9" t="s">
        <v>368</v>
      </c>
      <c r="F240" s="9" t="s">
        <v>436</v>
      </c>
      <c r="G240" s="9" t="s">
        <v>434</v>
      </c>
      <c r="H240" s="87" t="s">
        <v>6237</v>
      </c>
      <c r="I240" s="87" t="s">
        <v>6299</v>
      </c>
      <c r="J240" s="87" t="s">
        <v>6299</v>
      </c>
      <c r="K240" s="87" t="s">
        <v>6240</v>
      </c>
      <c r="L240" s="87" t="s">
        <v>6364</v>
      </c>
      <c r="M240" s="9" t="s">
        <v>6857</v>
      </c>
      <c r="N240" s="87" t="s">
        <v>6299</v>
      </c>
      <c r="O240" s="9" t="s">
        <v>6243</v>
      </c>
      <c r="P240" s="87" t="s">
        <v>3231</v>
      </c>
      <c r="Q240" s="87" t="s">
        <v>6299</v>
      </c>
      <c r="R240" s="87" t="s">
        <v>6525</v>
      </c>
      <c r="S240" s="87" t="s">
        <v>6606</v>
      </c>
    </row>
    <row r="241" spans="1:19" ht="15.75" customHeight="1">
      <c r="A241" s="9" t="s">
        <v>2866</v>
      </c>
      <c r="C241" s="9" t="s">
        <v>6236</v>
      </c>
      <c r="D241" s="9" t="s">
        <v>431</v>
      </c>
      <c r="E241" s="9" t="s">
        <v>368</v>
      </c>
      <c r="F241" s="9" t="s">
        <v>436</v>
      </c>
      <c r="G241" s="9" t="s">
        <v>434</v>
      </c>
      <c r="H241" s="87" t="s">
        <v>6264</v>
      </c>
      <c r="I241" s="87" t="s">
        <v>6346</v>
      </c>
      <c r="J241" s="87" t="s">
        <v>6810</v>
      </c>
      <c r="K241" s="87" t="s">
        <v>6240</v>
      </c>
      <c r="L241" s="87" t="s">
        <v>6364</v>
      </c>
      <c r="M241" s="9" t="s">
        <v>6811</v>
      </c>
      <c r="N241" s="87" t="s">
        <v>6810</v>
      </c>
      <c r="O241" s="9" t="s">
        <v>6243</v>
      </c>
      <c r="P241" s="87" t="s">
        <v>6484</v>
      </c>
      <c r="Q241" s="87" t="s">
        <v>6346</v>
      </c>
      <c r="R241" s="87" t="s">
        <v>6645</v>
      </c>
      <c r="S241" s="87" t="s">
        <v>6443</v>
      </c>
    </row>
    <row r="242" spans="1:19" ht="15.75" customHeight="1">
      <c r="A242" s="9" t="s">
        <v>3001</v>
      </c>
      <c r="C242" s="9" t="s">
        <v>6671</v>
      </c>
      <c r="D242" s="9" t="s">
        <v>6672</v>
      </c>
      <c r="E242" s="9" t="s">
        <v>439</v>
      </c>
      <c r="F242" s="9" t="s">
        <v>436</v>
      </c>
      <c r="G242" s="9" t="s">
        <v>440</v>
      </c>
      <c r="H242" s="87" t="s">
        <v>6405</v>
      </c>
      <c r="I242" s="87" t="s">
        <v>6357</v>
      </c>
      <c r="J242" s="87" t="s">
        <v>6357</v>
      </c>
      <c r="K242" s="87" t="s">
        <v>6240</v>
      </c>
      <c r="L242" s="87" t="s">
        <v>6364</v>
      </c>
      <c r="M242" s="9" t="s">
        <v>6858</v>
      </c>
      <c r="N242" s="87" t="s">
        <v>6357</v>
      </c>
      <c r="O242" s="9" t="s">
        <v>6243</v>
      </c>
      <c r="P242" s="87" t="s">
        <v>6565</v>
      </c>
      <c r="Q242" s="87" t="s">
        <v>6357</v>
      </c>
      <c r="R242" s="87" t="s">
        <v>6733</v>
      </c>
      <c r="S242" s="87" t="s">
        <v>6411</v>
      </c>
    </row>
    <row r="243" spans="1:19" ht="15.75" customHeight="1">
      <c r="A243" s="9" t="s">
        <v>3023</v>
      </c>
      <c r="C243" s="9" t="s">
        <v>6671</v>
      </c>
      <c r="D243" s="9" t="s">
        <v>6672</v>
      </c>
      <c r="E243" s="9" t="s">
        <v>439</v>
      </c>
      <c r="F243" s="9" t="s">
        <v>436</v>
      </c>
      <c r="G243" s="9" t="s">
        <v>440</v>
      </c>
      <c r="H243" s="87" t="s">
        <v>6405</v>
      </c>
      <c r="I243" s="87" t="s">
        <v>6351</v>
      </c>
      <c r="J243" s="87" t="s">
        <v>6239</v>
      </c>
      <c r="K243" s="87" t="s">
        <v>6240</v>
      </c>
      <c r="L243" s="87" t="s">
        <v>6358</v>
      </c>
      <c r="M243" s="9" t="s">
        <v>6676</v>
      </c>
      <c r="N243" s="87" t="s">
        <v>6239</v>
      </c>
      <c r="O243" s="9" t="s">
        <v>6243</v>
      </c>
      <c r="P243" s="87" t="s">
        <v>3764</v>
      </c>
      <c r="Q243" s="87" t="s">
        <v>6351</v>
      </c>
      <c r="R243" s="87" t="s">
        <v>6645</v>
      </c>
      <c r="S243" s="87" t="s">
        <v>6327</v>
      </c>
    </row>
    <row r="244" spans="1:19" ht="15.75" customHeight="1">
      <c r="A244" s="9" t="s">
        <v>2866</v>
      </c>
      <c r="C244" s="9" t="s">
        <v>6236</v>
      </c>
      <c r="D244" s="9" t="s">
        <v>431</v>
      </c>
      <c r="E244" s="9" t="s">
        <v>368</v>
      </c>
      <c r="F244" s="9" t="s">
        <v>436</v>
      </c>
      <c r="G244" s="9" t="s">
        <v>434</v>
      </c>
      <c r="H244" s="87" t="s">
        <v>6264</v>
      </c>
      <c r="I244" s="87" t="s">
        <v>6346</v>
      </c>
      <c r="J244" s="87" t="s">
        <v>6280</v>
      </c>
      <c r="K244" s="87" t="s">
        <v>6240</v>
      </c>
      <c r="L244" s="87" t="s">
        <v>6358</v>
      </c>
      <c r="M244" s="9" t="s">
        <v>6859</v>
      </c>
      <c r="N244" s="87" t="s">
        <v>6280</v>
      </c>
      <c r="O244" s="9" t="s">
        <v>6243</v>
      </c>
      <c r="P244" s="87" t="s">
        <v>6283</v>
      </c>
      <c r="Q244" s="87" t="s">
        <v>6346</v>
      </c>
      <c r="R244" s="87" t="s">
        <v>6299</v>
      </c>
      <c r="S244" s="87" t="s">
        <v>6327</v>
      </c>
    </row>
    <row r="245" spans="1:19" ht="15.75" customHeight="1">
      <c r="A245" s="9" t="s">
        <v>3001</v>
      </c>
      <c r="C245" s="9" t="s">
        <v>6236</v>
      </c>
      <c r="D245" s="9" t="s">
        <v>431</v>
      </c>
      <c r="E245" s="9" t="s">
        <v>368</v>
      </c>
      <c r="F245" s="9" t="s">
        <v>436</v>
      </c>
      <c r="G245" s="9" t="s">
        <v>434</v>
      </c>
      <c r="H245" s="87" t="s">
        <v>6237</v>
      </c>
      <c r="I245" s="87" t="s">
        <v>6238</v>
      </c>
      <c r="J245" s="87" t="s">
        <v>6326</v>
      </c>
      <c r="K245" s="87" t="s">
        <v>6240</v>
      </c>
      <c r="L245" s="87" t="s">
        <v>6358</v>
      </c>
      <c r="M245" s="9" t="s">
        <v>6742</v>
      </c>
      <c r="N245" s="87" t="s">
        <v>6326</v>
      </c>
      <c r="O245" s="9" t="s">
        <v>6243</v>
      </c>
      <c r="P245" s="87" t="s">
        <v>6355</v>
      </c>
      <c r="Q245" s="87" t="s">
        <v>6238</v>
      </c>
      <c r="R245" s="87" t="s">
        <v>6645</v>
      </c>
      <c r="S245" s="87" t="s">
        <v>6294</v>
      </c>
    </row>
    <row r="246" spans="1:19" ht="15.75" customHeight="1">
      <c r="A246" s="9" t="s">
        <v>3023</v>
      </c>
      <c r="C246" s="9" t="s">
        <v>6236</v>
      </c>
      <c r="D246" s="9" t="s">
        <v>431</v>
      </c>
      <c r="E246" s="9" t="s">
        <v>368</v>
      </c>
      <c r="F246" s="9" t="s">
        <v>436</v>
      </c>
      <c r="G246" s="9" t="s">
        <v>434</v>
      </c>
      <c r="H246" s="87" t="s">
        <v>6237</v>
      </c>
      <c r="I246" s="87" t="s">
        <v>6278</v>
      </c>
      <c r="J246" s="87" t="s">
        <v>6273</v>
      </c>
      <c r="K246" s="87" t="s">
        <v>6240</v>
      </c>
      <c r="L246" s="87" t="s">
        <v>6353</v>
      </c>
      <c r="M246" s="9" t="s">
        <v>6860</v>
      </c>
      <c r="N246" s="87" t="s">
        <v>6273</v>
      </c>
      <c r="O246" s="9" t="s">
        <v>6243</v>
      </c>
      <c r="P246" s="87" t="s">
        <v>6276</v>
      </c>
      <c r="Q246" s="87" t="s">
        <v>6278</v>
      </c>
      <c r="R246" s="87" t="s">
        <v>6645</v>
      </c>
      <c r="S246" s="87" t="s">
        <v>6445</v>
      </c>
    </row>
    <row r="247" spans="1:19" ht="15.75" customHeight="1">
      <c r="A247" s="9" t="s">
        <v>2938</v>
      </c>
      <c r="C247" s="9" t="s">
        <v>6671</v>
      </c>
      <c r="D247" s="9" t="s">
        <v>6672</v>
      </c>
      <c r="E247" s="9" t="s">
        <v>439</v>
      </c>
      <c r="F247" s="9" t="s">
        <v>436</v>
      </c>
      <c r="G247" s="9" t="s">
        <v>440</v>
      </c>
      <c r="H247" s="87" t="s">
        <v>6405</v>
      </c>
      <c r="I247" s="87" t="s">
        <v>6357</v>
      </c>
      <c r="J247" s="87" t="s">
        <v>6357</v>
      </c>
      <c r="K247" s="87" t="s">
        <v>6240</v>
      </c>
      <c r="L247" s="87" t="s">
        <v>6353</v>
      </c>
      <c r="M247" s="9" t="s">
        <v>6674</v>
      </c>
      <c r="N247" s="87" t="s">
        <v>6357</v>
      </c>
      <c r="O247" s="9" t="s">
        <v>6243</v>
      </c>
      <c r="P247" s="87" t="s">
        <v>6565</v>
      </c>
      <c r="Q247" s="87" t="s">
        <v>6357</v>
      </c>
      <c r="R247" s="87" t="s">
        <v>6645</v>
      </c>
      <c r="S247" s="87" t="s">
        <v>6329</v>
      </c>
    </row>
    <row r="248" spans="1:19" ht="15.75" customHeight="1">
      <c r="A248" s="9" t="s">
        <v>3001</v>
      </c>
      <c r="C248" s="9" t="s">
        <v>6236</v>
      </c>
      <c r="D248" s="9" t="s">
        <v>431</v>
      </c>
      <c r="E248" s="9" t="s">
        <v>368</v>
      </c>
      <c r="F248" s="9" t="s">
        <v>436</v>
      </c>
      <c r="G248" s="9" t="s">
        <v>434</v>
      </c>
      <c r="H248" s="87" t="s">
        <v>6237</v>
      </c>
      <c r="I248" s="87" t="s">
        <v>6238</v>
      </c>
      <c r="J248" s="87" t="s">
        <v>6361</v>
      </c>
      <c r="K248" s="87" t="s">
        <v>6240</v>
      </c>
      <c r="L248" s="87" t="s">
        <v>6353</v>
      </c>
      <c r="M248" s="9" t="s">
        <v>6861</v>
      </c>
      <c r="N248" s="87" t="s">
        <v>6361</v>
      </c>
      <c r="O248" s="9" t="s">
        <v>6243</v>
      </c>
      <c r="P248" s="87" t="s">
        <v>6363</v>
      </c>
      <c r="Q248" s="87" t="s">
        <v>6238</v>
      </c>
      <c r="R248" s="87" t="s">
        <v>6526</v>
      </c>
      <c r="S248" s="87" t="s">
        <v>6327</v>
      </c>
    </row>
    <row r="249" spans="1:19" ht="15.75" customHeight="1">
      <c r="A249" s="9" t="s">
        <v>3023</v>
      </c>
      <c r="C249" s="9" t="s">
        <v>6236</v>
      </c>
      <c r="D249" s="9" t="s">
        <v>431</v>
      </c>
      <c r="E249" s="9" t="s">
        <v>368</v>
      </c>
      <c r="F249" s="9" t="s">
        <v>436</v>
      </c>
      <c r="G249" s="9" t="s">
        <v>434</v>
      </c>
      <c r="H249" s="87" t="s">
        <v>6237</v>
      </c>
      <c r="I249" s="87" t="s">
        <v>6278</v>
      </c>
      <c r="J249" s="87" t="s">
        <v>6342</v>
      </c>
      <c r="K249" s="87" t="s">
        <v>6240</v>
      </c>
      <c r="L249" s="87" t="s">
        <v>6352</v>
      </c>
      <c r="M249" s="9" t="s">
        <v>6809</v>
      </c>
      <c r="N249" s="87" t="s">
        <v>6342</v>
      </c>
      <c r="O249" s="9" t="s">
        <v>6243</v>
      </c>
      <c r="P249" s="87" t="s">
        <v>6345</v>
      </c>
      <c r="Q249" s="87" t="s">
        <v>6278</v>
      </c>
      <c r="R249" s="87" t="s">
        <v>6267</v>
      </c>
      <c r="S249" s="87" t="s">
        <v>6327</v>
      </c>
    </row>
    <row r="250" spans="1:19" ht="15.75" customHeight="1">
      <c r="A250" s="9" t="s">
        <v>2938</v>
      </c>
      <c r="C250" s="9" t="s">
        <v>6236</v>
      </c>
      <c r="D250" s="9" t="s">
        <v>431</v>
      </c>
      <c r="E250" s="9" t="s">
        <v>368</v>
      </c>
      <c r="F250" s="9" t="s">
        <v>436</v>
      </c>
      <c r="G250" s="9" t="s">
        <v>434</v>
      </c>
      <c r="H250" s="87" t="s">
        <v>6237</v>
      </c>
      <c r="I250" s="87" t="s">
        <v>6305</v>
      </c>
      <c r="J250" s="87" t="s">
        <v>6348</v>
      </c>
      <c r="K250" s="87" t="s">
        <v>6240</v>
      </c>
      <c r="L250" s="87" t="s">
        <v>6352</v>
      </c>
      <c r="M250" s="9" t="s">
        <v>6812</v>
      </c>
      <c r="N250" s="87" t="s">
        <v>6348</v>
      </c>
      <c r="O250" s="9" t="s">
        <v>6243</v>
      </c>
      <c r="P250" s="87" t="s">
        <v>5381</v>
      </c>
      <c r="Q250" s="87" t="s">
        <v>6305</v>
      </c>
      <c r="R250" s="87" t="s">
        <v>6645</v>
      </c>
      <c r="S250" s="87" t="s">
        <v>6271</v>
      </c>
    </row>
    <row r="251" spans="1:19" ht="15.75" customHeight="1">
      <c r="A251" s="9" t="s">
        <v>2938</v>
      </c>
      <c r="C251" s="9" t="s">
        <v>6236</v>
      </c>
      <c r="D251" s="9" t="s">
        <v>431</v>
      </c>
      <c r="E251" s="9" t="s">
        <v>368</v>
      </c>
      <c r="F251" s="9" t="s">
        <v>436</v>
      </c>
      <c r="G251" s="9" t="s">
        <v>434</v>
      </c>
      <c r="H251" s="87" t="s">
        <v>6237</v>
      </c>
      <c r="I251" s="87" t="s">
        <v>6305</v>
      </c>
      <c r="J251" s="87" t="s">
        <v>6239</v>
      </c>
      <c r="K251" s="87" t="s">
        <v>6240</v>
      </c>
      <c r="L251" s="87" t="s">
        <v>6862</v>
      </c>
      <c r="M251" s="9" t="s">
        <v>6676</v>
      </c>
      <c r="N251" s="87" t="s">
        <v>6239</v>
      </c>
      <c r="O251" s="9" t="s">
        <v>6243</v>
      </c>
      <c r="P251" s="87" t="s">
        <v>3764</v>
      </c>
      <c r="Q251" s="87" t="s">
        <v>6305</v>
      </c>
      <c r="R251" s="87" t="s">
        <v>6645</v>
      </c>
      <c r="S251" s="87" t="s">
        <v>6327</v>
      </c>
    </row>
    <row r="252" spans="1:19" ht="15.75" customHeight="1">
      <c r="A252" s="9" t="s">
        <v>2970</v>
      </c>
      <c r="C252" s="9" t="s">
        <v>6671</v>
      </c>
      <c r="D252" s="9" t="s">
        <v>6672</v>
      </c>
      <c r="E252" s="9" t="s">
        <v>439</v>
      </c>
      <c r="F252" s="9" t="s">
        <v>436</v>
      </c>
      <c r="G252" s="9" t="s">
        <v>440</v>
      </c>
      <c r="H252" s="87" t="s">
        <v>6405</v>
      </c>
      <c r="I252" s="87" t="s">
        <v>6302</v>
      </c>
      <c r="J252" s="87" t="s">
        <v>6302</v>
      </c>
      <c r="K252" s="87" t="s">
        <v>6240</v>
      </c>
      <c r="L252" s="87" t="s">
        <v>6863</v>
      </c>
      <c r="M252" s="9" t="s">
        <v>6864</v>
      </c>
      <c r="N252" s="87" t="s">
        <v>6302</v>
      </c>
      <c r="O252" s="9" t="s">
        <v>6243</v>
      </c>
      <c r="P252" s="87" t="s">
        <v>6464</v>
      </c>
      <c r="Q252" s="87" t="s">
        <v>6302</v>
      </c>
      <c r="R252" s="87" t="s">
        <v>6443</v>
      </c>
      <c r="S252" s="87" t="s">
        <v>6430</v>
      </c>
    </row>
    <row r="253" spans="1:19" ht="15.75" customHeight="1">
      <c r="A253" s="9" t="s">
        <v>2997</v>
      </c>
      <c r="C253" s="9" t="s">
        <v>6671</v>
      </c>
      <c r="D253" s="9" t="s">
        <v>6672</v>
      </c>
      <c r="E253" s="9" t="s">
        <v>439</v>
      </c>
      <c r="F253" s="9" t="s">
        <v>436</v>
      </c>
      <c r="G253" s="9" t="s">
        <v>440</v>
      </c>
      <c r="H253" s="87" t="s">
        <v>6405</v>
      </c>
      <c r="I253" s="87" t="s">
        <v>6323</v>
      </c>
      <c r="J253" s="87" t="s">
        <v>6297</v>
      </c>
      <c r="K253" s="87" t="s">
        <v>6240</v>
      </c>
      <c r="L253" s="87" t="s">
        <v>6863</v>
      </c>
      <c r="M253" s="9" t="s">
        <v>6719</v>
      </c>
      <c r="N253" s="87" t="s">
        <v>6297</v>
      </c>
      <c r="O253" s="9" t="s">
        <v>6243</v>
      </c>
      <c r="P253" s="87" t="s">
        <v>6299</v>
      </c>
      <c r="Q253" s="87" t="s">
        <v>6323</v>
      </c>
      <c r="R253" s="87" t="s">
        <v>6645</v>
      </c>
      <c r="S253" s="87" t="s">
        <v>6306</v>
      </c>
    </row>
    <row r="254" spans="1:19" ht="15.75" customHeight="1">
      <c r="A254" s="9" t="s">
        <v>2970</v>
      </c>
      <c r="C254" s="9" t="s">
        <v>6236</v>
      </c>
      <c r="D254" s="9" t="s">
        <v>431</v>
      </c>
      <c r="E254" s="9" t="s">
        <v>368</v>
      </c>
      <c r="F254" s="9" t="s">
        <v>436</v>
      </c>
      <c r="G254" s="9" t="s">
        <v>434</v>
      </c>
      <c r="H254" s="87" t="s">
        <v>6264</v>
      </c>
      <c r="I254" s="87" t="s">
        <v>6342</v>
      </c>
      <c r="J254" s="87" t="s">
        <v>6342</v>
      </c>
      <c r="K254" s="87" t="s">
        <v>6240</v>
      </c>
      <c r="L254" s="87" t="s">
        <v>6343</v>
      </c>
      <c r="M254" s="9" t="s">
        <v>6843</v>
      </c>
      <c r="N254" s="87" t="s">
        <v>6342</v>
      </c>
      <c r="O254" s="9" t="s">
        <v>6243</v>
      </c>
      <c r="P254" s="87" t="s">
        <v>6345</v>
      </c>
      <c r="Q254" s="87" t="s">
        <v>6342</v>
      </c>
      <c r="R254" s="87" t="s">
        <v>6645</v>
      </c>
      <c r="S254" s="87" t="s">
        <v>6268</v>
      </c>
    </row>
    <row r="255" spans="1:19" ht="15.75" customHeight="1">
      <c r="A255" s="9" t="s">
        <v>2993</v>
      </c>
      <c r="C255" s="9" t="s">
        <v>6671</v>
      </c>
      <c r="D255" s="9" t="s">
        <v>6672</v>
      </c>
      <c r="E255" s="9" t="s">
        <v>439</v>
      </c>
      <c r="F255" s="9" t="s">
        <v>436</v>
      </c>
      <c r="G255" s="9" t="s">
        <v>440</v>
      </c>
      <c r="H255" s="87" t="s">
        <v>6405</v>
      </c>
      <c r="I255" s="87" t="s">
        <v>5381</v>
      </c>
      <c r="J255" s="87" t="s">
        <v>5381</v>
      </c>
      <c r="K255" s="87" t="s">
        <v>6240</v>
      </c>
      <c r="L255" s="87" t="s">
        <v>6343</v>
      </c>
      <c r="M255" s="9" t="s">
        <v>6865</v>
      </c>
      <c r="N255" s="87" t="s">
        <v>5381</v>
      </c>
      <c r="O255" s="9" t="s">
        <v>6243</v>
      </c>
      <c r="P255" s="87" t="s">
        <v>4081</v>
      </c>
      <c r="Q255" s="87" t="s">
        <v>5381</v>
      </c>
      <c r="R255" s="87" t="s">
        <v>6645</v>
      </c>
      <c r="S255" s="87" t="s">
        <v>6346</v>
      </c>
    </row>
    <row r="256" spans="1:19" ht="15.75" customHeight="1">
      <c r="A256" s="9" t="s">
        <v>2997</v>
      </c>
      <c r="C256" s="9" t="s">
        <v>6671</v>
      </c>
      <c r="D256" s="9" t="s">
        <v>6672</v>
      </c>
      <c r="E256" s="9" t="s">
        <v>439</v>
      </c>
      <c r="F256" s="9" t="s">
        <v>436</v>
      </c>
      <c r="G256" s="9" t="s">
        <v>440</v>
      </c>
      <c r="H256" s="87" t="s">
        <v>6405</v>
      </c>
      <c r="I256" s="87" t="s">
        <v>6323</v>
      </c>
      <c r="J256" s="87" t="s">
        <v>6268</v>
      </c>
      <c r="K256" s="87" t="s">
        <v>6240</v>
      </c>
      <c r="L256" s="87" t="s">
        <v>6343</v>
      </c>
      <c r="M256" s="9" t="s">
        <v>6866</v>
      </c>
      <c r="N256" s="87" t="s">
        <v>6268</v>
      </c>
      <c r="O256" s="9" t="s">
        <v>6243</v>
      </c>
      <c r="P256" s="87" t="s">
        <v>6270</v>
      </c>
      <c r="Q256" s="87" t="s">
        <v>6323</v>
      </c>
      <c r="R256" s="87" t="s">
        <v>6387</v>
      </c>
      <c r="S256" s="87" t="s">
        <v>6327</v>
      </c>
    </row>
    <row r="257" spans="1:19" ht="15.75" customHeight="1">
      <c r="A257" s="9" t="s">
        <v>2993</v>
      </c>
      <c r="C257" s="9" t="s">
        <v>6236</v>
      </c>
      <c r="D257" s="9" t="s">
        <v>431</v>
      </c>
      <c r="E257" s="9" t="s">
        <v>368</v>
      </c>
      <c r="F257" s="9" t="s">
        <v>436</v>
      </c>
      <c r="G257" s="9" t="s">
        <v>434</v>
      </c>
      <c r="H257" s="87" t="s">
        <v>6264</v>
      </c>
      <c r="I257" s="87" t="s">
        <v>6238</v>
      </c>
      <c r="J257" s="87" t="s">
        <v>6268</v>
      </c>
      <c r="K257" s="87" t="s">
        <v>6240</v>
      </c>
      <c r="L257" s="87" t="s">
        <v>6339</v>
      </c>
      <c r="M257" s="9" t="s">
        <v>6867</v>
      </c>
      <c r="N257" s="87" t="s">
        <v>6268</v>
      </c>
      <c r="O257" s="9" t="s">
        <v>6243</v>
      </c>
      <c r="P257" s="87" t="s">
        <v>6270</v>
      </c>
      <c r="Q257" s="87" t="s">
        <v>6238</v>
      </c>
      <c r="R257" s="87" t="s">
        <v>6645</v>
      </c>
      <c r="S257" s="87" t="s">
        <v>6342</v>
      </c>
    </row>
    <row r="258" spans="1:19" ht="15.75" customHeight="1">
      <c r="A258" s="9" t="s">
        <v>2997</v>
      </c>
      <c r="C258" s="9" t="s">
        <v>6236</v>
      </c>
      <c r="D258" s="9" t="s">
        <v>431</v>
      </c>
      <c r="E258" s="9" t="s">
        <v>368</v>
      </c>
      <c r="F258" s="9" t="s">
        <v>436</v>
      </c>
      <c r="G258" s="9" t="s">
        <v>434</v>
      </c>
      <c r="H258" s="87" t="s">
        <v>6237</v>
      </c>
      <c r="I258" s="87" t="s">
        <v>6245</v>
      </c>
      <c r="J258" s="87" t="s">
        <v>6245</v>
      </c>
      <c r="K258" s="87" t="s">
        <v>6240</v>
      </c>
      <c r="L258" s="87" t="s">
        <v>6339</v>
      </c>
      <c r="M258" s="9" t="s">
        <v>6868</v>
      </c>
      <c r="N258" s="87" t="s">
        <v>6245</v>
      </c>
      <c r="O258" s="9" t="s">
        <v>6243</v>
      </c>
      <c r="P258" s="87" t="s">
        <v>6238</v>
      </c>
      <c r="Q258" s="87" t="s">
        <v>6245</v>
      </c>
      <c r="R258" s="87" t="s">
        <v>6651</v>
      </c>
      <c r="S258" s="87" t="s">
        <v>6430</v>
      </c>
    </row>
    <row r="259" spans="1:19" ht="15.75" customHeight="1">
      <c r="A259" s="9" t="s">
        <v>2961</v>
      </c>
      <c r="C259" s="9" t="s">
        <v>6671</v>
      </c>
      <c r="D259" s="9" t="s">
        <v>6672</v>
      </c>
      <c r="E259" s="9" t="s">
        <v>439</v>
      </c>
      <c r="F259" s="9" t="s">
        <v>436</v>
      </c>
      <c r="G259" s="9" t="s">
        <v>440</v>
      </c>
      <c r="H259" s="87" t="s">
        <v>6405</v>
      </c>
      <c r="I259" s="87" t="s">
        <v>6435</v>
      </c>
      <c r="J259" s="87" t="s">
        <v>6435</v>
      </c>
      <c r="K259" s="87" t="s">
        <v>6240</v>
      </c>
      <c r="L259" s="87" t="s">
        <v>6339</v>
      </c>
      <c r="M259" s="9" t="s">
        <v>6756</v>
      </c>
      <c r="N259" s="87" t="s">
        <v>6435</v>
      </c>
      <c r="O259" s="9" t="s">
        <v>6243</v>
      </c>
      <c r="P259" s="87" t="s">
        <v>6250</v>
      </c>
      <c r="Q259" s="87" t="s">
        <v>6435</v>
      </c>
      <c r="R259" s="87" t="s">
        <v>6645</v>
      </c>
      <c r="S259" s="87" t="s">
        <v>6733</v>
      </c>
    </row>
    <row r="260" spans="1:19" ht="15.75" customHeight="1">
      <c r="A260" s="9" t="s">
        <v>2993</v>
      </c>
      <c r="C260" s="9" t="s">
        <v>6236</v>
      </c>
      <c r="D260" s="9" t="s">
        <v>431</v>
      </c>
      <c r="E260" s="9" t="s">
        <v>368</v>
      </c>
      <c r="F260" s="9" t="s">
        <v>436</v>
      </c>
      <c r="G260" s="9" t="s">
        <v>434</v>
      </c>
      <c r="H260" s="87" t="s">
        <v>6264</v>
      </c>
      <c r="I260" s="87" t="s">
        <v>6238</v>
      </c>
      <c r="J260" s="87" t="s">
        <v>6271</v>
      </c>
      <c r="K260" s="87" t="s">
        <v>6240</v>
      </c>
      <c r="L260" s="87" t="s">
        <v>6338</v>
      </c>
      <c r="M260" s="9" t="s">
        <v>6822</v>
      </c>
      <c r="N260" s="87" t="s">
        <v>6271</v>
      </c>
      <c r="O260" s="9" t="s">
        <v>6243</v>
      </c>
      <c r="P260" s="87" t="s">
        <v>3746</v>
      </c>
      <c r="Q260" s="87" t="s">
        <v>6238</v>
      </c>
      <c r="R260" s="87" t="s">
        <v>6474</v>
      </c>
      <c r="S260" s="87" t="s">
        <v>6327</v>
      </c>
    </row>
    <row r="261" spans="1:19" ht="15.75" customHeight="1">
      <c r="A261" s="9" t="s">
        <v>2961</v>
      </c>
      <c r="C261" s="9" t="s">
        <v>6236</v>
      </c>
      <c r="D261" s="9" t="s">
        <v>431</v>
      </c>
      <c r="E261" s="9" t="s">
        <v>368</v>
      </c>
      <c r="F261" s="9" t="s">
        <v>436</v>
      </c>
      <c r="G261" s="9" t="s">
        <v>434</v>
      </c>
      <c r="H261" s="87" t="s">
        <v>6237</v>
      </c>
      <c r="I261" s="87" t="s">
        <v>6327</v>
      </c>
      <c r="J261" s="87" t="s">
        <v>6334</v>
      </c>
      <c r="K261" s="87" t="s">
        <v>6240</v>
      </c>
      <c r="L261" s="87" t="s">
        <v>6338</v>
      </c>
      <c r="M261" s="9" t="s">
        <v>6823</v>
      </c>
      <c r="N261" s="87" t="s">
        <v>6334</v>
      </c>
      <c r="O261" s="9" t="s">
        <v>6243</v>
      </c>
      <c r="P261" s="87" t="s">
        <v>6290</v>
      </c>
      <c r="Q261" s="87" t="s">
        <v>6327</v>
      </c>
      <c r="R261" s="87" t="s">
        <v>6645</v>
      </c>
      <c r="S261" s="87" t="s">
        <v>6351</v>
      </c>
    </row>
    <row r="262" spans="1:19" ht="15.75" customHeight="1">
      <c r="A262" s="9" t="s">
        <v>3012</v>
      </c>
      <c r="C262" s="9" t="s">
        <v>6671</v>
      </c>
      <c r="D262" s="9" t="s">
        <v>6672</v>
      </c>
      <c r="E262" s="9" t="s">
        <v>439</v>
      </c>
      <c r="F262" s="9" t="s">
        <v>436</v>
      </c>
      <c r="G262" s="9" t="s">
        <v>440</v>
      </c>
      <c r="H262" s="87" t="s">
        <v>6405</v>
      </c>
      <c r="I262" s="87" t="s">
        <v>6245</v>
      </c>
      <c r="J262" s="87" t="s">
        <v>6245</v>
      </c>
      <c r="K262" s="87" t="s">
        <v>6240</v>
      </c>
      <c r="L262" s="87" t="s">
        <v>6338</v>
      </c>
      <c r="M262" s="9" t="s">
        <v>6675</v>
      </c>
      <c r="N262" s="87" t="s">
        <v>6245</v>
      </c>
      <c r="O262" s="9" t="s">
        <v>6243</v>
      </c>
      <c r="P262" s="87" t="s">
        <v>6238</v>
      </c>
      <c r="Q262" s="87" t="s">
        <v>6245</v>
      </c>
      <c r="R262" s="87" t="s">
        <v>6645</v>
      </c>
      <c r="S262" s="87" t="s">
        <v>6500</v>
      </c>
    </row>
    <row r="263" spans="1:19" ht="15.75" customHeight="1">
      <c r="A263" s="9" t="s">
        <v>2961</v>
      </c>
      <c r="C263" s="9" t="s">
        <v>6236</v>
      </c>
      <c r="D263" s="9" t="s">
        <v>431</v>
      </c>
      <c r="E263" s="9" t="s">
        <v>368</v>
      </c>
      <c r="F263" s="9" t="s">
        <v>436</v>
      </c>
      <c r="G263" s="9" t="s">
        <v>434</v>
      </c>
      <c r="H263" s="87" t="s">
        <v>6237</v>
      </c>
      <c r="I263" s="87" t="s">
        <v>6327</v>
      </c>
      <c r="J263" s="87" t="s">
        <v>6290</v>
      </c>
      <c r="K263" s="87" t="s">
        <v>6240</v>
      </c>
      <c r="L263" s="87" t="s">
        <v>6869</v>
      </c>
      <c r="M263" s="9" t="s">
        <v>6870</v>
      </c>
      <c r="N263" s="87" t="s">
        <v>6290</v>
      </c>
      <c r="O263" s="9" t="s">
        <v>6243</v>
      </c>
      <c r="P263" s="87" t="s">
        <v>6293</v>
      </c>
      <c r="Q263" s="87" t="s">
        <v>6327</v>
      </c>
      <c r="R263" s="87" t="s">
        <v>6528</v>
      </c>
      <c r="S263" s="87" t="s">
        <v>6327</v>
      </c>
    </row>
    <row r="264" spans="1:19" ht="15.75" customHeight="1">
      <c r="A264" s="9" t="s">
        <v>2981</v>
      </c>
      <c r="C264" s="9" t="s">
        <v>6671</v>
      </c>
      <c r="D264" s="9" t="s">
        <v>6672</v>
      </c>
      <c r="E264" s="9" t="s">
        <v>439</v>
      </c>
      <c r="F264" s="9" t="s">
        <v>436</v>
      </c>
      <c r="G264" s="9" t="s">
        <v>440</v>
      </c>
      <c r="H264" s="87" t="s">
        <v>6405</v>
      </c>
      <c r="I264" s="87" t="s">
        <v>6273</v>
      </c>
      <c r="J264" s="87" t="s">
        <v>6273</v>
      </c>
      <c r="K264" s="87" t="s">
        <v>6240</v>
      </c>
      <c r="L264" s="87" t="s">
        <v>6869</v>
      </c>
      <c r="M264" s="9" t="s">
        <v>6871</v>
      </c>
      <c r="N264" s="87" t="s">
        <v>6273</v>
      </c>
      <c r="O264" s="9" t="s">
        <v>6243</v>
      </c>
      <c r="P264" s="87" t="s">
        <v>6276</v>
      </c>
      <c r="Q264" s="87" t="s">
        <v>6273</v>
      </c>
      <c r="R264" s="87" t="s">
        <v>6401</v>
      </c>
      <c r="S264" s="87" t="s">
        <v>6528</v>
      </c>
    </row>
    <row r="265" spans="1:19" ht="15.75" customHeight="1">
      <c r="A265" s="9" t="s">
        <v>3012</v>
      </c>
      <c r="C265" s="9" t="s">
        <v>6236</v>
      </c>
      <c r="D265" s="9" t="s">
        <v>431</v>
      </c>
      <c r="E265" s="9" t="s">
        <v>368</v>
      </c>
      <c r="F265" s="9" t="s">
        <v>436</v>
      </c>
      <c r="G265" s="9" t="s">
        <v>434</v>
      </c>
      <c r="H265" s="87" t="s">
        <v>6237</v>
      </c>
      <c r="I265" s="87" t="s">
        <v>6323</v>
      </c>
      <c r="J265" s="87" t="s">
        <v>6323</v>
      </c>
      <c r="K265" s="87" t="s">
        <v>6240</v>
      </c>
      <c r="L265" s="87" t="s">
        <v>6869</v>
      </c>
      <c r="M265" s="9" t="s">
        <v>6872</v>
      </c>
      <c r="N265" s="87" t="s">
        <v>6323</v>
      </c>
      <c r="O265" s="9" t="s">
        <v>6243</v>
      </c>
      <c r="P265" s="87" t="s">
        <v>5374</v>
      </c>
      <c r="Q265" s="87" t="s">
        <v>6323</v>
      </c>
      <c r="R265" s="87" t="s">
        <v>6250</v>
      </c>
      <c r="S265" s="87" t="s">
        <v>6433</v>
      </c>
    </row>
    <row r="266" spans="1:19" ht="15.75" customHeight="1">
      <c r="A266" s="9" t="s">
        <v>2975</v>
      </c>
      <c r="C266" s="9" t="s">
        <v>6236</v>
      </c>
      <c r="D266" s="9" t="s">
        <v>431</v>
      </c>
      <c r="E266" s="9" t="s">
        <v>368</v>
      </c>
      <c r="F266" s="9" t="s">
        <v>436</v>
      </c>
      <c r="G266" s="9" t="s">
        <v>434</v>
      </c>
      <c r="H266" s="87" t="s">
        <v>6264</v>
      </c>
      <c r="I266" s="87" t="s">
        <v>6330</v>
      </c>
      <c r="J266" s="87" t="s">
        <v>6330</v>
      </c>
      <c r="K266" s="87" t="s">
        <v>6240</v>
      </c>
      <c r="L266" s="87" t="s">
        <v>6869</v>
      </c>
      <c r="M266" s="9" t="s">
        <v>6873</v>
      </c>
      <c r="N266" s="87" t="s">
        <v>6330</v>
      </c>
      <c r="O266" s="9" t="s">
        <v>6243</v>
      </c>
      <c r="P266" s="87" t="s">
        <v>6332</v>
      </c>
      <c r="Q266" s="87" t="s">
        <v>6330</v>
      </c>
      <c r="R266" s="87" t="s">
        <v>6645</v>
      </c>
      <c r="S266" s="87" t="s">
        <v>6400</v>
      </c>
    </row>
    <row r="267" spans="1:19" ht="15.75" customHeight="1">
      <c r="A267" s="9" t="s">
        <v>3026</v>
      </c>
      <c r="C267" s="9" t="s">
        <v>6671</v>
      </c>
      <c r="D267" s="9" t="s">
        <v>6672</v>
      </c>
      <c r="E267" s="9" t="s">
        <v>439</v>
      </c>
      <c r="F267" s="9" t="s">
        <v>436</v>
      </c>
      <c r="G267" s="9" t="s">
        <v>440</v>
      </c>
      <c r="H267" s="87" t="s">
        <v>6405</v>
      </c>
      <c r="I267" s="87" t="s">
        <v>6267</v>
      </c>
      <c r="J267" s="87" t="s">
        <v>6486</v>
      </c>
      <c r="K267" s="87" t="s">
        <v>6240</v>
      </c>
      <c r="L267" s="87" t="s">
        <v>6869</v>
      </c>
      <c r="M267" s="9" t="s">
        <v>6874</v>
      </c>
      <c r="N267" s="87" t="s">
        <v>6486</v>
      </c>
      <c r="O267" s="9" t="s">
        <v>6243</v>
      </c>
      <c r="P267" s="87" t="s">
        <v>5079</v>
      </c>
      <c r="Q267" s="87" t="s">
        <v>6267</v>
      </c>
      <c r="R267" s="87" t="s">
        <v>6645</v>
      </c>
      <c r="S267" s="87" t="s">
        <v>6526</v>
      </c>
    </row>
    <row r="268" spans="1:19" ht="15.75" customHeight="1">
      <c r="A268" s="9" t="s">
        <v>2888</v>
      </c>
      <c r="C268" s="9" t="s">
        <v>6671</v>
      </c>
      <c r="D268" s="9" t="s">
        <v>6672</v>
      </c>
      <c r="E268" s="9" t="s">
        <v>439</v>
      </c>
      <c r="F268" s="9" t="s">
        <v>436</v>
      </c>
      <c r="G268" s="9" t="s">
        <v>440</v>
      </c>
      <c r="H268" s="87" t="s">
        <v>6405</v>
      </c>
      <c r="I268" s="87" t="s">
        <v>6405</v>
      </c>
      <c r="J268" s="87" t="s">
        <v>6405</v>
      </c>
      <c r="K268" s="87" t="s">
        <v>6240</v>
      </c>
      <c r="L268" s="87" t="s">
        <v>6875</v>
      </c>
      <c r="M268" s="9" t="s">
        <v>6876</v>
      </c>
      <c r="N268" s="87" t="s">
        <v>6405</v>
      </c>
      <c r="O268" s="9" t="s">
        <v>6243</v>
      </c>
      <c r="P268" s="87" t="s">
        <v>6240</v>
      </c>
      <c r="Q268" s="87" t="s">
        <v>6405</v>
      </c>
      <c r="R268" s="87" t="s">
        <v>6322</v>
      </c>
      <c r="S268" s="87" t="s">
        <v>6322</v>
      </c>
    </row>
    <row r="269" spans="1:19" ht="15.75" customHeight="1">
      <c r="A269" s="9" t="s">
        <v>2943</v>
      </c>
      <c r="C269" s="9" t="s">
        <v>6671</v>
      </c>
      <c r="D269" s="9" t="s">
        <v>6672</v>
      </c>
      <c r="E269" s="9" t="s">
        <v>439</v>
      </c>
      <c r="F269" s="9" t="s">
        <v>436</v>
      </c>
      <c r="G269" s="9" t="s">
        <v>440</v>
      </c>
      <c r="H269" s="87" t="s">
        <v>6405</v>
      </c>
      <c r="I269" s="87" t="s">
        <v>3231</v>
      </c>
      <c r="J269" s="87" t="s">
        <v>6297</v>
      </c>
      <c r="K269" s="87" t="s">
        <v>6240</v>
      </c>
      <c r="L269" s="87" t="s">
        <v>6875</v>
      </c>
      <c r="M269" s="9" t="s">
        <v>6719</v>
      </c>
      <c r="N269" s="87" t="s">
        <v>6297</v>
      </c>
      <c r="O269" s="9" t="s">
        <v>6243</v>
      </c>
      <c r="P269" s="87" t="s">
        <v>6299</v>
      </c>
      <c r="Q269" s="87" t="s">
        <v>3231</v>
      </c>
      <c r="R269" s="87" t="s">
        <v>6645</v>
      </c>
      <c r="S269" s="87" t="s">
        <v>6306</v>
      </c>
    </row>
    <row r="270" spans="1:19" ht="15.75" customHeight="1">
      <c r="A270" s="9" t="s">
        <v>3026</v>
      </c>
      <c r="C270" s="9" t="s">
        <v>6671</v>
      </c>
      <c r="D270" s="9" t="s">
        <v>6672</v>
      </c>
      <c r="E270" s="9" t="s">
        <v>439</v>
      </c>
      <c r="F270" s="9" t="s">
        <v>436</v>
      </c>
      <c r="G270" s="9" t="s">
        <v>440</v>
      </c>
      <c r="H270" s="87" t="s">
        <v>6405</v>
      </c>
      <c r="I270" s="87" t="s">
        <v>6267</v>
      </c>
      <c r="J270" s="87" t="s">
        <v>6370</v>
      </c>
      <c r="K270" s="87" t="s">
        <v>6240</v>
      </c>
      <c r="L270" s="87" t="s">
        <v>6875</v>
      </c>
      <c r="M270" s="9" t="s">
        <v>6877</v>
      </c>
      <c r="N270" s="87" t="s">
        <v>6370</v>
      </c>
      <c r="O270" s="9" t="s">
        <v>6243</v>
      </c>
      <c r="P270" s="87" t="s">
        <v>6381</v>
      </c>
      <c r="Q270" s="87" t="s">
        <v>6267</v>
      </c>
      <c r="R270" s="87" t="s">
        <v>6392</v>
      </c>
      <c r="S270" s="87" t="s">
        <v>6327</v>
      </c>
    </row>
    <row r="271" spans="1:19" ht="15.75" customHeight="1">
      <c r="A271" s="9" t="s">
        <v>2850</v>
      </c>
      <c r="C271" s="9" t="s">
        <v>6671</v>
      </c>
      <c r="D271" s="9" t="s">
        <v>6672</v>
      </c>
      <c r="E271" s="9" t="s">
        <v>439</v>
      </c>
      <c r="F271" s="9" t="s">
        <v>436</v>
      </c>
      <c r="G271" s="9" t="s">
        <v>440</v>
      </c>
      <c r="H271" s="87" t="s">
        <v>6405</v>
      </c>
      <c r="I271" s="87" t="s">
        <v>6346</v>
      </c>
      <c r="J271" s="87" t="s">
        <v>6346</v>
      </c>
      <c r="K271" s="87" t="s">
        <v>6240</v>
      </c>
      <c r="L271" s="87" t="s">
        <v>6875</v>
      </c>
      <c r="M271" s="9" t="s">
        <v>6878</v>
      </c>
      <c r="N271" s="87" t="s">
        <v>6346</v>
      </c>
      <c r="O271" s="9" t="s">
        <v>6243</v>
      </c>
      <c r="P271" s="87" t="s">
        <v>6366</v>
      </c>
      <c r="Q271" s="87" t="s">
        <v>6346</v>
      </c>
      <c r="R271" s="87" t="s">
        <v>6443</v>
      </c>
      <c r="S271" s="87" t="s">
        <v>6428</v>
      </c>
    </row>
    <row r="272" spans="1:19" ht="15.75" customHeight="1">
      <c r="A272" s="9" t="s">
        <v>2981</v>
      </c>
      <c r="C272" s="9" t="s">
        <v>6236</v>
      </c>
      <c r="D272" s="9" t="s">
        <v>431</v>
      </c>
      <c r="E272" s="9" t="s">
        <v>368</v>
      </c>
      <c r="F272" s="9" t="s">
        <v>436</v>
      </c>
      <c r="G272" s="9" t="s">
        <v>434</v>
      </c>
      <c r="H272" s="87" t="s">
        <v>6237</v>
      </c>
      <c r="I272" s="87" t="s">
        <v>6250</v>
      </c>
      <c r="J272" s="87" t="s">
        <v>6250</v>
      </c>
      <c r="K272" s="87" t="s">
        <v>6240</v>
      </c>
      <c r="L272" s="87" t="s">
        <v>6318</v>
      </c>
      <c r="M272" s="9" t="s">
        <v>6879</v>
      </c>
      <c r="N272" s="87" t="s">
        <v>6250</v>
      </c>
      <c r="O272" s="9" t="s">
        <v>6243</v>
      </c>
      <c r="P272" s="87" t="s">
        <v>6320</v>
      </c>
      <c r="Q272" s="87" t="s">
        <v>6250</v>
      </c>
      <c r="R272" s="87" t="s">
        <v>6417</v>
      </c>
      <c r="S272" s="87" t="s">
        <v>6370</v>
      </c>
    </row>
    <row r="273" spans="1:19" ht="15.75" customHeight="1">
      <c r="A273" s="9" t="s">
        <v>2943</v>
      </c>
      <c r="C273" s="9" t="s">
        <v>6671</v>
      </c>
      <c r="D273" s="9" t="s">
        <v>6672</v>
      </c>
      <c r="E273" s="9" t="s">
        <v>439</v>
      </c>
      <c r="F273" s="9" t="s">
        <v>436</v>
      </c>
      <c r="G273" s="9" t="s">
        <v>440</v>
      </c>
      <c r="H273" s="87" t="s">
        <v>6405</v>
      </c>
      <c r="I273" s="87" t="s">
        <v>3231</v>
      </c>
      <c r="J273" s="87" t="s">
        <v>6239</v>
      </c>
      <c r="K273" s="87" t="s">
        <v>6240</v>
      </c>
      <c r="L273" s="87" t="s">
        <v>6318</v>
      </c>
      <c r="M273" s="9" t="s">
        <v>6676</v>
      </c>
      <c r="N273" s="87" t="s">
        <v>6239</v>
      </c>
      <c r="O273" s="9" t="s">
        <v>6243</v>
      </c>
      <c r="P273" s="87" t="s">
        <v>3764</v>
      </c>
      <c r="Q273" s="87" t="s">
        <v>3231</v>
      </c>
      <c r="R273" s="87" t="s">
        <v>6645</v>
      </c>
      <c r="S273" s="87" t="s">
        <v>6327</v>
      </c>
    </row>
    <row r="274" spans="1:19" ht="15.75" customHeight="1">
      <c r="A274" s="9" t="s">
        <v>3026</v>
      </c>
      <c r="C274" s="9" t="s">
        <v>6236</v>
      </c>
      <c r="D274" s="9" t="s">
        <v>431</v>
      </c>
      <c r="E274" s="9" t="s">
        <v>368</v>
      </c>
      <c r="F274" s="9" t="s">
        <v>436</v>
      </c>
      <c r="G274" s="9" t="s">
        <v>434</v>
      </c>
      <c r="H274" s="87" t="s">
        <v>6237</v>
      </c>
      <c r="I274" s="87" t="s">
        <v>6306</v>
      </c>
      <c r="J274" s="87" t="s">
        <v>6237</v>
      </c>
      <c r="K274" s="87" t="s">
        <v>6240</v>
      </c>
      <c r="L274" s="87" t="s">
        <v>6318</v>
      </c>
      <c r="M274" s="9" t="s">
        <v>6739</v>
      </c>
      <c r="N274" s="87" t="s">
        <v>6237</v>
      </c>
      <c r="O274" s="9" t="s">
        <v>6243</v>
      </c>
      <c r="P274" s="87" t="s">
        <v>4953</v>
      </c>
      <c r="Q274" s="87" t="s">
        <v>6306</v>
      </c>
      <c r="R274" s="87" t="s">
        <v>6645</v>
      </c>
      <c r="S274" s="87" t="s">
        <v>6424</v>
      </c>
    </row>
    <row r="275" spans="1:19" ht="15.75" customHeight="1">
      <c r="A275" s="9" t="s">
        <v>2943</v>
      </c>
      <c r="C275" s="9" t="s">
        <v>6671</v>
      </c>
      <c r="D275" s="9" t="s">
        <v>6672</v>
      </c>
      <c r="E275" s="9" t="s">
        <v>439</v>
      </c>
      <c r="F275" s="9" t="s">
        <v>436</v>
      </c>
      <c r="G275" s="9" t="s">
        <v>440</v>
      </c>
      <c r="H275" s="87" t="s">
        <v>6405</v>
      </c>
      <c r="I275" s="87" t="s">
        <v>3231</v>
      </c>
      <c r="J275" s="87" t="s">
        <v>6239</v>
      </c>
      <c r="K275" s="87" t="s">
        <v>6240</v>
      </c>
      <c r="L275" s="87" t="s">
        <v>6317</v>
      </c>
      <c r="M275" s="9" t="s">
        <v>6676</v>
      </c>
      <c r="N275" s="87" t="s">
        <v>6239</v>
      </c>
      <c r="O275" s="9" t="s">
        <v>6243</v>
      </c>
      <c r="P275" s="87" t="s">
        <v>3764</v>
      </c>
      <c r="Q275" s="87" t="s">
        <v>3231</v>
      </c>
      <c r="R275" s="87" t="s">
        <v>6645</v>
      </c>
      <c r="S275" s="87" t="s">
        <v>6327</v>
      </c>
    </row>
    <row r="276" spans="1:19" ht="15.75" customHeight="1">
      <c r="A276" s="9" t="s">
        <v>3026</v>
      </c>
      <c r="C276" s="9" t="s">
        <v>6236</v>
      </c>
      <c r="D276" s="9" t="s">
        <v>431</v>
      </c>
      <c r="E276" s="9" t="s">
        <v>368</v>
      </c>
      <c r="F276" s="9" t="s">
        <v>436</v>
      </c>
      <c r="G276" s="9" t="s">
        <v>434</v>
      </c>
      <c r="H276" s="87" t="s">
        <v>6237</v>
      </c>
      <c r="I276" s="87" t="s">
        <v>6306</v>
      </c>
      <c r="J276" s="87" t="s">
        <v>6239</v>
      </c>
      <c r="K276" s="87" t="s">
        <v>6240</v>
      </c>
      <c r="L276" s="87" t="s">
        <v>6317</v>
      </c>
      <c r="M276" s="9" t="s">
        <v>6676</v>
      </c>
      <c r="N276" s="87" t="s">
        <v>6239</v>
      </c>
      <c r="O276" s="9" t="s">
        <v>6243</v>
      </c>
      <c r="P276" s="87" t="s">
        <v>3764</v>
      </c>
      <c r="Q276" s="87" t="s">
        <v>6306</v>
      </c>
      <c r="R276" s="87" t="s">
        <v>6645</v>
      </c>
      <c r="S276" s="87" t="s">
        <v>6327</v>
      </c>
    </row>
    <row r="277" spans="1:19" ht="15.75" customHeight="1">
      <c r="A277" s="9" t="s">
        <v>2888</v>
      </c>
      <c r="C277" s="9" t="s">
        <v>6236</v>
      </c>
      <c r="D277" s="9" t="s">
        <v>431</v>
      </c>
      <c r="E277" s="9" t="s">
        <v>368</v>
      </c>
      <c r="F277" s="9" t="s">
        <v>436</v>
      </c>
      <c r="G277" s="9" t="s">
        <v>434</v>
      </c>
      <c r="H277" s="87" t="s">
        <v>6237</v>
      </c>
      <c r="I277" s="87" t="s">
        <v>6264</v>
      </c>
      <c r="J277" s="87" t="s">
        <v>6264</v>
      </c>
      <c r="K277" s="87" t="s">
        <v>6240</v>
      </c>
      <c r="L277" s="87" t="s">
        <v>6311</v>
      </c>
      <c r="M277" s="9" t="s">
        <v>6880</v>
      </c>
      <c r="N277" s="87" t="s">
        <v>6264</v>
      </c>
      <c r="O277" s="9" t="s">
        <v>6243</v>
      </c>
      <c r="P277" s="87" t="s">
        <v>6313</v>
      </c>
      <c r="Q277" s="87" t="s">
        <v>6264</v>
      </c>
      <c r="R277" s="87" t="s">
        <v>6401</v>
      </c>
      <c r="S277" s="87" t="s">
        <v>6322</v>
      </c>
    </row>
    <row r="278" spans="1:19" ht="15.75" customHeight="1">
      <c r="A278" s="9" t="s">
        <v>2943</v>
      </c>
      <c r="C278" s="9" t="s">
        <v>6236</v>
      </c>
      <c r="D278" s="9" t="s">
        <v>431</v>
      </c>
      <c r="E278" s="9" t="s">
        <v>368</v>
      </c>
      <c r="F278" s="9" t="s">
        <v>436</v>
      </c>
      <c r="G278" s="9" t="s">
        <v>434</v>
      </c>
      <c r="H278" s="87" t="s">
        <v>6237</v>
      </c>
      <c r="I278" s="87" t="s">
        <v>6306</v>
      </c>
      <c r="J278" s="87" t="s">
        <v>6237</v>
      </c>
      <c r="K278" s="87" t="s">
        <v>6240</v>
      </c>
      <c r="L278" s="87" t="s">
        <v>6311</v>
      </c>
      <c r="M278" s="9" t="s">
        <v>6739</v>
      </c>
      <c r="N278" s="87" t="s">
        <v>6237</v>
      </c>
      <c r="O278" s="9" t="s">
        <v>6243</v>
      </c>
      <c r="P278" s="87" t="s">
        <v>4953</v>
      </c>
      <c r="Q278" s="87" t="s">
        <v>6306</v>
      </c>
      <c r="R278" s="87" t="s">
        <v>6645</v>
      </c>
      <c r="S278" s="87" t="s">
        <v>6424</v>
      </c>
    </row>
    <row r="279" spans="1:19" ht="15.75" customHeight="1">
      <c r="A279" s="9" t="s">
        <v>2850</v>
      </c>
      <c r="C279" s="9" t="s">
        <v>6236</v>
      </c>
      <c r="D279" s="9" t="s">
        <v>431</v>
      </c>
      <c r="E279" s="9" t="s">
        <v>368</v>
      </c>
      <c r="F279" s="9" t="s">
        <v>436</v>
      </c>
      <c r="G279" s="9" t="s">
        <v>434</v>
      </c>
      <c r="H279" s="87" t="s">
        <v>6264</v>
      </c>
      <c r="I279" s="87" t="s">
        <v>6299</v>
      </c>
      <c r="J279" s="87" t="s">
        <v>6299</v>
      </c>
      <c r="K279" s="87" t="s">
        <v>6240</v>
      </c>
      <c r="L279" s="87" t="s">
        <v>6311</v>
      </c>
      <c r="M279" s="9" t="s">
        <v>6881</v>
      </c>
      <c r="N279" s="87" t="s">
        <v>6299</v>
      </c>
      <c r="O279" s="9" t="s">
        <v>6243</v>
      </c>
      <c r="P279" s="87" t="s">
        <v>3231</v>
      </c>
      <c r="Q279" s="87" t="s">
        <v>6299</v>
      </c>
      <c r="R279" s="87" t="s">
        <v>6417</v>
      </c>
      <c r="S279" s="87" t="s">
        <v>6526</v>
      </c>
    </row>
    <row r="280" spans="1:19" ht="15.75" customHeight="1">
      <c r="A280" s="9" t="s">
        <v>2943</v>
      </c>
      <c r="C280" s="9" t="s">
        <v>6236</v>
      </c>
      <c r="D280" s="9" t="s">
        <v>431</v>
      </c>
      <c r="E280" s="9" t="s">
        <v>368</v>
      </c>
      <c r="F280" s="9" t="s">
        <v>436</v>
      </c>
      <c r="G280" s="9" t="s">
        <v>434</v>
      </c>
      <c r="H280" s="87" t="s">
        <v>6237</v>
      </c>
      <c r="I280" s="87" t="s">
        <v>6306</v>
      </c>
      <c r="J280" s="87" t="s">
        <v>6239</v>
      </c>
      <c r="K280" s="87" t="s">
        <v>6240</v>
      </c>
      <c r="L280" s="87" t="s">
        <v>6882</v>
      </c>
      <c r="M280" s="9" t="s">
        <v>6676</v>
      </c>
      <c r="N280" s="87" t="s">
        <v>6239</v>
      </c>
      <c r="O280" s="9" t="s">
        <v>6243</v>
      </c>
      <c r="P280" s="87" t="s">
        <v>3764</v>
      </c>
      <c r="Q280" s="87" t="s">
        <v>6306</v>
      </c>
      <c r="R280" s="87" t="s">
        <v>6645</v>
      </c>
      <c r="S280" s="87" t="s">
        <v>6327</v>
      </c>
    </row>
    <row r="281" spans="1:19" ht="15.75" customHeight="1">
      <c r="A281" s="9" t="s">
        <v>2868</v>
      </c>
      <c r="C281" s="9" t="s">
        <v>6671</v>
      </c>
      <c r="D281" s="9" t="s">
        <v>6672</v>
      </c>
      <c r="E281" s="9" t="s">
        <v>439</v>
      </c>
      <c r="F281" s="9" t="s">
        <v>436</v>
      </c>
      <c r="G281" s="9" t="s">
        <v>440</v>
      </c>
      <c r="H281" s="87" t="s">
        <v>6405</v>
      </c>
      <c r="I281" s="87" t="s">
        <v>6240</v>
      </c>
      <c r="J281" s="87" t="s">
        <v>6240</v>
      </c>
      <c r="K281" s="87" t="s">
        <v>6240</v>
      </c>
      <c r="L281" s="87" t="s">
        <v>6398</v>
      </c>
      <c r="M281" s="9" t="s">
        <v>6883</v>
      </c>
      <c r="N281" s="87" t="s">
        <v>6240</v>
      </c>
      <c r="O281" s="9" t="s">
        <v>6243</v>
      </c>
      <c r="P281" s="87" t="s">
        <v>6397</v>
      </c>
      <c r="Q281" s="87" t="s">
        <v>6240</v>
      </c>
      <c r="R281" s="87" t="s">
        <v>6351</v>
      </c>
      <c r="S281" s="87" t="s">
        <v>6419</v>
      </c>
    </row>
    <row r="282" spans="1:19" ht="15.75" customHeight="1">
      <c r="A282" s="9" t="s">
        <v>2844</v>
      </c>
      <c r="C282" s="9" t="s">
        <v>6671</v>
      </c>
      <c r="D282" s="9" t="s">
        <v>6672</v>
      </c>
      <c r="E282" s="9" t="s">
        <v>439</v>
      </c>
      <c r="F282" s="9" t="s">
        <v>436</v>
      </c>
      <c r="G282" s="9" t="s">
        <v>440</v>
      </c>
      <c r="H282" s="87" t="s">
        <v>6405</v>
      </c>
      <c r="I282" s="87" t="s">
        <v>6405</v>
      </c>
      <c r="J282" s="87" t="s">
        <v>6405</v>
      </c>
      <c r="K282" s="87" t="s">
        <v>6240</v>
      </c>
      <c r="L282" s="87" t="s">
        <v>6398</v>
      </c>
      <c r="M282" s="9" t="s">
        <v>6701</v>
      </c>
      <c r="N282" s="87" t="s">
        <v>6405</v>
      </c>
      <c r="O282" s="9" t="s">
        <v>6243</v>
      </c>
      <c r="P282" s="87" t="s">
        <v>6240</v>
      </c>
      <c r="Q282" s="87" t="s">
        <v>6405</v>
      </c>
      <c r="R282" s="87" t="s">
        <v>6645</v>
      </c>
      <c r="S282" s="87" t="s">
        <v>6645</v>
      </c>
    </row>
    <row r="283" spans="1:19" ht="15.75" customHeight="1">
      <c r="A283" s="9" t="s">
        <v>2868</v>
      </c>
      <c r="C283" s="9" t="s">
        <v>6236</v>
      </c>
      <c r="D283" s="9" t="s">
        <v>431</v>
      </c>
      <c r="E283" s="9" t="s">
        <v>368</v>
      </c>
      <c r="F283" s="9" t="s">
        <v>436</v>
      </c>
      <c r="G283" s="9" t="s">
        <v>434</v>
      </c>
      <c r="H283" s="87" t="s">
        <v>6237</v>
      </c>
      <c r="I283" s="87" t="s">
        <v>6297</v>
      </c>
      <c r="J283" s="87" t="s">
        <v>6297</v>
      </c>
      <c r="K283" s="87" t="s">
        <v>6240</v>
      </c>
      <c r="L283" s="87" t="s">
        <v>6390</v>
      </c>
      <c r="M283" s="9" t="s">
        <v>6778</v>
      </c>
      <c r="N283" s="87" t="s">
        <v>6297</v>
      </c>
      <c r="O283" s="9" t="s">
        <v>6243</v>
      </c>
      <c r="P283" s="87" t="s">
        <v>6299</v>
      </c>
      <c r="Q283" s="87" t="s">
        <v>6297</v>
      </c>
      <c r="R283" s="87" t="s">
        <v>6351</v>
      </c>
      <c r="S283" s="87" t="s">
        <v>6443</v>
      </c>
    </row>
    <row r="284" spans="1:19" ht="15.75" customHeight="1">
      <c r="A284" s="9" t="s">
        <v>2844</v>
      </c>
      <c r="C284" s="9" t="s">
        <v>6236</v>
      </c>
      <c r="D284" s="9" t="s">
        <v>431</v>
      </c>
      <c r="E284" s="9" t="s">
        <v>368</v>
      </c>
      <c r="F284" s="9" t="s">
        <v>436</v>
      </c>
      <c r="G284" s="9" t="s">
        <v>434</v>
      </c>
      <c r="H284" s="87" t="s">
        <v>6237</v>
      </c>
      <c r="I284" s="87" t="s">
        <v>6405</v>
      </c>
      <c r="J284" s="87" t="s">
        <v>6405</v>
      </c>
      <c r="K284" s="87" t="s">
        <v>6240</v>
      </c>
      <c r="L284" s="87" t="s">
        <v>6390</v>
      </c>
      <c r="M284" s="9" t="s">
        <v>6701</v>
      </c>
      <c r="N284" s="87" t="s">
        <v>6405</v>
      </c>
      <c r="O284" s="9" t="s">
        <v>6243</v>
      </c>
      <c r="P284" s="87" t="s">
        <v>6240</v>
      </c>
      <c r="Q284" s="87" t="s">
        <v>6405</v>
      </c>
      <c r="R284" s="87" t="s">
        <v>6645</v>
      </c>
      <c r="S284" s="87" t="s">
        <v>6645</v>
      </c>
    </row>
    <row r="285" spans="1:19" ht="15.75" customHeight="1">
      <c r="A285" s="9" t="s">
        <v>3018</v>
      </c>
      <c r="C285" s="9" t="s">
        <v>6671</v>
      </c>
      <c r="D285" s="9" t="s">
        <v>6672</v>
      </c>
      <c r="E285" s="9" t="s">
        <v>439</v>
      </c>
      <c r="F285" s="9" t="s">
        <v>436</v>
      </c>
      <c r="G285" s="9" t="s">
        <v>440</v>
      </c>
      <c r="H285" s="87" t="s">
        <v>6405</v>
      </c>
      <c r="I285" s="87" t="s">
        <v>6299</v>
      </c>
      <c r="J285" s="87" t="s">
        <v>6299</v>
      </c>
      <c r="K285" s="87" t="s">
        <v>6240</v>
      </c>
      <c r="L285" s="87" t="s">
        <v>6390</v>
      </c>
      <c r="M285" s="9" t="s">
        <v>6821</v>
      </c>
      <c r="N285" s="87" t="s">
        <v>6299</v>
      </c>
      <c r="O285" s="9" t="s">
        <v>6243</v>
      </c>
      <c r="P285" s="87" t="s">
        <v>3231</v>
      </c>
      <c r="Q285" s="87" t="s">
        <v>6299</v>
      </c>
      <c r="R285" s="87" t="s">
        <v>6645</v>
      </c>
      <c r="S285" s="87" t="s">
        <v>6333</v>
      </c>
    </row>
    <row r="286" spans="1:19" ht="15.75" customHeight="1">
      <c r="A286" s="9" t="s">
        <v>2863</v>
      </c>
      <c r="C286" s="9" t="s">
        <v>6671</v>
      </c>
      <c r="D286" s="9" t="s">
        <v>6672</v>
      </c>
      <c r="E286" s="9" t="s">
        <v>439</v>
      </c>
      <c r="F286" s="9" t="s">
        <v>436</v>
      </c>
      <c r="G286" s="9" t="s">
        <v>440</v>
      </c>
      <c r="H286" s="87" t="s">
        <v>6405</v>
      </c>
      <c r="I286" s="87" t="s">
        <v>6329</v>
      </c>
      <c r="J286" s="87" t="s">
        <v>6329</v>
      </c>
      <c r="K286" s="87" t="s">
        <v>6240</v>
      </c>
      <c r="L286" s="87" t="s">
        <v>6389</v>
      </c>
      <c r="M286" s="9" t="s">
        <v>6884</v>
      </c>
      <c r="N286" s="87" t="s">
        <v>6329</v>
      </c>
      <c r="O286" s="9" t="s">
        <v>6243</v>
      </c>
      <c r="P286" s="87" t="s">
        <v>6448</v>
      </c>
      <c r="Q286" s="87" t="s">
        <v>6329</v>
      </c>
      <c r="R286" s="87" t="s">
        <v>6404</v>
      </c>
      <c r="S286" s="87" t="s">
        <v>6397</v>
      </c>
    </row>
    <row r="287" spans="1:19" ht="15.75" customHeight="1">
      <c r="A287" s="9" t="s">
        <v>2978</v>
      </c>
      <c r="C287" s="9" t="s">
        <v>6671</v>
      </c>
      <c r="D287" s="9" t="s">
        <v>6672</v>
      </c>
      <c r="E287" s="9" t="s">
        <v>439</v>
      </c>
      <c r="F287" s="9" t="s">
        <v>436</v>
      </c>
      <c r="G287" s="9" t="s">
        <v>440</v>
      </c>
      <c r="H287" s="87" t="s">
        <v>6405</v>
      </c>
      <c r="I287" s="87" t="s">
        <v>6299</v>
      </c>
      <c r="J287" s="87" t="s">
        <v>6299</v>
      </c>
      <c r="K287" s="87" t="s">
        <v>6240</v>
      </c>
      <c r="L287" s="87" t="s">
        <v>6389</v>
      </c>
      <c r="M287" s="9" t="s">
        <v>6821</v>
      </c>
      <c r="N287" s="87" t="s">
        <v>6299</v>
      </c>
      <c r="O287" s="9" t="s">
        <v>6243</v>
      </c>
      <c r="P287" s="87" t="s">
        <v>3231</v>
      </c>
      <c r="Q287" s="87" t="s">
        <v>6299</v>
      </c>
      <c r="R287" s="87" t="s">
        <v>6645</v>
      </c>
      <c r="S287" s="87" t="s">
        <v>6333</v>
      </c>
    </row>
    <row r="288" spans="1:19" ht="15.75" customHeight="1">
      <c r="A288" s="9" t="s">
        <v>2849</v>
      </c>
      <c r="C288" s="9" t="s">
        <v>6671</v>
      </c>
      <c r="D288" s="9" t="s">
        <v>6672</v>
      </c>
      <c r="E288" s="9" t="s">
        <v>439</v>
      </c>
      <c r="F288" s="9" t="s">
        <v>436</v>
      </c>
      <c r="G288" s="9" t="s">
        <v>440</v>
      </c>
      <c r="H288" s="87" t="s">
        <v>6405</v>
      </c>
      <c r="I288" s="87" t="s">
        <v>6290</v>
      </c>
      <c r="J288" s="87" t="s">
        <v>6290</v>
      </c>
      <c r="K288" s="87" t="s">
        <v>6240</v>
      </c>
      <c r="L288" s="87" t="s">
        <v>6389</v>
      </c>
      <c r="M288" s="9" t="s">
        <v>6885</v>
      </c>
      <c r="N288" s="87" t="s">
        <v>6290</v>
      </c>
      <c r="O288" s="9" t="s">
        <v>6243</v>
      </c>
      <c r="P288" s="87" t="s">
        <v>6293</v>
      </c>
      <c r="Q288" s="87" t="s">
        <v>6290</v>
      </c>
      <c r="R288" s="87" t="s">
        <v>6326</v>
      </c>
      <c r="S288" s="87" t="s">
        <v>6430</v>
      </c>
    </row>
    <row r="289" spans="1:19" ht="15.75" customHeight="1">
      <c r="A289" s="9" t="s">
        <v>3018</v>
      </c>
      <c r="C289" s="9" t="s">
        <v>6236</v>
      </c>
      <c r="D289" s="9" t="s">
        <v>431</v>
      </c>
      <c r="E289" s="9" t="s">
        <v>368</v>
      </c>
      <c r="F289" s="9" t="s">
        <v>436</v>
      </c>
      <c r="G289" s="9" t="s">
        <v>434</v>
      </c>
      <c r="H289" s="87" t="s">
        <v>6237</v>
      </c>
      <c r="I289" s="87" t="s">
        <v>6376</v>
      </c>
      <c r="J289" s="87" t="s">
        <v>6376</v>
      </c>
      <c r="K289" s="87" t="s">
        <v>6240</v>
      </c>
      <c r="L289" s="87" t="s">
        <v>6389</v>
      </c>
      <c r="M289" s="9" t="s">
        <v>6886</v>
      </c>
      <c r="N289" s="87" t="s">
        <v>6376</v>
      </c>
      <c r="O289" s="9" t="s">
        <v>6243</v>
      </c>
      <c r="P289" s="87" t="s">
        <v>6379</v>
      </c>
      <c r="Q289" s="87" t="s">
        <v>6376</v>
      </c>
      <c r="R289" s="87" t="s">
        <v>6645</v>
      </c>
      <c r="S289" s="87" t="s">
        <v>6322</v>
      </c>
    </row>
    <row r="290" spans="1:19" ht="15.75" customHeight="1">
      <c r="A290" s="9" t="s">
        <v>2863</v>
      </c>
      <c r="C290" s="9" t="s">
        <v>6236</v>
      </c>
      <c r="D290" s="9" t="s">
        <v>431</v>
      </c>
      <c r="E290" s="9" t="s">
        <v>368</v>
      </c>
      <c r="F290" s="9" t="s">
        <v>436</v>
      </c>
      <c r="G290" s="9" t="s">
        <v>434</v>
      </c>
      <c r="H290" s="87" t="s">
        <v>6264</v>
      </c>
      <c r="I290" s="87" t="s">
        <v>6397</v>
      </c>
      <c r="J290" s="87" t="s">
        <v>6397</v>
      </c>
      <c r="K290" s="87" t="s">
        <v>6240</v>
      </c>
      <c r="L290" s="87" t="s">
        <v>6388</v>
      </c>
      <c r="M290" s="9" t="s">
        <v>6887</v>
      </c>
      <c r="N290" s="87" t="s">
        <v>6397</v>
      </c>
      <c r="O290" s="9" t="s">
        <v>6243</v>
      </c>
      <c r="P290" s="87" t="s">
        <v>6278</v>
      </c>
      <c r="Q290" s="87" t="s">
        <v>6397</v>
      </c>
      <c r="R290" s="87" t="s">
        <v>6300</v>
      </c>
      <c r="S290" s="87" t="s">
        <v>6409</v>
      </c>
    </row>
    <row r="291" spans="1:19" ht="15.75" customHeight="1">
      <c r="A291" s="9" t="s">
        <v>2978</v>
      </c>
      <c r="C291" s="9" t="s">
        <v>6236</v>
      </c>
      <c r="D291" s="9" t="s">
        <v>431</v>
      </c>
      <c r="E291" s="9" t="s">
        <v>368</v>
      </c>
      <c r="F291" s="9" t="s">
        <v>436</v>
      </c>
      <c r="G291" s="9" t="s">
        <v>434</v>
      </c>
      <c r="H291" s="87" t="s">
        <v>6264</v>
      </c>
      <c r="I291" s="87" t="s">
        <v>6306</v>
      </c>
      <c r="J291" s="87" t="s">
        <v>6237</v>
      </c>
      <c r="K291" s="87" t="s">
        <v>6240</v>
      </c>
      <c r="L291" s="87" t="s">
        <v>6388</v>
      </c>
      <c r="M291" s="9" t="s">
        <v>6739</v>
      </c>
      <c r="N291" s="87" t="s">
        <v>6237</v>
      </c>
      <c r="O291" s="9" t="s">
        <v>6243</v>
      </c>
      <c r="P291" s="87" t="s">
        <v>4953</v>
      </c>
      <c r="Q291" s="87" t="s">
        <v>6306</v>
      </c>
      <c r="R291" s="87" t="s">
        <v>6645</v>
      </c>
      <c r="S291" s="87" t="s">
        <v>6424</v>
      </c>
    </row>
    <row r="292" spans="1:19" ht="15.75" customHeight="1">
      <c r="A292" s="9" t="s">
        <v>2849</v>
      </c>
      <c r="C292" s="9" t="s">
        <v>6236</v>
      </c>
      <c r="D292" s="9" t="s">
        <v>431</v>
      </c>
      <c r="E292" s="9" t="s">
        <v>368</v>
      </c>
      <c r="F292" s="9" t="s">
        <v>436</v>
      </c>
      <c r="G292" s="9" t="s">
        <v>434</v>
      </c>
      <c r="H292" s="87" t="s">
        <v>6264</v>
      </c>
      <c r="I292" s="87" t="s">
        <v>6397</v>
      </c>
      <c r="J292" s="87" t="s">
        <v>6397</v>
      </c>
      <c r="K292" s="87" t="s">
        <v>6240</v>
      </c>
      <c r="L292" s="87" t="s">
        <v>6388</v>
      </c>
      <c r="M292" s="9" t="s">
        <v>6888</v>
      </c>
      <c r="N292" s="87" t="s">
        <v>6397</v>
      </c>
      <c r="O292" s="9" t="s">
        <v>6243</v>
      </c>
      <c r="P292" s="87" t="s">
        <v>6278</v>
      </c>
      <c r="Q292" s="87" t="s">
        <v>6397</v>
      </c>
      <c r="R292" s="87" t="s">
        <v>6417</v>
      </c>
      <c r="S292" s="87" t="s">
        <v>6314</v>
      </c>
    </row>
    <row r="293" spans="1:19" ht="15.75" customHeight="1">
      <c r="A293" s="9" t="s">
        <v>2978</v>
      </c>
      <c r="C293" s="9" t="s">
        <v>6236</v>
      </c>
      <c r="D293" s="9" t="s">
        <v>431</v>
      </c>
      <c r="E293" s="9" t="s">
        <v>368</v>
      </c>
      <c r="F293" s="9" t="s">
        <v>436</v>
      </c>
      <c r="G293" s="9" t="s">
        <v>434</v>
      </c>
      <c r="H293" s="87" t="s">
        <v>6264</v>
      </c>
      <c r="I293" s="87" t="s">
        <v>6306</v>
      </c>
      <c r="J293" s="87" t="s">
        <v>6239</v>
      </c>
      <c r="K293" s="87" t="s">
        <v>6240</v>
      </c>
      <c r="L293" s="87" t="s">
        <v>6385</v>
      </c>
      <c r="M293" s="9" t="s">
        <v>6676</v>
      </c>
      <c r="N293" s="87" t="s">
        <v>6239</v>
      </c>
      <c r="O293" s="9" t="s">
        <v>6243</v>
      </c>
      <c r="P293" s="87" t="s">
        <v>3764</v>
      </c>
      <c r="Q293" s="87" t="s">
        <v>6306</v>
      </c>
      <c r="R293" s="87" t="s">
        <v>6645</v>
      </c>
      <c r="S293" s="87" t="s">
        <v>6327</v>
      </c>
    </row>
    <row r="294" spans="1:19" ht="15.75" customHeight="1">
      <c r="A294" s="9" t="s">
        <v>2866</v>
      </c>
      <c r="C294" s="9" t="s">
        <v>6671</v>
      </c>
      <c r="D294" s="9" t="s">
        <v>6672</v>
      </c>
      <c r="E294" s="9" t="s">
        <v>439</v>
      </c>
      <c r="F294" s="9" t="s">
        <v>436</v>
      </c>
      <c r="G294" s="9" t="s">
        <v>440</v>
      </c>
      <c r="H294" s="87" t="s">
        <v>6405</v>
      </c>
      <c r="I294" s="87" t="s">
        <v>6346</v>
      </c>
      <c r="J294" s="87" t="s">
        <v>6346</v>
      </c>
      <c r="K294" s="87" t="s">
        <v>6240</v>
      </c>
      <c r="L294" s="87" t="s">
        <v>6385</v>
      </c>
      <c r="M294" s="9" t="s">
        <v>6749</v>
      </c>
      <c r="N294" s="87" t="s">
        <v>6346</v>
      </c>
      <c r="O294" s="9" t="s">
        <v>6243</v>
      </c>
      <c r="P294" s="87" t="s">
        <v>6366</v>
      </c>
      <c r="Q294" s="87" t="s">
        <v>6346</v>
      </c>
      <c r="R294" s="87" t="s">
        <v>6645</v>
      </c>
      <c r="S294" s="87" t="s">
        <v>5381</v>
      </c>
    </row>
    <row r="295" spans="1:19" ht="15.75" customHeight="1">
      <c r="A295" s="9" t="s">
        <v>3005</v>
      </c>
      <c r="C295" s="9" t="s">
        <v>6236</v>
      </c>
      <c r="D295" s="9" t="s">
        <v>431</v>
      </c>
      <c r="E295" s="9" t="s">
        <v>368</v>
      </c>
      <c r="F295" s="9" t="s">
        <v>436</v>
      </c>
      <c r="G295" s="9" t="s">
        <v>434</v>
      </c>
      <c r="H295" s="87" t="s">
        <v>6237</v>
      </c>
      <c r="I295" s="87" t="s">
        <v>6255</v>
      </c>
      <c r="J295" s="87" t="s">
        <v>6255</v>
      </c>
      <c r="K295" s="87" t="s">
        <v>6240</v>
      </c>
      <c r="L295" s="87" t="s">
        <v>6285</v>
      </c>
      <c r="M295" s="9" t="s">
        <v>6889</v>
      </c>
      <c r="N295" s="87" t="s">
        <v>6255</v>
      </c>
      <c r="O295" s="9" t="s">
        <v>6243</v>
      </c>
      <c r="P295" s="87" t="s">
        <v>4947</v>
      </c>
      <c r="Q295" s="87" t="s">
        <v>6255</v>
      </c>
      <c r="R295" s="87" t="s">
        <v>6300</v>
      </c>
      <c r="S295" s="87" t="s">
        <v>6370</v>
      </c>
    </row>
    <row r="296" spans="1:19" ht="15.75" customHeight="1">
      <c r="A296" s="9" t="s">
        <v>3029</v>
      </c>
      <c r="C296" s="9" t="s">
        <v>6236</v>
      </c>
      <c r="D296" s="9" t="s">
        <v>431</v>
      </c>
      <c r="E296" s="9" t="s">
        <v>368</v>
      </c>
      <c r="F296" s="9" t="s">
        <v>436</v>
      </c>
      <c r="G296" s="9" t="s">
        <v>434</v>
      </c>
      <c r="H296" s="87" t="s">
        <v>6237</v>
      </c>
      <c r="I296" s="87" t="s">
        <v>6278</v>
      </c>
      <c r="J296" s="87" t="s">
        <v>6280</v>
      </c>
      <c r="K296" s="87" t="s">
        <v>6240</v>
      </c>
      <c r="L296" s="87" t="s">
        <v>6285</v>
      </c>
      <c r="M296" s="9" t="s">
        <v>6825</v>
      </c>
      <c r="N296" s="87" t="s">
        <v>6280</v>
      </c>
      <c r="O296" s="9" t="s">
        <v>6243</v>
      </c>
      <c r="P296" s="87" t="s">
        <v>6283</v>
      </c>
      <c r="Q296" s="87" t="s">
        <v>6278</v>
      </c>
      <c r="R296" s="87" t="s">
        <v>6645</v>
      </c>
      <c r="S296" s="87" t="s">
        <v>6314</v>
      </c>
    </row>
    <row r="297" spans="1:19" ht="15.75" customHeight="1">
      <c r="A297" s="9" t="s">
        <v>3029</v>
      </c>
      <c r="C297" s="9" t="s">
        <v>6236</v>
      </c>
      <c r="D297" s="9" t="s">
        <v>431</v>
      </c>
      <c r="E297" s="9" t="s">
        <v>368</v>
      </c>
      <c r="F297" s="9" t="s">
        <v>436</v>
      </c>
      <c r="G297" s="9" t="s">
        <v>434</v>
      </c>
      <c r="H297" s="87" t="s">
        <v>6237</v>
      </c>
      <c r="I297" s="87" t="s">
        <v>6278</v>
      </c>
      <c r="J297" s="87" t="s">
        <v>6239</v>
      </c>
      <c r="K297" s="87" t="s">
        <v>6240</v>
      </c>
      <c r="L297" s="87" t="s">
        <v>6890</v>
      </c>
      <c r="M297" s="9" t="s">
        <v>6676</v>
      </c>
      <c r="N297" s="87" t="s">
        <v>6239</v>
      </c>
      <c r="O297" s="9" t="s">
        <v>6243</v>
      </c>
      <c r="P297" s="87" t="s">
        <v>3764</v>
      </c>
      <c r="Q297" s="87" t="s">
        <v>6278</v>
      </c>
      <c r="R297" s="87" t="s">
        <v>6645</v>
      </c>
      <c r="S297" s="87" t="s">
        <v>6327</v>
      </c>
    </row>
    <row r="298" spans="1:19" ht="15.75" customHeight="1">
      <c r="A298" s="9" t="s">
        <v>2946</v>
      </c>
      <c r="C298" s="9" t="s">
        <v>6671</v>
      </c>
      <c r="D298" s="9" t="s">
        <v>6672</v>
      </c>
      <c r="E298" s="9" t="s">
        <v>439</v>
      </c>
      <c r="F298" s="9" t="s">
        <v>436</v>
      </c>
      <c r="G298" s="9" t="s">
        <v>440</v>
      </c>
      <c r="H298" s="87" t="s">
        <v>6405</v>
      </c>
      <c r="I298" s="87" t="s">
        <v>6484</v>
      </c>
      <c r="J298" s="87" t="s">
        <v>6484</v>
      </c>
      <c r="K298" s="87" t="s">
        <v>6240</v>
      </c>
      <c r="L298" s="87" t="s">
        <v>6891</v>
      </c>
      <c r="M298" s="9" t="s">
        <v>6892</v>
      </c>
      <c r="N298" s="87" t="s">
        <v>6484</v>
      </c>
      <c r="O298" s="9" t="s">
        <v>6243</v>
      </c>
      <c r="P298" s="87" t="s">
        <v>6375</v>
      </c>
      <c r="Q298" s="87" t="s">
        <v>6484</v>
      </c>
      <c r="R298" s="87" t="s">
        <v>6645</v>
      </c>
      <c r="S298" s="87" t="s">
        <v>6401</v>
      </c>
    </row>
    <row r="299" spans="1:19" ht="15.75" customHeight="1">
      <c r="A299" s="9" t="s">
        <v>2946</v>
      </c>
      <c r="C299" s="9" t="s">
        <v>6236</v>
      </c>
      <c r="D299" s="9" t="s">
        <v>431</v>
      </c>
      <c r="E299" s="9" t="s">
        <v>368</v>
      </c>
      <c r="F299" s="9" t="s">
        <v>436</v>
      </c>
      <c r="G299" s="9" t="s">
        <v>434</v>
      </c>
      <c r="H299" s="87" t="s">
        <v>6264</v>
      </c>
      <c r="I299" s="87" t="s">
        <v>6273</v>
      </c>
      <c r="J299" s="87" t="s">
        <v>6273</v>
      </c>
      <c r="K299" s="87" t="s">
        <v>6240</v>
      </c>
      <c r="L299" s="87" t="s">
        <v>6274</v>
      </c>
      <c r="M299" s="9" t="s">
        <v>6860</v>
      </c>
      <c r="N299" s="87" t="s">
        <v>6273</v>
      </c>
      <c r="O299" s="9" t="s">
        <v>6243</v>
      </c>
      <c r="P299" s="87" t="s">
        <v>6276</v>
      </c>
      <c r="Q299" s="87" t="s">
        <v>6273</v>
      </c>
      <c r="R299" s="87" t="s">
        <v>6645</v>
      </c>
      <c r="S299" s="87" t="s">
        <v>6445</v>
      </c>
    </row>
    <row r="300" spans="1:19" ht="15.75" customHeight="1">
      <c r="A300" s="9" t="s">
        <v>2924</v>
      </c>
      <c r="C300" s="9" t="s">
        <v>6671</v>
      </c>
      <c r="D300" s="9" t="s">
        <v>6672</v>
      </c>
      <c r="E300" s="9" t="s">
        <v>439</v>
      </c>
      <c r="F300" s="9" t="s">
        <v>436</v>
      </c>
      <c r="G300" s="9" t="s">
        <v>440</v>
      </c>
      <c r="H300" s="87" t="s">
        <v>6405</v>
      </c>
      <c r="I300" s="87" t="s">
        <v>6273</v>
      </c>
      <c r="J300" s="87" t="s">
        <v>6240</v>
      </c>
      <c r="K300" s="87" t="s">
        <v>6240</v>
      </c>
      <c r="L300" s="87" t="s">
        <v>6274</v>
      </c>
      <c r="M300" s="9" t="s">
        <v>6893</v>
      </c>
      <c r="N300" s="87" t="s">
        <v>6240</v>
      </c>
      <c r="O300" s="9" t="s">
        <v>6243</v>
      </c>
      <c r="P300" s="87" t="s">
        <v>6397</v>
      </c>
      <c r="Q300" s="87" t="s">
        <v>6273</v>
      </c>
      <c r="R300" s="87" t="s">
        <v>6645</v>
      </c>
      <c r="S300" s="87" t="s">
        <v>6417</v>
      </c>
    </row>
    <row r="301" spans="1:19" ht="15.75" customHeight="1">
      <c r="A301" s="9" t="s">
        <v>2916</v>
      </c>
      <c r="C301" s="9" t="s">
        <v>6671</v>
      </c>
      <c r="D301" s="9" t="s">
        <v>6672</v>
      </c>
      <c r="E301" s="9" t="s">
        <v>439</v>
      </c>
      <c r="F301" s="9" t="s">
        <v>436</v>
      </c>
      <c r="G301" s="9" t="s">
        <v>440</v>
      </c>
      <c r="H301" s="87" t="s">
        <v>6405</v>
      </c>
      <c r="I301" s="87" t="s">
        <v>6400</v>
      </c>
      <c r="J301" s="87" t="s">
        <v>6400</v>
      </c>
      <c r="K301" s="87" t="s">
        <v>6240</v>
      </c>
      <c r="L301" s="87" t="s">
        <v>6274</v>
      </c>
      <c r="M301" s="9" t="s">
        <v>6894</v>
      </c>
      <c r="N301" s="87" t="s">
        <v>6400</v>
      </c>
      <c r="O301" s="9" t="s">
        <v>6243</v>
      </c>
      <c r="P301" s="87" t="s">
        <v>3870</v>
      </c>
      <c r="Q301" s="87" t="s">
        <v>6400</v>
      </c>
      <c r="R301" s="87" t="s">
        <v>6367</v>
      </c>
      <c r="S301" s="87" t="s">
        <v>6295</v>
      </c>
    </row>
    <row r="302" spans="1:19" ht="15.75" customHeight="1">
      <c r="A302" s="9" t="s">
        <v>2944</v>
      </c>
      <c r="C302" s="9" t="s">
        <v>6671</v>
      </c>
      <c r="D302" s="9" t="s">
        <v>6672</v>
      </c>
      <c r="E302" s="9" t="s">
        <v>439</v>
      </c>
      <c r="F302" s="9" t="s">
        <v>436</v>
      </c>
      <c r="G302" s="9" t="s">
        <v>440</v>
      </c>
      <c r="H302" s="87" t="s">
        <v>6405</v>
      </c>
      <c r="I302" s="87" t="s">
        <v>6313</v>
      </c>
      <c r="J302" s="87" t="s">
        <v>6313</v>
      </c>
      <c r="K302" s="87" t="s">
        <v>6240</v>
      </c>
      <c r="L302" s="87" t="s">
        <v>6274</v>
      </c>
      <c r="M302" s="9" t="s">
        <v>6895</v>
      </c>
      <c r="N302" s="87" t="s">
        <v>6313</v>
      </c>
      <c r="O302" s="9" t="s">
        <v>6243</v>
      </c>
      <c r="P302" s="87" t="s">
        <v>6357</v>
      </c>
      <c r="Q302" s="87" t="s">
        <v>6313</v>
      </c>
      <c r="R302" s="87" t="s">
        <v>6419</v>
      </c>
      <c r="S302" s="87" t="s">
        <v>6373</v>
      </c>
    </row>
    <row r="303" spans="1:19" ht="15.75" customHeight="1">
      <c r="A303" s="9" t="s">
        <v>2924</v>
      </c>
      <c r="C303" s="9" t="s">
        <v>6671</v>
      </c>
      <c r="D303" s="9" t="s">
        <v>6672</v>
      </c>
      <c r="E303" s="9" t="s">
        <v>439</v>
      </c>
      <c r="F303" s="9" t="s">
        <v>436</v>
      </c>
      <c r="G303" s="9" t="s">
        <v>440</v>
      </c>
      <c r="H303" s="87" t="s">
        <v>6405</v>
      </c>
      <c r="I303" s="87" t="s">
        <v>6273</v>
      </c>
      <c r="J303" s="87" t="s">
        <v>6346</v>
      </c>
      <c r="K303" s="87" t="s">
        <v>6240</v>
      </c>
      <c r="L303" s="87" t="s">
        <v>6272</v>
      </c>
      <c r="M303" s="9" t="s">
        <v>6772</v>
      </c>
      <c r="N303" s="87" t="s">
        <v>6346</v>
      </c>
      <c r="O303" s="9" t="s">
        <v>6243</v>
      </c>
      <c r="P303" s="87" t="s">
        <v>6366</v>
      </c>
      <c r="Q303" s="87" t="s">
        <v>6273</v>
      </c>
      <c r="R303" s="87" t="s">
        <v>6370</v>
      </c>
      <c r="S303" s="87" t="s">
        <v>6327</v>
      </c>
    </row>
    <row r="304" spans="1:19" ht="15.75" customHeight="1">
      <c r="A304" s="9" t="s">
        <v>2916</v>
      </c>
      <c r="C304" s="9" t="s">
        <v>6236</v>
      </c>
      <c r="D304" s="9" t="s">
        <v>431</v>
      </c>
      <c r="E304" s="9" t="s">
        <v>368</v>
      </c>
      <c r="F304" s="9" t="s">
        <v>436</v>
      </c>
      <c r="G304" s="9" t="s">
        <v>434</v>
      </c>
      <c r="H304" s="87" t="s">
        <v>6264</v>
      </c>
      <c r="I304" s="87" t="s">
        <v>6239</v>
      </c>
      <c r="J304" s="87" t="s">
        <v>6619</v>
      </c>
      <c r="K304" s="87" t="s">
        <v>6240</v>
      </c>
      <c r="L304" s="87" t="s">
        <v>6272</v>
      </c>
      <c r="M304" s="9" t="s">
        <v>6851</v>
      </c>
      <c r="N304" s="87" t="s">
        <v>6619</v>
      </c>
      <c r="O304" s="9" t="s">
        <v>6243</v>
      </c>
      <c r="P304" s="87" t="s">
        <v>6852</v>
      </c>
      <c r="Q304" s="87" t="s">
        <v>6239</v>
      </c>
      <c r="R304" s="87" t="s">
        <v>6645</v>
      </c>
      <c r="S304" s="87" t="s">
        <v>6323</v>
      </c>
    </row>
    <row r="305" spans="1:19" ht="15.75" customHeight="1">
      <c r="A305" s="9" t="s">
        <v>2966</v>
      </c>
      <c r="C305" s="9" t="s">
        <v>6671</v>
      </c>
      <c r="D305" s="9" t="s">
        <v>6672</v>
      </c>
      <c r="E305" s="9" t="s">
        <v>439</v>
      </c>
      <c r="F305" s="9" t="s">
        <v>436</v>
      </c>
      <c r="G305" s="9" t="s">
        <v>440</v>
      </c>
      <c r="H305" s="87" t="s">
        <v>6405</v>
      </c>
      <c r="I305" s="87" t="s">
        <v>6896</v>
      </c>
      <c r="J305" s="87" t="s">
        <v>6430</v>
      </c>
      <c r="K305" s="87" t="s">
        <v>6240</v>
      </c>
      <c r="L305" s="87" t="s">
        <v>6272</v>
      </c>
      <c r="M305" s="9" t="s">
        <v>6897</v>
      </c>
      <c r="N305" s="87" t="s">
        <v>6430</v>
      </c>
      <c r="O305" s="9" t="s">
        <v>6243</v>
      </c>
      <c r="P305" s="87" t="s">
        <v>6579</v>
      </c>
      <c r="Q305" s="87" t="s">
        <v>6896</v>
      </c>
      <c r="R305" s="87" t="s">
        <v>6645</v>
      </c>
      <c r="S305" s="87" t="s">
        <v>6293</v>
      </c>
    </row>
    <row r="306" spans="1:19" ht="15.75" customHeight="1">
      <c r="A306" s="9" t="s">
        <v>2924</v>
      </c>
      <c r="C306" s="9" t="s">
        <v>6236</v>
      </c>
      <c r="D306" s="9" t="s">
        <v>431</v>
      </c>
      <c r="E306" s="9" t="s">
        <v>368</v>
      </c>
      <c r="F306" s="9" t="s">
        <v>436</v>
      </c>
      <c r="G306" s="9" t="s">
        <v>434</v>
      </c>
      <c r="H306" s="87" t="s">
        <v>6237</v>
      </c>
      <c r="I306" s="87" t="s">
        <v>6250</v>
      </c>
      <c r="J306" s="87" t="s">
        <v>6260</v>
      </c>
      <c r="K306" s="87" t="s">
        <v>6240</v>
      </c>
      <c r="L306" s="87" t="s">
        <v>6265</v>
      </c>
      <c r="M306" s="9" t="s">
        <v>6705</v>
      </c>
      <c r="N306" s="87" t="s">
        <v>6260</v>
      </c>
      <c r="O306" s="9" t="s">
        <v>6243</v>
      </c>
      <c r="P306" s="87" t="s">
        <v>4014</v>
      </c>
      <c r="Q306" s="87" t="s">
        <v>6250</v>
      </c>
      <c r="R306" s="87" t="s">
        <v>6645</v>
      </c>
      <c r="S306" s="87" t="s">
        <v>6392</v>
      </c>
    </row>
    <row r="307" spans="1:19" ht="15.75" customHeight="1">
      <c r="A307" s="9" t="s">
        <v>2916</v>
      </c>
      <c r="C307" s="9" t="s">
        <v>6236</v>
      </c>
      <c r="D307" s="9" t="s">
        <v>431</v>
      </c>
      <c r="E307" s="9" t="s">
        <v>368</v>
      </c>
      <c r="F307" s="9" t="s">
        <v>436</v>
      </c>
      <c r="G307" s="9" t="s">
        <v>434</v>
      </c>
      <c r="H307" s="87" t="s">
        <v>6264</v>
      </c>
      <c r="I307" s="87" t="s">
        <v>6239</v>
      </c>
      <c r="J307" s="87" t="s">
        <v>6433</v>
      </c>
      <c r="K307" s="87" t="s">
        <v>6240</v>
      </c>
      <c r="L307" s="87" t="s">
        <v>6265</v>
      </c>
      <c r="M307" s="9" t="s">
        <v>6797</v>
      </c>
      <c r="N307" s="87" t="s">
        <v>6433</v>
      </c>
      <c r="O307" s="9" t="s">
        <v>6243</v>
      </c>
      <c r="P307" s="87" t="s">
        <v>6305</v>
      </c>
      <c r="Q307" s="87" t="s">
        <v>6239</v>
      </c>
      <c r="R307" s="87" t="s">
        <v>6329</v>
      </c>
      <c r="S307" s="87" t="s">
        <v>6327</v>
      </c>
    </row>
    <row r="308" spans="1:19" ht="15.75" customHeight="1">
      <c r="A308" s="9" t="s">
        <v>2966</v>
      </c>
      <c r="C308" s="9" t="s">
        <v>6671</v>
      </c>
      <c r="D308" s="9" t="s">
        <v>6672</v>
      </c>
      <c r="E308" s="9" t="s">
        <v>439</v>
      </c>
      <c r="F308" s="9" t="s">
        <v>436</v>
      </c>
      <c r="G308" s="9" t="s">
        <v>440</v>
      </c>
      <c r="H308" s="87" t="s">
        <v>6405</v>
      </c>
      <c r="I308" s="87" t="s">
        <v>6896</v>
      </c>
      <c r="J308" s="87" t="s">
        <v>6239</v>
      </c>
      <c r="K308" s="87" t="s">
        <v>6240</v>
      </c>
      <c r="L308" s="87" t="s">
        <v>6265</v>
      </c>
      <c r="M308" s="9" t="s">
        <v>6676</v>
      </c>
      <c r="N308" s="87" t="s">
        <v>6239</v>
      </c>
      <c r="O308" s="9" t="s">
        <v>6243</v>
      </c>
      <c r="P308" s="87" t="s">
        <v>3764</v>
      </c>
      <c r="Q308" s="87" t="s">
        <v>6896</v>
      </c>
      <c r="R308" s="87" t="s">
        <v>6645</v>
      </c>
      <c r="S308" s="87" t="s">
        <v>6327</v>
      </c>
    </row>
    <row r="309" spans="1:19" ht="15.75" customHeight="1">
      <c r="A309" s="9" t="s">
        <v>2944</v>
      </c>
      <c r="C309" s="9" t="s">
        <v>6236</v>
      </c>
      <c r="D309" s="9" t="s">
        <v>431</v>
      </c>
      <c r="E309" s="9" t="s">
        <v>368</v>
      </c>
      <c r="F309" s="9" t="s">
        <v>436</v>
      </c>
      <c r="G309" s="9" t="s">
        <v>434</v>
      </c>
      <c r="H309" s="87" t="s">
        <v>6237</v>
      </c>
      <c r="I309" s="87" t="s">
        <v>6268</v>
      </c>
      <c r="J309" s="87" t="s">
        <v>6268</v>
      </c>
      <c r="K309" s="87" t="s">
        <v>6240</v>
      </c>
      <c r="L309" s="87" t="s">
        <v>6265</v>
      </c>
      <c r="M309" s="9" t="s">
        <v>6898</v>
      </c>
      <c r="N309" s="87" t="s">
        <v>6268</v>
      </c>
      <c r="O309" s="9" t="s">
        <v>6243</v>
      </c>
      <c r="P309" s="87" t="s">
        <v>6270</v>
      </c>
      <c r="Q309" s="87" t="s">
        <v>6268</v>
      </c>
      <c r="R309" s="87" t="s">
        <v>6606</v>
      </c>
      <c r="S309" s="87" t="s">
        <v>6323</v>
      </c>
    </row>
    <row r="310" spans="1:19" ht="15.75" customHeight="1">
      <c r="A310" s="9" t="s">
        <v>2924</v>
      </c>
      <c r="C310" s="9" t="s">
        <v>6236</v>
      </c>
      <c r="D310" s="9" t="s">
        <v>431</v>
      </c>
      <c r="E310" s="9" t="s">
        <v>368</v>
      </c>
      <c r="F310" s="9" t="s">
        <v>436</v>
      </c>
      <c r="G310" s="9" t="s">
        <v>434</v>
      </c>
      <c r="H310" s="87" t="s">
        <v>6237</v>
      </c>
      <c r="I310" s="87" t="s">
        <v>6250</v>
      </c>
      <c r="J310" s="87" t="s">
        <v>6251</v>
      </c>
      <c r="K310" s="87" t="s">
        <v>6240</v>
      </c>
      <c r="L310" s="87" t="s">
        <v>6899</v>
      </c>
      <c r="M310" s="9" t="s">
        <v>6900</v>
      </c>
      <c r="N310" s="87" t="s">
        <v>6251</v>
      </c>
      <c r="O310" s="9" t="s">
        <v>6243</v>
      </c>
      <c r="P310" s="87" t="s">
        <v>6254</v>
      </c>
      <c r="Q310" s="87" t="s">
        <v>6250</v>
      </c>
      <c r="R310" s="87" t="s">
        <v>6296</v>
      </c>
      <c r="S310" s="87" t="s">
        <v>6327</v>
      </c>
    </row>
    <row r="311" spans="1:19" ht="15.75" customHeight="1">
      <c r="A311" s="9" t="s">
        <v>2966</v>
      </c>
      <c r="C311" s="9" t="s">
        <v>6236</v>
      </c>
      <c r="D311" s="9" t="s">
        <v>431</v>
      </c>
      <c r="E311" s="9" t="s">
        <v>368</v>
      </c>
      <c r="F311" s="9" t="s">
        <v>436</v>
      </c>
      <c r="G311" s="9" t="s">
        <v>434</v>
      </c>
      <c r="H311" s="87" t="s">
        <v>6237</v>
      </c>
      <c r="I311" s="87" t="s">
        <v>6248</v>
      </c>
      <c r="J311" s="87" t="s">
        <v>6256</v>
      </c>
      <c r="K311" s="87" t="s">
        <v>6240</v>
      </c>
      <c r="L311" s="87" t="s">
        <v>6899</v>
      </c>
      <c r="M311" s="9" t="s">
        <v>6901</v>
      </c>
      <c r="N311" s="87" t="s">
        <v>6256</v>
      </c>
      <c r="O311" s="9" t="s">
        <v>6243</v>
      </c>
      <c r="P311" s="87" t="s">
        <v>6258</v>
      </c>
      <c r="Q311" s="87" t="s">
        <v>6248</v>
      </c>
      <c r="R311" s="87" t="s">
        <v>6645</v>
      </c>
      <c r="S311" s="87" t="s">
        <v>6393</v>
      </c>
    </row>
    <row r="312" spans="1:19" ht="15.75" customHeight="1">
      <c r="A312" s="9" t="s">
        <v>2966</v>
      </c>
      <c r="C312" s="9" t="s">
        <v>6236</v>
      </c>
      <c r="D312" s="9" t="s">
        <v>431</v>
      </c>
      <c r="E312" s="9" t="s">
        <v>368</v>
      </c>
      <c r="F312" s="9" t="s">
        <v>436</v>
      </c>
      <c r="G312" s="9" t="s">
        <v>434</v>
      </c>
      <c r="H312" s="87" t="s">
        <v>6237</v>
      </c>
      <c r="I312" s="87" t="s">
        <v>6248</v>
      </c>
      <c r="J312" s="87" t="s">
        <v>6239</v>
      </c>
      <c r="K312" s="87" t="s">
        <v>6240</v>
      </c>
      <c r="L312" s="87" t="s">
        <v>6249</v>
      </c>
      <c r="M312" s="9" t="s">
        <v>6676</v>
      </c>
      <c r="N312" s="87" t="s">
        <v>6239</v>
      </c>
      <c r="O312" s="9" t="s">
        <v>6243</v>
      </c>
      <c r="P312" s="87" t="s">
        <v>3764</v>
      </c>
      <c r="Q312" s="87" t="s">
        <v>6248</v>
      </c>
      <c r="R312" s="87" t="s">
        <v>6645</v>
      </c>
      <c r="S312" s="87" t="s">
        <v>6327</v>
      </c>
    </row>
    <row r="313" spans="1:19" ht="15.75" customHeight="1">
      <c r="A313" s="9" t="s">
        <v>2906</v>
      </c>
      <c r="C313" s="9" t="s">
        <v>6671</v>
      </c>
      <c r="D313" s="9" t="s">
        <v>6672</v>
      </c>
      <c r="E313" s="9" t="s">
        <v>439</v>
      </c>
      <c r="F313" s="9" t="s">
        <v>436</v>
      </c>
      <c r="G313" s="9" t="s">
        <v>440</v>
      </c>
      <c r="H313" s="87" t="s">
        <v>6405</v>
      </c>
      <c r="I313" s="87" t="s">
        <v>6290</v>
      </c>
      <c r="J313" s="87" t="s">
        <v>6290</v>
      </c>
      <c r="K313" s="87" t="s">
        <v>6240</v>
      </c>
      <c r="L313" s="87" t="s">
        <v>6902</v>
      </c>
      <c r="M313" s="9" t="s">
        <v>6903</v>
      </c>
      <c r="N313" s="87" t="s">
        <v>6290</v>
      </c>
      <c r="O313" s="9" t="s">
        <v>6243</v>
      </c>
      <c r="P313" s="87" t="s">
        <v>6293</v>
      </c>
      <c r="Q313" s="87" t="s">
        <v>6290</v>
      </c>
      <c r="R313" s="87" t="s">
        <v>6430</v>
      </c>
      <c r="S313" s="87" t="s">
        <v>6370</v>
      </c>
    </row>
    <row r="314" spans="1:19" ht="15.75" customHeight="1">
      <c r="A314" s="9" t="s">
        <v>2930</v>
      </c>
      <c r="C314" s="9" t="s">
        <v>6671</v>
      </c>
      <c r="D314" s="9" t="s">
        <v>6672</v>
      </c>
      <c r="E314" s="9" t="s">
        <v>439</v>
      </c>
      <c r="F314" s="9" t="s">
        <v>436</v>
      </c>
      <c r="G314" s="9" t="s">
        <v>440</v>
      </c>
      <c r="H314" s="87" t="s">
        <v>6405</v>
      </c>
      <c r="I314" s="87" t="s">
        <v>6435</v>
      </c>
      <c r="J314" s="87" t="s">
        <v>6435</v>
      </c>
      <c r="K314" s="87" t="s">
        <v>6240</v>
      </c>
      <c r="L314" s="87" t="s">
        <v>6902</v>
      </c>
      <c r="M314" s="9" t="s">
        <v>6904</v>
      </c>
      <c r="N314" s="87" t="s">
        <v>6435</v>
      </c>
      <c r="O314" s="9" t="s">
        <v>6243</v>
      </c>
      <c r="P314" s="87" t="s">
        <v>6250</v>
      </c>
      <c r="Q314" s="87" t="s">
        <v>6435</v>
      </c>
      <c r="R314" s="87" t="s">
        <v>6440</v>
      </c>
      <c r="S314" s="87" t="s">
        <v>6606</v>
      </c>
    </row>
    <row r="315" spans="1:19" ht="15.75" customHeight="1">
      <c r="A315" s="9" t="s">
        <v>2949</v>
      </c>
      <c r="C315" s="9" t="s">
        <v>6671</v>
      </c>
      <c r="D315" s="9" t="s">
        <v>6672</v>
      </c>
      <c r="E315" s="9" t="s">
        <v>439</v>
      </c>
      <c r="F315" s="9" t="s">
        <v>436</v>
      </c>
      <c r="G315" s="9" t="s">
        <v>440</v>
      </c>
      <c r="H315" s="87" t="s">
        <v>6405</v>
      </c>
      <c r="I315" s="87" t="s">
        <v>6567</v>
      </c>
      <c r="J315" s="87" t="s">
        <v>6346</v>
      </c>
      <c r="K315" s="87" t="s">
        <v>6240</v>
      </c>
      <c r="L315" s="87" t="s">
        <v>6902</v>
      </c>
      <c r="M315" s="9" t="s">
        <v>6749</v>
      </c>
      <c r="N315" s="87" t="s">
        <v>6346</v>
      </c>
      <c r="O315" s="9" t="s">
        <v>6243</v>
      </c>
      <c r="P315" s="87" t="s">
        <v>6366</v>
      </c>
      <c r="Q315" s="87" t="s">
        <v>6567</v>
      </c>
      <c r="R315" s="87" t="s">
        <v>6645</v>
      </c>
      <c r="S315" s="87" t="s">
        <v>5381</v>
      </c>
    </row>
    <row r="316" spans="1:19" ht="15.75" customHeight="1">
      <c r="A316" s="9" t="s">
        <v>2906</v>
      </c>
      <c r="C316" s="9" t="s">
        <v>6236</v>
      </c>
      <c r="D316" s="9" t="s">
        <v>431</v>
      </c>
      <c r="E316" s="9" t="s">
        <v>368</v>
      </c>
      <c r="F316" s="9" t="s">
        <v>436</v>
      </c>
      <c r="G316" s="9" t="s">
        <v>434</v>
      </c>
      <c r="H316" s="87" t="s">
        <v>6264</v>
      </c>
      <c r="I316" s="87" t="s">
        <v>6296</v>
      </c>
      <c r="J316" s="87" t="s">
        <v>6290</v>
      </c>
      <c r="K316" s="87" t="s">
        <v>6240</v>
      </c>
      <c r="L316" s="87" t="s">
        <v>6905</v>
      </c>
      <c r="M316" s="9" t="s">
        <v>6735</v>
      </c>
      <c r="N316" s="87" t="s">
        <v>6290</v>
      </c>
      <c r="O316" s="9" t="s">
        <v>6243</v>
      </c>
      <c r="P316" s="87" t="s">
        <v>6293</v>
      </c>
      <c r="Q316" s="87" t="s">
        <v>6296</v>
      </c>
      <c r="R316" s="87" t="s">
        <v>6645</v>
      </c>
      <c r="S316" s="87" t="s">
        <v>6525</v>
      </c>
    </row>
    <row r="317" spans="1:19" ht="15.75" customHeight="1">
      <c r="A317" s="9" t="s">
        <v>2949</v>
      </c>
      <c r="C317" s="9" t="s">
        <v>6671</v>
      </c>
      <c r="D317" s="9" t="s">
        <v>6672</v>
      </c>
      <c r="E317" s="9" t="s">
        <v>439</v>
      </c>
      <c r="F317" s="9" t="s">
        <v>436</v>
      </c>
      <c r="G317" s="9" t="s">
        <v>440</v>
      </c>
      <c r="H317" s="87" t="s">
        <v>6405</v>
      </c>
      <c r="I317" s="87" t="s">
        <v>6567</v>
      </c>
      <c r="J317" s="87" t="s">
        <v>6239</v>
      </c>
      <c r="K317" s="87" t="s">
        <v>6240</v>
      </c>
      <c r="L317" s="87" t="s">
        <v>6905</v>
      </c>
      <c r="M317" s="9" t="s">
        <v>6676</v>
      </c>
      <c r="N317" s="87" t="s">
        <v>6239</v>
      </c>
      <c r="O317" s="9" t="s">
        <v>6243</v>
      </c>
      <c r="P317" s="87" t="s">
        <v>3764</v>
      </c>
      <c r="Q317" s="87" t="s">
        <v>6567</v>
      </c>
      <c r="R317" s="87" t="s">
        <v>6645</v>
      </c>
      <c r="S317" s="87" t="s">
        <v>6327</v>
      </c>
    </row>
    <row r="318" spans="1:19" ht="15.75" customHeight="1">
      <c r="A318" s="9" t="s">
        <v>2906</v>
      </c>
      <c r="C318" s="9" t="s">
        <v>6236</v>
      </c>
      <c r="D318" s="9" t="s">
        <v>431</v>
      </c>
      <c r="E318" s="9" t="s">
        <v>368</v>
      </c>
      <c r="F318" s="9" t="s">
        <v>436</v>
      </c>
      <c r="G318" s="9" t="s">
        <v>434</v>
      </c>
      <c r="H318" s="87" t="s">
        <v>6264</v>
      </c>
      <c r="I318" s="87" t="s">
        <v>6296</v>
      </c>
      <c r="J318" s="87" t="s">
        <v>6297</v>
      </c>
      <c r="K318" s="87" t="s">
        <v>6240</v>
      </c>
      <c r="L318" s="87" t="s">
        <v>6906</v>
      </c>
      <c r="M318" s="9" t="s">
        <v>6907</v>
      </c>
      <c r="N318" s="87" t="s">
        <v>6297</v>
      </c>
      <c r="O318" s="9" t="s">
        <v>6243</v>
      </c>
      <c r="P318" s="87" t="s">
        <v>6299</v>
      </c>
      <c r="Q318" s="87" t="s">
        <v>6296</v>
      </c>
      <c r="R318" s="87" t="s">
        <v>6393</v>
      </c>
      <c r="S318" s="87" t="s">
        <v>6327</v>
      </c>
    </row>
    <row r="319" spans="1:19" ht="15.75" customHeight="1">
      <c r="A319" s="9" t="s">
        <v>2930</v>
      </c>
      <c r="C319" s="9" t="s">
        <v>6236</v>
      </c>
      <c r="D319" s="9" t="s">
        <v>431</v>
      </c>
      <c r="E319" s="9" t="s">
        <v>368</v>
      </c>
      <c r="F319" s="9" t="s">
        <v>436</v>
      </c>
      <c r="G319" s="9" t="s">
        <v>434</v>
      </c>
      <c r="H319" s="87" t="s">
        <v>6237</v>
      </c>
      <c r="I319" s="87" t="s">
        <v>6290</v>
      </c>
      <c r="J319" s="87" t="s">
        <v>6290</v>
      </c>
      <c r="K319" s="87" t="s">
        <v>6240</v>
      </c>
      <c r="L319" s="87" t="s">
        <v>6906</v>
      </c>
      <c r="M319" s="9" t="s">
        <v>6908</v>
      </c>
      <c r="N319" s="87" t="s">
        <v>6290</v>
      </c>
      <c r="O319" s="9" t="s">
        <v>6243</v>
      </c>
      <c r="P319" s="87" t="s">
        <v>6293</v>
      </c>
      <c r="Q319" s="87" t="s">
        <v>6290</v>
      </c>
      <c r="R319" s="87" t="s">
        <v>6280</v>
      </c>
      <c r="S319" s="87" t="s">
        <v>4953</v>
      </c>
    </row>
    <row r="320" spans="1:19" ht="15.75" customHeight="1">
      <c r="A320" s="9" t="s">
        <v>2949</v>
      </c>
      <c r="C320" s="9" t="s">
        <v>6236</v>
      </c>
      <c r="D320" s="9" t="s">
        <v>431</v>
      </c>
      <c r="E320" s="9" t="s">
        <v>368</v>
      </c>
      <c r="F320" s="9" t="s">
        <v>436</v>
      </c>
      <c r="G320" s="9" t="s">
        <v>434</v>
      </c>
      <c r="H320" s="87" t="s">
        <v>6264</v>
      </c>
      <c r="I320" s="87" t="s">
        <v>6288</v>
      </c>
      <c r="J320" s="87" t="s">
        <v>6300</v>
      </c>
      <c r="K320" s="87" t="s">
        <v>6240</v>
      </c>
      <c r="L320" s="87" t="s">
        <v>6906</v>
      </c>
      <c r="M320" s="9" t="s">
        <v>6909</v>
      </c>
      <c r="N320" s="87" t="s">
        <v>6300</v>
      </c>
      <c r="O320" s="9" t="s">
        <v>6243</v>
      </c>
      <c r="P320" s="87" t="s">
        <v>3861</v>
      </c>
      <c r="Q320" s="87" t="s">
        <v>6288</v>
      </c>
      <c r="R320" s="87" t="s">
        <v>6645</v>
      </c>
      <c r="S320" s="87" t="s">
        <v>6255</v>
      </c>
    </row>
    <row r="321" spans="1:19" ht="15.75" customHeight="1">
      <c r="A321" s="9" t="s">
        <v>2949</v>
      </c>
      <c r="C321" s="9" t="s">
        <v>6236</v>
      </c>
      <c r="D321" s="9" t="s">
        <v>431</v>
      </c>
      <c r="E321" s="9" t="s">
        <v>368</v>
      </c>
      <c r="F321" s="9" t="s">
        <v>436</v>
      </c>
      <c r="G321" s="9" t="s">
        <v>434</v>
      </c>
      <c r="H321" s="87" t="s">
        <v>6264</v>
      </c>
      <c r="I321" s="87" t="s">
        <v>6288</v>
      </c>
      <c r="J321" s="87" t="s">
        <v>6239</v>
      </c>
      <c r="K321" s="87" t="s">
        <v>6240</v>
      </c>
      <c r="L321" s="87" t="s">
        <v>6289</v>
      </c>
      <c r="M321" s="9" t="s">
        <v>6676</v>
      </c>
      <c r="N321" s="87" t="s">
        <v>6239</v>
      </c>
      <c r="O321" s="9" t="s">
        <v>6243</v>
      </c>
      <c r="P321" s="87" t="s">
        <v>3764</v>
      </c>
      <c r="Q321" s="87" t="s">
        <v>6288</v>
      </c>
      <c r="R321" s="87" t="s">
        <v>6645</v>
      </c>
      <c r="S321" s="87" t="s">
        <v>6327</v>
      </c>
    </row>
    <row r="322" spans="1:19" ht="15.75" customHeight="1">
      <c r="A322" s="9" t="s">
        <v>3005</v>
      </c>
      <c r="C322" s="9" t="s">
        <v>6671</v>
      </c>
      <c r="D322" s="9" t="s">
        <v>6672</v>
      </c>
      <c r="E322" s="9" t="s">
        <v>439</v>
      </c>
      <c r="F322" s="9" t="s">
        <v>436</v>
      </c>
      <c r="G322" s="9" t="s">
        <v>440</v>
      </c>
      <c r="H322" s="87" t="s">
        <v>6405</v>
      </c>
      <c r="I322" s="87" t="s">
        <v>6387</v>
      </c>
      <c r="J322" s="87" t="s">
        <v>6387</v>
      </c>
      <c r="K322" s="87" t="s">
        <v>6240</v>
      </c>
      <c r="L322" s="87" t="s">
        <v>6910</v>
      </c>
      <c r="M322" s="9" t="s">
        <v>6911</v>
      </c>
      <c r="N322" s="87" t="s">
        <v>6387</v>
      </c>
      <c r="O322" s="9" t="s">
        <v>6243</v>
      </c>
      <c r="P322" s="87" t="s">
        <v>6248</v>
      </c>
      <c r="Q322" s="87" t="s">
        <v>6387</v>
      </c>
      <c r="R322" s="87" t="s">
        <v>6733</v>
      </c>
      <c r="S322" s="87" t="s">
        <v>6322</v>
      </c>
    </row>
    <row r="323" spans="1:19" ht="15.75" customHeight="1">
      <c r="A323" s="9" t="s">
        <v>3029</v>
      </c>
      <c r="C323" s="9" t="s">
        <v>6671</v>
      </c>
      <c r="D323" s="9" t="s">
        <v>6672</v>
      </c>
      <c r="E323" s="9" t="s">
        <v>439</v>
      </c>
      <c r="F323" s="9" t="s">
        <v>436</v>
      </c>
      <c r="G323" s="9" t="s">
        <v>440</v>
      </c>
      <c r="H323" s="87" t="s">
        <v>6405</v>
      </c>
      <c r="I323" s="87" t="s">
        <v>6351</v>
      </c>
      <c r="J323" s="87" t="s">
        <v>6290</v>
      </c>
      <c r="K323" s="87" t="s">
        <v>6240</v>
      </c>
      <c r="L323" s="87" t="s">
        <v>6910</v>
      </c>
      <c r="M323" s="9" t="s">
        <v>6735</v>
      </c>
      <c r="N323" s="87" t="s">
        <v>6290</v>
      </c>
      <c r="O323" s="9" t="s">
        <v>6243</v>
      </c>
      <c r="P323" s="87" t="s">
        <v>6293</v>
      </c>
      <c r="Q323" s="87" t="s">
        <v>6351</v>
      </c>
      <c r="R323" s="87" t="s">
        <v>6645</v>
      </c>
      <c r="S323" s="87" t="s">
        <v>6525</v>
      </c>
    </row>
    <row r="324" spans="1:19" ht="15.75" customHeight="1">
      <c r="A324" s="9" t="s">
        <v>3029</v>
      </c>
      <c r="C324" s="9" t="s">
        <v>6671</v>
      </c>
      <c r="D324" s="9" t="s">
        <v>6672</v>
      </c>
      <c r="E324" s="9" t="s">
        <v>439</v>
      </c>
      <c r="F324" s="9" t="s">
        <v>436</v>
      </c>
      <c r="G324" s="9" t="s">
        <v>440</v>
      </c>
      <c r="H324" s="87" t="s">
        <v>6405</v>
      </c>
      <c r="I324" s="87" t="s">
        <v>6351</v>
      </c>
      <c r="J324" s="87" t="s">
        <v>6239</v>
      </c>
      <c r="K324" s="87" t="s">
        <v>6240</v>
      </c>
      <c r="L324" s="87" t="s">
        <v>6912</v>
      </c>
      <c r="M324" s="9" t="s">
        <v>6676</v>
      </c>
      <c r="N324" s="87" t="s">
        <v>6239</v>
      </c>
      <c r="O324" s="9" t="s">
        <v>6243</v>
      </c>
      <c r="P324" s="87" t="s">
        <v>3764</v>
      </c>
      <c r="Q324" s="87" t="s">
        <v>6351</v>
      </c>
      <c r="R324" s="87" t="s">
        <v>6645</v>
      </c>
      <c r="S324" s="87" t="s">
        <v>6327</v>
      </c>
    </row>
    <row r="325" spans="1:19" ht="15.75" customHeight="1">
      <c r="A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spans="1:19" ht="15.75" customHeight="1">
      <c r="A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spans="1:19" ht="15.75" customHeight="1">
      <c r="A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spans="1:19" ht="15.75" customHeight="1">
      <c r="A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spans="1:19" ht="15.75" customHeight="1">
      <c r="A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spans="1:19" ht="15.75" customHeight="1">
      <c r="A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spans="1:19" ht="15.75" customHeight="1">
      <c r="A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spans="1:19" ht="15.75" customHeight="1">
      <c r="A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spans="1:19" ht="15.75" customHeight="1">
      <c r="A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spans="1:19" ht="15.75" customHeight="1">
      <c r="A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spans="1:19" ht="15.75" customHeight="1">
      <c r="A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spans="1:19" ht="15.75" customHeight="1">
      <c r="A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spans="1:19" ht="15.75" customHeight="1">
      <c r="A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spans="1:19" ht="15.75" customHeight="1">
      <c r="A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spans="1:19" ht="15.75" customHeight="1">
      <c r="A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spans="1:19" ht="15.75" customHeight="1">
      <c r="A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spans="1:19" ht="15.75" customHeight="1">
      <c r="A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spans="1:19" ht="15.75" customHeight="1">
      <c r="A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spans="1:19" ht="15.75" customHeight="1">
      <c r="A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spans="1:19" ht="15.75" customHeight="1">
      <c r="A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spans="1:19" ht="15.75" customHeight="1">
      <c r="A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spans="1:19" ht="15.75" customHeight="1">
      <c r="A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spans="1:19" ht="15.75" customHeight="1">
      <c r="A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spans="1:19" ht="15.75" customHeight="1">
      <c r="A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spans="1:19" ht="15.75" customHeight="1">
      <c r="A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spans="1:19" ht="15.75" customHeight="1">
      <c r="A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spans="1:19" ht="15.75" customHeight="1">
      <c r="A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spans="1:19" ht="15.75" customHeight="1">
      <c r="A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spans="1:19" ht="15.75" customHeight="1">
      <c r="A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spans="1:19" ht="15.75" customHeight="1">
      <c r="A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spans="1:19" ht="15.75" customHeight="1">
      <c r="A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spans="1:19" ht="15.75" customHeight="1">
      <c r="A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spans="1:19" ht="15.75" customHeight="1">
      <c r="A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spans="1:19" ht="15.75" customHeight="1">
      <c r="A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spans="1:19" ht="15.75" customHeight="1">
      <c r="A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spans="1:19" ht="15.75" customHeight="1">
      <c r="A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spans="1:19" ht="15.75" customHeight="1">
      <c r="A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spans="1:19" ht="15.75" customHeight="1">
      <c r="A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spans="1:19" ht="15.75" customHeight="1">
      <c r="A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spans="1:19" ht="15.75" customHeight="1">
      <c r="A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spans="1:19" ht="15.75" customHeight="1">
      <c r="A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spans="1:19" ht="15.75" customHeight="1">
      <c r="A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spans="1:19" ht="15.75" customHeight="1">
      <c r="A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spans="1:19" ht="15.75" customHeight="1">
      <c r="A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spans="1:19" ht="15.75" customHeight="1">
      <c r="A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spans="1:19" ht="15.75" customHeight="1">
      <c r="A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spans="1:19" ht="15.75" customHeight="1">
      <c r="A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spans="1:19" ht="15.75" customHeight="1">
      <c r="A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spans="1:19" ht="15.75" customHeight="1">
      <c r="A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spans="1:19" ht="15.75" customHeight="1">
      <c r="A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spans="1:19" ht="15.75" customHeight="1">
      <c r="A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spans="1:19" ht="15.75" customHeight="1">
      <c r="A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spans="1:19" ht="15.75" customHeight="1">
      <c r="A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spans="1:19" ht="15.75" customHeight="1">
      <c r="A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spans="1:19" ht="15.75" customHeight="1">
      <c r="A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spans="1:19" ht="15.75" customHeight="1">
      <c r="A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spans="1:19" ht="15.75" customHeight="1">
      <c r="A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spans="1:19" ht="15.75" customHeight="1">
      <c r="A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spans="1:19" ht="15.75" customHeight="1">
      <c r="A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spans="1:19" ht="15.75" customHeight="1">
      <c r="A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spans="1:19" ht="15.75" customHeight="1">
      <c r="A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spans="1:19" ht="15.75" customHeight="1">
      <c r="A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spans="1:19" ht="15.75" customHeight="1">
      <c r="A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spans="1:19" ht="15.75" customHeight="1">
      <c r="A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spans="1:19" ht="15.75" customHeight="1">
      <c r="A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spans="1:19" ht="15.75" customHeight="1">
      <c r="A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spans="1:19" ht="15.75" customHeight="1">
      <c r="A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spans="1:19" ht="15.75" customHeight="1">
      <c r="A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spans="1:19" ht="15.75" customHeight="1">
      <c r="A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spans="1:19" ht="15.75" customHeight="1">
      <c r="A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spans="1:19" ht="15.75" customHeight="1">
      <c r="A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spans="1:19" ht="15.75" customHeight="1">
      <c r="A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spans="1:19" ht="15.75" customHeight="1">
      <c r="A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spans="1:19" ht="15.75" customHeight="1">
      <c r="A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spans="1:19" ht="15.75" customHeight="1">
      <c r="A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spans="1:19" ht="15.75" customHeight="1">
      <c r="A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spans="1:19" ht="15.75" customHeight="1">
      <c r="A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spans="1:19" ht="15.75" customHeight="1">
      <c r="A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spans="1:19" ht="15.75" customHeight="1">
      <c r="A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spans="1:19" ht="15.75" customHeight="1">
      <c r="A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spans="1:19" ht="15.75" customHeight="1">
      <c r="A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spans="1:19" ht="15.75" customHeight="1">
      <c r="A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spans="1:19" ht="15.75" customHeight="1"/>
    <row r="408" spans="1:19" ht="15.75" customHeight="1"/>
    <row r="409" spans="1:19" ht="15.75" customHeight="1"/>
    <row r="410" spans="1:19" ht="15.75" customHeight="1"/>
    <row r="411" spans="1:19" ht="15.75" customHeight="1"/>
    <row r="412" spans="1:19" ht="15.75" customHeight="1"/>
    <row r="413" spans="1:19" ht="15.75" customHeight="1"/>
    <row r="414" spans="1:19" ht="15.75" customHeight="1"/>
    <row r="415" spans="1:19" ht="15.75" customHeight="1"/>
    <row r="416" spans="1:19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406" xr:uid="{00000000-0009-0000-0000-00000C000000}"/>
  <phoneticPr fontId="42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T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20" ht="15.75" customHeight="1">
      <c r="A1" s="9" t="s">
        <v>2817</v>
      </c>
      <c r="B1" s="9" t="s">
        <v>6223</v>
      </c>
      <c r="C1" s="9" t="s">
        <v>6224</v>
      </c>
      <c r="D1" s="9" t="s">
        <v>6913</v>
      </c>
      <c r="E1" s="9" t="s">
        <v>6225</v>
      </c>
      <c r="F1" s="9" t="s">
        <v>360</v>
      </c>
      <c r="G1" s="9" t="s">
        <v>421</v>
      </c>
      <c r="H1" s="9" t="s">
        <v>415</v>
      </c>
      <c r="I1" s="9" t="s">
        <v>420</v>
      </c>
      <c r="J1" s="9" t="s">
        <v>6914</v>
      </c>
      <c r="K1" s="9" t="s">
        <v>6915</v>
      </c>
      <c r="L1" s="9" t="s">
        <v>6916</v>
      </c>
      <c r="M1" s="9" t="s">
        <v>358</v>
      </c>
      <c r="N1" s="9" t="s">
        <v>6229</v>
      </c>
      <c r="O1" s="9" t="s">
        <v>6230</v>
      </c>
      <c r="P1" s="9" t="s">
        <v>6231</v>
      </c>
      <c r="Q1" s="9" t="s">
        <v>6917</v>
      </c>
      <c r="R1" s="9" t="s">
        <v>6918</v>
      </c>
      <c r="S1" s="9" t="s">
        <v>6919</v>
      </c>
      <c r="T1" s="9" t="s">
        <v>6920</v>
      </c>
    </row>
    <row r="2" spans="1:20" ht="15.75" customHeight="1">
      <c r="A2" s="9" t="s">
        <v>2944</v>
      </c>
      <c r="C2" s="9" t="s">
        <v>6236</v>
      </c>
      <c r="D2" s="87" t="s">
        <v>6393</v>
      </c>
      <c r="E2" s="9" t="s">
        <v>431</v>
      </c>
      <c r="F2" s="9" t="s">
        <v>368</v>
      </c>
      <c r="G2" s="9" t="s">
        <v>436</v>
      </c>
      <c r="H2" s="9" t="s">
        <v>434</v>
      </c>
      <c r="I2" s="87" t="s">
        <v>6237</v>
      </c>
      <c r="J2" s="87" t="s">
        <v>6268</v>
      </c>
      <c r="K2" s="87" t="s">
        <v>6268</v>
      </c>
      <c r="L2" s="87" t="s">
        <v>6240</v>
      </c>
      <c r="M2" s="87" t="s">
        <v>6265</v>
      </c>
      <c r="N2" s="9" t="s">
        <v>6921</v>
      </c>
      <c r="O2" s="87" t="s">
        <v>6268</v>
      </c>
      <c r="P2" s="9" t="s">
        <v>6243</v>
      </c>
      <c r="Q2" s="87" t="s">
        <v>6270</v>
      </c>
      <c r="R2" s="87" t="s">
        <v>6268</v>
      </c>
      <c r="S2" s="87" t="s">
        <v>6323</v>
      </c>
      <c r="T2" s="87" t="s">
        <v>6606</v>
      </c>
    </row>
    <row r="3" spans="1:20" ht="15.75" customHeight="1">
      <c r="A3" s="9" t="s">
        <v>2944</v>
      </c>
      <c r="C3" s="9" t="s">
        <v>6671</v>
      </c>
      <c r="D3" s="87" t="s">
        <v>6296</v>
      </c>
      <c r="E3" s="9" t="s">
        <v>6672</v>
      </c>
      <c r="F3" s="9" t="s">
        <v>439</v>
      </c>
      <c r="G3" s="9" t="s">
        <v>436</v>
      </c>
      <c r="H3" s="9" t="s">
        <v>440</v>
      </c>
      <c r="I3" s="87" t="s">
        <v>6405</v>
      </c>
      <c r="J3" s="87" t="s">
        <v>6313</v>
      </c>
      <c r="K3" s="87" t="s">
        <v>6313</v>
      </c>
      <c r="L3" s="87" t="s">
        <v>6240</v>
      </c>
      <c r="M3" s="87" t="s">
        <v>6274</v>
      </c>
      <c r="N3" s="9" t="s">
        <v>6922</v>
      </c>
      <c r="O3" s="87" t="s">
        <v>6313</v>
      </c>
      <c r="P3" s="9" t="s">
        <v>6243</v>
      </c>
      <c r="Q3" s="87" t="s">
        <v>6357</v>
      </c>
      <c r="R3" s="87" t="s">
        <v>6313</v>
      </c>
      <c r="S3" s="87" t="s">
        <v>6373</v>
      </c>
      <c r="T3" s="87" t="s">
        <v>6419</v>
      </c>
    </row>
    <row r="4" spans="1:20" ht="15.75" customHeight="1">
      <c r="A4" s="9" t="s">
        <v>2944</v>
      </c>
      <c r="C4" s="9" t="s">
        <v>6923</v>
      </c>
      <c r="D4" s="87" t="s">
        <v>6327</v>
      </c>
      <c r="E4" s="9" t="s">
        <v>6924</v>
      </c>
      <c r="F4" s="9" t="s">
        <v>6925</v>
      </c>
      <c r="G4" s="9" t="s">
        <v>383</v>
      </c>
      <c r="H4" s="9" t="s">
        <v>444</v>
      </c>
      <c r="I4" s="87" t="s">
        <v>6405</v>
      </c>
      <c r="J4" s="87" t="s">
        <v>6405</v>
      </c>
      <c r="K4" s="87" t="s">
        <v>6926</v>
      </c>
      <c r="L4" s="87" t="s">
        <v>6278</v>
      </c>
      <c r="M4" s="87" t="s">
        <v>6891</v>
      </c>
      <c r="N4" s="9" t="s">
        <v>6927</v>
      </c>
      <c r="O4" s="87" t="s">
        <v>6397</v>
      </c>
      <c r="P4" s="9" t="s">
        <v>6243</v>
      </c>
      <c r="Q4" s="87" t="s">
        <v>6278</v>
      </c>
      <c r="R4" s="87" t="s">
        <v>6405</v>
      </c>
      <c r="S4" s="87" t="s">
        <v>6382</v>
      </c>
      <c r="T4" s="87" t="s">
        <v>6341</v>
      </c>
    </row>
    <row r="5" spans="1:20" ht="15.75" customHeight="1">
      <c r="A5" s="9" t="s">
        <v>2966</v>
      </c>
      <c r="C5" s="9" t="s">
        <v>6236</v>
      </c>
      <c r="D5" s="87" t="s">
        <v>6393</v>
      </c>
      <c r="E5" s="9" t="s">
        <v>431</v>
      </c>
      <c r="F5" s="9" t="s">
        <v>368</v>
      </c>
      <c r="G5" s="9" t="s">
        <v>436</v>
      </c>
      <c r="H5" s="9" t="s">
        <v>434</v>
      </c>
      <c r="I5" s="87" t="s">
        <v>6237</v>
      </c>
      <c r="J5" s="87" t="s">
        <v>6248</v>
      </c>
      <c r="K5" s="87" t="s">
        <v>6239</v>
      </c>
      <c r="L5" s="87" t="s">
        <v>6240</v>
      </c>
      <c r="M5" s="87" t="s">
        <v>6249</v>
      </c>
      <c r="N5" s="9" t="s">
        <v>6928</v>
      </c>
      <c r="O5" s="87" t="s">
        <v>6239</v>
      </c>
      <c r="P5" s="9" t="s">
        <v>6243</v>
      </c>
      <c r="Q5" s="87" t="s">
        <v>3764</v>
      </c>
      <c r="R5" s="87" t="s">
        <v>6248</v>
      </c>
      <c r="S5" s="87" t="s">
        <v>6327</v>
      </c>
      <c r="T5" s="87" t="s">
        <v>6645</v>
      </c>
    </row>
    <row r="6" spans="1:20" ht="15.75" customHeight="1">
      <c r="A6" s="9" t="s">
        <v>2966</v>
      </c>
      <c r="C6" s="9" t="s">
        <v>6236</v>
      </c>
      <c r="D6" s="87" t="s">
        <v>6393</v>
      </c>
      <c r="E6" s="9" t="s">
        <v>431</v>
      </c>
      <c r="F6" s="9" t="s">
        <v>368</v>
      </c>
      <c r="G6" s="9" t="s">
        <v>436</v>
      </c>
      <c r="H6" s="9" t="s">
        <v>434</v>
      </c>
      <c r="I6" s="87" t="s">
        <v>6237</v>
      </c>
      <c r="J6" s="87" t="s">
        <v>6248</v>
      </c>
      <c r="K6" s="87" t="s">
        <v>6256</v>
      </c>
      <c r="L6" s="87" t="s">
        <v>6240</v>
      </c>
      <c r="M6" s="87" t="s">
        <v>6899</v>
      </c>
      <c r="N6" s="9" t="s">
        <v>6929</v>
      </c>
      <c r="O6" s="87" t="s">
        <v>6256</v>
      </c>
      <c r="P6" s="9" t="s">
        <v>6243</v>
      </c>
      <c r="Q6" s="87" t="s">
        <v>6258</v>
      </c>
      <c r="R6" s="87" t="s">
        <v>6248</v>
      </c>
      <c r="S6" s="87" t="s">
        <v>6393</v>
      </c>
      <c r="T6" s="87" t="s">
        <v>6645</v>
      </c>
    </row>
    <row r="7" spans="1:20" ht="15.75" customHeight="1">
      <c r="A7" s="9" t="s">
        <v>2966</v>
      </c>
      <c r="C7" s="9" t="s">
        <v>6671</v>
      </c>
      <c r="D7" s="87" t="s">
        <v>6296</v>
      </c>
      <c r="E7" s="9" t="s">
        <v>6672</v>
      </c>
      <c r="F7" s="9" t="s">
        <v>439</v>
      </c>
      <c r="G7" s="9" t="s">
        <v>436</v>
      </c>
      <c r="H7" s="9" t="s">
        <v>440</v>
      </c>
      <c r="I7" s="87" t="s">
        <v>6405</v>
      </c>
      <c r="J7" s="87" t="s">
        <v>6896</v>
      </c>
      <c r="K7" s="87" t="s">
        <v>6239</v>
      </c>
      <c r="L7" s="87" t="s">
        <v>6240</v>
      </c>
      <c r="M7" s="87" t="s">
        <v>6265</v>
      </c>
      <c r="N7" s="9" t="s">
        <v>6928</v>
      </c>
      <c r="O7" s="87" t="s">
        <v>6239</v>
      </c>
      <c r="P7" s="9" t="s">
        <v>6243</v>
      </c>
      <c r="Q7" s="87" t="s">
        <v>3764</v>
      </c>
      <c r="R7" s="87" t="s">
        <v>6896</v>
      </c>
      <c r="S7" s="87" t="s">
        <v>6327</v>
      </c>
      <c r="T7" s="87" t="s">
        <v>6645</v>
      </c>
    </row>
    <row r="8" spans="1:20" ht="15.75" customHeight="1">
      <c r="A8" s="9" t="s">
        <v>2966</v>
      </c>
      <c r="C8" s="9" t="s">
        <v>6671</v>
      </c>
      <c r="D8" s="87" t="s">
        <v>6296</v>
      </c>
      <c r="E8" s="9" t="s">
        <v>6672</v>
      </c>
      <c r="F8" s="9" t="s">
        <v>439</v>
      </c>
      <c r="G8" s="9" t="s">
        <v>436</v>
      </c>
      <c r="H8" s="9" t="s">
        <v>440</v>
      </c>
      <c r="I8" s="87" t="s">
        <v>6405</v>
      </c>
      <c r="J8" s="87" t="s">
        <v>6896</v>
      </c>
      <c r="K8" s="87" t="s">
        <v>6430</v>
      </c>
      <c r="L8" s="87" t="s">
        <v>6240</v>
      </c>
      <c r="M8" s="87" t="s">
        <v>6272</v>
      </c>
      <c r="N8" s="9" t="s">
        <v>6930</v>
      </c>
      <c r="O8" s="87" t="s">
        <v>6430</v>
      </c>
      <c r="P8" s="9" t="s">
        <v>6243</v>
      </c>
      <c r="Q8" s="87" t="s">
        <v>6579</v>
      </c>
      <c r="R8" s="87" t="s">
        <v>6896</v>
      </c>
      <c r="S8" s="87" t="s">
        <v>6293</v>
      </c>
      <c r="T8" s="87" t="s">
        <v>6645</v>
      </c>
    </row>
    <row r="9" spans="1:20" ht="15.75" customHeight="1">
      <c r="A9" s="9" t="s">
        <v>2966</v>
      </c>
      <c r="C9" s="9" t="s">
        <v>6923</v>
      </c>
      <c r="D9" s="87" t="s">
        <v>6461</v>
      </c>
      <c r="E9" s="9" t="s">
        <v>6924</v>
      </c>
      <c r="F9" s="9" t="s">
        <v>6925</v>
      </c>
      <c r="G9" s="9" t="s">
        <v>383</v>
      </c>
      <c r="H9" s="9" t="s">
        <v>427</v>
      </c>
      <c r="I9" s="87" t="s">
        <v>6405</v>
      </c>
      <c r="J9" s="87" t="s">
        <v>6290</v>
      </c>
      <c r="K9" s="87" t="s">
        <v>6931</v>
      </c>
      <c r="L9" s="87" t="s">
        <v>6932</v>
      </c>
      <c r="M9" s="87" t="s">
        <v>6274</v>
      </c>
      <c r="N9" s="9" t="s">
        <v>6933</v>
      </c>
      <c r="O9" s="87" t="s">
        <v>6267</v>
      </c>
      <c r="P9" s="9" t="s">
        <v>6243</v>
      </c>
      <c r="Q9" s="87" t="s">
        <v>6506</v>
      </c>
      <c r="R9" s="87" t="s">
        <v>6290</v>
      </c>
      <c r="S9" s="87" t="s">
        <v>6264</v>
      </c>
      <c r="T9" s="87" t="s">
        <v>6341</v>
      </c>
    </row>
    <row r="10" spans="1:20" ht="15.75" customHeight="1">
      <c r="A10" s="9" t="s">
        <v>2966</v>
      </c>
      <c r="C10" s="9" t="s">
        <v>6923</v>
      </c>
      <c r="D10" s="87" t="s">
        <v>6461</v>
      </c>
      <c r="E10" s="9" t="s">
        <v>6924</v>
      </c>
      <c r="F10" s="9" t="s">
        <v>6925</v>
      </c>
      <c r="G10" s="9" t="s">
        <v>383</v>
      </c>
      <c r="H10" s="9" t="s">
        <v>427</v>
      </c>
      <c r="I10" s="87" t="s">
        <v>6405</v>
      </c>
      <c r="J10" s="87" t="s">
        <v>6290</v>
      </c>
      <c r="K10" s="87" t="s">
        <v>6931</v>
      </c>
      <c r="L10" s="87" t="s">
        <v>6932</v>
      </c>
      <c r="M10" s="87" t="s">
        <v>6891</v>
      </c>
      <c r="N10" s="9" t="s">
        <v>6933</v>
      </c>
      <c r="O10" s="87" t="s">
        <v>6267</v>
      </c>
      <c r="P10" s="9" t="s">
        <v>6243</v>
      </c>
      <c r="Q10" s="87" t="s">
        <v>6506</v>
      </c>
      <c r="R10" s="87" t="s">
        <v>6290</v>
      </c>
      <c r="S10" s="87" t="s">
        <v>6264</v>
      </c>
      <c r="T10" s="87" t="s">
        <v>6341</v>
      </c>
    </row>
    <row r="11" spans="1:20" ht="15.75" customHeight="1">
      <c r="A11" s="9" t="s">
        <v>2966</v>
      </c>
      <c r="C11" s="9" t="s">
        <v>6923</v>
      </c>
      <c r="D11" s="87" t="s">
        <v>6461</v>
      </c>
      <c r="E11" s="9" t="s">
        <v>6924</v>
      </c>
      <c r="F11" s="9" t="s">
        <v>6925</v>
      </c>
      <c r="G11" s="9" t="s">
        <v>383</v>
      </c>
      <c r="H11" s="9" t="s">
        <v>427</v>
      </c>
      <c r="I11" s="87" t="s">
        <v>6405</v>
      </c>
      <c r="J11" s="87" t="s">
        <v>6290</v>
      </c>
      <c r="K11" s="87" t="s">
        <v>6931</v>
      </c>
      <c r="L11" s="87" t="s">
        <v>6932</v>
      </c>
      <c r="M11" s="87" t="s">
        <v>6890</v>
      </c>
      <c r="N11" s="9" t="s">
        <v>6933</v>
      </c>
      <c r="O11" s="87" t="s">
        <v>6267</v>
      </c>
      <c r="P11" s="9" t="s">
        <v>6243</v>
      </c>
      <c r="Q11" s="87" t="s">
        <v>6506</v>
      </c>
      <c r="R11" s="87" t="s">
        <v>6290</v>
      </c>
      <c r="S11" s="87" t="s">
        <v>6264</v>
      </c>
      <c r="T11" s="87" t="s">
        <v>6341</v>
      </c>
    </row>
    <row r="12" spans="1:20" ht="15.75" customHeight="1">
      <c r="A12" s="9" t="s">
        <v>2966</v>
      </c>
      <c r="C12" s="9" t="s">
        <v>6923</v>
      </c>
      <c r="D12" s="87" t="s">
        <v>6461</v>
      </c>
      <c r="E12" s="9" t="s">
        <v>6924</v>
      </c>
      <c r="F12" s="9" t="s">
        <v>6925</v>
      </c>
      <c r="G12" s="9" t="s">
        <v>383</v>
      </c>
      <c r="H12" s="9" t="s">
        <v>427</v>
      </c>
      <c r="I12" s="87" t="s">
        <v>6405</v>
      </c>
      <c r="J12" s="87" t="s">
        <v>6290</v>
      </c>
      <c r="K12" s="87" t="s">
        <v>6926</v>
      </c>
      <c r="L12" s="87" t="s">
        <v>6932</v>
      </c>
      <c r="M12" s="87" t="s">
        <v>6285</v>
      </c>
      <c r="N12" s="9" t="s">
        <v>6934</v>
      </c>
      <c r="O12" s="87" t="s">
        <v>6259</v>
      </c>
      <c r="P12" s="9" t="s">
        <v>6243</v>
      </c>
      <c r="Q12" s="87" t="s">
        <v>6932</v>
      </c>
      <c r="R12" s="87" t="s">
        <v>6290</v>
      </c>
      <c r="S12" s="87" t="s">
        <v>6445</v>
      </c>
      <c r="T12" s="87" t="s">
        <v>6341</v>
      </c>
    </row>
    <row r="13" spans="1:20" ht="15.75" customHeight="1">
      <c r="A13" s="9" t="s">
        <v>3001</v>
      </c>
      <c r="C13" s="9" t="s">
        <v>6236</v>
      </c>
      <c r="D13" s="87" t="s">
        <v>6393</v>
      </c>
      <c r="E13" s="9" t="s">
        <v>431</v>
      </c>
      <c r="F13" s="9" t="s">
        <v>368</v>
      </c>
      <c r="G13" s="9" t="s">
        <v>436</v>
      </c>
      <c r="H13" s="9" t="s">
        <v>434</v>
      </c>
      <c r="I13" s="87" t="s">
        <v>6237</v>
      </c>
      <c r="J13" s="87" t="s">
        <v>6238</v>
      </c>
      <c r="K13" s="87" t="s">
        <v>6361</v>
      </c>
      <c r="L13" s="87" t="s">
        <v>6240</v>
      </c>
      <c r="M13" s="87" t="s">
        <v>6353</v>
      </c>
      <c r="N13" s="9" t="s">
        <v>6935</v>
      </c>
      <c r="O13" s="87" t="s">
        <v>6361</v>
      </c>
      <c r="P13" s="9" t="s">
        <v>6243</v>
      </c>
      <c r="Q13" s="87" t="s">
        <v>6363</v>
      </c>
      <c r="R13" s="87" t="s">
        <v>6238</v>
      </c>
      <c r="S13" s="87" t="s">
        <v>6327</v>
      </c>
      <c r="T13" s="87" t="s">
        <v>6526</v>
      </c>
    </row>
    <row r="14" spans="1:20" ht="15.75" customHeight="1">
      <c r="A14" s="9" t="s">
        <v>3001</v>
      </c>
      <c r="C14" s="9" t="s">
        <v>6236</v>
      </c>
      <c r="D14" s="87" t="s">
        <v>6393</v>
      </c>
      <c r="E14" s="9" t="s">
        <v>431</v>
      </c>
      <c r="F14" s="9" t="s">
        <v>368</v>
      </c>
      <c r="G14" s="9" t="s">
        <v>436</v>
      </c>
      <c r="H14" s="9" t="s">
        <v>434</v>
      </c>
      <c r="I14" s="87" t="s">
        <v>6237</v>
      </c>
      <c r="J14" s="87" t="s">
        <v>6238</v>
      </c>
      <c r="K14" s="87" t="s">
        <v>6326</v>
      </c>
      <c r="L14" s="87" t="s">
        <v>6240</v>
      </c>
      <c r="M14" s="87" t="s">
        <v>6358</v>
      </c>
      <c r="N14" s="9" t="s">
        <v>6936</v>
      </c>
      <c r="O14" s="87" t="s">
        <v>6326</v>
      </c>
      <c r="P14" s="9" t="s">
        <v>6243</v>
      </c>
      <c r="Q14" s="87" t="s">
        <v>6355</v>
      </c>
      <c r="R14" s="87" t="s">
        <v>6238</v>
      </c>
      <c r="S14" s="87" t="s">
        <v>6294</v>
      </c>
      <c r="T14" s="87" t="s">
        <v>6645</v>
      </c>
    </row>
    <row r="15" spans="1:20" ht="15.75" customHeight="1">
      <c r="A15" s="9" t="s">
        <v>3001</v>
      </c>
      <c r="C15" s="9" t="s">
        <v>6671</v>
      </c>
      <c r="D15" s="87" t="s">
        <v>6421</v>
      </c>
      <c r="E15" s="9" t="s">
        <v>6672</v>
      </c>
      <c r="F15" s="9" t="s">
        <v>439</v>
      </c>
      <c r="G15" s="9" t="s">
        <v>436</v>
      </c>
      <c r="H15" s="9" t="s">
        <v>440</v>
      </c>
      <c r="I15" s="87" t="s">
        <v>6405</v>
      </c>
      <c r="J15" s="87" t="s">
        <v>6357</v>
      </c>
      <c r="K15" s="87" t="s">
        <v>6479</v>
      </c>
      <c r="L15" s="87" t="s">
        <v>6240</v>
      </c>
      <c r="M15" s="87" t="s">
        <v>6364</v>
      </c>
      <c r="N15" s="9" t="s">
        <v>6937</v>
      </c>
      <c r="O15" s="87" t="s">
        <v>6479</v>
      </c>
      <c r="P15" s="9" t="s">
        <v>6243</v>
      </c>
      <c r="Q15" s="87" t="s">
        <v>5417</v>
      </c>
      <c r="R15" s="87" t="s">
        <v>6357</v>
      </c>
      <c r="S15" s="87" t="s">
        <v>6327</v>
      </c>
      <c r="T15" s="87" t="s">
        <v>6733</v>
      </c>
    </row>
    <row r="16" spans="1:20" ht="15.75" customHeight="1">
      <c r="A16" s="9" t="s">
        <v>3001</v>
      </c>
      <c r="C16" s="9" t="s">
        <v>6671</v>
      </c>
      <c r="D16" s="87" t="s">
        <v>6421</v>
      </c>
      <c r="E16" s="9" t="s">
        <v>6672</v>
      </c>
      <c r="F16" s="9" t="s">
        <v>439</v>
      </c>
      <c r="G16" s="9" t="s">
        <v>436</v>
      </c>
      <c r="H16" s="9" t="s">
        <v>440</v>
      </c>
      <c r="I16" s="87" t="s">
        <v>6405</v>
      </c>
      <c r="J16" s="87" t="s">
        <v>6357</v>
      </c>
      <c r="K16" s="87" t="s">
        <v>6526</v>
      </c>
      <c r="L16" s="87" t="s">
        <v>6240</v>
      </c>
      <c r="M16" s="87" t="s">
        <v>6385</v>
      </c>
      <c r="N16" s="9" t="s">
        <v>6938</v>
      </c>
      <c r="O16" s="87" t="s">
        <v>6526</v>
      </c>
      <c r="P16" s="9" t="s">
        <v>6243</v>
      </c>
      <c r="Q16" s="87" t="s">
        <v>4023</v>
      </c>
      <c r="R16" s="87" t="s">
        <v>6357</v>
      </c>
      <c r="S16" s="87" t="s">
        <v>6486</v>
      </c>
      <c r="T16" s="87" t="s">
        <v>6645</v>
      </c>
    </row>
    <row r="17" spans="1:20" ht="15.75" customHeight="1">
      <c r="A17" s="9" t="s">
        <v>3001</v>
      </c>
      <c r="C17" s="9" t="s">
        <v>6923</v>
      </c>
      <c r="D17" s="87" t="s">
        <v>6461</v>
      </c>
      <c r="E17" s="9" t="s">
        <v>6924</v>
      </c>
      <c r="F17" s="9" t="s">
        <v>6925</v>
      </c>
      <c r="G17" s="9" t="s">
        <v>383</v>
      </c>
      <c r="H17" s="9" t="s">
        <v>427</v>
      </c>
      <c r="I17" s="87" t="s">
        <v>6405</v>
      </c>
      <c r="J17" s="87" t="s">
        <v>6290</v>
      </c>
      <c r="K17" s="87" t="s">
        <v>6939</v>
      </c>
      <c r="L17" s="87" t="s">
        <v>5374</v>
      </c>
      <c r="M17" s="87" t="s">
        <v>6388</v>
      </c>
      <c r="N17" s="9" t="s">
        <v>6940</v>
      </c>
      <c r="O17" s="87" t="s">
        <v>6333</v>
      </c>
      <c r="P17" s="9" t="s">
        <v>6243</v>
      </c>
      <c r="Q17" s="87" t="s">
        <v>6575</v>
      </c>
      <c r="R17" s="87" t="s">
        <v>6290</v>
      </c>
      <c r="S17" s="87" t="s">
        <v>6570</v>
      </c>
      <c r="T17" s="87" t="s">
        <v>6341</v>
      </c>
    </row>
    <row r="18" spans="1:20" ht="15.75" customHeight="1">
      <c r="A18" s="9" t="s">
        <v>3001</v>
      </c>
      <c r="C18" s="9" t="s">
        <v>6923</v>
      </c>
      <c r="D18" s="87" t="s">
        <v>6461</v>
      </c>
      <c r="E18" s="9" t="s">
        <v>6924</v>
      </c>
      <c r="F18" s="9" t="s">
        <v>6925</v>
      </c>
      <c r="G18" s="9" t="s">
        <v>383</v>
      </c>
      <c r="H18" s="9" t="s">
        <v>427</v>
      </c>
      <c r="I18" s="87" t="s">
        <v>6405</v>
      </c>
      <c r="J18" s="87" t="s">
        <v>6290</v>
      </c>
      <c r="K18" s="87" t="s">
        <v>6939</v>
      </c>
      <c r="L18" s="87" t="s">
        <v>5374</v>
      </c>
      <c r="M18" s="87" t="s">
        <v>6389</v>
      </c>
      <c r="N18" s="9" t="s">
        <v>6940</v>
      </c>
      <c r="O18" s="87" t="s">
        <v>6333</v>
      </c>
      <c r="P18" s="9" t="s">
        <v>6243</v>
      </c>
      <c r="Q18" s="87" t="s">
        <v>6575</v>
      </c>
      <c r="R18" s="87" t="s">
        <v>6290</v>
      </c>
      <c r="S18" s="87" t="s">
        <v>6570</v>
      </c>
      <c r="T18" s="87" t="s">
        <v>6341</v>
      </c>
    </row>
    <row r="19" spans="1:20" ht="15.75" customHeight="1">
      <c r="A19" s="9" t="s">
        <v>3001</v>
      </c>
      <c r="C19" s="9" t="s">
        <v>6923</v>
      </c>
      <c r="D19" s="87" t="s">
        <v>6461</v>
      </c>
      <c r="E19" s="9" t="s">
        <v>6924</v>
      </c>
      <c r="F19" s="9" t="s">
        <v>6925</v>
      </c>
      <c r="G19" s="9" t="s">
        <v>383</v>
      </c>
      <c r="H19" s="9" t="s">
        <v>427</v>
      </c>
      <c r="I19" s="87" t="s">
        <v>6405</v>
      </c>
      <c r="J19" s="87" t="s">
        <v>6290</v>
      </c>
      <c r="K19" s="87" t="s">
        <v>6939</v>
      </c>
      <c r="L19" s="87" t="s">
        <v>5374</v>
      </c>
      <c r="M19" s="87" t="s">
        <v>6390</v>
      </c>
      <c r="N19" s="9" t="s">
        <v>6940</v>
      </c>
      <c r="O19" s="87" t="s">
        <v>6333</v>
      </c>
      <c r="P19" s="9" t="s">
        <v>6243</v>
      </c>
      <c r="Q19" s="87" t="s">
        <v>6575</v>
      </c>
      <c r="R19" s="87" t="s">
        <v>6290</v>
      </c>
      <c r="S19" s="87" t="s">
        <v>6570</v>
      </c>
      <c r="T19" s="87" t="s">
        <v>6341</v>
      </c>
    </row>
    <row r="20" spans="1:20" ht="15.75" customHeight="1">
      <c r="A20" s="9" t="s">
        <v>3001</v>
      </c>
      <c r="C20" s="9" t="s">
        <v>6923</v>
      </c>
      <c r="D20" s="87" t="s">
        <v>6461</v>
      </c>
      <c r="E20" s="9" t="s">
        <v>6924</v>
      </c>
      <c r="F20" s="9" t="s">
        <v>6925</v>
      </c>
      <c r="G20" s="9" t="s">
        <v>383</v>
      </c>
      <c r="H20" s="9" t="s">
        <v>427</v>
      </c>
      <c r="I20" s="87" t="s">
        <v>6405</v>
      </c>
      <c r="J20" s="87" t="s">
        <v>6290</v>
      </c>
      <c r="K20" s="87" t="s">
        <v>6939</v>
      </c>
      <c r="L20" s="87" t="s">
        <v>5374</v>
      </c>
      <c r="M20" s="87" t="s">
        <v>6398</v>
      </c>
      <c r="N20" s="9" t="s">
        <v>6940</v>
      </c>
      <c r="O20" s="87" t="s">
        <v>6333</v>
      </c>
      <c r="P20" s="9" t="s">
        <v>6243</v>
      </c>
      <c r="Q20" s="87" t="s">
        <v>6575</v>
      </c>
      <c r="R20" s="87" t="s">
        <v>6290</v>
      </c>
      <c r="S20" s="87" t="s">
        <v>6570</v>
      </c>
      <c r="T20" s="87" t="s">
        <v>6341</v>
      </c>
    </row>
    <row r="21" spans="1:20" ht="15.75" customHeight="1">
      <c r="A21" s="9" t="s">
        <v>3001</v>
      </c>
      <c r="C21" s="9" t="s">
        <v>6923</v>
      </c>
      <c r="D21" s="87" t="s">
        <v>6461</v>
      </c>
      <c r="E21" s="9" t="s">
        <v>6924</v>
      </c>
      <c r="F21" s="9" t="s">
        <v>6925</v>
      </c>
      <c r="G21" s="9" t="s">
        <v>383</v>
      </c>
      <c r="H21" s="9" t="s">
        <v>427</v>
      </c>
      <c r="I21" s="87" t="s">
        <v>6405</v>
      </c>
      <c r="J21" s="87" t="s">
        <v>6290</v>
      </c>
      <c r="K21" s="87" t="s">
        <v>6939</v>
      </c>
      <c r="L21" s="87" t="s">
        <v>5374</v>
      </c>
      <c r="M21" s="87" t="s">
        <v>6422</v>
      </c>
      <c r="N21" s="9" t="s">
        <v>6940</v>
      </c>
      <c r="O21" s="87" t="s">
        <v>6333</v>
      </c>
      <c r="P21" s="9" t="s">
        <v>6243</v>
      </c>
      <c r="Q21" s="87" t="s">
        <v>6575</v>
      </c>
      <c r="R21" s="87" t="s">
        <v>6290</v>
      </c>
      <c r="S21" s="87" t="s">
        <v>6570</v>
      </c>
      <c r="T21" s="87" t="s">
        <v>6341</v>
      </c>
    </row>
    <row r="22" spans="1:20" ht="15.75" customHeight="1">
      <c r="A22" s="9" t="s">
        <v>2916</v>
      </c>
      <c r="C22" s="9" t="s">
        <v>6236</v>
      </c>
      <c r="D22" s="87" t="s">
        <v>6393</v>
      </c>
      <c r="E22" s="9" t="s">
        <v>431</v>
      </c>
      <c r="F22" s="9" t="s">
        <v>368</v>
      </c>
      <c r="G22" s="9" t="s">
        <v>436</v>
      </c>
      <c r="H22" s="9" t="s">
        <v>434</v>
      </c>
      <c r="I22" s="87" t="s">
        <v>6264</v>
      </c>
      <c r="J22" s="87" t="s">
        <v>6239</v>
      </c>
      <c r="K22" s="87" t="s">
        <v>6433</v>
      </c>
      <c r="L22" s="87" t="s">
        <v>6240</v>
      </c>
      <c r="M22" s="87" t="s">
        <v>6265</v>
      </c>
      <c r="N22" s="9" t="s">
        <v>6941</v>
      </c>
      <c r="O22" s="87" t="s">
        <v>6433</v>
      </c>
      <c r="P22" s="9" t="s">
        <v>6243</v>
      </c>
      <c r="Q22" s="87" t="s">
        <v>6305</v>
      </c>
      <c r="R22" s="87" t="s">
        <v>6239</v>
      </c>
      <c r="S22" s="87" t="s">
        <v>6327</v>
      </c>
      <c r="T22" s="87" t="s">
        <v>6329</v>
      </c>
    </row>
    <row r="23" spans="1:20" ht="15.75" customHeight="1">
      <c r="A23" s="9" t="s">
        <v>2916</v>
      </c>
      <c r="C23" s="9" t="s">
        <v>6236</v>
      </c>
      <c r="D23" s="87" t="s">
        <v>6393</v>
      </c>
      <c r="E23" s="9" t="s">
        <v>431</v>
      </c>
      <c r="F23" s="9" t="s">
        <v>368</v>
      </c>
      <c r="G23" s="9" t="s">
        <v>436</v>
      </c>
      <c r="H23" s="9" t="s">
        <v>434</v>
      </c>
      <c r="I23" s="87" t="s">
        <v>6264</v>
      </c>
      <c r="J23" s="87" t="s">
        <v>6239</v>
      </c>
      <c r="K23" s="87" t="s">
        <v>6619</v>
      </c>
      <c r="L23" s="87" t="s">
        <v>6240</v>
      </c>
      <c r="M23" s="87" t="s">
        <v>6272</v>
      </c>
      <c r="N23" s="9" t="s">
        <v>6942</v>
      </c>
      <c r="O23" s="87" t="s">
        <v>6619</v>
      </c>
      <c r="P23" s="9" t="s">
        <v>6243</v>
      </c>
      <c r="Q23" s="87" t="s">
        <v>6852</v>
      </c>
      <c r="R23" s="87" t="s">
        <v>6239</v>
      </c>
      <c r="S23" s="87" t="s">
        <v>6323</v>
      </c>
      <c r="T23" s="87" t="s">
        <v>6645</v>
      </c>
    </row>
    <row r="24" spans="1:20" ht="15.75" customHeight="1">
      <c r="A24" s="9" t="s">
        <v>2916</v>
      </c>
      <c r="C24" s="9" t="s">
        <v>6671</v>
      </c>
      <c r="D24" s="87" t="s">
        <v>6296</v>
      </c>
      <c r="E24" s="9" t="s">
        <v>6672</v>
      </c>
      <c r="F24" s="9" t="s">
        <v>439</v>
      </c>
      <c r="G24" s="9" t="s">
        <v>436</v>
      </c>
      <c r="H24" s="9" t="s">
        <v>440</v>
      </c>
      <c r="I24" s="87" t="s">
        <v>6405</v>
      </c>
      <c r="J24" s="87" t="s">
        <v>6400</v>
      </c>
      <c r="K24" s="87" t="s">
        <v>6400</v>
      </c>
      <c r="L24" s="87" t="s">
        <v>6240</v>
      </c>
      <c r="M24" s="87" t="s">
        <v>6274</v>
      </c>
      <c r="N24" s="9" t="s">
        <v>6943</v>
      </c>
      <c r="O24" s="87" t="s">
        <v>6400</v>
      </c>
      <c r="P24" s="9" t="s">
        <v>6243</v>
      </c>
      <c r="Q24" s="87" t="s">
        <v>3870</v>
      </c>
      <c r="R24" s="87" t="s">
        <v>6400</v>
      </c>
      <c r="S24" s="87" t="s">
        <v>6295</v>
      </c>
      <c r="T24" s="87" t="s">
        <v>6367</v>
      </c>
    </row>
    <row r="25" spans="1:20" ht="15.75" customHeight="1">
      <c r="A25" s="9" t="s">
        <v>2916</v>
      </c>
      <c r="C25" s="9" t="s">
        <v>6923</v>
      </c>
      <c r="D25" s="87" t="s">
        <v>6264</v>
      </c>
      <c r="E25" s="9" t="s">
        <v>6924</v>
      </c>
      <c r="F25" s="9" t="s">
        <v>6925</v>
      </c>
      <c r="G25" s="9" t="s">
        <v>383</v>
      </c>
      <c r="H25" s="9" t="s">
        <v>449</v>
      </c>
      <c r="I25" s="87" t="s">
        <v>6405</v>
      </c>
      <c r="J25" s="87" t="s">
        <v>6237</v>
      </c>
      <c r="K25" s="87" t="s">
        <v>6926</v>
      </c>
      <c r="L25" s="87" t="s">
        <v>6464</v>
      </c>
      <c r="M25" s="87" t="s">
        <v>6891</v>
      </c>
      <c r="N25" s="9" t="s">
        <v>6944</v>
      </c>
      <c r="O25" s="87" t="s">
        <v>6302</v>
      </c>
      <c r="P25" s="9" t="s">
        <v>6243</v>
      </c>
      <c r="Q25" s="87" t="s">
        <v>6464</v>
      </c>
      <c r="R25" s="87" t="s">
        <v>6237</v>
      </c>
      <c r="S25" s="87" t="s">
        <v>6280</v>
      </c>
      <c r="T25" s="87" t="s">
        <v>5381</v>
      </c>
    </row>
    <row r="26" spans="1:20" ht="15.75" customHeight="1">
      <c r="A26" s="9" t="s">
        <v>2916</v>
      </c>
      <c r="C26" s="9" t="s">
        <v>6923</v>
      </c>
      <c r="D26" s="87" t="s">
        <v>6264</v>
      </c>
      <c r="E26" s="9" t="s">
        <v>6924</v>
      </c>
      <c r="F26" s="9" t="s">
        <v>6925</v>
      </c>
      <c r="G26" s="9" t="s">
        <v>383</v>
      </c>
      <c r="H26" s="9" t="s">
        <v>449</v>
      </c>
      <c r="I26" s="87" t="s">
        <v>6405</v>
      </c>
      <c r="J26" s="87" t="s">
        <v>6237</v>
      </c>
      <c r="K26" s="87" t="s">
        <v>6939</v>
      </c>
      <c r="L26" s="87" t="s">
        <v>6464</v>
      </c>
      <c r="M26" s="87" t="s">
        <v>6890</v>
      </c>
      <c r="N26" s="9" t="s">
        <v>6945</v>
      </c>
      <c r="O26" s="87" t="s">
        <v>6500</v>
      </c>
      <c r="P26" s="9" t="s">
        <v>6243</v>
      </c>
      <c r="Q26" s="87" t="s">
        <v>3749</v>
      </c>
      <c r="R26" s="87" t="s">
        <v>6237</v>
      </c>
      <c r="S26" s="87" t="s">
        <v>6327</v>
      </c>
      <c r="T26" s="87" t="s">
        <v>6341</v>
      </c>
    </row>
    <row r="27" spans="1:20" ht="15.75" customHeight="1">
      <c r="A27" s="9" t="s">
        <v>2916</v>
      </c>
      <c r="C27" s="9" t="s">
        <v>6923</v>
      </c>
      <c r="D27" s="87" t="s">
        <v>6264</v>
      </c>
      <c r="E27" s="9" t="s">
        <v>6924</v>
      </c>
      <c r="F27" s="9" t="s">
        <v>6925</v>
      </c>
      <c r="G27" s="9" t="s">
        <v>383</v>
      </c>
      <c r="H27" s="9" t="s">
        <v>449</v>
      </c>
      <c r="I27" s="87" t="s">
        <v>6405</v>
      </c>
      <c r="J27" s="87" t="s">
        <v>6237</v>
      </c>
      <c r="K27" s="87" t="s">
        <v>6926</v>
      </c>
      <c r="L27" s="87" t="s">
        <v>6464</v>
      </c>
      <c r="M27" s="87" t="s">
        <v>6285</v>
      </c>
      <c r="N27" s="9" t="s">
        <v>6946</v>
      </c>
      <c r="O27" s="87" t="s">
        <v>6302</v>
      </c>
      <c r="P27" s="9" t="s">
        <v>6243</v>
      </c>
      <c r="Q27" s="87" t="s">
        <v>6464</v>
      </c>
      <c r="R27" s="87" t="s">
        <v>6237</v>
      </c>
      <c r="S27" s="87" t="s">
        <v>6409</v>
      </c>
      <c r="T27" s="87" t="s">
        <v>6341</v>
      </c>
    </row>
    <row r="28" spans="1:20" ht="15.75" customHeight="1">
      <c r="A28" s="9" t="s">
        <v>2924</v>
      </c>
      <c r="C28" s="9" t="s">
        <v>6236</v>
      </c>
      <c r="D28" s="87" t="s">
        <v>6393</v>
      </c>
      <c r="E28" s="9" t="s">
        <v>431</v>
      </c>
      <c r="F28" s="9" t="s">
        <v>368</v>
      </c>
      <c r="G28" s="9" t="s">
        <v>436</v>
      </c>
      <c r="H28" s="9" t="s">
        <v>434</v>
      </c>
      <c r="I28" s="87" t="s">
        <v>6237</v>
      </c>
      <c r="J28" s="87" t="s">
        <v>6250</v>
      </c>
      <c r="K28" s="87" t="s">
        <v>6251</v>
      </c>
      <c r="L28" s="87" t="s">
        <v>6240</v>
      </c>
      <c r="M28" s="87" t="s">
        <v>6899</v>
      </c>
      <c r="N28" s="9" t="s">
        <v>6947</v>
      </c>
      <c r="O28" s="87" t="s">
        <v>6251</v>
      </c>
      <c r="P28" s="9" t="s">
        <v>6243</v>
      </c>
      <c r="Q28" s="87" t="s">
        <v>6254</v>
      </c>
      <c r="R28" s="87" t="s">
        <v>6250</v>
      </c>
      <c r="S28" s="87" t="s">
        <v>6327</v>
      </c>
      <c r="T28" s="87" t="s">
        <v>6296</v>
      </c>
    </row>
    <row r="29" spans="1:20" ht="15.75" customHeight="1">
      <c r="A29" s="9" t="s">
        <v>2924</v>
      </c>
      <c r="C29" s="9" t="s">
        <v>6236</v>
      </c>
      <c r="D29" s="87" t="s">
        <v>6393</v>
      </c>
      <c r="E29" s="9" t="s">
        <v>431</v>
      </c>
      <c r="F29" s="9" t="s">
        <v>368</v>
      </c>
      <c r="G29" s="9" t="s">
        <v>436</v>
      </c>
      <c r="H29" s="9" t="s">
        <v>434</v>
      </c>
      <c r="I29" s="87" t="s">
        <v>6237</v>
      </c>
      <c r="J29" s="87" t="s">
        <v>6250</v>
      </c>
      <c r="K29" s="87" t="s">
        <v>6260</v>
      </c>
      <c r="L29" s="87" t="s">
        <v>6240</v>
      </c>
      <c r="M29" s="87" t="s">
        <v>6265</v>
      </c>
      <c r="N29" s="9" t="s">
        <v>6948</v>
      </c>
      <c r="O29" s="87" t="s">
        <v>6260</v>
      </c>
      <c r="P29" s="9" t="s">
        <v>6243</v>
      </c>
      <c r="Q29" s="87" t="s">
        <v>4014</v>
      </c>
      <c r="R29" s="87" t="s">
        <v>6250</v>
      </c>
      <c r="S29" s="87" t="s">
        <v>6392</v>
      </c>
      <c r="T29" s="87" t="s">
        <v>6645</v>
      </c>
    </row>
    <row r="30" spans="1:20" ht="15.75" customHeight="1">
      <c r="A30" s="9" t="s">
        <v>2924</v>
      </c>
      <c r="C30" s="9" t="s">
        <v>6671</v>
      </c>
      <c r="D30" s="87" t="s">
        <v>6296</v>
      </c>
      <c r="E30" s="9" t="s">
        <v>6672</v>
      </c>
      <c r="F30" s="9" t="s">
        <v>439</v>
      </c>
      <c r="G30" s="9" t="s">
        <v>436</v>
      </c>
      <c r="H30" s="9" t="s">
        <v>440</v>
      </c>
      <c r="I30" s="87" t="s">
        <v>6405</v>
      </c>
      <c r="J30" s="87" t="s">
        <v>6273</v>
      </c>
      <c r="K30" s="87" t="s">
        <v>6346</v>
      </c>
      <c r="L30" s="87" t="s">
        <v>6240</v>
      </c>
      <c r="M30" s="87" t="s">
        <v>6272</v>
      </c>
      <c r="N30" s="9" t="s">
        <v>6949</v>
      </c>
      <c r="O30" s="87" t="s">
        <v>6346</v>
      </c>
      <c r="P30" s="9" t="s">
        <v>6243</v>
      </c>
      <c r="Q30" s="87" t="s">
        <v>6366</v>
      </c>
      <c r="R30" s="87" t="s">
        <v>6273</v>
      </c>
      <c r="S30" s="87" t="s">
        <v>6327</v>
      </c>
      <c r="T30" s="87" t="s">
        <v>6370</v>
      </c>
    </row>
    <row r="31" spans="1:20" ht="15.75" customHeight="1">
      <c r="A31" s="9" t="s">
        <v>2924</v>
      </c>
      <c r="C31" s="9" t="s">
        <v>6671</v>
      </c>
      <c r="D31" s="87" t="s">
        <v>6296</v>
      </c>
      <c r="E31" s="9" t="s">
        <v>6672</v>
      </c>
      <c r="F31" s="9" t="s">
        <v>439</v>
      </c>
      <c r="G31" s="9" t="s">
        <v>436</v>
      </c>
      <c r="H31" s="9" t="s">
        <v>440</v>
      </c>
      <c r="I31" s="87" t="s">
        <v>6405</v>
      </c>
      <c r="J31" s="87" t="s">
        <v>6273</v>
      </c>
      <c r="K31" s="87" t="s">
        <v>6240</v>
      </c>
      <c r="L31" s="87" t="s">
        <v>6240</v>
      </c>
      <c r="M31" s="87" t="s">
        <v>6274</v>
      </c>
      <c r="N31" s="9" t="s">
        <v>6950</v>
      </c>
      <c r="O31" s="87" t="s">
        <v>6240</v>
      </c>
      <c r="P31" s="9" t="s">
        <v>6243</v>
      </c>
      <c r="Q31" s="87" t="s">
        <v>6397</v>
      </c>
      <c r="R31" s="87" t="s">
        <v>6273</v>
      </c>
      <c r="S31" s="87" t="s">
        <v>6417</v>
      </c>
      <c r="T31" s="87" t="s">
        <v>6645</v>
      </c>
    </row>
    <row r="32" spans="1:20" ht="15.75" customHeight="1">
      <c r="A32" s="9" t="s">
        <v>2924</v>
      </c>
      <c r="C32" s="9" t="s">
        <v>6923</v>
      </c>
      <c r="D32" s="87" t="s">
        <v>6461</v>
      </c>
      <c r="E32" s="9" t="s">
        <v>6924</v>
      </c>
      <c r="F32" s="9" t="s">
        <v>6925</v>
      </c>
      <c r="G32" s="9" t="s">
        <v>383</v>
      </c>
      <c r="H32" s="9" t="s">
        <v>427</v>
      </c>
      <c r="I32" s="87" t="s">
        <v>6405</v>
      </c>
      <c r="J32" s="87" t="s">
        <v>6264</v>
      </c>
      <c r="K32" s="87" t="s">
        <v>6926</v>
      </c>
      <c r="L32" s="87" t="s">
        <v>5374</v>
      </c>
      <c r="M32" s="87" t="s">
        <v>6285</v>
      </c>
      <c r="N32" s="9" t="s">
        <v>6951</v>
      </c>
      <c r="O32" s="87" t="s">
        <v>6323</v>
      </c>
      <c r="P32" s="9" t="s">
        <v>6243</v>
      </c>
      <c r="Q32" s="87" t="s">
        <v>5374</v>
      </c>
      <c r="R32" s="87" t="s">
        <v>6264</v>
      </c>
      <c r="S32" s="87" t="s">
        <v>6259</v>
      </c>
      <c r="T32" s="87" t="s">
        <v>6526</v>
      </c>
    </row>
    <row r="33" spans="1:20" ht="15.75" customHeight="1">
      <c r="A33" s="9" t="s">
        <v>2924</v>
      </c>
      <c r="C33" s="9" t="s">
        <v>6923</v>
      </c>
      <c r="D33" s="87" t="s">
        <v>6461</v>
      </c>
      <c r="E33" s="9" t="s">
        <v>6924</v>
      </c>
      <c r="F33" s="9" t="s">
        <v>6925</v>
      </c>
      <c r="G33" s="9" t="s">
        <v>383</v>
      </c>
      <c r="H33" s="9" t="s">
        <v>427</v>
      </c>
      <c r="I33" s="87" t="s">
        <v>6405</v>
      </c>
      <c r="J33" s="87" t="s">
        <v>6264</v>
      </c>
      <c r="K33" s="87" t="s">
        <v>6939</v>
      </c>
      <c r="L33" s="87" t="s">
        <v>5374</v>
      </c>
      <c r="M33" s="87" t="s">
        <v>6912</v>
      </c>
      <c r="N33" s="9" t="s">
        <v>6940</v>
      </c>
      <c r="O33" s="87" t="s">
        <v>6333</v>
      </c>
      <c r="P33" s="9" t="s">
        <v>6243</v>
      </c>
      <c r="Q33" s="87" t="s">
        <v>6575</v>
      </c>
      <c r="R33" s="87" t="s">
        <v>6264</v>
      </c>
      <c r="S33" s="87" t="s">
        <v>6570</v>
      </c>
      <c r="T33" s="87" t="s">
        <v>6341</v>
      </c>
    </row>
    <row r="34" spans="1:20" ht="15.75" customHeight="1">
      <c r="A34" s="9" t="s">
        <v>2946</v>
      </c>
      <c r="C34" s="9" t="s">
        <v>6236</v>
      </c>
      <c r="D34" s="87" t="s">
        <v>6393</v>
      </c>
      <c r="E34" s="9" t="s">
        <v>431</v>
      </c>
      <c r="F34" s="9" t="s">
        <v>368</v>
      </c>
      <c r="G34" s="9" t="s">
        <v>436</v>
      </c>
      <c r="H34" s="9" t="s">
        <v>434</v>
      </c>
      <c r="I34" s="87" t="s">
        <v>6264</v>
      </c>
      <c r="J34" s="87" t="s">
        <v>6273</v>
      </c>
      <c r="K34" s="87" t="s">
        <v>6273</v>
      </c>
      <c r="L34" s="87" t="s">
        <v>6240</v>
      </c>
      <c r="M34" s="87" t="s">
        <v>6274</v>
      </c>
      <c r="N34" s="9" t="s">
        <v>6952</v>
      </c>
      <c r="O34" s="87" t="s">
        <v>6273</v>
      </c>
      <c r="P34" s="9" t="s">
        <v>6243</v>
      </c>
      <c r="Q34" s="87" t="s">
        <v>6276</v>
      </c>
      <c r="R34" s="87" t="s">
        <v>6273</v>
      </c>
      <c r="S34" s="87" t="s">
        <v>6445</v>
      </c>
      <c r="T34" s="87" t="s">
        <v>6645</v>
      </c>
    </row>
    <row r="35" spans="1:20" ht="15.75" customHeight="1">
      <c r="A35" s="9" t="s">
        <v>2946</v>
      </c>
      <c r="C35" s="9" t="s">
        <v>6671</v>
      </c>
      <c r="D35" s="87" t="s">
        <v>6296</v>
      </c>
      <c r="E35" s="9" t="s">
        <v>6672</v>
      </c>
      <c r="F35" s="9" t="s">
        <v>439</v>
      </c>
      <c r="G35" s="9" t="s">
        <v>436</v>
      </c>
      <c r="H35" s="9" t="s">
        <v>440</v>
      </c>
      <c r="I35" s="87" t="s">
        <v>6405</v>
      </c>
      <c r="J35" s="87" t="s">
        <v>6484</v>
      </c>
      <c r="K35" s="87" t="s">
        <v>6484</v>
      </c>
      <c r="L35" s="87" t="s">
        <v>6240</v>
      </c>
      <c r="M35" s="87" t="s">
        <v>6891</v>
      </c>
      <c r="N35" s="9" t="s">
        <v>6953</v>
      </c>
      <c r="O35" s="87" t="s">
        <v>6484</v>
      </c>
      <c r="P35" s="9" t="s">
        <v>6243</v>
      </c>
      <c r="Q35" s="87" t="s">
        <v>6375</v>
      </c>
      <c r="R35" s="87" t="s">
        <v>6484</v>
      </c>
      <c r="S35" s="87" t="s">
        <v>6401</v>
      </c>
      <c r="T35" s="87" t="s">
        <v>6645</v>
      </c>
    </row>
    <row r="36" spans="1:20" ht="15.75" customHeight="1">
      <c r="A36" s="9" t="s">
        <v>2946</v>
      </c>
      <c r="C36" s="9" t="s">
        <v>6923</v>
      </c>
      <c r="D36" s="87" t="s">
        <v>6327</v>
      </c>
      <c r="E36" s="9" t="s">
        <v>6924</v>
      </c>
      <c r="F36" s="9" t="s">
        <v>6925</v>
      </c>
      <c r="G36" s="9" t="s">
        <v>383</v>
      </c>
      <c r="H36" s="9" t="s">
        <v>444</v>
      </c>
      <c r="I36" s="87" t="s">
        <v>6405</v>
      </c>
      <c r="J36" s="87" t="s">
        <v>6405</v>
      </c>
      <c r="K36" s="87" t="s">
        <v>6926</v>
      </c>
      <c r="L36" s="87" t="s">
        <v>6306</v>
      </c>
      <c r="M36" s="87" t="s">
        <v>6285</v>
      </c>
      <c r="N36" s="9" t="s">
        <v>6954</v>
      </c>
      <c r="O36" s="87" t="s">
        <v>4953</v>
      </c>
      <c r="P36" s="9" t="s">
        <v>6243</v>
      </c>
      <c r="Q36" s="87" t="s">
        <v>6306</v>
      </c>
      <c r="R36" s="87" t="s">
        <v>6405</v>
      </c>
      <c r="S36" s="87" t="s">
        <v>6323</v>
      </c>
      <c r="T36" s="87" t="s">
        <v>6361</v>
      </c>
    </row>
    <row r="37" spans="1:20" ht="15.75" customHeight="1">
      <c r="A37" s="9" t="s">
        <v>6384</v>
      </c>
      <c r="C37" s="9" t="s">
        <v>6923</v>
      </c>
      <c r="D37" s="87" t="s">
        <v>6327</v>
      </c>
      <c r="E37" s="9" t="s">
        <v>6924</v>
      </c>
      <c r="F37" s="9" t="s">
        <v>6925</v>
      </c>
      <c r="G37" s="9" t="s">
        <v>383</v>
      </c>
      <c r="H37" s="9" t="s">
        <v>444</v>
      </c>
      <c r="I37" s="87" t="s">
        <v>6405</v>
      </c>
      <c r="J37" s="87" t="s">
        <v>6290</v>
      </c>
      <c r="K37" s="87" t="s">
        <v>6939</v>
      </c>
      <c r="L37" s="87" t="s">
        <v>6448</v>
      </c>
      <c r="M37" s="87" t="s">
        <v>6364</v>
      </c>
      <c r="N37" s="9" t="s">
        <v>6955</v>
      </c>
      <c r="O37" s="87" t="s">
        <v>6360</v>
      </c>
      <c r="P37" s="9" t="s">
        <v>6243</v>
      </c>
      <c r="Q37" s="87" t="s">
        <v>6776</v>
      </c>
      <c r="R37" s="87" t="s">
        <v>6290</v>
      </c>
      <c r="S37" s="87" t="s">
        <v>6255</v>
      </c>
      <c r="T37" s="87" t="s">
        <v>6341</v>
      </c>
    </row>
    <row r="38" spans="1:20" ht="15.75" customHeight="1">
      <c r="A38" s="9" t="s">
        <v>6384</v>
      </c>
      <c r="C38" s="9" t="s">
        <v>6923</v>
      </c>
      <c r="D38" s="87" t="s">
        <v>6327</v>
      </c>
      <c r="E38" s="9" t="s">
        <v>6924</v>
      </c>
      <c r="F38" s="9" t="s">
        <v>6925</v>
      </c>
      <c r="G38" s="9" t="s">
        <v>383</v>
      </c>
      <c r="H38" s="9" t="s">
        <v>444</v>
      </c>
      <c r="I38" s="87" t="s">
        <v>6405</v>
      </c>
      <c r="J38" s="87" t="s">
        <v>6290</v>
      </c>
      <c r="K38" s="87" t="s">
        <v>6939</v>
      </c>
      <c r="L38" s="87" t="s">
        <v>6448</v>
      </c>
      <c r="M38" s="87" t="s">
        <v>6390</v>
      </c>
      <c r="N38" s="9" t="s">
        <v>6956</v>
      </c>
      <c r="O38" s="87" t="s">
        <v>6360</v>
      </c>
      <c r="P38" s="9" t="s">
        <v>6243</v>
      </c>
      <c r="Q38" s="87" t="s">
        <v>6776</v>
      </c>
      <c r="R38" s="87" t="s">
        <v>6290</v>
      </c>
      <c r="S38" s="87" t="s">
        <v>6421</v>
      </c>
      <c r="T38" s="87" t="s">
        <v>6651</v>
      </c>
    </row>
    <row r="39" spans="1:20" ht="15.75" customHeight="1">
      <c r="A39" s="9" t="s">
        <v>6384</v>
      </c>
      <c r="C39" s="9" t="s">
        <v>6923</v>
      </c>
      <c r="D39" s="87" t="s">
        <v>6327</v>
      </c>
      <c r="E39" s="9" t="s">
        <v>6924</v>
      </c>
      <c r="F39" s="9" t="s">
        <v>6925</v>
      </c>
      <c r="G39" s="9" t="s">
        <v>383</v>
      </c>
      <c r="H39" s="9" t="s">
        <v>444</v>
      </c>
      <c r="I39" s="87" t="s">
        <v>6405</v>
      </c>
      <c r="J39" s="87" t="s">
        <v>6290</v>
      </c>
      <c r="K39" s="87" t="s">
        <v>6939</v>
      </c>
      <c r="L39" s="87" t="s">
        <v>6448</v>
      </c>
      <c r="M39" s="87" t="s">
        <v>6398</v>
      </c>
      <c r="N39" s="9" t="s">
        <v>6955</v>
      </c>
      <c r="O39" s="87" t="s">
        <v>6360</v>
      </c>
      <c r="P39" s="9" t="s">
        <v>6243</v>
      </c>
      <c r="Q39" s="87" t="s">
        <v>6776</v>
      </c>
      <c r="R39" s="87" t="s">
        <v>6290</v>
      </c>
      <c r="S39" s="87" t="s">
        <v>6255</v>
      </c>
      <c r="T39" s="87" t="s">
        <v>6341</v>
      </c>
    </row>
    <row r="40" spans="1:20" ht="15.75" customHeight="1">
      <c r="A40" s="9" t="s">
        <v>6384</v>
      </c>
      <c r="C40" s="9" t="s">
        <v>6923</v>
      </c>
      <c r="D40" s="87" t="s">
        <v>6327</v>
      </c>
      <c r="E40" s="9" t="s">
        <v>6924</v>
      </c>
      <c r="F40" s="9" t="s">
        <v>6925</v>
      </c>
      <c r="G40" s="9" t="s">
        <v>383</v>
      </c>
      <c r="H40" s="9" t="s">
        <v>444</v>
      </c>
      <c r="I40" s="87" t="s">
        <v>6405</v>
      </c>
      <c r="J40" s="87" t="s">
        <v>6290</v>
      </c>
      <c r="K40" s="87" t="s">
        <v>6939</v>
      </c>
      <c r="L40" s="87" t="s">
        <v>6448</v>
      </c>
      <c r="M40" s="87" t="s">
        <v>6422</v>
      </c>
      <c r="N40" s="9" t="s">
        <v>6955</v>
      </c>
      <c r="O40" s="87" t="s">
        <v>6360</v>
      </c>
      <c r="P40" s="9" t="s">
        <v>6243</v>
      </c>
      <c r="Q40" s="87" t="s">
        <v>6776</v>
      </c>
      <c r="R40" s="87" t="s">
        <v>6290</v>
      </c>
      <c r="S40" s="87" t="s">
        <v>6255</v>
      </c>
      <c r="T40" s="87" t="s">
        <v>6341</v>
      </c>
    </row>
    <row r="41" spans="1:20" ht="15.75" customHeight="1">
      <c r="A41" s="9" t="s">
        <v>6384</v>
      </c>
      <c r="C41" s="9" t="s">
        <v>6923</v>
      </c>
      <c r="D41" s="87" t="s">
        <v>6327</v>
      </c>
      <c r="E41" s="9" t="s">
        <v>6924</v>
      </c>
      <c r="F41" s="9" t="s">
        <v>6925</v>
      </c>
      <c r="G41" s="9" t="s">
        <v>383</v>
      </c>
      <c r="H41" s="9" t="s">
        <v>444</v>
      </c>
      <c r="I41" s="87" t="s">
        <v>6405</v>
      </c>
      <c r="J41" s="87" t="s">
        <v>6290</v>
      </c>
      <c r="K41" s="87" t="s">
        <v>6939</v>
      </c>
      <c r="L41" s="87" t="s">
        <v>6448</v>
      </c>
      <c r="M41" s="87" t="s">
        <v>6840</v>
      </c>
      <c r="N41" s="9" t="s">
        <v>6955</v>
      </c>
      <c r="O41" s="87" t="s">
        <v>6360</v>
      </c>
      <c r="P41" s="9" t="s">
        <v>6243</v>
      </c>
      <c r="Q41" s="87" t="s">
        <v>6776</v>
      </c>
      <c r="R41" s="87" t="s">
        <v>6290</v>
      </c>
      <c r="S41" s="87" t="s">
        <v>6255</v>
      </c>
      <c r="T41" s="87" t="s">
        <v>6341</v>
      </c>
    </row>
    <row r="42" spans="1:20" ht="15.75" customHeight="1">
      <c r="A42" s="9" t="s">
        <v>2850</v>
      </c>
      <c r="C42" s="9" t="s">
        <v>6236</v>
      </c>
      <c r="D42" s="87" t="s">
        <v>6393</v>
      </c>
      <c r="E42" s="9" t="s">
        <v>431</v>
      </c>
      <c r="F42" s="9" t="s">
        <v>368</v>
      </c>
      <c r="G42" s="9" t="s">
        <v>436</v>
      </c>
      <c r="H42" s="9" t="s">
        <v>434</v>
      </c>
      <c r="I42" s="87" t="s">
        <v>6264</v>
      </c>
      <c r="J42" s="87" t="s">
        <v>6299</v>
      </c>
      <c r="K42" s="87" t="s">
        <v>6299</v>
      </c>
      <c r="L42" s="87" t="s">
        <v>6240</v>
      </c>
      <c r="M42" s="87" t="s">
        <v>6311</v>
      </c>
      <c r="N42" s="9" t="s">
        <v>6957</v>
      </c>
      <c r="O42" s="87" t="s">
        <v>6299</v>
      </c>
      <c r="P42" s="9" t="s">
        <v>6243</v>
      </c>
      <c r="Q42" s="87" t="s">
        <v>3231</v>
      </c>
      <c r="R42" s="87" t="s">
        <v>6299</v>
      </c>
      <c r="S42" s="87" t="s">
        <v>6526</v>
      </c>
      <c r="T42" s="87" t="s">
        <v>6417</v>
      </c>
    </row>
    <row r="43" spans="1:20" ht="15.75" customHeight="1">
      <c r="A43" s="9" t="s">
        <v>2850</v>
      </c>
      <c r="C43" s="9" t="s">
        <v>6671</v>
      </c>
      <c r="D43" s="87" t="s">
        <v>6296</v>
      </c>
      <c r="E43" s="9" t="s">
        <v>6672</v>
      </c>
      <c r="F43" s="9" t="s">
        <v>439</v>
      </c>
      <c r="G43" s="9" t="s">
        <v>436</v>
      </c>
      <c r="H43" s="9" t="s">
        <v>440</v>
      </c>
      <c r="I43" s="87" t="s">
        <v>6405</v>
      </c>
      <c r="J43" s="87" t="s">
        <v>6346</v>
      </c>
      <c r="K43" s="87" t="s">
        <v>6346</v>
      </c>
      <c r="L43" s="87" t="s">
        <v>6240</v>
      </c>
      <c r="M43" s="87" t="s">
        <v>6875</v>
      </c>
      <c r="N43" s="9" t="s">
        <v>6958</v>
      </c>
      <c r="O43" s="87" t="s">
        <v>6346</v>
      </c>
      <c r="P43" s="9" t="s">
        <v>6243</v>
      </c>
      <c r="Q43" s="87" t="s">
        <v>6366</v>
      </c>
      <c r="R43" s="87" t="s">
        <v>6346</v>
      </c>
      <c r="S43" s="87" t="s">
        <v>6428</v>
      </c>
      <c r="T43" s="87" t="s">
        <v>6443</v>
      </c>
    </row>
    <row r="44" spans="1:20" ht="15.75" customHeight="1">
      <c r="A44" s="9" t="s">
        <v>2850</v>
      </c>
      <c r="C44" s="9" t="s">
        <v>6923</v>
      </c>
      <c r="D44" s="87" t="s">
        <v>6264</v>
      </c>
      <c r="E44" s="9" t="s">
        <v>6924</v>
      </c>
      <c r="F44" s="9" t="s">
        <v>6925</v>
      </c>
      <c r="G44" s="9" t="s">
        <v>383</v>
      </c>
      <c r="H44" s="9" t="s">
        <v>449</v>
      </c>
      <c r="I44" s="87" t="s">
        <v>6405</v>
      </c>
      <c r="J44" s="87" t="s">
        <v>6405</v>
      </c>
      <c r="K44" s="87" t="s">
        <v>6926</v>
      </c>
      <c r="L44" s="87" t="s">
        <v>6306</v>
      </c>
      <c r="M44" s="87" t="s">
        <v>6869</v>
      </c>
      <c r="N44" s="9" t="s">
        <v>6959</v>
      </c>
      <c r="O44" s="87" t="s">
        <v>4953</v>
      </c>
      <c r="P44" s="9" t="s">
        <v>6243</v>
      </c>
      <c r="Q44" s="87" t="s">
        <v>6306</v>
      </c>
      <c r="R44" s="87" t="s">
        <v>6405</v>
      </c>
      <c r="S44" s="87" t="s">
        <v>6543</v>
      </c>
      <c r="T44" s="87" t="s">
        <v>6341</v>
      </c>
    </row>
    <row r="45" spans="1:20" ht="15.75" customHeight="1">
      <c r="A45" s="9" t="s">
        <v>3018</v>
      </c>
      <c r="C45" s="9" t="s">
        <v>6236</v>
      </c>
      <c r="D45" s="87" t="s">
        <v>6393</v>
      </c>
      <c r="E45" s="9" t="s">
        <v>431</v>
      </c>
      <c r="F45" s="9" t="s">
        <v>368</v>
      </c>
      <c r="G45" s="9" t="s">
        <v>436</v>
      </c>
      <c r="H45" s="9" t="s">
        <v>434</v>
      </c>
      <c r="I45" s="87" t="s">
        <v>6237</v>
      </c>
      <c r="J45" s="87" t="s">
        <v>6376</v>
      </c>
      <c r="K45" s="87" t="s">
        <v>6376</v>
      </c>
      <c r="L45" s="87" t="s">
        <v>6240</v>
      </c>
      <c r="M45" s="87" t="s">
        <v>6389</v>
      </c>
      <c r="N45" s="9" t="s">
        <v>6960</v>
      </c>
      <c r="O45" s="87" t="s">
        <v>6376</v>
      </c>
      <c r="P45" s="9" t="s">
        <v>6243</v>
      </c>
      <c r="Q45" s="87" t="s">
        <v>6379</v>
      </c>
      <c r="R45" s="87" t="s">
        <v>6376</v>
      </c>
      <c r="S45" s="87" t="s">
        <v>6322</v>
      </c>
      <c r="T45" s="87" t="s">
        <v>6645</v>
      </c>
    </row>
    <row r="46" spans="1:20" ht="15.75" customHeight="1">
      <c r="A46" s="9" t="s">
        <v>3018</v>
      </c>
      <c r="C46" s="9" t="s">
        <v>6671</v>
      </c>
      <c r="D46" s="87" t="s">
        <v>6296</v>
      </c>
      <c r="E46" s="9" t="s">
        <v>6672</v>
      </c>
      <c r="F46" s="9" t="s">
        <v>439</v>
      </c>
      <c r="G46" s="9" t="s">
        <v>436</v>
      </c>
      <c r="H46" s="9" t="s">
        <v>440</v>
      </c>
      <c r="I46" s="87" t="s">
        <v>6405</v>
      </c>
      <c r="J46" s="87" t="s">
        <v>6299</v>
      </c>
      <c r="K46" s="87" t="s">
        <v>6299</v>
      </c>
      <c r="L46" s="87" t="s">
        <v>6240</v>
      </c>
      <c r="M46" s="87" t="s">
        <v>6390</v>
      </c>
      <c r="N46" s="9" t="s">
        <v>6961</v>
      </c>
      <c r="O46" s="87" t="s">
        <v>6299</v>
      </c>
      <c r="P46" s="9" t="s">
        <v>6243</v>
      </c>
      <c r="Q46" s="87" t="s">
        <v>3231</v>
      </c>
      <c r="R46" s="87" t="s">
        <v>6299</v>
      </c>
      <c r="S46" s="87" t="s">
        <v>6333</v>
      </c>
      <c r="T46" s="87" t="s">
        <v>6645</v>
      </c>
    </row>
    <row r="47" spans="1:20" ht="15.75" customHeight="1">
      <c r="A47" s="9" t="s">
        <v>3018</v>
      </c>
      <c r="C47" s="9" t="s">
        <v>6923</v>
      </c>
      <c r="D47" s="87" t="s">
        <v>6264</v>
      </c>
      <c r="E47" s="9" t="s">
        <v>6924</v>
      </c>
      <c r="F47" s="9" t="s">
        <v>6925</v>
      </c>
      <c r="G47" s="9" t="s">
        <v>383</v>
      </c>
      <c r="H47" s="9" t="s">
        <v>449</v>
      </c>
      <c r="I47" s="87" t="s">
        <v>6405</v>
      </c>
      <c r="J47" s="87" t="s">
        <v>6405</v>
      </c>
      <c r="K47" s="87" t="s">
        <v>6926</v>
      </c>
      <c r="L47" s="87" t="s">
        <v>6270</v>
      </c>
      <c r="M47" s="87" t="s">
        <v>6398</v>
      </c>
      <c r="N47" s="9" t="s">
        <v>6962</v>
      </c>
      <c r="O47" s="87" t="s">
        <v>6268</v>
      </c>
      <c r="P47" s="9" t="s">
        <v>6243</v>
      </c>
      <c r="Q47" s="87" t="s">
        <v>6270</v>
      </c>
      <c r="R47" s="87" t="s">
        <v>6405</v>
      </c>
      <c r="S47" s="87" t="s">
        <v>6334</v>
      </c>
      <c r="T47" s="87" t="s">
        <v>6451</v>
      </c>
    </row>
    <row r="48" spans="1:20" ht="15.75" customHeight="1">
      <c r="A48" s="9" t="s">
        <v>3029</v>
      </c>
      <c r="C48" s="9" t="s">
        <v>6236</v>
      </c>
      <c r="D48" s="87" t="s">
        <v>6393</v>
      </c>
      <c r="E48" s="9" t="s">
        <v>431</v>
      </c>
      <c r="F48" s="9" t="s">
        <v>368</v>
      </c>
      <c r="G48" s="9" t="s">
        <v>436</v>
      </c>
      <c r="H48" s="9" t="s">
        <v>434</v>
      </c>
      <c r="I48" s="87" t="s">
        <v>6237</v>
      </c>
      <c r="J48" s="87" t="s">
        <v>6278</v>
      </c>
      <c r="K48" s="87" t="s">
        <v>6239</v>
      </c>
      <c r="L48" s="87" t="s">
        <v>6240</v>
      </c>
      <c r="M48" s="87" t="s">
        <v>6890</v>
      </c>
      <c r="N48" s="9" t="s">
        <v>6928</v>
      </c>
      <c r="O48" s="87" t="s">
        <v>6239</v>
      </c>
      <c r="P48" s="9" t="s">
        <v>6243</v>
      </c>
      <c r="Q48" s="87" t="s">
        <v>3764</v>
      </c>
      <c r="R48" s="87" t="s">
        <v>6278</v>
      </c>
      <c r="S48" s="87" t="s">
        <v>6327</v>
      </c>
      <c r="T48" s="87" t="s">
        <v>6645</v>
      </c>
    </row>
    <row r="49" spans="1:20" ht="15.75" customHeight="1">
      <c r="A49" s="9" t="s">
        <v>3029</v>
      </c>
      <c r="C49" s="9" t="s">
        <v>6236</v>
      </c>
      <c r="D49" s="87" t="s">
        <v>6393</v>
      </c>
      <c r="E49" s="9" t="s">
        <v>431</v>
      </c>
      <c r="F49" s="9" t="s">
        <v>368</v>
      </c>
      <c r="G49" s="9" t="s">
        <v>436</v>
      </c>
      <c r="H49" s="9" t="s">
        <v>434</v>
      </c>
      <c r="I49" s="87" t="s">
        <v>6237</v>
      </c>
      <c r="J49" s="87" t="s">
        <v>6278</v>
      </c>
      <c r="K49" s="87" t="s">
        <v>6280</v>
      </c>
      <c r="L49" s="87" t="s">
        <v>6240</v>
      </c>
      <c r="M49" s="87" t="s">
        <v>6285</v>
      </c>
      <c r="N49" s="9" t="s">
        <v>6963</v>
      </c>
      <c r="O49" s="87" t="s">
        <v>6280</v>
      </c>
      <c r="P49" s="9" t="s">
        <v>6243</v>
      </c>
      <c r="Q49" s="87" t="s">
        <v>6283</v>
      </c>
      <c r="R49" s="87" t="s">
        <v>6278</v>
      </c>
      <c r="S49" s="87" t="s">
        <v>6314</v>
      </c>
      <c r="T49" s="87" t="s">
        <v>6645</v>
      </c>
    </row>
    <row r="50" spans="1:20" ht="15.75" customHeight="1">
      <c r="A50" s="9" t="s">
        <v>3029</v>
      </c>
      <c r="C50" s="9" t="s">
        <v>6671</v>
      </c>
      <c r="D50" s="87" t="s">
        <v>6296</v>
      </c>
      <c r="E50" s="9" t="s">
        <v>6672</v>
      </c>
      <c r="F50" s="9" t="s">
        <v>439</v>
      </c>
      <c r="G50" s="9" t="s">
        <v>436</v>
      </c>
      <c r="H50" s="9" t="s">
        <v>440</v>
      </c>
      <c r="I50" s="87" t="s">
        <v>6405</v>
      </c>
      <c r="J50" s="87" t="s">
        <v>6351</v>
      </c>
      <c r="K50" s="87" t="s">
        <v>6239</v>
      </c>
      <c r="L50" s="87" t="s">
        <v>6240</v>
      </c>
      <c r="M50" s="87" t="s">
        <v>6912</v>
      </c>
      <c r="N50" s="9" t="s">
        <v>6928</v>
      </c>
      <c r="O50" s="87" t="s">
        <v>6239</v>
      </c>
      <c r="P50" s="9" t="s">
        <v>6243</v>
      </c>
      <c r="Q50" s="87" t="s">
        <v>3764</v>
      </c>
      <c r="R50" s="87" t="s">
        <v>6351</v>
      </c>
      <c r="S50" s="87" t="s">
        <v>6327</v>
      </c>
      <c r="T50" s="87" t="s">
        <v>6645</v>
      </c>
    </row>
    <row r="51" spans="1:20" ht="15.75" customHeight="1">
      <c r="A51" s="9" t="s">
        <v>3029</v>
      </c>
      <c r="C51" s="9" t="s">
        <v>6671</v>
      </c>
      <c r="D51" s="87" t="s">
        <v>6296</v>
      </c>
      <c r="E51" s="9" t="s">
        <v>6672</v>
      </c>
      <c r="F51" s="9" t="s">
        <v>439</v>
      </c>
      <c r="G51" s="9" t="s">
        <v>436</v>
      </c>
      <c r="H51" s="9" t="s">
        <v>440</v>
      </c>
      <c r="I51" s="87" t="s">
        <v>6405</v>
      </c>
      <c r="J51" s="87" t="s">
        <v>6351</v>
      </c>
      <c r="K51" s="87" t="s">
        <v>6290</v>
      </c>
      <c r="L51" s="87" t="s">
        <v>6240</v>
      </c>
      <c r="M51" s="87" t="s">
        <v>6910</v>
      </c>
      <c r="N51" s="9" t="s">
        <v>6964</v>
      </c>
      <c r="O51" s="87" t="s">
        <v>6290</v>
      </c>
      <c r="P51" s="9" t="s">
        <v>6243</v>
      </c>
      <c r="Q51" s="87" t="s">
        <v>6293</v>
      </c>
      <c r="R51" s="87" t="s">
        <v>6351</v>
      </c>
      <c r="S51" s="87" t="s">
        <v>6525</v>
      </c>
      <c r="T51" s="87" t="s">
        <v>6645</v>
      </c>
    </row>
    <row r="52" spans="1:20" ht="15.75" customHeight="1">
      <c r="A52" s="9" t="s">
        <v>3029</v>
      </c>
      <c r="C52" s="9" t="s">
        <v>6923</v>
      </c>
      <c r="D52" s="87" t="s">
        <v>6327</v>
      </c>
      <c r="E52" s="9" t="s">
        <v>6924</v>
      </c>
      <c r="F52" s="9" t="s">
        <v>6925</v>
      </c>
      <c r="G52" s="9" t="s">
        <v>383</v>
      </c>
      <c r="H52" s="9" t="s">
        <v>444</v>
      </c>
      <c r="I52" s="87" t="s">
        <v>6405</v>
      </c>
      <c r="J52" s="87" t="s">
        <v>6393</v>
      </c>
      <c r="K52" s="87" t="s">
        <v>6965</v>
      </c>
      <c r="L52" s="87" t="s">
        <v>5381</v>
      </c>
      <c r="M52" s="87" t="s">
        <v>6289</v>
      </c>
      <c r="N52" s="9" t="s">
        <v>6945</v>
      </c>
      <c r="O52" s="87" t="s">
        <v>6500</v>
      </c>
      <c r="P52" s="9" t="s">
        <v>6243</v>
      </c>
      <c r="Q52" s="87" t="s">
        <v>3749</v>
      </c>
      <c r="R52" s="87" t="s">
        <v>6393</v>
      </c>
      <c r="S52" s="87" t="s">
        <v>6327</v>
      </c>
      <c r="T52" s="87" t="s">
        <v>6341</v>
      </c>
    </row>
    <row r="53" spans="1:20" ht="15.75" customHeight="1">
      <c r="A53" s="9" t="s">
        <v>3029</v>
      </c>
      <c r="C53" s="9" t="s">
        <v>6923</v>
      </c>
      <c r="D53" s="87" t="s">
        <v>6327</v>
      </c>
      <c r="E53" s="9" t="s">
        <v>6924</v>
      </c>
      <c r="F53" s="9" t="s">
        <v>6925</v>
      </c>
      <c r="G53" s="9" t="s">
        <v>383</v>
      </c>
      <c r="H53" s="9" t="s">
        <v>444</v>
      </c>
      <c r="I53" s="87" t="s">
        <v>6405</v>
      </c>
      <c r="J53" s="87" t="s">
        <v>6393</v>
      </c>
      <c r="K53" s="87" t="s">
        <v>6965</v>
      </c>
      <c r="L53" s="87" t="s">
        <v>5381</v>
      </c>
      <c r="M53" s="87" t="s">
        <v>6906</v>
      </c>
      <c r="N53" s="9" t="s">
        <v>6945</v>
      </c>
      <c r="O53" s="87" t="s">
        <v>6500</v>
      </c>
      <c r="P53" s="9" t="s">
        <v>6243</v>
      </c>
      <c r="Q53" s="87" t="s">
        <v>3749</v>
      </c>
      <c r="R53" s="87" t="s">
        <v>6393</v>
      </c>
      <c r="S53" s="87" t="s">
        <v>6327</v>
      </c>
      <c r="T53" s="87" t="s">
        <v>6341</v>
      </c>
    </row>
    <row r="54" spans="1:20" ht="15.75" customHeight="1">
      <c r="A54" s="9" t="s">
        <v>3029</v>
      </c>
      <c r="C54" s="9" t="s">
        <v>6923</v>
      </c>
      <c r="D54" s="87" t="s">
        <v>6327</v>
      </c>
      <c r="E54" s="9" t="s">
        <v>6924</v>
      </c>
      <c r="F54" s="9" t="s">
        <v>6925</v>
      </c>
      <c r="G54" s="9" t="s">
        <v>383</v>
      </c>
      <c r="H54" s="9" t="s">
        <v>444</v>
      </c>
      <c r="I54" s="87" t="s">
        <v>6405</v>
      </c>
      <c r="J54" s="87" t="s">
        <v>6393</v>
      </c>
      <c r="K54" s="87" t="s">
        <v>6965</v>
      </c>
      <c r="L54" s="87" t="s">
        <v>5381</v>
      </c>
      <c r="M54" s="87" t="s">
        <v>6905</v>
      </c>
      <c r="N54" s="9" t="s">
        <v>6945</v>
      </c>
      <c r="O54" s="87" t="s">
        <v>6500</v>
      </c>
      <c r="P54" s="9" t="s">
        <v>6243</v>
      </c>
      <c r="Q54" s="87" t="s">
        <v>3749</v>
      </c>
      <c r="R54" s="87" t="s">
        <v>6393</v>
      </c>
      <c r="S54" s="87" t="s">
        <v>6327</v>
      </c>
      <c r="T54" s="87" t="s">
        <v>6341</v>
      </c>
    </row>
    <row r="55" spans="1:20" ht="15.75" customHeight="1">
      <c r="A55" s="9" t="s">
        <v>3029</v>
      </c>
      <c r="C55" s="9" t="s">
        <v>6923</v>
      </c>
      <c r="D55" s="87" t="s">
        <v>6327</v>
      </c>
      <c r="E55" s="9" t="s">
        <v>6924</v>
      </c>
      <c r="F55" s="9" t="s">
        <v>6925</v>
      </c>
      <c r="G55" s="9" t="s">
        <v>383</v>
      </c>
      <c r="H55" s="9" t="s">
        <v>444</v>
      </c>
      <c r="I55" s="87" t="s">
        <v>6405</v>
      </c>
      <c r="J55" s="87" t="s">
        <v>6393</v>
      </c>
      <c r="K55" s="87" t="s">
        <v>6926</v>
      </c>
      <c r="L55" s="87" t="s">
        <v>5381</v>
      </c>
      <c r="M55" s="87" t="s">
        <v>6902</v>
      </c>
      <c r="N55" s="9" t="s">
        <v>6966</v>
      </c>
      <c r="O55" s="87" t="s">
        <v>6348</v>
      </c>
      <c r="P55" s="9" t="s">
        <v>6243</v>
      </c>
      <c r="Q55" s="87" t="s">
        <v>5381</v>
      </c>
      <c r="R55" s="87" t="s">
        <v>6393</v>
      </c>
      <c r="S55" s="87" t="s">
        <v>6342</v>
      </c>
      <c r="T55" s="87" t="s">
        <v>6341</v>
      </c>
    </row>
    <row r="56" spans="1:20" ht="15.75" customHeight="1">
      <c r="A56" s="9" t="s">
        <v>3026</v>
      </c>
      <c r="C56" s="9" t="s">
        <v>6236</v>
      </c>
      <c r="D56" s="87" t="s">
        <v>6393</v>
      </c>
      <c r="E56" s="9" t="s">
        <v>431</v>
      </c>
      <c r="F56" s="9" t="s">
        <v>368</v>
      </c>
      <c r="G56" s="9" t="s">
        <v>436</v>
      </c>
      <c r="H56" s="9" t="s">
        <v>434</v>
      </c>
      <c r="I56" s="87" t="s">
        <v>6237</v>
      </c>
      <c r="J56" s="87" t="s">
        <v>6306</v>
      </c>
      <c r="K56" s="87" t="s">
        <v>6239</v>
      </c>
      <c r="L56" s="87" t="s">
        <v>6240</v>
      </c>
      <c r="M56" s="87" t="s">
        <v>6317</v>
      </c>
      <c r="N56" s="9" t="s">
        <v>6928</v>
      </c>
      <c r="O56" s="87" t="s">
        <v>6239</v>
      </c>
      <c r="P56" s="9" t="s">
        <v>6243</v>
      </c>
      <c r="Q56" s="87" t="s">
        <v>3764</v>
      </c>
      <c r="R56" s="87" t="s">
        <v>6306</v>
      </c>
      <c r="S56" s="87" t="s">
        <v>6327</v>
      </c>
      <c r="T56" s="87" t="s">
        <v>6645</v>
      </c>
    </row>
    <row r="57" spans="1:20" ht="15.75" customHeight="1">
      <c r="A57" s="9" t="s">
        <v>3026</v>
      </c>
      <c r="C57" s="9" t="s">
        <v>6236</v>
      </c>
      <c r="D57" s="87" t="s">
        <v>6393</v>
      </c>
      <c r="E57" s="9" t="s">
        <v>431</v>
      </c>
      <c r="F57" s="9" t="s">
        <v>368</v>
      </c>
      <c r="G57" s="9" t="s">
        <v>436</v>
      </c>
      <c r="H57" s="9" t="s">
        <v>434</v>
      </c>
      <c r="I57" s="87" t="s">
        <v>6237</v>
      </c>
      <c r="J57" s="87" t="s">
        <v>6306</v>
      </c>
      <c r="K57" s="87" t="s">
        <v>6237</v>
      </c>
      <c r="L57" s="87" t="s">
        <v>6240</v>
      </c>
      <c r="M57" s="87" t="s">
        <v>6318</v>
      </c>
      <c r="N57" s="9" t="s">
        <v>6967</v>
      </c>
      <c r="O57" s="87" t="s">
        <v>6237</v>
      </c>
      <c r="P57" s="9" t="s">
        <v>6243</v>
      </c>
      <c r="Q57" s="87" t="s">
        <v>4953</v>
      </c>
      <c r="R57" s="87" t="s">
        <v>6306</v>
      </c>
      <c r="S57" s="87" t="s">
        <v>6424</v>
      </c>
      <c r="T57" s="87" t="s">
        <v>6645</v>
      </c>
    </row>
    <row r="58" spans="1:20" ht="15.75" customHeight="1">
      <c r="A58" s="9" t="s">
        <v>3026</v>
      </c>
      <c r="C58" s="9" t="s">
        <v>6671</v>
      </c>
      <c r="D58" s="87" t="s">
        <v>6296</v>
      </c>
      <c r="E58" s="9" t="s">
        <v>6672</v>
      </c>
      <c r="F58" s="9" t="s">
        <v>439</v>
      </c>
      <c r="G58" s="9" t="s">
        <v>436</v>
      </c>
      <c r="H58" s="9" t="s">
        <v>440</v>
      </c>
      <c r="I58" s="87" t="s">
        <v>6405</v>
      </c>
      <c r="J58" s="87" t="s">
        <v>6267</v>
      </c>
      <c r="K58" s="87" t="s">
        <v>6370</v>
      </c>
      <c r="L58" s="87" t="s">
        <v>6240</v>
      </c>
      <c r="M58" s="87" t="s">
        <v>6875</v>
      </c>
      <c r="N58" s="9" t="s">
        <v>6968</v>
      </c>
      <c r="O58" s="87" t="s">
        <v>6370</v>
      </c>
      <c r="P58" s="9" t="s">
        <v>6243</v>
      </c>
      <c r="Q58" s="87" t="s">
        <v>6381</v>
      </c>
      <c r="R58" s="87" t="s">
        <v>6267</v>
      </c>
      <c r="S58" s="87" t="s">
        <v>6327</v>
      </c>
      <c r="T58" s="87" t="s">
        <v>6392</v>
      </c>
    </row>
    <row r="59" spans="1:20" ht="15.75" customHeight="1">
      <c r="A59" s="9" t="s">
        <v>3026</v>
      </c>
      <c r="C59" s="9" t="s">
        <v>6671</v>
      </c>
      <c r="D59" s="87" t="s">
        <v>6296</v>
      </c>
      <c r="E59" s="9" t="s">
        <v>6672</v>
      </c>
      <c r="F59" s="9" t="s">
        <v>439</v>
      </c>
      <c r="G59" s="9" t="s">
        <v>436</v>
      </c>
      <c r="H59" s="9" t="s">
        <v>440</v>
      </c>
      <c r="I59" s="87" t="s">
        <v>6405</v>
      </c>
      <c r="J59" s="87" t="s">
        <v>6267</v>
      </c>
      <c r="K59" s="87" t="s">
        <v>6486</v>
      </c>
      <c r="L59" s="87" t="s">
        <v>6240</v>
      </c>
      <c r="M59" s="87" t="s">
        <v>6869</v>
      </c>
      <c r="N59" s="9" t="s">
        <v>6969</v>
      </c>
      <c r="O59" s="87" t="s">
        <v>6486</v>
      </c>
      <c r="P59" s="9" t="s">
        <v>6243</v>
      </c>
      <c r="Q59" s="87" t="s">
        <v>5079</v>
      </c>
      <c r="R59" s="87" t="s">
        <v>6267</v>
      </c>
      <c r="S59" s="87" t="s">
        <v>6526</v>
      </c>
      <c r="T59" s="87" t="s">
        <v>6645</v>
      </c>
    </row>
    <row r="60" spans="1:20" ht="15.75" customHeight="1">
      <c r="A60" s="9" t="s">
        <v>3026</v>
      </c>
      <c r="C60" s="9" t="s">
        <v>6923</v>
      </c>
      <c r="D60" s="87" t="s">
        <v>6264</v>
      </c>
      <c r="E60" s="9" t="s">
        <v>6924</v>
      </c>
      <c r="F60" s="9" t="s">
        <v>6925</v>
      </c>
      <c r="G60" s="9" t="s">
        <v>383</v>
      </c>
      <c r="H60" s="9" t="s">
        <v>449</v>
      </c>
      <c r="I60" s="87" t="s">
        <v>6405</v>
      </c>
      <c r="J60" s="87" t="s">
        <v>6405</v>
      </c>
      <c r="K60" s="87" t="s">
        <v>6926</v>
      </c>
      <c r="L60" s="87" t="s">
        <v>6573</v>
      </c>
      <c r="M60" s="87" t="s">
        <v>6338</v>
      </c>
      <c r="N60" s="9" t="s">
        <v>6970</v>
      </c>
      <c r="O60" s="87" t="s">
        <v>6570</v>
      </c>
      <c r="P60" s="9" t="s">
        <v>6243</v>
      </c>
      <c r="Q60" s="87" t="s">
        <v>6573</v>
      </c>
      <c r="R60" s="87" t="s">
        <v>6405</v>
      </c>
      <c r="S60" s="87" t="s">
        <v>6333</v>
      </c>
      <c r="T60" s="87" t="s">
        <v>6341</v>
      </c>
    </row>
    <row r="61" spans="1:20" ht="15.75" customHeight="1">
      <c r="A61" s="9" t="s">
        <v>2949</v>
      </c>
      <c r="C61" s="9" t="s">
        <v>6236</v>
      </c>
      <c r="D61" s="87" t="s">
        <v>6393</v>
      </c>
      <c r="E61" s="9" t="s">
        <v>431</v>
      </c>
      <c r="F61" s="9" t="s">
        <v>368</v>
      </c>
      <c r="G61" s="9" t="s">
        <v>436</v>
      </c>
      <c r="H61" s="9" t="s">
        <v>434</v>
      </c>
      <c r="I61" s="87" t="s">
        <v>6264</v>
      </c>
      <c r="J61" s="87" t="s">
        <v>6288</v>
      </c>
      <c r="K61" s="87" t="s">
        <v>6239</v>
      </c>
      <c r="L61" s="87" t="s">
        <v>6240</v>
      </c>
      <c r="M61" s="87" t="s">
        <v>6289</v>
      </c>
      <c r="N61" s="9" t="s">
        <v>6928</v>
      </c>
      <c r="O61" s="87" t="s">
        <v>6239</v>
      </c>
      <c r="P61" s="9" t="s">
        <v>6243</v>
      </c>
      <c r="Q61" s="87" t="s">
        <v>3764</v>
      </c>
      <c r="R61" s="87" t="s">
        <v>6288</v>
      </c>
      <c r="S61" s="87" t="s">
        <v>6327</v>
      </c>
      <c r="T61" s="87" t="s">
        <v>6645</v>
      </c>
    </row>
    <row r="62" spans="1:20" ht="15.75" customHeight="1">
      <c r="A62" s="9" t="s">
        <v>2949</v>
      </c>
      <c r="C62" s="9" t="s">
        <v>6236</v>
      </c>
      <c r="D62" s="87" t="s">
        <v>6393</v>
      </c>
      <c r="E62" s="9" t="s">
        <v>431</v>
      </c>
      <c r="F62" s="9" t="s">
        <v>368</v>
      </c>
      <c r="G62" s="9" t="s">
        <v>436</v>
      </c>
      <c r="H62" s="9" t="s">
        <v>434</v>
      </c>
      <c r="I62" s="87" t="s">
        <v>6264</v>
      </c>
      <c r="J62" s="87" t="s">
        <v>6288</v>
      </c>
      <c r="K62" s="87" t="s">
        <v>6300</v>
      </c>
      <c r="L62" s="87" t="s">
        <v>6240</v>
      </c>
      <c r="M62" s="87" t="s">
        <v>6906</v>
      </c>
      <c r="N62" s="9" t="s">
        <v>6971</v>
      </c>
      <c r="O62" s="87" t="s">
        <v>6300</v>
      </c>
      <c r="P62" s="9" t="s">
        <v>6243</v>
      </c>
      <c r="Q62" s="87" t="s">
        <v>3861</v>
      </c>
      <c r="R62" s="87" t="s">
        <v>6288</v>
      </c>
      <c r="S62" s="87" t="s">
        <v>6255</v>
      </c>
      <c r="T62" s="87" t="s">
        <v>6645</v>
      </c>
    </row>
    <row r="63" spans="1:20" ht="15.75" customHeight="1">
      <c r="A63" s="9" t="s">
        <v>2949</v>
      </c>
      <c r="C63" s="9" t="s">
        <v>6671</v>
      </c>
      <c r="D63" s="87" t="s">
        <v>6296</v>
      </c>
      <c r="E63" s="9" t="s">
        <v>6672</v>
      </c>
      <c r="F63" s="9" t="s">
        <v>439</v>
      </c>
      <c r="G63" s="9" t="s">
        <v>436</v>
      </c>
      <c r="H63" s="9" t="s">
        <v>440</v>
      </c>
      <c r="I63" s="87" t="s">
        <v>6405</v>
      </c>
      <c r="J63" s="87" t="s">
        <v>6567</v>
      </c>
      <c r="K63" s="87" t="s">
        <v>6239</v>
      </c>
      <c r="L63" s="87" t="s">
        <v>6240</v>
      </c>
      <c r="M63" s="87" t="s">
        <v>6905</v>
      </c>
      <c r="N63" s="9" t="s">
        <v>6928</v>
      </c>
      <c r="O63" s="87" t="s">
        <v>6239</v>
      </c>
      <c r="P63" s="9" t="s">
        <v>6243</v>
      </c>
      <c r="Q63" s="87" t="s">
        <v>3764</v>
      </c>
      <c r="R63" s="87" t="s">
        <v>6567</v>
      </c>
      <c r="S63" s="87" t="s">
        <v>6327</v>
      </c>
      <c r="T63" s="87" t="s">
        <v>6645</v>
      </c>
    </row>
    <row r="64" spans="1:20" ht="15.75" customHeight="1">
      <c r="A64" s="9" t="s">
        <v>2949</v>
      </c>
      <c r="C64" s="9" t="s">
        <v>6671</v>
      </c>
      <c r="D64" s="87" t="s">
        <v>6296</v>
      </c>
      <c r="E64" s="9" t="s">
        <v>6672</v>
      </c>
      <c r="F64" s="9" t="s">
        <v>439</v>
      </c>
      <c r="G64" s="9" t="s">
        <v>436</v>
      </c>
      <c r="H64" s="9" t="s">
        <v>440</v>
      </c>
      <c r="I64" s="87" t="s">
        <v>6405</v>
      </c>
      <c r="J64" s="87" t="s">
        <v>6567</v>
      </c>
      <c r="K64" s="87" t="s">
        <v>6346</v>
      </c>
      <c r="L64" s="87" t="s">
        <v>6240</v>
      </c>
      <c r="M64" s="87" t="s">
        <v>6902</v>
      </c>
      <c r="N64" s="9" t="s">
        <v>6972</v>
      </c>
      <c r="O64" s="87" t="s">
        <v>6346</v>
      </c>
      <c r="P64" s="9" t="s">
        <v>6243</v>
      </c>
      <c r="Q64" s="87" t="s">
        <v>6366</v>
      </c>
      <c r="R64" s="87" t="s">
        <v>6567</v>
      </c>
      <c r="S64" s="87" t="s">
        <v>5381</v>
      </c>
      <c r="T64" s="87" t="s">
        <v>6645</v>
      </c>
    </row>
    <row r="65" spans="1:20" ht="15.75" customHeight="1">
      <c r="A65" s="9" t="s">
        <v>2949</v>
      </c>
      <c r="C65" s="9" t="s">
        <v>6923</v>
      </c>
      <c r="D65" s="87" t="s">
        <v>6327</v>
      </c>
      <c r="E65" s="9" t="s">
        <v>6924</v>
      </c>
      <c r="F65" s="9" t="s">
        <v>6925</v>
      </c>
      <c r="G65" s="9" t="s">
        <v>383</v>
      </c>
      <c r="H65" s="9" t="s">
        <v>444</v>
      </c>
      <c r="I65" s="87" t="s">
        <v>6405</v>
      </c>
      <c r="J65" s="87" t="s">
        <v>6240</v>
      </c>
      <c r="K65" s="87" t="s">
        <v>6939</v>
      </c>
      <c r="L65" s="87" t="s">
        <v>5968</v>
      </c>
      <c r="M65" s="87" t="s">
        <v>6973</v>
      </c>
      <c r="N65" s="9" t="s">
        <v>6974</v>
      </c>
      <c r="O65" s="87" t="s">
        <v>5381</v>
      </c>
      <c r="P65" s="9" t="s">
        <v>6243</v>
      </c>
      <c r="Q65" s="87" t="s">
        <v>4081</v>
      </c>
      <c r="R65" s="87" t="s">
        <v>6240</v>
      </c>
      <c r="S65" s="87" t="s">
        <v>6268</v>
      </c>
      <c r="T65" s="87" t="s">
        <v>6341</v>
      </c>
    </row>
    <row r="66" spans="1:20" ht="15.75" customHeight="1">
      <c r="A66" s="9" t="s">
        <v>2949</v>
      </c>
      <c r="C66" s="9" t="s">
        <v>6923</v>
      </c>
      <c r="D66" s="87" t="s">
        <v>6327</v>
      </c>
      <c r="E66" s="9" t="s">
        <v>6924</v>
      </c>
      <c r="F66" s="9" t="s">
        <v>6925</v>
      </c>
      <c r="G66" s="9" t="s">
        <v>383</v>
      </c>
      <c r="H66" s="9" t="s">
        <v>444</v>
      </c>
      <c r="I66" s="87" t="s">
        <v>6405</v>
      </c>
      <c r="J66" s="87" t="s">
        <v>6240</v>
      </c>
      <c r="K66" s="87" t="s">
        <v>6939</v>
      </c>
      <c r="L66" s="87" t="s">
        <v>5968</v>
      </c>
      <c r="M66" s="87" t="s">
        <v>6975</v>
      </c>
      <c r="N66" s="9" t="s">
        <v>6974</v>
      </c>
      <c r="O66" s="87" t="s">
        <v>5381</v>
      </c>
      <c r="P66" s="9" t="s">
        <v>6243</v>
      </c>
      <c r="Q66" s="87" t="s">
        <v>4081</v>
      </c>
      <c r="R66" s="87" t="s">
        <v>6240</v>
      </c>
      <c r="S66" s="87" t="s">
        <v>6268</v>
      </c>
      <c r="T66" s="87" t="s">
        <v>6341</v>
      </c>
    </row>
    <row r="67" spans="1:20" ht="15.75" customHeight="1">
      <c r="A67" s="9" t="s">
        <v>2949</v>
      </c>
      <c r="C67" s="9" t="s">
        <v>6923</v>
      </c>
      <c r="D67" s="87" t="s">
        <v>6327</v>
      </c>
      <c r="E67" s="9" t="s">
        <v>6924</v>
      </c>
      <c r="F67" s="9" t="s">
        <v>6925</v>
      </c>
      <c r="G67" s="9" t="s">
        <v>383</v>
      </c>
      <c r="H67" s="9" t="s">
        <v>444</v>
      </c>
      <c r="I67" s="87" t="s">
        <v>6405</v>
      </c>
      <c r="J67" s="87" t="s">
        <v>6240</v>
      </c>
      <c r="K67" s="87" t="s">
        <v>6926</v>
      </c>
      <c r="L67" s="87" t="s">
        <v>5968</v>
      </c>
      <c r="M67" s="87" t="s">
        <v>6882</v>
      </c>
      <c r="N67" s="9" t="s">
        <v>6976</v>
      </c>
      <c r="O67" s="87" t="s">
        <v>6254</v>
      </c>
      <c r="P67" s="9" t="s">
        <v>6243</v>
      </c>
      <c r="Q67" s="87" t="s">
        <v>5968</v>
      </c>
      <c r="R67" s="87" t="s">
        <v>6240</v>
      </c>
      <c r="S67" s="87" t="s">
        <v>6322</v>
      </c>
      <c r="T67" s="87" t="s">
        <v>6341</v>
      </c>
    </row>
    <row r="68" spans="1:20" ht="15.75" customHeight="1">
      <c r="A68" s="9" t="s">
        <v>2849</v>
      </c>
      <c r="C68" s="9" t="s">
        <v>6236</v>
      </c>
      <c r="D68" s="87" t="s">
        <v>6393</v>
      </c>
      <c r="E68" s="9" t="s">
        <v>431</v>
      </c>
      <c r="F68" s="9" t="s">
        <v>368</v>
      </c>
      <c r="G68" s="9" t="s">
        <v>436</v>
      </c>
      <c r="H68" s="9" t="s">
        <v>434</v>
      </c>
      <c r="I68" s="87" t="s">
        <v>6264</v>
      </c>
      <c r="J68" s="87" t="s">
        <v>6397</v>
      </c>
      <c r="K68" s="87" t="s">
        <v>6397</v>
      </c>
      <c r="L68" s="87" t="s">
        <v>6240</v>
      </c>
      <c r="M68" s="87" t="s">
        <v>6388</v>
      </c>
      <c r="N68" s="9" t="s">
        <v>6977</v>
      </c>
      <c r="O68" s="87" t="s">
        <v>6397</v>
      </c>
      <c r="P68" s="9" t="s">
        <v>6243</v>
      </c>
      <c r="Q68" s="87" t="s">
        <v>6278</v>
      </c>
      <c r="R68" s="87" t="s">
        <v>6397</v>
      </c>
      <c r="S68" s="87" t="s">
        <v>6314</v>
      </c>
      <c r="T68" s="87" t="s">
        <v>6417</v>
      </c>
    </row>
    <row r="69" spans="1:20" ht="15.75" customHeight="1">
      <c r="A69" s="9" t="s">
        <v>2849</v>
      </c>
      <c r="C69" s="9" t="s">
        <v>6671</v>
      </c>
      <c r="D69" s="87" t="s">
        <v>6296</v>
      </c>
      <c r="E69" s="9" t="s">
        <v>6672</v>
      </c>
      <c r="F69" s="9" t="s">
        <v>439</v>
      </c>
      <c r="G69" s="9" t="s">
        <v>436</v>
      </c>
      <c r="H69" s="9" t="s">
        <v>440</v>
      </c>
      <c r="I69" s="87" t="s">
        <v>6405</v>
      </c>
      <c r="J69" s="87" t="s">
        <v>6290</v>
      </c>
      <c r="K69" s="87" t="s">
        <v>6290</v>
      </c>
      <c r="L69" s="87" t="s">
        <v>6240</v>
      </c>
      <c r="M69" s="87" t="s">
        <v>6389</v>
      </c>
      <c r="N69" s="9" t="s">
        <v>6978</v>
      </c>
      <c r="O69" s="87" t="s">
        <v>6290</v>
      </c>
      <c r="P69" s="9" t="s">
        <v>6243</v>
      </c>
      <c r="Q69" s="87" t="s">
        <v>6293</v>
      </c>
      <c r="R69" s="87" t="s">
        <v>6290</v>
      </c>
      <c r="S69" s="87" t="s">
        <v>6430</v>
      </c>
      <c r="T69" s="87" t="s">
        <v>6326</v>
      </c>
    </row>
    <row r="70" spans="1:20" ht="15.75" customHeight="1">
      <c r="A70" s="9" t="s">
        <v>2849</v>
      </c>
      <c r="C70" s="9" t="s">
        <v>6923</v>
      </c>
      <c r="D70" s="87" t="s">
        <v>6327</v>
      </c>
      <c r="E70" s="9" t="s">
        <v>6924</v>
      </c>
      <c r="F70" s="9" t="s">
        <v>6925</v>
      </c>
      <c r="G70" s="9" t="s">
        <v>383</v>
      </c>
      <c r="H70" s="9" t="s">
        <v>444</v>
      </c>
      <c r="I70" s="87" t="s">
        <v>6405</v>
      </c>
      <c r="J70" s="87" t="s">
        <v>6405</v>
      </c>
      <c r="K70" s="87" t="s">
        <v>6926</v>
      </c>
      <c r="L70" s="87" t="s">
        <v>4019</v>
      </c>
      <c r="M70" s="87" t="s">
        <v>6838</v>
      </c>
      <c r="N70" s="9" t="s">
        <v>6979</v>
      </c>
      <c r="O70" s="87" t="s">
        <v>6498</v>
      </c>
      <c r="P70" s="9" t="s">
        <v>6243</v>
      </c>
      <c r="Q70" s="87" t="s">
        <v>4019</v>
      </c>
      <c r="R70" s="87" t="s">
        <v>6405</v>
      </c>
      <c r="S70" s="87" t="s">
        <v>6392</v>
      </c>
      <c r="T70" s="87" t="s">
        <v>6341</v>
      </c>
    </row>
    <row r="71" spans="1:20" ht="15.75" customHeight="1">
      <c r="A71" s="9" t="s">
        <v>2943</v>
      </c>
      <c r="C71" s="9" t="s">
        <v>6236</v>
      </c>
      <c r="D71" s="87" t="s">
        <v>6393</v>
      </c>
      <c r="E71" s="9" t="s">
        <v>431</v>
      </c>
      <c r="F71" s="9" t="s">
        <v>368</v>
      </c>
      <c r="G71" s="9" t="s">
        <v>436</v>
      </c>
      <c r="H71" s="9" t="s">
        <v>434</v>
      </c>
      <c r="I71" s="87" t="s">
        <v>6237</v>
      </c>
      <c r="J71" s="87" t="s">
        <v>6306</v>
      </c>
      <c r="K71" s="87" t="s">
        <v>6239</v>
      </c>
      <c r="L71" s="87" t="s">
        <v>6240</v>
      </c>
      <c r="M71" s="87" t="s">
        <v>6882</v>
      </c>
      <c r="N71" s="9" t="s">
        <v>6928</v>
      </c>
      <c r="O71" s="87" t="s">
        <v>6239</v>
      </c>
      <c r="P71" s="9" t="s">
        <v>6243</v>
      </c>
      <c r="Q71" s="87" t="s">
        <v>3764</v>
      </c>
      <c r="R71" s="87" t="s">
        <v>6306</v>
      </c>
      <c r="S71" s="87" t="s">
        <v>6327</v>
      </c>
      <c r="T71" s="87" t="s">
        <v>6645</v>
      </c>
    </row>
    <row r="72" spans="1:20" ht="15.75" customHeight="1">
      <c r="A72" s="9" t="s">
        <v>2943</v>
      </c>
      <c r="C72" s="9" t="s">
        <v>6236</v>
      </c>
      <c r="D72" s="87" t="s">
        <v>6393</v>
      </c>
      <c r="E72" s="9" t="s">
        <v>431</v>
      </c>
      <c r="F72" s="9" t="s">
        <v>368</v>
      </c>
      <c r="G72" s="9" t="s">
        <v>436</v>
      </c>
      <c r="H72" s="9" t="s">
        <v>434</v>
      </c>
      <c r="I72" s="87" t="s">
        <v>6237</v>
      </c>
      <c r="J72" s="87" t="s">
        <v>6306</v>
      </c>
      <c r="K72" s="87" t="s">
        <v>6237</v>
      </c>
      <c r="L72" s="87" t="s">
        <v>6240</v>
      </c>
      <c r="M72" s="87" t="s">
        <v>6311</v>
      </c>
      <c r="N72" s="9" t="s">
        <v>6967</v>
      </c>
      <c r="O72" s="87" t="s">
        <v>6237</v>
      </c>
      <c r="P72" s="9" t="s">
        <v>6243</v>
      </c>
      <c r="Q72" s="87" t="s">
        <v>4953</v>
      </c>
      <c r="R72" s="87" t="s">
        <v>6306</v>
      </c>
      <c r="S72" s="87" t="s">
        <v>6424</v>
      </c>
      <c r="T72" s="87" t="s">
        <v>6645</v>
      </c>
    </row>
    <row r="73" spans="1:20" ht="15.75" customHeight="1">
      <c r="A73" s="9" t="s">
        <v>2943</v>
      </c>
      <c r="C73" s="9" t="s">
        <v>6671</v>
      </c>
      <c r="D73" s="87" t="s">
        <v>6296</v>
      </c>
      <c r="E73" s="9" t="s">
        <v>6672</v>
      </c>
      <c r="F73" s="9" t="s">
        <v>439</v>
      </c>
      <c r="G73" s="9" t="s">
        <v>436</v>
      </c>
      <c r="H73" s="9" t="s">
        <v>440</v>
      </c>
      <c r="I73" s="87" t="s">
        <v>6405</v>
      </c>
      <c r="J73" s="87" t="s">
        <v>3231</v>
      </c>
      <c r="K73" s="87" t="s">
        <v>6239</v>
      </c>
      <c r="L73" s="87" t="s">
        <v>6240</v>
      </c>
      <c r="M73" s="87" t="s">
        <v>6317</v>
      </c>
      <c r="N73" s="9" t="s">
        <v>6928</v>
      </c>
      <c r="O73" s="87" t="s">
        <v>6239</v>
      </c>
      <c r="P73" s="9" t="s">
        <v>6243</v>
      </c>
      <c r="Q73" s="87" t="s">
        <v>3764</v>
      </c>
      <c r="R73" s="87" t="s">
        <v>3231</v>
      </c>
      <c r="S73" s="87" t="s">
        <v>6327</v>
      </c>
      <c r="T73" s="87" t="s">
        <v>6645</v>
      </c>
    </row>
    <row r="74" spans="1:20" ht="15.75" customHeight="1">
      <c r="A74" s="9" t="s">
        <v>2943</v>
      </c>
      <c r="C74" s="9" t="s">
        <v>6671</v>
      </c>
      <c r="D74" s="87" t="s">
        <v>6296</v>
      </c>
      <c r="E74" s="9" t="s">
        <v>6672</v>
      </c>
      <c r="F74" s="9" t="s">
        <v>439</v>
      </c>
      <c r="G74" s="9" t="s">
        <v>436</v>
      </c>
      <c r="H74" s="9" t="s">
        <v>440</v>
      </c>
      <c r="I74" s="87" t="s">
        <v>6405</v>
      </c>
      <c r="J74" s="87" t="s">
        <v>3231</v>
      </c>
      <c r="K74" s="87" t="s">
        <v>6239</v>
      </c>
      <c r="L74" s="87" t="s">
        <v>6240</v>
      </c>
      <c r="M74" s="87" t="s">
        <v>6318</v>
      </c>
      <c r="N74" s="9" t="s">
        <v>6928</v>
      </c>
      <c r="O74" s="87" t="s">
        <v>6239</v>
      </c>
      <c r="P74" s="9" t="s">
        <v>6243</v>
      </c>
      <c r="Q74" s="87" t="s">
        <v>3764</v>
      </c>
      <c r="R74" s="87" t="s">
        <v>3231</v>
      </c>
      <c r="S74" s="87" t="s">
        <v>6327</v>
      </c>
      <c r="T74" s="87" t="s">
        <v>6645</v>
      </c>
    </row>
    <row r="75" spans="1:20" ht="15.75" customHeight="1">
      <c r="A75" s="9" t="s">
        <v>2943</v>
      </c>
      <c r="C75" s="9" t="s">
        <v>6671</v>
      </c>
      <c r="D75" s="87" t="s">
        <v>6296</v>
      </c>
      <c r="E75" s="9" t="s">
        <v>6672</v>
      </c>
      <c r="F75" s="9" t="s">
        <v>439</v>
      </c>
      <c r="G75" s="9" t="s">
        <v>436</v>
      </c>
      <c r="H75" s="9" t="s">
        <v>440</v>
      </c>
      <c r="I75" s="87" t="s">
        <v>6405</v>
      </c>
      <c r="J75" s="87" t="s">
        <v>3231</v>
      </c>
      <c r="K75" s="87" t="s">
        <v>6297</v>
      </c>
      <c r="L75" s="87" t="s">
        <v>6240</v>
      </c>
      <c r="M75" s="87" t="s">
        <v>6875</v>
      </c>
      <c r="N75" s="9" t="s">
        <v>6980</v>
      </c>
      <c r="O75" s="87" t="s">
        <v>6297</v>
      </c>
      <c r="P75" s="9" t="s">
        <v>6243</v>
      </c>
      <c r="Q75" s="87" t="s">
        <v>6299</v>
      </c>
      <c r="R75" s="87" t="s">
        <v>3231</v>
      </c>
      <c r="S75" s="87" t="s">
        <v>6306</v>
      </c>
      <c r="T75" s="87" t="s">
        <v>6645</v>
      </c>
    </row>
    <row r="76" spans="1:20" ht="15.75" customHeight="1">
      <c r="A76" s="9" t="s">
        <v>2943</v>
      </c>
      <c r="C76" s="9" t="s">
        <v>6923</v>
      </c>
      <c r="D76" s="87" t="s">
        <v>6327</v>
      </c>
      <c r="E76" s="9" t="s">
        <v>6924</v>
      </c>
      <c r="F76" s="9" t="s">
        <v>6925</v>
      </c>
      <c r="G76" s="9" t="s">
        <v>383</v>
      </c>
      <c r="H76" s="9" t="s">
        <v>444</v>
      </c>
      <c r="I76" s="87" t="s">
        <v>6405</v>
      </c>
      <c r="J76" s="87" t="s">
        <v>6264</v>
      </c>
      <c r="K76" s="87" t="s">
        <v>6931</v>
      </c>
      <c r="L76" s="87" t="s">
        <v>6270</v>
      </c>
      <c r="M76" s="87" t="s">
        <v>6869</v>
      </c>
      <c r="N76" s="9" t="s">
        <v>6981</v>
      </c>
      <c r="O76" s="87" t="s">
        <v>6300</v>
      </c>
      <c r="P76" s="9" t="s">
        <v>6243</v>
      </c>
      <c r="Q76" s="87" t="s">
        <v>3861</v>
      </c>
      <c r="R76" s="87" t="s">
        <v>6264</v>
      </c>
      <c r="S76" s="87" t="s">
        <v>6296</v>
      </c>
      <c r="T76" s="87" t="s">
        <v>6341</v>
      </c>
    </row>
    <row r="77" spans="1:20" ht="15.75" customHeight="1">
      <c r="A77" s="9" t="s">
        <v>2930</v>
      </c>
      <c r="C77" s="9" t="s">
        <v>6236</v>
      </c>
      <c r="D77" s="87" t="s">
        <v>6393</v>
      </c>
      <c r="E77" s="9" t="s">
        <v>431</v>
      </c>
      <c r="F77" s="9" t="s">
        <v>368</v>
      </c>
      <c r="G77" s="9" t="s">
        <v>436</v>
      </c>
      <c r="H77" s="9" t="s">
        <v>434</v>
      </c>
      <c r="I77" s="87" t="s">
        <v>6237</v>
      </c>
      <c r="J77" s="87" t="s">
        <v>6290</v>
      </c>
      <c r="K77" s="87" t="s">
        <v>6290</v>
      </c>
      <c r="L77" s="87" t="s">
        <v>6240</v>
      </c>
      <c r="M77" s="87" t="s">
        <v>6906</v>
      </c>
      <c r="N77" s="9" t="s">
        <v>6982</v>
      </c>
      <c r="O77" s="87" t="s">
        <v>6290</v>
      </c>
      <c r="P77" s="9" t="s">
        <v>6243</v>
      </c>
      <c r="Q77" s="87" t="s">
        <v>6293</v>
      </c>
      <c r="R77" s="87" t="s">
        <v>6290</v>
      </c>
      <c r="S77" s="87" t="s">
        <v>4953</v>
      </c>
      <c r="T77" s="87" t="s">
        <v>6280</v>
      </c>
    </row>
    <row r="78" spans="1:20" ht="15.75" customHeight="1">
      <c r="A78" s="9" t="s">
        <v>2930</v>
      </c>
      <c r="C78" s="9" t="s">
        <v>6671</v>
      </c>
      <c r="D78" s="87" t="s">
        <v>6296</v>
      </c>
      <c r="E78" s="9" t="s">
        <v>6672</v>
      </c>
      <c r="F78" s="9" t="s">
        <v>439</v>
      </c>
      <c r="G78" s="9" t="s">
        <v>436</v>
      </c>
      <c r="H78" s="9" t="s">
        <v>440</v>
      </c>
      <c r="I78" s="87" t="s">
        <v>6405</v>
      </c>
      <c r="J78" s="87" t="s">
        <v>6435</v>
      </c>
      <c r="K78" s="87" t="s">
        <v>6435</v>
      </c>
      <c r="L78" s="87" t="s">
        <v>6240</v>
      </c>
      <c r="M78" s="87" t="s">
        <v>6902</v>
      </c>
      <c r="N78" s="9" t="s">
        <v>6983</v>
      </c>
      <c r="O78" s="87" t="s">
        <v>6435</v>
      </c>
      <c r="P78" s="9" t="s">
        <v>6243</v>
      </c>
      <c r="Q78" s="87" t="s">
        <v>6250</v>
      </c>
      <c r="R78" s="87" t="s">
        <v>6435</v>
      </c>
      <c r="S78" s="87" t="s">
        <v>6606</v>
      </c>
      <c r="T78" s="87" t="s">
        <v>6440</v>
      </c>
    </row>
    <row r="79" spans="1:20" ht="15.75" customHeight="1">
      <c r="A79" s="9" t="s">
        <v>2930</v>
      </c>
      <c r="C79" s="9" t="s">
        <v>6923</v>
      </c>
      <c r="D79" s="87" t="s">
        <v>6461</v>
      </c>
      <c r="E79" s="9" t="s">
        <v>6924</v>
      </c>
      <c r="F79" s="9" t="s">
        <v>6925</v>
      </c>
      <c r="G79" s="9" t="s">
        <v>383</v>
      </c>
      <c r="H79" s="9" t="s">
        <v>427</v>
      </c>
      <c r="I79" s="87" t="s">
        <v>6405</v>
      </c>
      <c r="J79" s="87" t="s">
        <v>6405</v>
      </c>
      <c r="K79" s="87" t="s">
        <v>6926</v>
      </c>
      <c r="L79" s="87" t="s">
        <v>6372</v>
      </c>
      <c r="M79" s="87" t="s">
        <v>6973</v>
      </c>
      <c r="N79" s="9" t="s">
        <v>6984</v>
      </c>
      <c r="O79" s="87" t="s">
        <v>6295</v>
      </c>
      <c r="P79" s="9" t="s">
        <v>6243</v>
      </c>
      <c r="Q79" s="87" t="s">
        <v>6372</v>
      </c>
      <c r="R79" s="87" t="s">
        <v>6405</v>
      </c>
      <c r="S79" s="87" t="s">
        <v>6526</v>
      </c>
      <c r="T79" s="87" t="s">
        <v>6341</v>
      </c>
    </row>
    <row r="80" spans="1:20" ht="15.75" customHeight="1">
      <c r="A80" s="9" t="s">
        <v>3005</v>
      </c>
      <c r="C80" s="9" t="s">
        <v>6236</v>
      </c>
      <c r="D80" s="87" t="s">
        <v>6393</v>
      </c>
      <c r="E80" s="9" t="s">
        <v>431</v>
      </c>
      <c r="F80" s="9" t="s">
        <v>368</v>
      </c>
      <c r="G80" s="9" t="s">
        <v>436</v>
      </c>
      <c r="H80" s="9" t="s">
        <v>434</v>
      </c>
      <c r="I80" s="87" t="s">
        <v>6237</v>
      </c>
      <c r="J80" s="87" t="s">
        <v>6255</v>
      </c>
      <c r="K80" s="87" t="s">
        <v>6255</v>
      </c>
      <c r="L80" s="87" t="s">
        <v>6240</v>
      </c>
      <c r="M80" s="87" t="s">
        <v>6285</v>
      </c>
      <c r="N80" s="9" t="s">
        <v>6985</v>
      </c>
      <c r="O80" s="87" t="s">
        <v>6255</v>
      </c>
      <c r="P80" s="9" t="s">
        <v>6243</v>
      </c>
      <c r="Q80" s="87" t="s">
        <v>4947</v>
      </c>
      <c r="R80" s="87" t="s">
        <v>6255</v>
      </c>
      <c r="S80" s="87" t="s">
        <v>6370</v>
      </c>
      <c r="T80" s="87" t="s">
        <v>6300</v>
      </c>
    </row>
    <row r="81" spans="1:20" ht="15.75" customHeight="1">
      <c r="A81" s="9" t="s">
        <v>3005</v>
      </c>
      <c r="C81" s="9" t="s">
        <v>6671</v>
      </c>
      <c r="D81" s="87" t="s">
        <v>6296</v>
      </c>
      <c r="E81" s="9" t="s">
        <v>6672</v>
      </c>
      <c r="F81" s="9" t="s">
        <v>439</v>
      </c>
      <c r="G81" s="9" t="s">
        <v>436</v>
      </c>
      <c r="H81" s="9" t="s">
        <v>440</v>
      </c>
      <c r="I81" s="87" t="s">
        <v>6405</v>
      </c>
      <c r="J81" s="87" t="s">
        <v>6387</v>
      </c>
      <c r="K81" s="87" t="s">
        <v>6387</v>
      </c>
      <c r="L81" s="87" t="s">
        <v>6240</v>
      </c>
      <c r="M81" s="87" t="s">
        <v>6910</v>
      </c>
      <c r="N81" s="9" t="s">
        <v>6986</v>
      </c>
      <c r="O81" s="87" t="s">
        <v>6387</v>
      </c>
      <c r="P81" s="9" t="s">
        <v>6243</v>
      </c>
      <c r="Q81" s="87" t="s">
        <v>6248</v>
      </c>
      <c r="R81" s="87" t="s">
        <v>6387</v>
      </c>
      <c r="S81" s="87" t="s">
        <v>6322</v>
      </c>
      <c r="T81" s="87" t="s">
        <v>6733</v>
      </c>
    </row>
    <row r="82" spans="1:20" ht="15.75" customHeight="1">
      <c r="A82" s="9" t="s">
        <v>3005</v>
      </c>
      <c r="C82" s="9" t="s">
        <v>6923</v>
      </c>
      <c r="D82" s="87" t="s">
        <v>6327</v>
      </c>
      <c r="E82" s="9" t="s">
        <v>6924</v>
      </c>
      <c r="F82" s="9" t="s">
        <v>6925</v>
      </c>
      <c r="G82" s="9" t="s">
        <v>383</v>
      </c>
      <c r="H82" s="9" t="s">
        <v>444</v>
      </c>
      <c r="I82" s="87" t="s">
        <v>6405</v>
      </c>
      <c r="J82" s="87" t="s">
        <v>6405</v>
      </c>
      <c r="K82" s="87" t="s">
        <v>6926</v>
      </c>
      <c r="L82" s="87" t="s">
        <v>6366</v>
      </c>
      <c r="M82" s="87" t="s">
        <v>6902</v>
      </c>
      <c r="N82" s="9" t="s">
        <v>6987</v>
      </c>
      <c r="O82" s="87" t="s">
        <v>6346</v>
      </c>
      <c r="P82" s="9" t="s">
        <v>6243</v>
      </c>
      <c r="Q82" s="87" t="s">
        <v>6366</v>
      </c>
      <c r="R82" s="87" t="s">
        <v>6405</v>
      </c>
      <c r="S82" s="87" t="s">
        <v>6486</v>
      </c>
      <c r="T82" s="87" t="s">
        <v>6651</v>
      </c>
    </row>
    <row r="83" spans="1:20" ht="15.75" customHeight="1">
      <c r="A83" s="9" t="s">
        <v>2975</v>
      </c>
      <c r="C83" s="9" t="s">
        <v>6236</v>
      </c>
      <c r="D83" s="87" t="s">
        <v>6393</v>
      </c>
      <c r="E83" s="9" t="s">
        <v>431</v>
      </c>
      <c r="F83" s="9" t="s">
        <v>368</v>
      </c>
      <c r="G83" s="9" t="s">
        <v>436</v>
      </c>
      <c r="H83" s="9" t="s">
        <v>434</v>
      </c>
      <c r="I83" s="87" t="s">
        <v>6264</v>
      </c>
      <c r="J83" s="87" t="s">
        <v>6330</v>
      </c>
      <c r="K83" s="87" t="s">
        <v>6330</v>
      </c>
      <c r="L83" s="87" t="s">
        <v>6240</v>
      </c>
      <c r="M83" s="87" t="s">
        <v>6869</v>
      </c>
      <c r="N83" s="9" t="s">
        <v>6988</v>
      </c>
      <c r="O83" s="87" t="s">
        <v>6330</v>
      </c>
      <c r="P83" s="9" t="s">
        <v>6243</v>
      </c>
      <c r="Q83" s="87" t="s">
        <v>6332</v>
      </c>
      <c r="R83" s="87" t="s">
        <v>6330</v>
      </c>
      <c r="S83" s="87" t="s">
        <v>6400</v>
      </c>
      <c r="T83" s="87" t="s">
        <v>6645</v>
      </c>
    </row>
    <row r="84" spans="1:20" ht="15.75" customHeight="1">
      <c r="A84" s="9" t="s">
        <v>2975</v>
      </c>
      <c r="C84" s="9" t="s">
        <v>6923</v>
      </c>
      <c r="D84" s="87" t="s">
        <v>6327</v>
      </c>
      <c r="E84" s="9" t="s">
        <v>6924</v>
      </c>
      <c r="F84" s="9" t="s">
        <v>6925</v>
      </c>
      <c r="G84" s="9" t="s">
        <v>383</v>
      </c>
      <c r="H84" s="9" t="s">
        <v>444</v>
      </c>
      <c r="I84" s="87" t="s">
        <v>6405</v>
      </c>
      <c r="J84" s="87" t="s">
        <v>6334</v>
      </c>
      <c r="K84" s="87" t="s">
        <v>6939</v>
      </c>
      <c r="L84" s="87" t="s">
        <v>6278</v>
      </c>
      <c r="M84" s="87" t="s">
        <v>6338</v>
      </c>
      <c r="N84" s="9" t="s">
        <v>6989</v>
      </c>
      <c r="O84" s="87" t="s">
        <v>6293</v>
      </c>
      <c r="P84" s="9" t="s">
        <v>6243</v>
      </c>
      <c r="Q84" s="87" t="s">
        <v>4828</v>
      </c>
      <c r="R84" s="87" t="s">
        <v>6334</v>
      </c>
      <c r="S84" s="87" t="s">
        <v>6413</v>
      </c>
      <c r="T84" s="87" t="s">
        <v>6341</v>
      </c>
    </row>
    <row r="85" spans="1:20" ht="15.75" customHeight="1">
      <c r="A85" s="9" t="s">
        <v>2906</v>
      </c>
      <c r="C85" s="9" t="s">
        <v>6236</v>
      </c>
      <c r="D85" s="87" t="s">
        <v>6393</v>
      </c>
      <c r="E85" s="9" t="s">
        <v>431</v>
      </c>
      <c r="F85" s="9" t="s">
        <v>368</v>
      </c>
      <c r="G85" s="9" t="s">
        <v>436</v>
      </c>
      <c r="H85" s="9" t="s">
        <v>434</v>
      </c>
      <c r="I85" s="87" t="s">
        <v>6264</v>
      </c>
      <c r="J85" s="87" t="s">
        <v>6296</v>
      </c>
      <c r="K85" s="87" t="s">
        <v>6297</v>
      </c>
      <c r="L85" s="87" t="s">
        <v>6240</v>
      </c>
      <c r="M85" s="87" t="s">
        <v>6906</v>
      </c>
      <c r="N85" s="9" t="s">
        <v>6990</v>
      </c>
      <c r="O85" s="87" t="s">
        <v>6297</v>
      </c>
      <c r="P85" s="9" t="s">
        <v>6243</v>
      </c>
      <c r="Q85" s="87" t="s">
        <v>6299</v>
      </c>
      <c r="R85" s="87" t="s">
        <v>6296</v>
      </c>
      <c r="S85" s="87" t="s">
        <v>6327</v>
      </c>
      <c r="T85" s="87" t="s">
        <v>6393</v>
      </c>
    </row>
    <row r="86" spans="1:20" ht="15.75" customHeight="1">
      <c r="A86" s="9" t="s">
        <v>2906</v>
      </c>
      <c r="C86" s="9" t="s">
        <v>6236</v>
      </c>
      <c r="D86" s="87" t="s">
        <v>6393</v>
      </c>
      <c r="E86" s="9" t="s">
        <v>431</v>
      </c>
      <c r="F86" s="9" t="s">
        <v>368</v>
      </c>
      <c r="G86" s="9" t="s">
        <v>436</v>
      </c>
      <c r="H86" s="9" t="s">
        <v>434</v>
      </c>
      <c r="I86" s="87" t="s">
        <v>6264</v>
      </c>
      <c r="J86" s="87" t="s">
        <v>6296</v>
      </c>
      <c r="K86" s="87" t="s">
        <v>6290</v>
      </c>
      <c r="L86" s="87" t="s">
        <v>6240</v>
      </c>
      <c r="M86" s="87" t="s">
        <v>6905</v>
      </c>
      <c r="N86" s="9" t="s">
        <v>6964</v>
      </c>
      <c r="O86" s="87" t="s">
        <v>6290</v>
      </c>
      <c r="P86" s="9" t="s">
        <v>6243</v>
      </c>
      <c r="Q86" s="87" t="s">
        <v>6293</v>
      </c>
      <c r="R86" s="87" t="s">
        <v>6296</v>
      </c>
      <c r="S86" s="87" t="s">
        <v>6525</v>
      </c>
      <c r="T86" s="87" t="s">
        <v>6645</v>
      </c>
    </row>
    <row r="87" spans="1:20" ht="15.75" customHeight="1">
      <c r="A87" s="9" t="s">
        <v>2906</v>
      </c>
      <c r="C87" s="9" t="s">
        <v>6671</v>
      </c>
      <c r="D87" s="87" t="s">
        <v>6296</v>
      </c>
      <c r="E87" s="9" t="s">
        <v>6672</v>
      </c>
      <c r="F87" s="9" t="s">
        <v>439</v>
      </c>
      <c r="G87" s="9" t="s">
        <v>436</v>
      </c>
      <c r="H87" s="9" t="s">
        <v>440</v>
      </c>
      <c r="I87" s="87" t="s">
        <v>6405</v>
      </c>
      <c r="J87" s="87" t="s">
        <v>6290</v>
      </c>
      <c r="K87" s="87" t="s">
        <v>6290</v>
      </c>
      <c r="L87" s="87" t="s">
        <v>6240</v>
      </c>
      <c r="M87" s="87" t="s">
        <v>6902</v>
      </c>
      <c r="N87" s="9" t="s">
        <v>6991</v>
      </c>
      <c r="O87" s="87" t="s">
        <v>6290</v>
      </c>
      <c r="P87" s="9" t="s">
        <v>6243</v>
      </c>
      <c r="Q87" s="87" t="s">
        <v>6293</v>
      </c>
      <c r="R87" s="87" t="s">
        <v>6290</v>
      </c>
      <c r="S87" s="87" t="s">
        <v>6370</v>
      </c>
      <c r="T87" s="87" t="s">
        <v>6430</v>
      </c>
    </row>
    <row r="88" spans="1:20" ht="15.75" customHeight="1">
      <c r="A88" s="9" t="s">
        <v>2906</v>
      </c>
      <c r="C88" s="9" t="s">
        <v>6923</v>
      </c>
      <c r="D88" s="87" t="s">
        <v>6327</v>
      </c>
      <c r="E88" s="9" t="s">
        <v>6924</v>
      </c>
      <c r="F88" s="9" t="s">
        <v>6925</v>
      </c>
      <c r="G88" s="9" t="s">
        <v>383</v>
      </c>
      <c r="H88" s="9" t="s">
        <v>444</v>
      </c>
      <c r="I88" s="87" t="s">
        <v>6405</v>
      </c>
      <c r="J88" s="87" t="s">
        <v>6405</v>
      </c>
      <c r="K88" s="87" t="s">
        <v>6926</v>
      </c>
      <c r="L88" s="87" t="s">
        <v>5968</v>
      </c>
      <c r="M88" s="87" t="s">
        <v>6882</v>
      </c>
      <c r="N88" s="9" t="s">
        <v>6992</v>
      </c>
      <c r="O88" s="87" t="s">
        <v>6254</v>
      </c>
      <c r="P88" s="9" t="s">
        <v>6243</v>
      </c>
      <c r="Q88" s="87" t="s">
        <v>5968</v>
      </c>
      <c r="R88" s="87" t="s">
        <v>6405</v>
      </c>
      <c r="S88" s="87" t="s">
        <v>6268</v>
      </c>
      <c r="T88" s="87" t="s">
        <v>6392</v>
      </c>
    </row>
    <row r="89" spans="1:20" ht="15.75" customHeight="1">
      <c r="A89" s="9" t="s">
        <v>2866</v>
      </c>
      <c r="C89" s="9" t="s">
        <v>6236</v>
      </c>
      <c r="D89" s="87" t="s">
        <v>6393</v>
      </c>
      <c r="E89" s="9" t="s">
        <v>431</v>
      </c>
      <c r="F89" s="9" t="s">
        <v>368</v>
      </c>
      <c r="G89" s="9" t="s">
        <v>436</v>
      </c>
      <c r="H89" s="9" t="s">
        <v>434</v>
      </c>
      <c r="I89" s="87" t="s">
        <v>6264</v>
      </c>
      <c r="J89" s="87" t="s">
        <v>6346</v>
      </c>
      <c r="K89" s="87" t="s">
        <v>6280</v>
      </c>
      <c r="L89" s="87" t="s">
        <v>6240</v>
      </c>
      <c r="M89" s="87" t="s">
        <v>6358</v>
      </c>
      <c r="N89" s="9" t="s">
        <v>6993</v>
      </c>
      <c r="O89" s="87" t="s">
        <v>6280</v>
      </c>
      <c r="P89" s="9" t="s">
        <v>6243</v>
      </c>
      <c r="Q89" s="87" t="s">
        <v>6283</v>
      </c>
      <c r="R89" s="87" t="s">
        <v>6346</v>
      </c>
      <c r="S89" s="87" t="s">
        <v>6327</v>
      </c>
      <c r="T89" s="87" t="s">
        <v>6299</v>
      </c>
    </row>
    <row r="90" spans="1:20" ht="15.75" customHeight="1">
      <c r="A90" s="9" t="s">
        <v>2866</v>
      </c>
      <c r="C90" s="9" t="s">
        <v>6236</v>
      </c>
      <c r="D90" s="87" t="s">
        <v>6393</v>
      </c>
      <c r="E90" s="9" t="s">
        <v>431</v>
      </c>
      <c r="F90" s="9" t="s">
        <v>368</v>
      </c>
      <c r="G90" s="9" t="s">
        <v>436</v>
      </c>
      <c r="H90" s="9" t="s">
        <v>434</v>
      </c>
      <c r="I90" s="87" t="s">
        <v>6264</v>
      </c>
      <c r="J90" s="87" t="s">
        <v>6346</v>
      </c>
      <c r="K90" s="87" t="s">
        <v>6810</v>
      </c>
      <c r="L90" s="87" t="s">
        <v>6240</v>
      </c>
      <c r="M90" s="87" t="s">
        <v>6364</v>
      </c>
      <c r="N90" s="9" t="s">
        <v>6994</v>
      </c>
      <c r="O90" s="87" t="s">
        <v>6810</v>
      </c>
      <c r="P90" s="9" t="s">
        <v>6243</v>
      </c>
      <c r="Q90" s="87" t="s">
        <v>6484</v>
      </c>
      <c r="R90" s="87" t="s">
        <v>6346</v>
      </c>
      <c r="S90" s="87" t="s">
        <v>6443</v>
      </c>
      <c r="T90" s="87" t="s">
        <v>6645</v>
      </c>
    </row>
    <row r="91" spans="1:20" ht="15.75" customHeight="1">
      <c r="A91" s="9" t="s">
        <v>2866</v>
      </c>
      <c r="C91" s="9" t="s">
        <v>6671</v>
      </c>
      <c r="D91" s="87" t="s">
        <v>6296</v>
      </c>
      <c r="E91" s="9" t="s">
        <v>6672</v>
      </c>
      <c r="F91" s="9" t="s">
        <v>439</v>
      </c>
      <c r="G91" s="9" t="s">
        <v>436</v>
      </c>
      <c r="H91" s="9" t="s">
        <v>440</v>
      </c>
      <c r="I91" s="87" t="s">
        <v>6405</v>
      </c>
      <c r="J91" s="87" t="s">
        <v>6346</v>
      </c>
      <c r="K91" s="87" t="s">
        <v>6295</v>
      </c>
      <c r="L91" s="87" t="s">
        <v>6240</v>
      </c>
      <c r="M91" s="87" t="s">
        <v>6385</v>
      </c>
      <c r="N91" s="9" t="s">
        <v>6995</v>
      </c>
      <c r="O91" s="87" t="s">
        <v>6295</v>
      </c>
      <c r="P91" s="9" t="s">
        <v>6243</v>
      </c>
      <c r="Q91" s="87" t="s">
        <v>6372</v>
      </c>
      <c r="R91" s="87" t="s">
        <v>6346</v>
      </c>
      <c r="S91" s="87" t="s">
        <v>6327</v>
      </c>
      <c r="T91" s="87" t="s">
        <v>6273</v>
      </c>
    </row>
    <row r="92" spans="1:20" ht="15.75" customHeight="1">
      <c r="A92" s="9" t="s">
        <v>2866</v>
      </c>
      <c r="C92" s="9" t="s">
        <v>6671</v>
      </c>
      <c r="D92" s="87" t="s">
        <v>6296</v>
      </c>
      <c r="E92" s="9" t="s">
        <v>6672</v>
      </c>
      <c r="F92" s="9" t="s">
        <v>439</v>
      </c>
      <c r="G92" s="9" t="s">
        <v>436</v>
      </c>
      <c r="H92" s="9" t="s">
        <v>440</v>
      </c>
      <c r="I92" s="87" t="s">
        <v>6405</v>
      </c>
      <c r="J92" s="87" t="s">
        <v>6346</v>
      </c>
      <c r="K92" s="87" t="s">
        <v>6461</v>
      </c>
      <c r="L92" s="87" t="s">
        <v>6240</v>
      </c>
      <c r="M92" s="87" t="s">
        <v>6388</v>
      </c>
      <c r="N92" s="9" t="s">
        <v>6996</v>
      </c>
      <c r="O92" s="87" t="s">
        <v>6461</v>
      </c>
      <c r="P92" s="9" t="s">
        <v>6243</v>
      </c>
      <c r="Q92" s="87" t="s">
        <v>6255</v>
      </c>
      <c r="R92" s="87" t="s">
        <v>6346</v>
      </c>
      <c r="S92" s="87" t="s">
        <v>6419</v>
      </c>
      <c r="T92" s="87" t="s">
        <v>6645</v>
      </c>
    </row>
    <row r="93" spans="1:20" ht="15.75" customHeight="1">
      <c r="A93" s="9" t="s">
        <v>2866</v>
      </c>
      <c r="C93" s="9" t="s">
        <v>6923</v>
      </c>
      <c r="D93" s="87" t="s">
        <v>6264</v>
      </c>
      <c r="E93" s="9" t="s">
        <v>6924</v>
      </c>
      <c r="F93" s="9" t="s">
        <v>6925</v>
      </c>
      <c r="G93" s="9" t="s">
        <v>383</v>
      </c>
      <c r="H93" s="9" t="s">
        <v>449</v>
      </c>
      <c r="I93" s="87" t="s">
        <v>6405</v>
      </c>
      <c r="J93" s="87" t="s">
        <v>6405</v>
      </c>
      <c r="K93" s="87" t="s">
        <v>6926</v>
      </c>
      <c r="L93" s="87" t="s">
        <v>6238</v>
      </c>
      <c r="M93" s="87" t="s">
        <v>6389</v>
      </c>
      <c r="N93" s="9" t="s">
        <v>6997</v>
      </c>
      <c r="O93" s="87" t="s">
        <v>6245</v>
      </c>
      <c r="P93" s="9" t="s">
        <v>6243</v>
      </c>
      <c r="Q93" s="87" t="s">
        <v>6238</v>
      </c>
      <c r="R93" s="87" t="s">
        <v>6405</v>
      </c>
      <c r="S93" s="87" t="s">
        <v>6237</v>
      </c>
      <c r="T93" s="87" t="s">
        <v>6451</v>
      </c>
    </row>
    <row r="94" spans="1:20" ht="15.75" customHeight="1">
      <c r="A94" s="9" t="s">
        <v>2987</v>
      </c>
      <c r="C94" s="9" t="s">
        <v>6236</v>
      </c>
      <c r="D94" s="87" t="s">
        <v>6393</v>
      </c>
      <c r="E94" s="9" t="s">
        <v>431</v>
      </c>
      <c r="F94" s="9" t="s">
        <v>368</v>
      </c>
      <c r="G94" s="9" t="s">
        <v>436</v>
      </c>
      <c r="H94" s="9" t="s">
        <v>434</v>
      </c>
      <c r="I94" s="87" t="s">
        <v>6237</v>
      </c>
      <c r="J94" s="87" t="s">
        <v>6299</v>
      </c>
      <c r="K94" s="87" t="s">
        <v>6299</v>
      </c>
      <c r="L94" s="87" t="s">
        <v>6240</v>
      </c>
      <c r="M94" s="87" t="s">
        <v>6364</v>
      </c>
      <c r="N94" s="9" t="s">
        <v>6998</v>
      </c>
      <c r="O94" s="87" t="s">
        <v>6299</v>
      </c>
      <c r="P94" s="9" t="s">
        <v>6243</v>
      </c>
      <c r="Q94" s="87" t="s">
        <v>3231</v>
      </c>
      <c r="R94" s="87" t="s">
        <v>6299</v>
      </c>
      <c r="S94" s="87" t="s">
        <v>6606</v>
      </c>
      <c r="T94" s="87" t="s">
        <v>6525</v>
      </c>
    </row>
    <row r="95" spans="1:20" ht="15.75" customHeight="1">
      <c r="A95" s="9" t="s">
        <v>2987</v>
      </c>
      <c r="C95" s="9" t="s">
        <v>6923</v>
      </c>
      <c r="D95" s="87" t="s">
        <v>6461</v>
      </c>
      <c r="E95" s="9" t="s">
        <v>6924</v>
      </c>
      <c r="F95" s="9" t="s">
        <v>6925</v>
      </c>
      <c r="G95" s="9" t="s">
        <v>383</v>
      </c>
      <c r="H95" s="9" t="s">
        <v>427</v>
      </c>
      <c r="I95" s="87" t="s">
        <v>6405</v>
      </c>
      <c r="J95" s="87" t="s">
        <v>6334</v>
      </c>
      <c r="K95" s="87" t="s">
        <v>6939</v>
      </c>
      <c r="L95" s="87" t="s">
        <v>6464</v>
      </c>
      <c r="M95" s="87" t="s">
        <v>6385</v>
      </c>
      <c r="N95" s="9" t="s">
        <v>6945</v>
      </c>
      <c r="O95" s="87" t="s">
        <v>6500</v>
      </c>
      <c r="P95" s="9" t="s">
        <v>6243</v>
      </c>
      <c r="Q95" s="87" t="s">
        <v>3749</v>
      </c>
      <c r="R95" s="87" t="s">
        <v>6334</v>
      </c>
      <c r="S95" s="87" t="s">
        <v>6327</v>
      </c>
      <c r="T95" s="87" t="s">
        <v>6341</v>
      </c>
    </row>
    <row r="96" spans="1:20" ht="15.75" customHeight="1">
      <c r="A96" s="9" t="s">
        <v>3012</v>
      </c>
      <c r="C96" s="9" t="s">
        <v>6236</v>
      </c>
      <c r="D96" s="87" t="s">
        <v>6393</v>
      </c>
      <c r="E96" s="9" t="s">
        <v>431</v>
      </c>
      <c r="F96" s="9" t="s">
        <v>368</v>
      </c>
      <c r="G96" s="9" t="s">
        <v>436</v>
      </c>
      <c r="H96" s="9" t="s">
        <v>434</v>
      </c>
      <c r="I96" s="87" t="s">
        <v>6237</v>
      </c>
      <c r="J96" s="87" t="s">
        <v>6323</v>
      </c>
      <c r="K96" s="87" t="s">
        <v>6323</v>
      </c>
      <c r="L96" s="87" t="s">
        <v>6240</v>
      </c>
      <c r="M96" s="87" t="s">
        <v>6869</v>
      </c>
      <c r="N96" s="9" t="s">
        <v>6999</v>
      </c>
      <c r="O96" s="87" t="s">
        <v>6323</v>
      </c>
      <c r="P96" s="9" t="s">
        <v>6243</v>
      </c>
      <c r="Q96" s="87" t="s">
        <v>5374</v>
      </c>
      <c r="R96" s="87" t="s">
        <v>6323</v>
      </c>
      <c r="S96" s="87" t="s">
        <v>6433</v>
      </c>
      <c r="T96" s="87" t="s">
        <v>6250</v>
      </c>
    </row>
    <row r="97" spans="1:20" ht="15.75" customHeight="1">
      <c r="A97" s="9" t="s">
        <v>3012</v>
      </c>
      <c r="C97" s="9" t="s">
        <v>6671</v>
      </c>
      <c r="D97" s="87" t="s">
        <v>6296</v>
      </c>
      <c r="E97" s="9" t="s">
        <v>6672</v>
      </c>
      <c r="F97" s="9" t="s">
        <v>439</v>
      </c>
      <c r="G97" s="9" t="s">
        <v>436</v>
      </c>
      <c r="H97" s="9" t="s">
        <v>440</v>
      </c>
      <c r="I97" s="87" t="s">
        <v>6405</v>
      </c>
      <c r="J97" s="87" t="s">
        <v>6245</v>
      </c>
      <c r="K97" s="87" t="s">
        <v>6245</v>
      </c>
      <c r="L97" s="87" t="s">
        <v>6240</v>
      </c>
      <c r="M97" s="87" t="s">
        <v>6338</v>
      </c>
      <c r="N97" s="9" t="s">
        <v>7000</v>
      </c>
      <c r="O97" s="87" t="s">
        <v>6245</v>
      </c>
      <c r="P97" s="9" t="s">
        <v>6243</v>
      </c>
      <c r="Q97" s="87" t="s">
        <v>6238</v>
      </c>
      <c r="R97" s="87" t="s">
        <v>6245</v>
      </c>
      <c r="S97" s="87" t="s">
        <v>6500</v>
      </c>
      <c r="T97" s="87" t="s">
        <v>6645</v>
      </c>
    </row>
    <row r="98" spans="1:20" ht="15.75" customHeight="1">
      <c r="A98" s="9" t="s">
        <v>3012</v>
      </c>
      <c r="C98" s="9" t="s">
        <v>6923</v>
      </c>
      <c r="D98" s="87" t="s">
        <v>6264</v>
      </c>
      <c r="E98" s="9" t="s">
        <v>6924</v>
      </c>
      <c r="F98" s="9" t="s">
        <v>6925</v>
      </c>
      <c r="G98" s="9" t="s">
        <v>383</v>
      </c>
      <c r="H98" s="9" t="s">
        <v>449</v>
      </c>
      <c r="I98" s="87" t="s">
        <v>6405</v>
      </c>
      <c r="J98" s="87" t="s">
        <v>6405</v>
      </c>
      <c r="K98" s="87" t="s">
        <v>6926</v>
      </c>
      <c r="L98" s="87" t="s">
        <v>6238</v>
      </c>
      <c r="M98" s="87" t="s">
        <v>6339</v>
      </c>
      <c r="N98" s="9" t="s">
        <v>7001</v>
      </c>
      <c r="O98" s="87" t="s">
        <v>6245</v>
      </c>
      <c r="P98" s="9" t="s">
        <v>6243</v>
      </c>
      <c r="Q98" s="87" t="s">
        <v>6238</v>
      </c>
      <c r="R98" s="87" t="s">
        <v>6405</v>
      </c>
      <c r="S98" s="87" t="s">
        <v>6263</v>
      </c>
      <c r="T98" s="87" t="s">
        <v>6341</v>
      </c>
    </row>
    <row r="99" spans="1:20" ht="15.75" customHeight="1">
      <c r="A99" s="9" t="s">
        <v>2981</v>
      </c>
      <c r="C99" s="9" t="s">
        <v>6236</v>
      </c>
      <c r="D99" s="87" t="s">
        <v>6393</v>
      </c>
      <c r="E99" s="9" t="s">
        <v>431</v>
      </c>
      <c r="F99" s="9" t="s">
        <v>368</v>
      </c>
      <c r="G99" s="9" t="s">
        <v>436</v>
      </c>
      <c r="H99" s="9" t="s">
        <v>434</v>
      </c>
      <c r="I99" s="87" t="s">
        <v>6237</v>
      </c>
      <c r="J99" s="87" t="s">
        <v>6250</v>
      </c>
      <c r="K99" s="87" t="s">
        <v>6250</v>
      </c>
      <c r="L99" s="87" t="s">
        <v>6240</v>
      </c>
      <c r="M99" s="87" t="s">
        <v>6318</v>
      </c>
      <c r="N99" s="9" t="s">
        <v>7002</v>
      </c>
      <c r="O99" s="87" t="s">
        <v>6250</v>
      </c>
      <c r="P99" s="9" t="s">
        <v>6243</v>
      </c>
      <c r="Q99" s="87" t="s">
        <v>6320</v>
      </c>
      <c r="R99" s="87" t="s">
        <v>6250</v>
      </c>
      <c r="S99" s="87" t="s">
        <v>6370</v>
      </c>
      <c r="T99" s="87" t="s">
        <v>6417</v>
      </c>
    </row>
    <row r="100" spans="1:20" ht="15.75" customHeight="1">
      <c r="A100" s="9" t="s">
        <v>2981</v>
      </c>
      <c r="C100" s="9" t="s">
        <v>6671</v>
      </c>
      <c r="D100" s="87" t="s">
        <v>6296</v>
      </c>
      <c r="E100" s="9" t="s">
        <v>6672</v>
      </c>
      <c r="F100" s="9" t="s">
        <v>439</v>
      </c>
      <c r="G100" s="9" t="s">
        <v>436</v>
      </c>
      <c r="H100" s="9" t="s">
        <v>440</v>
      </c>
      <c r="I100" s="87" t="s">
        <v>6405</v>
      </c>
      <c r="J100" s="87" t="s">
        <v>6273</v>
      </c>
      <c r="K100" s="87" t="s">
        <v>6273</v>
      </c>
      <c r="L100" s="87" t="s">
        <v>6240</v>
      </c>
      <c r="M100" s="87" t="s">
        <v>6869</v>
      </c>
      <c r="N100" s="9" t="s">
        <v>7003</v>
      </c>
      <c r="O100" s="87" t="s">
        <v>6273</v>
      </c>
      <c r="P100" s="9" t="s">
        <v>6243</v>
      </c>
      <c r="Q100" s="87" t="s">
        <v>6276</v>
      </c>
      <c r="R100" s="87" t="s">
        <v>6273</v>
      </c>
      <c r="S100" s="87" t="s">
        <v>6528</v>
      </c>
      <c r="T100" s="87" t="s">
        <v>6401</v>
      </c>
    </row>
    <row r="101" spans="1:20" ht="15.75" customHeight="1">
      <c r="A101" s="9" t="s">
        <v>2981</v>
      </c>
      <c r="C101" s="9" t="s">
        <v>6923</v>
      </c>
      <c r="D101" s="87" t="s">
        <v>6461</v>
      </c>
      <c r="E101" s="9" t="s">
        <v>6924</v>
      </c>
      <c r="F101" s="9" t="s">
        <v>6925</v>
      </c>
      <c r="G101" s="9" t="s">
        <v>383</v>
      </c>
      <c r="H101" s="9" t="s">
        <v>427</v>
      </c>
      <c r="I101" s="87" t="s">
        <v>6405</v>
      </c>
      <c r="J101" s="87" t="s">
        <v>6264</v>
      </c>
      <c r="K101" s="87" t="s">
        <v>6939</v>
      </c>
      <c r="L101" s="87" t="s">
        <v>5374</v>
      </c>
      <c r="M101" s="87" t="s">
        <v>6338</v>
      </c>
      <c r="N101" s="9" t="s">
        <v>6940</v>
      </c>
      <c r="O101" s="87" t="s">
        <v>6333</v>
      </c>
      <c r="P101" s="9" t="s">
        <v>6547</v>
      </c>
      <c r="Q101" s="87" t="s">
        <v>6575</v>
      </c>
      <c r="R101" s="87" t="s">
        <v>6264</v>
      </c>
      <c r="S101" s="87" t="s">
        <v>6570</v>
      </c>
      <c r="T101" s="87" t="s">
        <v>6341</v>
      </c>
    </row>
    <row r="102" spans="1:20" ht="15.75" customHeight="1">
      <c r="A102" s="9" t="s">
        <v>2981</v>
      </c>
      <c r="C102" s="9" t="s">
        <v>6923</v>
      </c>
      <c r="D102" s="87" t="s">
        <v>6461</v>
      </c>
      <c r="E102" s="9" t="s">
        <v>6924</v>
      </c>
      <c r="F102" s="9" t="s">
        <v>6925</v>
      </c>
      <c r="G102" s="9" t="s">
        <v>383</v>
      </c>
      <c r="H102" s="9" t="s">
        <v>427</v>
      </c>
      <c r="I102" s="87" t="s">
        <v>6405</v>
      </c>
      <c r="J102" s="87" t="s">
        <v>6264</v>
      </c>
      <c r="K102" s="87" t="s">
        <v>6926</v>
      </c>
      <c r="L102" s="87" t="s">
        <v>5374</v>
      </c>
      <c r="M102" s="87" t="s">
        <v>6339</v>
      </c>
      <c r="N102" s="9" t="s">
        <v>7004</v>
      </c>
      <c r="O102" s="87" t="s">
        <v>6323</v>
      </c>
      <c r="P102" s="9" t="s">
        <v>6547</v>
      </c>
      <c r="Q102" s="87" t="s">
        <v>5374</v>
      </c>
      <c r="R102" s="87" t="s">
        <v>6264</v>
      </c>
      <c r="S102" s="87" t="s">
        <v>6428</v>
      </c>
      <c r="T102" s="87" t="s">
        <v>6341</v>
      </c>
    </row>
    <row r="103" spans="1:20" ht="15.75" customHeight="1">
      <c r="A103" s="9" t="s">
        <v>2961</v>
      </c>
      <c r="C103" s="9" t="s">
        <v>6236</v>
      </c>
      <c r="D103" s="87" t="s">
        <v>6393</v>
      </c>
      <c r="E103" s="9" t="s">
        <v>431</v>
      </c>
      <c r="F103" s="9" t="s">
        <v>368</v>
      </c>
      <c r="G103" s="9" t="s">
        <v>436</v>
      </c>
      <c r="H103" s="9" t="s">
        <v>434</v>
      </c>
      <c r="I103" s="87" t="s">
        <v>6237</v>
      </c>
      <c r="J103" s="87" t="s">
        <v>6327</v>
      </c>
      <c r="K103" s="87" t="s">
        <v>6290</v>
      </c>
      <c r="L103" s="87" t="s">
        <v>6240</v>
      </c>
      <c r="M103" s="87" t="s">
        <v>6869</v>
      </c>
      <c r="N103" s="9" t="s">
        <v>7005</v>
      </c>
      <c r="O103" s="87" t="s">
        <v>6290</v>
      </c>
      <c r="P103" s="9" t="s">
        <v>6243</v>
      </c>
      <c r="Q103" s="87" t="s">
        <v>6293</v>
      </c>
      <c r="R103" s="87" t="s">
        <v>6327</v>
      </c>
      <c r="S103" s="87" t="s">
        <v>6327</v>
      </c>
      <c r="T103" s="87" t="s">
        <v>6528</v>
      </c>
    </row>
    <row r="104" spans="1:20" ht="15.75" customHeight="1">
      <c r="A104" s="9" t="s">
        <v>2961</v>
      </c>
      <c r="C104" s="9" t="s">
        <v>6236</v>
      </c>
      <c r="D104" s="87" t="s">
        <v>6393</v>
      </c>
      <c r="E104" s="9" t="s">
        <v>431</v>
      </c>
      <c r="F104" s="9" t="s">
        <v>368</v>
      </c>
      <c r="G104" s="9" t="s">
        <v>436</v>
      </c>
      <c r="H104" s="9" t="s">
        <v>434</v>
      </c>
      <c r="I104" s="87" t="s">
        <v>6237</v>
      </c>
      <c r="J104" s="87" t="s">
        <v>6327</v>
      </c>
      <c r="K104" s="87" t="s">
        <v>6334</v>
      </c>
      <c r="L104" s="87" t="s">
        <v>6240</v>
      </c>
      <c r="M104" s="87" t="s">
        <v>6338</v>
      </c>
      <c r="N104" s="9" t="s">
        <v>7006</v>
      </c>
      <c r="O104" s="87" t="s">
        <v>6334</v>
      </c>
      <c r="P104" s="9" t="s">
        <v>6243</v>
      </c>
      <c r="Q104" s="87" t="s">
        <v>6290</v>
      </c>
      <c r="R104" s="87" t="s">
        <v>6327</v>
      </c>
      <c r="S104" s="87" t="s">
        <v>6351</v>
      </c>
      <c r="T104" s="87" t="s">
        <v>6645</v>
      </c>
    </row>
    <row r="105" spans="1:20" ht="15.75" customHeight="1">
      <c r="A105" s="9" t="s">
        <v>2961</v>
      </c>
      <c r="C105" s="9" t="s">
        <v>6671</v>
      </c>
      <c r="D105" s="87" t="s">
        <v>6296</v>
      </c>
      <c r="E105" s="9" t="s">
        <v>6672</v>
      </c>
      <c r="F105" s="9" t="s">
        <v>439</v>
      </c>
      <c r="G105" s="9" t="s">
        <v>436</v>
      </c>
      <c r="H105" s="9" t="s">
        <v>440</v>
      </c>
      <c r="I105" s="87" t="s">
        <v>6405</v>
      </c>
      <c r="J105" s="87" t="s">
        <v>6435</v>
      </c>
      <c r="K105" s="87" t="s">
        <v>6435</v>
      </c>
      <c r="L105" s="87" t="s">
        <v>6240</v>
      </c>
      <c r="M105" s="87" t="s">
        <v>6339</v>
      </c>
      <c r="N105" s="9" t="s">
        <v>7007</v>
      </c>
      <c r="O105" s="87" t="s">
        <v>6435</v>
      </c>
      <c r="P105" s="9" t="s">
        <v>6243</v>
      </c>
      <c r="Q105" s="87" t="s">
        <v>6250</v>
      </c>
      <c r="R105" s="87" t="s">
        <v>6435</v>
      </c>
      <c r="S105" s="87" t="s">
        <v>6733</v>
      </c>
      <c r="T105" s="87" t="s">
        <v>6645</v>
      </c>
    </row>
    <row r="106" spans="1:20" ht="15.75" customHeight="1">
      <c r="A106" s="9" t="s">
        <v>2961</v>
      </c>
      <c r="C106" s="9" t="s">
        <v>6923</v>
      </c>
      <c r="D106" s="87" t="s">
        <v>6327</v>
      </c>
      <c r="E106" s="9" t="s">
        <v>6924</v>
      </c>
      <c r="F106" s="9" t="s">
        <v>6925</v>
      </c>
      <c r="G106" s="9" t="s">
        <v>383</v>
      </c>
      <c r="H106" s="9" t="s">
        <v>444</v>
      </c>
      <c r="I106" s="87" t="s">
        <v>6405</v>
      </c>
      <c r="J106" s="87" t="s">
        <v>6405</v>
      </c>
      <c r="K106" s="87" t="s">
        <v>6926</v>
      </c>
      <c r="L106" s="87" t="s">
        <v>6321</v>
      </c>
      <c r="M106" s="87" t="s">
        <v>6343</v>
      </c>
      <c r="N106" s="9" t="s">
        <v>7008</v>
      </c>
      <c r="O106" s="87" t="s">
        <v>6411</v>
      </c>
      <c r="P106" s="9" t="s">
        <v>6243</v>
      </c>
      <c r="Q106" s="87" t="s">
        <v>6321</v>
      </c>
      <c r="R106" s="87" t="s">
        <v>6405</v>
      </c>
      <c r="S106" s="87" t="s">
        <v>6555</v>
      </c>
      <c r="T106" s="87" t="s">
        <v>6341</v>
      </c>
    </row>
    <row r="107" spans="1:20" ht="15.75" customHeight="1">
      <c r="A107" s="9" t="s">
        <v>2997</v>
      </c>
      <c r="C107" s="9" t="s">
        <v>6236</v>
      </c>
      <c r="D107" s="87" t="s">
        <v>6393</v>
      </c>
      <c r="E107" s="9" t="s">
        <v>431</v>
      </c>
      <c r="F107" s="9" t="s">
        <v>368</v>
      </c>
      <c r="G107" s="9" t="s">
        <v>436</v>
      </c>
      <c r="H107" s="9" t="s">
        <v>434</v>
      </c>
      <c r="I107" s="87" t="s">
        <v>6237</v>
      </c>
      <c r="J107" s="87" t="s">
        <v>6245</v>
      </c>
      <c r="K107" s="87" t="s">
        <v>6245</v>
      </c>
      <c r="L107" s="87" t="s">
        <v>6240</v>
      </c>
      <c r="M107" s="87" t="s">
        <v>6339</v>
      </c>
      <c r="N107" s="9" t="s">
        <v>7009</v>
      </c>
      <c r="O107" s="87" t="s">
        <v>6245</v>
      </c>
      <c r="P107" s="9" t="s">
        <v>6243</v>
      </c>
      <c r="Q107" s="87" t="s">
        <v>6238</v>
      </c>
      <c r="R107" s="87" t="s">
        <v>6245</v>
      </c>
      <c r="S107" s="87" t="s">
        <v>6430</v>
      </c>
      <c r="T107" s="87" t="s">
        <v>6651</v>
      </c>
    </row>
    <row r="108" spans="1:20" ht="15.75" customHeight="1">
      <c r="A108" s="9" t="s">
        <v>2997</v>
      </c>
      <c r="C108" s="9" t="s">
        <v>6671</v>
      </c>
      <c r="D108" s="87" t="s">
        <v>6296</v>
      </c>
      <c r="E108" s="9" t="s">
        <v>6672</v>
      </c>
      <c r="F108" s="9" t="s">
        <v>439</v>
      </c>
      <c r="G108" s="9" t="s">
        <v>436</v>
      </c>
      <c r="H108" s="9" t="s">
        <v>440</v>
      </c>
      <c r="I108" s="87" t="s">
        <v>6405</v>
      </c>
      <c r="J108" s="87" t="s">
        <v>6323</v>
      </c>
      <c r="K108" s="87" t="s">
        <v>6268</v>
      </c>
      <c r="L108" s="87" t="s">
        <v>6240</v>
      </c>
      <c r="M108" s="87" t="s">
        <v>6343</v>
      </c>
      <c r="N108" s="9" t="s">
        <v>7010</v>
      </c>
      <c r="O108" s="87" t="s">
        <v>6268</v>
      </c>
      <c r="P108" s="9" t="s">
        <v>6243</v>
      </c>
      <c r="Q108" s="87" t="s">
        <v>6270</v>
      </c>
      <c r="R108" s="87" t="s">
        <v>6323</v>
      </c>
      <c r="S108" s="87" t="s">
        <v>6327</v>
      </c>
      <c r="T108" s="87" t="s">
        <v>6387</v>
      </c>
    </row>
    <row r="109" spans="1:20" ht="15.75" customHeight="1">
      <c r="A109" s="9" t="s">
        <v>2997</v>
      </c>
      <c r="C109" s="9" t="s">
        <v>6671</v>
      </c>
      <c r="D109" s="87" t="s">
        <v>6296</v>
      </c>
      <c r="E109" s="9" t="s">
        <v>6672</v>
      </c>
      <c r="F109" s="9" t="s">
        <v>439</v>
      </c>
      <c r="G109" s="9" t="s">
        <v>436</v>
      </c>
      <c r="H109" s="9" t="s">
        <v>440</v>
      </c>
      <c r="I109" s="87" t="s">
        <v>6405</v>
      </c>
      <c r="J109" s="87" t="s">
        <v>6323</v>
      </c>
      <c r="K109" s="87" t="s">
        <v>6297</v>
      </c>
      <c r="L109" s="87" t="s">
        <v>6240</v>
      </c>
      <c r="M109" s="87" t="s">
        <v>6863</v>
      </c>
      <c r="N109" s="9" t="s">
        <v>6980</v>
      </c>
      <c r="O109" s="87" t="s">
        <v>6297</v>
      </c>
      <c r="P109" s="9" t="s">
        <v>6243</v>
      </c>
      <c r="Q109" s="87" t="s">
        <v>6299</v>
      </c>
      <c r="R109" s="87" t="s">
        <v>6323</v>
      </c>
      <c r="S109" s="87" t="s">
        <v>6306</v>
      </c>
      <c r="T109" s="87" t="s">
        <v>6645</v>
      </c>
    </row>
    <row r="110" spans="1:20" ht="15.75" customHeight="1">
      <c r="A110" s="9" t="s">
        <v>2997</v>
      </c>
      <c r="C110" s="9" t="s">
        <v>6923</v>
      </c>
      <c r="D110" s="87" t="s">
        <v>6327</v>
      </c>
      <c r="E110" s="9" t="s">
        <v>6924</v>
      </c>
      <c r="F110" s="9" t="s">
        <v>6925</v>
      </c>
      <c r="G110" s="9" t="s">
        <v>383</v>
      </c>
      <c r="H110" s="9" t="s">
        <v>444</v>
      </c>
      <c r="I110" s="87" t="s">
        <v>6405</v>
      </c>
      <c r="J110" s="87" t="s">
        <v>6264</v>
      </c>
      <c r="K110" s="87" t="s">
        <v>6939</v>
      </c>
      <c r="L110" s="87" t="s">
        <v>6250</v>
      </c>
      <c r="M110" s="87" t="s">
        <v>6862</v>
      </c>
      <c r="N110" s="9" t="s">
        <v>7011</v>
      </c>
      <c r="O110" s="87" t="s">
        <v>6433</v>
      </c>
      <c r="P110" s="9" t="s">
        <v>6243</v>
      </c>
      <c r="Q110" s="87" t="s">
        <v>6305</v>
      </c>
      <c r="R110" s="87" t="s">
        <v>6264</v>
      </c>
      <c r="S110" s="87" t="s">
        <v>6237</v>
      </c>
      <c r="T110" s="87" t="s">
        <v>6397</v>
      </c>
    </row>
    <row r="111" spans="1:20" ht="15.75" customHeight="1">
      <c r="A111" s="9" t="s">
        <v>2997</v>
      </c>
      <c r="C111" s="9" t="s">
        <v>6923</v>
      </c>
      <c r="D111" s="87" t="s">
        <v>6327</v>
      </c>
      <c r="E111" s="9" t="s">
        <v>6924</v>
      </c>
      <c r="F111" s="9" t="s">
        <v>6925</v>
      </c>
      <c r="G111" s="9" t="s">
        <v>383</v>
      </c>
      <c r="H111" s="9" t="s">
        <v>444</v>
      </c>
      <c r="I111" s="87" t="s">
        <v>6405</v>
      </c>
      <c r="J111" s="87" t="s">
        <v>6264</v>
      </c>
      <c r="K111" s="87" t="s">
        <v>6926</v>
      </c>
      <c r="L111" s="87" t="s">
        <v>6250</v>
      </c>
      <c r="M111" s="87" t="s">
        <v>6352</v>
      </c>
      <c r="N111" s="9" t="s">
        <v>7012</v>
      </c>
      <c r="O111" s="87" t="s">
        <v>6435</v>
      </c>
      <c r="P111" s="9" t="s">
        <v>6243</v>
      </c>
      <c r="Q111" s="87" t="s">
        <v>6250</v>
      </c>
      <c r="R111" s="87" t="s">
        <v>6264</v>
      </c>
      <c r="S111" s="87" t="s">
        <v>6416</v>
      </c>
      <c r="T111" s="87" t="s">
        <v>6341</v>
      </c>
    </row>
    <row r="112" spans="1:20" ht="15.75" customHeight="1">
      <c r="A112" s="9" t="s">
        <v>2888</v>
      </c>
      <c r="C112" s="9" t="s">
        <v>6236</v>
      </c>
      <c r="D112" s="87" t="s">
        <v>6393</v>
      </c>
      <c r="E112" s="9" t="s">
        <v>431</v>
      </c>
      <c r="F112" s="9" t="s">
        <v>368</v>
      </c>
      <c r="G112" s="9" t="s">
        <v>436</v>
      </c>
      <c r="H112" s="9" t="s">
        <v>434</v>
      </c>
      <c r="I112" s="87" t="s">
        <v>6237</v>
      </c>
      <c r="J112" s="87" t="s">
        <v>6264</v>
      </c>
      <c r="K112" s="87" t="s">
        <v>6264</v>
      </c>
      <c r="L112" s="87" t="s">
        <v>6240</v>
      </c>
      <c r="M112" s="87" t="s">
        <v>6311</v>
      </c>
      <c r="N112" s="9" t="s">
        <v>7013</v>
      </c>
      <c r="O112" s="87" t="s">
        <v>6264</v>
      </c>
      <c r="P112" s="9" t="s">
        <v>6243</v>
      </c>
      <c r="Q112" s="87" t="s">
        <v>6313</v>
      </c>
      <c r="R112" s="87" t="s">
        <v>6264</v>
      </c>
      <c r="S112" s="87" t="s">
        <v>6322</v>
      </c>
      <c r="T112" s="87" t="s">
        <v>6401</v>
      </c>
    </row>
    <row r="113" spans="1:20" ht="15.75" customHeight="1">
      <c r="A113" s="9" t="s">
        <v>2888</v>
      </c>
      <c r="C113" s="9" t="s">
        <v>6671</v>
      </c>
      <c r="D113" s="87" t="s">
        <v>6296</v>
      </c>
      <c r="E113" s="9" t="s">
        <v>6672</v>
      </c>
      <c r="F113" s="9" t="s">
        <v>439</v>
      </c>
      <c r="G113" s="9" t="s">
        <v>436</v>
      </c>
      <c r="H113" s="9" t="s">
        <v>440</v>
      </c>
      <c r="I113" s="87" t="s">
        <v>6405</v>
      </c>
      <c r="J113" s="87" t="s">
        <v>6405</v>
      </c>
      <c r="K113" s="87" t="s">
        <v>6405</v>
      </c>
      <c r="L113" s="87" t="s">
        <v>6240</v>
      </c>
      <c r="M113" s="87" t="s">
        <v>6875</v>
      </c>
      <c r="N113" s="9" t="s">
        <v>7014</v>
      </c>
      <c r="O113" s="87" t="s">
        <v>6405</v>
      </c>
      <c r="P113" s="9" t="s">
        <v>6243</v>
      </c>
      <c r="Q113" s="87" t="s">
        <v>6240</v>
      </c>
      <c r="R113" s="87" t="s">
        <v>6405</v>
      </c>
      <c r="S113" s="87" t="s">
        <v>6322</v>
      </c>
      <c r="T113" s="87" t="s">
        <v>6322</v>
      </c>
    </row>
    <row r="114" spans="1:20" ht="15.75" customHeight="1">
      <c r="A114" s="9" t="s">
        <v>2888</v>
      </c>
      <c r="C114" s="9" t="s">
        <v>6923</v>
      </c>
      <c r="D114" s="87" t="s">
        <v>6327</v>
      </c>
      <c r="E114" s="9" t="s">
        <v>6924</v>
      </c>
      <c r="F114" s="9" t="s">
        <v>6925</v>
      </c>
      <c r="G114" s="9" t="s">
        <v>383</v>
      </c>
      <c r="H114" s="9" t="s">
        <v>444</v>
      </c>
      <c r="I114" s="87" t="s">
        <v>6405</v>
      </c>
      <c r="J114" s="87" t="s">
        <v>6405</v>
      </c>
      <c r="K114" s="87" t="s">
        <v>6926</v>
      </c>
      <c r="L114" s="87" t="s">
        <v>6316</v>
      </c>
      <c r="M114" s="87" t="s">
        <v>6869</v>
      </c>
      <c r="N114" s="9" t="s">
        <v>7015</v>
      </c>
      <c r="O114" s="87" t="s">
        <v>6421</v>
      </c>
      <c r="P114" s="9" t="s">
        <v>6243</v>
      </c>
      <c r="Q114" s="87" t="s">
        <v>6316</v>
      </c>
      <c r="R114" s="87" t="s">
        <v>6405</v>
      </c>
      <c r="S114" s="87" t="s">
        <v>6334</v>
      </c>
      <c r="T114" s="87" t="s">
        <v>6414</v>
      </c>
    </row>
    <row r="115" spans="1:20" ht="15.75" customHeight="1">
      <c r="A115" s="9" t="s">
        <v>2993</v>
      </c>
      <c r="C115" s="9" t="s">
        <v>6236</v>
      </c>
      <c r="D115" s="87" t="s">
        <v>6393</v>
      </c>
      <c r="E115" s="9" t="s">
        <v>431</v>
      </c>
      <c r="F115" s="9" t="s">
        <v>368</v>
      </c>
      <c r="G115" s="9" t="s">
        <v>436</v>
      </c>
      <c r="H115" s="9" t="s">
        <v>434</v>
      </c>
      <c r="I115" s="87" t="s">
        <v>6264</v>
      </c>
      <c r="J115" s="87" t="s">
        <v>6238</v>
      </c>
      <c r="K115" s="87" t="s">
        <v>6271</v>
      </c>
      <c r="L115" s="87" t="s">
        <v>6240</v>
      </c>
      <c r="M115" s="87" t="s">
        <v>6338</v>
      </c>
      <c r="N115" s="9" t="s">
        <v>7016</v>
      </c>
      <c r="O115" s="87" t="s">
        <v>6271</v>
      </c>
      <c r="P115" s="9" t="s">
        <v>6243</v>
      </c>
      <c r="Q115" s="87" t="s">
        <v>3746</v>
      </c>
      <c r="R115" s="87" t="s">
        <v>6238</v>
      </c>
      <c r="S115" s="87" t="s">
        <v>6327</v>
      </c>
      <c r="T115" s="87" t="s">
        <v>6474</v>
      </c>
    </row>
    <row r="116" spans="1:20" ht="15.75" customHeight="1">
      <c r="A116" s="9" t="s">
        <v>2993</v>
      </c>
      <c r="C116" s="9" t="s">
        <v>6236</v>
      </c>
      <c r="D116" s="87" t="s">
        <v>6393</v>
      </c>
      <c r="E116" s="9" t="s">
        <v>431</v>
      </c>
      <c r="F116" s="9" t="s">
        <v>368</v>
      </c>
      <c r="G116" s="9" t="s">
        <v>436</v>
      </c>
      <c r="H116" s="9" t="s">
        <v>434</v>
      </c>
      <c r="I116" s="87" t="s">
        <v>6264</v>
      </c>
      <c r="J116" s="87" t="s">
        <v>6238</v>
      </c>
      <c r="K116" s="87" t="s">
        <v>6268</v>
      </c>
      <c r="L116" s="87" t="s">
        <v>6240</v>
      </c>
      <c r="M116" s="87" t="s">
        <v>6339</v>
      </c>
      <c r="N116" s="9" t="s">
        <v>7017</v>
      </c>
      <c r="O116" s="87" t="s">
        <v>6268</v>
      </c>
      <c r="P116" s="9" t="s">
        <v>6243</v>
      </c>
      <c r="Q116" s="87" t="s">
        <v>6270</v>
      </c>
      <c r="R116" s="87" t="s">
        <v>6238</v>
      </c>
      <c r="S116" s="87" t="s">
        <v>6342</v>
      </c>
      <c r="T116" s="87" t="s">
        <v>6645</v>
      </c>
    </row>
    <row r="117" spans="1:20" ht="15.75" customHeight="1">
      <c r="A117" s="9" t="s">
        <v>2993</v>
      </c>
      <c r="C117" s="9" t="s">
        <v>6671</v>
      </c>
      <c r="D117" s="87" t="s">
        <v>6296</v>
      </c>
      <c r="E117" s="9" t="s">
        <v>6672</v>
      </c>
      <c r="F117" s="9" t="s">
        <v>439</v>
      </c>
      <c r="G117" s="9" t="s">
        <v>436</v>
      </c>
      <c r="H117" s="9" t="s">
        <v>440</v>
      </c>
      <c r="I117" s="87" t="s">
        <v>6405</v>
      </c>
      <c r="J117" s="87" t="s">
        <v>5381</v>
      </c>
      <c r="K117" s="87" t="s">
        <v>5381</v>
      </c>
      <c r="L117" s="87" t="s">
        <v>6240</v>
      </c>
      <c r="M117" s="87" t="s">
        <v>6343</v>
      </c>
      <c r="N117" s="9" t="s">
        <v>7018</v>
      </c>
      <c r="O117" s="87" t="s">
        <v>5381</v>
      </c>
      <c r="P117" s="9" t="s">
        <v>6243</v>
      </c>
      <c r="Q117" s="87" t="s">
        <v>4081</v>
      </c>
      <c r="R117" s="87" t="s">
        <v>5381</v>
      </c>
      <c r="S117" s="87" t="s">
        <v>6346</v>
      </c>
      <c r="T117" s="87" t="s">
        <v>6645</v>
      </c>
    </row>
    <row r="118" spans="1:20" ht="15.75" customHeight="1">
      <c r="A118" s="9" t="s">
        <v>2993</v>
      </c>
      <c r="C118" s="9" t="s">
        <v>6923</v>
      </c>
      <c r="D118" s="87" t="s">
        <v>6327</v>
      </c>
      <c r="E118" s="9" t="s">
        <v>6924</v>
      </c>
      <c r="F118" s="9" t="s">
        <v>6925</v>
      </c>
      <c r="G118" s="9" t="s">
        <v>383</v>
      </c>
      <c r="H118" s="9" t="s">
        <v>444</v>
      </c>
      <c r="I118" s="87" t="s">
        <v>6405</v>
      </c>
      <c r="J118" s="87" t="s">
        <v>6237</v>
      </c>
      <c r="K118" s="87" t="s">
        <v>6939</v>
      </c>
      <c r="L118" s="87" t="s">
        <v>5968</v>
      </c>
      <c r="M118" s="87" t="s">
        <v>6863</v>
      </c>
      <c r="N118" s="9" t="s">
        <v>6974</v>
      </c>
      <c r="O118" s="87" t="s">
        <v>5381</v>
      </c>
      <c r="P118" s="9" t="s">
        <v>6243</v>
      </c>
      <c r="Q118" s="87" t="s">
        <v>4081</v>
      </c>
      <c r="R118" s="87" t="s">
        <v>6237</v>
      </c>
      <c r="S118" s="87" t="s">
        <v>6268</v>
      </c>
      <c r="T118" s="87" t="s">
        <v>6341</v>
      </c>
    </row>
    <row r="119" spans="1:20" ht="15.75" customHeight="1">
      <c r="A119" s="9" t="s">
        <v>2993</v>
      </c>
      <c r="C119" s="9" t="s">
        <v>6923</v>
      </c>
      <c r="D119" s="87" t="s">
        <v>6327</v>
      </c>
      <c r="E119" s="9" t="s">
        <v>6924</v>
      </c>
      <c r="F119" s="9" t="s">
        <v>6925</v>
      </c>
      <c r="G119" s="9" t="s">
        <v>383</v>
      </c>
      <c r="H119" s="9" t="s">
        <v>444</v>
      </c>
      <c r="I119" s="87" t="s">
        <v>6405</v>
      </c>
      <c r="J119" s="87" t="s">
        <v>6237</v>
      </c>
      <c r="K119" s="87" t="s">
        <v>6939</v>
      </c>
      <c r="L119" s="87" t="s">
        <v>5968</v>
      </c>
      <c r="M119" s="87" t="s">
        <v>6862</v>
      </c>
      <c r="N119" s="9" t="s">
        <v>6974</v>
      </c>
      <c r="O119" s="87" t="s">
        <v>5381</v>
      </c>
      <c r="P119" s="9" t="s">
        <v>6243</v>
      </c>
      <c r="Q119" s="87" t="s">
        <v>4081</v>
      </c>
      <c r="R119" s="87" t="s">
        <v>6237</v>
      </c>
      <c r="S119" s="87" t="s">
        <v>6268</v>
      </c>
      <c r="T119" s="87" t="s">
        <v>6341</v>
      </c>
    </row>
    <row r="120" spans="1:20" ht="15.75" customHeight="1">
      <c r="A120" s="9" t="s">
        <v>2978</v>
      </c>
      <c r="C120" s="9" t="s">
        <v>6236</v>
      </c>
      <c r="D120" s="87" t="s">
        <v>6393</v>
      </c>
      <c r="E120" s="9" t="s">
        <v>431</v>
      </c>
      <c r="F120" s="9" t="s">
        <v>368</v>
      </c>
      <c r="G120" s="9" t="s">
        <v>436</v>
      </c>
      <c r="H120" s="9" t="s">
        <v>434</v>
      </c>
      <c r="I120" s="87" t="s">
        <v>6264</v>
      </c>
      <c r="J120" s="87" t="s">
        <v>6306</v>
      </c>
      <c r="K120" s="87" t="s">
        <v>6239</v>
      </c>
      <c r="L120" s="87" t="s">
        <v>6240</v>
      </c>
      <c r="M120" s="87" t="s">
        <v>6385</v>
      </c>
      <c r="N120" s="9" t="s">
        <v>6928</v>
      </c>
      <c r="O120" s="87" t="s">
        <v>6239</v>
      </c>
      <c r="P120" s="9" t="s">
        <v>6243</v>
      </c>
      <c r="Q120" s="87" t="s">
        <v>3764</v>
      </c>
      <c r="R120" s="87" t="s">
        <v>6306</v>
      </c>
      <c r="S120" s="87" t="s">
        <v>6327</v>
      </c>
      <c r="T120" s="87" t="s">
        <v>6645</v>
      </c>
    </row>
    <row r="121" spans="1:20" ht="15.75" customHeight="1">
      <c r="A121" s="9" t="s">
        <v>2978</v>
      </c>
      <c r="C121" s="9" t="s">
        <v>6236</v>
      </c>
      <c r="D121" s="87" t="s">
        <v>6393</v>
      </c>
      <c r="E121" s="9" t="s">
        <v>431</v>
      </c>
      <c r="F121" s="9" t="s">
        <v>368</v>
      </c>
      <c r="G121" s="9" t="s">
        <v>436</v>
      </c>
      <c r="H121" s="9" t="s">
        <v>434</v>
      </c>
      <c r="I121" s="87" t="s">
        <v>6264</v>
      </c>
      <c r="J121" s="87" t="s">
        <v>6306</v>
      </c>
      <c r="K121" s="87" t="s">
        <v>6237</v>
      </c>
      <c r="L121" s="87" t="s">
        <v>6240</v>
      </c>
      <c r="M121" s="87" t="s">
        <v>6388</v>
      </c>
      <c r="N121" s="9" t="s">
        <v>6967</v>
      </c>
      <c r="O121" s="87" t="s">
        <v>6237</v>
      </c>
      <c r="P121" s="9" t="s">
        <v>6243</v>
      </c>
      <c r="Q121" s="87" t="s">
        <v>4953</v>
      </c>
      <c r="R121" s="87" t="s">
        <v>6306</v>
      </c>
      <c r="S121" s="87" t="s">
        <v>6424</v>
      </c>
      <c r="T121" s="87" t="s">
        <v>6645</v>
      </c>
    </row>
    <row r="122" spans="1:20" ht="15.75" customHeight="1">
      <c r="A122" s="9" t="s">
        <v>2978</v>
      </c>
      <c r="C122" s="9" t="s">
        <v>6671</v>
      </c>
      <c r="D122" s="87" t="s">
        <v>6296</v>
      </c>
      <c r="E122" s="9" t="s">
        <v>6672</v>
      </c>
      <c r="F122" s="9" t="s">
        <v>439</v>
      </c>
      <c r="G122" s="9" t="s">
        <v>436</v>
      </c>
      <c r="H122" s="9" t="s">
        <v>440</v>
      </c>
      <c r="I122" s="87" t="s">
        <v>6405</v>
      </c>
      <c r="J122" s="87" t="s">
        <v>6299</v>
      </c>
      <c r="K122" s="87" t="s">
        <v>6299</v>
      </c>
      <c r="L122" s="87" t="s">
        <v>6240</v>
      </c>
      <c r="M122" s="87" t="s">
        <v>6389</v>
      </c>
      <c r="N122" s="9" t="s">
        <v>6961</v>
      </c>
      <c r="O122" s="87" t="s">
        <v>6299</v>
      </c>
      <c r="P122" s="9" t="s">
        <v>6243</v>
      </c>
      <c r="Q122" s="87" t="s">
        <v>3231</v>
      </c>
      <c r="R122" s="87" t="s">
        <v>6299</v>
      </c>
      <c r="S122" s="87" t="s">
        <v>6333</v>
      </c>
      <c r="T122" s="87" t="s">
        <v>6645</v>
      </c>
    </row>
    <row r="123" spans="1:20" ht="15.75" customHeight="1">
      <c r="A123" s="9" t="s">
        <v>2978</v>
      </c>
      <c r="C123" s="9" t="s">
        <v>6923</v>
      </c>
      <c r="D123" s="87" t="s">
        <v>6327</v>
      </c>
      <c r="E123" s="9" t="s">
        <v>6924</v>
      </c>
      <c r="F123" s="9" t="s">
        <v>6925</v>
      </c>
      <c r="G123" s="9" t="s">
        <v>383</v>
      </c>
      <c r="H123" s="9" t="s">
        <v>444</v>
      </c>
      <c r="I123" s="87" t="s">
        <v>6405</v>
      </c>
      <c r="J123" s="87" t="s">
        <v>6405</v>
      </c>
      <c r="K123" s="87" t="s">
        <v>6926</v>
      </c>
      <c r="L123" s="87" t="s">
        <v>6573</v>
      </c>
      <c r="M123" s="87" t="s">
        <v>6398</v>
      </c>
      <c r="N123" s="9" t="s">
        <v>7019</v>
      </c>
      <c r="O123" s="87" t="s">
        <v>6570</v>
      </c>
      <c r="P123" s="9" t="s">
        <v>6243</v>
      </c>
      <c r="Q123" s="87" t="s">
        <v>6573</v>
      </c>
      <c r="R123" s="87" t="s">
        <v>6405</v>
      </c>
      <c r="S123" s="87" t="s">
        <v>6334</v>
      </c>
      <c r="T123" s="87" t="s">
        <v>6280</v>
      </c>
    </row>
    <row r="124" spans="1:20" ht="15.75" customHeight="1">
      <c r="A124" s="9" t="s">
        <v>2970</v>
      </c>
      <c r="C124" s="9" t="s">
        <v>6236</v>
      </c>
      <c r="D124" s="87" t="s">
        <v>6393</v>
      </c>
      <c r="E124" s="9" t="s">
        <v>431</v>
      </c>
      <c r="F124" s="9" t="s">
        <v>368</v>
      </c>
      <c r="G124" s="9" t="s">
        <v>436</v>
      </c>
      <c r="H124" s="9" t="s">
        <v>434</v>
      </c>
      <c r="I124" s="87" t="s">
        <v>6264</v>
      </c>
      <c r="J124" s="87" t="s">
        <v>6342</v>
      </c>
      <c r="K124" s="87" t="s">
        <v>6342</v>
      </c>
      <c r="L124" s="87" t="s">
        <v>6240</v>
      </c>
      <c r="M124" s="87" t="s">
        <v>6343</v>
      </c>
      <c r="N124" s="9" t="s">
        <v>7020</v>
      </c>
      <c r="O124" s="87" t="s">
        <v>6342</v>
      </c>
      <c r="P124" s="9" t="s">
        <v>6243</v>
      </c>
      <c r="Q124" s="87" t="s">
        <v>6345</v>
      </c>
      <c r="R124" s="87" t="s">
        <v>6342</v>
      </c>
      <c r="S124" s="87" t="s">
        <v>6268</v>
      </c>
      <c r="T124" s="87" t="s">
        <v>6645</v>
      </c>
    </row>
    <row r="125" spans="1:20" ht="15.75" customHeight="1">
      <c r="A125" s="9" t="s">
        <v>2970</v>
      </c>
      <c r="C125" s="9" t="s">
        <v>6671</v>
      </c>
      <c r="D125" s="87" t="s">
        <v>6296</v>
      </c>
      <c r="E125" s="9" t="s">
        <v>6672</v>
      </c>
      <c r="F125" s="9" t="s">
        <v>439</v>
      </c>
      <c r="G125" s="9" t="s">
        <v>436</v>
      </c>
      <c r="H125" s="9" t="s">
        <v>440</v>
      </c>
      <c r="I125" s="87" t="s">
        <v>6405</v>
      </c>
      <c r="J125" s="87" t="s">
        <v>6302</v>
      </c>
      <c r="K125" s="87" t="s">
        <v>6302</v>
      </c>
      <c r="L125" s="87" t="s">
        <v>6240</v>
      </c>
      <c r="M125" s="87" t="s">
        <v>6863</v>
      </c>
      <c r="N125" s="9" t="s">
        <v>7021</v>
      </c>
      <c r="O125" s="87" t="s">
        <v>6302</v>
      </c>
      <c r="P125" s="9" t="s">
        <v>6243</v>
      </c>
      <c r="Q125" s="87" t="s">
        <v>6464</v>
      </c>
      <c r="R125" s="87" t="s">
        <v>6302</v>
      </c>
      <c r="S125" s="87" t="s">
        <v>6430</v>
      </c>
      <c r="T125" s="87" t="s">
        <v>6443</v>
      </c>
    </row>
    <row r="126" spans="1:20" ht="15.75" customHeight="1">
      <c r="A126" s="9" t="s">
        <v>2970</v>
      </c>
      <c r="C126" s="9" t="s">
        <v>6923</v>
      </c>
      <c r="D126" s="87" t="s">
        <v>6264</v>
      </c>
      <c r="E126" s="9" t="s">
        <v>6924</v>
      </c>
      <c r="F126" s="9" t="s">
        <v>6925</v>
      </c>
      <c r="G126" s="9" t="s">
        <v>383</v>
      </c>
      <c r="H126" s="9" t="s">
        <v>449</v>
      </c>
      <c r="I126" s="87" t="s">
        <v>6405</v>
      </c>
      <c r="J126" s="87" t="s">
        <v>6237</v>
      </c>
      <c r="K126" s="87" t="s">
        <v>6939</v>
      </c>
      <c r="L126" s="87" t="s">
        <v>6464</v>
      </c>
      <c r="M126" s="87" t="s">
        <v>6862</v>
      </c>
      <c r="N126" s="9" t="s">
        <v>6945</v>
      </c>
      <c r="O126" s="87" t="s">
        <v>6500</v>
      </c>
      <c r="P126" s="9" t="s">
        <v>6243</v>
      </c>
      <c r="Q126" s="87" t="s">
        <v>3749</v>
      </c>
      <c r="R126" s="87" t="s">
        <v>6237</v>
      </c>
      <c r="S126" s="87" t="s">
        <v>6327</v>
      </c>
      <c r="T126" s="87" t="s">
        <v>6341</v>
      </c>
    </row>
    <row r="127" spans="1:20" ht="15.75" customHeight="1">
      <c r="A127" s="9" t="s">
        <v>2970</v>
      </c>
      <c r="C127" s="9" t="s">
        <v>6923</v>
      </c>
      <c r="D127" s="87" t="s">
        <v>6264</v>
      </c>
      <c r="E127" s="9" t="s">
        <v>6924</v>
      </c>
      <c r="F127" s="9" t="s">
        <v>6925</v>
      </c>
      <c r="G127" s="9" t="s">
        <v>383</v>
      </c>
      <c r="H127" s="9" t="s">
        <v>449</v>
      </c>
      <c r="I127" s="87" t="s">
        <v>6405</v>
      </c>
      <c r="J127" s="87" t="s">
        <v>6237</v>
      </c>
      <c r="K127" s="87" t="s">
        <v>6939</v>
      </c>
      <c r="L127" s="87" t="s">
        <v>6464</v>
      </c>
      <c r="M127" s="87" t="s">
        <v>6352</v>
      </c>
      <c r="N127" s="9" t="s">
        <v>6945</v>
      </c>
      <c r="O127" s="87" t="s">
        <v>6500</v>
      </c>
      <c r="P127" s="9" t="s">
        <v>6243</v>
      </c>
      <c r="Q127" s="87" t="s">
        <v>3749</v>
      </c>
      <c r="R127" s="87" t="s">
        <v>6237</v>
      </c>
      <c r="S127" s="87" t="s">
        <v>6327</v>
      </c>
      <c r="T127" s="87" t="s">
        <v>6341</v>
      </c>
    </row>
    <row r="128" spans="1:20" ht="15.75" customHeight="1">
      <c r="A128" s="9" t="s">
        <v>2870</v>
      </c>
      <c r="C128" s="9" t="s">
        <v>6236</v>
      </c>
      <c r="D128" s="87" t="s">
        <v>6393</v>
      </c>
      <c r="E128" s="9" t="s">
        <v>431</v>
      </c>
      <c r="F128" s="9" t="s">
        <v>368</v>
      </c>
      <c r="G128" s="9" t="s">
        <v>436</v>
      </c>
      <c r="H128" s="9" t="s">
        <v>434</v>
      </c>
      <c r="I128" s="87" t="s">
        <v>6237</v>
      </c>
      <c r="J128" s="87" t="s">
        <v>6410</v>
      </c>
      <c r="K128" s="87" t="s">
        <v>6239</v>
      </c>
      <c r="L128" s="87" t="s">
        <v>6240</v>
      </c>
      <c r="M128" s="87" t="s">
        <v>6422</v>
      </c>
      <c r="N128" s="9" t="s">
        <v>6928</v>
      </c>
      <c r="O128" s="87" t="s">
        <v>6239</v>
      </c>
      <c r="P128" s="9" t="s">
        <v>6243</v>
      </c>
      <c r="Q128" s="87" t="s">
        <v>3764</v>
      </c>
      <c r="R128" s="87" t="s">
        <v>6410</v>
      </c>
      <c r="S128" s="87" t="s">
        <v>6327</v>
      </c>
      <c r="T128" s="87" t="s">
        <v>6645</v>
      </c>
    </row>
    <row r="129" spans="1:20" ht="15.75" customHeight="1">
      <c r="A129" s="9" t="s">
        <v>2870</v>
      </c>
      <c r="C129" s="9" t="s">
        <v>6236</v>
      </c>
      <c r="D129" s="87" t="s">
        <v>6393</v>
      </c>
      <c r="E129" s="9" t="s">
        <v>431</v>
      </c>
      <c r="F129" s="9" t="s">
        <v>368</v>
      </c>
      <c r="G129" s="9" t="s">
        <v>436</v>
      </c>
      <c r="H129" s="9" t="s">
        <v>434</v>
      </c>
      <c r="I129" s="87" t="s">
        <v>6237</v>
      </c>
      <c r="J129" s="87" t="s">
        <v>6410</v>
      </c>
      <c r="K129" s="87" t="s">
        <v>6535</v>
      </c>
      <c r="L129" s="87" t="s">
        <v>6240</v>
      </c>
      <c r="M129" s="87" t="s">
        <v>6840</v>
      </c>
      <c r="N129" s="9" t="s">
        <v>7022</v>
      </c>
      <c r="O129" s="87" t="s">
        <v>6535</v>
      </c>
      <c r="P129" s="9" t="s">
        <v>6243</v>
      </c>
      <c r="Q129" s="87" t="s">
        <v>6594</v>
      </c>
      <c r="R129" s="87" t="s">
        <v>6410</v>
      </c>
      <c r="S129" s="87" t="s">
        <v>6440</v>
      </c>
      <c r="T129" s="87" t="s">
        <v>6645</v>
      </c>
    </row>
    <row r="130" spans="1:20" ht="15.75" customHeight="1">
      <c r="A130" s="9" t="s">
        <v>2870</v>
      </c>
      <c r="C130" s="9" t="s">
        <v>6671</v>
      </c>
      <c r="D130" s="87" t="s">
        <v>6296</v>
      </c>
      <c r="E130" s="9" t="s">
        <v>6672</v>
      </c>
      <c r="F130" s="9" t="s">
        <v>439</v>
      </c>
      <c r="G130" s="9" t="s">
        <v>436</v>
      </c>
      <c r="H130" s="9" t="s">
        <v>440</v>
      </c>
      <c r="I130" s="87" t="s">
        <v>6405</v>
      </c>
      <c r="J130" s="87" t="s">
        <v>6392</v>
      </c>
      <c r="K130" s="87" t="s">
        <v>6392</v>
      </c>
      <c r="L130" s="87" t="s">
        <v>6240</v>
      </c>
      <c r="M130" s="87" t="s">
        <v>6838</v>
      </c>
      <c r="N130" s="9" t="s">
        <v>7023</v>
      </c>
      <c r="O130" s="87" t="s">
        <v>6392</v>
      </c>
      <c r="P130" s="9" t="s">
        <v>6243</v>
      </c>
      <c r="Q130" s="87" t="s">
        <v>3236</v>
      </c>
      <c r="R130" s="87" t="s">
        <v>6392</v>
      </c>
      <c r="S130" s="87" t="s">
        <v>6260</v>
      </c>
      <c r="T130" s="87" t="s">
        <v>6645</v>
      </c>
    </row>
    <row r="131" spans="1:20" ht="15.75" customHeight="1">
      <c r="A131" s="9" t="s">
        <v>2870</v>
      </c>
      <c r="C131" s="9" t="s">
        <v>6923</v>
      </c>
      <c r="D131" s="87" t="s">
        <v>6461</v>
      </c>
      <c r="E131" s="9" t="s">
        <v>6924</v>
      </c>
      <c r="F131" s="9" t="s">
        <v>6925</v>
      </c>
      <c r="G131" s="9" t="s">
        <v>383</v>
      </c>
      <c r="H131" s="9" t="s">
        <v>427</v>
      </c>
      <c r="I131" s="87" t="s">
        <v>6405</v>
      </c>
      <c r="J131" s="87" t="s">
        <v>6251</v>
      </c>
      <c r="K131" s="87" t="s">
        <v>6939</v>
      </c>
      <c r="L131" s="87" t="s">
        <v>6375</v>
      </c>
      <c r="M131" s="87" t="s">
        <v>6426</v>
      </c>
      <c r="N131" s="9" t="s">
        <v>7024</v>
      </c>
      <c r="O131" s="87" t="s">
        <v>6287</v>
      </c>
      <c r="P131" s="9" t="s">
        <v>6243</v>
      </c>
      <c r="Q131" s="87" t="s">
        <v>3734</v>
      </c>
      <c r="R131" s="87" t="s">
        <v>6251</v>
      </c>
      <c r="S131" s="87" t="s">
        <v>6461</v>
      </c>
      <c r="T131" s="87" t="s">
        <v>6341</v>
      </c>
    </row>
    <row r="132" spans="1:20" ht="15.75" customHeight="1">
      <c r="A132" s="9" t="s">
        <v>2870</v>
      </c>
      <c r="C132" s="9" t="s">
        <v>6923</v>
      </c>
      <c r="D132" s="87" t="s">
        <v>6461</v>
      </c>
      <c r="E132" s="9" t="s">
        <v>6924</v>
      </c>
      <c r="F132" s="9" t="s">
        <v>6925</v>
      </c>
      <c r="G132" s="9" t="s">
        <v>383</v>
      </c>
      <c r="H132" s="9" t="s">
        <v>427</v>
      </c>
      <c r="I132" s="87" t="s">
        <v>6405</v>
      </c>
      <c r="J132" s="87" t="s">
        <v>6251</v>
      </c>
      <c r="K132" s="87" t="s">
        <v>6939</v>
      </c>
      <c r="L132" s="87" t="s">
        <v>6375</v>
      </c>
      <c r="M132" s="87" t="s">
        <v>6431</v>
      </c>
      <c r="N132" s="9" t="s">
        <v>7024</v>
      </c>
      <c r="O132" s="87" t="s">
        <v>6287</v>
      </c>
      <c r="P132" s="9" t="s">
        <v>6243</v>
      </c>
      <c r="Q132" s="87" t="s">
        <v>3734</v>
      </c>
      <c r="R132" s="87" t="s">
        <v>6251</v>
      </c>
      <c r="S132" s="87" t="s">
        <v>6461</v>
      </c>
      <c r="T132" s="87" t="s">
        <v>6341</v>
      </c>
    </row>
    <row r="133" spans="1:20" ht="15.75" customHeight="1">
      <c r="A133" s="9" t="s">
        <v>2870</v>
      </c>
      <c r="C133" s="9" t="s">
        <v>6923</v>
      </c>
      <c r="D133" s="87" t="s">
        <v>6461</v>
      </c>
      <c r="E133" s="9" t="s">
        <v>6924</v>
      </c>
      <c r="F133" s="9" t="s">
        <v>6925</v>
      </c>
      <c r="G133" s="9" t="s">
        <v>383</v>
      </c>
      <c r="H133" s="9" t="s">
        <v>427</v>
      </c>
      <c r="I133" s="87" t="s">
        <v>6405</v>
      </c>
      <c r="J133" s="87" t="s">
        <v>6251</v>
      </c>
      <c r="K133" s="87" t="s">
        <v>6939</v>
      </c>
      <c r="L133" s="87" t="s">
        <v>6375</v>
      </c>
      <c r="M133" s="87" t="s">
        <v>6828</v>
      </c>
      <c r="N133" s="9" t="s">
        <v>7024</v>
      </c>
      <c r="O133" s="87" t="s">
        <v>6287</v>
      </c>
      <c r="P133" s="9" t="s">
        <v>6243</v>
      </c>
      <c r="Q133" s="87" t="s">
        <v>3734</v>
      </c>
      <c r="R133" s="87" t="s">
        <v>6251</v>
      </c>
      <c r="S133" s="87" t="s">
        <v>6461</v>
      </c>
      <c r="T133" s="87" t="s">
        <v>6341</v>
      </c>
    </row>
    <row r="134" spans="1:20" ht="15.75" customHeight="1">
      <c r="A134" s="9" t="s">
        <v>2870</v>
      </c>
      <c r="C134" s="9" t="s">
        <v>6923</v>
      </c>
      <c r="D134" s="87" t="s">
        <v>6461</v>
      </c>
      <c r="E134" s="9" t="s">
        <v>6924</v>
      </c>
      <c r="F134" s="9" t="s">
        <v>6925</v>
      </c>
      <c r="G134" s="9" t="s">
        <v>383</v>
      </c>
      <c r="H134" s="9" t="s">
        <v>427</v>
      </c>
      <c r="I134" s="87" t="s">
        <v>6405</v>
      </c>
      <c r="J134" s="87" t="s">
        <v>6251</v>
      </c>
      <c r="K134" s="87" t="s">
        <v>6926</v>
      </c>
      <c r="L134" s="87" t="s">
        <v>6375</v>
      </c>
      <c r="M134" s="87" t="s">
        <v>6826</v>
      </c>
      <c r="N134" s="9" t="s">
        <v>7025</v>
      </c>
      <c r="O134" s="87" t="s">
        <v>6484</v>
      </c>
      <c r="P134" s="9" t="s">
        <v>6243</v>
      </c>
      <c r="Q134" s="87" t="s">
        <v>6375</v>
      </c>
      <c r="R134" s="87" t="s">
        <v>6251</v>
      </c>
      <c r="S134" s="87" t="s">
        <v>6455</v>
      </c>
      <c r="T134" s="87" t="s">
        <v>6341</v>
      </c>
    </row>
    <row r="135" spans="1:20" ht="15.75" customHeight="1">
      <c r="A135" s="9" t="s">
        <v>2938</v>
      </c>
      <c r="C135" s="9" t="s">
        <v>6236</v>
      </c>
      <c r="D135" s="87" t="s">
        <v>6393</v>
      </c>
      <c r="E135" s="9" t="s">
        <v>431</v>
      </c>
      <c r="F135" s="9" t="s">
        <v>368</v>
      </c>
      <c r="G135" s="9" t="s">
        <v>436</v>
      </c>
      <c r="H135" s="9" t="s">
        <v>434</v>
      </c>
      <c r="I135" s="87" t="s">
        <v>6237</v>
      </c>
      <c r="J135" s="87" t="s">
        <v>6305</v>
      </c>
      <c r="K135" s="87" t="s">
        <v>6239</v>
      </c>
      <c r="L135" s="87" t="s">
        <v>6240</v>
      </c>
      <c r="M135" s="87" t="s">
        <v>6862</v>
      </c>
      <c r="N135" s="9" t="s">
        <v>6928</v>
      </c>
      <c r="O135" s="87" t="s">
        <v>6239</v>
      </c>
      <c r="P135" s="9" t="s">
        <v>6243</v>
      </c>
      <c r="Q135" s="87" t="s">
        <v>3764</v>
      </c>
      <c r="R135" s="87" t="s">
        <v>6305</v>
      </c>
      <c r="S135" s="87" t="s">
        <v>6327</v>
      </c>
      <c r="T135" s="87" t="s">
        <v>6645</v>
      </c>
    </row>
    <row r="136" spans="1:20" ht="15.75" customHeight="1">
      <c r="A136" s="9" t="s">
        <v>2938</v>
      </c>
      <c r="C136" s="9" t="s">
        <v>6236</v>
      </c>
      <c r="D136" s="87" t="s">
        <v>6393</v>
      </c>
      <c r="E136" s="9" t="s">
        <v>431</v>
      </c>
      <c r="F136" s="9" t="s">
        <v>368</v>
      </c>
      <c r="G136" s="9" t="s">
        <v>436</v>
      </c>
      <c r="H136" s="9" t="s">
        <v>434</v>
      </c>
      <c r="I136" s="87" t="s">
        <v>6237</v>
      </c>
      <c r="J136" s="87" t="s">
        <v>6305</v>
      </c>
      <c r="K136" s="87" t="s">
        <v>6348</v>
      </c>
      <c r="L136" s="87" t="s">
        <v>6240</v>
      </c>
      <c r="M136" s="87" t="s">
        <v>6352</v>
      </c>
      <c r="N136" s="9" t="s">
        <v>7026</v>
      </c>
      <c r="O136" s="87" t="s">
        <v>6348</v>
      </c>
      <c r="P136" s="9" t="s">
        <v>6243</v>
      </c>
      <c r="Q136" s="87" t="s">
        <v>5381</v>
      </c>
      <c r="R136" s="87" t="s">
        <v>6305</v>
      </c>
      <c r="S136" s="87" t="s">
        <v>6271</v>
      </c>
      <c r="T136" s="87" t="s">
        <v>6645</v>
      </c>
    </row>
    <row r="137" spans="1:20" ht="15.75" customHeight="1">
      <c r="A137" s="9" t="s">
        <v>2938</v>
      </c>
      <c r="C137" s="9" t="s">
        <v>6671</v>
      </c>
      <c r="D137" s="87" t="s">
        <v>6296</v>
      </c>
      <c r="E137" s="9" t="s">
        <v>6672</v>
      </c>
      <c r="F137" s="9" t="s">
        <v>439</v>
      </c>
      <c r="G137" s="9" t="s">
        <v>436</v>
      </c>
      <c r="H137" s="9" t="s">
        <v>440</v>
      </c>
      <c r="I137" s="87" t="s">
        <v>6405</v>
      </c>
      <c r="J137" s="87" t="s">
        <v>6357</v>
      </c>
      <c r="K137" s="87" t="s">
        <v>6357</v>
      </c>
      <c r="L137" s="87" t="s">
        <v>6240</v>
      </c>
      <c r="M137" s="87" t="s">
        <v>6353</v>
      </c>
      <c r="N137" s="9" t="s">
        <v>7027</v>
      </c>
      <c r="O137" s="87" t="s">
        <v>6357</v>
      </c>
      <c r="P137" s="9" t="s">
        <v>6243</v>
      </c>
      <c r="Q137" s="87" t="s">
        <v>6565</v>
      </c>
      <c r="R137" s="87" t="s">
        <v>6357</v>
      </c>
      <c r="S137" s="87" t="s">
        <v>6329</v>
      </c>
      <c r="T137" s="87" t="s">
        <v>6645</v>
      </c>
    </row>
    <row r="138" spans="1:20" ht="15.75" customHeight="1">
      <c r="A138" s="9" t="s">
        <v>2938</v>
      </c>
      <c r="C138" s="9" t="s">
        <v>6923</v>
      </c>
      <c r="D138" s="87" t="s">
        <v>6327</v>
      </c>
      <c r="E138" s="9" t="s">
        <v>6924</v>
      </c>
      <c r="F138" s="9" t="s">
        <v>6925</v>
      </c>
      <c r="G138" s="9" t="s">
        <v>383</v>
      </c>
      <c r="H138" s="9" t="s">
        <v>444</v>
      </c>
      <c r="I138" s="87" t="s">
        <v>6405</v>
      </c>
      <c r="J138" s="87" t="s">
        <v>6264</v>
      </c>
      <c r="K138" s="87" t="s">
        <v>6931</v>
      </c>
      <c r="L138" s="87" t="s">
        <v>6270</v>
      </c>
      <c r="M138" s="87" t="s">
        <v>6358</v>
      </c>
      <c r="N138" s="9" t="s">
        <v>6981</v>
      </c>
      <c r="O138" s="87" t="s">
        <v>6300</v>
      </c>
      <c r="P138" s="9" t="s">
        <v>6243</v>
      </c>
      <c r="Q138" s="87" t="s">
        <v>3861</v>
      </c>
      <c r="R138" s="87" t="s">
        <v>6264</v>
      </c>
      <c r="S138" s="87" t="s">
        <v>6296</v>
      </c>
      <c r="T138" s="87" t="s">
        <v>6341</v>
      </c>
    </row>
    <row r="139" spans="1:20" ht="15.75" customHeight="1">
      <c r="A139" s="9" t="s">
        <v>3023</v>
      </c>
      <c r="C139" s="9" t="s">
        <v>6236</v>
      </c>
      <c r="D139" s="87" t="s">
        <v>6393</v>
      </c>
      <c r="E139" s="9" t="s">
        <v>431</v>
      </c>
      <c r="F139" s="9" t="s">
        <v>368</v>
      </c>
      <c r="G139" s="9" t="s">
        <v>436</v>
      </c>
      <c r="H139" s="9" t="s">
        <v>434</v>
      </c>
      <c r="I139" s="87" t="s">
        <v>6237</v>
      </c>
      <c r="J139" s="87" t="s">
        <v>6278</v>
      </c>
      <c r="K139" s="87" t="s">
        <v>6342</v>
      </c>
      <c r="L139" s="87" t="s">
        <v>6240</v>
      </c>
      <c r="M139" s="87" t="s">
        <v>6352</v>
      </c>
      <c r="N139" s="9" t="s">
        <v>7028</v>
      </c>
      <c r="O139" s="87" t="s">
        <v>6342</v>
      </c>
      <c r="P139" s="9" t="s">
        <v>6243</v>
      </c>
      <c r="Q139" s="87" t="s">
        <v>6345</v>
      </c>
      <c r="R139" s="87" t="s">
        <v>6278</v>
      </c>
      <c r="S139" s="87" t="s">
        <v>6327</v>
      </c>
      <c r="T139" s="87" t="s">
        <v>6267</v>
      </c>
    </row>
    <row r="140" spans="1:20" ht="15.75" customHeight="1">
      <c r="A140" s="9" t="s">
        <v>3023</v>
      </c>
      <c r="C140" s="9" t="s">
        <v>6236</v>
      </c>
      <c r="D140" s="87" t="s">
        <v>6393</v>
      </c>
      <c r="E140" s="9" t="s">
        <v>431</v>
      </c>
      <c r="F140" s="9" t="s">
        <v>368</v>
      </c>
      <c r="G140" s="9" t="s">
        <v>436</v>
      </c>
      <c r="H140" s="9" t="s">
        <v>434</v>
      </c>
      <c r="I140" s="87" t="s">
        <v>6237</v>
      </c>
      <c r="J140" s="87" t="s">
        <v>6278</v>
      </c>
      <c r="K140" s="87" t="s">
        <v>6273</v>
      </c>
      <c r="L140" s="87" t="s">
        <v>6240</v>
      </c>
      <c r="M140" s="87" t="s">
        <v>6353</v>
      </c>
      <c r="N140" s="9" t="s">
        <v>6952</v>
      </c>
      <c r="O140" s="87" t="s">
        <v>6273</v>
      </c>
      <c r="P140" s="9" t="s">
        <v>6243</v>
      </c>
      <c r="Q140" s="87" t="s">
        <v>6276</v>
      </c>
      <c r="R140" s="87" t="s">
        <v>6278</v>
      </c>
      <c r="S140" s="87" t="s">
        <v>6445</v>
      </c>
      <c r="T140" s="87" t="s">
        <v>6645</v>
      </c>
    </row>
    <row r="141" spans="1:20" ht="15.75" customHeight="1">
      <c r="A141" s="9" t="s">
        <v>3023</v>
      </c>
      <c r="C141" s="9" t="s">
        <v>6671</v>
      </c>
      <c r="D141" s="87" t="s">
        <v>6296</v>
      </c>
      <c r="E141" s="9" t="s">
        <v>6672</v>
      </c>
      <c r="F141" s="9" t="s">
        <v>439</v>
      </c>
      <c r="G141" s="9" t="s">
        <v>436</v>
      </c>
      <c r="H141" s="9" t="s">
        <v>440</v>
      </c>
      <c r="I141" s="87" t="s">
        <v>6405</v>
      </c>
      <c r="J141" s="87" t="s">
        <v>6351</v>
      </c>
      <c r="K141" s="87" t="s">
        <v>6239</v>
      </c>
      <c r="L141" s="87" t="s">
        <v>6240</v>
      </c>
      <c r="M141" s="87" t="s">
        <v>6358</v>
      </c>
      <c r="N141" s="9" t="s">
        <v>6928</v>
      </c>
      <c r="O141" s="87" t="s">
        <v>6239</v>
      </c>
      <c r="P141" s="9" t="s">
        <v>6243</v>
      </c>
      <c r="Q141" s="87" t="s">
        <v>3764</v>
      </c>
      <c r="R141" s="87" t="s">
        <v>6351</v>
      </c>
      <c r="S141" s="87" t="s">
        <v>6327</v>
      </c>
      <c r="T141" s="87" t="s">
        <v>6645</v>
      </c>
    </row>
    <row r="142" spans="1:20" ht="15.75" customHeight="1">
      <c r="A142" s="9" t="s">
        <v>3023</v>
      </c>
      <c r="C142" s="9" t="s">
        <v>6671</v>
      </c>
      <c r="D142" s="87" t="s">
        <v>6296</v>
      </c>
      <c r="E142" s="9" t="s">
        <v>6672</v>
      </c>
      <c r="F142" s="9" t="s">
        <v>439</v>
      </c>
      <c r="G142" s="9" t="s">
        <v>436</v>
      </c>
      <c r="H142" s="9" t="s">
        <v>440</v>
      </c>
      <c r="I142" s="87" t="s">
        <v>6405</v>
      </c>
      <c r="J142" s="87" t="s">
        <v>6351</v>
      </c>
      <c r="K142" s="87" t="s">
        <v>6290</v>
      </c>
      <c r="L142" s="87" t="s">
        <v>6240</v>
      </c>
      <c r="M142" s="87" t="s">
        <v>6364</v>
      </c>
      <c r="N142" s="9" t="s">
        <v>6964</v>
      </c>
      <c r="O142" s="87" t="s">
        <v>6290</v>
      </c>
      <c r="P142" s="9" t="s">
        <v>6243</v>
      </c>
      <c r="Q142" s="87" t="s">
        <v>6293</v>
      </c>
      <c r="R142" s="87" t="s">
        <v>6351</v>
      </c>
      <c r="S142" s="87" t="s">
        <v>6525</v>
      </c>
      <c r="T142" s="87" t="s">
        <v>6645</v>
      </c>
    </row>
    <row r="143" spans="1:20" ht="15.75" customHeight="1">
      <c r="A143" s="9" t="s">
        <v>3023</v>
      </c>
      <c r="C143" s="9" t="s">
        <v>6923</v>
      </c>
      <c r="D143" s="87" t="s">
        <v>6327</v>
      </c>
      <c r="E143" s="9" t="s">
        <v>6924</v>
      </c>
      <c r="F143" s="9" t="s">
        <v>6925</v>
      </c>
      <c r="G143" s="9" t="s">
        <v>383</v>
      </c>
      <c r="H143" s="9" t="s">
        <v>444</v>
      </c>
      <c r="I143" s="87" t="s">
        <v>6405</v>
      </c>
      <c r="J143" s="87" t="s">
        <v>6393</v>
      </c>
      <c r="K143" s="87" t="s">
        <v>6965</v>
      </c>
      <c r="L143" s="87" t="s">
        <v>5381</v>
      </c>
      <c r="M143" s="87" t="s">
        <v>6385</v>
      </c>
      <c r="N143" s="9" t="s">
        <v>6945</v>
      </c>
      <c r="O143" s="87" t="s">
        <v>6500</v>
      </c>
      <c r="P143" s="9" t="s">
        <v>6243</v>
      </c>
      <c r="Q143" s="87" t="s">
        <v>3749</v>
      </c>
      <c r="R143" s="87" t="s">
        <v>6393</v>
      </c>
      <c r="S143" s="87" t="s">
        <v>6327</v>
      </c>
      <c r="T143" s="87" t="s">
        <v>6341</v>
      </c>
    </row>
    <row r="144" spans="1:20" ht="15.75" customHeight="1">
      <c r="A144" s="9" t="s">
        <v>3023</v>
      </c>
      <c r="C144" s="9" t="s">
        <v>6923</v>
      </c>
      <c r="D144" s="87" t="s">
        <v>6327</v>
      </c>
      <c r="E144" s="9" t="s">
        <v>6924</v>
      </c>
      <c r="F144" s="9" t="s">
        <v>6925</v>
      </c>
      <c r="G144" s="9" t="s">
        <v>383</v>
      </c>
      <c r="H144" s="9" t="s">
        <v>444</v>
      </c>
      <c r="I144" s="87" t="s">
        <v>6405</v>
      </c>
      <c r="J144" s="87" t="s">
        <v>6393</v>
      </c>
      <c r="K144" s="87" t="s">
        <v>6965</v>
      </c>
      <c r="L144" s="87" t="s">
        <v>5381</v>
      </c>
      <c r="M144" s="87" t="s">
        <v>6388</v>
      </c>
      <c r="N144" s="9" t="s">
        <v>6945</v>
      </c>
      <c r="O144" s="87" t="s">
        <v>6500</v>
      </c>
      <c r="P144" s="9" t="s">
        <v>6243</v>
      </c>
      <c r="Q144" s="87" t="s">
        <v>3749</v>
      </c>
      <c r="R144" s="87" t="s">
        <v>6393</v>
      </c>
      <c r="S144" s="87" t="s">
        <v>6327</v>
      </c>
      <c r="T144" s="87" t="s">
        <v>6341</v>
      </c>
    </row>
    <row r="145" spans="1:20" ht="15.75" customHeight="1">
      <c r="A145" s="9" t="s">
        <v>3023</v>
      </c>
      <c r="C145" s="9" t="s">
        <v>6923</v>
      </c>
      <c r="D145" s="87" t="s">
        <v>6327</v>
      </c>
      <c r="E145" s="9" t="s">
        <v>6924</v>
      </c>
      <c r="F145" s="9" t="s">
        <v>6925</v>
      </c>
      <c r="G145" s="9" t="s">
        <v>383</v>
      </c>
      <c r="H145" s="9" t="s">
        <v>444</v>
      </c>
      <c r="I145" s="87" t="s">
        <v>6405</v>
      </c>
      <c r="J145" s="87" t="s">
        <v>6393</v>
      </c>
      <c r="K145" s="87" t="s">
        <v>6965</v>
      </c>
      <c r="L145" s="87" t="s">
        <v>5381</v>
      </c>
      <c r="M145" s="87" t="s">
        <v>6389</v>
      </c>
      <c r="N145" s="9" t="s">
        <v>6945</v>
      </c>
      <c r="O145" s="87" t="s">
        <v>6500</v>
      </c>
      <c r="P145" s="9" t="s">
        <v>6243</v>
      </c>
      <c r="Q145" s="87" t="s">
        <v>3749</v>
      </c>
      <c r="R145" s="87" t="s">
        <v>6393</v>
      </c>
      <c r="S145" s="87" t="s">
        <v>6327</v>
      </c>
      <c r="T145" s="87" t="s">
        <v>6341</v>
      </c>
    </row>
    <row r="146" spans="1:20" ht="15.75" customHeight="1">
      <c r="A146" s="9" t="s">
        <v>3023</v>
      </c>
      <c r="C146" s="9" t="s">
        <v>6923</v>
      </c>
      <c r="D146" s="87" t="s">
        <v>6327</v>
      </c>
      <c r="E146" s="9" t="s">
        <v>6924</v>
      </c>
      <c r="F146" s="9" t="s">
        <v>6925</v>
      </c>
      <c r="G146" s="9" t="s">
        <v>383</v>
      </c>
      <c r="H146" s="9" t="s">
        <v>444</v>
      </c>
      <c r="I146" s="87" t="s">
        <v>6405</v>
      </c>
      <c r="J146" s="87" t="s">
        <v>6393</v>
      </c>
      <c r="K146" s="87" t="s">
        <v>6926</v>
      </c>
      <c r="L146" s="87" t="s">
        <v>5381</v>
      </c>
      <c r="M146" s="87" t="s">
        <v>6390</v>
      </c>
      <c r="N146" s="9" t="s">
        <v>6966</v>
      </c>
      <c r="O146" s="87" t="s">
        <v>6348</v>
      </c>
      <c r="P146" s="9" t="s">
        <v>6243</v>
      </c>
      <c r="Q146" s="87" t="s">
        <v>5381</v>
      </c>
      <c r="R146" s="87" t="s">
        <v>6393</v>
      </c>
      <c r="S146" s="87" t="s">
        <v>6342</v>
      </c>
      <c r="T146" s="87" t="s">
        <v>6341</v>
      </c>
    </row>
    <row r="147" spans="1:20" ht="15.75" customHeight="1">
      <c r="A147" s="9" t="s">
        <v>2863</v>
      </c>
      <c r="C147" s="9" t="s">
        <v>6236</v>
      </c>
      <c r="D147" s="87" t="s">
        <v>6393</v>
      </c>
      <c r="E147" s="9" t="s">
        <v>431</v>
      </c>
      <c r="F147" s="9" t="s">
        <v>368</v>
      </c>
      <c r="G147" s="9" t="s">
        <v>436</v>
      </c>
      <c r="H147" s="9" t="s">
        <v>434</v>
      </c>
      <c r="I147" s="87" t="s">
        <v>6264</v>
      </c>
      <c r="J147" s="87" t="s">
        <v>6397</v>
      </c>
      <c r="K147" s="87" t="s">
        <v>6397</v>
      </c>
      <c r="L147" s="87" t="s">
        <v>6240</v>
      </c>
      <c r="M147" s="87" t="s">
        <v>6388</v>
      </c>
      <c r="N147" s="9" t="s">
        <v>7029</v>
      </c>
      <c r="O147" s="87" t="s">
        <v>6397</v>
      </c>
      <c r="P147" s="9" t="s">
        <v>6243</v>
      </c>
      <c r="Q147" s="87" t="s">
        <v>6278</v>
      </c>
      <c r="R147" s="87" t="s">
        <v>6397</v>
      </c>
      <c r="S147" s="87" t="s">
        <v>6409</v>
      </c>
      <c r="T147" s="87" t="s">
        <v>6300</v>
      </c>
    </row>
    <row r="148" spans="1:20" ht="15.75" customHeight="1">
      <c r="A148" s="9" t="s">
        <v>2863</v>
      </c>
      <c r="C148" s="9" t="s">
        <v>6671</v>
      </c>
      <c r="D148" s="87" t="s">
        <v>6296</v>
      </c>
      <c r="E148" s="9" t="s">
        <v>6672</v>
      </c>
      <c r="F148" s="9" t="s">
        <v>439</v>
      </c>
      <c r="G148" s="9" t="s">
        <v>436</v>
      </c>
      <c r="H148" s="9" t="s">
        <v>440</v>
      </c>
      <c r="I148" s="87" t="s">
        <v>6405</v>
      </c>
      <c r="J148" s="87" t="s">
        <v>6329</v>
      </c>
      <c r="K148" s="87" t="s">
        <v>6329</v>
      </c>
      <c r="L148" s="87" t="s">
        <v>6240</v>
      </c>
      <c r="M148" s="87" t="s">
        <v>6389</v>
      </c>
      <c r="N148" s="9" t="s">
        <v>7030</v>
      </c>
      <c r="O148" s="87" t="s">
        <v>6329</v>
      </c>
      <c r="P148" s="9" t="s">
        <v>6243</v>
      </c>
      <c r="Q148" s="87" t="s">
        <v>6448</v>
      </c>
      <c r="R148" s="87" t="s">
        <v>6329</v>
      </c>
      <c r="S148" s="87" t="s">
        <v>6397</v>
      </c>
      <c r="T148" s="87" t="s">
        <v>6404</v>
      </c>
    </row>
    <row r="149" spans="1:20" ht="15.75" customHeight="1">
      <c r="A149" s="9" t="s">
        <v>2863</v>
      </c>
      <c r="C149" s="9" t="s">
        <v>6923</v>
      </c>
      <c r="D149" s="87" t="s">
        <v>6264</v>
      </c>
      <c r="E149" s="9" t="s">
        <v>6924</v>
      </c>
      <c r="F149" s="9" t="s">
        <v>6925</v>
      </c>
      <c r="G149" s="9" t="s">
        <v>383</v>
      </c>
      <c r="H149" s="9" t="s">
        <v>449</v>
      </c>
      <c r="I149" s="87" t="s">
        <v>6405</v>
      </c>
      <c r="J149" s="87" t="s">
        <v>6334</v>
      </c>
      <c r="K149" s="87" t="s">
        <v>6939</v>
      </c>
      <c r="L149" s="87" t="s">
        <v>6372</v>
      </c>
      <c r="M149" s="87" t="s">
        <v>6840</v>
      </c>
      <c r="N149" s="9" t="s">
        <v>7031</v>
      </c>
      <c r="O149" s="87" t="s">
        <v>6526</v>
      </c>
      <c r="P149" s="9" t="s">
        <v>6243</v>
      </c>
      <c r="Q149" s="87" t="s">
        <v>4023</v>
      </c>
      <c r="R149" s="87" t="s">
        <v>6334</v>
      </c>
      <c r="S149" s="87" t="s">
        <v>6295</v>
      </c>
      <c r="T149" s="87" t="s">
        <v>6341</v>
      </c>
    </row>
    <row r="150" spans="1:20" ht="15.75" customHeight="1">
      <c r="A150" s="9" t="s">
        <v>2948</v>
      </c>
      <c r="C150" s="9" t="s">
        <v>6236</v>
      </c>
      <c r="D150" s="87" t="s">
        <v>6393</v>
      </c>
      <c r="E150" s="9" t="s">
        <v>431</v>
      </c>
      <c r="F150" s="9" t="s">
        <v>368</v>
      </c>
      <c r="G150" s="9" t="s">
        <v>436</v>
      </c>
      <c r="H150" s="9" t="s">
        <v>434</v>
      </c>
      <c r="I150" s="87" t="s">
        <v>6237</v>
      </c>
      <c r="J150" s="87" t="s">
        <v>6428</v>
      </c>
      <c r="K150" s="87" t="s">
        <v>6428</v>
      </c>
      <c r="L150" s="87" t="s">
        <v>6240</v>
      </c>
      <c r="M150" s="87" t="s">
        <v>6426</v>
      </c>
      <c r="N150" s="9" t="s">
        <v>7032</v>
      </c>
      <c r="O150" s="87" t="s">
        <v>6428</v>
      </c>
      <c r="P150" s="9" t="s">
        <v>6243</v>
      </c>
      <c r="Q150" s="87" t="s">
        <v>3210</v>
      </c>
      <c r="R150" s="87" t="s">
        <v>6428</v>
      </c>
      <c r="S150" s="87" t="s">
        <v>6413</v>
      </c>
      <c r="T150" s="87" t="s">
        <v>6645</v>
      </c>
    </row>
    <row r="151" spans="1:20" ht="15.75" customHeight="1">
      <c r="A151" s="9" t="s">
        <v>2948</v>
      </c>
      <c r="C151" s="9" t="s">
        <v>6923</v>
      </c>
      <c r="D151" s="87" t="s">
        <v>6327</v>
      </c>
      <c r="E151" s="9" t="s">
        <v>6924</v>
      </c>
      <c r="F151" s="9" t="s">
        <v>6925</v>
      </c>
      <c r="G151" s="9" t="s">
        <v>383</v>
      </c>
      <c r="H151" s="9" t="s">
        <v>444</v>
      </c>
      <c r="I151" s="87" t="s">
        <v>6405</v>
      </c>
      <c r="J151" s="87" t="s">
        <v>6237</v>
      </c>
      <c r="K151" s="87" t="s">
        <v>6931</v>
      </c>
      <c r="L151" s="87" t="s">
        <v>6573</v>
      </c>
      <c r="M151" s="87" t="s">
        <v>6431</v>
      </c>
      <c r="N151" s="9" t="s">
        <v>6945</v>
      </c>
      <c r="O151" s="87" t="s">
        <v>6500</v>
      </c>
      <c r="P151" s="9" t="s">
        <v>6243</v>
      </c>
      <c r="Q151" s="87" t="s">
        <v>3749</v>
      </c>
      <c r="R151" s="87" t="s">
        <v>6237</v>
      </c>
      <c r="S151" s="87" t="s">
        <v>6327</v>
      </c>
      <c r="T151" s="87" t="s">
        <v>6341</v>
      </c>
    </row>
    <row r="152" spans="1:20" ht="15.75" customHeight="1">
      <c r="A152" s="9" t="s">
        <v>2948</v>
      </c>
      <c r="C152" s="9" t="s">
        <v>6923</v>
      </c>
      <c r="D152" s="87" t="s">
        <v>6327</v>
      </c>
      <c r="E152" s="9" t="s">
        <v>6924</v>
      </c>
      <c r="F152" s="9" t="s">
        <v>6925</v>
      </c>
      <c r="G152" s="9" t="s">
        <v>383</v>
      </c>
      <c r="H152" s="9" t="s">
        <v>444</v>
      </c>
      <c r="I152" s="87" t="s">
        <v>6405</v>
      </c>
      <c r="J152" s="87" t="s">
        <v>6237</v>
      </c>
      <c r="K152" s="87" t="s">
        <v>6926</v>
      </c>
      <c r="L152" s="87" t="s">
        <v>6573</v>
      </c>
      <c r="M152" s="87" t="s">
        <v>6828</v>
      </c>
      <c r="N152" s="9" t="s">
        <v>6970</v>
      </c>
      <c r="O152" s="87" t="s">
        <v>6570</v>
      </c>
      <c r="P152" s="9" t="s">
        <v>6243</v>
      </c>
      <c r="Q152" s="87" t="s">
        <v>6573</v>
      </c>
      <c r="R152" s="87" t="s">
        <v>6237</v>
      </c>
      <c r="S152" s="87" t="s">
        <v>6333</v>
      </c>
      <c r="T152" s="87" t="s">
        <v>6341</v>
      </c>
    </row>
    <row r="153" spans="1:20" ht="15.75" customHeight="1">
      <c r="A153" s="9" t="s">
        <v>3032</v>
      </c>
      <c r="C153" s="9" t="s">
        <v>6236</v>
      </c>
      <c r="D153" s="87" t="s">
        <v>6393</v>
      </c>
      <c r="E153" s="9" t="s">
        <v>431</v>
      </c>
      <c r="F153" s="9" t="s">
        <v>368</v>
      </c>
      <c r="G153" s="9" t="s">
        <v>436</v>
      </c>
      <c r="H153" s="9" t="s">
        <v>434</v>
      </c>
      <c r="I153" s="87" t="s">
        <v>6264</v>
      </c>
      <c r="J153" s="87" t="s">
        <v>6820</v>
      </c>
      <c r="K153" s="87" t="s">
        <v>6239</v>
      </c>
      <c r="L153" s="87" t="s">
        <v>6240</v>
      </c>
      <c r="M153" s="87" t="s">
        <v>6449</v>
      </c>
      <c r="N153" s="9" t="s">
        <v>6928</v>
      </c>
      <c r="O153" s="87" t="s">
        <v>6239</v>
      </c>
      <c r="P153" s="9" t="s">
        <v>6243</v>
      </c>
      <c r="Q153" s="87" t="s">
        <v>3764</v>
      </c>
      <c r="R153" s="87" t="s">
        <v>6820</v>
      </c>
      <c r="S153" s="87" t="s">
        <v>6327</v>
      </c>
      <c r="T153" s="87" t="s">
        <v>6645</v>
      </c>
    </row>
    <row r="154" spans="1:20" ht="15.75" customHeight="1">
      <c r="A154" s="9" t="s">
        <v>3032</v>
      </c>
      <c r="C154" s="9" t="s">
        <v>6236</v>
      </c>
      <c r="D154" s="87" t="s">
        <v>6393</v>
      </c>
      <c r="E154" s="9" t="s">
        <v>431</v>
      </c>
      <c r="F154" s="9" t="s">
        <v>368</v>
      </c>
      <c r="G154" s="9" t="s">
        <v>436</v>
      </c>
      <c r="H154" s="9" t="s">
        <v>434</v>
      </c>
      <c r="I154" s="87" t="s">
        <v>6264</v>
      </c>
      <c r="J154" s="87" t="s">
        <v>6820</v>
      </c>
      <c r="K154" s="87" t="s">
        <v>6239</v>
      </c>
      <c r="L154" s="87" t="s">
        <v>6240</v>
      </c>
      <c r="M154" s="87" t="s">
        <v>6452</v>
      </c>
      <c r="N154" s="9" t="s">
        <v>6928</v>
      </c>
      <c r="O154" s="87" t="s">
        <v>6239</v>
      </c>
      <c r="P154" s="9" t="s">
        <v>6243</v>
      </c>
      <c r="Q154" s="87" t="s">
        <v>3764</v>
      </c>
      <c r="R154" s="87" t="s">
        <v>6820</v>
      </c>
      <c r="S154" s="87" t="s">
        <v>6327</v>
      </c>
      <c r="T154" s="87" t="s">
        <v>6645</v>
      </c>
    </row>
    <row r="155" spans="1:20" ht="15.75" customHeight="1">
      <c r="A155" s="9" t="s">
        <v>3032</v>
      </c>
      <c r="C155" s="9" t="s">
        <v>6236</v>
      </c>
      <c r="D155" s="87" t="s">
        <v>6393</v>
      </c>
      <c r="E155" s="9" t="s">
        <v>431</v>
      </c>
      <c r="F155" s="9" t="s">
        <v>368</v>
      </c>
      <c r="G155" s="9" t="s">
        <v>436</v>
      </c>
      <c r="H155" s="9" t="s">
        <v>434</v>
      </c>
      <c r="I155" s="87" t="s">
        <v>6264</v>
      </c>
      <c r="J155" s="87" t="s">
        <v>6820</v>
      </c>
      <c r="K155" s="87" t="s">
        <v>6239</v>
      </c>
      <c r="L155" s="87" t="s">
        <v>6240</v>
      </c>
      <c r="M155" s="87" t="s">
        <v>6466</v>
      </c>
      <c r="N155" s="9" t="s">
        <v>6928</v>
      </c>
      <c r="O155" s="87" t="s">
        <v>6239</v>
      </c>
      <c r="P155" s="9" t="s">
        <v>6243</v>
      </c>
      <c r="Q155" s="87" t="s">
        <v>3764</v>
      </c>
      <c r="R155" s="87" t="s">
        <v>6820</v>
      </c>
      <c r="S155" s="87" t="s">
        <v>6327</v>
      </c>
      <c r="T155" s="87" t="s">
        <v>6645</v>
      </c>
    </row>
    <row r="156" spans="1:20" ht="15.75" customHeight="1">
      <c r="A156" s="9" t="s">
        <v>3032</v>
      </c>
      <c r="C156" s="9" t="s">
        <v>6236</v>
      </c>
      <c r="D156" s="87" t="s">
        <v>6393</v>
      </c>
      <c r="E156" s="9" t="s">
        <v>431</v>
      </c>
      <c r="F156" s="9" t="s">
        <v>368</v>
      </c>
      <c r="G156" s="9" t="s">
        <v>436</v>
      </c>
      <c r="H156" s="9" t="s">
        <v>434</v>
      </c>
      <c r="I156" s="87" t="s">
        <v>6264</v>
      </c>
      <c r="J156" s="87" t="s">
        <v>6820</v>
      </c>
      <c r="K156" s="87" t="s">
        <v>6239</v>
      </c>
      <c r="L156" s="87" t="s">
        <v>6240</v>
      </c>
      <c r="M156" s="87" t="s">
        <v>6469</v>
      </c>
      <c r="N156" s="9" t="s">
        <v>6928</v>
      </c>
      <c r="O156" s="87" t="s">
        <v>6239</v>
      </c>
      <c r="P156" s="9" t="s">
        <v>6243</v>
      </c>
      <c r="Q156" s="87" t="s">
        <v>3764</v>
      </c>
      <c r="R156" s="87" t="s">
        <v>6820</v>
      </c>
      <c r="S156" s="87" t="s">
        <v>6327</v>
      </c>
      <c r="T156" s="87" t="s">
        <v>6645</v>
      </c>
    </row>
    <row r="157" spans="1:20" ht="15.75" customHeight="1">
      <c r="A157" s="9" t="s">
        <v>3032</v>
      </c>
      <c r="C157" s="9" t="s">
        <v>6236</v>
      </c>
      <c r="D157" s="87" t="s">
        <v>6393</v>
      </c>
      <c r="E157" s="9" t="s">
        <v>431</v>
      </c>
      <c r="F157" s="9" t="s">
        <v>368</v>
      </c>
      <c r="G157" s="9" t="s">
        <v>436</v>
      </c>
      <c r="H157" s="9" t="s">
        <v>434</v>
      </c>
      <c r="I157" s="87" t="s">
        <v>6264</v>
      </c>
      <c r="J157" s="87" t="s">
        <v>6820</v>
      </c>
      <c r="K157" s="87" t="s">
        <v>6299</v>
      </c>
      <c r="L157" s="87" t="s">
        <v>6240</v>
      </c>
      <c r="M157" s="87" t="s">
        <v>6470</v>
      </c>
      <c r="N157" s="9" t="s">
        <v>6961</v>
      </c>
      <c r="O157" s="87" t="s">
        <v>6299</v>
      </c>
      <c r="P157" s="9" t="s">
        <v>6243</v>
      </c>
      <c r="Q157" s="87" t="s">
        <v>3231</v>
      </c>
      <c r="R157" s="87" t="s">
        <v>6820</v>
      </c>
      <c r="S157" s="87" t="s">
        <v>6333</v>
      </c>
      <c r="T157" s="87" t="s">
        <v>6645</v>
      </c>
    </row>
    <row r="158" spans="1:20" ht="15.75" customHeight="1">
      <c r="A158" s="9" t="s">
        <v>3032</v>
      </c>
      <c r="C158" s="9" t="s">
        <v>6671</v>
      </c>
      <c r="D158" s="87" t="s">
        <v>6296</v>
      </c>
      <c r="E158" s="9" t="s">
        <v>6672</v>
      </c>
      <c r="F158" s="9" t="s">
        <v>439</v>
      </c>
      <c r="G158" s="9" t="s">
        <v>436</v>
      </c>
      <c r="H158" s="9" t="s">
        <v>440</v>
      </c>
      <c r="I158" s="87" t="s">
        <v>6405</v>
      </c>
      <c r="J158" s="87" t="s">
        <v>6815</v>
      </c>
      <c r="K158" s="87" t="s">
        <v>6239</v>
      </c>
      <c r="L158" s="87" t="s">
        <v>6240</v>
      </c>
      <c r="M158" s="87" t="s">
        <v>6471</v>
      </c>
      <c r="N158" s="9" t="s">
        <v>6928</v>
      </c>
      <c r="O158" s="87" t="s">
        <v>6239</v>
      </c>
      <c r="P158" s="9" t="s">
        <v>6243</v>
      </c>
      <c r="Q158" s="87" t="s">
        <v>3764</v>
      </c>
      <c r="R158" s="87" t="s">
        <v>6815</v>
      </c>
      <c r="S158" s="87" t="s">
        <v>6327</v>
      </c>
      <c r="T158" s="87" t="s">
        <v>6645</v>
      </c>
    </row>
    <row r="159" spans="1:20" ht="15.75" customHeight="1">
      <c r="A159" s="9" t="s">
        <v>3032</v>
      </c>
      <c r="C159" s="9" t="s">
        <v>6671</v>
      </c>
      <c r="D159" s="87" t="s">
        <v>6296</v>
      </c>
      <c r="E159" s="9" t="s">
        <v>6672</v>
      </c>
      <c r="F159" s="9" t="s">
        <v>439</v>
      </c>
      <c r="G159" s="9" t="s">
        <v>436</v>
      </c>
      <c r="H159" s="9" t="s">
        <v>440</v>
      </c>
      <c r="I159" s="87" t="s">
        <v>6405</v>
      </c>
      <c r="J159" s="87" t="s">
        <v>6815</v>
      </c>
      <c r="K159" s="87" t="s">
        <v>6239</v>
      </c>
      <c r="L159" s="87" t="s">
        <v>6240</v>
      </c>
      <c r="M159" s="87" t="s">
        <v>6475</v>
      </c>
      <c r="N159" s="9" t="s">
        <v>6928</v>
      </c>
      <c r="O159" s="87" t="s">
        <v>6239</v>
      </c>
      <c r="P159" s="9" t="s">
        <v>6243</v>
      </c>
      <c r="Q159" s="87" t="s">
        <v>3764</v>
      </c>
      <c r="R159" s="87" t="s">
        <v>6815</v>
      </c>
      <c r="S159" s="87" t="s">
        <v>6327</v>
      </c>
      <c r="T159" s="87" t="s">
        <v>6645</v>
      </c>
    </row>
    <row r="160" spans="1:20" ht="15.75" customHeight="1">
      <c r="A160" s="9" t="s">
        <v>3032</v>
      </c>
      <c r="C160" s="9" t="s">
        <v>6671</v>
      </c>
      <c r="D160" s="87" t="s">
        <v>6296</v>
      </c>
      <c r="E160" s="9" t="s">
        <v>6672</v>
      </c>
      <c r="F160" s="9" t="s">
        <v>439</v>
      </c>
      <c r="G160" s="9" t="s">
        <v>436</v>
      </c>
      <c r="H160" s="9" t="s">
        <v>440</v>
      </c>
      <c r="I160" s="87" t="s">
        <v>6405</v>
      </c>
      <c r="J160" s="87" t="s">
        <v>6815</v>
      </c>
      <c r="K160" s="87" t="s">
        <v>6239</v>
      </c>
      <c r="L160" s="87" t="s">
        <v>6240</v>
      </c>
      <c r="M160" s="87" t="s">
        <v>6481</v>
      </c>
      <c r="N160" s="9" t="s">
        <v>6928</v>
      </c>
      <c r="O160" s="87" t="s">
        <v>6239</v>
      </c>
      <c r="P160" s="9" t="s">
        <v>6243</v>
      </c>
      <c r="Q160" s="87" t="s">
        <v>3764</v>
      </c>
      <c r="R160" s="87" t="s">
        <v>6815</v>
      </c>
      <c r="S160" s="87" t="s">
        <v>6327</v>
      </c>
      <c r="T160" s="87" t="s">
        <v>6645</v>
      </c>
    </row>
    <row r="161" spans="1:20" ht="15.75" customHeight="1">
      <c r="A161" s="9" t="s">
        <v>3032</v>
      </c>
      <c r="C161" s="9" t="s">
        <v>6671</v>
      </c>
      <c r="D161" s="87" t="s">
        <v>6296</v>
      </c>
      <c r="E161" s="9" t="s">
        <v>6672</v>
      </c>
      <c r="F161" s="9" t="s">
        <v>439</v>
      </c>
      <c r="G161" s="9" t="s">
        <v>436</v>
      </c>
      <c r="H161" s="9" t="s">
        <v>440</v>
      </c>
      <c r="I161" s="87" t="s">
        <v>6405</v>
      </c>
      <c r="J161" s="87" t="s">
        <v>6815</v>
      </c>
      <c r="K161" s="87" t="s">
        <v>6239</v>
      </c>
      <c r="L161" s="87" t="s">
        <v>6240</v>
      </c>
      <c r="M161" s="87" t="s">
        <v>6490</v>
      </c>
      <c r="N161" s="9" t="s">
        <v>6928</v>
      </c>
      <c r="O161" s="87" t="s">
        <v>6239</v>
      </c>
      <c r="P161" s="9" t="s">
        <v>6243</v>
      </c>
      <c r="Q161" s="87" t="s">
        <v>3764</v>
      </c>
      <c r="R161" s="87" t="s">
        <v>6815</v>
      </c>
      <c r="S161" s="87" t="s">
        <v>6327</v>
      </c>
      <c r="T161" s="87" t="s">
        <v>6645</v>
      </c>
    </row>
    <row r="162" spans="1:20" ht="15.75" customHeight="1">
      <c r="A162" s="9" t="s">
        <v>3032</v>
      </c>
      <c r="C162" s="9" t="s">
        <v>6671</v>
      </c>
      <c r="D162" s="87" t="s">
        <v>6296</v>
      </c>
      <c r="E162" s="9" t="s">
        <v>6672</v>
      </c>
      <c r="F162" s="9" t="s">
        <v>439</v>
      </c>
      <c r="G162" s="9" t="s">
        <v>436</v>
      </c>
      <c r="H162" s="9" t="s">
        <v>440</v>
      </c>
      <c r="I162" s="87" t="s">
        <v>6405</v>
      </c>
      <c r="J162" s="87" t="s">
        <v>6815</v>
      </c>
      <c r="K162" s="87" t="s">
        <v>6239</v>
      </c>
      <c r="L162" s="87" t="s">
        <v>6240</v>
      </c>
      <c r="M162" s="87" t="s">
        <v>6491</v>
      </c>
      <c r="N162" s="9" t="s">
        <v>6928</v>
      </c>
      <c r="O162" s="87" t="s">
        <v>6239</v>
      </c>
      <c r="P162" s="9" t="s">
        <v>6243</v>
      </c>
      <c r="Q162" s="87" t="s">
        <v>3764</v>
      </c>
      <c r="R162" s="87" t="s">
        <v>6815</v>
      </c>
      <c r="S162" s="87" t="s">
        <v>6327</v>
      </c>
      <c r="T162" s="87" t="s">
        <v>6645</v>
      </c>
    </row>
    <row r="163" spans="1:20" ht="15.75" customHeight="1">
      <c r="A163" s="9" t="s">
        <v>3032</v>
      </c>
      <c r="C163" s="9" t="s">
        <v>6671</v>
      </c>
      <c r="D163" s="87" t="s">
        <v>6296</v>
      </c>
      <c r="E163" s="9" t="s">
        <v>6672</v>
      </c>
      <c r="F163" s="9" t="s">
        <v>439</v>
      </c>
      <c r="G163" s="9" t="s">
        <v>436</v>
      </c>
      <c r="H163" s="9" t="s">
        <v>440</v>
      </c>
      <c r="I163" s="87" t="s">
        <v>6405</v>
      </c>
      <c r="J163" s="87" t="s">
        <v>6815</v>
      </c>
      <c r="K163" s="87" t="s">
        <v>6619</v>
      </c>
      <c r="L163" s="87" t="s">
        <v>6240</v>
      </c>
      <c r="M163" s="87" t="s">
        <v>6492</v>
      </c>
      <c r="N163" s="9" t="s">
        <v>6942</v>
      </c>
      <c r="O163" s="87" t="s">
        <v>6619</v>
      </c>
      <c r="P163" s="9" t="s">
        <v>6243</v>
      </c>
      <c r="Q163" s="87" t="s">
        <v>6852</v>
      </c>
      <c r="R163" s="87" t="s">
        <v>6815</v>
      </c>
      <c r="S163" s="87" t="s">
        <v>6323</v>
      </c>
      <c r="T163" s="87" t="s">
        <v>6645</v>
      </c>
    </row>
    <row r="164" spans="1:20" ht="15.75" customHeight="1">
      <c r="A164" s="9" t="s">
        <v>3032</v>
      </c>
      <c r="C164" s="9" t="s">
        <v>6923</v>
      </c>
      <c r="D164" s="87" t="s">
        <v>6264</v>
      </c>
      <c r="E164" s="9" t="s">
        <v>6924</v>
      </c>
      <c r="F164" s="9" t="s">
        <v>6925</v>
      </c>
      <c r="G164" s="9" t="s">
        <v>383</v>
      </c>
      <c r="H164" s="9" t="s">
        <v>449</v>
      </c>
      <c r="I164" s="87" t="s">
        <v>6405</v>
      </c>
      <c r="J164" s="87" t="s">
        <v>6240</v>
      </c>
      <c r="K164" s="87" t="s">
        <v>7033</v>
      </c>
      <c r="L164" s="87" t="s">
        <v>6238</v>
      </c>
      <c r="M164" s="87" t="s">
        <v>6495</v>
      </c>
      <c r="N164" s="9" t="s">
        <v>7034</v>
      </c>
      <c r="O164" s="87" t="s">
        <v>6239</v>
      </c>
      <c r="P164" s="9" t="s">
        <v>6243</v>
      </c>
      <c r="Q164" s="87" t="s">
        <v>3764</v>
      </c>
      <c r="R164" s="87" t="s">
        <v>6240</v>
      </c>
      <c r="S164" s="87" t="s">
        <v>7035</v>
      </c>
      <c r="T164" s="87" t="s">
        <v>6341</v>
      </c>
    </row>
    <row r="165" spans="1:20" ht="15.75" customHeight="1">
      <c r="A165" s="9" t="s">
        <v>3032</v>
      </c>
      <c r="C165" s="9" t="s">
        <v>6923</v>
      </c>
      <c r="D165" s="87" t="s">
        <v>6264</v>
      </c>
      <c r="E165" s="9" t="s">
        <v>6924</v>
      </c>
      <c r="F165" s="9" t="s">
        <v>6925</v>
      </c>
      <c r="G165" s="9" t="s">
        <v>383</v>
      </c>
      <c r="H165" s="9" t="s">
        <v>449</v>
      </c>
      <c r="I165" s="87" t="s">
        <v>6405</v>
      </c>
      <c r="J165" s="87" t="s">
        <v>6240</v>
      </c>
      <c r="K165" s="87" t="s">
        <v>6926</v>
      </c>
      <c r="L165" s="87" t="s">
        <v>6238</v>
      </c>
      <c r="M165" s="87" t="s">
        <v>6508</v>
      </c>
      <c r="N165" s="9" t="s">
        <v>7001</v>
      </c>
      <c r="O165" s="87" t="s">
        <v>6245</v>
      </c>
      <c r="P165" s="9" t="s">
        <v>6243</v>
      </c>
      <c r="Q165" s="87" t="s">
        <v>6238</v>
      </c>
      <c r="R165" s="87" t="s">
        <v>6240</v>
      </c>
      <c r="S165" s="87" t="s">
        <v>6263</v>
      </c>
      <c r="T165" s="87" t="s">
        <v>6341</v>
      </c>
    </row>
    <row r="166" spans="1:20" ht="15.75" customHeight="1">
      <c r="A166" s="9" t="s">
        <v>2844</v>
      </c>
      <c r="C166" s="9" t="s">
        <v>6236</v>
      </c>
      <c r="D166" s="87" t="s">
        <v>6393</v>
      </c>
      <c r="E166" s="9" t="s">
        <v>431</v>
      </c>
      <c r="F166" s="9" t="s">
        <v>368</v>
      </c>
      <c r="G166" s="9" t="s">
        <v>436</v>
      </c>
      <c r="H166" s="9" t="s">
        <v>434</v>
      </c>
      <c r="I166" s="87" t="s">
        <v>6237</v>
      </c>
      <c r="J166" s="87" t="s">
        <v>6405</v>
      </c>
      <c r="K166" s="87" t="s">
        <v>6405</v>
      </c>
      <c r="L166" s="87" t="s">
        <v>6240</v>
      </c>
      <c r="M166" s="87" t="s">
        <v>6390</v>
      </c>
      <c r="N166" s="9" t="s">
        <v>7036</v>
      </c>
      <c r="O166" s="87" t="s">
        <v>6405</v>
      </c>
      <c r="P166" s="9" t="s">
        <v>6243</v>
      </c>
      <c r="Q166" s="87" t="s">
        <v>6240</v>
      </c>
      <c r="R166" s="87" t="s">
        <v>6405</v>
      </c>
      <c r="S166" s="87" t="s">
        <v>6645</v>
      </c>
      <c r="T166" s="87" t="s">
        <v>6645</v>
      </c>
    </row>
    <row r="167" spans="1:20" ht="15.75" customHeight="1">
      <c r="A167" s="9" t="s">
        <v>2844</v>
      </c>
      <c r="C167" s="9" t="s">
        <v>6671</v>
      </c>
      <c r="D167" s="87" t="s">
        <v>6296</v>
      </c>
      <c r="E167" s="9" t="s">
        <v>6672</v>
      </c>
      <c r="F167" s="9" t="s">
        <v>439</v>
      </c>
      <c r="G167" s="9" t="s">
        <v>436</v>
      </c>
      <c r="H167" s="9" t="s">
        <v>440</v>
      </c>
      <c r="I167" s="87" t="s">
        <v>6405</v>
      </c>
      <c r="J167" s="87" t="s">
        <v>6405</v>
      </c>
      <c r="K167" s="87" t="s">
        <v>6405</v>
      </c>
      <c r="L167" s="87" t="s">
        <v>6240</v>
      </c>
      <c r="M167" s="87" t="s">
        <v>6398</v>
      </c>
      <c r="N167" s="9" t="s">
        <v>7036</v>
      </c>
      <c r="O167" s="87" t="s">
        <v>6405</v>
      </c>
      <c r="P167" s="9" t="s">
        <v>6243</v>
      </c>
      <c r="Q167" s="87" t="s">
        <v>6240</v>
      </c>
      <c r="R167" s="87" t="s">
        <v>6405</v>
      </c>
      <c r="S167" s="87" t="s">
        <v>6645</v>
      </c>
      <c r="T167" s="87" t="s">
        <v>6645</v>
      </c>
    </row>
    <row r="168" spans="1:20" ht="15.75" customHeight="1">
      <c r="A168" s="9" t="s">
        <v>2844</v>
      </c>
      <c r="C168" s="9" t="s">
        <v>6923</v>
      </c>
      <c r="D168" s="87" t="s">
        <v>6327</v>
      </c>
      <c r="E168" s="9" t="s">
        <v>6924</v>
      </c>
      <c r="F168" s="9" t="s">
        <v>6925</v>
      </c>
      <c r="G168" s="9" t="s">
        <v>383</v>
      </c>
      <c r="H168" s="9" t="s">
        <v>444</v>
      </c>
      <c r="I168" s="87" t="s">
        <v>6405</v>
      </c>
      <c r="J168" s="87" t="s">
        <v>6405</v>
      </c>
      <c r="K168" s="87" t="s">
        <v>6926</v>
      </c>
      <c r="L168" s="87" t="s">
        <v>5381</v>
      </c>
      <c r="M168" s="87" t="s">
        <v>6422</v>
      </c>
      <c r="N168" s="9" t="s">
        <v>7037</v>
      </c>
      <c r="O168" s="87" t="s">
        <v>6348</v>
      </c>
      <c r="P168" s="9" t="s">
        <v>6243</v>
      </c>
      <c r="Q168" s="87" t="s">
        <v>5381</v>
      </c>
      <c r="R168" s="87" t="s">
        <v>6405</v>
      </c>
      <c r="S168" s="87" t="s">
        <v>6421</v>
      </c>
      <c r="T168" s="87" t="s">
        <v>6280</v>
      </c>
    </row>
    <row r="169" spans="1:20" ht="15.75" customHeight="1">
      <c r="A169" s="9" t="s">
        <v>2868</v>
      </c>
      <c r="C169" s="9" t="s">
        <v>6236</v>
      </c>
      <c r="D169" s="87" t="s">
        <v>6393</v>
      </c>
      <c r="E169" s="9" t="s">
        <v>431</v>
      </c>
      <c r="F169" s="9" t="s">
        <v>368</v>
      </c>
      <c r="G169" s="9" t="s">
        <v>436</v>
      </c>
      <c r="H169" s="9" t="s">
        <v>434</v>
      </c>
      <c r="I169" s="87" t="s">
        <v>6237</v>
      </c>
      <c r="J169" s="87" t="s">
        <v>6297</v>
      </c>
      <c r="K169" s="87" t="s">
        <v>6297</v>
      </c>
      <c r="L169" s="87" t="s">
        <v>6240</v>
      </c>
      <c r="M169" s="87" t="s">
        <v>6390</v>
      </c>
      <c r="N169" s="9" t="s">
        <v>7038</v>
      </c>
      <c r="O169" s="87" t="s">
        <v>6297</v>
      </c>
      <c r="P169" s="9" t="s">
        <v>6243</v>
      </c>
      <c r="Q169" s="87" t="s">
        <v>6299</v>
      </c>
      <c r="R169" s="87" t="s">
        <v>6297</v>
      </c>
      <c r="S169" s="87" t="s">
        <v>6443</v>
      </c>
      <c r="T169" s="87" t="s">
        <v>6351</v>
      </c>
    </row>
    <row r="170" spans="1:20" ht="15.75" customHeight="1">
      <c r="A170" s="9" t="s">
        <v>2868</v>
      </c>
      <c r="C170" s="9" t="s">
        <v>6671</v>
      </c>
      <c r="D170" s="87" t="s">
        <v>6296</v>
      </c>
      <c r="E170" s="9" t="s">
        <v>6672</v>
      </c>
      <c r="F170" s="9" t="s">
        <v>439</v>
      </c>
      <c r="G170" s="9" t="s">
        <v>436</v>
      </c>
      <c r="H170" s="9" t="s">
        <v>440</v>
      </c>
      <c r="I170" s="87" t="s">
        <v>6405</v>
      </c>
      <c r="J170" s="87" t="s">
        <v>6240</v>
      </c>
      <c r="K170" s="87" t="s">
        <v>6240</v>
      </c>
      <c r="L170" s="87" t="s">
        <v>6240</v>
      </c>
      <c r="M170" s="87" t="s">
        <v>6398</v>
      </c>
      <c r="N170" s="9" t="s">
        <v>7039</v>
      </c>
      <c r="O170" s="87" t="s">
        <v>6240</v>
      </c>
      <c r="P170" s="9" t="s">
        <v>6243</v>
      </c>
      <c r="Q170" s="87" t="s">
        <v>6397</v>
      </c>
      <c r="R170" s="87" t="s">
        <v>6240</v>
      </c>
      <c r="S170" s="87" t="s">
        <v>6419</v>
      </c>
      <c r="T170" s="87" t="s">
        <v>6351</v>
      </c>
    </row>
    <row r="171" spans="1:20" ht="15.75" customHeight="1">
      <c r="A171" s="9" t="s">
        <v>2868</v>
      </c>
      <c r="C171" s="9" t="s">
        <v>6923</v>
      </c>
      <c r="D171" s="87" t="s">
        <v>6327</v>
      </c>
      <c r="E171" s="9" t="s">
        <v>6924</v>
      </c>
      <c r="F171" s="9" t="s">
        <v>6925</v>
      </c>
      <c r="G171" s="9" t="s">
        <v>383</v>
      </c>
      <c r="H171" s="9" t="s">
        <v>444</v>
      </c>
      <c r="I171" s="87" t="s">
        <v>6405</v>
      </c>
      <c r="J171" s="87" t="s">
        <v>6405</v>
      </c>
      <c r="K171" s="87" t="s">
        <v>6926</v>
      </c>
      <c r="L171" s="87" t="s">
        <v>5381</v>
      </c>
      <c r="M171" s="87" t="s">
        <v>6422</v>
      </c>
      <c r="N171" s="9" t="s">
        <v>7040</v>
      </c>
      <c r="O171" s="87" t="s">
        <v>6348</v>
      </c>
      <c r="P171" s="9" t="s">
        <v>6243</v>
      </c>
      <c r="Q171" s="87" t="s">
        <v>5381</v>
      </c>
      <c r="R171" s="87" t="s">
        <v>6405</v>
      </c>
      <c r="S171" s="87" t="s">
        <v>6334</v>
      </c>
      <c r="T171" s="87" t="s">
        <v>6313</v>
      </c>
    </row>
    <row r="172" spans="1:20" ht="15.75" customHeight="1">
      <c r="A172" s="9" t="s">
        <v>2859</v>
      </c>
      <c r="C172" s="9" t="s">
        <v>6236</v>
      </c>
      <c r="D172" s="87" t="s">
        <v>6393</v>
      </c>
      <c r="E172" s="9" t="s">
        <v>431</v>
      </c>
      <c r="F172" s="9" t="s">
        <v>368</v>
      </c>
      <c r="G172" s="9" t="s">
        <v>436</v>
      </c>
      <c r="H172" s="9" t="s">
        <v>434</v>
      </c>
      <c r="I172" s="87" t="s">
        <v>6237</v>
      </c>
      <c r="J172" s="87" t="s">
        <v>4953</v>
      </c>
      <c r="K172" s="87" t="s">
        <v>4953</v>
      </c>
      <c r="L172" s="87" t="s">
        <v>6240</v>
      </c>
      <c r="M172" s="87" t="s">
        <v>6426</v>
      </c>
      <c r="N172" s="9" t="s">
        <v>7041</v>
      </c>
      <c r="O172" s="87" t="s">
        <v>4953</v>
      </c>
      <c r="P172" s="9" t="s">
        <v>6243</v>
      </c>
      <c r="Q172" s="87" t="s">
        <v>6306</v>
      </c>
      <c r="R172" s="87" t="s">
        <v>4953</v>
      </c>
      <c r="S172" s="87" t="s">
        <v>6268</v>
      </c>
      <c r="T172" s="87" t="s">
        <v>6484</v>
      </c>
    </row>
    <row r="173" spans="1:20" ht="15.75" customHeight="1">
      <c r="A173" s="9" t="s">
        <v>2859</v>
      </c>
      <c r="C173" s="9" t="s">
        <v>6671</v>
      </c>
      <c r="D173" s="87" t="s">
        <v>6296</v>
      </c>
      <c r="E173" s="9" t="s">
        <v>6672</v>
      </c>
      <c r="F173" s="9" t="s">
        <v>439</v>
      </c>
      <c r="G173" s="9" t="s">
        <v>436</v>
      </c>
      <c r="H173" s="9" t="s">
        <v>440</v>
      </c>
      <c r="I173" s="87" t="s">
        <v>6405</v>
      </c>
      <c r="J173" s="87" t="s">
        <v>6296</v>
      </c>
      <c r="K173" s="87" t="s">
        <v>6296</v>
      </c>
      <c r="L173" s="87" t="s">
        <v>6240</v>
      </c>
      <c r="M173" s="87" t="s">
        <v>6431</v>
      </c>
      <c r="N173" s="9" t="s">
        <v>7042</v>
      </c>
      <c r="O173" s="87" t="s">
        <v>6296</v>
      </c>
      <c r="P173" s="9" t="s">
        <v>6243</v>
      </c>
      <c r="Q173" s="87" t="s">
        <v>6287</v>
      </c>
      <c r="R173" s="87" t="s">
        <v>6296</v>
      </c>
      <c r="S173" s="87" t="s">
        <v>6287</v>
      </c>
      <c r="T173" s="87" t="s">
        <v>6645</v>
      </c>
    </row>
    <row r="174" spans="1:20" ht="15.75" customHeight="1">
      <c r="A174" s="9" t="s">
        <v>2859</v>
      </c>
      <c r="C174" s="9" t="s">
        <v>6923</v>
      </c>
      <c r="D174" s="87" t="s">
        <v>6327</v>
      </c>
      <c r="E174" s="9" t="s">
        <v>6924</v>
      </c>
      <c r="F174" s="9" t="s">
        <v>6925</v>
      </c>
      <c r="G174" s="9" t="s">
        <v>383</v>
      </c>
      <c r="H174" s="9" t="s">
        <v>444</v>
      </c>
      <c r="I174" s="87" t="s">
        <v>6405</v>
      </c>
      <c r="J174" s="87" t="s">
        <v>6405</v>
      </c>
      <c r="K174" s="87" t="s">
        <v>6926</v>
      </c>
      <c r="L174" s="87" t="s">
        <v>6293</v>
      </c>
      <c r="M174" s="87" t="s">
        <v>6828</v>
      </c>
      <c r="N174" s="9" t="s">
        <v>6978</v>
      </c>
      <c r="O174" s="87" t="s">
        <v>6290</v>
      </c>
      <c r="P174" s="9" t="s">
        <v>6243</v>
      </c>
      <c r="Q174" s="87" t="s">
        <v>6293</v>
      </c>
      <c r="R174" s="87" t="s">
        <v>6405</v>
      </c>
      <c r="S174" s="87" t="s">
        <v>6430</v>
      </c>
      <c r="T174" s="87" t="s">
        <v>6326</v>
      </c>
    </row>
    <row r="175" spans="1:20" ht="15.75" customHeight="1">
      <c r="A175" s="9" t="s">
        <v>2886</v>
      </c>
      <c r="C175" s="9" t="s">
        <v>6236</v>
      </c>
      <c r="D175" s="87" t="s">
        <v>6393</v>
      </c>
      <c r="E175" s="9" t="s">
        <v>431</v>
      </c>
      <c r="F175" s="9" t="s">
        <v>368</v>
      </c>
      <c r="G175" s="9" t="s">
        <v>436</v>
      </c>
      <c r="H175" s="9" t="s">
        <v>434</v>
      </c>
      <c r="I175" s="87" t="s">
        <v>6237</v>
      </c>
      <c r="J175" s="87" t="s">
        <v>6435</v>
      </c>
      <c r="K175" s="87" t="s">
        <v>6435</v>
      </c>
      <c r="L175" s="87" t="s">
        <v>6240</v>
      </c>
      <c r="M175" s="87" t="s">
        <v>6431</v>
      </c>
      <c r="N175" s="9" t="s">
        <v>7007</v>
      </c>
      <c r="O175" s="87" t="s">
        <v>6435</v>
      </c>
      <c r="P175" s="9" t="s">
        <v>6243</v>
      </c>
      <c r="Q175" s="87" t="s">
        <v>6250</v>
      </c>
      <c r="R175" s="87" t="s">
        <v>6435</v>
      </c>
      <c r="S175" s="87" t="s">
        <v>6733</v>
      </c>
      <c r="T175" s="87" t="s">
        <v>6645</v>
      </c>
    </row>
    <row r="176" spans="1:20" ht="15.75" customHeight="1">
      <c r="A176" s="9" t="s">
        <v>2886</v>
      </c>
      <c r="C176" s="9" t="s">
        <v>6671</v>
      </c>
      <c r="D176" s="87" t="s">
        <v>6296</v>
      </c>
      <c r="E176" s="9" t="s">
        <v>6672</v>
      </c>
      <c r="F176" s="9" t="s">
        <v>439</v>
      </c>
      <c r="G176" s="9" t="s">
        <v>436</v>
      </c>
      <c r="H176" s="9" t="s">
        <v>440</v>
      </c>
      <c r="I176" s="87" t="s">
        <v>6405</v>
      </c>
      <c r="J176" s="87" t="s">
        <v>6290</v>
      </c>
      <c r="K176" s="87" t="s">
        <v>6290</v>
      </c>
      <c r="L176" s="87" t="s">
        <v>6240</v>
      </c>
      <c r="M176" s="87" t="s">
        <v>6828</v>
      </c>
      <c r="N176" s="9" t="s">
        <v>6964</v>
      </c>
      <c r="O176" s="87" t="s">
        <v>6290</v>
      </c>
      <c r="P176" s="9" t="s">
        <v>6243</v>
      </c>
      <c r="Q176" s="87" t="s">
        <v>6293</v>
      </c>
      <c r="R176" s="87" t="s">
        <v>6290</v>
      </c>
      <c r="S176" s="87" t="s">
        <v>6525</v>
      </c>
      <c r="T176" s="87" t="s">
        <v>6645</v>
      </c>
    </row>
    <row r="177" spans="1:20" ht="15.75" customHeight="1">
      <c r="A177" s="9" t="s">
        <v>2886</v>
      </c>
      <c r="C177" s="9" t="s">
        <v>6923</v>
      </c>
      <c r="D177" s="87" t="s">
        <v>6327</v>
      </c>
      <c r="E177" s="9" t="s">
        <v>6924</v>
      </c>
      <c r="F177" s="9" t="s">
        <v>6925</v>
      </c>
      <c r="G177" s="9" t="s">
        <v>383</v>
      </c>
      <c r="H177" s="9" t="s">
        <v>444</v>
      </c>
      <c r="I177" s="87" t="s">
        <v>6405</v>
      </c>
      <c r="J177" s="87" t="s">
        <v>6405</v>
      </c>
      <c r="K177" s="87" t="s">
        <v>6926</v>
      </c>
      <c r="L177" s="87" t="s">
        <v>6573</v>
      </c>
      <c r="M177" s="87" t="s">
        <v>6826</v>
      </c>
      <c r="N177" s="9" t="s">
        <v>6970</v>
      </c>
      <c r="O177" s="87" t="s">
        <v>6570</v>
      </c>
      <c r="P177" s="9" t="s">
        <v>6243</v>
      </c>
      <c r="Q177" s="87" t="s">
        <v>6573</v>
      </c>
      <c r="R177" s="87" t="s">
        <v>6405</v>
      </c>
      <c r="S177" s="87" t="s">
        <v>6333</v>
      </c>
      <c r="T177" s="87" t="s">
        <v>6341</v>
      </c>
    </row>
    <row r="178" spans="1:20" ht="15.75" customHeight="1">
      <c r="A178" s="9" t="s">
        <v>2941</v>
      </c>
      <c r="C178" s="9" t="s">
        <v>6236</v>
      </c>
      <c r="D178" s="87" t="s">
        <v>6393</v>
      </c>
      <c r="E178" s="9" t="s">
        <v>431</v>
      </c>
      <c r="F178" s="9" t="s">
        <v>368</v>
      </c>
      <c r="G178" s="9" t="s">
        <v>436</v>
      </c>
      <c r="H178" s="9" t="s">
        <v>434</v>
      </c>
      <c r="I178" s="87" t="s">
        <v>6237</v>
      </c>
      <c r="J178" s="87" t="s">
        <v>6245</v>
      </c>
      <c r="K178" s="87" t="s">
        <v>6245</v>
      </c>
      <c r="L178" s="87" t="s">
        <v>6240</v>
      </c>
      <c r="M178" s="87" t="s">
        <v>6840</v>
      </c>
      <c r="N178" s="9" t="s">
        <v>7043</v>
      </c>
      <c r="O178" s="87" t="s">
        <v>6245</v>
      </c>
      <c r="P178" s="9" t="s">
        <v>6243</v>
      </c>
      <c r="Q178" s="87" t="s">
        <v>6238</v>
      </c>
      <c r="R178" s="87" t="s">
        <v>6245</v>
      </c>
      <c r="S178" s="87" t="s">
        <v>6484</v>
      </c>
      <c r="T178" s="87" t="s">
        <v>6333</v>
      </c>
    </row>
    <row r="179" spans="1:20" ht="15.75" customHeight="1">
      <c r="A179" s="9" t="s">
        <v>2941</v>
      </c>
      <c r="C179" s="9" t="s">
        <v>6923</v>
      </c>
      <c r="D179" s="87" t="s">
        <v>6461</v>
      </c>
      <c r="E179" s="9" t="s">
        <v>6924</v>
      </c>
      <c r="F179" s="9" t="s">
        <v>6925</v>
      </c>
      <c r="G179" s="9" t="s">
        <v>383</v>
      </c>
      <c r="H179" s="9" t="s">
        <v>427</v>
      </c>
      <c r="I179" s="87" t="s">
        <v>6405</v>
      </c>
      <c r="J179" s="87" t="s">
        <v>6334</v>
      </c>
      <c r="K179" s="87" t="s">
        <v>6939</v>
      </c>
      <c r="L179" s="87" t="s">
        <v>4014</v>
      </c>
      <c r="M179" s="87" t="s">
        <v>6838</v>
      </c>
      <c r="N179" s="9" t="s">
        <v>7034</v>
      </c>
      <c r="O179" s="87" t="s">
        <v>6239</v>
      </c>
      <c r="P179" s="9" t="s">
        <v>6243</v>
      </c>
      <c r="Q179" s="87" t="s">
        <v>3764</v>
      </c>
      <c r="R179" s="87" t="s">
        <v>6334</v>
      </c>
      <c r="S179" s="87" t="s">
        <v>7035</v>
      </c>
      <c r="T179" s="87" t="s">
        <v>6341</v>
      </c>
    </row>
    <row r="180" spans="1:20" ht="15.75" customHeight="1">
      <c r="A180" s="9" t="s">
        <v>2904</v>
      </c>
      <c r="C180" s="9" t="s">
        <v>6236</v>
      </c>
      <c r="D180" s="87" t="s">
        <v>6393</v>
      </c>
      <c r="E180" s="9" t="s">
        <v>431</v>
      </c>
      <c r="F180" s="9" t="s">
        <v>368</v>
      </c>
      <c r="G180" s="9" t="s">
        <v>436</v>
      </c>
      <c r="H180" s="9" t="s">
        <v>434</v>
      </c>
      <c r="I180" s="87" t="s">
        <v>6237</v>
      </c>
      <c r="J180" s="87" t="s">
        <v>6296</v>
      </c>
      <c r="K180" s="87" t="s">
        <v>6296</v>
      </c>
      <c r="L180" s="87" t="s">
        <v>6240</v>
      </c>
      <c r="M180" s="87" t="s">
        <v>6470</v>
      </c>
      <c r="N180" s="9" t="s">
        <v>7044</v>
      </c>
      <c r="O180" s="87" t="s">
        <v>6296</v>
      </c>
      <c r="P180" s="9" t="s">
        <v>6243</v>
      </c>
      <c r="Q180" s="87" t="s">
        <v>6287</v>
      </c>
      <c r="R180" s="87" t="s">
        <v>6296</v>
      </c>
      <c r="S180" s="87" t="s">
        <v>6293</v>
      </c>
      <c r="T180" s="87" t="s">
        <v>6326</v>
      </c>
    </row>
    <row r="181" spans="1:20" ht="15.75" customHeight="1">
      <c r="A181" s="9" t="s">
        <v>2904</v>
      </c>
      <c r="C181" s="9" t="s">
        <v>6671</v>
      </c>
      <c r="D181" s="87" t="s">
        <v>6296</v>
      </c>
      <c r="E181" s="9" t="s">
        <v>6672</v>
      </c>
      <c r="F181" s="9" t="s">
        <v>439</v>
      </c>
      <c r="G181" s="9" t="s">
        <v>436</v>
      </c>
      <c r="H181" s="9" t="s">
        <v>440</v>
      </c>
      <c r="I181" s="87" t="s">
        <v>6405</v>
      </c>
      <c r="J181" s="87" t="s">
        <v>6296</v>
      </c>
      <c r="K181" s="87" t="s">
        <v>6296</v>
      </c>
      <c r="L181" s="87" t="s">
        <v>6240</v>
      </c>
      <c r="M181" s="87" t="s">
        <v>6492</v>
      </c>
      <c r="N181" s="9" t="s">
        <v>7045</v>
      </c>
      <c r="O181" s="87" t="s">
        <v>6296</v>
      </c>
      <c r="P181" s="9" t="s">
        <v>6243</v>
      </c>
      <c r="Q181" s="87" t="s">
        <v>6287</v>
      </c>
      <c r="R181" s="87" t="s">
        <v>6296</v>
      </c>
      <c r="S181" s="87" t="s">
        <v>6421</v>
      </c>
      <c r="T181" s="87" t="s">
        <v>6329</v>
      </c>
    </row>
    <row r="182" spans="1:20" ht="15.75" customHeight="1">
      <c r="A182" s="9" t="s">
        <v>2904</v>
      </c>
      <c r="C182" s="9" t="s">
        <v>6923</v>
      </c>
      <c r="D182" s="87" t="s">
        <v>6327</v>
      </c>
      <c r="E182" s="9" t="s">
        <v>6924</v>
      </c>
      <c r="F182" s="9" t="s">
        <v>6925</v>
      </c>
      <c r="G182" s="9" t="s">
        <v>383</v>
      </c>
      <c r="H182" s="9" t="s">
        <v>444</v>
      </c>
      <c r="I182" s="87" t="s">
        <v>6405</v>
      </c>
      <c r="J182" s="87" t="s">
        <v>6405</v>
      </c>
      <c r="K182" s="87" t="s">
        <v>6926</v>
      </c>
      <c r="L182" s="87" t="s">
        <v>6484</v>
      </c>
      <c r="M182" s="87" t="s">
        <v>6495</v>
      </c>
      <c r="N182" s="9" t="s">
        <v>7046</v>
      </c>
      <c r="O182" s="87" t="s">
        <v>6810</v>
      </c>
      <c r="P182" s="9" t="s">
        <v>6243</v>
      </c>
      <c r="Q182" s="87" t="s">
        <v>6484</v>
      </c>
      <c r="R182" s="87" t="s">
        <v>6405</v>
      </c>
      <c r="S182" s="87" t="s">
        <v>6367</v>
      </c>
      <c r="T182" s="87" t="s">
        <v>6341</v>
      </c>
    </row>
    <row r="183" spans="1:20" ht="15.75" customHeight="1">
      <c r="A183" s="9" t="s">
        <v>2985</v>
      </c>
      <c r="C183" s="9" t="s">
        <v>6236</v>
      </c>
      <c r="D183" s="87" t="s">
        <v>6393</v>
      </c>
      <c r="E183" s="9" t="s">
        <v>431</v>
      </c>
      <c r="F183" s="9" t="s">
        <v>368</v>
      </c>
      <c r="G183" s="9" t="s">
        <v>436</v>
      </c>
      <c r="H183" s="9" t="s">
        <v>434</v>
      </c>
      <c r="I183" s="87" t="s">
        <v>6237</v>
      </c>
      <c r="J183" s="87" t="s">
        <v>6323</v>
      </c>
      <c r="K183" s="87" t="s">
        <v>6323</v>
      </c>
      <c r="L183" s="87" t="s">
        <v>6240</v>
      </c>
      <c r="M183" s="87" t="s">
        <v>6828</v>
      </c>
      <c r="N183" s="9" t="s">
        <v>7047</v>
      </c>
      <c r="O183" s="87" t="s">
        <v>6323</v>
      </c>
      <c r="P183" s="9" t="s">
        <v>6243</v>
      </c>
      <c r="Q183" s="87" t="s">
        <v>5374</v>
      </c>
      <c r="R183" s="87" t="s">
        <v>6323</v>
      </c>
      <c r="S183" s="87" t="s">
        <v>6409</v>
      </c>
      <c r="T183" s="87" t="s">
        <v>6367</v>
      </c>
    </row>
    <row r="184" spans="1:20" ht="15.75" customHeight="1">
      <c r="A184" s="9" t="s">
        <v>2985</v>
      </c>
      <c r="C184" s="9" t="s">
        <v>6671</v>
      </c>
      <c r="D184" s="87" t="s">
        <v>6296</v>
      </c>
      <c r="E184" s="9" t="s">
        <v>6672</v>
      </c>
      <c r="F184" s="9" t="s">
        <v>439</v>
      </c>
      <c r="G184" s="9" t="s">
        <v>436</v>
      </c>
      <c r="H184" s="9" t="s">
        <v>440</v>
      </c>
      <c r="I184" s="87" t="s">
        <v>6405</v>
      </c>
      <c r="J184" s="87" t="s">
        <v>6245</v>
      </c>
      <c r="K184" s="87" t="s">
        <v>6245</v>
      </c>
      <c r="L184" s="87" t="s">
        <v>6240</v>
      </c>
      <c r="M184" s="87" t="s">
        <v>6826</v>
      </c>
      <c r="N184" s="9" t="s">
        <v>7001</v>
      </c>
      <c r="O184" s="87" t="s">
        <v>6245</v>
      </c>
      <c r="P184" s="9" t="s">
        <v>6243</v>
      </c>
      <c r="Q184" s="87" t="s">
        <v>6238</v>
      </c>
      <c r="R184" s="87" t="s">
        <v>6245</v>
      </c>
      <c r="S184" s="87" t="s">
        <v>6263</v>
      </c>
      <c r="T184" s="87" t="s">
        <v>6341</v>
      </c>
    </row>
    <row r="185" spans="1:20" ht="15.75" customHeight="1">
      <c r="A185" s="9" t="s">
        <v>2985</v>
      </c>
      <c r="C185" s="9" t="s">
        <v>6923</v>
      </c>
      <c r="D185" s="87" t="s">
        <v>6264</v>
      </c>
      <c r="E185" s="9" t="s">
        <v>6924</v>
      </c>
      <c r="F185" s="9" t="s">
        <v>6925</v>
      </c>
      <c r="G185" s="9" t="s">
        <v>383</v>
      </c>
      <c r="H185" s="9" t="s">
        <v>449</v>
      </c>
      <c r="I185" s="87" t="s">
        <v>6405</v>
      </c>
      <c r="J185" s="87" t="s">
        <v>6405</v>
      </c>
      <c r="K185" s="87" t="s">
        <v>6926</v>
      </c>
      <c r="L185" s="87" t="s">
        <v>6238</v>
      </c>
      <c r="M185" s="87" t="s">
        <v>7048</v>
      </c>
      <c r="N185" s="9" t="s">
        <v>7001</v>
      </c>
      <c r="O185" s="87" t="s">
        <v>6245</v>
      </c>
      <c r="P185" s="9" t="s">
        <v>6243</v>
      </c>
      <c r="Q185" s="87" t="s">
        <v>6238</v>
      </c>
      <c r="R185" s="87" t="s">
        <v>6405</v>
      </c>
      <c r="S185" s="87" t="s">
        <v>6263</v>
      </c>
      <c r="T185" s="87" t="s">
        <v>6341</v>
      </c>
    </row>
    <row r="186" spans="1:20" ht="15.75" customHeight="1">
      <c r="A186" s="9" t="s">
        <v>2917</v>
      </c>
      <c r="C186" s="9" t="s">
        <v>6236</v>
      </c>
      <c r="D186" s="87" t="s">
        <v>6393</v>
      </c>
      <c r="E186" s="9" t="s">
        <v>431</v>
      </c>
      <c r="F186" s="9" t="s">
        <v>368</v>
      </c>
      <c r="G186" s="9" t="s">
        <v>436</v>
      </c>
      <c r="H186" s="9" t="s">
        <v>434</v>
      </c>
      <c r="I186" s="87" t="s">
        <v>6237</v>
      </c>
      <c r="J186" s="87" t="s">
        <v>6299</v>
      </c>
      <c r="K186" s="87" t="s">
        <v>6299</v>
      </c>
      <c r="L186" s="87" t="s">
        <v>6240</v>
      </c>
      <c r="M186" s="87" t="s">
        <v>6828</v>
      </c>
      <c r="N186" s="9" t="s">
        <v>7049</v>
      </c>
      <c r="O186" s="87" t="s">
        <v>6299</v>
      </c>
      <c r="P186" s="9" t="s">
        <v>6243</v>
      </c>
      <c r="Q186" s="87" t="s">
        <v>3231</v>
      </c>
      <c r="R186" s="87" t="s">
        <v>6299</v>
      </c>
      <c r="S186" s="87" t="s">
        <v>6348</v>
      </c>
      <c r="T186" s="87" t="s">
        <v>6361</v>
      </c>
    </row>
    <row r="187" spans="1:20" ht="15.75" customHeight="1">
      <c r="A187" s="9" t="s">
        <v>2917</v>
      </c>
      <c r="C187" s="9" t="s">
        <v>6923</v>
      </c>
      <c r="D187" s="87" t="s">
        <v>6461</v>
      </c>
      <c r="E187" s="9" t="s">
        <v>6924</v>
      </c>
      <c r="F187" s="9" t="s">
        <v>6925</v>
      </c>
      <c r="G187" s="9" t="s">
        <v>383</v>
      </c>
      <c r="H187" s="9" t="s">
        <v>427</v>
      </c>
      <c r="I187" s="87" t="s">
        <v>6405</v>
      </c>
      <c r="J187" s="87" t="s">
        <v>6334</v>
      </c>
      <c r="K187" s="87" t="s">
        <v>6926</v>
      </c>
      <c r="L187" s="87" t="s">
        <v>6464</v>
      </c>
      <c r="M187" s="87" t="s">
        <v>6826</v>
      </c>
      <c r="N187" s="9" t="s">
        <v>7050</v>
      </c>
      <c r="O187" s="87" t="s">
        <v>6302</v>
      </c>
      <c r="P187" s="9" t="s">
        <v>6243</v>
      </c>
      <c r="Q187" s="87" t="s">
        <v>6464</v>
      </c>
      <c r="R187" s="87" t="s">
        <v>6334</v>
      </c>
      <c r="S187" s="87" t="s">
        <v>6810</v>
      </c>
      <c r="T187" s="87" t="s">
        <v>6293</v>
      </c>
    </row>
    <row r="188" spans="1:20" ht="15.75" customHeight="1">
      <c r="A188" s="9" t="s">
        <v>2917</v>
      </c>
      <c r="C188" s="9" t="s">
        <v>6923</v>
      </c>
      <c r="D188" s="87" t="s">
        <v>6461</v>
      </c>
      <c r="E188" s="9" t="s">
        <v>6924</v>
      </c>
      <c r="F188" s="9" t="s">
        <v>6925</v>
      </c>
      <c r="G188" s="9" t="s">
        <v>383</v>
      </c>
      <c r="H188" s="9" t="s">
        <v>427</v>
      </c>
      <c r="I188" s="87" t="s">
        <v>6405</v>
      </c>
      <c r="J188" s="87" t="s">
        <v>6334</v>
      </c>
      <c r="K188" s="87" t="s">
        <v>6926</v>
      </c>
      <c r="L188" s="87" t="s">
        <v>6464</v>
      </c>
      <c r="M188" s="87" t="s">
        <v>7048</v>
      </c>
      <c r="N188" s="9" t="s">
        <v>7051</v>
      </c>
      <c r="O188" s="87" t="s">
        <v>6302</v>
      </c>
      <c r="P188" s="9" t="s">
        <v>6243</v>
      </c>
      <c r="Q188" s="87" t="s">
        <v>6464</v>
      </c>
      <c r="R188" s="87" t="s">
        <v>6334</v>
      </c>
      <c r="S188" s="87" t="s">
        <v>6299</v>
      </c>
      <c r="T188" s="87" t="s">
        <v>6651</v>
      </c>
    </row>
    <row r="189" spans="1:20" ht="15.75" customHeight="1">
      <c r="A189" s="9" t="s">
        <v>2940</v>
      </c>
      <c r="C189" s="9" t="s">
        <v>6236</v>
      </c>
      <c r="D189" s="87" t="s">
        <v>6393</v>
      </c>
      <c r="E189" s="9" t="s">
        <v>431</v>
      </c>
      <c r="F189" s="9" t="s">
        <v>368</v>
      </c>
      <c r="G189" s="9" t="s">
        <v>436</v>
      </c>
      <c r="H189" s="9" t="s">
        <v>434</v>
      </c>
      <c r="I189" s="87" t="s">
        <v>6264</v>
      </c>
      <c r="J189" s="87" t="s">
        <v>6504</v>
      </c>
      <c r="K189" s="87" t="s">
        <v>6435</v>
      </c>
      <c r="L189" s="87" t="s">
        <v>6240</v>
      </c>
      <c r="M189" s="87" t="s">
        <v>6490</v>
      </c>
      <c r="N189" s="9" t="s">
        <v>7052</v>
      </c>
      <c r="O189" s="87" t="s">
        <v>6435</v>
      </c>
      <c r="P189" s="9" t="s">
        <v>6243</v>
      </c>
      <c r="Q189" s="87" t="s">
        <v>6250</v>
      </c>
      <c r="R189" s="87" t="s">
        <v>6504</v>
      </c>
      <c r="S189" s="87" t="s">
        <v>6327</v>
      </c>
      <c r="T189" s="87" t="s">
        <v>6433</v>
      </c>
    </row>
    <row r="190" spans="1:20" ht="15.75" customHeight="1">
      <c r="A190" s="9" t="s">
        <v>2940</v>
      </c>
      <c r="C190" s="9" t="s">
        <v>6236</v>
      </c>
      <c r="D190" s="87" t="s">
        <v>6393</v>
      </c>
      <c r="E190" s="9" t="s">
        <v>431</v>
      </c>
      <c r="F190" s="9" t="s">
        <v>368</v>
      </c>
      <c r="G190" s="9" t="s">
        <v>436</v>
      </c>
      <c r="H190" s="9" t="s">
        <v>434</v>
      </c>
      <c r="I190" s="87" t="s">
        <v>6264</v>
      </c>
      <c r="J190" s="87" t="s">
        <v>6504</v>
      </c>
      <c r="K190" s="87" t="s">
        <v>6239</v>
      </c>
      <c r="L190" s="87" t="s">
        <v>6240</v>
      </c>
      <c r="M190" s="87" t="s">
        <v>6491</v>
      </c>
      <c r="N190" s="9" t="s">
        <v>6928</v>
      </c>
      <c r="O190" s="87" t="s">
        <v>6239</v>
      </c>
      <c r="P190" s="9" t="s">
        <v>6243</v>
      </c>
      <c r="Q190" s="87" t="s">
        <v>3764</v>
      </c>
      <c r="R190" s="87" t="s">
        <v>6504</v>
      </c>
      <c r="S190" s="87" t="s">
        <v>6327</v>
      </c>
      <c r="T190" s="87" t="s">
        <v>6645</v>
      </c>
    </row>
    <row r="191" spans="1:20" ht="15.75" customHeight="1">
      <c r="A191" s="9" t="s">
        <v>2940</v>
      </c>
      <c r="C191" s="9" t="s">
        <v>6236</v>
      </c>
      <c r="D191" s="87" t="s">
        <v>6393</v>
      </c>
      <c r="E191" s="9" t="s">
        <v>431</v>
      </c>
      <c r="F191" s="9" t="s">
        <v>368</v>
      </c>
      <c r="G191" s="9" t="s">
        <v>436</v>
      </c>
      <c r="H191" s="9" t="s">
        <v>434</v>
      </c>
      <c r="I191" s="87" t="s">
        <v>6264</v>
      </c>
      <c r="J191" s="87" t="s">
        <v>6504</v>
      </c>
      <c r="K191" s="87" t="s">
        <v>6239</v>
      </c>
      <c r="L191" s="87" t="s">
        <v>6240</v>
      </c>
      <c r="M191" s="87" t="s">
        <v>6492</v>
      </c>
      <c r="N191" s="9" t="s">
        <v>6928</v>
      </c>
      <c r="O191" s="87" t="s">
        <v>6239</v>
      </c>
      <c r="P191" s="9" t="s">
        <v>6243</v>
      </c>
      <c r="Q191" s="87" t="s">
        <v>3764</v>
      </c>
      <c r="R191" s="87" t="s">
        <v>6504</v>
      </c>
      <c r="S191" s="87" t="s">
        <v>6327</v>
      </c>
      <c r="T191" s="87" t="s">
        <v>6645</v>
      </c>
    </row>
    <row r="192" spans="1:20" ht="15.75" customHeight="1">
      <c r="A192" s="9" t="s">
        <v>2940</v>
      </c>
      <c r="C192" s="9" t="s">
        <v>6236</v>
      </c>
      <c r="D192" s="87" t="s">
        <v>6393</v>
      </c>
      <c r="E192" s="9" t="s">
        <v>431</v>
      </c>
      <c r="F192" s="9" t="s">
        <v>368</v>
      </c>
      <c r="G192" s="9" t="s">
        <v>436</v>
      </c>
      <c r="H192" s="9" t="s">
        <v>434</v>
      </c>
      <c r="I192" s="87" t="s">
        <v>6264</v>
      </c>
      <c r="J192" s="87" t="s">
        <v>6504</v>
      </c>
      <c r="K192" s="87" t="s">
        <v>6313</v>
      </c>
      <c r="L192" s="87" t="s">
        <v>6240</v>
      </c>
      <c r="M192" s="87" t="s">
        <v>6495</v>
      </c>
      <c r="N192" s="9" t="s">
        <v>7053</v>
      </c>
      <c r="O192" s="87" t="s">
        <v>6313</v>
      </c>
      <c r="P192" s="9" t="s">
        <v>6243</v>
      </c>
      <c r="Q192" s="87" t="s">
        <v>6357</v>
      </c>
      <c r="R192" s="87" t="s">
        <v>6504</v>
      </c>
      <c r="S192" s="87" t="s">
        <v>6267</v>
      </c>
      <c r="T192" s="87" t="s">
        <v>6645</v>
      </c>
    </row>
    <row r="193" spans="1:20" ht="15.75" customHeight="1">
      <c r="A193" s="9" t="s">
        <v>2940</v>
      </c>
      <c r="C193" s="9" t="s">
        <v>6671</v>
      </c>
      <c r="D193" s="87" t="s">
        <v>6296</v>
      </c>
      <c r="E193" s="9" t="s">
        <v>6672</v>
      </c>
      <c r="F193" s="9" t="s">
        <v>439</v>
      </c>
      <c r="G193" s="9" t="s">
        <v>436</v>
      </c>
      <c r="H193" s="9" t="s">
        <v>440</v>
      </c>
      <c r="I193" s="87" t="s">
        <v>6405</v>
      </c>
      <c r="J193" s="87" t="s">
        <v>6573</v>
      </c>
      <c r="K193" s="87" t="s">
        <v>6329</v>
      </c>
      <c r="L193" s="87" t="s">
        <v>6240</v>
      </c>
      <c r="M193" s="87" t="s">
        <v>6510</v>
      </c>
      <c r="N193" s="9" t="s">
        <v>7054</v>
      </c>
      <c r="O193" s="87" t="s">
        <v>6329</v>
      </c>
      <c r="P193" s="9" t="s">
        <v>6243</v>
      </c>
      <c r="Q193" s="87" t="s">
        <v>6448</v>
      </c>
      <c r="R193" s="87" t="s">
        <v>6573</v>
      </c>
      <c r="S193" s="87" t="s">
        <v>6327</v>
      </c>
      <c r="T193" s="87" t="s">
        <v>6486</v>
      </c>
    </row>
    <row r="194" spans="1:20" ht="15.75" customHeight="1">
      <c r="A194" s="9" t="s">
        <v>2940</v>
      </c>
      <c r="C194" s="9" t="s">
        <v>6671</v>
      </c>
      <c r="D194" s="87" t="s">
        <v>6296</v>
      </c>
      <c r="E194" s="9" t="s">
        <v>6672</v>
      </c>
      <c r="F194" s="9" t="s">
        <v>439</v>
      </c>
      <c r="G194" s="9" t="s">
        <v>436</v>
      </c>
      <c r="H194" s="9" t="s">
        <v>440</v>
      </c>
      <c r="I194" s="87" t="s">
        <v>6405</v>
      </c>
      <c r="J194" s="87" t="s">
        <v>6573</v>
      </c>
      <c r="K194" s="87" t="s">
        <v>6239</v>
      </c>
      <c r="L194" s="87" t="s">
        <v>6240</v>
      </c>
      <c r="M194" s="87" t="s">
        <v>6511</v>
      </c>
      <c r="N194" s="9" t="s">
        <v>6928</v>
      </c>
      <c r="O194" s="87" t="s">
        <v>6239</v>
      </c>
      <c r="P194" s="9" t="s">
        <v>6243</v>
      </c>
      <c r="Q194" s="87" t="s">
        <v>3764</v>
      </c>
      <c r="R194" s="87" t="s">
        <v>6573</v>
      </c>
      <c r="S194" s="87" t="s">
        <v>6327</v>
      </c>
      <c r="T194" s="87" t="s">
        <v>6645</v>
      </c>
    </row>
    <row r="195" spans="1:20" ht="15.75" customHeight="1">
      <c r="A195" s="9" t="s">
        <v>2940</v>
      </c>
      <c r="C195" s="9" t="s">
        <v>6671</v>
      </c>
      <c r="D195" s="87" t="s">
        <v>6296</v>
      </c>
      <c r="E195" s="9" t="s">
        <v>6672</v>
      </c>
      <c r="F195" s="9" t="s">
        <v>439</v>
      </c>
      <c r="G195" s="9" t="s">
        <v>436</v>
      </c>
      <c r="H195" s="9" t="s">
        <v>440</v>
      </c>
      <c r="I195" s="87" t="s">
        <v>6405</v>
      </c>
      <c r="J195" s="87" t="s">
        <v>6573</v>
      </c>
      <c r="K195" s="87" t="s">
        <v>6435</v>
      </c>
      <c r="L195" s="87" t="s">
        <v>6240</v>
      </c>
      <c r="M195" s="87" t="s">
        <v>6513</v>
      </c>
      <c r="N195" s="9" t="s">
        <v>7007</v>
      </c>
      <c r="O195" s="87" t="s">
        <v>6435</v>
      </c>
      <c r="P195" s="9" t="s">
        <v>6243</v>
      </c>
      <c r="Q195" s="87" t="s">
        <v>6250</v>
      </c>
      <c r="R195" s="87" t="s">
        <v>6573</v>
      </c>
      <c r="S195" s="87" t="s">
        <v>6733</v>
      </c>
      <c r="T195" s="87" t="s">
        <v>6645</v>
      </c>
    </row>
    <row r="196" spans="1:20" ht="15.75" customHeight="1">
      <c r="A196" s="9" t="s">
        <v>2940</v>
      </c>
      <c r="C196" s="9" t="s">
        <v>6923</v>
      </c>
      <c r="D196" s="87" t="s">
        <v>6264</v>
      </c>
      <c r="E196" s="9" t="s">
        <v>6924</v>
      </c>
      <c r="F196" s="9" t="s">
        <v>6925</v>
      </c>
      <c r="G196" s="9" t="s">
        <v>383</v>
      </c>
      <c r="H196" s="9" t="s">
        <v>449</v>
      </c>
      <c r="I196" s="87" t="s">
        <v>6405</v>
      </c>
      <c r="J196" s="87" t="s">
        <v>6461</v>
      </c>
      <c r="K196" s="87" t="s">
        <v>6931</v>
      </c>
      <c r="L196" s="87" t="s">
        <v>6410</v>
      </c>
      <c r="M196" s="87" t="s">
        <v>6517</v>
      </c>
      <c r="N196" s="9" t="s">
        <v>7055</v>
      </c>
      <c r="O196" s="87" t="s">
        <v>6651</v>
      </c>
      <c r="P196" s="9" t="s">
        <v>6243</v>
      </c>
      <c r="Q196" s="87" t="s">
        <v>6654</v>
      </c>
      <c r="R196" s="87" t="s">
        <v>6461</v>
      </c>
      <c r="S196" s="87" t="s">
        <v>6313</v>
      </c>
      <c r="T196" s="87" t="s">
        <v>6341</v>
      </c>
    </row>
    <row r="197" spans="1:20" ht="15.75" customHeight="1">
      <c r="A197" s="9" t="s">
        <v>2940</v>
      </c>
      <c r="C197" s="9" t="s">
        <v>6923</v>
      </c>
      <c r="D197" s="87" t="s">
        <v>6264</v>
      </c>
      <c r="E197" s="9" t="s">
        <v>6924</v>
      </c>
      <c r="F197" s="9" t="s">
        <v>6925</v>
      </c>
      <c r="G197" s="9" t="s">
        <v>383</v>
      </c>
      <c r="H197" s="9" t="s">
        <v>449</v>
      </c>
      <c r="I197" s="87" t="s">
        <v>6405</v>
      </c>
      <c r="J197" s="87" t="s">
        <v>6461</v>
      </c>
      <c r="K197" s="87" t="s">
        <v>6931</v>
      </c>
      <c r="L197" s="87" t="s">
        <v>6410</v>
      </c>
      <c r="M197" s="87" t="s">
        <v>6530</v>
      </c>
      <c r="N197" s="9" t="s">
        <v>7055</v>
      </c>
      <c r="O197" s="87" t="s">
        <v>6651</v>
      </c>
      <c r="P197" s="9" t="s">
        <v>6243</v>
      </c>
      <c r="Q197" s="87" t="s">
        <v>6654</v>
      </c>
      <c r="R197" s="87" t="s">
        <v>6461</v>
      </c>
      <c r="S197" s="87" t="s">
        <v>6313</v>
      </c>
      <c r="T197" s="87" t="s">
        <v>6341</v>
      </c>
    </row>
    <row r="198" spans="1:20" ht="15.75" customHeight="1">
      <c r="A198" s="9" t="s">
        <v>3006</v>
      </c>
      <c r="C198" s="9" t="s">
        <v>6236</v>
      </c>
      <c r="D198" s="87" t="s">
        <v>6393</v>
      </c>
      <c r="E198" s="9" t="s">
        <v>431</v>
      </c>
      <c r="F198" s="9" t="s">
        <v>368</v>
      </c>
      <c r="G198" s="9" t="s">
        <v>436</v>
      </c>
      <c r="H198" s="9" t="s">
        <v>434</v>
      </c>
      <c r="I198" s="87" t="s">
        <v>6237</v>
      </c>
      <c r="J198" s="87" t="s">
        <v>4014</v>
      </c>
      <c r="K198" s="87" t="s">
        <v>6329</v>
      </c>
      <c r="L198" s="87" t="s">
        <v>6240</v>
      </c>
      <c r="M198" s="87" t="s">
        <v>6470</v>
      </c>
      <c r="N198" s="9" t="s">
        <v>7054</v>
      </c>
      <c r="O198" s="87" t="s">
        <v>6329</v>
      </c>
      <c r="P198" s="9" t="s">
        <v>6243</v>
      </c>
      <c r="Q198" s="87" t="s">
        <v>6448</v>
      </c>
      <c r="R198" s="87" t="s">
        <v>4014</v>
      </c>
      <c r="S198" s="87" t="s">
        <v>6327</v>
      </c>
      <c r="T198" s="87" t="s">
        <v>6486</v>
      </c>
    </row>
    <row r="199" spans="1:20" ht="15.75" customHeight="1">
      <c r="A199" s="9" t="s">
        <v>3006</v>
      </c>
      <c r="C199" s="9" t="s">
        <v>6236</v>
      </c>
      <c r="D199" s="87" t="s">
        <v>6393</v>
      </c>
      <c r="E199" s="9" t="s">
        <v>431</v>
      </c>
      <c r="F199" s="9" t="s">
        <v>368</v>
      </c>
      <c r="G199" s="9" t="s">
        <v>436</v>
      </c>
      <c r="H199" s="9" t="s">
        <v>434</v>
      </c>
      <c r="I199" s="87" t="s">
        <v>6237</v>
      </c>
      <c r="J199" s="87" t="s">
        <v>4014</v>
      </c>
      <c r="K199" s="87" t="s">
        <v>6239</v>
      </c>
      <c r="L199" s="87" t="s">
        <v>6240</v>
      </c>
      <c r="M199" s="87" t="s">
        <v>6471</v>
      </c>
      <c r="N199" s="9" t="s">
        <v>6928</v>
      </c>
      <c r="O199" s="87" t="s">
        <v>6239</v>
      </c>
      <c r="P199" s="9" t="s">
        <v>6243</v>
      </c>
      <c r="Q199" s="87" t="s">
        <v>3764</v>
      </c>
      <c r="R199" s="87" t="s">
        <v>4014</v>
      </c>
      <c r="S199" s="87" t="s">
        <v>6327</v>
      </c>
      <c r="T199" s="87" t="s">
        <v>6645</v>
      </c>
    </row>
    <row r="200" spans="1:20" ht="15.75" customHeight="1">
      <c r="A200" s="9" t="s">
        <v>3006</v>
      </c>
      <c r="C200" s="9" t="s">
        <v>6236</v>
      </c>
      <c r="D200" s="87" t="s">
        <v>6393</v>
      </c>
      <c r="E200" s="9" t="s">
        <v>431</v>
      </c>
      <c r="F200" s="9" t="s">
        <v>368</v>
      </c>
      <c r="G200" s="9" t="s">
        <v>436</v>
      </c>
      <c r="H200" s="9" t="s">
        <v>434</v>
      </c>
      <c r="I200" s="87" t="s">
        <v>6237</v>
      </c>
      <c r="J200" s="87" t="s">
        <v>4014</v>
      </c>
      <c r="K200" s="87" t="s">
        <v>6239</v>
      </c>
      <c r="L200" s="87" t="s">
        <v>6240</v>
      </c>
      <c r="M200" s="87" t="s">
        <v>6475</v>
      </c>
      <c r="N200" s="9" t="s">
        <v>6928</v>
      </c>
      <c r="O200" s="87" t="s">
        <v>6239</v>
      </c>
      <c r="P200" s="9" t="s">
        <v>6243</v>
      </c>
      <c r="Q200" s="87" t="s">
        <v>3764</v>
      </c>
      <c r="R200" s="87" t="s">
        <v>4014</v>
      </c>
      <c r="S200" s="87" t="s">
        <v>6327</v>
      </c>
      <c r="T200" s="87" t="s">
        <v>6645</v>
      </c>
    </row>
    <row r="201" spans="1:20" ht="15.75" customHeight="1">
      <c r="A201" s="9" t="s">
        <v>3006</v>
      </c>
      <c r="C201" s="9" t="s">
        <v>6236</v>
      </c>
      <c r="D201" s="87" t="s">
        <v>6393</v>
      </c>
      <c r="E201" s="9" t="s">
        <v>431</v>
      </c>
      <c r="F201" s="9" t="s">
        <v>368</v>
      </c>
      <c r="G201" s="9" t="s">
        <v>436</v>
      </c>
      <c r="H201" s="9" t="s">
        <v>434</v>
      </c>
      <c r="I201" s="87" t="s">
        <v>6237</v>
      </c>
      <c r="J201" s="87" t="s">
        <v>4014</v>
      </c>
      <c r="K201" s="87" t="s">
        <v>6313</v>
      </c>
      <c r="L201" s="87" t="s">
        <v>6240</v>
      </c>
      <c r="M201" s="87" t="s">
        <v>6481</v>
      </c>
      <c r="N201" s="9" t="s">
        <v>7053</v>
      </c>
      <c r="O201" s="87" t="s">
        <v>6313</v>
      </c>
      <c r="P201" s="9" t="s">
        <v>6243</v>
      </c>
      <c r="Q201" s="87" t="s">
        <v>6357</v>
      </c>
      <c r="R201" s="87" t="s">
        <v>4014</v>
      </c>
      <c r="S201" s="87" t="s">
        <v>6267</v>
      </c>
      <c r="T201" s="87" t="s">
        <v>6645</v>
      </c>
    </row>
    <row r="202" spans="1:20" ht="15.75" customHeight="1">
      <c r="A202" s="9" t="s">
        <v>3006</v>
      </c>
      <c r="C202" s="9" t="s">
        <v>6671</v>
      </c>
      <c r="D202" s="87" t="s">
        <v>6296</v>
      </c>
      <c r="E202" s="9" t="s">
        <v>6672</v>
      </c>
      <c r="F202" s="9" t="s">
        <v>439</v>
      </c>
      <c r="G202" s="9" t="s">
        <v>436</v>
      </c>
      <c r="H202" s="9" t="s">
        <v>440</v>
      </c>
      <c r="I202" s="87" t="s">
        <v>6405</v>
      </c>
      <c r="J202" s="87" t="s">
        <v>6248</v>
      </c>
      <c r="K202" s="87" t="s">
        <v>6334</v>
      </c>
      <c r="L202" s="87" t="s">
        <v>6240</v>
      </c>
      <c r="M202" s="87" t="s">
        <v>6492</v>
      </c>
      <c r="N202" s="9" t="s">
        <v>7056</v>
      </c>
      <c r="O202" s="87" t="s">
        <v>6334</v>
      </c>
      <c r="P202" s="9" t="s">
        <v>6243</v>
      </c>
      <c r="Q202" s="87" t="s">
        <v>6290</v>
      </c>
      <c r="R202" s="87" t="s">
        <v>6248</v>
      </c>
      <c r="S202" s="87" t="s">
        <v>6327</v>
      </c>
      <c r="T202" s="87" t="s">
        <v>6642</v>
      </c>
    </row>
    <row r="203" spans="1:20" ht="15.75" customHeight="1">
      <c r="A203" s="9" t="s">
        <v>3006</v>
      </c>
      <c r="C203" s="9" t="s">
        <v>6671</v>
      </c>
      <c r="D203" s="87" t="s">
        <v>6296</v>
      </c>
      <c r="E203" s="9" t="s">
        <v>6672</v>
      </c>
      <c r="F203" s="9" t="s">
        <v>439</v>
      </c>
      <c r="G203" s="9" t="s">
        <v>436</v>
      </c>
      <c r="H203" s="9" t="s">
        <v>440</v>
      </c>
      <c r="I203" s="87" t="s">
        <v>6405</v>
      </c>
      <c r="J203" s="87" t="s">
        <v>6248</v>
      </c>
      <c r="K203" s="87" t="s">
        <v>6239</v>
      </c>
      <c r="L203" s="87" t="s">
        <v>6240</v>
      </c>
      <c r="M203" s="87" t="s">
        <v>6495</v>
      </c>
      <c r="N203" s="9" t="s">
        <v>6928</v>
      </c>
      <c r="O203" s="87" t="s">
        <v>6239</v>
      </c>
      <c r="P203" s="9" t="s">
        <v>6243</v>
      </c>
      <c r="Q203" s="87" t="s">
        <v>3764</v>
      </c>
      <c r="R203" s="87" t="s">
        <v>6248</v>
      </c>
      <c r="S203" s="87" t="s">
        <v>6327</v>
      </c>
      <c r="T203" s="87" t="s">
        <v>6645</v>
      </c>
    </row>
    <row r="204" spans="1:20" ht="15.75" customHeight="1">
      <c r="A204" s="9" t="s">
        <v>3006</v>
      </c>
      <c r="C204" s="9" t="s">
        <v>6671</v>
      </c>
      <c r="D204" s="87" t="s">
        <v>6296</v>
      </c>
      <c r="E204" s="9" t="s">
        <v>6672</v>
      </c>
      <c r="F204" s="9" t="s">
        <v>439</v>
      </c>
      <c r="G204" s="9" t="s">
        <v>436</v>
      </c>
      <c r="H204" s="9" t="s">
        <v>440</v>
      </c>
      <c r="I204" s="87" t="s">
        <v>6405</v>
      </c>
      <c r="J204" s="87" t="s">
        <v>6248</v>
      </c>
      <c r="K204" s="87" t="s">
        <v>6367</v>
      </c>
      <c r="L204" s="87" t="s">
        <v>6240</v>
      </c>
      <c r="M204" s="87" t="s">
        <v>6508</v>
      </c>
      <c r="N204" s="9" t="s">
        <v>7057</v>
      </c>
      <c r="O204" s="87" t="s">
        <v>6367</v>
      </c>
      <c r="P204" s="9" t="s">
        <v>6243</v>
      </c>
      <c r="Q204" s="87" t="s">
        <v>6814</v>
      </c>
      <c r="R204" s="87" t="s">
        <v>6248</v>
      </c>
      <c r="S204" s="87" t="s">
        <v>6528</v>
      </c>
      <c r="T204" s="87" t="s">
        <v>6645</v>
      </c>
    </row>
    <row r="205" spans="1:20" ht="15.75" customHeight="1">
      <c r="A205" s="9" t="s">
        <v>3006</v>
      </c>
      <c r="C205" s="9" t="s">
        <v>6923</v>
      </c>
      <c r="D205" s="87" t="s">
        <v>6461</v>
      </c>
      <c r="E205" s="9" t="s">
        <v>6924</v>
      </c>
      <c r="F205" s="9" t="s">
        <v>6925</v>
      </c>
      <c r="G205" s="9" t="s">
        <v>383</v>
      </c>
      <c r="H205" s="9" t="s">
        <v>427</v>
      </c>
      <c r="I205" s="87" t="s">
        <v>6405</v>
      </c>
      <c r="J205" s="87" t="s">
        <v>6461</v>
      </c>
      <c r="K205" s="87" t="s">
        <v>7033</v>
      </c>
      <c r="L205" s="87" t="s">
        <v>6305</v>
      </c>
      <c r="M205" s="87" t="s">
        <v>6510</v>
      </c>
      <c r="N205" s="9" t="s">
        <v>7058</v>
      </c>
      <c r="O205" s="87" t="s">
        <v>6373</v>
      </c>
      <c r="P205" s="9" t="s">
        <v>6243</v>
      </c>
      <c r="Q205" s="87" t="s">
        <v>3089</v>
      </c>
      <c r="R205" s="87" t="s">
        <v>6461</v>
      </c>
      <c r="S205" s="87" t="s">
        <v>6297</v>
      </c>
      <c r="T205" s="87" t="s">
        <v>6341</v>
      </c>
    </row>
    <row r="206" spans="1:20" ht="15.75" customHeight="1">
      <c r="A206" s="9" t="s">
        <v>3006</v>
      </c>
      <c r="C206" s="9" t="s">
        <v>6923</v>
      </c>
      <c r="D206" s="87" t="s">
        <v>6264</v>
      </c>
      <c r="E206" s="9" t="s">
        <v>6924</v>
      </c>
      <c r="F206" s="9" t="s">
        <v>6925</v>
      </c>
      <c r="G206" s="9" t="s">
        <v>383</v>
      </c>
      <c r="H206" s="9" t="s">
        <v>449</v>
      </c>
      <c r="I206" s="87" t="s">
        <v>6405</v>
      </c>
      <c r="J206" s="87" t="s">
        <v>6264</v>
      </c>
      <c r="K206" s="87" t="s">
        <v>6931</v>
      </c>
      <c r="L206" s="87" t="s">
        <v>6306</v>
      </c>
      <c r="M206" s="87" t="s">
        <v>6510</v>
      </c>
      <c r="N206" s="9" t="s">
        <v>7059</v>
      </c>
      <c r="O206" s="87" t="s">
        <v>6392</v>
      </c>
      <c r="P206" s="9" t="s">
        <v>6243</v>
      </c>
      <c r="Q206" s="87" t="s">
        <v>3236</v>
      </c>
      <c r="R206" s="87" t="s">
        <v>6264</v>
      </c>
      <c r="S206" s="87" t="s">
        <v>6498</v>
      </c>
      <c r="T206" s="87" t="s">
        <v>6341</v>
      </c>
    </row>
    <row r="207" spans="1:20" ht="15.75" customHeight="1">
      <c r="A207" s="9" t="s">
        <v>3006</v>
      </c>
      <c r="C207" s="9" t="s">
        <v>6923</v>
      </c>
      <c r="D207" s="87" t="s">
        <v>6461</v>
      </c>
      <c r="E207" s="9" t="s">
        <v>6924</v>
      </c>
      <c r="F207" s="9" t="s">
        <v>6925</v>
      </c>
      <c r="G207" s="9" t="s">
        <v>383</v>
      </c>
      <c r="H207" s="9" t="s">
        <v>427</v>
      </c>
      <c r="I207" s="87" t="s">
        <v>6405</v>
      </c>
      <c r="J207" s="87" t="s">
        <v>6461</v>
      </c>
      <c r="K207" s="87" t="s">
        <v>6939</v>
      </c>
      <c r="L207" s="87" t="s">
        <v>6305</v>
      </c>
      <c r="M207" s="87" t="s">
        <v>6511</v>
      </c>
      <c r="N207" s="9" t="s">
        <v>7060</v>
      </c>
      <c r="O207" s="87" t="s">
        <v>6486</v>
      </c>
      <c r="P207" s="9" t="s">
        <v>6243</v>
      </c>
      <c r="Q207" s="87" t="s">
        <v>5079</v>
      </c>
      <c r="R207" s="87" t="s">
        <v>6461</v>
      </c>
      <c r="S207" s="87" t="s">
        <v>6330</v>
      </c>
      <c r="T207" s="87" t="s">
        <v>6341</v>
      </c>
    </row>
    <row r="208" spans="1:20" ht="15.75" customHeight="1">
      <c r="A208" s="9" t="s">
        <v>3016</v>
      </c>
      <c r="C208" s="9" t="s">
        <v>6236</v>
      </c>
      <c r="D208" s="87" t="s">
        <v>6393</v>
      </c>
      <c r="E208" s="9" t="s">
        <v>431</v>
      </c>
      <c r="F208" s="9" t="s">
        <v>368</v>
      </c>
      <c r="G208" s="9" t="s">
        <v>436</v>
      </c>
      <c r="H208" s="9" t="s">
        <v>434</v>
      </c>
      <c r="I208" s="87" t="s">
        <v>6237</v>
      </c>
      <c r="J208" s="87" t="s">
        <v>3236</v>
      </c>
      <c r="K208" s="87" t="s">
        <v>6341</v>
      </c>
      <c r="L208" s="87" t="s">
        <v>6240</v>
      </c>
      <c r="M208" s="87" t="s">
        <v>6700</v>
      </c>
      <c r="N208" s="9" t="s">
        <v>7061</v>
      </c>
      <c r="O208" s="87" t="s">
        <v>6341</v>
      </c>
      <c r="P208" s="9" t="s">
        <v>6243</v>
      </c>
      <c r="Q208" s="87" t="s">
        <v>6703</v>
      </c>
      <c r="R208" s="87" t="s">
        <v>3236</v>
      </c>
      <c r="S208" s="87" t="s">
        <v>6327</v>
      </c>
      <c r="T208" s="87" t="s">
        <v>6351</v>
      </c>
    </row>
    <row r="209" spans="1:20" ht="15.75" customHeight="1">
      <c r="A209" s="9" t="s">
        <v>3016</v>
      </c>
      <c r="C209" s="9" t="s">
        <v>6236</v>
      </c>
      <c r="D209" s="87" t="s">
        <v>6393</v>
      </c>
      <c r="E209" s="9" t="s">
        <v>431</v>
      </c>
      <c r="F209" s="9" t="s">
        <v>368</v>
      </c>
      <c r="G209" s="9" t="s">
        <v>436</v>
      </c>
      <c r="H209" s="9" t="s">
        <v>434</v>
      </c>
      <c r="I209" s="87" t="s">
        <v>6237</v>
      </c>
      <c r="J209" s="87" t="s">
        <v>3236</v>
      </c>
      <c r="K209" s="87" t="s">
        <v>6239</v>
      </c>
      <c r="L209" s="87" t="s">
        <v>6240</v>
      </c>
      <c r="M209" s="87" t="s">
        <v>6699</v>
      </c>
      <c r="N209" s="9" t="s">
        <v>6928</v>
      </c>
      <c r="O209" s="87" t="s">
        <v>6239</v>
      </c>
      <c r="P209" s="9" t="s">
        <v>6243</v>
      </c>
      <c r="Q209" s="87" t="s">
        <v>3764</v>
      </c>
      <c r="R209" s="87" t="s">
        <v>3236</v>
      </c>
      <c r="S209" s="87" t="s">
        <v>6327</v>
      </c>
      <c r="T209" s="87" t="s">
        <v>6645</v>
      </c>
    </row>
    <row r="210" spans="1:20" ht="15.75" customHeight="1">
      <c r="A210" s="9" t="s">
        <v>3016</v>
      </c>
      <c r="C210" s="9" t="s">
        <v>6236</v>
      </c>
      <c r="D210" s="87" t="s">
        <v>6393</v>
      </c>
      <c r="E210" s="9" t="s">
        <v>431</v>
      </c>
      <c r="F210" s="9" t="s">
        <v>368</v>
      </c>
      <c r="G210" s="9" t="s">
        <v>436</v>
      </c>
      <c r="H210" s="9" t="s">
        <v>434</v>
      </c>
      <c r="I210" s="87" t="s">
        <v>6237</v>
      </c>
      <c r="J210" s="87" t="s">
        <v>3236</v>
      </c>
      <c r="K210" s="87" t="s">
        <v>6239</v>
      </c>
      <c r="L210" s="87" t="s">
        <v>6240</v>
      </c>
      <c r="M210" s="87" t="s">
        <v>6696</v>
      </c>
      <c r="N210" s="9" t="s">
        <v>6928</v>
      </c>
      <c r="O210" s="87" t="s">
        <v>6239</v>
      </c>
      <c r="P210" s="9" t="s">
        <v>6243</v>
      </c>
      <c r="Q210" s="87" t="s">
        <v>3764</v>
      </c>
      <c r="R210" s="87" t="s">
        <v>3236</v>
      </c>
      <c r="S210" s="87" t="s">
        <v>6327</v>
      </c>
      <c r="T210" s="87" t="s">
        <v>6645</v>
      </c>
    </row>
    <row r="211" spans="1:20" ht="15.75" customHeight="1">
      <c r="A211" s="9" t="s">
        <v>3016</v>
      </c>
      <c r="C211" s="9" t="s">
        <v>6236</v>
      </c>
      <c r="D211" s="87" t="s">
        <v>6393</v>
      </c>
      <c r="E211" s="9" t="s">
        <v>431</v>
      </c>
      <c r="F211" s="9" t="s">
        <v>368</v>
      </c>
      <c r="G211" s="9" t="s">
        <v>436</v>
      </c>
      <c r="H211" s="9" t="s">
        <v>434</v>
      </c>
      <c r="I211" s="87" t="s">
        <v>6237</v>
      </c>
      <c r="J211" s="87" t="s">
        <v>3236</v>
      </c>
      <c r="K211" s="87" t="s">
        <v>6642</v>
      </c>
      <c r="L211" s="87" t="s">
        <v>6240</v>
      </c>
      <c r="M211" s="87" t="s">
        <v>6694</v>
      </c>
      <c r="N211" s="9" t="s">
        <v>7062</v>
      </c>
      <c r="O211" s="87" t="s">
        <v>6642</v>
      </c>
      <c r="P211" s="9" t="s">
        <v>6243</v>
      </c>
      <c r="Q211" s="87" t="s">
        <v>6445</v>
      </c>
      <c r="R211" s="87" t="s">
        <v>3236</v>
      </c>
      <c r="S211" s="87" t="s">
        <v>6341</v>
      </c>
      <c r="T211" s="87" t="s">
        <v>6645</v>
      </c>
    </row>
    <row r="212" spans="1:20" ht="15.75" customHeight="1">
      <c r="A212" s="9" t="s">
        <v>3016</v>
      </c>
      <c r="C212" s="9" t="s">
        <v>6923</v>
      </c>
      <c r="D212" s="87" t="s">
        <v>6327</v>
      </c>
      <c r="E212" s="9" t="s">
        <v>6924</v>
      </c>
      <c r="F212" s="9" t="s">
        <v>6925</v>
      </c>
      <c r="G212" s="9" t="s">
        <v>383</v>
      </c>
      <c r="H212" s="9" t="s">
        <v>444</v>
      </c>
      <c r="I212" s="87" t="s">
        <v>6405</v>
      </c>
      <c r="J212" s="87" t="s">
        <v>6313</v>
      </c>
      <c r="K212" s="87" t="s">
        <v>6939</v>
      </c>
      <c r="L212" s="87" t="s">
        <v>6573</v>
      </c>
      <c r="M212" s="87" t="s">
        <v>7063</v>
      </c>
      <c r="N212" s="9" t="s">
        <v>7064</v>
      </c>
      <c r="O212" s="87" t="s">
        <v>6400</v>
      </c>
      <c r="P212" s="9" t="s">
        <v>6243</v>
      </c>
      <c r="Q212" s="87" t="s">
        <v>3870</v>
      </c>
      <c r="R212" s="87" t="s">
        <v>6313</v>
      </c>
      <c r="S212" s="87" t="s">
        <v>6251</v>
      </c>
      <c r="T212" s="87" t="s">
        <v>6428</v>
      </c>
    </row>
    <row r="213" spans="1:20" ht="15.75" customHeight="1">
      <c r="A213" s="9" t="s">
        <v>3016</v>
      </c>
      <c r="C213" s="9" t="s">
        <v>6923</v>
      </c>
      <c r="D213" s="87" t="s">
        <v>6327</v>
      </c>
      <c r="E213" s="9" t="s">
        <v>6924</v>
      </c>
      <c r="F213" s="9" t="s">
        <v>6925</v>
      </c>
      <c r="G213" s="9" t="s">
        <v>383</v>
      </c>
      <c r="H213" s="9" t="s">
        <v>444</v>
      </c>
      <c r="I213" s="87" t="s">
        <v>6405</v>
      </c>
      <c r="J213" s="87" t="s">
        <v>6313</v>
      </c>
      <c r="K213" s="87" t="s">
        <v>6931</v>
      </c>
      <c r="L213" s="87" t="s">
        <v>6573</v>
      </c>
      <c r="M213" s="87" t="s">
        <v>6692</v>
      </c>
      <c r="N213" s="9" t="s">
        <v>6945</v>
      </c>
      <c r="O213" s="87" t="s">
        <v>6500</v>
      </c>
      <c r="P213" s="9" t="s">
        <v>6243</v>
      </c>
      <c r="Q213" s="87" t="s">
        <v>3749</v>
      </c>
      <c r="R213" s="87" t="s">
        <v>6313</v>
      </c>
      <c r="S213" s="87" t="s">
        <v>6327</v>
      </c>
      <c r="T213" s="87" t="s">
        <v>6341</v>
      </c>
    </row>
    <row r="214" spans="1:20" ht="15.75" customHeight="1">
      <c r="A214" s="9" t="s">
        <v>3016</v>
      </c>
      <c r="C214" s="9" t="s">
        <v>6923</v>
      </c>
      <c r="D214" s="87" t="s">
        <v>6327</v>
      </c>
      <c r="E214" s="9" t="s">
        <v>6924</v>
      </c>
      <c r="F214" s="9" t="s">
        <v>6925</v>
      </c>
      <c r="G214" s="9" t="s">
        <v>383</v>
      </c>
      <c r="H214" s="9" t="s">
        <v>444</v>
      </c>
      <c r="I214" s="87" t="s">
        <v>6405</v>
      </c>
      <c r="J214" s="87" t="s">
        <v>6313</v>
      </c>
      <c r="K214" s="87" t="s">
        <v>6931</v>
      </c>
      <c r="L214" s="87" t="s">
        <v>6573</v>
      </c>
      <c r="M214" s="87" t="s">
        <v>6691</v>
      </c>
      <c r="N214" s="9" t="s">
        <v>6945</v>
      </c>
      <c r="O214" s="87" t="s">
        <v>6500</v>
      </c>
      <c r="P214" s="9" t="s">
        <v>6243</v>
      </c>
      <c r="Q214" s="87" t="s">
        <v>3749</v>
      </c>
      <c r="R214" s="87" t="s">
        <v>6313</v>
      </c>
      <c r="S214" s="87" t="s">
        <v>6327</v>
      </c>
      <c r="T214" s="87" t="s">
        <v>6341</v>
      </c>
    </row>
    <row r="215" spans="1:20" ht="15.75" customHeight="1">
      <c r="A215" s="9" t="s">
        <v>3016</v>
      </c>
      <c r="C215" s="9" t="s">
        <v>6923</v>
      </c>
      <c r="D215" s="87" t="s">
        <v>6327</v>
      </c>
      <c r="E215" s="9" t="s">
        <v>6924</v>
      </c>
      <c r="F215" s="9" t="s">
        <v>6925</v>
      </c>
      <c r="G215" s="9" t="s">
        <v>383</v>
      </c>
      <c r="H215" s="9" t="s">
        <v>444</v>
      </c>
      <c r="I215" s="87" t="s">
        <v>6405</v>
      </c>
      <c r="J215" s="87" t="s">
        <v>6313</v>
      </c>
      <c r="K215" s="87" t="s">
        <v>6931</v>
      </c>
      <c r="L215" s="87" t="s">
        <v>6573</v>
      </c>
      <c r="M215" s="87" t="s">
        <v>7065</v>
      </c>
      <c r="N215" s="9" t="s">
        <v>6945</v>
      </c>
      <c r="O215" s="87" t="s">
        <v>6500</v>
      </c>
      <c r="P215" s="9" t="s">
        <v>6243</v>
      </c>
      <c r="Q215" s="87" t="s">
        <v>3749</v>
      </c>
      <c r="R215" s="87" t="s">
        <v>6313</v>
      </c>
      <c r="S215" s="87" t="s">
        <v>6327</v>
      </c>
      <c r="T215" s="87" t="s">
        <v>6341</v>
      </c>
    </row>
    <row r="216" spans="1:20" ht="15.75" customHeight="1">
      <c r="A216" s="9" t="s">
        <v>3016</v>
      </c>
      <c r="C216" s="9" t="s">
        <v>6923</v>
      </c>
      <c r="D216" s="87" t="s">
        <v>6327</v>
      </c>
      <c r="E216" s="9" t="s">
        <v>6924</v>
      </c>
      <c r="F216" s="9" t="s">
        <v>6925</v>
      </c>
      <c r="G216" s="9" t="s">
        <v>383</v>
      </c>
      <c r="H216" s="9" t="s">
        <v>444</v>
      </c>
      <c r="I216" s="87" t="s">
        <v>6405</v>
      </c>
      <c r="J216" s="87" t="s">
        <v>6313</v>
      </c>
      <c r="K216" s="87" t="s">
        <v>6931</v>
      </c>
      <c r="L216" s="87" t="s">
        <v>6573</v>
      </c>
      <c r="M216" s="87" t="s">
        <v>6656</v>
      </c>
      <c r="N216" s="9" t="s">
        <v>6945</v>
      </c>
      <c r="O216" s="87" t="s">
        <v>6500</v>
      </c>
      <c r="P216" s="9" t="s">
        <v>6243</v>
      </c>
      <c r="Q216" s="87" t="s">
        <v>3749</v>
      </c>
      <c r="R216" s="87" t="s">
        <v>6313</v>
      </c>
      <c r="S216" s="87" t="s">
        <v>6327</v>
      </c>
      <c r="T216" s="87" t="s">
        <v>6341</v>
      </c>
    </row>
    <row r="217" spans="1:20" ht="15.75" customHeight="1">
      <c r="A217" s="9" t="s">
        <v>3016</v>
      </c>
      <c r="C217" s="9" t="s">
        <v>6923</v>
      </c>
      <c r="D217" s="87" t="s">
        <v>6327</v>
      </c>
      <c r="E217" s="9" t="s">
        <v>6924</v>
      </c>
      <c r="F217" s="9" t="s">
        <v>6925</v>
      </c>
      <c r="G217" s="9" t="s">
        <v>383</v>
      </c>
      <c r="H217" s="9" t="s">
        <v>444</v>
      </c>
      <c r="I217" s="87" t="s">
        <v>6405</v>
      </c>
      <c r="J217" s="87" t="s">
        <v>6313</v>
      </c>
      <c r="K217" s="87" t="s">
        <v>6926</v>
      </c>
      <c r="L217" s="87" t="s">
        <v>6573</v>
      </c>
      <c r="M217" s="87" t="s">
        <v>6657</v>
      </c>
      <c r="N217" s="9" t="s">
        <v>6970</v>
      </c>
      <c r="O217" s="87" t="s">
        <v>6570</v>
      </c>
      <c r="P217" s="9" t="s">
        <v>6243</v>
      </c>
      <c r="Q217" s="87" t="s">
        <v>6573</v>
      </c>
      <c r="R217" s="87" t="s">
        <v>6313</v>
      </c>
      <c r="S217" s="87" t="s">
        <v>6333</v>
      </c>
      <c r="T217" s="87" t="s">
        <v>6341</v>
      </c>
    </row>
    <row r="218" spans="1:20" ht="15.75" customHeight="1">
      <c r="A218" s="9" t="s">
        <v>2915</v>
      </c>
      <c r="C218" s="9" t="s">
        <v>6236</v>
      </c>
      <c r="D218" s="87" t="s">
        <v>6393</v>
      </c>
      <c r="E218" s="9" t="s">
        <v>431</v>
      </c>
      <c r="F218" s="9" t="s">
        <v>368</v>
      </c>
      <c r="G218" s="9" t="s">
        <v>436</v>
      </c>
      <c r="H218" s="9" t="s">
        <v>434</v>
      </c>
      <c r="I218" s="87" t="s">
        <v>6237</v>
      </c>
      <c r="J218" s="87" t="s">
        <v>6238</v>
      </c>
      <c r="K218" s="87" t="s">
        <v>6239</v>
      </c>
      <c r="L218" s="87" t="s">
        <v>6240</v>
      </c>
      <c r="M218" s="87" t="s">
        <v>6656</v>
      </c>
      <c r="N218" s="9" t="s">
        <v>6928</v>
      </c>
      <c r="O218" s="87" t="s">
        <v>6239</v>
      </c>
      <c r="P218" s="9" t="s">
        <v>6243</v>
      </c>
      <c r="Q218" s="87" t="s">
        <v>3764</v>
      </c>
      <c r="R218" s="87" t="s">
        <v>6238</v>
      </c>
      <c r="S218" s="87" t="s">
        <v>6327</v>
      </c>
      <c r="T218" s="87" t="s">
        <v>6645</v>
      </c>
    </row>
    <row r="219" spans="1:20" ht="15.75" customHeight="1">
      <c r="A219" s="9" t="s">
        <v>2915</v>
      </c>
      <c r="C219" s="9" t="s">
        <v>6236</v>
      </c>
      <c r="D219" s="87" t="s">
        <v>6393</v>
      </c>
      <c r="E219" s="9" t="s">
        <v>431</v>
      </c>
      <c r="F219" s="9" t="s">
        <v>368</v>
      </c>
      <c r="G219" s="9" t="s">
        <v>436</v>
      </c>
      <c r="H219" s="9" t="s">
        <v>434</v>
      </c>
      <c r="I219" s="87" t="s">
        <v>6237</v>
      </c>
      <c r="J219" s="87" t="s">
        <v>6238</v>
      </c>
      <c r="K219" s="87" t="s">
        <v>6245</v>
      </c>
      <c r="L219" s="87" t="s">
        <v>6240</v>
      </c>
      <c r="M219" s="87" t="s">
        <v>6657</v>
      </c>
      <c r="N219" s="9" t="s">
        <v>7000</v>
      </c>
      <c r="O219" s="87" t="s">
        <v>6245</v>
      </c>
      <c r="P219" s="9" t="s">
        <v>6243</v>
      </c>
      <c r="Q219" s="87" t="s">
        <v>6238</v>
      </c>
      <c r="R219" s="87" t="s">
        <v>6238</v>
      </c>
      <c r="S219" s="87" t="s">
        <v>6500</v>
      </c>
      <c r="T219" s="87" t="s">
        <v>6645</v>
      </c>
    </row>
    <row r="220" spans="1:20" ht="15.75" customHeight="1">
      <c r="A220" s="9" t="s">
        <v>2915</v>
      </c>
      <c r="C220" s="9" t="s">
        <v>6671</v>
      </c>
      <c r="D220" s="87" t="s">
        <v>6296</v>
      </c>
      <c r="E220" s="9" t="s">
        <v>6672</v>
      </c>
      <c r="F220" s="9" t="s">
        <v>439</v>
      </c>
      <c r="G220" s="9" t="s">
        <v>436</v>
      </c>
      <c r="H220" s="9" t="s">
        <v>440</v>
      </c>
      <c r="I220" s="87" t="s">
        <v>6405</v>
      </c>
      <c r="J220" s="87" t="s">
        <v>6357</v>
      </c>
      <c r="K220" s="87" t="s">
        <v>6357</v>
      </c>
      <c r="L220" s="87" t="s">
        <v>6240</v>
      </c>
      <c r="M220" s="87" t="s">
        <v>6689</v>
      </c>
      <c r="N220" s="9" t="s">
        <v>7027</v>
      </c>
      <c r="O220" s="87" t="s">
        <v>6357</v>
      </c>
      <c r="P220" s="9" t="s">
        <v>6243</v>
      </c>
      <c r="Q220" s="87" t="s">
        <v>6565</v>
      </c>
      <c r="R220" s="87" t="s">
        <v>6357</v>
      </c>
      <c r="S220" s="87" t="s">
        <v>6329</v>
      </c>
      <c r="T220" s="87" t="s">
        <v>6645</v>
      </c>
    </row>
    <row r="221" spans="1:20" ht="15.75" customHeight="1">
      <c r="A221" s="9" t="s">
        <v>2915</v>
      </c>
      <c r="C221" s="9" t="s">
        <v>6923</v>
      </c>
      <c r="D221" s="87" t="s">
        <v>6461</v>
      </c>
      <c r="E221" s="9" t="s">
        <v>6924</v>
      </c>
      <c r="F221" s="9" t="s">
        <v>6925</v>
      </c>
      <c r="G221" s="9" t="s">
        <v>383</v>
      </c>
      <c r="H221" s="9" t="s">
        <v>427</v>
      </c>
      <c r="I221" s="87" t="s">
        <v>6405</v>
      </c>
      <c r="J221" s="87" t="s">
        <v>6290</v>
      </c>
      <c r="K221" s="87" t="s">
        <v>6939</v>
      </c>
      <c r="L221" s="87" t="s">
        <v>5374</v>
      </c>
      <c r="M221" s="87" t="s">
        <v>7066</v>
      </c>
      <c r="N221" s="9" t="s">
        <v>6940</v>
      </c>
      <c r="O221" s="87" t="s">
        <v>6333</v>
      </c>
      <c r="P221" s="9" t="s">
        <v>6243</v>
      </c>
      <c r="Q221" s="87" t="s">
        <v>6575</v>
      </c>
      <c r="R221" s="87" t="s">
        <v>6290</v>
      </c>
      <c r="S221" s="87" t="s">
        <v>6570</v>
      </c>
      <c r="T221" s="87" t="s">
        <v>6341</v>
      </c>
    </row>
    <row r="222" spans="1:20" ht="15.75" customHeight="1">
      <c r="A222" s="9" t="s">
        <v>2915</v>
      </c>
      <c r="C222" s="9" t="s">
        <v>6923</v>
      </c>
      <c r="D222" s="87" t="s">
        <v>6461</v>
      </c>
      <c r="E222" s="9" t="s">
        <v>6924</v>
      </c>
      <c r="F222" s="9" t="s">
        <v>6925</v>
      </c>
      <c r="G222" s="9" t="s">
        <v>383</v>
      </c>
      <c r="H222" s="9" t="s">
        <v>427</v>
      </c>
      <c r="I222" s="87" t="s">
        <v>6405</v>
      </c>
      <c r="J222" s="87" t="s">
        <v>6290</v>
      </c>
      <c r="K222" s="87" t="s">
        <v>6939</v>
      </c>
      <c r="L222" s="87" t="s">
        <v>5374</v>
      </c>
      <c r="M222" s="87" t="s">
        <v>7067</v>
      </c>
      <c r="N222" s="9" t="s">
        <v>6940</v>
      </c>
      <c r="O222" s="87" t="s">
        <v>6333</v>
      </c>
      <c r="P222" s="9" t="s">
        <v>6243</v>
      </c>
      <c r="Q222" s="87" t="s">
        <v>6575</v>
      </c>
      <c r="R222" s="87" t="s">
        <v>6290</v>
      </c>
      <c r="S222" s="87" t="s">
        <v>6570</v>
      </c>
      <c r="T222" s="87" t="s">
        <v>6341</v>
      </c>
    </row>
    <row r="223" spans="1:20" ht="15.75" customHeight="1">
      <c r="A223" s="9" t="s">
        <v>2915</v>
      </c>
      <c r="C223" s="9" t="s">
        <v>6923</v>
      </c>
      <c r="D223" s="87" t="s">
        <v>6461</v>
      </c>
      <c r="E223" s="9" t="s">
        <v>6924</v>
      </c>
      <c r="F223" s="9" t="s">
        <v>6925</v>
      </c>
      <c r="G223" s="9" t="s">
        <v>383</v>
      </c>
      <c r="H223" s="9" t="s">
        <v>427</v>
      </c>
      <c r="I223" s="87" t="s">
        <v>6405</v>
      </c>
      <c r="J223" s="87" t="s">
        <v>6290</v>
      </c>
      <c r="K223" s="87" t="s">
        <v>6939</v>
      </c>
      <c r="L223" s="87" t="s">
        <v>5374</v>
      </c>
      <c r="M223" s="87" t="s">
        <v>7068</v>
      </c>
      <c r="N223" s="9" t="s">
        <v>6940</v>
      </c>
      <c r="O223" s="87" t="s">
        <v>6333</v>
      </c>
      <c r="P223" s="9" t="s">
        <v>6243</v>
      </c>
      <c r="Q223" s="87" t="s">
        <v>6575</v>
      </c>
      <c r="R223" s="87" t="s">
        <v>6290</v>
      </c>
      <c r="S223" s="87" t="s">
        <v>6570</v>
      </c>
      <c r="T223" s="87" t="s">
        <v>6341</v>
      </c>
    </row>
    <row r="224" spans="1:20" ht="15.75" customHeight="1">
      <c r="A224" s="9" t="s">
        <v>2915</v>
      </c>
      <c r="C224" s="9" t="s">
        <v>6923</v>
      </c>
      <c r="D224" s="87" t="s">
        <v>6461</v>
      </c>
      <c r="E224" s="9" t="s">
        <v>6924</v>
      </c>
      <c r="F224" s="9" t="s">
        <v>6925</v>
      </c>
      <c r="G224" s="9" t="s">
        <v>383</v>
      </c>
      <c r="H224" s="9" t="s">
        <v>427</v>
      </c>
      <c r="I224" s="87" t="s">
        <v>6405</v>
      </c>
      <c r="J224" s="87" t="s">
        <v>6290</v>
      </c>
      <c r="K224" s="87" t="s">
        <v>6939</v>
      </c>
      <c r="L224" s="87" t="s">
        <v>5374</v>
      </c>
      <c r="M224" s="87" t="s">
        <v>7069</v>
      </c>
      <c r="N224" s="9" t="s">
        <v>6940</v>
      </c>
      <c r="O224" s="87" t="s">
        <v>6333</v>
      </c>
      <c r="P224" s="9" t="s">
        <v>6243</v>
      </c>
      <c r="Q224" s="87" t="s">
        <v>6575</v>
      </c>
      <c r="R224" s="87" t="s">
        <v>6290</v>
      </c>
      <c r="S224" s="87" t="s">
        <v>6570</v>
      </c>
      <c r="T224" s="87" t="s">
        <v>6341</v>
      </c>
    </row>
    <row r="225" spans="1:20" ht="15.75" customHeight="1">
      <c r="A225" s="9" t="s">
        <v>2915</v>
      </c>
      <c r="C225" s="9" t="s">
        <v>6923</v>
      </c>
      <c r="D225" s="87" t="s">
        <v>6461</v>
      </c>
      <c r="E225" s="9" t="s">
        <v>6924</v>
      </c>
      <c r="F225" s="9" t="s">
        <v>6925</v>
      </c>
      <c r="G225" s="9" t="s">
        <v>383</v>
      </c>
      <c r="H225" s="9" t="s">
        <v>427</v>
      </c>
      <c r="I225" s="87" t="s">
        <v>6405</v>
      </c>
      <c r="J225" s="87" t="s">
        <v>6290</v>
      </c>
      <c r="K225" s="87" t="s">
        <v>6939</v>
      </c>
      <c r="L225" s="87" t="s">
        <v>5374</v>
      </c>
      <c r="M225" s="87" t="s">
        <v>7070</v>
      </c>
      <c r="N225" s="9" t="s">
        <v>6940</v>
      </c>
      <c r="O225" s="87" t="s">
        <v>6333</v>
      </c>
      <c r="P225" s="9" t="s">
        <v>6243</v>
      </c>
      <c r="Q225" s="87" t="s">
        <v>6575</v>
      </c>
      <c r="R225" s="87" t="s">
        <v>6290</v>
      </c>
      <c r="S225" s="87" t="s">
        <v>6570</v>
      </c>
      <c r="T225" s="87" t="s">
        <v>6341</v>
      </c>
    </row>
    <row r="226" spans="1:20" ht="15.75" customHeight="1">
      <c r="A226" s="9" t="s">
        <v>2936</v>
      </c>
      <c r="C226" s="9" t="s">
        <v>6236</v>
      </c>
      <c r="D226" s="87" t="s">
        <v>6393</v>
      </c>
      <c r="E226" s="9" t="s">
        <v>431</v>
      </c>
      <c r="F226" s="9" t="s">
        <v>368</v>
      </c>
      <c r="G226" s="9" t="s">
        <v>436</v>
      </c>
      <c r="H226" s="9" t="s">
        <v>434</v>
      </c>
      <c r="I226" s="87" t="s">
        <v>6264</v>
      </c>
      <c r="J226" s="87" t="s">
        <v>6375</v>
      </c>
      <c r="K226" s="87" t="s">
        <v>6255</v>
      </c>
      <c r="L226" s="87" t="s">
        <v>6240</v>
      </c>
      <c r="M226" s="87" t="s">
        <v>6637</v>
      </c>
      <c r="N226" s="9" t="s">
        <v>7071</v>
      </c>
      <c r="O226" s="87" t="s">
        <v>6255</v>
      </c>
      <c r="P226" s="9" t="s">
        <v>6243</v>
      </c>
      <c r="Q226" s="87" t="s">
        <v>4947</v>
      </c>
      <c r="R226" s="87" t="s">
        <v>6375</v>
      </c>
      <c r="S226" s="87" t="s">
        <v>6327</v>
      </c>
      <c r="T226" s="87" t="s">
        <v>6294</v>
      </c>
    </row>
    <row r="227" spans="1:20" ht="15.75" customHeight="1">
      <c r="A227" s="9" t="s">
        <v>2936</v>
      </c>
      <c r="C227" s="9" t="s">
        <v>6236</v>
      </c>
      <c r="D227" s="87" t="s">
        <v>6393</v>
      </c>
      <c r="E227" s="9" t="s">
        <v>431</v>
      </c>
      <c r="F227" s="9" t="s">
        <v>368</v>
      </c>
      <c r="G227" s="9" t="s">
        <v>436</v>
      </c>
      <c r="H227" s="9" t="s">
        <v>434</v>
      </c>
      <c r="I227" s="87" t="s">
        <v>6264</v>
      </c>
      <c r="J227" s="87" t="s">
        <v>6375</v>
      </c>
      <c r="K227" s="87" t="s">
        <v>6239</v>
      </c>
      <c r="L227" s="87" t="s">
        <v>6240</v>
      </c>
      <c r="M227" s="87" t="s">
        <v>6638</v>
      </c>
      <c r="N227" s="9" t="s">
        <v>6928</v>
      </c>
      <c r="O227" s="87" t="s">
        <v>6239</v>
      </c>
      <c r="P227" s="9" t="s">
        <v>6243</v>
      </c>
      <c r="Q227" s="87" t="s">
        <v>3764</v>
      </c>
      <c r="R227" s="87" t="s">
        <v>6375</v>
      </c>
      <c r="S227" s="87" t="s">
        <v>6327</v>
      </c>
      <c r="T227" s="87" t="s">
        <v>6645</v>
      </c>
    </row>
    <row r="228" spans="1:20" ht="15.75" customHeight="1">
      <c r="A228" s="9" t="s">
        <v>2936</v>
      </c>
      <c r="C228" s="9" t="s">
        <v>6236</v>
      </c>
      <c r="D228" s="87" t="s">
        <v>6393</v>
      </c>
      <c r="E228" s="9" t="s">
        <v>431</v>
      </c>
      <c r="F228" s="9" t="s">
        <v>368</v>
      </c>
      <c r="G228" s="9" t="s">
        <v>436</v>
      </c>
      <c r="H228" s="9" t="s">
        <v>434</v>
      </c>
      <c r="I228" s="87" t="s">
        <v>6264</v>
      </c>
      <c r="J228" s="87" t="s">
        <v>6375</v>
      </c>
      <c r="K228" s="87" t="s">
        <v>6239</v>
      </c>
      <c r="L228" s="87" t="s">
        <v>6240</v>
      </c>
      <c r="M228" s="87" t="s">
        <v>6763</v>
      </c>
      <c r="N228" s="9" t="s">
        <v>6928</v>
      </c>
      <c r="O228" s="87" t="s">
        <v>6239</v>
      </c>
      <c r="P228" s="9" t="s">
        <v>6243</v>
      </c>
      <c r="Q228" s="87" t="s">
        <v>3764</v>
      </c>
      <c r="R228" s="87" t="s">
        <v>6375</v>
      </c>
      <c r="S228" s="87" t="s">
        <v>6327</v>
      </c>
      <c r="T228" s="87" t="s">
        <v>6645</v>
      </c>
    </row>
    <row r="229" spans="1:20" ht="15.75" customHeight="1">
      <c r="A229" s="9" t="s">
        <v>2936</v>
      </c>
      <c r="C229" s="9" t="s">
        <v>6236</v>
      </c>
      <c r="D229" s="87" t="s">
        <v>6393</v>
      </c>
      <c r="E229" s="9" t="s">
        <v>431</v>
      </c>
      <c r="F229" s="9" t="s">
        <v>368</v>
      </c>
      <c r="G229" s="9" t="s">
        <v>436</v>
      </c>
      <c r="H229" s="9" t="s">
        <v>434</v>
      </c>
      <c r="I229" s="87" t="s">
        <v>6264</v>
      </c>
      <c r="J229" s="87" t="s">
        <v>6375</v>
      </c>
      <c r="K229" s="87" t="s">
        <v>6264</v>
      </c>
      <c r="L229" s="87" t="s">
        <v>6240</v>
      </c>
      <c r="M229" s="87" t="s">
        <v>6647</v>
      </c>
      <c r="N229" s="9" t="s">
        <v>7072</v>
      </c>
      <c r="O229" s="87" t="s">
        <v>6264</v>
      </c>
      <c r="P229" s="9" t="s">
        <v>6243</v>
      </c>
      <c r="Q229" s="87" t="s">
        <v>6313</v>
      </c>
      <c r="R229" s="87" t="s">
        <v>6375</v>
      </c>
      <c r="S229" s="87" t="s">
        <v>6474</v>
      </c>
      <c r="T229" s="87" t="s">
        <v>6645</v>
      </c>
    </row>
    <row r="230" spans="1:20" ht="15.75" customHeight="1">
      <c r="A230" s="9" t="s">
        <v>2936</v>
      </c>
      <c r="C230" s="9" t="s">
        <v>6671</v>
      </c>
      <c r="D230" s="87" t="s">
        <v>6414</v>
      </c>
      <c r="E230" s="9" t="s">
        <v>6672</v>
      </c>
      <c r="F230" s="9" t="s">
        <v>439</v>
      </c>
      <c r="G230" s="9" t="s">
        <v>436</v>
      </c>
      <c r="H230" s="9" t="s">
        <v>440</v>
      </c>
      <c r="I230" s="87" t="s">
        <v>6405</v>
      </c>
      <c r="J230" s="87" t="s">
        <v>6796</v>
      </c>
      <c r="K230" s="87" t="s">
        <v>6239</v>
      </c>
      <c r="L230" s="87" t="s">
        <v>6240</v>
      </c>
      <c r="M230" s="87" t="s">
        <v>6648</v>
      </c>
      <c r="N230" s="9" t="s">
        <v>6928</v>
      </c>
      <c r="O230" s="87" t="s">
        <v>6239</v>
      </c>
      <c r="P230" s="9" t="s">
        <v>6243</v>
      </c>
      <c r="Q230" s="87" t="s">
        <v>3764</v>
      </c>
      <c r="R230" s="87" t="s">
        <v>6796</v>
      </c>
      <c r="S230" s="87" t="s">
        <v>6327</v>
      </c>
      <c r="T230" s="87" t="s">
        <v>6645</v>
      </c>
    </row>
    <row r="231" spans="1:20" ht="15.75" customHeight="1">
      <c r="A231" s="9" t="s">
        <v>2936</v>
      </c>
      <c r="C231" s="9" t="s">
        <v>6671</v>
      </c>
      <c r="D231" s="87" t="s">
        <v>6414</v>
      </c>
      <c r="E231" s="9" t="s">
        <v>6672</v>
      </c>
      <c r="F231" s="9" t="s">
        <v>439</v>
      </c>
      <c r="G231" s="9" t="s">
        <v>436</v>
      </c>
      <c r="H231" s="9" t="s">
        <v>440</v>
      </c>
      <c r="I231" s="87" t="s">
        <v>6405</v>
      </c>
      <c r="J231" s="87" t="s">
        <v>6796</v>
      </c>
      <c r="K231" s="87" t="s">
        <v>6239</v>
      </c>
      <c r="L231" s="87" t="s">
        <v>6240</v>
      </c>
      <c r="M231" s="87" t="s">
        <v>6649</v>
      </c>
      <c r="N231" s="9" t="s">
        <v>6928</v>
      </c>
      <c r="O231" s="87" t="s">
        <v>6239</v>
      </c>
      <c r="P231" s="9" t="s">
        <v>6243</v>
      </c>
      <c r="Q231" s="87" t="s">
        <v>3764</v>
      </c>
      <c r="R231" s="87" t="s">
        <v>6796</v>
      </c>
      <c r="S231" s="87" t="s">
        <v>6327</v>
      </c>
      <c r="T231" s="87" t="s">
        <v>6645</v>
      </c>
    </row>
    <row r="232" spans="1:20" ht="15.75" customHeight="1">
      <c r="A232" s="9" t="s">
        <v>2936</v>
      </c>
      <c r="C232" s="9" t="s">
        <v>6671</v>
      </c>
      <c r="D232" s="87" t="s">
        <v>6414</v>
      </c>
      <c r="E232" s="9" t="s">
        <v>6672</v>
      </c>
      <c r="F232" s="9" t="s">
        <v>439</v>
      </c>
      <c r="G232" s="9" t="s">
        <v>436</v>
      </c>
      <c r="H232" s="9" t="s">
        <v>440</v>
      </c>
      <c r="I232" s="87" t="s">
        <v>6405</v>
      </c>
      <c r="J232" s="87" t="s">
        <v>6796</v>
      </c>
      <c r="K232" s="87" t="s">
        <v>6239</v>
      </c>
      <c r="L232" s="87" t="s">
        <v>6240</v>
      </c>
      <c r="M232" s="87" t="s">
        <v>6650</v>
      </c>
      <c r="N232" s="9" t="s">
        <v>6928</v>
      </c>
      <c r="O232" s="87" t="s">
        <v>6239</v>
      </c>
      <c r="P232" s="9" t="s">
        <v>6243</v>
      </c>
      <c r="Q232" s="87" t="s">
        <v>3764</v>
      </c>
      <c r="R232" s="87" t="s">
        <v>6796</v>
      </c>
      <c r="S232" s="87" t="s">
        <v>6327</v>
      </c>
      <c r="T232" s="87" t="s">
        <v>6645</v>
      </c>
    </row>
    <row r="233" spans="1:20" ht="15.75" customHeight="1">
      <c r="A233" s="9" t="s">
        <v>2936</v>
      </c>
      <c r="C233" s="9" t="s">
        <v>6671</v>
      </c>
      <c r="D233" s="87" t="s">
        <v>6414</v>
      </c>
      <c r="E233" s="9" t="s">
        <v>6672</v>
      </c>
      <c r="F233" s="9" t="s">
        <v>439</v>
      </c>
      <c r="G233" s="9" t="s">
        <v>436</v>
      </c>
      <c r="H233" s="9" t="s">
        <v>440</v>
      </c>
      <c r="I233" s="87" t="s">
        <v>6405</v>
      </c>
      <c r="J233" s="87" t="s">
        <v>6796</v>
      </c>
      <c r="K233" s="87" t="s">
        <v>6239</v>
      </c>
      <c r="L233" s="87" t="s">
        <v>6240</v>
      </c>
      <c r="M233" s="87" t="s">
        <v>6700</v>
      </c>
      <c r="N233" s="9" t="s">
        <v>6928</v>
      </c>
      <c r="O233" s="87" t="s">
        <v>6239</v>
      </c>
      <c r="P233" s="9" t="s">
        <v>6243</v>
      </c>
      <c r="Q233" s="87" t="s">
        <v>3764</v>
      </c>
      <c r="R233" s="87" t="s">
        <v>6796</v>
      </c>
      <c r="S233" s="87" t="s">
        <v>6327</v>
      </c>
      <c r="T233" s="87" t="s">
        <v>6645</v>
      </c>
    </row>
    <row r="234" spans="1:20" ht="15.75" customHeight="1">
      <c r="A234" s="9" t="s">
        <v>2936</v>
      </c>
      <c r="C234" s="9" t="s">
        <v>6671</v>
      </c>
      <c r="D234" s="87" t="s">
        <v>6414</v>
      </c>
      <c r="E234" s="9" t="s">
        <v>6672</v>
      </c>
      <c r="F234" s="9" t="s">
        <v>439</v>
      </c>
      <c r="G234" s="9" t="s">
        <v>436</v>
      </c>
      <c r="H234" s="9" t="s">
        <v>440</v>
      </c>
      <c r="I234" s="87" t="s">
        <v>6405</v>
      </c>
      <c r="J234" s="87" t="s">
        <v>6796</v>
      </c>
      <c r="K234" s="87" t="s">
        <v>6367</v>
      </c>
      <c r="L234" s="87" t="s">
        <v>6240</v>
      </c>
      <c r="M234" s="87" t="s">
        <v>6699</v>
      </c>
      <c r="N234" s="9" t="s">
        <v>7057</v>
      </c>
      <c r="O234" s="87" t="s">
        <v>6367</v>
      </c>
      <c r="P234" s="9" t="s">
        <v>6243</v>
      </c>
      <c r="Q234" s="87" t="s">
        <v>6814</v>
      </c>
      <c r="R234" s="87" t="s">
        <v>6796</v>
      </c>
      <c r="S234" s="87" t="s">
        <v>6528</v>
      </c>
      <c r="T234" s="87" t="s">
        <v>6645</v>
      </c>
    </row>
    <row r="235" spans="1:20" ht="15.75" customHeight="1">
      <c r="A235" s="9" t="s">
        <v>2936</v>
      </c>
      <c r="C235" s="9" t="s">
        <v>6923</v>
      </c>
      <c r="D235" s="87" t="s">
        <v>6327</v>
      </c>
      <c r="E235" s="9" t="s">
        <v>6924</v>
      </c>
      <c r="F235" s="9" t="s">
        <v>6925</v>
      </c>
      <c r="G235" s="9" t="s">
        <v>383</v>
      </c>
      <c r="H235" s="9" t="s">
        <v>444</v>
      </c>
      <c r="I235" s="87" t="s">
        <v>6405</v>
      </c>
      <c r="J235" s="87" t="s">
        <v>6240</v>
      </c>
      <c r="K235" s="87" t="s">
        <v>6939</v>
      </c>
      <c r="L235" s="87" t="s">
        <v>6448</v>
      </c>
      <c r="M235" s="87" t="s">
        <v>6696</v>
      </c>
      <c r="N235" s="9" t="s">
        <v>6955</v>
      </c>
      <c r="O235" s="87" t="s">
        <v>6360</v>
      </c>
      <c r="P235" s="9" t="s">
        <v>6243</v>
      </c>
      <c r="Q235" s="87" t="s">
        <v>6776</v>
      </c>
      <c r="R235" s="87" t="s">
        <v>6240</v>
      </c>
      <c r="S235" s="87" t="s">
        <v>6255</v>
      </c>
      <c r="T235" s="87" t="s">
        <v>6341</v>
      </c>
    </row>
    <row r="236" spans="1:20" ht="15.75" customHeight="1">
      <c r="A236" s="9" t="s">
        <v>2936</v>
      </c>
      <c r="C236" s="9" t="s">
        <v>6923</v>
      </c>
      <c r="D236" s="87" t="s">
        <v>6327</v>
      </c>
      <c r="E236" s="9" t="s">
        <v>6924</v>
      </c>
      <c r="F236" s="9" t="s">
        <v>6925</v>
      </c>
      <c r="G236" s="9" t="s">
        <v>383</v>
      </c>
      <c r="H236" s="9" t="s">
        <v>444</v>
      </c>
      <c r="I236" s="87" t="s">
        <v>6405</v>
      </c>
      <c r="J236" s="87" t="s">
        <v>6240</v>
      </c>
      <c r="K236" s="87" t="s">
        <v>6939</v>
      </c>
      <c r="L236" s="87" t="s">
        <v>6448</v>
      </c>
      <c r="M236" s="87" t="s">
        <v>6694</v>
      </c>
      <c r="N236" s="9" t="s">
        <v>6955</v>
      </c>
      <c r="O236" s="87" t="s">
        <v>6360</v>
      </c>
      <c r="P236" s="9" t="s">
        <v>6243</v>
      </c>
      <c r="Q236" s="87" t="s">
        <v>6776</v>
      </c>
      <c r="R236" s="87" t="s">
        <v>6240</v>
      </c>
      <c r="S236" s="87" t="s">
        <v>6255</v>
      </c>
      <c r="T236" s="87" t="s">
        <v>6341</v>
      </c>
    </row>
    <row r="237" spans="1:20" ht="15.75" customHeight="1">
      <c r="A237" s="9" t="s">
        <v>2936</v>
      </c>
      <c r="C237" s="9" t="s">
        <v>6923</v>
      </c>
      <c r="D237" s="87" t="s">
        <v>6327</v>
      </c>
      <c r="E237" s="9" t="s">
        <v>6924</v>
      </c>
      <c r="F237" s="9" t="s">
        <v>6925</v>
      </c>
      <c r="G237" s="9" t="s">
        <v>383</v>
      </c>
      <c r="H237" s="9" t="s">
        <v>444</v>
      </c>
      <c r="I237" s="87" t="s">
        <v>6405</v>
      </c>
      <c r="J237" s="87" t="s">
        <v>6240</v>
      </c>
      <c r="K237" s="87" t="s">
        <v>6926</v>
      </c>
      <c r="L237" s="87" t="s">
        <v>6448</v>
      </c>
      <c r="M237" s="87" t="s">
        <v>7063</v>
      </c>
      <c r="N237" s="9" t="s">
        <v>7073</v>
      </c>
      <c r="O237" s="87" t="s">
        <v>6329</v>
      </c>
      <c r="P237" s="9" t="s">
        <v>6243</v>
      </c>
      <c r="Q237" s="87" t="s">
        <v>6448</v>
      </c>
      <c r="R237" s="87" t="s">
        <v>6240</v>
      </c>
      <c r="S237" s="87" t="s">
        <v>6401</v>
      </c>
      <c r="T237" s="87" t="s">
        <v>6341</v>
      </c>
    </row>
    <row r="238" spans="1:20" ht="15.75" customHeight="1">
      <c r="A238" s="9" t="s">
        <v>2959</v>
      </c>
      <c r="C238" s="9" t="s">
        <v>6236</v>
      </c>
      <c r="D238" s="87" t="s">
        <v>6393</v>
      </c>
      <c r="E238" s="9" t="s">
        <v>431</v>
      </c>
      <c r="F238" s="9" t="s">
        <v>368</v>
      </c>
      <c r="G238" s="9" t="s">
        <v>436</v>
      </c>
      <c r="H238" s="9" t="s">
        <v>434</v>
      </c>
      <c r="I238" s="87" t="s">
        <v>6237</v>
      </c>
      <c r="J238" s="87" t="s">
        <v>6299</v>
      </c>
      <c r="K238" s="87" t="s">
        <v>6299</v>
      </c>
      <c r="L238" s="87" t="s">
        <v>6240</v>
      </c>
      <c r="M238" s="87" t="s">
        <v>6431</v>
      </c>
      <c r="N238" s="9" t="s">
        <v>7074</v>
      </c>
      <c r="O238" s="87" t="s">
        <v>6299</v>
      </c>
      <c r="P238" s="9" t="s">
        <v>6243</v>
      </c>
      <c r="Q238" s="87" t="s">
        <v>3231</v>
      </c>
      <c r="R238" s="87" t="s">
        <v>6299</v>
      </c>
      <c r="S238" s="87" t="s">
        <v>6404</v>
      </c>
      <c r="T238" s="87" t="s">
        <v>6239</v>
      </c>
    </row>
    <row r="239" spans="1:20" ht="15.75" customHeight="1">
      <c r="A239" s="9" t="s">
        <v>2959</v>
      </c>
      <c r="C239" s="9" t="s">
        <v>6671</v>
      </c>
      <c r="D239" s="87" t="s">
        <v>6296</v>
      </c>
      <c r="E239" s="9" t="s">
        <v>6672</v>
      </c>
      <c r="F239" s="9" t="s">
        <v>439</v>
      </c>
      <c r="G239" s="9" t="s">
        <v>436</v>
      </c>
      <c r="H239" s="9" t="s">
        <v>440</v>
      </c>
      <c r="I239" s="87" t="s">
        <v>6405</v>
      </c>
      <c r="J239" s="87" t="s">
        <v>6245</v>
      </c>
      <c r="K239" s="87" t="s">
        <v>6245</v>
      </c>
      <c r="L239" s="87" t="s">
        <v>6240</v>
      </c>
      <c r="M239" s="87" t="s">
        <v>6828</v>
      </c>
      <c r="N239" s="9" t="s">
        <v>7075</v>
      </c>
      <c r="O239" s="87" t="s">
        <v>6245</v>
      </c>
      <c r="P239" s="9" t="s">
        <v>6243</v>
      </c>
      <c r="Q239" s="87" t="s">
        <v>6238</v>
      </c>
      <c r="R239" s="87" t="s">
        <v>6245</v>
      </c>
      <c r="S239" s="87" t="s">
        <v>6619</v>
      </c>
      <c r="T239" s="87" t="s">
        <v>6733</v>
      </c>
    </row>
    <row r="240" spans="1:20" ht="15.75" customHeight="1">
      <c r="A240" s="9" t="s">
        <v>2959</v>
      </c>
      <c r="C240" s="9" t="s">
        <v>6923</v>
      </c>
      <c r="D240" s="87" t="s">
        <v>6327</v>
      </c>
      <c r="E240" s="9" t="s">
        <v>6924</v>
      </c>
      <c r="F240" s="9" t="s">
        <v>6925</v>
      </c>
      <c r="G240" s="9" t="s">
        <v>383</v>
      </c>
      <c r="H240" s="9" t="s">
        <v>444</v>
      </c>
      <c r="I240" s="87" t="s">
        <v>6405</v>
      </c>
      <c r="J240" s="87" t="s">
        <v>6405</v>
      </c>
      <c r="K240" s="87" t="s">
        <v>6926</v>
      </c>
      <c r="L240" s="87" t="s">
        <v>5381</v>
      </c>
      <c r="M240" s="87" t="s">
        <v>6826</v>
      </c>
      <c r="N240" s="9" t="s">
        <v>7076</v>
      </c>
      <c r="O240" s="87" t="s">
        <v>6348</v>
      </c>
      <c r="P240" s="9" t="s">
        <v>6243</v>
      </c>
      <c r="Q240" s="87" t="s">
        <v>5381</v>
      </c>
      <c r="R240" s="87" t="s">
        <v>6405</v>
      </c>
      <c r="S240" s="87" t="s">
        <v>6409</v>
      </c>
      <c r="T240" s="87" t="s">
        <v>6326</v>
      </c>
    </row>
    <row r="241" spans="1:20" ht="15.75" customHeight="1">
      <c r="A241" s="9" t="s">
        <v>2947</v>
      </c>
      <c r="C241" s="9" t="s">
        <v>6236</v>
      </c>
      <c r="D241" s="87" t="s">
        <v>6393</v>
      </c>
      <c r="E241" s="9" t="s">
        <v>431</v>
      </c>
      <c r="F241" s="9" t="s">
        <v>368</v>
      </c>
      <c r="G241" s="9" t="s">
        <v>436</v>
      </c>
      <c r="H241" s="9" t="s">
        <v>434</v>
      </c>
      <c r="I241" s="87" t="s">
        <v>6237</v>
      </c>
      <c r="J241" s="87" t="s">
        <v>6273</v>
      </c>
      <c r="K241" s="87" t="s">
        <v>6273</v>
      </c>
      <c r="L241" s="87" t="s">
        <v>6240</v>
      </c>
      <c r="M241" s="87" t="s">
        <v>6431</v>
      </c>
      <c r="N241" s="9" t="s">
        <v>7077</v>
      </c>
      <c r="O241" s="87" t="s">
        <v>6273</v>
      </c>
      <c r="P241" s="9" t="s">
        <v>6243</v>
      </c>
      <c r="Q241" s="87" t="s">
        <v>6276</v>
      </c>
      <c r="R241" s="87" t="s">
        <v>6273</v>
      </c>
      <c r="S241" s="87" t="s">
        <v>6348</v>
      </c>
      <c r="T241" s="87" t="s">
        <v>6400</v>
      </c>
    </row>
    <row r="242" spans="1:20" ht="15.75" customHeight="1">
      <c r="A242" s="9" t="s">
        <v>2947</v>
      </c>
      <c r="C242" s="9" t="s">
        <v>6671</v>
      </c>
      <c r="D242" s="87" t="s">
        <v>6296</v>
      </c>
      <c r="E242" s="9" t="s">
        <v>6672</v>
      </c>
      <c r="F242" s="9" t="s">
        <v>439</v>
      </c>
      <c r="G242" s="9" t="s">
        <v>436</v>
      </c>
      <c r="H242" s="9" t="s">
        <v>440</v>
      </c>
      <c r="I242" s="87" t="s">
        <v>6405</v>
      </c>
      <c r="J242" s="87" t="s">
        <v>6245</v>
      </c>
      <c r="K242" s="87" t="s">
        <v>6245</v>
      </c>
      <c r="L242" s="87" t="s">
        <v>6240</v>
      </c>
      <c r="M242" s="87" t="s">
        <v>6828</v>
      </c>
      <c r="N242" s="9" t="s">
        <v>7078</v>
      </c>
      <c r="O242" s="87" t="s">
        <v>6245</v>
      </c>
      <c r="P242" s="9" t="s">
        <v>6243</v>
      </c>
      <c r="Q242" s="87" t="s">
        <v>6238</v>
      </c>
      <c r="R242" s="87" t="s">
        <v>6245</v>
      </c>
      <c r="S242" s="87" t="s">
        <v>6293</v>
      </c>
      <c r="T242" s="87" t="s">
        <v>6555</v>
      </c>
    </row>
    <row r="243" spans="1:20" ht="15.75" customHeight="1">
      <c r="A243" s="9" t="s">
        <v>2947</v>
      </c>
      <c r="C243" s="9" t="s">
        <v>6923</v>
      </c>
      <c r="D243" s="87" t="s">
        <v>6327</v>
      </c>
      <c r="E243" s="9" t="s">
        <v>6924</v>
      </c>
      <c r="F243" s="9" t="s">
        <v>6925</v>
      </c>
      <c r="G243" s="9" t="s">
        <v>383</v>
      </c>
      <c r="H243" s="9" t="s">
        <v>444</v>
      </c>
      <c r="I243" s="87" t="s">
        <v>6405</v>
      </c>
      <c r="J243" s="87" t="s">
        <v>6405</v>
      </c>
      <c r="K243" s="87" t="s">
        <v>6926</v>
      </c>
      <c r="L243" s="87" t="s">
        <v>5381</v>
      </c>
      <c r="M243" s="87" t="s">
        <v>6826</v>
      </c>
      <c r="N243" s="9" t="s">
        <v>7079</v>
      </c>
      <c r="O243" s="87" t="s">
        <v>6348</v>
      </c>
      <c r="P243" s="9" t="s">
        <v>6243</v>
      </c>
      <c r="Q243" s="87" t="s">
        <v>5381</v>
      </c>
      <c r="R243" s="87" t="s">
        <v>6405</v>
      </c>
      <c r="S243" s="87" t="s">
        <v>6299</v>
      </c>
      <c r="T243" s="87" t="s">
        <v>6361</v>
      </c>
    </row>
    <row r="244" spans="1:20" ht="15.75" customHeight="1">
      <c r="A244" s="9" t="s">
        <v>3003</v>
      </c>
      <c r="C244" s="9" t="s">
        <v>6236</v>
      </c>
      <c r="D244" s="87" t="s">
        <v>6393</v>
      </c>
      <c r="E244" s="9" t="s">
        <v>431</v>
      </c>
      <c r="F244" s="9" t="s">
        <v>368</v>
      </c>
      <c r="G244" s="9" t="s">
        <v>436</v>
      </c>
      <c r="H244" s="9" t="s">
        <v>434</v>
      </c>
      <c r="I244" s="87" t="s">
        <v>6237</v>
      </c>
      <c r="J244" s="87" t="s">
        <v>6433</v>
      </c>
      <c r="K244" s="87" t="s">
        <v>6334</v>
      </c>
      <c r="L244" s="87" t="s">
        <v>6240</v>
      </c>
      <c r="M244" s="87" t="s">
        <v>6431</v>
      </c>
      <c r="N244" s="9" t="s">
        <v>7056</v>
      </c>
      <c r="O244" s="87" t="s">
        <v>6334</v>
      </c>
      <c r="P244" s="9" t="s">
        <v>6243</v>
      </c>
      <c r="Q244" s="87" t="s">
        <v>6290</v>
      </c>
      <c r="R244" s="87" t="s">
        <v>6433</v>
      </c>
      <c r="S244" s="87" t="s">
        <v>6327</v>
      </c>
      <c r="T244" s="87" t="s">
        <v>6642</v>
      </c>
    </row>
    <row r="245" spans="1:20" ht="15.75" customHeight="1">
      <c r="A245" s="9" t="s">
        <v>3003</v>
      </c>
      <c r="C245" s="9" t="s">
        <v>6236</v>
      </c>
      <c r="D245" s="87" t="s">
        <v>6393</v>
      </c>
      <c r="E245" s="9" t="s">
        <v>431</v>
      </c>
      <c r="F245" s="9" t="s">
        <v>368</v>
      </c>
      <c r="G245" s="9" t="s">
        <v>436</v>
      </c>
      <c r="H245" s="9" t="s">
        <v>434</v>
      </c>
      <c r="I245" s="87" t="s">
        <v>6237</v>
      </c>
      <c r="J245" s="87" t="s">
        <v>6433</v>
      </c>
      <c r="K245" s="87" t="s">
        <v>4953</v>
      </c>
      <c r="L245" s="87" t="s">
        <v>6240</v>
      </c>
      <c r="M245" s="87" t="s">
        <v>6828</v>
      </c>
      <c r="N245" s="9" t="s">
        <v>7080</v>
      </c>
      <c r="O245" s="87" t="s">
        <v>4953</v>
      </c>
      <c r="P245" s="9" t="s">
        <v>6243</v>
      </c>
      <c r="Q245" s="87" t="s">
        <v>6306</v>
      </c>
      <c r="R245" s="87" t="s">
        <v>6433</v>
      </c>
      <c r="S245" s="87" t="s">
        <v>6373</v>
      </c>
      <c r="T245" s="87" t="s">
        <v>6645</v>
      </c>
    </row>
    <row r="246" spans="1:20" ht="15.75" customHeight="1">
      <c r="A246" s="9" t="s">
        <v>3003</v>
      </c>
      <c r="C246" s="9" t="s">
        <v>6671</v>
      </c>
      <c r="D246" s="87" t="s">
        <v>6296</v>
      </c>
      <c r="E246" s="9" t="s">
        <v>6672</v>
      </c>
      <c r="F246" s="9" t="s">
        <v>439</v>
      </c>
      <c r="G246" s="9" t="s">
        <v>436</v>
      </c>
      <c r="H246" s="9" t="s">
        <v>440</v>
      </c>
      <c r="I246" s="87" t="s">
        <v>6405</v>
      </c>
      <c r="J246" s="87" t="s">
        <v>6327</v>
      </c>
      <c r="K246" s="87" t="s">
        <v>6327</v>
      </c>
      <c r="L246" s="87" t="s">
        <v>6240</v>
      </c>
      <c r="M246" s="87" t="s">
        <v>6826</v>
      </c>
      <c r="N246" s="9" t="s">
        <v>7081</v>
      </c>
      <c r="O246" s="87" t="s">
        <v>6327</v>
      </c>
      <c r="P246" s="9" t="s">
        <v>6243</v>
      </c>
      <c r="Q246" s="87" t="s">
        <v>6392</v>
      </c>
      <c r="R246" s="87" t="s">
        <v>6327</v>
      </c>
      <c r="S246" s="87" t="s">
        <v>6239</v>
      </c>
      <c r="T246" s="87" t="s">
        <v>6645</v>
      </c>
    </row>
    <row r="247" spans="1:20" ht="15.75" customHeight="1">
      <c r="A247" s="9" t="s">
        <v>3003</v>
      </c>
      <c r="C247" s="9" t="s">
        <v>6923</v>
      </c>
      <c r="D247" s="87" t="s">
        <v>6327</v>
      </c>
      <c r="E247" s="9" t="s">
        <v>6924</v>
      </c>
      <c r="F247" s="9" t="s">
        <v>6925</v>
      </c>
      <c r="G247" s="9" t="s">
        <v>383</v>
      </c>
      <c r="H247" s="9" t="s">
        <v>444</v>
      </c>
      <c r="I247" s="87" t="s">
        <v>6405</v>
      </c>
      <c r="J247" s="87" t="s">
        <v>6405</v>
      </c>
      <c r="K247" s="87" t="s">
        <v>6926</v>
      </c>
      <c r="L247" s="87" t="s">
        <v>5381</v>
      </c>
      <c r="M247" s="87" t="s">
        <v>7048</v>
      </c>
      <c r="N247" s="9" t="s">
        <v>6966</v>
      </c>
      <c r="O247" s="87" t="s">
        <v>6348</v>
      </c>
      <c r="P247" s="9" t="s">
        <v>6243</v>
      </c>
      <c r="Q247" s="87" t="s">
        <v>5381</v>
      </c>
      <c r="R247" s="87" t="s">
        <v>6405</v>
      </c>
      <c r="S247" s="87" t="s">
        <v>6342</v>
      </c>
      <c r="T247" s="87" t="s">
        <v>6341</v>
      </c>
    </row>
    <row r="248" spans="1:20" ht="15.75" customHeight="1">
      <c r="A248" s="9" t="s">
        <v>2968</v>
      </c>
      <c r="C248" s="9" t="s">
        <v>6236</v>
      </c>
      <c r="D248" s="87" t="s">
        <v>6393</v>
      </c>
      <c r="E248" s="9" t="s">
        <v>431</v>
      </c>
      <c r="F248" s="9" t="s">
        <v>368</v>
      </c>
      <c r="G248" s="9" t="s">
        <v>436</v>
      </c>
      <c r="H248" s="9" t="s">
        <v>434</v>
      </c>
      <c r="I248" s="87" t="s">
        <v>6264</v>
      </c>
      <c r="J248" s="87" t="s">
        <v>6392</v>
      </c>
      <c r="K248" s="87" t="s">
        <v>6346</v>
      </c>
      <c r="L248" s="87" t="s">
        <v>6240</v>
      </c>
      <c r="M248" s="87" t="s">
        <v>6481</v>
      </c>
      <c r="N248" s="9" t="s">
        <v>6949</v>
      </c>
      <c r="O248" s="87" t="s">
        <v>6346</v>
      </c>
      <c r="P248" s="9" t="s">
        <v>6243</v>
      </c>
      <c r="Q248" s="87" t="s">
        <v>6366</v>
      </c>
      <c r="R248" s="87" t="s">
        <v>6392</v>
      </c>
      <c r="S248" s="87" t="s">
        <v>6327</v>
      </c>
      <c r="T248" s="87" t="s">
        <v>6370</v>
      </c>
    </row>
    <row r="249" spans="1:20" ht="15.75" customHeight="1">
      <c r="A249" s="9" t="s">
        <v>2968</v>
      </c>
      <c r="C249" s="9" t="s">
        <v>6236</v>
      </c>
      <c r="D249" s="87" t="s">
        <v>6393</v>
      </c>
      <c r="E249" s="9" t="s">
        <v>431</v>
      </c>
      <c r="F249" s="9" t="s">
        <v>368</v>
      </c>
      <c r="G249" s="9" t="s">
        <v>436</v>
      </c>
      <c r="H249" s="9" t="s">
        <v>434</v>
      </c>
      <c r="I249" s="87" t="s">
        <v>6264</v>
      </c>
      <c r="J249" s="87" t="s">
        <v>6392</v>
      </c>
      <c r="K249" s="87" t="s">
        <v>6433</v>
      </c>
      <c r="L249" s="87" t="s">
        <v>6240</v>
      </c>
      <c r="M249" s="87" t="s">
        <v>6490</v>
      </c>
      <c r="N249" s="9" t="s">
        <v>7082</v>
      </c>
      <c r="O249" s="87" t="s">
        <v>6433</v>
      </c>
      <c r="P249" s="9" t="s">
        <v>6243</v>
      </c>
      <c r="Q249" s="87" t="s">
        <v>6305</v>
      </c>
      <c r="R249" s="87" t="s">
        <v>6392</v>
      </c>
      <c r="S249" s="87" t="s">
        <v>6479</v>
      </c>
      <c r="T249" s="87" t="s">
        <v>6645</v>
      </c>
    </row>
    <row r="250" spans="1:20" ht="15.75" customHeight="1">
      <c r="A250" s="9" t="s">
        <v>2968</v>
      </c>
      <c r="C250" s="9" t="s">
        <v>6671</v>
      </c>
      <c r="D250" s="87" t="s">
        <v>6296</v>
      </c>
      <c r="E250" s="9" t="s">
        <v>6672</v>
      </c>
      <c r="F250" s="9" t="s">
        <v>439</v>
      </c>
      <c r="G250" s="9" t="s">
        <v>436</v>
      </c>
      <c r="H250" s="9" t="s">
        <v>440</v>
      </c>
      <c r="I250" s="87" t="s">
        <v>6405</v>
      </c>
      <c r="J250" s="87" t="s">
        <v>6346</v>
      </c>
      <c r="K250" s="87" t="s">
        <v>6810</v>
      </c>
      <c r="L250" s="87" t="s">
        <v>6240</v>
      </c>
      <c r="M250" s="87" t="s">
        <v>6508</v>
      </c>
      <c r="N250" s="9" t="s">
        <v>7083</v>
      </c>
      <c r="O250" s="87" t="s">
        <v>6810</v>
      </c>
      <c r="P250" s="9" t="s">
        <v>6243</v>
      </c>
      <c r="Q250" s="87" t="s">
        <v>6484</v>
      </c>
      <c r="R250" s="87" t="s">
        <v>6346</v>
      </c>
      <c r="S250" s="87" t="s">
        <v>6327</v>
      </c>
      <c r="T250" s="87" t="s">
        <v>4953</v>
      </c>
    </row>
    <row r="251" spans="1:20" ht="15.75" customHeight="1">
      <c r="A251" s="9" t="s">
        <v>2968</v>
      </c>
      <c r="C251" s="9" t="s">
        <v>6671</v>
      </c>
      <c r="D251" s="87" t="s">
        <v>6296</v>
      </c>
      <c r="E251" s="9" t="s">
        <v>6672</v>
      </c>
      <c r="F251" s="9" t="s">
        <v>439</v>
      </c>
      <c r="G251" s="9" t="s">
        <v>436</v>
      </c>
      <c r="H251" s="9" t="s">
        <v>440</v>
      </c>
      <c r="I251" s="87" t="s">
        <v>6405</v>
      </c>
      <c r="J251" s="87" t="s">
        <v>6346</v>
      </c>
      <c r="K251" s="87" t="s">
        <v>6280</v>
      </c>
      <c r="L251" s="87" t="s">
        <v>6240</v>
      </c>
      <c r="M251" s="87" t="s">
        <v>6510</v>
      </c>
      <c r="N251" s="9" t="s">
        <v>6963</v>
      </c>
      <c r="O251" s="87" t="s">
        <v>6280</v>
      </c>
      <c r="P251" s="9" t="s">
        <v>6243</v>
      </c>
      <c r="Q251" s="87" t="s">
        <v>6283</v>
      </c>
      <c r="R251" s="87" t="s">
        <v>6346</v>
      </c>
      <c r="S251" s="87" t="s">
        <v>6314</v>
      </c>
      <c r="T251" s="87" t="s">
        <v>6645</v>
      </c>
    </row>
    <row r="252" spans="1:20" ht="15.75" customHeight="1">
      <c r="A252" s="9" t="s">
        <v>2968</v>
      </c>
      <c r="C252" s="9" t="s">
        <v>6923</v>
      </c>
      <c r="D252" s="87" t="s">
        <v>6461</v>
      </c>
      <c r="E252" s="9" t="s">
        <v>6924</v>
      </c>
      <c r="F252" s="9" t="s">
        <v>6925</v>
      </c>
      <c r="G252" s="9" t="s">
        <v>383</v>
      </c>
      <c r="H252" s="9" t="s">
        <v>427</v>
      </c>
      <c r="I252" s="87" t="s">
        <v>6405</v>
      </c>
      <c r="J252" s="87" t="s">
        <v>6810</v>
      </c>
      <c r="K252" s="87" t="s">
        <v>6926</v>
      </c>
      <c r="L252" s="87" t="s">
        <v>6372</v>
      </c>
      <c r="M252" s="87" t="s">
        <v>6511</v>
      </c>
      <c r="N252" s="9" t="s">
        <v>7084</v>
      </c>
      <c r="O252" s="87" t="s">
        <v>6295</v>
      </c>
      <c r="P252" s="9" t="s">
        <v>6243</v>
      </c>
      <c r="Q252" s="87" t="s">
        <v>6372</v>
      </c>
      <c r="R252" s="87" t="s">
        <v>6810</v>
      </c>
      <c r="S252" s="87" t="s">
        <v>4953</v>
      </c>
      <c r="T252" s="87" t="s">
        <v>6455</v>
      </c>
    </row>
    <row r="253" spans="1:20" ht="15.75" customHeight="1">
      <c r="A253" s="9" t="s">
        <v>2968</v>
      </c>
      <c r="C253" s="9" t="s">
        <v>6923</v>
      </c>
      <c r="D253" s="87" t="s">
        <v>6461</v>
      </c>
      <c r="E253" s="9" t="s">
        <v>6924</v>
      </c>
      <c r="F253" s="9" t="s">
        <v>6925</v>
      </c>
      <c r="G253" s="9" t="s">
        <v>383</v>
      </c>
      <c r="H253" s="9" t="s">
        <v>427</v>
      </c>
      <c r="I253" s="87" t="s">
        <v>6405</v>
      </c>
      <c r="J253" s="87" t="s">
        <v>6810</v>
      </c>
      <c r="K253" s="87" t="s">
        <v>6931</v>
      </c>
      <c r="L253" s="87" t="s">
        <v>6372</v>
      </c>
      <c r="M253" s="87" t="s">
        <v>6513</v>
      </c>
      <c r="N253" s="9" t="s">
        <v>7034</v>
      </c>
      <c r="O253" s="87" t="s">
        <v>6239</v>
      </c>
      <c r="P253" s="9" t="s">
        <v>6243</v>
      </c>
      <c r="Q253" s="87" t="s">
        <v>3764</v>
      </c>
      <c r="R253" s="87" t="s">
        <v>6810</v>
      </c>
      <c r="S253" s="87" t="s">
        <v>7035</v>
      </c>
      <c r="T253" s="87" t="s">
        <v>6341</v>
      </c>
    </row>
    <row r="254" spans="1:20" ht="15.75" customHeight="1">
      <c r="A254" s="9" t="s">
        <v>2968</v>
      </c>
      <c r="C254" s="9" t="s">
        <v>6923</v>
      </c>
      <c r="D254" s="87" t="s">
        <v>6461</v>
      </c>
      <c r="E254" s="9" t="s">
        <v>6924</v>
      </c>
      <c r="F254" s="9" t="s">
        <v>6925</v>
      </c>
      <c r="G254" s="9" t="s">
        <v>383</v>
      </c>
      <c r="H254" s="9" t="s">
        <v>427</v>
      </c>
      <c r="I254" s="87" t="s">
        <v>6405</v>
      </c>
      <c r="J254" s="87" t="s">
        <v>6810</v>
      </c>
      <c r="K254" s="87" t="s">
        <v>6931</v>
      </c>
      <c r="L254" s="87" t="s">
        <v>6372</v>
      </c>
      <c r="M254" s="87" t="s">
        <v>6517</v>
      </c>
      <c r="N254" s="9" t="s">
        <v>7034</v>
      </c>
      <c r="O254" s="87" t="s">
        <v>6239</v>
      </c>
      <c r="P254" s="9" t="s">
        <v>6243</v>
      </c>
      <c r="Q254" s="87" t="s">
        <v>3764</v>
      </c>
      <c r="R254" s="87" t="s">
        <v>6810</v>
      </c>
      <c r="S254" s="87" t="s">
        <v>7035</v>
      </c>
      <c r="T254" s="87" t="s">
        <v>6341</v>
      </c>
    </row>
    <row r="255" spans="1:20" ht="15.75" customHeight="1">
      <c r="A255" s="9" t="s">
        <v>2968</v>
      </c>
      <c r="C255" s="9" t="s">
        <v>6923</v>
      </c>
      <c r="D255" s="87" t="s">
        <v>6461</v>
      </c>
      <c r="E255" s="9" t="s">
        <v>6924</v>
      </c>
      <c r="F255" s="9" t="s">
        <v>6925</v>
      </c>
      <c r="G255" s="9" t="s">
        <v>383</v>
      </c>
      <c r="H255" s="9" t="s">
        <v>427</v>
      </c>
      <c r="I255" s="87" t="s">
        <v>6405</v>
      </c>
      <c r="J255" s="87" t="s">
        <v>6810</v>
      </c>
      <c r="K255" s="87" t="s">
        <v>6939</v>
      </c>
      <c r="L255" s="87" t="s">
        <v>6372</v>
      </c>
      <c r="M255" s="87" t="s">
        <v>6530</v>
      </c>
      <c r="N255" s="9" t="s">
        <v>7031</v>
      </c>
      <c r="O255" s="87" t="s">
        <v>6526</v>
      </c>
      <c r="P255" s="9" t="s">
        <v>6243</v>
      </c>
      <c r="Q255" s="87" t="s">
        <v>4023</v>
      </c>
      <c r="R255" s="87" t="s">
        <v>6810</v>
      </c>
      <c r="S255" s="87" t="s">
        <v>6295</v>
      </c>
      <c r="T255" s="87" t="s">
        <v>6341</v>
      </c>
    </row>
    <row r="256" spans="1:20" ht="15.75" customHeight="1">
      <c r="A256" s="9" t="s">
        <v>3004</v>
      </c>
      <c r="C256" s="9" t="s">
        <v>6236</v>
      </c>
      <c r="D256" s="87" t="s">
        <v>6393</v>
      </c>
      <c r="E256" s="9" t="s">
        <v>431</v>
      </c>
      <c r="F256" s="9" t="s">
        <v>368</v>
      </c>
      <c r="G256" s="9" t="s">
        <v>436</v>
      </c>
      <c r="H256" s="9" t="s">
        <v>434</v>
      </c>
      <c r="I256" s="87" t="s">
        <v>6237</v>
      </c>
      <c r="J256" s="87" t="s">
        <v>6264</v>
      </c>
      <c r="K256" s="87" t="s">
        <v>6264</v>
      </c>
      <c r="L256" s="87" t="s">
        <v>6240</v>
      </c>
      <c r="M256" s="87" t="s">
        <v>6470</v>
      </c>
      <c r="N256" s="9" t="s">
        <v>7085</v>
      </c>
      <c r="O256" s="87" t="s">
        <v>6264</v>
      </c>
      <c r="P256" s="9" t="s">
        <v>6243</v>
      </c>
      <c r="Q256" s="87" t="s">
        <v>6313</v>
      </c>
      <c r="R256" s="87" t="s">
        <v>6264</v>
      </c>
      <c r="S256" s="87" t="s">
        <v>6376</v>
      </c>
      <c r="T256" s="87" t="s">
        <v>6370</v>
      </c>
    </row>
    <row r="257" spans="1:20" ht="15.75" customHeight="1">
      <c r="A257" s="9" t="s">
        <v>3004</v>
      </c>
      <c r="C257" s="9" t="s">
        <v>6671</v>
      </c>
      <c r="D257" s="87" t="s">
        <v>6296</v>
      </c>
      <c r="E257" s="9" t="s">
        <v>6672</v>
      </c>
      <c r="F257" s="9" t="s">
        <v>439</v>
      </c>
      <c r="G257" s="9" t="s">
        <v>436</v>
      </c>
      <c r="H257" s="9" t="s">
        <v>440</v>
      </c>
      <c r="I257" s="87" t="s">
        <v>6405</v>
      </c>
      <c r="J257" s="87" t="s">
        <v>6405</v>
      </c>
      <c r="K257" s="87" t="s">
        <v>6405</v>
      </c>
      <c r="L257" s="87" t="s">
        <v>6240</v>
      </c>
      <c r="M257" s="87" t="s">
        <v>6492</v>
      </c>
      <c r="N257" s="9" t="s">
        <v>7086</v>
      </c>
      <c r="O257" s="87" t="s">
        <v>6405</v>
      </c>
      <c r="P257" s="9" t="s">
        <v>6243</v>
      </c>
      <c r="Q257" s="87" t="s">
        <v>6240</v>
      </c>
      <c r="R257" s="87" t="s">
        <v>6405</v>
      </c>
      <c r="S257" s="87" t="s">
        <v>6313</v>
      </c>
      <c r="T257" s="87" t="s">
        <v>6313</v>
      </c>
    </row>
    <row r="258" spans="1:20" ht="15.75" customHeight="1">
      <c r="A258" s="9" t="s">
        <v>3004</v>
      </c>
      <c r="C258" s="9" t="s">
        <v>6923</v>
      </c>
      <c r="D258" s="87" t="s">
        <v>6327</v>
      </c>
      <c r="E258" s="9" t="s">
        <v>6924</v>
      </c>
      <c r="F258" s="9" t="s">
        <v>6925</v>
      </c>
      <c r="G258" s="9" t="s">
        <v>383</v>
      </c>
      <c r="H258" s="9" t="s">
        <v>444</v>
      </c>
      <c r="I258" s="87" t="s">
        <v>6405</v>
      </c>
      <c r="J258" s="87" t="s">
        <v>6405</v>
      </c>
      <c r="K258" s="87" t="s">
        <v>6926</v>
      </c>
      <c r="L258" s="87" t="s">
        <v>6416</v>
      </c>
      <c r="M258" s="87" t="s">
        <v>6495</v>
      </c>
      <c r="N258" s="9" t="s">
        <v>7087</v>
      </c>
      <c r="O258" s="87" t="s">
        <v>6414</v>
      </c>
      <c r="P258" s="9" t="s">
        <v>6243</v>
      </c>
      <c r="Q258" s="87" t="s">
        <v>6416</v>
      </c>
      <c r="R258" s="87" t="s">
        <v>6405</v>
      </c>
      <c r="S258" s="87" t="s">
        <v>5381</v>
      </c>
      <c r="T258" s="87" t="s">
        <v>6479</v>
      </c>
    </row>
    <row r="259" spans="1:20" ht="15.75" customHeight="1">
      <c r="A259" s="9" t="s">
        <v>2883</v>
      </c>
      <c r="C259" s="9" t="s">
        <v>6236</v>
      </c>
      <c r="D259" s="87" t="s">
        <v>6393</v>
      </c>
      <c r="E259" s="9" t="s">
        <v>431</v>
      </c>
      <c r="F259" s="9" t="s">
        <v>368</v>
      </c>
      <c r="G259" s="9" t="s">
        <v>436</v>
      </c>
      <c r="H259" s="9" t="s">
        <v>434</v>
      </c>
      <c r="I259" s="87" t="s">
        <v>6237</v>
      </c>
      <c r="J259" s="87" t="s">
        <v>6334</v>
      </c>
      <c r="K259" s="87" t="s">
        <v>6334</v>
      </c>
      <c r="L259" s="87" t="s">
        <v>6240</v>
      </c>
      <c r="M259" s="87" t="s">
        <v>6470</v>
      </c>
      <c r="N259" s="9" t="s">
        <v>7088</v>
      </c>
      <c r="O259" s="87" t="s">
        <v>6334</v>
      </c>
      <c r="P259" s="9" t="s">
        <v>6243</v>
      </c>
      <c r="Q259" s="87" t="s">
        <v>6290</v>
      </c>
      <c r="R259" s="87" t="s">
        <v>6334</v>
      </c>
      <c r="S259" s="87" t="s">
        <v>6484</v>
      </c>
      <c r="T259" s="87" t="s">
        <v>6413</v>
      </c>
    </row>
    <row r="260" spans="1:20" ht="15.75" customHeight="1">
      <c r="A260" s="9" t="s">
        <v>2883</v>
      </c>
      <c r="C260" s="9" t="s">
        <v>6671</v>
      </c>
      <c r="D260" s="87" t="s">
        <v>6296</v>
      </c>
      <c r="E260" s="9" t="s">
        <v>6672</v>
      </c>
      <c r="F260" s="9" t="s">
        <v>439</v>
      </c>
      <c r="G260" s="9" t="s">
        <v>436</v>
      </c>
      <c r="H260" s="9" t="s">
        <v>440</v>
      </c>
      <c r="I260" s="87" t="s">
        <v>6405</v>
      </c>
      <c r="J260" s="87" t="s">
        <v>6405</v>
      </c>
      <c r="K260" s="87" t="s">
        <v>6405</v>
      </c>
      <c r="L260" s="87" t="s">
        <v>6240</v>
      </c>
      <c r="M260" s="87" t="s">
        <v>6492</v>
      </c>
      <c r="N260" s="9" t="s">
        <v>7089</v>
      </c>
      <c r="O260" s="87" t="s">
        <v>6405</v>
      </c>
      <c r="P260" s="9" t="s">
        <v>6243</v>
      </c>
      <c r="Q260" s="87" t="s">
        <v>6240</v>
      </c>
      <c r="R260" s="87" t="s">
        <v>6405</v>
      </c>
      <c r="S260" s="87" t="s">
        <v>6348</v>
      </c>
      <c r="T260" s="87" t="s">
        <v>6348</v>
      </c>
    </row>
    <row r="261" spans="1:20" ht="15.75" customHeight="1">
      <c r="A261" s="9" t="s">
        <v>2883</v>
      </c>
      <c r="C261" s="9" t="s">
        <v>6923</v>
      </c>
      <c r="D261" s="87" t="s">
        <v>6327</v>
      </c>
      <c r="E261" s="9" t="s">
        <v>6924</v>
      </c>
      <c r="F261" s="9" t="s">
        <v>6925</v>
      </c>
      <c r="G261" s="9" t="s">
        <v>383</v>
      </c>
      <c r="H261" s="9" t="s">
        <v>444</v>
      </c>
      <c r="I261" s="87" t="s">
        <v>6405</v>
      </c>
      <c r="J261" s="87" t="s">
        <v>6405</v>
      </c>
      <c r="K261" s="87" t="s">
        <v>6926</v>
      </c>
      <c r="L261" s="87" t="s">
        <v>6416</v>
      </c>
      <c r="M261" s="87" t="s">
        <v>6495</v>
      </c>
      <c r="N261" s="9" t="s">
        <v>7090</v>
      </c>
      <c r="O261" s="87" t="s">
        <v>6414</v>
      </c>
      <c r="P261" s="9" t="s">
        <v>6243</v>
      </c>
      <c r="Q261" s="87" t="s">
        <v>6416</v>
      </c>
      <c r="R261" s="87" t="s">
        <v>6405</v>
      </c>
      <c r="S261" s="87" t="s">
        <v>6361</v>
      </c>
      <c r="T261" s="87" t="s">
        <v>6440</v>
      </c>
    </row>
    <row r="262" spans="1:20" ht="15.75" customHeight="1">
      <c r="A262" s="9" t="s">
        <v>2979</v>
      </c>
      <c r="C262" s="9" t="s">
        <v>6236</v>
      </c>
      <c r="D262" s="87" t="s">
        <v>6393</v>
      </c>
      <c r="E262" s="9" t="s">
        <v>431</v>
      </c>
      <c r="F262" s="9" t="s">
        <v>368</v>
      </c>
      <c r="G262" s="9" t="s">
        <v>436</v>
      </c>
      <c r="H262" s="9" t="s">
        <v>434</v>
      </c>
      <c r="I262" s="87" t="s">
        <v>6264</v>
      </c>
      <c r="J262" s="87" t="s">
        <v>6273</v>
      </c>
      <c r="K262" s="87" t="s">
        <v>6273</v>
      </c>
      <c r="L262" s="87" t="s">
        <v>6240</v>
      </c>
      <c r="M262" s="87" t="s">
        <v>6481</v>
      </c>
      <c r="N262" s="9" t="s">
        <v>7091</v>
      </c>
      <c r="O262" s="87" t="s">
        <v>6273</v>
      </c>
      <c r="P262" s="9" t="s">
        <v>6243</v>
      </c>
      <c r="Q262" s="87" t="s">
        <v>6276</v>
      </c>
      <c r="R262" s="87" t="s">
        <v>6273</v>
      </c>
      <c r="S262" s="87" t="s">
        <v>6293</v>
      </c>
      <c r="T262" s="87" t="s">
        <v>6532</v>
      </c>
    </row>
    <row r="263" spans="1:20" ht="15.75" customHeight="1">
      <c r="A263" s="9" t="s">
        <v>2979</v>
      </c>
      <c r="C263" s="9" t="s">
        <v>6923</v>
      </c>
      <c r="D263" s="87" t="s">
        <v>6327</v>
      </c>
      <c r="E263" s="9" t="s">
        <v>6924</v>
      </c>
      <c r="F263" s="9" t="s">
        <v>6925</v>
      </c>
      <c r="G263" s="9" t="s">
        <v>383</v>
      </c>
      <c r="H263" s="9" t="s">
        <v>444</v>
      </c>
      <c r="I263" s="87" t="s">
        <v>6405</v>
      </c>
      <c r="J263" s="87" t="s">
        <v>6334</v>
      </c>
      <c r="K263" s="87" t="s">
        <v>6939</v>
      </c>
      <c r="L263" s="87" t="s">
        <v>6278</v>
      </c>
      <c r="M263" s="87" t="s">
        <v>6490</v>
      </c>
      <c r="N263" s="9" t="s">
        <v>6989</v>
      </c>
      <c r="O263" s="87" t="s">
        <v>6293</v>
      </c>
      <c r="P263" s="9" t="s">
        <v>6243</v>
      </c>
      <c r="Q263" s="87" t="s">
        <v>4828</v>
      </c>
      <c r="R263" s="87" t="s">
        <v>6334</v>
      </c>
      <c r="S263" s="87" t="s">
        <v>6413</v>
      </c>
      <c r="T263" s="87" t="s">
        <v>6341</v>
      </c>
    </row>
    <row r="264" spans="1:20" ht="15.75" customHeight="1">
      <c r="A264" s="9" t="s">
        <v>2825</v>
      </c>
      <c r="C264" s="9" t="s">
        <v>6236</v>
      </c>
      <c r="D264" s="87" t="s">
        <v>6393</v>
      </c>
      <c r="E264" s="9" t="s">
        <v>431</v>
      </c>
      <c r="F264" s="9" t="s">
        <v>368</v>
      </c>
      <c r="G264" s="9" t="s">
        <v>436</v>
      </c>
      <c r="H264" s="9" t="s">
        <v>434</v>
      </c>
      <c r="I264" s="87" t="s">
        <v>6405</v>
      </c>
      <c r="J264" s="87" t="s">
        <v>6435</v>
      </c>
      <c r="K264" s="87" t="s">
        <v>6435</v>
      </c>
      <c r="L264" s="87" t="s">
        <v>6240</v>
      </c>
      <c r="M264" s="87" t="s">
        <v>6517</v>
      </c>
      <c r="N264" s="9" t="s">
        <v>7092</v>
      </c>
      <c r="O264" s="87" t="s">
        <v>6435</v>
      </c>
      <c r="P264" s="9" t="s">
        <v>6243</v>
      </c>
      <c r="Q264" s="87" t="s">
        <v>6250</v>
      </c>
      <c r="R264" s="87" t="s">
        <v>6435</v>
      </c>
      <c r="S264" s="87" t="s">
        <v>6280</v>
      </c>
      <c r="T264" s="87" t="s">
        <v>6535</v>
      </c>
    </row>
    <row r="265" spans="1:20" ht="15.75" customHeight="1">
      <c r="A265" s="9" t="s">
        <v>2825</v>
      </c>
      <c r="C265" s="9" t="s">
        <v>6923</v>
      </c>
      <c r="D265" s="87" t="s">
        <v>6264</v>
      </c>
      <c r="E265" s="9" t="s">
        <v>6924</v>
      </c>
      <c r="F265" s="9" t="s">
        <v>6925</v>
      </c>
      <c r="G265" s="9" t="s">
        <v>383</v>
      </c>
      <c r="H265" s="9" t="s">
        <v>449</v>
      </c>
      <c r="I265" s="87" t="s">
        <v>6405</v>
      </c>
      <c r="J265" s="87" t="s">
        <v>6405</v>
      </c>
      <c r="K265" s="87" t="s">
        <v>6926</v>
      </c>
      <c r="L265" s="87" t="s">
        <v>6283</v>
      </c>
      <c r="M265" s="87" t="s">
        <v>6537</v>
      </c>
      <c r="N265" s="9" t="s">
        <v>7093</v>
      </c>
      <c r="O265" s="87" t="s">
        <v>6280</v>
      </c>
      <c r="P265" s="9" t="s">
        <v>6243</v>
      </c>
      <c r="Q265" s="87" t="s">
        <v>6283</v>
      </c>
      <c r="R265" s="87" t="s">
        <v>6405</v>
      </c>
      <c r="S265" s="87" t="s">
        <v>6264</v>
      </c>
      <c r="T265" s="87" t="s">
        <v>6259</v>
      </c>
    </row>
    <row r="266" spans="1:20" ht="15.75" customHeight="1">
      <c r="A266" s="9" t="s">
        <v>3031</v>
      </c>
      <c r="C266" s="9" t="s">
        <v>6236</v>
      </c>
      <c r="D266" s="87" t="s">
        <v>6393</v>
      </c>
      <c r="E266" s="9" t="s">
        <v>431</v>
      </c>
      <c r="F266" s="9" t="s">
        <v>368</v>
      </c>
      <c r="G266" s="9" t="s">
        <v>436</v>
      </c>
      <c r="H266" s="9" t="s">
        <v>434</v>
      </c>
      <c r="I266" s="87" t="s">
        <v>6237</v>
      </c>
      <c r="J266" s="87" t="s">
        <v>6293</v>
      </c>
      <c r="K266" s="87" t="s">
        <v>6293</v>
      </c>
      <c r="L266" s="87" t="s">
        <v>6240</v>
      </c>
      <c r="M266" s="87" t="s">
        <v>6517</v>
      </c>
      <c r="N266" s="9" t="s">
        <v>7094</v>
      </c>
      <c r="O266" s="87" t="s">
        <v>6293</v>
      </c>
      <c r="P266" s="9" t="s">
        <v>6243</v>
      </c>
      <c r="Q266" s="87" t="s">
        <v>4828</v>
      </c>
      <c r="R266" s="87" t="s">
        <v>6293</v>
      </c>
      <c r="S266" s="87" t="s">
        <v>6299</v>
      </c>
      <c r="T266" s="87" t="s">
        <v>6256</v>
      </c>
    </row>
    <row r="267" spans="1:20" ht="15.75" customHeight="1">
      <c r="A267" s="9" t="s">
        <v>3031</v>
      </c>
      <c r="C267" s="9" t="s">
        <v>6671</v>
      </c>
      <c r="D267" s="87" t="s">
        <v>6296</v>
      </c>
      <c r="E267" s="9" t="s">
        <v>6672</v>
      </c>
      <c r="F267" s="9" t="s">
        <v>439</v>
      </c>
      <c r="G267" s="9" t="s">
        <v>436</v>
      </c>
      <c r="H267" s="9" t="s">
        <v>440</v>
      </c>
      <c r="I267" s="87" t="s">
        <v>6405</v>
      </c>
      <c r="J267" s="87" t="s">
        <v>6255</v>
      </c>
      <c r="K267" s="87" t="s">
        <v>6255</v>
      </c>
      <c r="L267" s="87" t="s">
        <v>6240</v>
      </c>
      <c r="M267" s="87" t="s">
        <v>6538</v>
      </c>
      <c r="N267" s="9" t="s">
        <v>7095</v>
      </c>
      <c r="O267" s="87" t="s">
        <v>6255</v>
      </c>
      <c r="P267" s="9" t="s">
        <v>6243</v>
      </c>
      <c r="Q267" s="87" t="s">
        <v>4947</v>
      </c>
      <c r="R267" s="87" t="s">
        <v>6255</v>
      </c>
      <c r="S267" s="87" t="s">
        <v>6376</v>
      </c>
      <c r="T267" s="87" t="s">
        <v>6543</v>
      </c>
    </row>
    <row r="268" spans="1:20" ht="15.75" customHeight="1">
      <c r="A268" s="9" t="s">
        <v>3031</v>
      </c>
      <c r="C268" s="9" t="s">
        <v>6923</v>
      </c>
      <c r="D268" s="87" t="s">
        <v>6461</v>
      </c>
      <c r="E268" s="9" t="s">
        <v>6924</v>
      </c>
      <c r="F268" s="9" t="s">
        <v>6925</v>
      </c>
      <c r="G268" s="9" t="s">
        <v>383</v>
      </c>
      <c r="H268" s="9" t="s">
        <v>427</v>
      </c>
      <c r="I268" s="87" t="s">
        <v>6405</v>
      </c>
      <c r="J268" s="87" t="s">
        <v>6240</v>
      </c>
      <c r="K268" s="87" t="s">
        <v>6926</v>
      </c>
      <c r="L268" s="87" t="s">
        <v>6594</v>
      </c>
      <c r="M268" s="87" t="s">
        <v>6539</v>
      </c>
      <c r="N268" s="9" t="s">
        <v>7096</v>
      </c>
      <c r="O268" s="87" t="s">
        <v>6535</v>
      </c>
      <c r="P268" s="9" t="s">
        <v>6243</v>
      </c>
      <c r="Q268" s="87" t="s">
        <v>6594</v>
      </c>
      <c r="R268" s="87" t="s">
        <v>6240</v>
      </c>
      <c r="S268" s="87" t="s">
        <v>6254</v>
      </c>
      <c r="T268" s="87" t="s">
        <v>6555</v>
      </c>
    </row>
    <row r="269" spans="1:20" ht="15.75" customHeight="1">
      <c r="A269" s="9" t="s">
        <v>3031</v>
      </c>
      <c r="C269" s="9" t="s">
        <v>6923</v>
      </c>
      <c r="D269" s="87" t="s">
        <v>6461</v>
      </c>
      <c r="E269" s="9" t="s">
        <v>6924</v>
      </c>
      <c r="F269" s="9" t="s">
        <v>6925</v>
      </c>
      <c r="G269" s="9" t="s">
        <v>383</v>
      </c>
      <c r="H269" s="9" t="s">
        <v>427</v>
      </c>
      <c r="I269" s="87" t="s">
        <v>6405</v>
      </c>
      <c r="J269" s="87" t="s">
        <v>6240</v>
      </c>
      <c r="K269" s="87" t="s">
        <v>6939</v>
      </c>
      <c r="L269" s="87" t="s">
        <v>6594</v>
      </c>
      <c r="M269" s="87" t="s">
        <v>6540</v>
      </c>
      <c r="N269" s="9" t="s">
        <v>6981</v>
      </c>
      <c r="O269" s="87" t="s">
        <v>6300</v>
      </c>
      <c r="P269" s="9" t="s">
        <v>6243</v>
      </c>
      <c r="Q269" s="87" t="s">
        <v>3861</v>
      </c>
      <c r="R269" s="87" t="s">
        <v>6240</v>
      </c>
      <c r="S269" s="87" t="s">
        <v>6296</v>
      </c>
      <c r="T269" s="87" t="s">
        <v>6341</v>
      </c>
    </row>
    <row r="270" spans="1:20" ht="15.75" customHeight="1">
      <c r="A270" s="9" t="s">
        <v>3031</v>
      </c>
      <c r="C270" s="9" t="s">
        <v>6923</v>
      </c>
      <c r="D270" s="87" t="s">
        <v>6461</v>
      </c>
      <c r="E270" s="9" t="s">
        <v>6924</v>
      </c>
      <c r="F270" s="9" t="s">
        <v>6925</v>
      </c>
      <c r="G270" s="9" t="s">
        <v>383</v>
      </c>
      <c r="H270" s="9" t="s">
        <v>427</v>
      </c>
      <c r="I270" s="87" t="s">
        <v>6405</v>
      </c>
      <c r="J270" s="87" t="s">
        <v>6240</v>
      </c>
      <c r="K270" s="87" t="s">
        <v>6939</v>
      </c>
      <c r="L270" s="87" t="s">
        <v>6594</v>
      </c>
      <c r="M270" s="87" t="s">
        <v>6556</v>
      </c>
      <c r="N270" s="9" t="s">
        <v>6981</v>
      </c>
      <c r="O270" s="87" t="s">
        <v>6300</v>
      </c>
      <c r="P270" s="9" t="s">
        <v>6243</v>
      </c>
      <c r="Q270" s="87" t="s">
        <v>3861</v>
      </c>
      <c r="R270" s="87" t="s">
        <v>6240</v>
      </c>
      <c r="S270" s="87" t="s">
        <v>6296</v>
      </c>
      <c r="T270" s="87" t="s">
        <v>6341</v>
      </c>
    </row>
    <row r="271" spans="1:20" ht="15.75" customHeight="1">
      <c r="A271" s="9" t="s">
        <v>2914</v>
      </c>
      <c r="C271" s="9" t="s">
        <v>6236</v>
      </c>
      <c r="D271" s="87" t="s">
        <v>6393</v>
      </c>
      <c r="E271" s="9" t="s">
        <v>431</v>
      </c>
      <c r="F271" s="9" t="s">
        <v>368</v>
      </c>
      <c r="G271" s="9" t="s">
        <v>436</v>
      </c>
      <c r="H271" s="9" t="s">
        <v>434</v>
      </c>
      <c r="I271" s="87" t="s">
        <v>6237</v>
      </c>
      <c r="J271" s="87" t="s">
        <v>6255</v>
      </c>
      <c r="K271" s="87" t="s">
        <v>6255</v>
      </c>
      <c r="L271" s="87" t="s">
        <v>6240</v>
      </c>
      <c r="M271" s="87" t="s">
        <v>6556</v>
      </c>
      <c r="N271" s="9" t="s">
        <v>7097</v>
      </c>
      <c r="O271" s="87" t="s">
        <v>6255</v>
      </c>
      <c r="P271" s="9" t="s">
        <v>6243</v>
      </c>
      <c r="Q271" s="87" t="s">
        <v>4947</v>
      </c>
      <c r="R271" s="87" t="s">
        <v>6255</v>
      </c>
      <c r="S271" s="87" t="s">
        <v>6333</v>
      </c>
      <c r="T271" s="87" t="s">
        <v>6733</v>
      </c>
    </row>
    <row r="272" spans="1:20" ht="15.75" customHeight="1">
      <c r="A272" s="9" t="s">
        <v>2914</v>
      </c>
      <c r="C272" s="9" t="s">
        <v>6671</v>
      </c>
      <c r="D272" s="87" t="s">
        <v>6296</v>
      </c>
      <c r="E272" s="9" t="s">
        <v>6672</v>
      </c>
      <c r="F272" s="9" t="s">
        <v>439</v>
      </c>
      <c r="G272" s="9" t="s">
        <v>436</v>
      </c>
      <c r="H272" s="9" t="s">
        <v>440</v>
      </c>
      <c r="I272" s="87" t="s">
        <v>6405</v>
      </c>
      <c r="J272" s="87" t="s">
        <v>6346</v>
      </c>
      <c r="K272" s="87" t="s">
        <v>6346</v>
      </c>
      <c r="L272" s="87" t="s">
        <v>6240</v>
      </c>
      <c r="M272" s="87" t="s">
        <v>6557</v>
      </c>
      <c r="N272" s="9" t="s">
        <v>7098</v>
      </c>
      <c r="O272" s="87" t="s">
        <v>6346</v>
      </c>
      <c r="P272" s="9" t="s">
        <v>6243</v>
      </c>
      <c r="Q272" s="87" t="s">
        <v>6366</v>
      </c>
      <c r="R272" s="87" t="s">
        <v>6346</v>
      </c>
      <c r="S272" s="87" t="s">
        <v>6322</v>
      </c>
      <c r="T272" s="87" t="s">
        <v>6525</v>
      </c>
    </row>
    <row r="273" spans="1:20" ht="15.75" customHeight="1">
      <c r="A273" s="9" t="s">
        <v>2914</v>
      </c>
      <c r="C273" s="9" t="s">
        <v>6923</v>
      </c>
      <c r="D273" s="87" t="s">
        <v>6327</v>
      </c>
      <c r="E273" s="9" t="s">
        <v>6924</v>
      </c>
      <c r="F273" s="9" t="s">
        <v>6925</v>
      </c>
      <c r="G273" s="9" t="s">
        <v>383</v>
      </c>
      <c r="H273" s="9" t="s">
        <v>444</v>
      </c>
      <c r="I273" s="87" t="s">
        <v>6405</v>
      </c>
      <c r="J273" s="87" t="s">
        <v>6405</v>
      </c>
      <c r="K273" s="87" t="s">
        <v>6926</v>
      </c>
      <c r="L273" s="87" t="s">
        <v>6392</v>
      </c>
      <c r="M273" s="87" t="s">
        <v>6563</v>
      </c>
      <c r="N273" s="9" t="s">
        <v>7099</v>
      </c>
      <c r="O273" s="87" t="s">
        <v>6327</v>
      </c>
      <c r="P273" s="9" t="s">
        <v>6243</v>
      </c>
      <c r="Q273" s="87" t="s">
        <v>6392</v>
      </c>
      <c r="R273" s="87" t="s">
        <v>6405</v>
      </c>
      <c r="S273" s="87" t="s">
        <v>7035</v>
      </c>
      <c r="T273" s="87" t="s">
        <v>6435</v>
      </c>
    </row>
    <row r="274" spans="1:20" ht="15.75" customHeight="1">
      <c r="A274" s="9" t="s">
        <v>3020</v>
      </c>
      <c r="C274" s="9" t="s">
        <v>6236</v>
      </c>
      <c r="D274" s="87" t="s">
        <v>6393</v>
      </c>
      <c r="E274" s="9" t="s">
        <v>431</v>
      </c>
      <c r="F274" s="9" t="s">
        <v>368</v>
      </c>
      <c r="G274" s="9" t="s">
        <v>436</v>
      </c>
      <c r="H274" s="9" t="s">
        <v>434</v>
      </c>
      <c r="I274" s="87" t="s">
        <v>6264</v>
      </c>
      <c r="J274" s="87" t="s">
        <v>6326</v>
      </c>
      <c r="K274" s="87" t="s">
        <v>6414</v>
      </c>
      <c r="L274" s="87" t="s">
        <v>6240</v>
      </c>
      <c r="M274" s="87" t="s">
        <v>6517</v>
      </c>
      <c r="N274" s="9" t="s">
        <v>7100</v>
      </c>
      <c r="O274" s="87" t="s">
        <v>6414</v>
      </c>
      <c r="P274" s="9" t="s">
        <v>6243</v>
      </c>
      <c r="Q274" s="87" t="s">
        <v>6416</v>
      </c>
      <c r="R274" s="87" t="s">
        <v>6326</v>
      </c>
      <c r="S274" s="87" t="s">
        <v>6327</v>
      </c>
      <c r="T274" s="87" t="s">
        <v>6570</v>
      </c>
    </row>
    <row r="275" spans="1:20" ht="15.75" customHeight="1">
      <c r="A275" s="9" t="s">
        <v>3020</v>
      </c>
      <c r="C275" s="9" t="s">
        <v>6236</v>
      </c>
      <c r="D275" s="87" t="s">
        <v>6393</v>
      </c>
      <c r="E275" s="9" t="s">
        <v>431</v>
      </c>
      <c r="F275" s="9" t="s">
        <v>368</v>
      </c>
      <c r="G275" s="9" t="s">
        <v>436</v>
      </c>
      <c r="H275" s="9" t="s">
        <v>434</v>
      </c>
      <c r="I275" s="87" t="s">
        <v>6264</v>
      </c>
      <c r="J275" s="87" t="s">
        <v>6326</v>
      </c>
      <c r="K275" s="87" t="s">
        <v>6293</v>
      </c>
      <c r="L275" s="87" t="s">
        <v>6240</v>
      </c>
      <c r="M275" s="87" t="s">
        <v>6530</v>
      </c>
      <c r="N275" s="9" t="s">
        <v>7101</v>
      </c>
      <c r="O275" s="87" t="s">
        <v>6293</v>
      </c>
      <c r="P275" s="9" t="s">
        <v>6243</v>
      </c>
      <c r="Q275" s="87" t="s">
        <v>4828</v>
      </c>
      <c r="R275" s="87" t="s">
        <v>6326</v>
      </c>
      <c r="S275" s="87" t="s">
        <v>6430</v>
      </c>
      <c r="T275" s="87" t="s">
        <v>6645</v>
      </c>
    </row>
    <row r="276" spans="1:20" ht="15.75" customHeight="1">
      <c r="A276" s="9" t="s">
        <v>3020</v>
      </c>
      <c r="C276" s="9" t="s">
        <v>6923</v>
      </c>
      <c r="D276" s="87" t="s">
        <v>6264</v>
      </c>
      <c r="E276" s="9" t="s">
        <v>6924</v>
      </c>
      <c r="F276" s="9" t="s">
        <v>6925</v>
      </c>
      <c r="G276" s="9" t="s">
        <v>383</v>
      </c>
      <c r="H276" s="9" t="s">
        <v>449</v>
      </c>
      <c r="I276" s="87" t="s">
        <v>6405</v>
      </c>
      <c r="J276" s="87" t="s">
        <v>6405</v>
      </c>
      <c r="K276" s="87" t="s">
        <v>6926</v>
      </c>
      <c r="L276" s="87" t="s">
        <v>3210</v>
      </c>
      <c r="M276" s="87" t="s">
        <v>6538</v>
      </c>
      <c r="N276" s="9" t="s">
        <v>7102</v>
      </c>
      <c r="O276" s="87" t="s">
        <v>6428</v>
      </c>
      <c r="P276" s="9" t="s">
        <v>6243</v>
      </c>
      <c r="Q276" s="87" t="s">
        <v>3210</v>
      </c>
      <c r="R276" s="87" t="s">
        <v>6405</v>
      </c>
      <c r="S276" s="87" t="s">
        <v>6323</v>
      </c>
      <c r="T276" s="87" t="s">
        <v>6341</v>
      </c>
    </row>
    <row r="277" spans="1:20" ht="15.75" customHeight="1">
      <c r="A277" s="9" t="s">
        <v>2995</v>
      </c>
      <c r="C277" s="9" t="s">
        <v>6236</v>
      </c>
      <c r="D277" s="87" t="s">
        <v>6393</v>
      </c>
      <c r="E277" s="9" t="s">
        <v>431</v>
      </c>
      <c r="F277" s="9" t="s">
        <v>368</v>
      </c>
      <c r="G277" s="9" t="s">
        <v>436</v>
      </c>
      <c r="H277" s="9" t="s">
        <v>434</v>
      </c>
      <c r="I277" s="87" t="s">
        <v>6237</v>
      </c>
      <c r="J277" s="87" t="s">
        <v>6260</v>
      </c>
      <c r="K277" s="87" t="s">
        <v>6260</v>
      </c>
      <c r="L277" s="87" t="s">
        <v>6240</v>
      </c>
      <c r="M277" s="87" t="s">
        <v>6495</v>
      </c>
      <c r="N277" s="9" t="s">
        <v>7103</v>
      </c>
      <c r="O277" s="87" t="s">
        <v>6260</v>
      </c>
      <c r="P277" s="9" t="s">
        <v>6243</v>
      </c>
      <c r="Q277" s="87" t="s">
        <v>4014</v>
      </c>
      <c r="R277" s="87" t="s">
        <v>6260</v>
      </c>
      <c r="S277" s="87" t="s">
        <v>6484</v>
      </c>
      <c r="T277" s="87" t="s">
        <v>6532</v>
      </c>
    </row>
    <row r="278" spans="1:20" ht="15.75" customHeight="1">
      <c r="A278" s="9" t="s">
        <v>2995</v>
      </c>
      <c r="C278" s="9" t="s">
        <v>6671</v>
      </c>
      <c r="D278" s="87" t="s">
        <v>6296</v>
      </c>
      <c r="E278" s="9" t="s">
        <v>6672</v>
      </c>
      <c r="F278" s="9" t="s">
        <v>439</v>
      </c>
      <c r="G278" s="9" t="s">
        <v>436</v>
      </c>
      <c r="H278" s="9" t="s">
        <v>440</v>
      </c>
      <c r="I278" s="87" t="s">
        <v>6405</v>
      </c>
      <c r="J278" s="87" t="s">
        <v>6455</v>
      </c>
      <c r="K278" s="87" t="s">
        <v>6455</v>
      </c>
      <c r="L278" s="87" t="s">
        <v>6240</v>
      </c>
      <c r="M278" s="87" t="s">
        <v>6513</v>
      </c>
      <c r="N278" s="9" t="s">
        <v>7104</v>
      </c>
      <c r="O278" s="87" t="s">
        <v>6455</v>
      </c>
      <c r="P278" s="9" t="s">
        <v>6243</v>
      </c>
      <c r="Q278" s="87" t="s">
        <v>6627</v>
      </c>
      <c r="R278" s="87" t="s">
        <v>6455</v>
      </c>
      <c r="S278" s="87" t="s">
        <v>6413</v>
      </c>
      <c r="T278" s="87" t="s">
        <v>6239</v>
      </c>
    </row>
    <row r="279" spans="1:20" ht="15.75" customHeight="1">
      <c r="A279" s="9" t="s">
        <v>2995</v>
      </c>
      <c r="C279" s="9" t="s">
        <v>6923</v>
      </c>
      <c r="D279" s="87" t="s">
        <v>6264</v>
      </c>
      <c r="E279" s="9" t="s">
        <v>6924</v>
      </c>
      <c r="F279" s="9" t="s">
        <v>6925</v>
      </c>
      <c r="G279" s="9" t="s">
        <v>383</v>
      </c>
      <c r="H279" s="9" t="s">
        <v>449</v>
      </c>
      <c r="I279" s="87" t="s">
        <v>6405</v>
      </c>
      <c r="J279" s="87" t="s">
        <v>6334</v>
      </c>
      <c r="K279" s="87" t="s">
        <v>6939</v>
      </c>
      <c r="L279" s="87" t="s">
        <v>6372</v>
      </c>
      <c r="M279" s="87" t="s">
        <v>6537</v>
      </c>
      <c r="N279" s="9" t="s">
        <v>7031</v>
      </c>
      <c r="O279" s="87" t="s">
        <v>6526</v>
      </c>
      <c r="P279" s="9" t="s">
        <v>6243</v>
      </c>
      <c r="Q279" s="87" t="s">
        <v>4023</v>
      </c>
      <c r="R279" s="87" t="s">
        <v>6334</v>
      </c>
      <c r="S279" s="87" t="s">
        <v>6295</v>
      </c>
      <c r="T279" s="87" t="s">
        <v>6341</v>
      </c>
    </row>
    <row r="280" spans="1:20" ht="15.75" customHeight="1">
      <c r="A280" s="9" t="s">
        <v>3030</v>
      </c>
      <c r="C280" s="9" t="s">
        <v>6236</v>
      </c>
      <c r="D280" s="87" t="s">
        <v>6393</v>
      </c>
      <c r="E280" s="9" t="s">
        <v>431</v>
      </c>
      <c r="F280" s="9" t="s">
        <v>368</v>
      </c>
      <c r="G280" s="9" t="s">
        <v>436</v>
      </c>
      <c r="H280" s="9" t="s">
        <v>434</v>
      </c>
      <c r="I280" s="87" t="s">
        <v>6237</v>
      </c>
      <c r="J280" s="87" t="s">
        <v>6401</v>
      </c>
      <c r="K280" s="87" t="s">
        <v>6401</v>
      </c>
      <c r="L280" s="87" t="s">
        <v>6240</v>
      </c>
      <c r="M280" s="87" t="s">
        <v>6490</v>
      </c>
      <c r="N280" s="9" t="s">
        <v>7105</v>
      </c>
      <c r="O280" s="87" t="s">
        <v>6401</v>
      </c>
      <c r="P280" s="9" t="s">
        <v>6243</v>
      </c>
      <c r="Q280" s="87" t="s">
        <v>6403</v>
      </c>
      <c r="R280" s="87" t="s">
        <v>6401</v>
      </c>
      <c r="S280" s="87" t="s">
        <v>6411</v>
      </c>
      <c r="T280" s="87" t="s">
        <v>6416</v>
      </c>
    </row>
    <row r="281" spans="1:20" ht="15.75" customHeight="1">
      <c r="A281" s="9" t="s">
        <v>3030</v>
      </c>
      <c r="C281" s="9" t="s">
        <v>6671</v>
      </c>
      <c r="D281" s="87" t="s">
        <v>6296</v>
      </c>
      <c r="E281" s="9" t="s">
        <v>6672</v>
      </c>
      <c r="F281" s="9" t="s">
        <v>439</v>
      </c>
      <c r="G281" s="9" t="s">
        <v>436</v>
      </c>
      <c r="H281" s="9" t="s">
        <v>440</v>
      </c>
      <c r="I281" s="87" t="s">
        <v>6405</v>
      </c>
      <c r="J281" s="87" t="s">
        <v>6323</v>
      </c>
      <c r="K281" s="87" t="s">
        <v>6323</v>
      </c>
      <c r="L281" s="87" t="s">
        <v>6240</v>
      </c>
      <c r="M281" s="87" t="s">
        <v>6510</v>
      </c>
      <c r="N281" s="9" t="s">
        <v>7106</v>
      </c>
      <c r="O281" s="87" t="s">
        <v>6323</v>
      </c>
      <c r="P281" s="9" t="s">
        <v>6243</v>
      </c>
      <c r="Q281" s="87" t="s">
        <v>5374</v>
      </c>
      <c r="R281" s="87" t="s">
        <v>6323</v>
      </c>
      <c r="S281" s="87" t="s">
        <v>6484</v>
      </c>
      <c r="T281" s="87" t="s">
        <v>6300</v>
      </c>
    </row>
    <row r="282" spans="1:20" ht="15.75" customHeight="1">
      <c r="A282" s="9" t="s">
        <v>3030</v>
      </c>
      <c r="C282" s="9" t="s">
        <v>6923</v>
      </c>
      <c r="D282" s="87" t="s">
        <v>6264</v>
      </c>
      <c r="E282" s="9" t="s">
        <v>6924</v>
      </c>
      <c r="F282" s="9" t="s">
        <v>6925</v>
      </c>
      <c r="G282" s="9" t="s">
        <v>383</v>
      </c>
      <c r="H282" s="9" t="s">
        <v>449</v>
      </c>
      <c r="I282" s="87" t="s">
        <v>6405</v>
      </c>
      <c r="J282" s="87" t="s">
        <v>6334</v>
      </c>
      <c r="K282" s="87" t="s">
        <v>6926</v>
      </c>
      <c r="L282" s="87" t="s">
        <v>5063</v>
      </c>
      <c r="M282" s="87" t="s">
        <v>6511</v>
      </c>
      <c r="N282" s="9" t="s">
        <v>7107</v>
      </c>
      <c r="O282" s="87" t="s">
        <v>6440</v>
      </c>
      <c r="P282" s="9" t="s">
        <v>6243</v>
      </c>
      <c r="Q282" s="87" t="s">
        <v>5063</v>
      </c>
      <c r="R282" s="87" t="s">
        <v>6334</v>
      </c>
      <c r="S282" s="87" t="s">
        <v>6451</v>
      </c>
      <c r="T282" s="87" t="s">
        <v>6341</v>
      </c>
    </row>
    <row r="283" spans="1:20" ht="15.75" customHeight="1">
      <c r="A283" s="9" t="s">
        <v>3030</v>
      </c>
      <c r="C283" s="9" t="s">
        <v>6923</v>
      </c>
      <c r="D283" s="87" t="s">
        <v>6264</v>
      </c>
      <c r="E283" s="9" t="s">
        <v>6924</v>
      </c>
      <c r="F283" s="9" t="s">
        <v>6925</v>
      </c>
      <c r="G283" s="9" t="s">
        <v>383</v>
      </c>
      <c r="H283" s="9" t="s">
        <v>449</v>
      </c>
      <c r="I283" s="87" t="s">
        <v>6405</v>
      </c>
      <c r="J283" s="87" t="s">
        <v>6334</v>
      </c>
      <c r="K283" s="87" t="s">
        <v>6926</v>
      </c>
      <c r="L283" s="87" t="s">
        <v>5063</v>
      </c>
      <c r="M283" s="87" t="s">
        <v>6513</v>
      </c>
      <c r="N283" s="9" t="s">
        <v>7107</v>
      </c>
      <c r="O283" s="87" t="s">
        <v>6440</v>
      </c>
      <c r="P283" s="9" t="s">
        <v>6243</v>
      </c>
      <c r="Q283" s="87" t="s">
        <v>5063</v>
      </c>
      <c r="R283" s="87" t="s">
        <v>6334</v>
      </c>
      <c r="S283" s="87" t="s">
        <v>6451</v>
      </c>
      <c r="T283" s="87" t="s">
        <v>6341</v>
      </c>
    </row>
    <row r="284" spans="1:20" ht="15.75" customHeight="1">
      <c r="A284" s="9" t="s">
        <v>3009</v>
      </c>
      <c r="C284" s="9" t="s">
        <v>6236</v>
      </c>
      <c r="D284" s="87" t="s">
        <v>6393</v>
      </c>
      <c r="E284" s="9" t="s">
        <v>431</v>
      </c>
      <c r="F284" s="9" t="s">
        <v>368</v>
      </c>
      <c r="G284" s="9" t="s">
        <v>436</v>
      </c>
      <c r="H284" s="9" t="s">
        <v>434</v>
      </c>
      <c r="I284" s="87" t="s">
        <v>6237</v>
      </c>
      <c r="J284" s="87" t="s">
        <v>6321</v>
      </c>
      <c r="K284" s="87" t="s">
        <v>6329</v>
      </c>
      <c r="L284" s="87" t="s">
        <v>6240</v>
      </c>
      <c r="M284" s="87" t="s">
        <v>6495</v>
      </c>
      <c r="N284" s="9" t="s">
        <v>7054</v>
      </c>
      <c r="O284" s="87" t="s">
        <v>6329</v>
      </c>
      <c r="P284" s="9" t="s">
        <v>6243</v>
      </c>
      <c r="Q284" s="87" t="s">
        <v>6448</v>
      </c>
      <c r="R284" s="87" t="s">
        <v>6321</v>
      </c>
      <c r="S284" s="87" t="s">
        <v>6327</v>
      </c>
      <c r="T284" s="87" t="s">
        <v>6486</v>
      </c>
    </row>
    <row r="285" spans="1:20" ht="15.75" customHeight="1">
      <c r="A285" s="9" t="s">
        <v>3009</v>
      </c>
      <c r="C285" s="9" t="s">
        <v>6236</v>
      </c>
      <c r="D285" s="87" t="s">
        <v>6393</v>
      </c>
      <c r="E285" s="9" t="s">
        <v>431</v>
      </c>
      <c r="F285" s="9" t="s">
        <v>368</v>
      </c>
      <c r="G285" s="9" t="s">
        <v>436</v>
      </c>
      <c r="H285" s="9" t="s">
        <v>434</v>
      </c>
      <c r="I285" s="87" t="s">
        <v>6237</v>
      </c>
      <c r="J285" s="87" t="s">
        <v>6321</v>
      </c>
      <c r="K285" s="87" t="s">
        <v>6342</v>
      </c>
      <c r="L285" s="87" t="s">
        <v>6240</v>
      </c>
      <c r="M285" s="87" t="s">
        <v>6508</v>
      </c>
      <c r="N285" s="9" t="s">
        <v>7020</v>
      </c>
      <c r="O285" s="87" t="s">
        <v>6342</v>
      </c>
      <c r="P285" s="9" t="s">
        <v>6243</v>
      </c>
      <c r="Q285" s="87" t="s">
        <v>6345</v>
      </c>
      <c r="R285" s="87" t="s">
        <v>6321</v>
      </c>
      <c r="S285" s="87" t="s">
        <v>6268</v>
      </c>
      <c r="T285" s="87" t="s">
        <v>6645</v>
      </c>
    </row>
    <row r="286" spans="1:20" ht="15.75" customHeight="1">
      <c r="A286" s="9" t="s">
        <v>3009</v>
      </c>
      <c r="C286" s="9" t="s">
        <v>6923</v>
      </c>
      <c r="D286" s="87" t="s">
        <v>6327</v>
      </c>
      <c r="E286" s="9" t="s">
        <v>6924</v>
      </c>
      <c r="F286" s="9" t="s">
        <v>6925</v>
      </c>
      <c r="G286" s="9" t="s">
        <v>383</v>
      </c>
      <c r="H286" s="9" t="s">
        <v>444</v>
      </c>
      <c r="I286" s="87" t="s">
        <v>6405</v>
      </c>
      <c r="J286" s="87" t="s">
        <v>6405</v>
      </c>
      <c r="K286" s="87" t="s">
        <v>6926</v>
      </c>
      <c r="L286" s="87" t="s">
        <v>6270</v>
      </c>
      <c r="M286" s="87" t="s">
        <v>6510</v>
      </c>
      <c r="N286" s="9" t="s">
        <v>7108</v>
      </c>
      <c r="O286" s="87" t="s">
        <v>6268</v>
      </c>
      <c r="P286" s="9" t="s">
        <v>6243</v>
      </c>
      <c r="Q286" s="87" t="s">
        <v>6270</v>
      </c>
      <c r="R286" s="87" t="s">
        <v>6405</v>
      </c>
      <c r="S286" s="87" t="s">
        <v>6290</v>
      </c>
      <c r="T286" s="87" t="s">
        <v>6254</v>
      </c>
    </row>
    <row r="287" spans="1:20" ht="15.75" customHeight="1">
      <c r="A287" s="9" t="s">
        <v>2834</v>
      </c>
      <c r="C287" s="9" t="s">
        <v>6236</v>
      </c>
      <c r="D287" s="87" t="s">
        <v>6393</v>
      </c>
      <c r="E287" s="9" t="s">
        <v>431</v>
      </c>
      <c r="F287" s="9" t="s">
        <v>368</v>
      </c>
      <c r="G287" s="9" t="s">
        <v>436</v>
      </c>
      <c r="H287" s="9" t="s">
        <v>434</v>
      </c>
      <c r="I287" s="87" t="s">
        <v>6237</v>
      </c>
      <c r="J287" s="87" t="s">
        <v>6421</v>
      </c>
      <c r="K287" s="87" t="s">
        <v>6348</v>
      </c>
      <c r="L287" s="87" t="s">
        <v>6240</v>
      </c>
      <c r="M287" s="87" t="s">
        <v>6508</v>
      </c>
      <c r="N287" s="9" t="s">
        <v>7109</v>
      </c>
      <c r="O287" s="87" t="s">
        <v>6348</v>
      </c>
      <c r="P287" s="9" t="s">
        <v>6243</v>
      </c>
      <c r="Q287" s="87" t="s">
        <v>5381</v>
      </c>
      <c r="R287" s="87" t="s">
        <v>6421</v>
      </c>
      <c r="S287" s="87" t="s">
        <v>6327</v>
      </c>
      <c r="T287" s="87" t="s">
        <v>6397</v>
      </c>
    </row>
    <row r="288" spans="1:20" ht="15.75" customHeight="1">
      <c r="A288" s="9" t="s">
        <v>2834</v>
      </c>
      <c r="C288" s="9" t="s">
        <v>6236</v>
      </c>
      <c r="D288" s="87" t="s">
        <v>6393</v>
      </c>
      <c r="E288" s="9" t="s">
        <v>431</v>
      </c>
      <c r="F288" s="9" t="s">
        <v>368</v>
      </c>
      <c r="G288" s="9" t="s">
        <v>436</v>
      </c>
      <c r="H288" s="9" t="s">
        <v>434</v>
      </c>
      <c r="I288" s="87" t="s">
        <v>6237</v>
      </c>
      <c r="J288" s="87" t="s">
        <v>6421</v>
      </c>
      <c r="K288" s="87" t="s">
        <v>6334</v>
      </c>
      <c r="L288" s="87" t="s">
        <v>6240</v>
      </c>
      <c r="M288" s="87" t="s">
        <v>6510</v>
      </c>
      <c r="N288" s="9" t="s">
        <v>7006</v>
      </c>
      <c r="O288" s="87" t="s">
        <v>6334</v>
      </c>
      <c r="P288" s="9" t="s">
        <v>6243</v>
      </c>
      <c r="Q288" s="87" t="s">
        <v>6290</v>
      </c>
      <c r="R288" s="87" t="s">
        <v>6421</v>
      </c>
      <c r="S288" s="87" t="s">
        <v>6351</v>
      </c>
      <c r="T288" s="87" t="s">
        <v>6645</v>
      </c>
    </row>
    <row r="289" spans="1:20" ht="15.75" customHeight="1">
      <c r="A289" s="9" t="s">
        <v>2834</v>
      </c>
      <c r="C289" s="9" t="s">
        <v>6671</v>
      </c>
      <c r="D289" s="87" t="s">
        <v>6296</v>
      </c>
      <c r="E289" s="9" t="s">
        <v>6672</v>
      </c>
      <c r="F289" s="9" t="s">
        <v>439</v>
      </c>
      <c r="G289" s="9" t="s">
        <v>436</v>
      </c>
      <c r="H289" s="9" t="s">
        <v>440</v>
      </c>
      <c r="I289" s="87" t="s">
        <v>6405</v>
      </c>
      <c r="J289" s="87" t="s">
        <v>6642</v>
      </c>
      <c r="K289" s="87" t="s">
        <v>6642</v>
      </c>
      <c r="L289" s="87" t="s">
        <v>6240</v>
      </c>
      <c r="M289" s="87" t="s">
        <v>6513</v>
      </c>
      <c r="N289" s="9" t="s">
        <v>7110</v>
      </c>
      <c r="O289" s="87" t="s">
        <v>6642</v>
      </c>
      <c r="P289" s="9" t="s">
        <v>6243</v>
      </c>
      <c r="Q289" s="87" t="s">
        <v>6445</v>
      </c>
      <c r="R289" s="87" t="s">
        <v>6642</v>
      </c>
      <c r="S289" s="87" t="s">
        <v>6329</v>
      </c>
      <c r="T289" s="87" t="s">
        <v>6484</v>
      </c>
    </row>
    <row r="290" spans="1:20" ht="15.75" customHeight="1">
      <c r="A290" s="9" t="s">
        <v>2834</v>
      </c>
      <c r="C290" s="9" t="s">
        <v>6923</v>
      </c>
      <c r="D290" s="87" t="s">
        <v>6327</v>
      </c>
      <c r="E290" s="9" t="s">
        <v>6924</v>
      </c>
      <c r="F290" s="9" t="s">
        <v>6925</v>
      </c>
      <c r="G290" s="9" t="s">
        <v>383</v>
      </c>
      <c r="H290" s="9" t="s">
        <v>444</v>
      </c>
      <c r="I290" s="87" t="s">
        <v>6405</v>
      </c>
      <c r="J290" s="87" t="s">
        <v>6405</v>
      </c>
      <c r="K290" s="87" t="s">
        <v>6926</v>
      </c>
      <c r="L290" s="87" t="s">
        <v>6238</v>
      </c>
      <c r="M290" s="87" t="s">
        <v>6530</v>
      </c>
      <c r="N290" s="9" t="s">
        <v>7111</v>
      </c>
      <c r="O290" s="87" t="s">
        <v>6245</v>
      </c>
      <c r="P290" s="9" t="s">
        <v>6243</v>
      </c>
      <c r="Q290" s="87" t="s">
        <v>6238</v>
      </c>
      <c r="R290" s="87" t="s">
        <v>6405</v>
      </c>
      <c r="S290" s="87" t="s">
        <v>6297</v>
      </c>
      <c r="T290" s="87" t="s">
        <v>6259</v>
      </c>
    </row>
    <row r="291" spans="1:20" ht="15.75" customHeight="1">
      <c r="A291" s="9" t="s">
        <v>2957</v>
      </c>
      <c r="C291" s="9" t="s">
        <v>6236</v>
      </c>
      <c r="D291" s="87" t="s">
        <v>6393</v>
      </c>
      <c r="E291" s="9" t="s">
        <v>431</v>
      </c>
      <c r="F291" s="9" t="s">
        <v>368</v>
      </c>
      <c r="G291" s="9" t="s">
        <v>436</v>
      </c>
      <c r="H291" s="9" t="s">
        <v>434</v>
      </c>
      <c r="I291" s="87" t="s">
        <v>6237</v>
      </c>
      <c r="J291" s="87" t="s">
        <v>6306</v>
      </c>
      <c r="K291" s="87" t="s">
        <v>6271</v>
      </c>
      <c r="L291" s="87" t="s">
        <v>6240</v>
      </c>
      <c r="M291" s="87" t="s">
        <v>6510</v>
      </c>
      <c r="N291" s="9" t="s">
        <v>7016</v>
      </c>
      <c r="O291" s="87" t="s">
        <v>6271</v>
      </c>
      <c r="P291" s="9" t="s">
        <v>6243</v>
      </c>
      <c r="Q291" s="87" t="s">
        <v>3746</v>
      </c>
      <c r="R291" s="87" t="s">
        <v>6306</v>
      </c>
      <c r="S291" s="87" t="s">
        <v>6327</v>
      </c>
      <c r="T291" s="87" t="s">
        <v>6474</v>
      </c>
    </row>
    <row r="292" spans="1:20" ht="15.75" customHeight="1">
      <c r="A292" s="9" t="s">
        <v>2957</v>
      </c>
      <c r="C292" s="9" t="s">
        <v>6236</v>
      </c>
      <c r="D292" s="87" t="s">
        <v>6393</v>
      </c>
      <c r="E292" s="9" t="s">
        <v>431</v>
      </c>
      <c r="F292" s="9" t="s">
        <v>368</v>
      </c>
      <c r="G292" s="9" t="s">
        <v>436</v>
      </c>
      <c r="H292" s="9" t="s">
        <v>434</v>
      </c>
      <c r="I292" s="87" t="s">
        <v>6237</v>
      </c>
      <c r="J292" s="87" t="s">
        <v>6306</v>
      </c>
      <c r="K292" s="87" t="s">
        <v>6461</v>
      </c>
      <c r="L292" s="87" t="s">
        <v>6240</v>
      </c>
      <c r="M292" s="87" t="s">
        <v>6511</v>
      </c>
      <c r="N292" s="9" t="s">
        <v>6996</v>
      </c>
      <c r="O292" s="87" t="s">
        <v>6461</v>
      </c>
      <c r="P292" s="9" t="s">
        <v>6243</v>
      </c>
      <c r="Q292" s="87" t="s">
        <v>6255</v>
      </c>
      <c r="R292" s="87" t="s">
        <v>6306</v>
      </c>
      <c r="S292" s="87" t="s">
        <v>6419</v>
      </c>
      <c r="T292" s="87" t="s">
        <v>6645</v>
      </c>
    </row>
    <row r="293" spans="1:20" ht="15.75" customHeight="1">
      <c r="A293" s="9" t="s">
        <v>2957</v>
      </c>
      <c r="C293" s="9" t="s">
        <v>6671</v>
      </c>
      <c r="D293" s="87" t="s">
        <v>6296</v>
      </c>
      <c r="E293" s="9" t="s">
        <v>6672</v>
      </c>
      <c r="F293" s="9" t="s">
        <v>439</v>
      </c>
      <c r="G293" s="9" t="s">
        <v>436</v>
      </c>
      <c r="H293" s="9" t="s">
        <v>440</v>
      </c>
      <c r="I293" s="87" t="s">
        <v>6405</v>
      </c>
      <c r="J293" s="87" t="s">
        <v>3231</v>
      </c>
      <c r="K293" s="87" t="s">
        <v>6528</v>
      </c>
      <c r="L293" s="87" t="s">
        <v>6240</v>
      </c>
      <c r="M293" s="87" t="s">
        <v>6513</v>
      </c>
      <c r="N293" s="9" t="s">
        <v>7112</v>
      </c>
      <c r="O293" s="87" t="s">
        <v>6528</v>
      </c>
      <c r="P293" s="9" t="s">
        <v>6243</v>
      </c>
      <c r="Q293" s="87" t="s">
        <v>6474</v>
      </c>
      <c r="R293" s="87" t="s">
        <v>3231</v>
      </c>
      <c r="S293" s="87" t="s">
        <v>6327</v>
      </c>
      <c r="T293" s="87" t="s">
        <v>6295</v>
      </c>
    </row>
    <row r="294" spans="1:20" ht="15.75" customHeight="1">
      <c r="A294" s="9" t="s">
        <v>2957</v>
      </c>
      <c r="C294" s="9" t="s">
        <v>6671</v>
      </c>
      <c r="D294" s="87" t="s">
        <v>6296</v>
      </c>
      <c r="E294" s="9" t="s">
        <v>6672</v>
      </c>
      <c r="F294" s="9" t="s">
        <v>439</v>
      </c>
      <c r="G294" s="9" t="s">
        <v>436</v>
      </c>
      <c r="H294" s="9" t="s">
        <v>440</v>
      </c>
      <c r="I294" s="87" t="s">
        <v>6405</v>
      </c>
      <c r="J294" s="87" t="s">
        <v>3231</v>
      </c>
      <c r="K294" s="87" t="s">
        <v>6239</v>
      </c>
      <c r="L294" s="87" t="s">
        <v>6240</v>
      </c>
      <c r="M294" s="87" t="s">
        <v>6517</v>
      </c>
      <c r="N294" s="9" t="s">
        <v>6928</v>
      </c>
      <c r="O294" s="87" t="s">
        <v>6239</v>
      </c>
      <c r="P294" s="9" t="s">
        <v>6243</v>
      </c>
      <c r="Q294" s="87" t="s">
        <v>3764</v>
      </c>
      <c r="R294" s="87" t="s">
        <v>3231</v>
      </c>
      <c r="S294" s="87" t="s">
        <v>6327</v>
      </c>
      <c r="T294" s="87" t="s">
        <v>6645</v>
      </c>
    </row>
    <row r="295" spans="1:20" ht="15.75" customHeight="1">
      <c r="A295" s="9" t="s">
        <v>2957</v>
      </c>
      <c r="C295" s="9" t="s">
        <v>6671</v>
      </c>
      <c r="D295" s="87" t="s">
        <v>6296</v>
      </c>
      <c r="E295" s="9" t="s">
        <v>6672</v>
      </c>
      <c r="F295" s="9" t="s">
        <v>439</v>
      </c>
      <c r="G295" s="9" t="s">
        <v>436</v>
      </c>
      <c r="H295" s="9" t="s">
        <v>440</v>
      </c>
      <c r="I295" s="87" t="s">
        <v>6405</v>
      </c>
      <c r="J295" s="87" t="s">
        <v>3231</v>
      </c>
      <c r="K295" s="87" t="s">
        <v>6497</v>
      </c>
      <c r="L295" s="87" t="s">
        <v>6240</v>
      </c>
      <c r="M295" s="87" t="s">
        <v>6530</v>
      </c>
      <c r="N295" s="9" t="s">
        <v>7113</v>
      </c>
      <c r="O295" s="87" t="s">
        <v>6497</v>
      </c>
      <c r="P295" s="9" t="s">
        <v>6243</v>
      </c>
      <c r="Q295" s="87" t="s">
        <v>6714</v>
      </c>
      <c r="R295" s="87" t="s">
        <v>3231</v>
      </c>
      <c r="S295" s="87" t="s">
        <v>6397</v>
      </c>
      <c r="T295" s="87" t="s">
        <v>6645</v>
      </c>
    </row>
    <row r="296" spans="1:20" ht="15.75" customHeight="1">
      <c r="A296" s="9" t="s">
        <v>2957</v>
      </c>
      <c r="C296" s="9" t="s">
        <v>6923</v>
      </c>
      <c r="D296" s="87" t="s">
        <v>6327</v>
      </c>
      <c r="E296" s="9" t="s">
        <v>6924</v>
      </c>
      <c r="F296" s="9" t="s">
        <v>6925</v>
      </c>
      <c r="G296" s="9" t="s">
        <v>383</v>
      </c>
      <c r="H296" s="9" t="s">
        <v>444</v>
      </c>
      <c r="I296" s="87" t="s">
        <v>6405</v>
      </c>
      <c r="J296" s="87" t="s">
        <v>6264</v>
      </c>
      <c r="K296" s="87" t="s">
        <v>6931</v>
      </c>
      <c r="L296" s="87" t="s">
        <v>6270</v>
      </c>
      <c r="M296" s="87" t="s">
        <v>6537</v>
      </c>
      <c r="N296" s="9" t="s">
        <v>6981</v>
      </c>
      <c r="O296" s="87" t="s">
        <v>6300</v>
      </c>
      <c r="P296" s="9" t="s">
        <v>6243</v>
      </c>
      <c r="Q296" s="87" t="s">
        <v>3861</v>
      </c>
      <c r="R296" s="87" t="s">
        <v>6264</v>
      </c>
      <c r="S296" s="87" t="s">
        <v>6296</v>
      </c>
      <c r="T296" s="87" t="s">
        <v>6341</v>
      </c>
    </row>
    <row r="297" spans="1:20" ht="15.75" customHeight="1">
      <c r="A297" s="9" t="s">
        <v>2955</v>
      </c>
      <c r="C297" s="9" t="s">
        <v>6236</v>
      </c>
      <c r="D297" s="87" t="s">
        <v>6393</v>
      </c>
      <c r="E297" s="9" t="s">
        <v>431</v>
      </c>
      <c r="F297" s="9" t="s">
        <v>368</v>
      </c>
      <c r="G297" s="9" t="s">
        <v>436</v>
      </c>
      <c r="H297" s="9" t="s">
        <v>434</v>
      </c>
      <c r="I297" s="87" t="s">
        <v>6237</v>
      </c>
      <c r="J297" s="87" t="s">
        <v>4014</v>
      </c>
      <c r="K297" s="87" t="s">
        <v>6445</v>
      </c>
      <c r="L297" s="87" t="s">
        <v>6240</v>
      </c>
      <c r="M297" s="87" t="s">
        <v>6537</v>
      </c>
      <c r="N297" s="9" t="s">
        <v>7114</v>
      </c>
      <c r="O297" s="87" t="s">
        <v>6445</v>
      </c>
      <c r="P297" s="9" t="s">
        <v>6243</v>
      </c>
      <c r="Q297" s="87" t="s">
        <v>6796</v>
      </c>
      <c r="R297" s="87" t="s">
        <v>4014</v>
      </c>
      <c r="S297" s="87" t="s">
        <v>6327</v>
      </c>
      <c r="T297" s="87" t="s">
        <v>6543</v>
      </c>
    </row>
    <row r="298" spans="1:20" ht="15.75" customHeight="1">
      <c r="A298" s="9" t="s">
        <v>2955</v>
      </c>
      <c r="C298" s="9" t="s">
        <v>6236</v>
      </c>
      <c r="D298" s="87" t="s">
        <v>6393</v>
      </c>
      <c r="E298" s="9" t="s">
        <v>431</v>
      </c>
      <c r="F298" s="9" t="s">
        <v>368</v>
      </c>
      <c r="G298" s="9" t="s">
        <v>436</v>
      </c>
      <c r="H298" s="9" t="s">
        <v>434</v>
      </c>
      <c r="I298" s="87" t="s">
        <v>6237</v>
      </c>
      <c r="J298" s="87" t="s">
        <v>4014</v>
      </c>
      <c r="K298" s="87" t="s">
        <v>6239</v>
      </c>
      <c r="L298" s="87" t="s">
        <v>6240</v>
      </c>
      <c r="M298" s="87" t="s">
        <v>6538</v>
      </c>
      <c r="N298" s="9" t="s">
        <v>6928</v>
      </c>
      <c r="O298" s="87" t="s">
        <v>6239</v>
      </c>
      <c r="P298" s="9" t="s">
        <v>6243</v>
      </c>
      <c r="Q298" s="87" t="s">
        <v>3764</v>
      </c>
      <c r="R298" s="87" t="s">
        <v>4014</v>
      </c>
      <c r="S298" s="87" t="s">
        <v>6327</v>
      </c>
      <c r="T298" s="87" t="s">
        <v>6645</v>
      </c>
    </row>
    <row r="299" spans="1:20" ht="15.75" customHeight="1">
      <c r="A299" s="9" t="s">
        <v>2955</v>
      </c>
      <c r="C299" s="9" t="s">
        <v>6236</v>
      </c>
      <c r="D299" s="87" t="s">
        <v>6393</v>
      </c>
      <c r="E299" s="9" t="s">
        <v>431</v>
      </c>
      <c r="F299" s="9" t="s">
        <v>368</v>
      </c>
      <c r="G299" s="9" t="s">
        <v>436</v>
      </c>
      <c r="H299" s="9" t="s">
        <v>434</v>
      </c>
      <c r="I299" s="87" t="s">
        <v>6237</v>
      </c>
      <c r="J299" s="87" t="s">
        <v>4014</v>
      </c>
      <c r="K299" s="87" t="s">
        <v>6314</v>
      </c>
      <c r="L299" s="87" t="s">
        <v>6240</v>
      </c>
      <c r="M299" s="87" t="s">
        <v>6539</v>
      </c>
      <c r="N299" s="9" t="s">
        <v>7115</v>
      </c>
      <c r="O299" s="87" t="s">
        <v>6314</v>
      </c>
      <c r="P299" s="9" t="s">
        <v>6243</v>
      </c>
      <c r="Q299" s="87" t="s">
        <v>6748</v>
      </c>
      <c r="R299" s="87" t="s">
        <v>4014</v>
      </c>
      <c r="S299" s="87" t="s">
        <v>6280</v>
      </c>
      <c r="T299" s="87" t="s">
        <v>6645</v>
      </c>
    </row>
    <row r="300" spans="1:20" ht="15.75" customHeight="1">
      <c r="A300" s="9" t="s">
        <v>2955</v>
      </c>
      <c r="C300" s="9" t="s">
        <v>6923</v>
      </c>
      <c r="D300" s="87" t="s">
        <v>6810</v>
      </c>
      <c r="E300" s="9" t="s">
        <v>6924</v>
      </c>
      <c r="F300" s="9" t="s">
        <v>6925</v>
      </c>
      <c r="G300" s="9" t="s">
        <v>383</v>
      </c>
      <c r="H300" s="9" t="s">
        <v>430</v>
      </c>
      <c r="I300" s="87" t="s">
        <v>6405</v>
      </c>
      <c r="J300" s="87" t="s">
        <v>6334</v>
      </c>
      <c r="K300" s="87" t="s">
        <v>6939</v>
      </c>
      <c r="L300" s="87" t="s">
        <v>5079</v>
      </c>
      <c r="M300" s="87" t="s">
        <v>6540</v>
      </c>
      <c r="N300" s="9" t="s">
        <v>7058</v>
      </c>
      <c r="O300" s="87" t="s">
        <v>6373</v>
      </c>
      <c r="P300" s="9" t="s">
        <v>6243</v>
      </c>
      <c r="Q300" s="87" t="s">
        <v>3089</v>
      </c>
      <c r="R300" s="87" t="s">
        <v>6334</v>
      </c>
      <c r="S300" s="87" t="s">
        <v>6297</v>
      </c>
      <c r="T300" s="87" t="s">
        <v>6341</v>
      </c>
    </row>
    <row r="301" spans="1:20" ht="15.75" customHeight="1">
      <c r="A301" s="9" t="s">
        <v>2955</v>
      </c>
      <c r="C301" s="9" t="s">
        <v>6923</v>
      </c>
      <c r="D301" s="87" t="s">
        <v>6461</v>
      </c>
      <c r="E301" s="9" t="s">
        <v>6924</v>
      </c>
      <c r="F301" s="9" t="s">
        <v>6925</v>
      </c>
      <c r="G301" s="9" t="s">
        <v>383</v>
      </c>
      <c r="H301" s="9" t="s">
        <v>427</v>
      </c>
      <c r="I301" s="87" t="s">
        <v>6405</v>
      </c>
      <c r="J301" s="87" t="s">
        <v>6237</v>
      </c>
      <c r="K301" s="87" t="s">
        <v>6926</v>
      </c>
      <c r="L301" s="87" t="s">
        <v>5374</v>
      </c>
      <c r="M301" s="87" t="s">
        <v>6563</v>
      </c>
      <c r="N301" s="9" t="s">
        <v>7116</v>
      </c>
      <c r="O301" s="87" t="s">
        <v>6323</v>
      </c>
      <c r="P301" s="9" t="s">
        <v>6243</v>
      </c>
      <c r="Q301" s="87" t="s">
        <v>5374</v>
      </c>
      <c r="R301" s="87" t="s">
        <v>6237</v>
      </c>
      <c r="S301" s="87" t="s">
        <v>7035</v>
      </c>
      <c r="T301" s="87" t="s">
        <v>6329</v>
      </c>
    </row>
    <row r="302" spans="1:20" ht="15.75" customHeight="1">
      <c r="A302" s="9" t="s">
        <v>2955</v>
      </c>
      <c r="C302" s="9" t="s">
        <v>6923</v>
      </c>
      <c r="D302" s="87" t="s">
        <v>6461</v>
      </c>
      <c r="E302" s="9" t="s">
        <v>6924</v>
      </c>
      <c r="F302" s="9" t="s">
        <v>6925</v>
      </c>
      <c r="G302" s="9" t="s">
        <v>383</v>
      </c>
      <c r="H302" s="9" t="s">
        <v>427</v>
      </c>
      <c r="I302" s="87" t="s">
        <v>6405</v>
      </c>
      <c r="J302" s="87" t="s">
        <v>6237</v>
      </c>
      <c r="K302" s="87" t="s">
        <v>6939</v>
      </c>
      <c r="L302" s="87" t="s">
        <v>5374</v>
      </c>
      <c r="M302" s="87" t="s">
        <v>6566</v>
      </c>
      <c r="N302" s="9" t="s">
        <v>6940</v>
      </c>
      <c r="O302" s="87" t="s">
        <v>6333</v>
      </c>
      <c r="P302" s="9" t="s">
        <v>6243</v>
      </c>
      <c r="Q302" s="87" t="s">
        <v>6575</v>
      </c>
      <c r="R302" s="87" t="s">
        <v>6237</v>
      </c>
      <c r="S302" s="87" t="s">
        <v>6570</v>
      </c>
      <c r="T302" s="87" t="s">
        <v>6341</v>
      </c>
    </row>
    <row r="303" spans="1:20" ht="15.75" customHeight="1">
      <c r="A303" s="9" t="s">
        <v>2955</v>
      </c>
      <c r="C303" s="9" t="s">
        <v>6923</v>
      </c>
      <c r="D303" s="87" t="s">
        <v>6461</v>
      </c>
      <c r="E303" s="9" t="s">
        <v>6924</v>
      </c>
      <c r="F303" s="9" t="s">
        <v>6925</v>
      </c>
      <c r="G303" s="9" t="s">
        <v>383</v>
      </c>
      <c r="H303" s="9" t="s">
        <v>427</v>
      </c>
      <c r="I303" s="87" t="s">
        <v>6405</v>
      </c>
      <c r="J303" s="87" t="s">
        <v>6237</v>
      </c>
      <c r="K303" s="87" t="s">
        <v>6926</v>
      </c>
      <c r="L303" s="87" t="s">
        <v>5374</v>
      </c>
      <c r="M303" s="87" t="s">
        <v>6568</v>
      </c>
      <c r="N303" s="9" t="s">
        <v>7004</v>
      </c>
      <c r="O303" s="87" t="s">
        <v>6323</v>
      </c>
      <c r="P303" s="9" t="s">
        <v>6243</v>
      </c>
      <c r="Q303" s="87" t="s">
        <v>5374</v>
      </c>
      <c r="R303" s="87" t="s">
        <v>6237</v>
      </c>
      <c r="S303" s="87" t="s">
        <v>6428</v>
      </c>
      <c r="T303" s="87" t="s">
        <v>6341</v>
      </c>
    </row>
    <row r="304" spans="1:20" ht="15.75" customHeight="1">
      <c r="A304" s="9" t="s">
        <v>2896</v>
      </c>
      <c r="C304" s="9" t="s">
        <v>6236</v>
      </c>
      <c r="D304" s="87" t="s">
        <v>6393</v>
      </c>
      <c r="E304" s="9" t="s">
        <v>431</v>
      </c>
      <c r="F304" s="9" t="s">
        <v>368</v>
      </c>
      <c r="G304" s="9" t="s">
        <v>436</v>
      </c>
      <c r="H304" s="9" t="s">
        <v>434</v>
      </c>
      <c r="I304" s="87" t="s">
        <v>6237</v>
      </c>
      <c r="J304" s="87" t="s">
        <v>6433</v>
      </c>
      <c r="K304" s="87" t="s">
        <v>6433</v>
      </c>
      <c r="L304" s="87" t="s">
        <v>6240</v>
      </c>
      <c r="M304" s="87" t="s">
        <v>6511</v>
      </c>
      <c r="N304" s="9" t="s">
        <v>7117</v>
      </c>
      <c r="O304" s="87" t="s">
        <v>6433</v>
      </c>
      <c r="P304" s="9" t="s">
        <v>6243</v>
      </c>
      <c r="Q304" s="87" t="s">
        <v>6305</v>
      </c>
      <c r="R304" s="87" t="s">
        <v>6433</v>
      </c>
      <c r="S304" s="87" t="s">
        <v>6316</v>
      </c>
      <c r="T304" s="87" t="s">
        <v>6395</v>
      </c>
    </row>
    <row r="305" spans="1:20" ht="15.75" customHeight="1">
      <c r="A305" s="9" t="s">
        <v>2896</v>
      </c>
      <c r="C305" s="9" t="s">
        <v>6671</v>
      </c>
      <c r="D305" s="87" t="s">
        <v>6296</v>
      </c>
      <c r="E305" s="9" t="s">
        <v>6672</v>
      </c>
      <c r="F305" s="9" t="s">
        <v>439</v>
      </c>
      <c r="G305" s="9" t="s">
        <v>436</v>
      </c>
      <c r="H305" s="9" t="s">
        <v>440</v>
      </c>
      <c r="I305" s="87" t="s">
        <v>6405</v>
      </c>
      <c r="J305" s="87" t="s">
        <v>6290</v>
      </c>
      <c r="K305" s="87" t="s">
        <v>6290</v>
      </c>
      <c r="L305" s="87" t="s">
        <v>6240</v>
      </c>
      <c r="M305" s="87" t="s">
        <v>6530</v>
      </c>
      <c r="N305" s="9" t="s">
        <v>7118</v>
      </c>
      <c r="O305" s="87" t="s">
        <v>6290</v>
      </c>
      <c r="P305" s="9" t="s">
        <v>6243</v>
      </c>
      <c r="Q305" s="87" t="s">
        <v>6293</v>
      </c>
      <c r="R305" s="87" t="s">
        <v>6290</v>
      </c>
      <c r="S305" s="87" t="s">
        <v>6313</v>
      </c>
      <c r="T305" s="87" t="s">
        <v>6245</v>
      </c>
    </row>
    <row r="306" spans="1:20" ht="15.75" customHeight="1">
      <c r="A306" s="9" t="s">
        <v>2896</v>
      </c>
      <c r="C306" s="9" t="s">
        <v>6923</v>
      </c>
      <c r="D306" s="87" t="s">
        <v>6327</v>
      </c>
      <c r="E306" s="9" t="s">
        <v>6924</v>
      </c>
      <c r="F306" s="9" t="s">
        <v>6925</v>
      </c>
      <c r="G306" s="9" t="s">
        <v>383</v>
      </c>
      <c r="H306" s="9" t="s">
        <v>444</v>
      </c>
      <c r="I306" s="87" t="s">
        <v>6405</v>
      </c>
      <c r="J306" s="87" t="s">
        <v>6405</v>
      </c>
      <c r="K306" s="87" t="s">
        <v>7119</v>
      </c>
      <c r="L306" s="87" t="s">
        <v>3231</v>
      </c>
      <c r="M306" s="87" t="s">
        <v>6537</v>
      </c>
      <c r="N306" s="9" t="s">
        <v>7120</v>
      </c>
      <c r="O306" s="87" t="s">
        <v>6435</v>
      </c>
      <c r="P306" s="9" t="s">
        <v>6243</v>
      </c>
      <c r="Q306" s="87" t="s">
        <v>6250</v>
      </c>
      <c r="R306" s="87" t="s">
        <v>6405</v>
      </c>
      <c r="S306" s="87" t="s">
        <v>6251</v>
      </c>
      <c r="T306" s="87" t="s">
        <v>6414</v>
      </c>
    </row>
    <row r="307" spans="1:20" ht="15.75" customHeight="1">
      <c r="A307" s="9" t="s">
        <v>2896</v>
      </c>
      <c r="C307" s="9" t="s">
        <v>6923</v>
      </c>
      <c r="D307" s="87" t="s">
        <v>6327</v>
      </c>
      <c r="E307" s="9" t="s">
        <v>6924</v>
      </c>
      <c r="F307" s="9" t="s">
        <v>6925</v>
      </c>
      <c r="G307" s="9" t="s">
        <v>383</v>
      </c>
      <c r="H307" s="9" t="s">
        <v>444</v>
      </c>
      <c r="I307" s="87" t="s">
        <v>6405</v>
      </c>
      <c r="J307" s="87" t="s">
        <v>6405</v>
      </c>
      <c r="K307" s="87" t="s">
        <v>6926</v>
      </c>
      <c r="L307" s="87" t="s">
        <v>3231</v>
      </c>
      <c r="M307" s="87" t="s">
        <v>6538</v>
      </c>
      <c r="N307" s="9" t="s">
        <v>7121</v>
      </c>
      <c r="O307" s="87" t="s">
        <v>6299</v>
      </c>
      <c r="P307" s="9" t="s">
        <v>6243</v>
      </c>
      <c r="Q307" s="87" t="s">
        <v>3231</v>
      </c>
      <c r="R307" s="87" t="s">
        <v>6405</v>
      </c>
      <c r="S307" s="87" t="s">
        <v>6400</v>
      </c>
      <c r="T307" s="87" t="s">
        <v>6341</v>
      </c>
    </row>
    <row r="308" spans="1:20" ht="15.75" customHeight="1">
      <c r="A308" s="9" t="s">
        <v>2983</v>
      </c>
      <c r="C308" s="9" t="s">
        <v>6236</v>
      </c>
      <c r="D308" s="87" t="s">
        <v>6393</v>
      </c>
      <c r="E308" s="9" t="s">
        <v>431</v>
      </c>
      <c r="F308" s="9" t="s">
        <v>368</v>
      </c>
      <c r="G308" s="9" t="s">
        <v>436</v>
      </c>
      <c r="H308" s="9" t="s">
        <v>434</v>
      </c>
      <c r="I308" s="87" t="s">
        <v>6237</v>
      </c>
      <c r="J308" s="87" t="s">
        <v>6515</v>
      </c>
      <c r="K308" s="87" t="s">
        <v>6333</v>
      </c>
      <c r="L308" s="87" t="s">
        <v>6240</v>
      </c>
      <c r="M308" s="87" t="s">
        <v>6511</v>
      </c>
      <c r="N308" s="9" t="s">
        <v>7122</v>
      </c>
      <c r="O308" s="87" t="s">
        <v>6333</v>
      </c>
      <c r="P308" s="9" t="s">
        <v>6243</v>
      </c>
      <c r="Q308" s="87" t="s">
        <v>6575</v>
      </c>
      <c r="R308" s="87" t="s">
        <v>6515</v>
      </c>
      <c r="S308" s="87" t="s">
        <v>6327</v>
      </c>
      <c r="T308" s="87" t="s">
        <v>6314</v>
      </c>
    </row>
    <row r="309" spans="1:20" ht="15.75" customHeight="1">
      <c r="A309" s="9" t="s">
        <v>2983</v>
      </c>
      <c r="C309" s="9" t="s">
        <v>6236</v>
      </c>
      <c r="D309" s="87" t="s">
        <v>6393</v>
      </c>
      <c r="E309" s="9" t="s">
        <v>431</v>
      </c>
      <c r="F309" s="9" t="s">
        <v>368</v>
      </c>
      <c r="G309" s="9" t="s">
        <v>436</v>
      </c>
      <c r="H309" s="9" t="s">
        <v>434</v>
      </c>
      <c r="I309" s="87" t="s">
        <v>6237</v>
      </c>
      <c r="J309" s="87" t="s">
        <v>6515</v>
      </c>
      <c r="K309" s="87" t="s">
        <v>6314</v>
      </c>
      <c r="L309" s="87" t="s">
        <v>6240</v>
      </c>
      <c r="M309" s="87" t="s">
        <v>6513</v>
      </c>
      <c r="N309" s="9" t="s">
        <v>7115</v>
      </c>
      <c r="O309" s="87" t="s">
        <v>6314</v>
      </c>
      <c r="P309" s="9" t="s">
        <v>6243</v>
      </c>
      <c r="Q309" s="87" t="s">
        <v>6748</v>
      </c>
      <c r="R309" s="87" t="s">
        <v>6515</v>
      </c>
      <c r="S309" s="87" t="s">
        <v>6280</v>
      </c>
      <c r="T309" s="87" t="s">
        <v>6645</v>
      </c>
    </row>
    <row r="310" spans="1:20" ht="15.75" customHeight="1">
      <c r="A310" s="9" t="s">
        <v>2983</v>
      </c>
      <c r="C310" s="9" t="s">
        <v>6671</v>
      </c>
      <c r="D310" s="87" t="s">
        <v>6296</v>
      </c>
      <c r="E310" s="9" t="s">
        <v>6672</v>
      </c>
      <c r="F310" s="9" t="s">
        <v>439</v>
      </c>
      <c r="G310" s="9" t="s">
        <v>436</v>
      </c>
      <c r="H310" s="9" t="s">
        <v>440</v>
      </c>
      <c r="I310" s="87" t="s">
        <v>6405</v>
      </c>
      <c r="J310" s="87" t="s">
        <v>6305</v>
      </c>
      <c r="K310" s="87" t="s">
        <v>6264</v>
      </c>
      <c r="L310" s="87" t="s">
        <v>6240</v>
      </c>
      <c r="M310" s="87" t="s">
        <v>6530</v>
      </c>
      <c r="N310" s="9" t="s">
        <v>7123</v>
      </c>
      <c r="O310" s="87" t="s">
        <v>6264</v>
      </c>
      <c r="P310" s="9" t="s">
        <v>6243</v>
      </c>
      <c r="Q310" s="87" t="s">
        <v>6313</v>
      </c>
      <c r="R310" s="87" t="s">
        <v>6305</v>
      </c>
      <c r="S310" s="87" t="s">
        <v>6327</v>
      </c>
      <c r="T310" s="87" t="s">
        <v>6348</v>
      </c>
    </row>
    <row r="311" spans="1:20" ht="15.75" customHeight="1">
      <c r="A311" s="9" t="s">
        <v>2983</v>
      </c>
      <c r="C311" s="9" t="s">
        <v>6671</v>
      </c>
      <c r="D311" s="87" t="s">
        <v>6296</v>
      </c>
      <c r="E311" s="9" t="s">
        <v>6672</v>
      </c>
      <c r="F311" s="9" t="s">
        <v>439</v>
      </c>
      <c r="G311" s="9" t="s">
        <v>436</v>
      </c>
      <c r="H311" s="9" t="s">
        <v>440</v>
      </c>
      <c r="I311" s="87" t="s">
        <v>6405</v>
      </c>
      <c r="J311" s="87" t="s">
        <v>6305</v>
      </c>
      <c r="K311" s="87" t="s">
        <v>6239</v>
      </c>
      <c r="L311" s="87" t="s">
        <v>6240</v>
      </c>
      <c r="M311" s="87" t="s">
        <v>6537</v>
      </c>
      <c r="N311" s="9" t="s">
        <v>6928</v>
      </c>
      <c r="O311" s="87" t="s">
        <v>6239</v>
      </c>
      <c r="P311" s="9" t="s">
        <v>6243</v>
      </c>
      <c r="Q311" s="87" t="s">
        <v>3764</v>
      </c>
      <c r="R311" s="87" t="s">
        <v>6305</v>
      </c>
      <c r="S311" s="87" t="s">
        <v>6327</v>
      </c>
      <c r="T311" s="87" t="s">
        <v>6645</v>
      </c>
    </row>
    <row r="312" spans="1:20" ht="15.75" customHeight="1">
      <c r="A312" s="9" t="s">
        <v>2983</v>
      </c>
      <c r="C312" s="9" t="s">
        <v>6671</v>
      </c>
      <c r="D312" s="87" t="s">
        <v>6296</v>
      </c>
      <c r="E312" s="9" t="s">
        <v>6672</v>
      </c>
      <c r="F312" s="9" t="s">
        <v>439</v>
      </c>
      <c r="G312" s="9" t="s">
        <v>436</v>
      </c>
      <c r="H312" s="9" t="s">
        <v>440</v>
      </c>
      <c r="I312" s="87" t="s">
        <v>6405</v>
      </c>
      <c r="J312" s="87" t="s">
        <v>6305</v>
      </c>
      <c r="K312" s="87" t="s">
        <v>6435</v>
      </c>
      <c r="L312" s="87" t="s">
        <v>6240</v>
      </c>
      <c r="M312" s="87" t="s">
        <v>6538</v>
      </c>
      <c r="N312" s="9" t="s">
        <v>7007</v>
      </c>
      <c r="O312" s="87" t="s">
        <v>6435</v>
      </c>
      <c r="P312" s="9" t="s">
        <v>6243</v>
      </c>
      <c r="Q312" s="87" t="s">
        <v>6250</v>
      </c>
      <c r="R312" s="87" t="s">
        <v>6305</v>
      </c>
      <c r="S312" s="87" t="s">
        <v>6733</v>
      </c>
      <c r="T312" s="87" t="s">
        <v>6645</v>
      </c>
    </row>
    <row r="313" spans="1:20" ht="15.75" customHeight="1">
      <c r="A313" s="9" t="s">
        <v>2983</v>
      </c>
      <c r="C313" s="9" t="s">
        <v>6923</v>
      </c>
      <c r="D313" s="87" t="s">
        <v>6461</v>
      </c>
      <c r="E313" s="9" t="s">
        <v>6924</v>
      </c>
      <c r="F313" s="9" t="s">
        <v>6925</v>
      </c>
      <c r="G313" s="9" t="s">
        <v>383</v>
      </c>
      <c r="H313" s="9" t="s">
        <v>427</v>
      </c>
      <c r="I313" s="87" t="s">
        <v>6405</v>
      </c>
      <c r="J313" s="87" t="s">
        <v>6405</v>
      </c>
      <c r="K313" s="87" t="s">
        <v>6926</v>
      </c>
      <c r="L313" s="87" t="s">
        <v>6305</v>
      </c>
      <c r="M313" s="87" t="s">
        <v>6539</v>
      </c>
      <c r="N313" s="9" t="s">
        <v>7124</v>
      </c>
      <c r="O313" s="87" t="s">
        <v>6433</v>
      </c>
      <c r="P313" s="9" t="s">
        <v>6243</v>
      </c>
      <c r="Q313" s="87" t="s">
        <v>6305</v>
      </c>
      <c r="R313" s="87" t="s">
        <v>6405</v>
      </c>
      <c r="S313" s="87" t="s">
        <v>6619</v>
      </c>
      <c r="T313" s="87" t="s">
        <v>6341</v>
      </c>
    </row>
    <row r="314" spans="1:20" ht="15.75" customHeight="1">
      <c r="A314" s="9" t="s">
        <v>2983</v>
      </c>
      <c r="C314" s="9" t="s">
        <v>6923</v>
      </c>
      <c r="D314" s="87" t="s">
        <v>6264</v>
      </c>
      <c r="E314" s="9" t="s">
        <v>6924</v>
      </c>
      <c r="F314" s="9" t="s">
        <v>6925</v>
      </c>
      <c r="G314" s="9" t="s">
        <v>383</v>
      </c>
      <c r="H314" s="9" t="s">
        <v>449</v>
      </c>
      <c r="I314" s="87" t="s">
        <v>6405</v>
      </c>
      <c r="J314" s="87" t="s">
        <v>6405</v>
      </c>
      <c r="K314" s="87" t="s">
        <v>6926</v>
      </c>
      <c r="L314" s="87" t="s">
        <v>6306</v>
      </c>
      <c r="M314" s="87" t="s">
        <v>6539</v>
      </c>
      <c r="N314" s="9" t="s">
        <v>6959</v>
      </c>
      <c r="O314" s="87" t="s">
        <v>4953</v>
      </c>
      <c r="P314" s="9" t="s">
        <v>6243</v>
      </c>
      <c r="Q314" s="87" t="s">
        <v>6306</v>
      </c>
      <c r="R314" s="87" t="s">
        <v>6405</v>
      </c>
      <c r="S314" s="87" t="s">
        <v>6543</v>
      </c>
      <c r="T314" s="87" t="s">
        <v>6341</v>
      </c>
    </row>
    <row r="315" spans="1:20" ht="15.75" customHeight="1">
      <c r="A315" s="9" t="s">
        <v>2928</v>
      </c>
      <c r="C315" s="9" t="s">
        <v>6236</v>
      </c>
      <c r="D315" s="87" t="s">
        <v>6393</v>
      </c>
      <c r="E315" s="9" t="s">
        <v>431</v>
      </c>
      <c r="F315" s="9" t="s">
        <v>368</v>
      </c>
      <c r="G315" s="9" t="s">
        <v>436</v>
      </c>
      <c r="H315" s="9" t="s">
        <v>434</v>
      </c>
      <c r="I315" s="87" t="s">
        <v>6264</v>
      </c>
      <c r="J315" s="87" t="s">
        <v>6254</v>
      </c>
      <c r="K315" s="87" t="s">
        <v>6414</v>
      </c>
      <c r="L315" s="87" t="s">
        <v>6240</v>
      </c>
      <c r="M315" s="87" t="s">
        <v>6513</v>
      </c>
      <c r="N315" s="9" t="s">
        <v>7100</v>
      </c>
      <c r="O315" s="87" t="s">
        <v>6414</v>
      </c>
      <c r="P315" s="9" t="s">
        <v>6243</v>
      </c>
      <c r="Q315" s="87" t="s">
        <v>6416</v>
      </c>
      <c r="R315" s="87" t="s">
        <v>6254</v>
      </c>
      <c r="S315" s="87" t="s">
        <v>6327</v>
      </c>
      <c r="T315" s="87" t="s">
        <v>6570</v>
      </c>
    </row>
    <row r="316" spans="1:20" ht="15.75" customHeight="1">
      <c r="A316" s="9" t="s">
        <v>2928</v>
      </c>
      <c r="C316" s="9" t="s">
        <v>6236</v>
      </c>
      <c r="D316" s="87" t="s">
        <v>6393</v>
      </c>
      <c r="E316" s="9" t="s">
        <v>431</v>
      </c>
      <c r="F316" s="9" t="s">
        <v>368</v>
      </c>
      <c r="G316" s="9" t="s">
        <v>436</v>
      </c>
      <c r="H316" s="9" t="s">
        <v>434</v>
      </c>
      <c r="I316" s="87" t="s">
        <v>6264</v>
      </c>
      <c r="J316" s="87" t="s">
        <v>6254</v>
      </c>
      <c r="K316" s="87" t="s">
        <v>6296</v>
      </c>
      <c r="L316" s="87" t="s">
        <v>6240</v>
      </c>
      <c r="M316" s="87" t="s">
        <v>6517</v>
      </c>
      <c r="N316" s="9" t="s">
        <v>7042</v>
      </c>
      <c r="O316" s="87" t="s">
        <v>6296</v>
      </c>
      <c r="P316" s="9" t="s">
        <v>6243</v>
      </c>
      <c r="Q316" s="87" t="s">
        <v>6287</v>
      </c>
      <c r="R316" s="87" t="s">
        <v>6254</v>
      </c>
      <c r="S316" s="87" t="s">
        <v>6287</v>
      </c>
      <c r="T316" s="87" t="s">
        <v>6645</v>
      </c>
    </row>
    <row r="317" spans="1:20" ht="15.75" customHeight="1">
      <c r="A317" s="9" t="s">
        <v>2928</v>
      </c>
      <c r="C317" s="9" t="s">
        <v>6671</v>
      </c>
      <c r="D317" s="87" t="s">
        <v>6296</v>
      </c>
      <c r="E317" s="9" t="s">
        <v>6672</v>
      </c>
      <c r="F317" s="9" t="s">
        <v>439</v>
      </c>
      <c r="G317" s="9" t="s">
        <v>436</v>
      </c>
      <c r="H317" s="9" t="s">
        <v>440</v>
      </c>
      <c r="I317" s="87" t="s">
        <v>6405</v>
      </c>
      <c r="J317" s="87" t="s">
        <v>4953</v>
      </c>
      <c r="K317" s="87" t="s">
        <v>4953</v>
      </c>
      <c r="L317" s="87" t="s">
        <v>6240</v>
      </c>
      <c r="M317" s="87" t="s">
        <v>6538</v>
      </c>
      <c r="N317" s="9" t="s">
        <v>7125</v>
      </c>
      <c r="O317" s="87" t="s">
        <v>4953</v>
      </c>
      <c r="P317" s="9" t="s">
        <v>6243</v>
      </c>
      <c r="Q317" s="87" t="s">
        <v>6306</v>
      </c>
      <c r="R317" s="87" t="s">
        <v>4953</v>
      </c>
      <c r="S317" s="87" t="s">
        <v>6277</v>
      </c>
      <c r="T317" s="87" t="s">
        <v>6239</v>
      </c>
    </row>
    <row r="318" spans="1:20" ht="15.75" customHeight="1">
      <c r="A318" s="9" t="s">
        <v>2928</v>
      </c>
      <c r="C318" s="9" t="s">
        <v>6923</v>
      </c>
      <c r="D318" s="87" t="s">
        <v>6327</v>
      </c>
      <c r="E318" s="9" t="s">
        <v>6924</v>
      </c>
      <c r="F318" s="9" t="s">
        <v>6925</v>
      </c>
      <c r="G318" s="9" t="s">
        <v>383</v>
      </c>
      <c r="H318" s="9" t="s">
        <v>444</v>
      </c>
      <c r="I318" s="87" t="s">
        <v>6405</v>
      </c>
      <c r="J318" s="87" t="s">
        <v>6405</v>
      </c>
      <c r="K318" s="87" t="s">
        <v>6926</v>
      </c>
      <c r="L318" s="87" t="s">
        <v>5968</v>
      </c>
      <c r="M318" s="87" t="s">
        <v>6539</v>
      </c>
      <c r="N318" s="9" t="s">
        <v>7126</v>
      </c>
      <c r="O318" s="87" t="s">
        <v>6254</v>
      </c>
      <c r="P318" s="9" t="s">
        <v>6243</v>
      </c>
      <c r="Q318" s="87" t="s">
        <v>5968</v>
      </c>
      <c r="R318" s="87" t="s">
        <v>6405</v>
      </c>
      <c r="S318" s="87" t="s">
        <v>6294</v>
      </c>
      <c r="T318" s="87" t="s">
        <v>6357</v>
      </c>
    </row>
    <row r="319" spans="1:20" ht="15.75" customHeight="1">
      <c r="A319" s="9" t="s">
        <v>3010</v>
      </c>
      <c r="C319" s="9" t="s">
        <v>6236</v>
      </c>
      <c r="D319" s="87" t="s">
        <v>6393</v>
      </c>
      <c r="E319" s="9" t="s">
        <v>431</v>
      </c>
      <c r="F319" s="9" t="s">
        <v>368</v>
      </c>
      <c r="G319" s="9" t="s">
        <v>436</v>
      </c>
      <c r="H319" s="9" t="s">
        <v>434</v>
      </c>
      <c r="I319" s="87" t="s">
        <v>6237</v>
      </c>
      <c r="J319" s="87" t="s">
        <v>6299</v>
      </c>
      <c r="K319" s="87" t="s">
        <v>6299</v>
      </c>
      <c r="L319" s="87" t="s">
        <v>6240</v>
      </c>
      <c r="M319" s="87" t="s">
        <v>6556</v>
      </c>
      <c r="N319" s="9" t="s">
        <v>7127</v>
      </c>
      <c r="O319" s="87" t="s">
        <v>6299</v>
      </c>
      <c r="P319" s="9" t="s">
        <v>6243</v>
      </c>
      <c r="Q319" s="87" t="s">
        <v>3231</v>
      </c>
      <c r="R319" s="87" t="s">
        <v>6299</v>
      </c>
      <c r="S319" s="87" t="s">
        <v>6570</v>
      </c>
      <c r="T319" s="87" t="s">
        <v>6326</v>
      </c>
    </row>
    <row r="320" spans="1:20" ht="15.75" customHeight="1">
      <c r="A320" s="9" t="s">
        <v>3010</v>
      </c>
      <c r="C320" s="9" t="s">
        <v>6923</v>
      </c>
      <c r="D320" s="87" t="s">
        <v>6461</v>
      </c>
      <c r="E320" s="9" t="s">
        <v>6924</v>
      </c>
      <c r="F320" s="9" t="s">
        <v>6925</v>
      </c>
      <c r="G320" s="9" t="s">
        <v>383</v>
      </c>
      <c r="H320" s="9" t="s">
        <v>427</v>
      </c>
      <c r="I320" s="87" t="s">
        <v>6405</v>
      </c>
      <c r="J320" s="87" t="s">
        <v>6334</v>
      </c>
      <c r="K320" s="87" t="s">
        <v>6939</v>
      </c>
      <c r="L320" s="87" t="s">
        <v>6464</v>
      </c>
      <c r="M320" s="87" t="s">
        <v>6568</v>
      </c>
      <c r="N320" s="9" t="s">
        <v>6945</v>
      </c>
      <c r="O320" s="87" t="s">
        <v>6500</v>
      </c>
      <c r="P320" s="9" t="s">
        <v>6547</v>
      </c>
      <c r="Q320" s="87" t="s">
        <v>3749</v>
      </c>
      <c r="R320" s="87" t="s">
        <v>6334</v>
      </c>
      <c r="S320" s="87" t="s">
        <v>6327</v>
      </c>
      <c r="T320" s="87" t="s">
        <v>6341</v>
      </c>
    </row>
    <row r="321" spans="1:20" ht="15.75" customHeight="1">
      <c r="A321" s="9" t="s">
        <v>2973</v>
      </c>
      <c r="C321" s="9" t="s">
        <v>6236</v>
      </c>
      <c r="D321" s="87" t="s">
        <v>6393</v>
      </c>
      <c r="E321" s="9" t="s">
        <v>431</v>
      </c>
      <c r="F321" s="9" t="s">
        <v>368</v>
      </c>
      <c r="G321" s="9" t="s">
        <v>436</v>
      </c>
      <c r="H321" s="9" t="s">
        <v>434</v>
      </c>
      <c r="I321" s="87" t="s">
        <v>6237</v>
      </c>
      <c r="J321" s="87" t="s">
        <v>6306</v>
      </c>
      <c r="K321" s="87" t="s">
        <v>6414</v>
      </c>
      <c r="L321" s="87" t="s">
        <v>6240</v>
      </c>
      <c r="M321" s="87" t="s">
        <v>6539</v>
      </c>
      <c r="N321" s="9" t="s">
        <v>7100</v>
      </c>
      <c r="O321" s="87" t="s">
        <v>6414</v>
      </c>
      <c r="P321" s="9" t="s">
        <v>6243</v>
      </c>
      <c r="Q321" s="87" t="s">
        <v>6416</v>
      </c>
      <c r="R321" s="87" t="s">
        <v>6306</v>
      </c>
      <c r="S321" s="87" t="s">
        <v>6327</v>
      </c>
      <c r="T321" s="87" t="s">
        <v>6570</v>
      </c>
    </row>
    <row r="322" spans="1:20" ht="15.75" customHeight="1">
      <c r="A322" s="9" t="s">
        <v>2973</v>
      </c>
      <c r="C322" s="9" t="s">
        <v>6236</v>
      </c>
      <c r="D322" s="87" t="s">
        <v>6393</v>
      </c>
      <c r="E322" s="9" t="s">
        <v>431</v>
      </c>
      <c r="F322" s="9" t="s">
        <v>368</v>
      </c>
      <c r="G322" s="9" t="s">
        <v>436</v>
      </c>
      <c r="H322" s="9" t="s">
        <v>434</v>
      </c>
      <c r="I322" s="87" t="s">
        <v>6237</v>
      </c>
      <c r="J322" s="87" t="s">
        <v>6306</v>
      </c>
      <c r="K322" s="87" t="s">
        <v>6497</v>
      </c>
      <c r="L322" s="87" t="s">
        <v>6240</v>
      </c>
      <c r="M322" s="87" t="s">
        <v>6540</v>
      </c>
      <c r="N322" s="9" t="s">
        <v>7113</v>
      </c>
      <c r="O322" s="87" t="s">
        <v>6497</v>
      </c>
      <c r="P322" s="9" t="s">
        <v>6243</v>
      </c>
      <c r="Q322" s="87" t="s">
        <v>6714</v>
      </c>
      <c r="R322" s="87" t="s">
        <v>6306</v>
      </c>
      <c r="S322" s="87" t="s">
        <v>6397</v>
      </c>
      <c r="T322" s="87" t="s">
        <v>6645</v>
      </c>
    </row>
    <row r="323" spans="1:20" ht="15.75" customHeight="1">
      <c r="A323" s="9" t="s">
        <v>2973</v>
      </c>
      <c r="C323" s="9" t="s">
        <v>6671</v>
      </c>
      <c r="D323" s="87" t="s">
        <v>6296</v>
      </c>
      <c r="E323" s="9" t="s">
        <v>6672</v>
      </c>
      <c r="F323" s="9" t="s">
        <v>439</v>
      </c>
      <c r="G323" s="9" t="s">
        <v>436</v>
      </c>
      <c r="H323" s="9" t="s">
        <v>440</v>
      </c>
      <c r="I323" s="87" t="s">
        <v>6405</v>
      </c>
      <c r="J323" s="87" t="s">
        <v>6267</v>
      </c>
      <c r="K323" s="87" t="s">
        <v>6267</v>
      </c>
      <c r="L323" s="87" t="s">
        <v>6240</v>
      </c>
      <c r="M323" s="87" t="s">
        <v>6556</v>
      </c>
      <c r="N323" s="9" t="s">
        <v>7128</v>
      </c>
      <c r="O323" s="87" t="s">
        <v>6267</v>
      </c>
      <c r="P323" s="9" t="s">
        <v>6243</v>
      </c>
      <c r="Q323" s="87" t="s">
        <v>6506</v>
      </c>
      <c r="R323" s="87" t="s">
        <v>6267</v>
      </c>
      <c r="S323" s="87" t="s">
        <v>6313</v>
      </c>
      <c r="T323" s="87" t="s">
        <v>6645</v>
      </c>
    </row>
    <row r="324" spans="1:20" ht="15.75" customHeight="1">
      <c r="A324" s="9" t="s">
        <v>2973</v>
      </c>
      <c r="C324" s="9" t="s">
        <v>6923</v>
      </c>
      <c r="D324" s="87" t="s">
        <v>6264</v>
      </c>
      <c r="E324" s="9" t="s">
        <v>6924</v>
      </c>
      <c r="F324" s="9" t="s">
        <v>6925</v>
      </c>
      <c r="G324" s="9" t="s">
        <v>383</v>
      </c>
      <c r="H324" s="9" t="s">
        <v>449</v>
      </c>
      <c r="I324" s="87" t="s">
        <v>6405</v>
      </c>
      <c r="J324" s="87" t="s">
        <v>6405</v>
      </c>
      <c r="K324" s="87" t="s">
        <v>6926</v>
      </c>
      <c r="L324" s="87" t="s">
        <v>6573</v>
      </c>
      <c r="M324" s="87" t="s">
        <v>6557</v>
      </c>
      <c r="N324" s="9" t="s">
        <v>6970</v>
      </c>
      <c r="O324" s="87" t="s">
        <v>6570</v>
      </c>
      <c r="P324" s="9" t="s">
        <v>6243</v>
      </c>
      <c r="Q324" s="87" t="s">
        <v>6573</v>
      </c>
      <c r="R324" s="87" t="s">
        <v>6405</v>
      </c>
      <c r="S324" s="87" t="s">
        <v>6333</v>
      </c>
      <c r="T324" s="87" t="s">
        <v>6341</v>
      </c>
    </row>
    <row r="325" spans="1:20" ht="15.75" customHeight="1">
      <c r="A325" s="9" t="s">
        <v>2918</v>
      </c>
      <c r="C325" s="9" t="s">
        <v>6236</v>
      </c>
      <c r="D325" s="87" t="s">
        <v>6393</v>
      </c>
      <c r="E325" s="9" t="s">
        <v>431</v>
      </c>
      <c r="F325" s="9" t="s">
        <v>368</v>
      </c>
      <c r="G325" s="9" t="s">
        <v>436</v>
      </c>
      <c r="H325" s="9" t="s">
        <v>434</v>
      </c>
      <c r="I325" s="87" t="s">
        <v>6237</v>
      </c>
      <c r="J325" s="87" t="s">
        <v>6245</v>
      </c>
      <c r="K325" s="87" t="s">
        <v>6245</v>
      </c>
      <c r="L325" s="87" t="s">
        <v>6240</v>
      </c>
      <c r="M325" s="87" t="s">
        <v>6530</v>
      </c>
      <c r="N325" s="9" t="s">
        <v>7129</v>
      </c>
      <c r="O325" s="87" t="s">
        <v>6245</v>
      </c>
      <c r="P325" s="9" t="s">
        <v>6243</v>
      </c>
      <c r="Q325" s="87" t="s">
        <v>6238</v>
      </c>
      <c r="R325" s="87" t="s">
        <v>6245</v>
      </c>
      <c r="S325" s="87" t="s">
        <v>6323</v>
      </c>
      <c r="T325" s="87" t="s">
        <v>6404</v>
      </c>
    </row>
    <row r="326" spans="1:20" ht="15.75" customHeight="1">
      <c r="A326" s="9" t="s">
        <v>2918</v>
      </c>
      <c r="C326" s="9" t="s">
        <v>6923</v>
      </c>
      <c r="D326" s="87" t="s">
        <v>6461</v>
      </c>
      <c r="E326" s="9" t="s">
        <v>6924</v>
      </c>
      <c r="F326" s="9" t="s">
        <v>6925</v>
      </c>
      <c r="G326" s="9" t="s">
        <v>383</v>
      </c>
      <c r="H326" s="9" t="s">
        <v>427</v>
      </c>
      <c r="I326" s="87" t="s">
        <v>6405</v>
      </c>
      <c r="J326" s="87" t="s">
        <v>6334</v>
      </c>
      <c r="K326" s="87" t="s">
        <v>6926</v>
      </c>
      <c r="L326" s="87" t="s">
        <v>4014</v>
      </c>
      <c r="M326" s="87" t="s">
        <v>6538</v>
      </c>
      <c r="N326" s="9" t="s">
        <v>7130</v>
      </c>
      <c r="O326" s="87" t="s">
        <v>6260</v>
      </c>
      <c r="P326" s="9" t="s">
        <v>6243</v>
      </c>
      <c r="Q326" s="87" t="s">
        <v>4014</v>
      </c>
      <c r="R326" s="87" t="s">
        <v>6334</v>
      </c>
      <c r="S326" s="87" t="s">
        <v>6297</v>
      </c>
      <c r="T326" s="87" t="s">
        <v>6250</v>
      </c>
    </row>
    <row r="327" spans="1:20" ht="15.75" customHeight="1">
      <c r="A327" s="9" t="s">
        <v>2918</v>
      </c>
      <c r="C327" s="9" t="s">
        <v>6923</v>
      </c>
      <c r="D327" s="87" t="s">
        <v>6461</v>
      </c>
      <c r="E327" s="9" t="s">
        <v>6924</v>
      </c>
      <c r="F327" s="9" t="s">
        <v>6925</v>
      </c>
      <c r="G327" s="9" t="s">
        <v>383</v>
      </c>
      <c r="H327" s="9" t="s">
        <v>427</v>
      </c>
      <c r="I327" s="87" t="s">
        <v>6405</v>
      </c>
      <c r="J327" s="87" t="s">
        <v>6334</v>
      </c>
      <c r="K327" s="87" t="s">
        <v>6926</v>
      </c>
      <c r="L327" s="87" t="s">
        <v>4014</v>
      </c>
      <c r="M327" s="87" t="s">
        <v>6557</v>
      </c>
      <c r="N327" s="9" t="s">
        <v>7131</v>
      </c>
      <c r="O327" s="87" t="s">
        <v>6260</v>
      </c>
      <c r="P327" s="9" t="s">
        <v>6243</v>
      </c>
      <c r="Q327" s="87" t="s">
        <v>4014</v>
      </c>
      <c r="R327" s="87" t="s">
        <v>6334</v>
      </c>
      <c r="S327" s="87" t="s">
        <v>6260</v>
      </c>
      <c r="T327" s="87" t="s">
        <v>6341</v>
      </c>
    </row>
    <row r="328" spans="1:20" ht="15.75" customHeight="1">
      <c r="A328" s="9" t="s">
        <v>2900</v>
      </c>
      <c r="C328" s="9" t="s">
        <v>6236</v>
      </c>
      <c r="D328" s="87" t="s">
        <v>6393</v>
      </c>
      <c r="E328" s="9" t="s">
        <v>431</v>
      </c>
      <c r="F328" s="9" t="s">
        <v>368</v>
      </c>
      <c r="G328" s="9" t="s">
        <v>436</v>
      </c>
      <c r="H328" s="9" t="s">
        <v>434</v>
      </c>
      <c r="I328" s="87" t="s">
        <v>6237</v>
      </c>
      <c r="J328" s="87" t="s">
        <v>6305</v>
      </c>
      <c r="K328" s="87" t="s">
        <v>6421</v>
      </c>
      <c r="L328" s="87" t="s">
        <v>6240</v>
      </c>
      <c r="M328" s="87" t="s">
        <v>6556</v>
      </c>
      <c r="N328" s="9" t="s">
        <v>7132</v>
      </c>
      <c r="O328" s="87" t="s">
        <v>6421</v>
      </c>
      <c r="P328" s="9" t="s">
        <v>6243</v>
      </c>
      <c r="Q328" s="87" t="s">
        <v>6316</v>
      </c>
      <c r="R328" s="87" t="s">
        <v>6305</v>
      </c>
      <c r="S328" s="87" t="s">
        <v>6327</v>
      </c>
      <c r="T328" s="87" t="s">
        <v>6451</v>
      </c>
    </row>
    <row r="329" spans="1:20" ht="15.75" customHeight="1">
      <c r="A329" s="9" t="s">
        <v>2900</v>
      </c>
      <c r="C329" s="9" t="s">
        <v>6236</v>
      </c>
      <c r="D329" s="87" t="s">
        <v>6393</v>
      </c>
      <c r="E329" s="9" t="s">
        <v>431</v>
      </c>
      <c r="F329" s="9" t="s">
        <v>368</v>
      </c>
      <c r="G329" s="9" t="s">
        <v>436</v>
      </c>
      <c r="H329" s="9" t="s">
        <v>434</v>
      </c>
      <c r="I329" s="87" t="s">
        <v>6237</v>
      </c>
      <c r="J329" s="87" t="s">
        <v>6305</v>
      </c>
      <c r="K329" s="87" t="s">
        <v>6271</v>
      </c>
      <c r="L329" s="87" t="s">
        <v>6240</v>
      </c>
      <c r="M329" s="87" t="s">
        <v>6557</v>
      </c>
      <c r="N329" s="9" t="s">
        <v>7133</v>
      </c>
      <c r="O329" s="87" t="s">
        <v>6271</v>
      </c>
      <c r="P329" s="9" t="s">
        <v>6243</v>
      </c>
      <c r="Q329" s="87" t="s">
        <v>3746</v>
      </c>
      <c r="R329" s="87" t="s">
        <v>6305</v>
      </c>
      <c r="S329" s="87" t="s">
        <v>6348</v>
      </c>
      <c r="T329" s="87" t="s">
        <v>6645</v>
      </c>
    </row>
    <row r="330" spans="1:20" ht="15.75" customHeight="1">
      <c r="A330" s="9" t="s">
        <v>2900</v>
      </c>
      <c r="C330" s="9" t="s">
        <v>6671</v>
      </c>
      <c r="D330" s="87" t="s">
        <v>6296</v>
      </c>
      <c r="E330" s="9" t="s">
        <v>6672</v>
      </c>
      <c r="F330" s="9" t="s">
        <v>439</v>
      </c>
      <c r="G330" s="9" t="s">
        <v>436</v>
      </c>
      <c r="H330" s="9" t="s">
        <v>440</v>
      </c>
      <c r="I330" s="87" t="s">
        <v>6405</v>
      </c>
      <c r="J330" s="87" t="s">
        <v>6479</v>
      </c>
      <c r="K330" s="87" t="s">
        <v>6479</v>
      </c>
      <c r="L330" s="87" t="s">
        <v>6240</v>
      </c>
      <c r="M330" s="87" t="s">
        <v>6563</v>
      </c>
      <c r="N330" s="9" t="s">
        <v>7134</v>
      </c>
      <c r="O330" s="87" t="s">
        <v>6479</v>
      </c>
      <c r="P330" s="9" t="s">
        <v>6243</v>
      </c>
      <c r="Q330" s="87" t="s">
        <v>5417</v>
      </c>
      <c r="R330" s="87" t="s">
        <v>6479</v>
      </c>
      <c r="S330" s="87" t="s">
        <v>6433</v>
      </c>
      <c r="T330" s="87" t="s">
        <v>6645</v>
      </c>
    </row>
    <row r="331" spans="1:20" ht="15.75" customHeight="1">
      <c r="A331" s="9" t="s">
        <v>2900</v>
      </c>
      <c r="C331" s="9" t="s">
        <v>6923</v>
      </c>
      <c r="D331" s="87" t="s">
        <v>6461</v>
      </c>
      <c r="E331" s="9" t="s">
        <v>6924</v>
      </c>
      <c r="F331" s="9" t="s">
        <v>6925</v>
      </c>
      <c r="G331" s="9" t="s">
        <v>383</v>
      </c>
      <c r="H331" s="9" t="s">
        <v>427</v>
      </c>
      <c r="I331" s="87" t="s">
        <v>6405</v>
      </c>
      <c r="J331" s="87" t="s">
        <v>6461</v>
      </c>
      <c r="K331" s="87" t="s">
        <v>6926</v>
      </c>
      <c r="L331" s="87" t="s">
        <v>5374</v>
      </c>
      <c r="M331" s="87" t="s">
        <v>6568</v>
      </c>
      <c r="N331" s="9" t="s">
        <v>7135</v>
      </c>
      <c r="O331" s="87" t="s">
        <v>6323</v>
      </c>
      <c r="P331" s="9" t="s">
        <v>6243</v>
      </c>
      <c r="Q331" s="87" t="s">
        <v>5374</v>
      </c>
      <c r="R331" s="87" t="s">
        <v>6461</v>
      </c>
      <c r="S331" s="87" t="s">
        <v>6570</v>
      </c>
      <c r="T331" s="87" t="s">
        <v>6322</v>
      </c>
    </row>
    <row r="332" spans="1:20" ht="15.75" customHeight="1">
      <c r="A332" s="9" t="s">
        <v>2900</v>
      </c>
      <c r="C332" s="9" t="s">
        <v>6923</v>
      </c>
      <c r="D332" s="87" t="s">
        <v>6461</v>
      </c>
      <c r="E332" s="9" t="s">
        <v>6924</v>
      </c>
      <c r="F332" s="9" t="s">
        <v>6925</v>
      </c>
      <c r="G332" s="9" t="s">
        <v>383</v>
      </c>
      <c r="H332" s="9" t="s">
        <v>427</v>
      </c>
      <c r="I332" s="87" t="s">
        <v>6405</v>
      </c>
      <c r="J332" s="87" t="s">
        <v>6461</v>
      </c>
      <c r="K332" s="87" t="s">
        <v>6939</v>
      </c>
      <c r="L332" s="87" t="s">
        <v>5374</v>
      </c>
      <c r="M332" s="87" t="s">
        <v>6581</v>
      </c>
      <c r="N332" s="9" t="s">
        <v>6940</v>
      </c>
      <c r="O332" s="87" t="s">
        <v>6333</v>
      </c>
      <c r="P332" s="9" t="s">
        <v>6243</v>
      </c>
      <c r="Q332" s="87" t="s">
        <v>6575</v>
      </c>
      <c r="R332" s="87" t="s">
        <v>6461</v>
      </c>
      <c r="S332" s="87" t="s">
        <v>6570</v>
      </c>
      <c r="T332" s="87" t="s">
        <v>6341</v>
      </c>
    </row>
    <row r="333" spans="1:20" ht="15.75" customHeight="1">
      <c r="A333" s="9" t="s">
        <v>2900</v>
      </c>
      <c r="C333" s="9" t="s">
        <v>6923</v>
      </c>
      <c r="D333" s="87" t="s">
        <v>6461</v>
      </c>
      <c r="E333" s="9" t="s">
        <v>6924</v>
      </c>
      <c r="F333" s="9" t="s">
        <v>6925</v>
      </c>
      <c r="G333" s="9" t="s">
        <v>383</v>
      </c>
      <c r="H333" s="9" t="s">
        <v>427</v>
      </c>
      <c r="I333" s="87" t="s">
        <v>6405</v>
      </c>
      <c r="J333" s="87" t="s">
        <v>6461</v>
      </c>
      <c r="K333" s="87" t="s">
        <v>6939</v>
      </c>
      <c r="L333" s="87" t="s">
        <v>5374</v>
      </c>
      <c r="M333" s="87" t="s">
        <v>6582</v>
      </c>
      <c r="N333" s="9" t="s">
        <v>6940</v>
      </c>
      <c r="O333" s="87" t="s">
        <v>6333</v>
      </c>
      <c r="P333" s="9" t="s">
        <v>6243</v>
      </c>
      <c r="Q333" s="87" t="s">
        <v>6575</v>
      </c>
      <c r="R333" s="87" t="s">
        <v>6461</v>
      </c>
      <c r="S333" s="87" t="s">
        <v>6570</v>
      </c>
      <c r="T333" s="87" t="s">
        <v>6341</v>
      </c>
    </row>
    <row r="334" spans="1:20" ht="15.75" customHeight="1">
      <c r="A334" s="9" t="s">
        <v>2900</v>
      </c>
      <c r="C334" s="9" t="s">
        <v>6923</v>
      </c>
      <c r="D334" s="87" t="s">
        <v>6461</v>
      </c>
      <c r="E334" s="9" t="s">
        <v>6924</v>
      </c>
      <c r="F334" s="9" t="s">
        <v>6925</v>
      </c>
      <c r="G334" s="9" t="s">
        <v>383</v>
      </c>
      <c r="H334" s="9" t="s">
        <v>427</v>
      </c>
      <c r="I334" s="87" t="s">
        <v>6405</v>
      </c>
      <c r="J334" s="87" t="s">
        <v>6461</v>
      </c>
      <c r="K334" s="87" t="s">
        <v>6926</v>
      </c>
      <c r="L334" s="87" t="s">
        <v>5374</v>
      </c>
      <c r="M334" s="87" t="s">
        <v>6583</v>
      </c>
      <c r="N334" s="9" t="s">
        <v>7004</v>
      </c>
      <c r="O334" s="87" t="s">
        <v>6323</v>
      </c>
      <c r="P334" s="9" t="s">
        <v>6243</v>
      </c>
      <c r="Q334" s="87" t="s">
        <v>5374</v>
      </c>
      <c r="R334" s="87" t="s">
        <v>6461</v>
      </c>
      <c r="S334" s="87" t="s">
        <v>6428</v>
      </c>
      <c r="T334" s="87" t="s">
        <v>6341</v>
      </c>
    </row>
    <row r="335" spans="1:20" ht="15.75" customHeight="1">
      <c r="A335" s="9" t="s">
        <v>2879</v>
      </c>
      <c r="C335" s="9" t="s">
        <v>6236</v>
      </c>
      <c r="D335" s="87" t="s">
        <v>6393</v>
      </c>
      <c r="E335" s="9" t="s">
        <v>431</v>
      </c>
      <c r="F335" s="9" t="s">
        <v>368</v>
      </c>
      <c r="G335" s="9" t="s">
        <v>436</v>
      </c>
      <c r="H335" s="9" t="s">
        <v>434</v>
      </c>
      <c r="I335" s="87" t="s">
        <v>6264</v>
      </c>
      <c r="J335" s="87" t="s">
        <v>6254</v>
      </c>
      <c r="K335" s="87" t="s">
        <v>6433</v>
      </c>
      <c r="L335" s="87" t="s">
        <v>6240</v>
      </c>
      <c r="M335" s="87" t="s">
        <v>6530</v>
      </c>
      <c r="N335" s="9" t="s">
        <v>6941</v>
      </c>
      <c r="O335" s="87" t="s">
        <v>6433</v>
      </c>
      <c r="P335" s="9" t="s">
        <v>6243</v>
      </c>
      <c r="Q335" s="87" t="s">
        <v>6305</v>
      </c>
      <c r="R335" s="87" t="s">
        <v>6254</v>
      </c>
      <c r="S335" s="87" t="s">
        <v>6327</v>
      </c>
      <c r="T335" s="87" t="s">
        <v>6329</v>
      </c>
    </row>
    <row r="336" spans="1:20" ht="15.75" customHeight="1">
      <c r="A336" s="9" t="s">
        <v>2879</v>
      </c>
      <c r="C336" s="9" t="s">
        <v>6236</v>
      </c>
      <c r="D336" s="87" t="s">
        <v>6393</v>
      </c>
      <c r="E336" s="9" t="s">
        <v>431</v>
      </c>
      <c r="F336" s="9" t="s">
        <v>368</v>
      </c>
      <c r="G336" s="9" t="s">
        <v>436</v>
      </c>
      <c r="H336" s="9" t="s">
        <v>434</v>
      </c>
      <c r="I336" s="87" t="s">
        <v>6264</v>
      </c>
      <c r="J336" s="87" t="s">
        <v>6254</v>
      </c>
      <c r="K336" s="87" t="s">
        <v>6642</v>
      </c>
      <c r="L336" s="87" t="s">
        <v>6240</v>
      </c>
      <c r="M336" s="87" t="s">
        <v>6537</v>
      </c>
      <c r="N336" s="9" t="s">
        <v>7062</v>
      </c>
      <c r="O336" s="87" t="s">
        <v>6642</v>
      </c>
      <c r="P336" s="9" t="s">
        <v>6243</v>
      </c>
      <c r="Q336" s="87" t="s">
        <v>6445</v>
      </c>
      <c r="R336" s="87" t="s">
        <v>6254</v>
      </c>
      <c r="S336" s="87" t="s">
        <v>6341</v>
      </c>
      <c r="T336" s="87" t="s">
        <v>6645</v>
      </c>
    </row>
    <row r="337" spans="1:20" ht="15.75" customHeight="1">
      <c r="A337" s="9" t="s">
        <v>2879</v>
      </c>
      <c r="C337" s="9" t="s">
        <v>6671</v>
      </c>
      <c r="D337" s="87" t="s">
        <v>6296</v>
      </c>
      <c r="E337" s="9" t="s">
        <v>6672</v>
      </c>
      <c r="F337" s="9" t="s">
        <v>439</v>
      </c>
      <c r="G337" s="9" t="s">
        <v>436</v>
      </c>
      <c r="H337" s="9" t="s">
        <v>440</v>
      </c>
      <c r="I337" s="87" t="s">
        <v>6405</v>
      </c>
      <c r="J337" s="87" t="s">
        <v>6433</v>
      </c>
      <c r="K337" s="87" t="s">
        <v>6433</v>
      </c>
      <c r="L337" s="87" t="s">
        <v>6240</v>
      </c>
      <c r="M337" s="87" t="s">
        <v>6538</v>
      </c>
      <c r="N337" s="9" t="s">
        <v>7136</v>
      </c>
      <c r="O337" s="87" t="s">
        <v>6433</v>
      </c>
      <c r="P337" s="9" t="s">
        <v>6243</v>
      </c>
      <c r="Q337" s="87" t="s">
        <v>6305</v>
      </c>
      <c r="R337" s="87" t="s">
        <v>6433</v>
      </c>
      <c r="S337" s="87" t="s">
        <v>6397</v>
      </c>
      <c r="T337" s="87" t="s">
        <v>6413</v>
      </c>
    </row>
    <row r="338" spans="1:20" ht="15.75" customHeight="1">
      <c r="A338" s="9" t="s">
        <v>2879</v>
      </c>
      <c r="C338" s="9" t="s">
        <v>6923</v>
      </c>
      <c r="D338" s="87" t="s">
        <v>6461</v>
      </c>
      <c r="E338" s="9" t="s">
        <v>6924</v>
      </c>
      <c r="F338" s="9" t="s">
        <v>6925</v>
      </c>
      <c r="G338" s="9" t="s">
        <v>383</v>
      </c>
      <c r="H338" s="9" t="s">
        <v>427</v>
      </c>
      <c r="I338" s="87" t="s">
        <v>6405</v>
      </c>
      <c r="J338" s="87" t="s">
        <v>6264</v>
      </c>
      <c r="K338" s="87" t="s">
        <v>6926</v>
      </c>
      <c r="L338" s="87" t="s">
        <v>6932</v>
      </c>
      <c r="M338" s="87" t="s">
        <v>6539</v>
      </c>
      <c r="N338" s="9" t="s">
        <v>7137</v>
      </c>
      <c r="O338" s="87" t="s">
        <v>6259</v>
      </c>
      <c r="P338" s="9" t="s">
        <v>6243</v>
      </c>
      <c r="Q338" s="87" t="s">
        <v>6932</v>
      </c>
      <c r="R338" s="87" t="s">
        <v>6264</v>
      </c>
      <c r="S338" s="87" t="s">
        <v>6237</v>
      </c>
      <c r="T338" s="87" t="s">
        <v>6323</v>
      </c>
    </row>
    <row r="339" spans="1:20" ht="15.75" customHeight="1">
      <c r="A339" s="9" t="s">
        <v>2879</v>
      </c>
      <c r="C339" s="9" t="s">
        <v>6923</v>
      </c>
      <c r="D339" s="87" t="s">
        <v>6461</v>
      </c>
      <c r="E339" s="9" t="s">
        <v>6924</v>
      </c>
      <c r="F339" s="9" t="s">
        <v>6925</v>
      </c>
      <c r="G339" s="9" t="s">
        <v>383</v>
      </c>
      <c r="H339" s="9" t="s">
        <v>427</v>
      </c>
      <c r="I339" s="87" t="s">
        <v>6405</v>
      </c>
      <c r="J339" s="87" t="s">
        <v>6264</v>
      </c>
      <c r="K339" s="87" t="s">
        <v>6926</v>
      </c>
      <c r="L339" s="87" t="s">
        <v>6932</v>
      </c>
      <c r="M339" s="87" t="s">
        <v>6557</v>
      </c>
      <c r="N339" s="9" t="s">
        <v>7138</v>
      </c>
      <c r="O339" s="87" t="s">
        <v>6259</v>
      </c>
      <c r="P339" s="9" t="s">
        <v>6243</v>
      </c>
      <c r="Q339" s="87" t="s">
        <v>6932</v>
      </c>
      <c r="R339" s="87" t="s">
        <v>6264</v>
      </c>
      <c r="S339" s="87" t="s">
        <v>6414</v>
      </c>
      <c r="T339" s="87" t="s">
        <v>6376</v>
      </c>
    </row>
    <row r="340" spans="1:20" ht="15.75" customHeight="1">
      <c r="A340" s="9" t="s">
        <v>2879</v>
      </c>
      <c r="C340" s="9" t="s">
        <v>6923</v>
      </c>
      <c r="D340" s="87" t="s">
        <v>6461</v>
      </c>
      <c r="E340" s="9" t="s">
        <v>6924</v>
      </c>
      <c r="F340" s="9" t="s">
        <v>6925</v>
      </c>
      <c r="G340" s="9" t="s">
        <v>383</v>
      </c>
      <c r="H340" s="9" t="s">
        <v>427</v>
      </c>
      <c r="I340" s="87" t="s">
        <v>6405</v>
      </c>
      <c r="J340" s="87" t="s">
        <v>6264</v>
      </c>
      <c r="K340" s="87" t="s">
        <v>6926</v>
      </c>
      <c r="L340" s="87" t="s">
        <v>6932</v>
      </c>
      <c r="M340" s="87" t="s">
        <v>6563</v>
      </c>
      <c r="N340" s="9" t="s">
        <v>6934</v>
      </c>
      <c r="O340" s="87" t="s">
        <v>6259</v>
      </c>
      <c r="P340" s="9" t="s">
        <v>6243</v>
      </c>
      <c r="Q340" s="87" t="s">
        <v>6932</v>
      </c>
      <c r="R340" s="87" t="s">
        <v>6264</v>
      </c>
      <c r="S340" s="87" t="s">
        <v>6445</v>
      </c>
      <c r="T340" s="87" t="s">
        <v>6341</v>
      </c>
    </row>
    <row r="341" spans="1:20" ht="15.75" customHeight="1">
      <c r="A341" s="9" t="s">
        <v>2890</v>
      </c>
      <c r="C341" s="9" t="s">
        <v>6236</v>
      </c>
      <c r="D341" s="87" t="s">
        <v>6393</v>
      </c>
      <c r="E341" s="9" t="s">
        <v>431</v>
      </c>
      <c r="F341" s="9" t="s">
        <v>368</v>
      </c>
      <c r="G341" s="9" t="s">
        <v>436</v>
      </c>
      <c r="H341" s="9" t="s">
        <v>434</v>
      </c>
      <c r="I341" s="87" t="s">
        <v>6237</v>
      </c>
      <c r="J341" s="87" t="s">
        <v>6296</v>
      </c>
      <c r="K341" s="87" t="s">
        <v>6296</v>
      </c>
      <c r="L341" s="87" t="s">
        <v>6240</v>
      </c>
      <c r="M341" s="87" t="s">
        <v>6537</v>
      </c>
      <c r="N341" s="9" t="s">
        <v>7139</v>
      </c>
      <c r="O341" s="87" t="s">
        <v>6296</v>
      </c>
      <c r="P341" s="9" t="s">
        <v>6243</v>
      </c>
      <c r="Q341" s="87" t="s">
        <v>6287</v>
      </c>
      <c r="R341" s="87" t="s">
        <v>6296</v>
      </c>
      <c r="S341" s="87" t="s">
        <v>6277</v>
      </c>
      <c r="T341" s="87" t="s">
        <v>6271</v>
      </c>
    </row>
    <row r="342" spans="1:20" ht="15.75" customHeight="1">
      <c r="A342" s="9" t="s">
        <v>2890</v>
      </c>
      <c r="C342" s="9" t="s">
        <v>6671</v>
      </c>
      <c r="D342" s="87" t="s">
        <v>6296</v>
      </c>
      <c r="E342" s="9" t="s">
        <v>6672</v>
      </c>
      <c r="F342" s="9" t="s">
        <v>439</v>
      </c>
      <c r="G342" s="9" t="s">
        <v>436</v>
      </c>
      <c r="H342" s="9" t="s">
        <v>440</v>
      </c>
      <c r="I342" s="87" t="s">
        <v>6405</v>
      </c>
      <c r="J342" s="87" t="s">
        <v>6642</v>
      </c>
      <c r="K342" s="87" t="s">
        <v>6642</v>
      </c>
      <c r="L342" s="87" t="s">
        <v>6240</v>
      </c>
      <c r="M342" s="87" t="s">
        <v>6538</v>
      </c>
      <c r="N342" s="9" t="s">
        <v>7140</v>
      </c>
      <c r="O342" s="87" t="s">
        <v>6642</v>
      </c>
      <c r="P342" s="9" t="s">
        <v>6243</v>
      </c>
      <c r="Q342" s="87" t="s">
        <v>6445</v>
      </c>
      <c r="R342" s="87" t="s">
        <v>6642</v>
      </c>
      <c r="S342" s="87" t="s">
        <v>6327</v>
      </c>
      <c r="T342" s="87" t="s">
        <v>6245</v>
      </c>
    </row>
    <row r="343" spans="1:20" ht="15.75" customHeight="1">
      <c r="A343" s="9" t="s">
        <v>2890</v>
      </c>
      <c r="C343" s="9" t="s">
        <v>6923</v>
      </c>
      <c r="D343" s="87" t="s">
        <v>6461</v>
      </c>
      <c r="E343" s="9" t="s">
        <v>6924</v>
      </c>
      <c r="F343" s="9" t="s">
        <v>6925</v>
      </c>
      <c r="G343" s="9" t="s">
        <v>383</v>
      </c>
      <c r="H343" s="9" t="s">
        <v>427</v>
      </c>
      <c r="I343" s="87" t="s">
        <v>6405</v>
      </c>
      <c r="J343" s="87" t="s">
        <v>6405</v>
      </c>
      <c r="K343" s="87" t="s">
        <v>6926</v>
      </c>
      <c r="L343" s="87" t="s">
        <v>6932</v>
      </c>
      <c r="M343" s="87" t="s">
        <v>6563</v>
      </c>
      <c r="N343" s="9" t="s">
        <v>7141</v>
      </c>
      <c r="O343" s="87" t="s">
        <v>6259</v>
      </c>
      <c r="P343" s="9" t="s">
        <v>6243</v>
      </c>
      <c r="Q343" s="87" t="s">
        <v>6932</v>
      </c>
      <c r="R343" s="87" t="s">
        <v>6405</v>
      </c>
      <c r="S343" s="87" t="s">
        <v>6323</v>
      </c>
      <c r="T343" s="87" t="s">
        <v>6526</v>
      </c>
    </row>
    <row r="344" spans="1:20" ht="15.75" customHeight="1">
      <c r="A344" s="9" t="s">
        <v>2872</v>
      </c>
      <c r="C344" s="9" t="s">
        <v>6236</v>
      </c>
      <c r="D344" s="87" t="s">
        <v>6393</v>
      </c>
      <c r="E344" s="9" t="s">
        <v>431</v>
      </c>
      <c r="F344" s="9" t="s">
        <v>368</v>
      </c>
      <c r="G344" s="9" t="s">
        <v>436</v>
      </c>
      <c r="H344" s="9" t="s">
        <v>434</v>
      </c>
      <c r="I344" s="87" t="s">
        <v>6237</v>
      </c>
      <c r="J344" s="87" t="s">
        <v>6251</v>
      </c>
      <c r="K344" s="87" t="s">
        <v>6251</v>
      </c>
      <c r="L344" s="87" t="s">
        <v>6240</v>
      </c>
      <c r="M344" s="87" t="s">
        <v>6540</v>
      </c>
      <c r="N344" s="9" t="s">
        <v>7142</v>
      </c>
      <c r="O344" s="87" t="s">
        <v>6251</v>
      </c>
      <c r="P344" s="9" t="s">
        <v>6243</v>
      </c>
      <c r="Q344" s="87" t="s">
        <v>6254</v>
      </c>
      <c r="R344" s="87" t="s">
        <v>6251</v>
      </c>
      <c r="S344" s="87" t="s">
        <v>6296</v>
      </c>
      <c r="T344" s="87" t="s">
        <v>6245</v>
      </c>
    </row>
    <row r="345" spans="1:20" ht="15.75" customHeight="1">
      <c r="A345" s="9" t="s">
        <v>2872</v>
      </c>
      <c r="C345" s="9" t="s">
        <v>6671</v>
      </c>
      <c r="D345" s="87" t="s">
        <v>6296</v>
      </c>
      <c r="E345" s="9" t="s">
        <v>6672</v>
      </c>
      <c r="F345" s="9" t="s">
        <v>439</v>
      </c>
      <c r="G345" s="9" t="s">
        <v>436</v>
      </c>
      <c r="H345" s="9" t="s">
        <v>440</v>
      </c>
      <c r="I345" s="87" t="s">
        <v>6405</v>
      </c>
      <c r="J345" s="87" t="s">
        <v>6237</v>
      </c>
      <c r="K345" s="87" t="s">
        <v>6264</v>
      </c>
      <c r="L345" s="87" t="s">
        <v>6240</v>
      </c>
      <c r="M345" s="87" t="s">
        <v>6556</v>
      </c>
      <c r="N345" s="9" t="s">
        <v>7123</v>
      </c>
      <c r="O345" s="87" t="s">
        <v>6264</v>
      </c>
      <c r="P345" s="9" t="s">
        <v>6243</v>
      </c>
      <c r="Q345" s="87" t="s">
        <v>6313</v>
      </c>
      <c r="R345" s="87" t="s">
        <v>6237</v>
      </c>
      <c r="S345" s="87" t="s">
        <v>6327</v>
      </c>
      <c r="T345" s="87" t="s">
        <v>6348</v>
      </c>
    </row>
    <row r="346" spans="1:20" ht="15.75" customHeight="1">
      <c r="A346" s="9" t="s">
        <v>2872</v>
      </c>
      <c r="C346" s="9" t="s">
        <v>6671</v>
      </c>
      <c r="D346" s="87" t="s">
        <v>6296</v>
      </c>
      <c r="E346" s="9" t="s">
        <v>6672</v>
      </c>
      <c r="F346" s="9" t="s">
        <v>439</v>
      </c>
      <c r="G346" s="9" t="s">
        <v>436</v>
      </c>
      <c r="H346" s="9" t="s">
        <v>440</v>
      </c>
      <c r="I346" s="87" t="s">
        <v>6405</v>
      </c>
      <c r="J346" s="87" t="s">
        <v>6237</v>
      </c>
      <c r="K346" s="87" t="s">
        <v>6405</v>
      </c>
      <c r="L346" s="87" t="s">
        <v>6240</v>
      </c>
      <c r="M346" s="87" t="s">
        <v>6557</v>
      </c>
      <c r="N346" s="9" t="s">
        <v>7036</v>
      </c>
      <c r="O346" s="87" t="s">
        <v>6405</v>
      </c>
      <c r="P346" s="9" t="s">
        <v>6243</v>
      </c>
      <c r="Q346" s="87" t="s">
        <v>6240</v>
      </c>
      <c r="R346" s="87" t="s">
        <v>6237</v>
      </c>
      <c r="S346" s="87" t="s">
        <v>6645</v>
      </c>
      <c r="T346" s="87" t="s">
        <v>6645</v>
      </c>
    </row>
    <row r="347" spans="1:20" ht="15.75" customHeight="1">
      <c r="A347" s="9" t="s">
        <v>2872</v>
      </c>
      <c r="C347" s="9" t="s">
        <v>6923</v>
      </c>
      <c r="D347" s="87" t="s">
        <v>6264</v>
      </c>
      <c r="E347" s="9" t="s">
        <v>6924</v>
      </c>
      <c r="F347" s="9" t="s">
        <v>6925</v>
      </c>
      <c r="G347" s="9" t="s">
        <v>383</v>
      </c>
      <c r="H347" s="9" t="s">
        <v>449</v>
      </c>
      <c r="I347" s="87" t="s">
        <v>6405</v>
      </c>
      <c r="J347" s="87" t="s">
        <v>6405</v>
      </c>
      <c r="K347" s="87" t="s">
        <v>6926</v>
      </c>
      <c r="L347" s="87" t="s">
        <v>6464</v>
      </c>
      <c r="M347" s="87" t="s">
        <v>6563</v>
      </c>
      <c r="N347" s="9" t="s">
        <v>6946</v>
      </c>
      <c r="O347" s="87" t="s">
        <v>6302</v>
      </c>
      <c r="P347" s="9" t="s">
        <v>6243</v>
      </c>
      <c r="Q347" s="87" t="s">
        <v>6464</v>
      </c>
      <c r="R347" s="87" t="s">
        <v>6405</v>
      </c>
      <c r="S347" s="87" t="s">
        <v>6409</v>
      </c>
      <c r="T347" s="87" t="s">
        <v>6341</v>
      </c>
    </row>
    <row r="348" spans="1:20" ht="15.75" customHeight="1">
      <c r="A348" s="9" t="s">
        <v>2855</v>
      </c>
      <c r="C348" s="9" t="s">
        <v>6236</v>
      </c>
      <c r="D348" s="87" t="s">
        <v>6393</v>
      </c>
      <c r="E348" s="9" t="s">
        <v>431</v>
      </c>
      <c r="F348" s="9" t="s">
        <v>368</v>
      </c>
      <c r="G348" s="9" t="s">
        <v>436</v>
      </c>
      <c r="H348" s="9" t="s">
        <v>434</v>
      </c>
      <c r="I348" s="87" t="s">
        <v>6264</v>
      </c>
      <c r="J348" s="87" t="s">
        <v>6421</v>
      </c>
      <c r="K348" s="87" t="s">
        <v>6461</v>
      </c>
      <c r="L348" s="87" t="s">
        <v>6240</v>
      </c>
      <c r="M348" s="87" t="s">
        <v>6540</v>
      </c>
      <c r="N348" s="9" t="s">
        <v>7143</v>
      </c>
      <c r="O348" s="87" t="s">
        <v>6461</v>
      </c>
      <c r="P348" s="9" t="s">
        <v>6243</v>
      </c>
      <c r="Q348" s="87" t="s">
        <v>6255</v>
      </c>
      <c r="R348" s="87" t="s">
        <v>6421</v>
      </c>
      <c r="S348" s="87" t="s">
        <v>6327</v>
      </c>
      <c r="T348" s="87" t="s">
        <v>6414</v>
      </c>
    </row>
    <row r="349" spans="1:20" ht="15.75" customHeight="1">
      <c r="A349" s="9" t="s">
        <v>2855</v>
      </c>
      <c r="C349" s="9" t="s">
        <v>6236</v>
      </c>
      <c r="D349" s="87" t="s">
        <v>6393</v>
      </c>
      <c r="E349" s="9" t="s">
        <v>431</v>
      </c>
      <c r="F349" s="9" t="s">
        <v>368</v>
      </c>
      <c r="G349" s="9" t="s">
        <v>436</v>
      </c>
      <c r="H349" s="9" t="s">
        <v>434</v>
      </c>
      <c r="I349" s="87" t="s">
        <v>6264</v>
      </c>
      <c r="J349" s="87" t="s">
        <v>6421</v>
      </c>
      <c r="K349" s="87" t="s">
        <v>6290</v>
      </c>
      <c r="L349" s="87" t="s">
        <v>6240</v>
      </c>
      <c r="M349" s="87" t="s">
        <v>6556</v>
      </c>
      <c r="N349" s="9" t="s">
        <v>6964</v>
      </c>
      <c r="O349" s="87" t="s">
        <v>6290</v>
      </c>
      <c r="P349" s="9" t="s">
        <v>6243</v>
      </c>
      <c r="Q349" s="87" t="s">
        <v>6293</v>
      </c>
      <c r="R349" s="87" t="s">
        <v>6421</v>
      </c>
      <c r="S349" s="87" t="s">
        <v>6525</v>
      </c>
      <c r="T349" s="87" t="s">
        <v>6645</v>
      </c>
    </row>
    <row r="350" spans="1:20" ht="15.75" customHeight="1">
      <c r="A350" s="9" t="s">
        <v>2855</v>
      </c>
      <c r="C350" s="9" t="s">
        <v>6671</v>
      </c>
      <c r="D350" s="87" t="s">
        <v>6296</v>
      </c>
      <c r="E350" s="9" t="s">
        <v>6672</v>
      </c>
      <c r="F350" s="9" t="s">
        <v>439</v>
      </c>
      <c r="G350" s="9" t="s">
        <v>436</v>
      </c>
      <c r="H350" s="9" t="s">
        <v>440</v>
      </c>
      <c r="I350" s="87" t="s">
        <v>6405</v>
      </c>
      <c r="J350" s="87" t="s">
        <v>6297</v>
      </c>
      <c r="K350" s="87" t="s">
        <v>6297</v>
      </c>
      <c r="L350" s="87" t="s">
        <v>6240</v>
      </c>
      <c r="M350" s="87" t="s">
        <v>6557</v>
      </c>
      <c r="N350" s="9" t="s">
        <v>7038</v>
      </c>
      <c r="O350" s="87" t="s">
        <v>6297</v>
      </c>
      <c r="P350" s="9" t="s">
        <v>6243</v>
      </c>
      <c r="Q350" s="87" t="s">
        <v>6299</v>
      </c>
      <c r="R350" s="87" t="s">
        <v>6297</v>
      </c>
      <c r="S350" s="87" t="s">
        <v>6443</v>
      </c>
      <c r="T350" s="87" t="s">
        <v>6351</v>
      </c>
    </row>
    <row r="351" spans="1:20" ht="15.75" customHeight="1">
      <c r="A351" s="9" t="s">
        <v>2855</v>
      </c>
      <c r="C351" s="9" t="s">
        <v>6923</v>
      </c>
      <c r="D351" s="87" t="s">
        <v>6264</v>
      </c>
      <c r="E351" s="9" t="s">
        <v>6924</v>
      </c>
      <c r="F351" s="9" t="s">
        <v>6925</v>
      </c>
      <c r="G351" s="9" t="s">
        <v>383</v>
      </c>
      <c r="H351" s="9" t="s">
        <v>449</v>
      </c>
      <c r="I351" s="87" t="s">
        <v>6405</v>
      </c>
      <c r="J351" s="87" t="s">
        <v>6405</v>
      </c>
      <c r="K351" s="87" t="s">
        <v>6926</v>
      </c>
      <c r="L351" s="87" t="s">
        <v>6464</v>
      </c>
      <c r="M351" s="87" t="s">
        <v>6563</v>
      </c>
      <c r="N351" s="9" t="s">
        <v>7144</v>
      </c>
      <c r="O351" s="87" t="s">
        <v>6302</v>
      </c>
      <c r="P351" s="9" t="s">
        <v>6243</v>
      </c>
      <c r="Q351" s="87" t="s">
        <v>6464</v>
      </c>
      <c r="R351" s="87" t="s">
        <v>6405</v>
      </c>
      <c r="S351" s="87" t="s">
        <v>6327</v>
      </c>
      <c r="T351" s="87" t="s">
        <v>6361</v>
      </c>
    </row>
    <row r="352" spans="1:20" ht="15.75" customHeight="1">
      <c r="A352" s="9" t="s">
        <v>2953</v>
      </c>
      <c r="C352" s="9" t="s">
        <v>6236</v>
      </c>
      <c r="D352" s="87" t="s">
        <v>6393</v>
      </c>
      <c r="E352" s="9" t="s">
        <v>431</v>
      </c>
      <c r="F352" s="9" t="s">
        <v>368</v>
      </c>
      <c r="G352" s="9" t="s">
        <v>436</v>
      </c>
      <c r="H352" s="9" t="s">
        <v>434</v>
      </c>
      <c r="I352" s="87" t="s">
        <v>6237</v>
      </c>
      <c r="J352" s="87" t="s">
        <v>6295</v>
      </c>
      <c r="K352" s="87" t="s">
        <v>6334</v>
      </c>
      <c r="L352" s="87" t="s">
        <v>6240</v>
      </c>
      <c r="M352" s="87" t="s">
        <v>6557</v>
      </c>
      <c r="N352" s="9" t="s">
        <v>7056</v>
      </c>
      <c r="O352" s="87" t="s">
        <v>6334</v>
      </c>
      <c r="P352" s="9" t="s">
        <v>6243</v>
      </c>
      <c r="Q352" s="87" t="s">
        <v>6290</v>
      </c>
      <c r="R352" s="87" t="s">
        <v>6295</v>
      </c>
      <c r="S352" s="87" t="s">
        <v>6327</v>
      </c>
      <c r="T352" s="87" t="s">
        <v>6642</v>
      </c>
    </row>
    <row r="353" spans="1:20" ht="15.75" customHeight="1">
      <c r="A353" s="9" t="s">
        <v>2953</v>
      </c>
      <c r="C353" s="9" t="s">
        <v>6236</v>
      </c>
      <c r="D353" s="87" t="s">
        <v>6393</v>
      </c>
      <c r="E353" s="9" t="s">
        <v>431</v>
      </c>
      <c r="F353" s="9" t="s">
        <v>368</v>
      </c>
      <c r="G353" s="9" t="s">
        <v>436</v>
      </c>
      <c r="H353" s="9" t="s">
        <v>434</v>
      </c>
      <c r="I353" s="87" t="s">
        <v>6237</v>
      </c>
      <c r="J353" s="87" t="s">
        <v>6295</v>
      </c>
      <c r="K353" s="87" t="s">
        <v>6255</v>
      </c>
      <c r="L353" s="87" t="s">
        <v>6240</v>
      </c>
      <c r="M353" s="87" t="s">
        <v>6563</v>
      </c>
      <c r="N353" s="9" t="s">
        <v>7145</v>
      </c>
      <c r="O353" s="87" t="s">
        <v>6255</v>
      </c>
      <c r="P353" s="9" t="s">
        <v>6243</v>
      </c>
      <c r="Q353" s="87" t="s">
        <v>4947</v>
      </c>
      <c r="R353" s="87" t="s">
        <v>6295</v>
      </c>
      <c r="S353" s="87" t="s">
        <v>6300</v>
      </c>
      <c r="T353" s="87" t="s">
        <v>6645</v>
      </c>
    </row>
    <row r="354" spans="1:20" ht="15.75" customHeight="1">
      <c r="A354" s="9" t="s">
        <v>2953</v>
      </c>
      <c r="C354" s="9" t="s">
        <v>6671</v>
      </c>
      <c r="D354" s="87" t="s">
        <v>6296</v>
      </c>
      <c r="E354" s="9" t="s">
        <v>6672</v>
      </c>
      <c r="F354" s="9" t="s">
        <v>439</v>
      </c>
      <c r="G354" s="9" t="s">
        <v>436</v>
      </c>
      <c r="H354" s="9" t="s">
        <v>440</v>
      </c>
      <c r="I354" s="87" t="s">
        <v>6405</v>
      </c>
      <c r="J354" s="87" t="s">
        <v>6411</v>
      </c>
      <c r="K354" s="87" t="s">
        <v>6411</v>
      </c>
      <c r="L354" s="87" t="s">
        <v>6240</v>
      </c>
      <c r="M354" s="87" t="s">
        <v>6566</v>
      </c>
      <c r="N354" s="9" t="s">
        <v>7146</v>
      </c>
      <c r="O354" s="87" t="s">
        <v>6411</v>
      </c>
      <c r="P354" s="9" t="s">
        <v>6243</v>
      </c>
      <c r="Q354" s="87" t="s">
        <v>6321</v>
      </c>
      <c r="R354" s="87" t="s">
        <v>6411</v>
      </c>
      <c r="S354" s="87" t="s">
        <v>6416</v>
      </c>
      <c r="T354" s="87" t="s">
        <v>6645</v>
      </c>
    </row>
    <row r="355" spans="1:20" ht="15.75" customHeight="1">
      <c r="A355" s="9" t="s">
        <v>2953</v>
      </c>
      <c r="C355" s="9" t="s">
        <v>6923</v>
      </c>
      <c r="D355" s="87" t="s">
        <v>6264</v>
      </c>
      <c r="E355" s="9" t="s">
        <v>6924</v>
      </c>
      <c r="F355" s="9" t="s">
        <v>6925</v>
      </c>
      <c r="G355" s="9" t="s">
        <v>383</v>
      </c>
      <c r="H355" s="9" t="s">
        <v>449</v>
      </c>
      <c r="I355" s="87" t="s">
        <v>6405</v>
      </c>
      <c r="J355" s="87" t="s">
        <v>6405</v>
      </c>
      <c r="K355" s="87" t="s">
        <v>6926</v>
      </c>
      <c r="L355" s="87" t="s">
        <v>6238</v>
      </c>
      <c r="M355" s="87" t="s">
        <v>6568</v>
      </c>
      <c r="N355" s="9" t="s">
        <v>7001</v>
      </c>
      <c r="O355" s="87" t="s">
        <v>6245</v>
      </c>
      <c r="P355" s="9" t="s">
        <v>6243</v>
      </c>
      <c r="Q355" s="87" t="s">
        <v>6238</v>
      </c>
      <c r="R355" s="87" t="s">
        <v>6405</v>
      </c>
      <c r="S355" s="87" t="s">
        <v>6263</v>
      </c>
      <c r="T355" s="87" t="s">
        <v>6341</v>
      </c>
    </row>
    <row r="356" spans="1:20" ht="15.75" customHeight="1">
      <c r="A356" s="9" t="s">
        <v>2932</v>
      </c>
      <c r="C356" s="9" t="s">
        <v>6236</v>
      </c>
      <c r="D356" s="87" t="s">
        <v>6393</v>
      </c>
      <c r="E356" s="9" t="s">
        <v>431</v>
      </c>
      <c r="F356" s="9" t="s">
        <v>368</v>
      </c>
      <c r="G356" s="9" t="s">
        <v>436</v>
      </c>
      <c r="H356" s="9" t="s">
        <v>434</v>
      </c>
      <c r="I356" s="87" t="s">
        <v>6237</v>
      </c>
      <c r="J356" s="87" t="s">
        <v>6636</v>
      </c>
      <c r="K356" s="87" t="s">
        <v>6416</v>
      </c>
      <c r="L356" s="87" t="s">
        <v>6240</v>
      </c>
      <c r="M356" s="87" t="s">
        <v>6648</v>
      </c>
      <c r="N356" s="9" t="s">
        <v>7147</v>
      </c>
      <c r="O356" s="87" t="s">
        <v>6416</v>
      </c>
      <c r="P356" s="9" t="s">
        <v>6243</v>
      </c>
      <c r="Q356" s="87" t="s">
        <v>6758</v>
      </c>
      <c r="R356" s="87" t="s">
        <v>6636</v>
      </c>
      <c r="S356" s="87" t="s">
        <v>6327</v>
      </c>
      <c r="T356" s="87" t="s">
        <v>6239</v>
      </c>
    </row>
    <row r="357" spans="1:20" ht="15.75" customHeight="1">
      <c r="A357" s="9" t="s">
        <v>2932</v>
      </c>
      <c r="C357" s="9" t="s">
        <v>6236</v>
      </c>
      <c r="D357" s="87" t="s">
        <v>6393</v>
      </c>
      <c r="E357" s="9" t="s">
        <v>431</v>
      </c>
      <c r="F357" s="9" t="s">
        <v>368</v>
      </c>
      <c r="G357" s="9" t="s">
        <v>436</v>
      </c>
      <c r="H357" s="9" t="s">
        <v>434</v>
      </c>
      <c r="I357" s="87" t="s">
        <v>6237</v>
      </c>
      <c r="J357" s="87" t="s">
        <v>6636</v>
      </c>
      <c r="K357" s="87" t="s">
        <v>6500</v>
      </c>
      <c r="L357" s="87" t="s">
        <v>6240</v>
      </c>
      <c r="M357" s="87" t="s">
        <v>6649</v>
      </c>
      <c r="N357" s="9" t="s">
        <v>7148</v>
      </c>
      <c r="O357" s="87" t="s">
        <v>6500</v>
      </c>
      <c r="P357" s="9" t="s">
        <v>6243</v>
      </c>
      <c r="Q357" s="87" t="s">
        <v>3749</v>
      </c>
      <c r="R357" s="87" t="s">
        <v>6636</v>
      </c>
      <c r="S357" s="87" t="s">
        <v>6245</v>
      </c>
      <c r="T357" s="87" t="s">
        <v>6645</v>
      </c>
    </row>
    <row r="358" spans="1:20" ht="15.75" customHeight="1">
      <c r="A358" s="9" t="s">
        <v>2932</v>
      </c>
      <c r="C358" s="9" t="s">
        <v>6923</v>
      </c>
      <c r="D358" s="87" t="s">
        <v>6461</v>
      </c>
      <c r="E358" s="9" t="s">
        <v>6924</v>
      </c>
      <c r="F358" s="9" t="s">
        <v>6925</v>
      </c>
      <c r="G358" s="9" t="s">
        <v>383</v>
      </c>
      <c r="H358" s="9" t="s">
        <v>427</v>
      </c>
      <c r="I358" s="87" t="s">
        <v>6405</v>
      </c>
      <c r="J358" s="87" t="s">
        <v>6290</v>
      </c>
      <c r="K358" s="87" t="s">
        <v>6926</v>
      </c>
      <c r="L358" s="87" t="s">
        <v>6932</v>
      </c>
      <c r="M358" s="87" t="s">
        <v>6650</v>
      </c>
      <c r="N358" s="9" t="s">
        <v>7149</v>
      </c>
      <c r="O358" s="87" t="s">
        <v>6259</v>
      </c>
      <c r="P358" s="9" t="s">
        <v>6243</v>
      </c>
      <c r="Q358" s="87" t="s">
        <v>6932</v>
      </c>
      <c r="R358" s="87" t="s">
        <v>6290</v>
      </c>
      <c r="S358" s="87" t="s">
        <v>6348</v>
      </c>
      <c r="T358" s="87" t="s">
        <v>6486</v>
      </c>
    </row>
    <row r="359" spans="1:20" ht="15.75" customHeight="1">
      <c r="A359" s="9" t="s">
        <v>2932</v>
      </c>
      <c r="C359" s="9" t="s">
        <v>6923</v>
      </c>
      <c r="D359" s="87" t="s">
        <v>6461</v>
      </c>
      <c r="E359" s="9" t="s">
        <v>6924</v>
      </c>
      <c r="F359" s="9" t="s">
        <v>6925</v>
      </c>
      <c r="G359" s="9" t="s">
        <v>383</v>
      </c>
      <c r="H359" s="9" t="s">
        <v>427</v>
      </c>
      <c r="I359" s="87" t="s">
        <v>6405</v>
      </c>
      <c r="J359" s="87" t="s">
        <v>6290</v>
      </c>
      <c r="K359" s="87" t="s">
        <v>6931</v>
      </c>
      <c r="L359" s="87" t="s">
        <v>6932</v>
      </c>
      <c r="M359" s="87" t="s">
        <v>6700</v>
      </c>
      <c r="N359" s="9" t="s">
        <v>6933</v>
      </c>
      <c r="O359" s="87" t="s">
        <v>6267</v>
      </c>
      <c r="P359" s="9" t="s">
        <v>6243</v>
      </c>
      <c r="Q359" s="87" t="s">
        <v>6506</v>
      </c>
      <c r="R359" s="87" t="s">
        <v>6290</v>
      </c>
      <c r="S359" s="87" t="s">
        <v>6264</v>
      </c>
      <c r="T359" s="87" t="s">
        <v>6341</v>
      </c>
    </row>
    <row r="360" spans="1:20" ht="15.75" customHeight="1">
      <c r="A360" s="9" t="s">
        <v>2932</v>
      </c>
      <c r="C360" s="9" t="s">
        <v>6923</v>
      </c>
      <c r="D360" s="87" t="s">
        <v>6461</v>
      </c>
      <c r="E360" s="9" t="s">
        <v>6924</v>
      </c>
      <c r="F360" s="9" t="s">
        <v>6925</v>
      </c>
      <c r="G360" s="9" t="s">
        <v>383</v>
      </c>
      <c r="H360" s="9" t="s">
        <v>427</v>
      </c>
      <c r="I360" s="87" t="s">
        <v>6405</v>
      </c>
      <c r="J360" s="87" t="s">
        <v>6290</v>
      </c>
      <c r="K360" s="87" t="s">
        <v>6931</v>
      </c>
      <c r="L360" s="87" t="s">
        <v>6932</v>
      </c>
      <c r="M360" s="87" t="s">
        <v>6699</v>
      </c>
      <c r="N360" s="9" t="s">
        <v>6933</v>
      </c>
      <c r="O360" s="87" t="s">
        <v>6267</v>
      </c>
      <c r="P360" s="9" t="s">
        <v>6243</v>
      </c>
      <c r="Q360" s="87" t="s">
        <v>6506</v>
      </c>
      <c r="R360" s="87" t="s">
        <v>6290</v>
      </c>
      <c r="S360" s="87" t="s">
        <v>6264</v>
      </c>
      <c r="T360" s="87" t="s">
        <v>6341</v>
      </c>
    </row>
    <row r="361" spans="1:20" ht="15.75" customHeight="1">
      <c r="A361" s="9" t="s">
        <v>2932</v>
      </c>
      <c r="C361" s="9" t="s">
        <v>6923</v>
      </c>
      <c r="D361" s="87" t="s">
        <v>6461</v>
      </c>
      <c r="E361" s="9" t="s">
        <v>6924</v>
      </c>
      <c r="F361" s="9" t="s">
        <v>6925</v>
      </c>
      <c r="G361" s="9" t="s">
        <v>383</v>
      </c>
      <c r="H361" s="9" t="s">
        <v>427</v>
      </c>
      <c r="I361" s="87" t="s">
        <v>6405</v>
      </c>
      <c r="J361" s="87" t="s">
        <v>6290</v>
      </c>
      <c r="K361" s="87" t="s">
        <v>6931</v>
      </c>
      <c r="L361" s="87" t="s">
        <v>6932</v>
      </c>
      <c r="M361" s="87" t="s">
        <v>6696</v>
      </c>
      <c r="N361" s="9" t="s">
        <v>6933</v>
      </c>
      <c r="O361" s="87" t="s">
        <v>6267</v>
      </c>
      <c r="P361" s="9" t="s">
        <v>6243</v>
      </c>
      <c r="Q361" s="87" t="s">
        <v>6506</v>
      </c>
      <c r="R361" s="87" t="s">
        <v>6290</v>
      </c>
      <c r="S361" s="87" t="s">
        <v>6264</v>
      </c>
      <c r="T361" s="87" t="s">
        <v>6341</v>
      </c>
    </row>
    <row r="362" spans="1:20" ht="15.75" customHeight="1">
      <c r="A362" s="9" t="s">
        <v>2951</v>
      </c>
      <c r="C362" s="9" t="s">
        <v>6236</v>
      </c>
      <c r="D362" s="87" t="s">
        <v>6393</v>
      </c>
      <c r="E362" s="9" t="s">
        <v>431</v>
      </c>
      <c r="F362" s="9" t="s">
        <v>368</v>
      </c>
      <c r="G362" s="9" t="s">
        <v>436</v>
      </c>
      <c r="H362" s="9" t="s">
        <v>434</v>
      </c>
      <c r="I362" s="87" t="s">
        <v>6237</v>
      </c>
      <c r="J362" s="87" t="s">
        <v>6238</v>
      </c>
      <c r="K362" s="87" t="s">
        <v>6360</v>
      </c>
      <c r="L362" s="87" t="s">
        <v>6240</v>
      </c>
      <c r="M362" s="87" t="s">
        <v>6563</v>
      </c>
      <c r="N362" s="9" t="s">
        <v>7150</v>
      </c>
      <c r="O362" s="87" t="s">
        <v>6360</v>
      </c>
      <c r="P362" s="9" t="s">
        <v>6243</v>
      </c>
      <c r="Q362" s="87" t="s">
        <v>6776</v>
      </c>
      <c r="R362" s="87" t="s">
        <v>6238</v>
      </c>
      <c r="S362" s="87" t="s">
        <v>6327</v>
      </c>
      <c r="T362" s="87" t="s">
        <v>6277</v>
      </c>
    </row>
    <row r="363" spans="1:20" ht="15.75" customHeight="1">
      <c r="A363" s="9" t="s">
        <v>2951</v>
      </c>
      <c r="C363" s="9" t="s">
        <v>6236</v>
      </c>
      <c r="D363" s="87" t="s">
        <v>6393</v>
      </c>
      <c r="E363" s="9" t="s">
        <v>431</v>
      </c>
      <c r="F363" s="9" t="s">
        <v>368</v>
      </c>
      <c r="G363" s="9" t="s">
        <v>436</v>
      </c>
      <c r="H363" s="9" t="s">
        <v>434</v>
      </c>
      <c r="I363" s="87" t="s">
        <v>6237</v>
      </c>
      <c r="J363" s="87" t="s">
        <v>6238</v>
      </c>
      <c r="K363" s="87" t="s">
        <v>6409</v>
      </c>
      <c r="L363" s="87" t="s">
        <v>6240</v>
      </c>
      <c r="M363" s="87" t="s">
        <v>6566</v>
      </c>
      <c r="N363" s="9" t="s">
        <v>7151</v>
      </c>
      <c r="O363" s="87" t="s">
        <v>6409</v>
      </c>
      <c r="P363" s="9" t="s">
        <v>6243</v>
      </c>
      <c r="Q363" s="87" t="s">
        <v>6489</v>
      </c>
      <c r="R363" s="87" t="s">
        <v>6238</v>
      </c>
      <c r="S363" s="87" t="s">
        <v>6409</v>
      </c>
      <c r="T363" s="87" t="s">
        <v>6645</v>
      </c>
    </row>
    <row r="364" spans="1:20" ht="15.75" customHeight="1">
      <c r="A364" s="9" t="s">
        <v>2951</v>
      </c>
      <c r="C364" s="9" t="s">
        <v>6923</v>
      </c>
      <c r="D364" s="87" t="s">
        <v>6327</v>
      </c>
      <c r="E364" s="9" t="s">
        <v>6924</v>
      </c>
      <c r="F364" s="9" t="s">
        <v>6925</v>
      </c>
      <c r="G364" s="9" t="s">
        <v>383</v>
      </c>
      <c r="H364" s="9" t="s">
        <v>444</v>
      </c>
      <c r="I364" s="87" t="s">
        <v>6405</v>
      </c>
      <c r="J364" s="87" t="s">
        <v>6405</v>
      </c>
      <c r="K364" s="87" t="s">
        <v>6926</v>
      </c>
      <c r="L364" s="87" t="s">
        <v>6270</v>
      </c>
      <c r="M364" s="87" t="s">
        <v>6568</v>
      </c>
      <c r="N364" s="9" t="s">
        <v>7152</v>
      </c>
      <c r="O364" s="87" t="s">
        <v>6268</v>
      </c>
      <c r="P364" s="9" t="s">
        <v>6243</v>
      </c>
      <c r="Q364" s="87" t="s">
        <v>6270</v>
      </c>
      <c r="R364" s="87" t="s">
        <v>6405</v>
      </c>
      <c r="S364" s="87" t="s">
        <v>6413</v>
      </c>
      <c r="T364" s="87" t="s">
        <v>6382</v>
      </c>
    </row>
    <row r="365" spans="1:20" ht="15.75" customHeight="1">
      <c r="A365" s="9" t="s">
        <v>2999</v>
      </c>
      <c r="C365" s="9" t="s">
        <v>6236</v>
      </c>
      <c r="D365" s="87" t="s">
        <v>6393</v>
      </c>
      <c r="E365" s="9" t="s">
        <v>431</v>
      </c>
      <c r="F365" s="9" t="s">
        <v>368</v>
      </c>
      <c r="G365" s="9" t="s">
        <v>436</v>
      </c>
      <c r="H365" s="9" t="s">
        <v>434</v>
      </c>
      <c r="I365" s="87" t="s">
        <v>6237</v>
      </c>
      <c r="J365" s="87" t="s">
        <v>6238</v>
      </c>
      <c r="K365" s="87" t="s">
        <v>6367</v>
      </c>
      <c r="L365" s="87" t="s">
        <v>6240</v>
      </c>
      <c r="M365" s="87" t="s">
        <v>6585</v>
      </c>
      <c r="N365" s="9" t="s">
        <v>7153</v>
      </c>
      <c r="O365" s="87" t="s">
        <v>6367</v>
      </c>
      <c r="P365" s="9" t="s">
        <v>6243</v>
      </c>
      <c r="Q365" s="87" t="s">
        <v>6814</v>
      </c>
      <c r="R365" s="87" t="s">
        <v>6238</v>
      </c>
      <c r="S365" s="87" t="s">
        <v>6327</v>
      </c>
      <c r="T365" s="87" t="s">
        <v>6525</v>
      </c>
    </row>
    <row r="366" spans="1:20" ht="15.75" customHeight="1">
      <c r="A366" s="9" t="s">
        <v>2999</v>
      </c>
      <c r="C366" s="9" t="s">
        <v>6236</v>
      </c>
      <c r="D366" s="87" t="s">
        <v>6393</v>
      </c>
      <c r="E366" s="9" t="s">
        <v>431</v>
      </c>
      <c r="F366" s="9" t="s">
        <v>368</v>
      </c>
      <c r="G366" s="9" t="s">
        <v>436</v>
      </c>
      <c r="H366" s="9" t="s">
        <v>434</v>
      </c>
      <c r="I366" s="87" t="s">
        <v>6237</v>
      </c>
      <c r="J366" s="87" t="s">
        <v>6238</v>
      </c>
      <c r="K366" s="87" t="s">
        <v>6329</v>
      </c>
      <c r="L366" s="87" t="s">
        <v>6240</v>
      </c>
      <c r="M366" s="87" t="s">
        <v>6590</v>
      </c>
      <c r="N366" s="9" t="s">
        <v>7154</v>
      </c>
      <c r="O366" s="87" t="s">
        <v>6329</v>
      </c>
      <c r="P366" s="9" t="s">
        <v>6243</v>
      </c>
      <c r="Q366" s="87" t="s">
        <v>6448</v>
      </c>
      <c r="R366" s="87" t="s">
        <v>6238</v>
      </c>
      <c r="S366" s="87" t="s">
        <v>6357</v>
      </c>
      <c r="T366" s="87" t="s">
        <v>6645</v>
      </c>
    </row>
    <row r="367" spans="1:20" ht="15.75" customHeight="1">
      <c r="A367" s="9" t="s">
        <v>2999</v>
      </c>
      <c r="C367" s="9" t="s">
        <v>6923</v>
      </c>
      <c r="D367" s="87" t="s">
        <v>6810</v>
      </c>
      <c r="E367" s="9" t="s">
        <v>6924</v>
      </c>
      <c r="F367" s="9" t="s">
        <v>6925</v>
      </c>
      <c r="G367" s="9" t="s">
        <v>383</v>
      </c>
      <c r="H367" s="9" t="s">
        <v>430</v>
      </c>
      <c r="I367" s="87" t="s">
        <v>6405</v>
      </c>
      <c r="J367" s="87" t="s">
        <v>6405</v>
      </c>
      <c r="K367" s="87" t="s">
        <v>6926</v>
      </c>
      <c r="L367" s="87" t="s">
        <v>4014</v>
      </c>
      <c r="M367" s="87" t="s">
        <v>6592</v>
      </c>
      <c r="N367" s="9" t="s">
        <v>7131</v>
      </c>
      <c r="O367" s="87" t="s">
        <v>6260</v>
      </c>
      <c r="P367" s="9" t="s">
        <v>6243</v>
      </c>
      <c r="Q367" s="87" t="s">
        <v>4014</v>
      </c>
      <c r="R367" s="87" t="s">
        <v>6405</v>
      </c>
      <c r="S367" s="87" t="s">
        <v>6260</v>
      </c>
      <c r="T367" s="87" t="s">
        <v>6341</v>
      </c>
    </row>
    <row r="368" spans="1:20" ht="15.75" customHeight="1">
      <c r="A368" s="9" t="s">
        <v>2999</v>
      </c>
      <c r="C368" s="9" t="s">
        <v>6923</v>
      </c>
      <c r="D368" s="87" t="s">
        <v>6461</v>
      </c>
      <c r="E368" s="9" t="s">
        <v>6924</v>
      </c>
      <c r="F368" s="9" t="s">
        <v>6925</v>
      </c>
      <c r="G368" s="9" t="s">
        <v>383</v>
      </c>
      <c r="H368" s="9" t="s">
        <v>427</v>
      </c>
      <c r="I368" s="87" t="s">
        <v>6405</v>
      </c>
      <c r="J368" s="87" t="s">
        <v>6334</v>
      </c>
      <c r="K368" s="87" t="s">
        <v>6926</v>
      </c>
      <c r="L368" s="87" t="s">
        <v>4019</v>
      </c>
      <c r="M368" s="87" t="s">
        <v>6592</v>
      </c>
      <c r="N368" s="9" t="s">
        <v>7155</v>
      </c>
      <c r="O368" s="87" t="s">
        <v>6498</v>
      </c>
      <c r="P368" s="9" t="s">
        <v>6243</v>
      </c>
      <c r="Q368" s="87" t="s">
        <v>4019</v>
      </c>
      <c r="R368" s="87" t="s">
        <v>6334</v>
      </c>
      <c r="S368" s="87" t="s">
        <v>6327</v>
      </c>
      <c r="T368" s="87" t="s">
        <v>6376</v>
      </c>
    </row>
    <row r="369" spans="1:20" ht="15.75" customHeight="1">
      <c r="A369" s="9" t="s">
        <v>2999</v>
      </c>
      <c r="C369" s="9" t="s">
        <v>6923</v>
      </c>
      <c r="D369" s="87" t="s">
        <v>6461</v>
      </c>
      <c r="E369" s="9" t="s">
        <v>6924</v>
      </c>
      <c r="F369" s="9" t="s">
        <v>6925</v>
      </c>
      <c r="G369" s="9" t="s">
        <v>383</v>
      </c>
      <c r="H369" s="9" t="s">
        <v>427</v>
      </c>
      <c r="I369" s="87" t="s">
        <v>6405</v>
      </c>
      <c r="J369" s="87" t="s">
        <v>6334</v>
      </c>
      <c r="K369" s="87" t="s">
        <v>6926</v>
      </c>
      <c r="L369" s="87" t="s">
        <v>4019</v>
      </c>
      <c r="M369" s="87" t="s">
        <v>6597</v>
      </c>
      <c r="N369" s="9" t="s">
        <v>6979</v>
      </c>
      <c r="O369" s="87" t="s">
        <v>6498</v>
      </c>
      <c r="P369" s="9" t="s">
        <v>6243</v>
      </c>
      <c r="Q369" s="87" t="s">
        <v>4019</v>
      </c>
      <c r="R369" s="87" t="s">
        <v>6334</v>
      </c>
      <c r="S369" s="87" t="s">
        <v>6392</v>
      </c>
      <c r="T369" s="87" t="s">
        <v>6341</v>
      </c>
    </row>
    <row r="370" spans="1:20" ht="15.75" customHeight="1">
      <c r="A370" s="9" t="s">
        <v>3011</v>
      </c>
      <c r="C370" s="9" t="s">
        <v>6236</v>
      </c>
      <c r="D370" s="87" t="s">
        <v>6393</v>
      </c>
      <c r="E370" s="9" t="s">
        <v>431</v>
      </c>
      <c r="F370" s="9" t="s">
        <v>368</v>
      </c>
      <c r="G370" s="9" t="s">
        <v>436</v>
      </c>
      <c r="H370" s="9" t="s">
        <v>434</v>
      </c>
      <c r="I370" s="87" t="s">
        <v>6237</v>
      </c>
      <c r="J370" s="87" t="s">
        <v>6567</v>
      </c>
      <c r="K370" s="87" t="s">
        <v>6254</v>
      </c>
      <c r="L370" s="87" t="s">
        <v>6240</v>
      </c>
      <c r="M370" s="87" t="s">
        <v>6581</v>
      </c>
      <c r="N370" s="9" t="s">
        <v>7156</v>
      </c>
      <c r="O370" s="87" t="s">
        <v>6254</v>
      </c>
      <c r="P370" s="9" t="s">
        <v>6243</v>
      </c>
      <c r="Q370" s="87" t="s">
        <v>5968</v>
      </c>
      <c r="R370" s="87" t="s">
        <v>6567</v>
      </c>
      <c r="S370" s="87" t="s">
        <v>6327</v>
      </c>
      <c r="T370" s="87" t="s">
        <v>6413</v>
      </c>
    </row>
    <row r="371" spans="1:20" ht="15.75" customHeight="1">
      <c r="A371" s="9" t="s">
        <v>3011</v>
      </c>
      <c r="C371" s="9" t="s">
        <v>6236</v>
      </c>
      <c r="D371" s="87" t="s">
        <v>6393</v>
      </c>
      <c r="E371" s="9" t="s">
        <v>431</v>
      </c>
      <c r="F371" s="9" t="s">
        <v>368</v>
      </c>
      <c r="G371" s="9" t="s">
        <v>436</v>
      </c>
      <c r="H371" s="9" t="s">
        <v>434</v>
      </c>
      <c r="I371" s="87" t="s">
        <v>6237</v>
      </c>
      <c r="J371" s="87" t="s">
        <v>6567</v>
      </c>
      <c r="K371" s="87" t="s">
        <v>6239</v>
      </c>
      <c r="L371" s="87" t="s">
        <v>6240</v>
      </c>
      <c r="M371" s="87" t="s">
        <v>6582</v>
      </c>
      <c r="N371" s="9" t="s">
        <v>6928</v>
      </c>
      <c r="O371" s="87" t="s">
        <v>6239</v>
      </c>
      <c r="P371" s="9" t="s">
        <v>6243</v>
      </c>
      <c r="Q371" s="87" t="s">
        <v>3764</v>
      </c>
      <c r="R371" s="87" t="s">
        <v>6567</v>
      </c>
      <c r="S371" s="87" t="s">
        <v>6327</v>
      </c>
      <c r="T371" s="87" t="s">
        <v>6645</v>
      </c>
    </row>
    <row r="372" spans="1:20" ht="15.75" customHeight="1">
      <c r="A372" s="9" t="s">
        <v>3011</v>
      </c>
      <c r="C372" s="9" t="s">
        <v>6236</v>
      </c>
      <c r="D372" s="87" t="s">
        <v>6393</v>
      </c>
      <c r="E372" s="9" t="s">
        <v>431</v>
      </c>
      <c r="F372" s="9" t="s">
        <v>368</v>
      </c>
      <c r="G372" s="9" t="s">
        <v>436</v>
      </c>
      <c r="H372" s="9" t="s">
        <v>434</v>
      </c>
      <c r="I372" s="87" t="s">
        <v>6237</v>
      </c>
      <c r="J372" s="87" t="s">
        <v>6567</v>
      </c>
      <c r="K372" s="87" t="s">
        <v>6264</v>
      </c>
      <c r="L372" s="87" t="s">
        <v>6240</v>
      </c>
      <c r="M372" s="87" t="s">
        <v>6583</v>
      </c>
      <c r="N372" s="9" t="s">
        <v>7072</v>
      </c>
      <c r="O372" s="87" t="s">
        <v>6264</v>
      </c>
      <c r="P372" s="9" t="s">
        <v>6243</v>
      </c>
      <c r="Q372" s="87" t="s">
        <v>6313</v>
      </c>
      <c r="R372" s="87" t="s">
        <v>6567</v>
      </c>
      <c r="S372" s="87" t="s">
        <v>6474</v>
      </c>
      <c r="T372" s="87" t="s">
        <v>6645</v>
      </c>
    </row>
    <row r="373" spans="1:20" ht="15.75" customHeight="1">
      <c r="A373" s="9" t="s">
        <v>3011</v>
      </c>
      <c r="C373" s="9" t="s">
        <v>6671</v>
      </c>
      <c r="D373" s="87" t="s">
        <v>6296</v>
      </c>
      <c r="E373" s="9" t="s">
        <v>6672</v>
      </c>
      <c r="F373" s="9" t="s">
        <v>439</v>
      </c>
      <c r="G373" s="9" t="s">
        <v>436</v>
      </c>
      <c r="H373" s="9" t="s">
        <v>440</v>
      </c>
      <c r="I373" s="87" t="s">
        <v>6405</v>
      </c>
      <c r="J373" s="87" t="s">
        <v>6305</v>
      </c>
      <c r="K373" s="87" t="s">
        <v>6239</v>
      </c>
      <c r="L373" s="87" t="s">
        <v>6240</v>
      </c>
      <c r="M373" s="87" t="s">
        <v>6584</v>
      </c>
      <c r="N373" s="9" t="s">
        <v>6928</v>
      </c>
      <c r="O373" s="87" t="s">
        <v>6239</v>
      </c>
      <c r="P373" s="9" t="s">
        <v>6243</v>
      </c>
      <c r="Q373" s="87" t="s">
        <v>3764</v>
      </c>
      <c r="R373" s="87" t="s">
        <v>6305</v>
      </c>
      <c r="S373" s="87" t="s">
        <v>6327</v>
      </c>
      <c r="T373" s="87" t="s">
        <v>6645</v>
      </c>
    </row>
    <row r="374" spans="1:20" ht="15.75" customHeight="1">
      <c r="A374" s="9" t="s">
        <v>3011</v>
      </c>
      <c r="C374" s="9" t="s">
        <v>6671</v>
      </c>
      <c r="D374" s="87" t="s">
        <v>6296</v>
      </c>
      <c r="E374" s="9" t="s">
        <v>6672</v>
      </c>
      <c r="F374" s="9" t="s">
        <v>439</v>
      </c>
      <c r="G374" s="9" t="s">
        <v>436</v>
      </c>
      <c r="H374" s="9" t="s">
        <v>440</v>
      </c>
      <c r="I374" s="87" t="s">
        <v>6405</v>
      </c>
      <c r="J374" s="87" t="s">
        <v>6305</v>
      </c>
      <c r="K374" s="87" t="s">
        <v>6348</v>
      </c>
      <c r="L374" s="87" t="s">
        <v>6240</v>
      </c>
      <c r="M374" s="87" t="s">
        <v>6585</v>
      </c>
      <c r="N374" s="9" t="s">
        <v>7026</v>
      </c>
      <c r="O374" s="87" t="s">
        <v>6348</v>
      </c>
      <c r="P374" s="9" t="s">
        <v>6243</v>
      </c>
      <c r="Q374" s="87" t="s">
        <v>5381</v>
      </c>
      <c r="R374" s="87" t="s">
        <v>6305</v>
      </c>
      <c r="S374" s="87" t="s">
        <v>6271</v>
      </c>
      <c r="T374" s="87" t="s">
        <v>6645</v>
      </c>
    </row>
    <row r="375" spans="1:20" ht="15.75" customHeight="1">
      <c r="A375" s="9" t="s">
        <v>3011</v>
      </c>
      <c r="C375" s="9" t="s">
        <v>6923</v>
      </c>
      <c r="D375" s="87" t="s">
        <v>6327</v>
      </c>
      <c r="E375" s="9" t="s">
        <v>6924</v>
      </c>
      <c r="F375" s="9" t="s">
        <v>6925</v>
      </c>
      <c r="G375" s="9" t="s">
        <v>383</v>
      </c>
      <c r="H375" s="9" t="s">
        <v>444</v>
      </c>
      <c r="I375" s="87" t="s">
        <v>6405</v>
      </c>
      <c r="J375" s="87" t="s">
        <v>6251</v>
      </c>
      <c r="K375" s="87" t="s">
        <v>7033</v>
      </c>
      <c r="L375" s="87" t="s">
        <v>6305</v>
      </c>
      <c r="M375" s="87" t="s">
        <v>6590</v>
      </c>
      <c r="N375" s="9" t="s">
        <v>7058</v>
      </c>
      <c r="O375" s="87" t="s">
        <v>6373</v>
      </c>
      <c r="P375" s="9" t="s">
        <v>6243</v>
      </c>
      <c r="Q375" s="87" t="s">
        <v>3089</v>
      </c>
      <c r="R375" s="87" t="s">
        <v>6251</v>
      </c>
      <c r="S375" s="87" t="s">
        <v>6297</v>
      </c>
      <c r="T375" s="87" t="s">
        <v>6341</v>
      </c>
    </row>
    <row r="376" spans="1:20" ht="15.75" customHeight="1">
      <c r="A376" s="9" t="s">
        <v>3011</v>
      </c>
      <c r="C376" s="9" t="s">
        <v>6923</v>
      </c>
      <c r="D376" s="87" t="s">
        <v>6327</v>
      </c>
      <c r="E376" s="9" t="s">
        <v>6924</v>
      </c>
      <c r="F376" s="9" t="s">
        <v>6925</v>
      </c>
      <c r="G376" s="9" t="s">
        <v>383</v>
      </c>
      <c r="H376" s="9" t="s">
        <v>444</v>
      </c>
      <c r="I376" s="87" t="s">
        <v>6405</v>
      </c>
      <c r="J376" s="87" t="s">
        <v>6251</v>
      </c>
      <c r="K376" s="87" t="s">
        <v>6931</v>
      </c>
      <c r="L376" s="87" t="s">
        <v>6305</v>
      </c>
      <c r="M376" s="87" t="s">
        <v>6591</v>
      </c>
      <c r="N376" s="9" t="s">
        <v>6955</v>
      </c>
      <c r="O376" s="87" t="s">
        <v>6360</v>
      </c>
      <c r="P376" s="9" t="s">
        <v>6243</v>
      </c>
      <c r="Q376" s="87" t="s">
        <v>6776</v>
      </c>
      <c r="R376" s="87" t="s">
        <v>6251</v>
      </c>
      <c r="S376" s="87" t="s">
        <v>6255</v>
      </c>
      <c r="T376" s="87" t="s">
        <v>6341</v>
      </c>
    </row>
    <row r="377" spans="1:20" ht="15.75" customHeight="1">
      <c r="A377" s="9" t="s">
        <v>3028</v>
      </c>
      <c r="C377" s="9" t="s">
        <v>6236</v>
      </c>
      <c r="D377" s="87" t="s">
        <v>6393</v>
      </c>
      <c r="E377" s="9" t="s">
        <v>431</v>
      </c>
      <c r="F377" s="9" t="s">
        <v>368</v>
      </c>
      <c r="G377" s="9" t="s">
        <v>436</v>
      </c>
      <c r="H377" s="9" t="s">
        <v>434</v>
      </c>
      <c r="I377" s="87" t="s">
        <v>6237</v>
      </c>
      <c r="J377" s="87" t="s">
        <v>6357</v>
      </c>
      <c r="K377" s="87" t="s">
        <v>6346</v>
      </c>
      <c r="L377" s="87" t="s">
        <v>6240</v>
      </c>
      <c r="M377" s="87" t="s">
        <v>6568</v>
      </c>
      <c r="N377" s="9" t="s">
        <v>6949</v>
      </c>
      <c r="O377" s="87" t="s">
        <v>6346</v>
      </c>
      <c r="P377" s="9" t="s">
        <v>6243</v>
      </c>
      <c r="Q377" s="87" t="s">
        <v>6366</v>
      </c>
      <c r="R377" s="87" t="s">
        <v>6357</v>
      </c>
      <c r="S377" s="87" t="s">
        <v>6327</v>
      </c>
      <c r="T377" s="87" t="s">
        <v>6370</v>
      </c>
    </row>
    <row r="378" spans="1:20" ht="15.75" customHeight="1">
      <c r="A378" s="9" t="s">
        <v>3028</v>
      </c>
      <c r="C378" s="9" t="s">
        <v>6236</v>
      </c>
      <c r="D378" s="87" t="s">
        <v>6393</v>
      </c>
      <c r="E378" s="9" t="s">
        <v>431</v>
      </c>
      <c r="F378" s="9" t="s">
        <v>368</v>
      </c>
      <c r="G378" s="9" t="s">
        <v>436</v>
      </c>
      <c r="H378" s="9" t="s">
        <v>434</v>
      </c>
      <c r="I378" s="87" t="s">
        <v>6237</v>
      </c>
      <c r="J378" s="87" t="s">
        <v>6357</v>
      </c>
      <c r="K378" s="87" t="s">
        <v>6387</v>
      </c>
      <c r="L378" s="87" t="s">
        <v>6240</v>
      </c>
      <c r="M378" s="87" t="s">
        <v>6581</v>
      </c>
      <c r="N378" s="9" t="s">
        <v>7157</v>
      </c>
      <c r="O378" s="87" t="s">
        <v>6387</v>
      </c>
      <c r="P378" s="9" t="s">
        <v>6243</v>
      </c>
      <c r="Q378" s="87" t="s">
        <v>6248</v>
      </c>
      <c r="R378" s="87" t="s">
        <v>6357</v>
      </c>
      <c r="S378" s="87" t="s">
        <v>6382</v>
      </c>
      <c r="T378" s="87" t="s">
        <v>6645</v>
      </c>
    </row>
    <row r="379" spans="1:20" ht="15.75" customHeight="1">
      <c r="A379" s="9" t="s">
        <v>3028</v>
      </c>
      <c r="C379" s="9" t="s">
        <v>6671</v>
      </c>
      <c r="D379" s="87" t="s">
        <v>6296</v>
      </c>
      <c r="E379" s="9" t="s">
        <v>6672</v>
      </c>
      <c r="F379" s="9" t="s">
        <v>439</v>
      </c>
      <c r="G379" s="9" t="s">
        <v>436</v>
      </c>
      <c r="H379" s="9" t="s">
        <v>440</v>
      </c>
      <c r="I379" s="87" t="s">
        <v>6405</v>
      </c>
      <c r="J379" s="87" t="s">
        <v>6498</v>
      </c>
      <c r="K379" s="87" t="s">
        <v>6498</v>
      </c>
      <c r="L379" s="87" t="s">
        <v>6240</v>
      </c>
      <c r="M379" s="87" t="s">
        <v>6582</v>
      </c>
      <c r="N379" s="9" t="s">
        <v>7158</v>
      </c>
      <c r="O379" s="87" t="s">
        <v>6498</v>
      </c>
      <c r="P379" s="9" t="s">
        <v>6243</v>
      </c>
      <c r="Q379" s="87" t="s">
        <v>4019</v>
      </c>
      <c r="R379" s="87" t="s">
        <v>6498</v>
      </c>
      <c r="S379" s="87" t="s">
        <v>6263</v>
      </c>
      <c r="T379" s="87" t="s">
        <v>6645</v>
      </c>
    </row>
    <row r="380" spans="1:20" ht="15.75" customHeight="1">
      <c r="A380" s="9" t="s">
        <v>3028</v>
      </c>
      <c r="C380" s="9" t="s">
        <v>6923</v>
      </c>
      <c r="D380" s="87" t="s">
        <v>6461</v>
      </c>
      <c r="E380" s="9" t="s">
        <v>6924</v>
      </c>
      <c r="F380" s="9" t="s">
        <v>6925</v>
      </c>
      <c r="G380" s="9" t="s">
        <v>383</v>
      </c>
      <c r="H380" s="9" t="s">
        <v>427</v>
      </c>
      <c r="I380" s="87" t="s">
        <v>6405</v>
      </c>
      <c r="J380" s="87" t="s">
        <v>6240</v>
      </c>
      <c r="K380" s="87" t="s">
        <v>6939</v>
      </c>
      <c r="L380" s="87" t="s">
        <v>4019</v>
      </c>
      <c r="M380" s="87" t="s">
        <v>6591</v>
      </c>
      <c r="N380" s="9" t="s">
        <v>7159</v>
      </c>
      <c r="O380" s="87" t="s">
        <v>6263</v>
      </c>
      <c r="P380" s="9" t="s">
        <v>6243</v>
      </c>
      <c r="Q380" s="87" t="s">
        <v>3699</v>
      </c>
      <c r="R380" s="87" t="s">
        <v>6240</v>
      </c>
      <c r="S380" s="87" t="s">
        <v>6245</v>
      </c>
      <c r="T380" s="87" t="s">
        <v>6341</v>
      </c>
    </row>
    <row r="381" spans="1:20" ht="15.75" customHeight="1">
      <c r="A381" s="9" t="s">
        <v>3028</v>
      </c>
      <c r="C381" s="9" t="s">
        <v>6923</v>
      </c>
      <c r="D381" s="87" t="s">
        <v>6461</v>
      </c>
      <c r="E381" s="9" t="s">
        <v>6924</v>
      </c>
      <c r="F381" s="9" t="s">
        <v>6925</v>
      </c>
      <c r="G381" s="9" t="s">
        <v>383</v>
      </c>
      <c r="H381" s="9" t="s">
        <v>427</v>
      </c>
      <c r="I381" s="87" t="s">
        <v>6405</v>
      </c>
      <c r="J381" s="87" t="s">
        <v>6240</v>
      </c>
      <c r="K381" s="87" t="s">
        <v>6939</v>
      </c>
      <c r="L381" s="87" t="s">
        <v>4019</v>
      </c>
      <c r="M381" s="87" t="s">
        <v>6592</v>
      </c>
      <c r="N381" s="9" t="s">
        <v>7159</v>
      </c>
      <c r="O381" s="87" t="s">
        <v>6263</v>
      </c>
      <c r="P381" s="9" t="s">
        <v>6547</v>
      </c>
      <c r="Q381" s="87" t="s">
        <v>3699</v>
      </c>
      <c r="R381" s="87" t="s">
        <v>6240</v>
      </c>
      <c r="S381" s="87" t="s">
        <v>6245</v>
      </c>
      <c r="T381" s="87" t="s">
        <v>6341</v>
      </c>
    </row>
    <row r="382" spans="1:20" ht="15.75" customHeight="1">
      <c r="A382" s="9" t="s">
        <v>3028</v>
      </c>
      <c r="C382" s="9" t="s">
        <v>6923</v>
      </c>
      <c r="D382" s="87" t="s">
        <v>6461</v>
      </c>
      <c r="E382" s="9" t="s">
        <v>6924</v>
      </c>
      <c r="F382" s="9" t="s">
        <v>6925</v>
      </c>
      <c r="G382" s="9" t="s">
        <v>383</v>
      </c>
      <c r="H382" s="9" t="s">
        <v>427</v>
      </c>
      <c r="I382" s="87" t="s">
        <v>6405</v>
      </c>
      <c r="J382" s="87" t="s">
        <v>6240</v>
      </c>
      <c r="K382" s="87" t="s">
        <v>6926</v>
      </c>
      <c r="L382" s="87" t="s">
        <v>4019</v>
      </c>
      <c r="M382" s="87" t="s">
        <v>6597</v>
      </c>
      <c r="N382" s="9" t="s">
        <v>6979</v>
      </c>
      <c r="O382" s="87" t="s">
        <v>6498</v>
      </c>
      <c r="P382" s="9" t="s">
        <v>6547</v>
      </c>
      <c r="Q382" s="87" t="s">
        <v>4019</v>
      </c>
      <c r="R382" s="87" t="s">
        <v>6240</v>
      </c>
      <c r="S382" s="87" t="s">
        <v>6392</v>
      </c>
      <c r="T382" s="87" t="s">
        <v>6341</v>
      </c>
    </row>
    <row r="383" spans="1:20" ht="15.75" customHeight="1">
      <c r="A383" s="9" t="s">
        <v>2893</v>
      </c>
      <c r="C383" s="9" t="s">
        <v>6236</v>
      </c>
      <c r="D383" s="87" t="s">
        <v>6393</v>
      </c>
      <c r="E383" s="9" t="s">
        <v>431</v>
      </c>
      <c r="F383" s="9" t="s">
        <v>368</v>
      </c>
      <c r="G383" s="9" t="s">
        <v>436</v>
      </c>
      <c r="H383" s="9" t="s">
        <v>434</v>
      </c>
      <c r="I383" s="87" t="s">
        <v>6264</v>
      </c>
      <c r="J383" s="87" t="s">
        <v>6392</v>
      </c>
      <c r="K383" s="87" t="s">
        <v>6302</v>
      </c>
      <c r="L383" s="87" t="s">
        <v>6240</v>
      </c>
      <c r="M383" s="87" t="s">
        <v>6566</v>
      </c>
      <c r="N383" s="9" t="s">
        <v>7144</v>
      </c>
      <c r="O383" s="87" t="s">
        <v>6302</v>
      </c>
      <c r="P383" s="9" t="s">
        <v>6243</v>
      </c>
      <c r="Q383" s="87" t="s">
        <v>6464</v>
      </c>
      <c r="R383" s="87" t="s">
        <v>6392</v>
      </c>
      <c r="S383" s="87" t="s">
        <v>6327</v>
      </c>
      <c r="T383" s="87" t="s">
        <v>6361</v>
      </c>
    </row>
    <row r="384" spans="1:20" ht="15.75" customHeight="1">
      <c r="A384" s="9" t="s">
        <v>2893</v>
      </c>
      <c r="C384" s="9" t="s">
        <v>6236</v>
      </c>
      <c r="D384" s="87" t="s">
        <v>6393</v>
      </c>
      <c r="E384" s="9" t="s">
        <v>431</v>
      </c>
      <c r="F384" s="9" t="s">
        <v>368</v>
      </c>
      <c r="G384" s="9" t="s">
        <v>436</v>
      </c>
      <c r="H384" s="9" t="s">
        <v>434</v>
      </c>
      <c r="I384" s="87" t="s">
        <v>6264</v>
      </c>
      <c r="J384" s="87" t="s">
        <v>6392</v>
      </c>
      <c r="K384" s="87" t="s">
        <v>6296</v>
      </c>
      <c r="L384" s="87" t="s">
        <v>6240</v>
      </c>
      <c r="M384" s="87" t="s">
        <v>6568</v>
      </c>
      <c r="N384" s="9" t="s">
        <v>7042</v>
      </c>
      <c r="O384" s="87" t="s">
        <v>6296</v>
      </c>
      <c r="P384" s="9" t="s">
        <v>6243</v>
      </c>
      <c r="Q384" s="87" t="s">
        <v>6287</v>
      </c>
      <c r="R384" s="87" t="s">
        <v>6392</v>
      </c>
      <c r="S384" s="87" t="s">
        <v>6287</v>
      </c>
      <c r="T384" s="87" t="s">
        <v>6645</v>
      </c>
    </row>
    <row r="385" spans="1:20" ht="15.75" customHeight="1">
      <c r="A385" s="9" t="s">
        <v>2893</v>
      </c>
      <c r="C385" s="9" t="s">
        <v>6671</v>
      </c>
      <c r="D385" s="87" t="s">
        <v>6296</v>
      </c>
      <c r="E385" s="9" t="s">
        <v>6672</v>
      </c>
      <c r="F385" s="9" t="s">
        <v>439</v>
      </c>
      <c r="G385" s="9" t="s">
        <v>436</v>
      </c>
      <c r="H385" s="9" t="s">
        <v>440</v>
      </c>
      <c r="I385" s="87" t="s">
        <v>6405</v>
      </c>
      <c r="J385" s="87" t="s">
        <v>6346</v>
      </c>
      <c r="K385" s="87" t="s">
        <v>6346</v>
      </c>
      <c r="L385" s="87" t="s">
        <v>6240</v>
      </c>
      <c r="M385" s="87" t="s">
        <v>6581</v>
      </c>
      <c r="N385" s="9" t="s">
        <v>6972</v>
      </c>
      <c r="O385" s="87" t="s">
        <v>6346</v>
      </c>
      <c r="P385" s="9" t="s">
        <v>6243</v>
      </c>
      <c r="Q385" s="87" t="s">
        <v>6366</v>
      </c>
      <c r="R385" s="87" t="s">
        <v>6346</v>
      </c>
      <c r="S385" s="87" t="s">
        <v>5381</v>
      </c>
      <c r="T385" s="87" t="s">
        <v>6645</v>
      </c>
    </row>
    <row r="386" spans="1:20" ht="15.75" customHeight="1">
      <c r="A386" s="9" t="s">
        <v>2893</v>
      </c>
      <c r="C386" s="9" t="s">
        <v>6923</v>
      </c>
      <c r="D386" s="87" t="s">
        <v>6461</v>
      </c>
      <c r="E386" s="9" t="s">
        <v>6924</v>
      </c>
      <c r="F386" s="9" t="s">
        <v>6925</v>
      </c>
      <c r="G386" s="9" t="s">
        <v>383</v>
      </c>
      <c r="H386" s="9" t="s">
        <v>427</v>
      </c>
      <c r="I386" s="87" t="s">
        <v>6405</v>
      </c>
      <c r="J386" s="87" t="s">
        <v>6810</v>
      </c>
      <c r="K386" s="87" t="s">
        <v>6926</v>
      </c>
      <c r="L386" s="87" t="s">
        <v>6372</v>
      </c>
      <c r="M386" s="87" t="s">
        <v>6583</v>
      </c>
      <c r="N386" s="9" t="s">
        <v>7160</v>
      </c>
      <c r="O386" s="87" t="s">
        <v>6295</v>
      </c>
      <c r="P386" s="9" t="s">
        <v>6243</v>
      </c>
      <c r="Q386" s="87" t="s">
        <v>6372</v>
      </c>
      <c r="R386" s="87" t="s">
        <v>6810</v>
      </c>
      <c r="S386" s="87" t="s">
        <v>6255</v>
      </c>
      <c r="T386" s="87" t="s">
        <v>6322</v>
      </c>
    </row>
    <row r="387" spans="1:20" ht="15.75" customHeight="1">
      <c r="A387" s="9" t="s">
        <v>2893</v>
      </c>
      <c r="C387" s="9" t="s">
        <v>6923</v>
      </c>
      <c r="D387" s="87" t="s">
        <v>6461</v>
      </c>
      <c r="E387" s="9" t="s">
        <v>6924</v>
      </c>
      <c r="F387" s="9" t="s">
        <v>6925</v>
      </c>
      <c r="G387" s="9" t="s">
        <v>383</v>
      </c>
      <c r="H387" s="9" t="s">
        <v>427</v>
      </c>
      <c r="I387" s="87" t="s">
        <v>6405</v>
      </c>
      <c r="J387" s="87" t="s">
        <v>6810</v>
      </c>
      <c r="K387" s="87" t="s">
        <v>6931</v>
      </c>
      <c r="L387" s="87" t="s">
        <v>6372</v>
      </c>
      <c r="M387" s="87" t="s">
        <v>6584</v>
      </c>
      <c r="N387" s="9" t="s">
        <v>7034</v>
      </c>
      <c r="O387" s="87" t="s">
        <v>6239</v>
      </c>
      <c r="P387" s="9" t="s">
        <v>6243</v>
      </c>
      <c r="Q387" s="87" t="s">
        <v>3764</v>
      </c>
      <c r="R387" s="87" t="s">
        <v>6810</v>
      </c>
      <c r="S387" s="87" t="s">
        <v>7035</v>
      </c>
      <c r="T387" s="87" t="s">
        <v>6341</v>
      </c>
    </row>
    <row r="388" spans="1:20" ht="15.75" customHeight="1">
      <c r="A388" s="9" t="s">
        <v>2893</v>
      </c>
      <c r="C388" s="9" t="s">
        <v>6923</v>
      </c>
      <c r="D388" s="87" t="s">
        <v>6461</v>
      </c>
      <c r="E388" s="9" t="s">
        <v>6924</v>
      </c>
      <c r="F388" s="9" t="s">
        <v>6925</v>
      </c>
      <c r="G388" s="9" t="s">
        <v>383</v>
      </c>
      <c r="H388" s="9" t="s">
        <v>427</v>
      </c>
      <c r="I388" s="87" t="s">
        <v>6405</v>
      </c>
      <c r="J388" s="87" t="s">
        <v>6810</v>
      </c>
      <c r="K388" s="87" t="s">
        <v>6931</v>
      </c>
      <c r="L388" s="87" t="s">
        <v>6372</v>
      </c>
      <c r="M388" s="87" t="s">
        <v>6585</v>
      </c>
      <c r="N388" s="9" t="s">
        <v>7034</v>
      </c>
      <c r="O388" s="87" t="s">
        <v>6239</v>
      </c>
      <c r="P388" s="9" t="s">
        <v>6243</v>
      </c>
      <c r="Q388" s="87" t="s">
        <v>3764</v>
      </c>
      <c r="R388" s="87" t="s">
        <v>6810</v>
      </c>
      <c r="S388" s="87" t="s">
        <v>7035</v>
      </c>
      <c r="T388" s="87" t="s">
        <v>6341</v>
      </c>
    </row>
    <row r="389" spans="1:20" ht="15.75" customHeight="1">
      <c r="A389" s="9" t="s">
        <v>2893</v>
      </c>
      <c r="C389" s="9" t="s">
        <v>6923</v>
      </c>
      <c r="D389" s="87" t="s">
        <v>6461</v>
      </c>
      <c r="E389" s="9" t="s">
        <v>6924</v>
      </c>
      <c r="F389" s="9" t="s">
        <v>6925</v>
      </c>
      <c r="G389" s="9" t="s">
        <v>383</v>
      </c>
      <c r="H389" s="9" t="s">
        <v>427</v>
      </c>
      <c r="I389" s="87" t="s">
        <v>6405</v>
      </c>
      <c r="J389" s="87" t="s">
        <v>6810</v>
      </c>
      <c r="K389" s="87" t="s">
        <v>6939</v>
      </c>
      <c r="L389" s="87" t="s">
        <v>6372</v>
      </c>
      <c r="M389" s="87" t="s">
        <v>6590</v>
      </c>
      <c r="N389" s="9" t="s">
        <v>7031</v>
      </c>
      <c r="O389" s="87" t="s">
        <v>6526</v>
      </c>
      <c r="P389" s="9" t="s">
        <v>6243</v>
      </c>
      <c r="Q389" s="87" t="s">
        <v>4023</v>
      </c>
      <c r="R389" s="87" t="s">
        <v>6810</v>
      </c>
      <c r="S389" s="87" t="s">
        <v>6295</v>
      </c>
      <c r="T389" s="87" t="s">
        <v>6341</v>
      </c>
    </row>
    <row r="390" spans="1:20" ht="15.75" customHeight="1">
      <c r="A390" s="9" t="s">
        <v>2852</v>
      </c>
      <c r="C390" s="9" t="s">
        <v>6236</v>
      </c>
      <c r="D390" s="87" t="s">
        <v>6393</v>
      </c>
      <c r="E390" s="9" t="s">
        <v>431</v>
      </c>
      <c r="F390" s="9" t="s">
        <v>368</v>
      </c>
      <c r="G390" s="9" t="s">
        <v>436</v>
      </c>
      <c r="H390" s="9" t="s">
        <v>434</v>
      </c>
      <c r="I390" s="87" t="s">
        <v>6237</v>
      </c>
      <c r="J390" s="87" t="s">
        <v>6498</v>
      </c>
      <c r="K390" s="87" t="s">
        <v>6498</v>
      </c>
      <c r="L390" s="87" t="s">
        <v>6240</v>
      </c>
      <c r="M390" s="87" t="s">
        <v>6721</v>
      </c>
      <c r="N390" s="9" t="s">
        <v>7161</v>
      </c>
      <c r="O390" s="87" t="s">
        <v>6498</v>
      </c>
      <c r="P390" s="9" t="s">
        <v>6243</v>
      </c>
      <c r="Q390" s="87" t="s">
        <v>4019</v>
      </c>
      <c r="R390" s="87" t="s">
        <v>6498</v>
      </c>
      <c r="S390" s="87" t="s">
        <v>6313</v>
      </c>
      <c r="T390" s="87" t="s">
        <v>6293</v>
      </c>
    </row>
    <row r="391" spans="1:20" ht="15.75" customHeight="1">
      <c r="A391" s="9" t="s">
        <v>2852</v>
      </c>
      <c r="C391" s="9" t="s">
        <v>6671</v>
      </c>
      <c r="D391" s="87" t="s">
        <v>6296</v>
      </c>
      <c r="E391" s="9" t="s">
        <v>6672</v>
      </c>
      <c r="F391" s="9" t="s">
        <v>439</v>
      </c>
      <c r="G391" s="9" t="s">
        <v>436</v>
      </c>
      <c r="H391" s="9" t="s">
        <v>440</v>
      </c>
      <c r="I391" s="87" t="s">
        <v>6405</v>
      </c>
      <c r="J391" s="87" t="s">
        <v>6498</v>
      </c>
      <c r="K391" s="87" t="s">
        <v>6498</v>
      </c>
      <c r="L391" s="87" t="s">
        <v>6240</v>
      </c>
      <c r="M391" s="87" t="s">
        <v>6718</v>
      </c>
      <c r="N391" s="9" t="s">
        <v>7162</v>
      </c>
      <c r="O391" s="87" t="s">
        <v>6498</v>
      </c>
      <c r="P391" s="9" t="s">
        <v>6243</v>
      </c>
      <c r="Q391" s="87" t="s">
        <v>4019</v>
      </c>
      <c r="R391" s="87" t="s">
        <v>6498</v>
      </c>
      <c r="S391" s="87" t="s">
        <v>6526</v>
      </c>
      <c r="T391" s="87" t="s">
        <v>6443</v>
      </c>
    </row>
    <row r="392" spans="1:20" ht="15.75" customHeight="1">
      <c r="A392" s="9" t="s">
        <v>2852</v>
      </c>
      <c r="C392" s="9" t="s">
        <v>6923</v>
      </c>
      <c r="D392" s="87" t="s">
        <v>6327</v>
      </c>
      <c r="E392" s="9" t="s">
        <v>6924</v>
      </c>
      <c r="F392" s="9" t="s">
        <v>6925</v>
      </c>
      <c r="G392" s="9" t="s">
        <v>383</v>
      </c>
      <c r="H392" s="9" t="s">
        <v>444</v>
      </c>
      <c r="I392" s="87" t="s">
        <v>6405</v>
      </c>
      <c r="J392" s="87" t="s">
        <v>6405</v>
      </c>
      <c r="K392" s="87" t="s">
        <v>6926</v>
      </c>
      <c r="L392" s="87" t="s">
        <v>6341</v>
      </c>
      <c r="M392" s="87" t="s">
        <v>6635</v>
      </c>
      <c r="N392" s="9" t="s">
        <v>7163</v>
      </c>
      <c r="O392" s="87" t="s">
        <v>6393</v>
      </c>
      <c r="P392" s="9" t="s">
        <v>6243</v>
      </c>
      <c r="Q392" s="87" t="s">
        <v>6341</v>
      </c>
      <c r="R392" s="87" t="s">
        <v>6405</v>
      </c>
      <c r="S392" s="87" t="s">
        <v>6400</v>
      </c>
      <c r="T392" s="87" t="s">
        <v>6619</v>
      </c>
    </row>
    <row r="393" spans="1:20" ht="15.75" customHeight="1">
      <c r="A393" s="9" t="s">
        <v>2894</v>
      </c>
      <c r="C393" s="9" t="s">
        <v>6236</v>
      </c>
      <c r="D393" s="87" t="s">
        <v>6393</v>
      </c>
      <c r="E393" s="9" t="s">
        <v>431</v>
      </c>
      <c r="F393" s="9" t="s">
        <v>368</v>
      </c>
      <c r="G393" s="9" t="s">
        <v>436</v>
      </c>
      <c r="H393" s="9" t="s">
        <v>434</v>
      </c>
      <c r="I393" s="87" t="s">
        <v>6237</v>
      </c>
      <c r="J393" s="87" t="s">
        <v>6479</v>
      </c>
      <c r="K393" s="87" t="s">
        <v>6277</v>
      </c>
      <c r="L393" s="87" t="s">
        <v>6240</v>
      </c>
      <c r="M393" s="87" t="s">
        <v>6584</v>
      </c>
      <c r="N393" s="9" t="s">
        <v>7164</v>
      </c>
      <c r="O393" s="87" t="s">
        <v>6277</v>
      </c>
      <c r="P393" s="9" t="s">
        <v>6243</v>
      </c>
      <c r="Q393" s="87" t="s">
        <v>6631</v>
      </c>
      <c r="R393" s="87" t="s">
        <v>6479</v>
      </c>
      <c r="S393" s="87" t="s">
        <v>6327</v>
      </c>
      <c r="T393" s="87" t="s">
        <v>6373</v>
      </c>
    </row>
    <row r="394" spans="1:20" ht="15.75" customHeight="1">
      <c r="A394" s="9" t="s">
        <v>2894</v>
      </c>
      <c r="C394" s="9" t="s">
        <v>6236</v>
      </c>
      <c r="D394" s="87" t="s">
        <v>6393</v>
      </c>
      <c r="E394" s="9" t="s">
        <v>431</v>
      </c>
      <c r="F394" s="9" t="s">
        <v>368</v>
      </c>
      <c r="G394" s="9" t="s">
        <v>436</v>
      </c>
      <c r="H394" s="9" t="s">
        <v>434</v>
      </c>
      <c r="I394" s="87" t="s">
        <v>6237</v>
      </c>
      <c r="J394" s="87" t="s">
        <v>6479</v>
      </c>
      <c r="K394" s="87" t="s">
        <v>6810</v>
      </c>
      <c r="L394" s="87" t="s">
        <v>6240</v>
      </c>
      <c r="M394" s="87" t="s">
        <v>6585</v>
      </c>
      <c r="N394" s="9" t="s">
        <v>6994</v>
      </c>
      <c r="O394" s="87" t="s">
        <v>6810</v>
      </c>
      <c r="P394" s="9" t="s">
        <v>6243</v>
      </c>
      <c r="Q394" s="87" t="s">
        <v>6484</v>
      </c>
      <c r="R394" s="87" t="s">
        <v>6479</v>
      </c>
      <c r="S394" s="87" t="s">
        <v>6443</v>
      </c>
      <c r="T394" s="87" t="s">
        <v>6645</v>
      </c>
    </row>
    <row r="395" spans="1:20" ht="15.75" customHeight="1">
      <c r="A395" s="9" t="s">
        <v>2894</v>
      </c>
      <c r="C395" s="9" t="s">
        <v>6671</v>
      </c>
      <c r="D395" s="87" t="s">
        <v>6296</v>
      </c>
      <c r="E395" s="9" t="s">
        <v>6672</v>
      </c>
      <c r="F395" s="9" t="s">
        <v>439</v>
      </c>
      <c r="G395" s="9" t="s">
        <v>436</v>
      </c>
      <c r="H395" s="9" t="s">
        <v>440</v>
      </c>
      <c r="I395" s="87" t="s">
        <v>6405</v>
      </c>
      <c r="J395" s="87" t="s">
        <v>6306</v>
      </c>
      <c r="K395" s="87" t="s">
        <v>6497</v>
      </c>
      <c r="L395" s="87" t="s">
        <v>6240</v>
      </c>
      <c r="M395" s="87" t="s">
        <v>6590</v>
      </c>
      <c r="N395" s="9" t="s">
        <v>7165</v>
      </c>
      <c r="O395" s="87" t="s">
        <v>6497</v>
      </c>
      <c r="P395" s="9" t="s">
        <v>6243</v>
      </c>
      <c r="Q395" s="87" t="s">
        <v>6714</v>
      </c>
      <c r="R395" s="87" t="s">
        <v>6306</v>
      </c>
      <c r="S395" s="87" t="s">
        <v>6327</v>
      </c>
      <c r="T395" s="87" t="s">
        <v>6271</v>
      </c>
    </row>
    <row r="396" spans="1:20" ht="15.75" customHeight="1">
      <c r="A396" s="9" t="s">
        <v>2894</v>
      </c>
      <c r="C396" s="9" t="s">
        <v>6671</v>
      </c>
      <c r="D396" s="87" t="s">
        <v>6296</v>
      </c>
      <c r="E396" s="9" t="s">
        <v>6672</v>
      </c>
      <c r="F396" s="9" t="s">
        <v>439</v>
      </c>
      <c r="G396" s="9" t="s">
        <v>436</v>
      </c>
      <c r="H396" s="9" t="s">
        <v>440</v>
      </c>
      <c r="I396" s="87" t="s">
        <v>6405</v>
      </c>
      <c r="J396" s="87" t="s">
        <v>6306</v>
      </c>
      <c r="K396" s="87" t="s">
        <v>6414</v>
      </c>
      <c r="L396" s="87" t="s">
        <v>6240</v>
      </c>
      <c r="M396" s="87" t="s">
        <v>6591</v>
      </c>
      <c r="N396" s="9" t="s">
        <v>7166</v>
      </c>
      <c r="O396" s="87" t="s">
        <v>6414</v>
      </c>
      <c r="P396" s="9" t="s">
        <v>6243</v>
      </c>
      <c r="Q396" s="87" t="s">
        <v>6416</v>
      </c>
      <c r="R396" s="87" t="s">
        <v>6306</v>
      </c>
      <c r="S396" s="87" t="s">
        <v>6284</v>
      </c>
      <c r="T396" s="87" t="s">
        <v>6645</v>
      </c>
    </row>
    <row r="397" spans="1:20" ht="15.75" customHeight="1">
      <c r="A397" s="9" t="s">
        <v>2894</v>
      </c>
      <c r="C397" s="9" t="s">
        <v>6923</v>
      </c>
      <c r="D397" s="87" t="s">
        <v>6327</v>
      </c>
      <c r="E397" s="9" t="s">
        <v>6924</v>
      </c>
      <c r="F397" s="9" t="s">
        <v>6925</v>
      </c>
      <c r="G397" s="9" t="s">
        <v>383</v>
      </c>
      <c r="H397" s="9" t="s">
        <v>444</v>
      </c>
      <c r="I397" s="87" t="s">
        <v>6405</v>
      </c>
      <c r="J397" s="87" t="s">
        <v>6251</v>
      </c>
      <c r="K397" s="87" t="s">
        <v>7167</v>
      </c>
      <c r="L397" s="87" t="s">
        <v>6484</v>
      </c>
      <c r="M397" s="87" t="s">
        <v>6592</v>
      </c>
      <c r="N397" s="9" t="s">
        <v>7168</v>
      </c>
      <c r="O397" s="87" t="s">
        <v>6401</v>
      </c>
      <c r="P397" s="9" t="s">
        <v>6243</v>
      </c>
      <c r="Q397" s="87" t="s">
        <v>6403</v>
      </c>
      <c r="R397" s="87" t="s">
        <v>6251</v>
      </c>
      <c r="S397" s="87" t="s">
        <v>6329</v>
      </c>
      <c r="T397" s="87" t="s">
        <v>6341</v>
      </c>
    </row>
    <row r="398" spans="1:20" ht="15.75" customHeight="1">
      <c r="A398" s="9" t="s">
        <v>3007</v>
      </c>
      <c r="C398" s="9" t="s">
        <v>6236</v>
      </c>
      <c r="D398" s="87" t="s">
        <v>6393</v>
      </c>
      <c r="E398" s="9" t="s">
        <v>431</v>
      </c>
      <c r="F398" s="9" t="s">
        <v>368</v>
      </c>
      <c r="G398" s="9" t="s">
        <v>436</v>
      </c>
      <c r="H398" s="9" t="s">
        <v>434</v>
      </c>
      <c r="I398" s="87" t="s">
        <v>6237</v>
      </c>
      <c r="J398" s="87" t="s">
        <v>6238</v>
      </c>
      <c r="K398" s="87" t="s">
        <v>6264</v>
      </c>
      <c r="L398" s="87" t="s">
        <v>6240</v>
      </c>
      <c r="M398" s="87" t="s">
        <v>6721</v>
      </c>
      <c r="N398" s="9" t="s">
        <v>7123</v>
      </c>
      <c r="O398" s="87" t="s">
        <v>6264</v>
      </c>
      <c r="P398" s="9" t="s">
        <v>6243</v>
      </c>
      <c r="Q398" s="87" t="s">
        <v>6313</v>
      </c>
      <c r="R398" s="87" t="s">
        <v>6238</v>
      </c>
      <c r="S398" s="87" t="s">
        <v>6327</v>
      </c>
      <c r="T398" s="87" t="s">
        <v>6348</v>
      </c>
    </row>
    <row r="399" spans="1:20" ht="15.75" customHeight="1">
      <c r="A399" s="9" t="s">
        <v>3007</v>
      </c>
      <c r="C399" s="9" t="s">
        <v>6236</v>
      </c>
      <c r="D399" s="87" t="s">
        <v>6393</v>
      </c>
      <c r="E399" s="9" t="s">
        <v>431</v>
      </c>
      <c r="F399" s="9" t="s">
        <v>368</v>
      </c>
      <c r="G399" s="9" t="s">
        <v>436</v>
      </c>
      <c r="H399" s="9" t="s">
        <v>434</v>
      </c>
      <c r="I399" s="87" t="s">
        <v>6237</v>
      </c>
      <c r="J399" s="87" t="s">
        <v>6238</v>
      </c>
      <c r="K399" s="87" t="s">
        <v>6239</v>
      </c>
      <c r="L399" s="87" t="s">
        <v>6240</v>
      </c>
      <c r="M399" s="87" t="s">
        <v>6718</v>
      </c>
      <c r="N399" s="9" t="s">
        <v>6928</v>
      </c>
      <c r="O399" s="87" t="s">
        <v>6239</v>
      </c>
      <c r="P399" s="9" t="s">
        <v>6243</v>
      </c>
      <c r="Q399" s="87" t="s">
        <v>3764</v>
      </c>
      <c r="R399" s="87" t="s">
        <v>6238</v>
      </c>
      <c r="S399" s="87" t="s">
        <v>6327</v>
      </c>
      <c r="T399" s="87" t="s">
        <v>6645</v>
      </c>
    </row>
    <row r="400" spans="1:20" ht="15.75" customHeight="1">
      <c r="A400" s="9" t="s">
        <v>3007</v>
      </c>
      <c r="C400" s="9" t="s">
        <v>6236</v>
      </c>
      <c r="D400" s="87" t="s">
        <v>6393</v>
      </c>
      <c r="E400" s="9" t="s">
        <v>431</v>
      </c>
      <c r="F400" s="9" t="s">
        <v>368</v>
      </c>
      <c r="G400" s="9" t="s">
        <v>436</v>
      </c>
      <c r="H400" s="9" t="s">
        <v>434</v>
      </c>
      <c r="I400" s="87" t="s">
        <v>6237</v>
      </c>
      <c r="J400" s="87" t="s">
        <v>6238</v>
      </c>
      <c r="K400" s="87" t="s">
        <v>6528</v>
      </c>
      <c r="L400" s="87" t="s">
        <v>6240</v>
      </c>
      <c r="M400" s="87" t="s">
        <v>6635</v>
      </c>
      <c r="N400" s="9" t="s">
        <v>7169</v>
      </c>
      <c r="O400" s="87" t="s">
        <v>6528</v>
      </c>
      <c r="P400" s="9" t="s">
        <v>6243</v>
      </c>
      <c r="Q400" s="87" t="s">
        <v>6474</v>
      </c>
      <c r="R400" s="87" t="s">
        <v>6238</v>
      </c>
      <c r="S400" s="87" t="s">
        <v>6367</v>
      </c>
      <c r="T400" s="87" t="s">
        <v>6645</v>
      </c>
    </row>
    <row r="401" spans="1:20" ht="15.75" customHeight="1">
      <c r="A401" s="9" t="s">
        <v>3007</v>
      </c>
      <c r="C401" s="9" t="s">
        <v>6671</v>
      </c>
      <c r="D401" s="87" t="s">
        <v>6296</v>
      </c>
      <c r="E401" s="9" t="s">
        <v>6672</v>
      </c>
      <c r="F401" s="9" t="s">
        <v>439</v>
      </c>
      <c r="G401" s="9" t="s">
        <v>436</v>
      </c>
      <c r="H401" s="9" t="s">
        <v>440</v>
      </c>
      <c r="I401" s="87" t="s">
        <v>6405</v>
      </c>
      <c r="J401" s="87" t="s">
        <v>6497</v>
      </c>
      <c r="K401" s="87" t="s">
        <v>6497</v>
      </c>
      <c r="L401" s="87" t="s">
        <v>6240</v>
      </c>
      <c r="M401" s="87" t="s">
        <v>6710</v>
      </c>
      <c r="N401" s="9" t="s">
        <v>7113</v>
      </c>
      <c r="O401" s="87" t="s">
        <v>6497</v>
      </c>
      <c r="P401" s="9" t="s">
        <v>6243</v>
      </c>
      <c r="Q401" s="87" t="s">
        <v>6714</v>
      </c>
      <c r="R401" s="87" t="s">
        <v>6497</v>
      </c>
      <c r="S401" s="87" t="s">
        <v>6397</v>
      </c>
      <c r="T401" s="87" t="s">
        <v>6645</v>
      </c>
    </row>
    <row r="402" spans="1:20" ht="15.75" customHeight="1">
      <c r="A402" s="9" t="s">
        <v>3007</v>
      </c>
      <c r="C402" s="9" t="s">
        <v>6923</v>
      </c>
      <c r="D402" s="87" t="s">
        <v>6264</v>
      </c>
      <c r="E402" s="9" t="s">
        <v>6924</v>
      </c>
      <c r="F402" s="9" t="s">
        <v>6925</v>
      </c>
      <c r="G402" s="9" t="s">
        <v>383</v>
      </c>
      <c r="H402" s="9" t="s">
        <v>449</v>
      </c>
      <c r="I402" s="87" t="s">
        <v>6405</v>
      </c>
      <c r="J402" s="87" t="s">
        <v>6264</v>
      </c>
      <c r="K402" s="87" t="s">
        <v>6931</v>
      </c>
      <c r="L402" s="87" t="s">
        <v>6278</v>
      </c>
      <c r="M402" s="87" t="s">
        <v>6637</v>
      </c>
      <c r="N402" s="9" t="s">
        <v>7170</v>
      </c>
      <c r="O402" s="87" t="s">
        <v>6357</v>
      </c>
      <c r="P402" s="9" t="s">
        <v>6243</v>
      </c>
      <c r="Q402" s="87" t="s">
        <v>6565</v>
      </c>
      <c r="R402" s="87" t="s">
        <v>6264</v>
      </c>
      <c r="S402" s="87" t="s">
        <v>6528</v>
      </c>
      <c r="T402" s="87" t="s">
        <v>6341</v>
      </c>
    </row>
    <row r="403" spans="1:20" ht="15.75" customHeight="1">
      <c r="A403" s="9" t="s">
        <v>2891</v>
      </c>
      <c r="C403" s="9" t="s">
        <v>6236</v>
      </c>
      <c r="D403" s="87" t="s">
        <v>6393</v>
      </c>
      <c r="E403" s="9" t="s">
        <v>431</v>
      </c>
      <c r="F403" s="9" t="s">
        <v>368</v>
      </c>
      <c r="G403" s="9" t="s">
        <v>436</v>
      </c>
      <c r="H403" s="9" t="s">
        <v>434</v>
      </c>
      <c r="I403" s="87" t="s">
        <v>6237</v>
      </c>
      <c r="J403" s="87" t="s">
        <v>6245</v>
      </c>
      <c r="K403" s="87" t="s">
        <v>6245</v>
      </c>
      <c r="L403" s="87" t="s">
        <v>6240</v>
      </c>
      <c r="M403" s="87" t="s">
        <v>6581</v>
      </c>
      <c r="N403" s="9" t="s">
        <v>7171</v>
      </c>
      <c r="O403" s="87" t="s">
        <v>6245</v>
      </c>
      <c r="P403" s="9" t="s">
        <v>6243</v>
      </c>
      <c r="Q403" s="87" t="s">
        <v>6238</v>
      </c>
      <c r="R403" s="87" t="s">
        <v>6245</v>
      </c>
      <c r="S403" s="87" t="s">
        <v>6376</v>
      </c>
      <c r="T403" s="87" t="s">
        <v>5381</v>
      </c>
    </row>
    <row r="404" spans="1:20" ht="15.75" customHeight="1">
      <c r="A404" s="9" t="s">
        <v>2891</v>
      </c>
      <c r="C404" s="9" t="s">
        <v>6671</v>
      </c>
      <c r="D404" s="87" t="s">
        <v>6296</v>
      </c>
      <c r="E404" s="9" t="s">
        <v>6672</v>
      </c>
      <c r="F404" s="9" t="s">
        <v>439</v>
      </c>
      <c r="G404" s="9" t="s">
        <v>436</v>
      </c>
      <c r="H404" s="9" t="s">
        <v>440</v>
      </c>
      <c r="I404" s="87" t="s">
        <v>6405</v>
      </c>
      <c r="J404" s="87" t="s">
        <v>6273</v>
      </c>
      <c r="K404" s="87" t="s">
        <v>6273</v>
      </c>
      <c r="L404" s="87" t="s">
        <v>6240</v>
      </c>
      <c r="M404" s="87" t="s">
        <v>6582</v>
      </c>
      <c r="N404" s="9" t="s">
        <v>7172</v>
      </c>
      <c r="O404" s="87" t="s">
        <v>6273</v>
      </c>
      <c r="P404" s="9" t="s">
        <v>6243</v>
      </c>
      <c r="Q404" s="87" t="s">
        <v>6276</v>
      </c>
      <c r="R404" s="87" t="s">
        <v>6273</v>
      </c>
      <c r="S404" s="87" t="s">
        <v>6280</v>
      </c>
      <c r="T404" s="87" t="s">
        <v>6382</v>
      </c>
    </row>
    <row r="405" spans="1:20" ht="15.75" customHeight="1">
      <c r="A405" s="9" t="s">
        <v>2891</v>
      </c>
      <c r="C405" s="9" t="s">
        <v>6923</v>
      </c>
      <c r="D405" s="87" t="s">
        <v>6327</v>
      </c>
      <c r="E405" s="9" t="s">
        <v>6924</v>
      </c>
      <c r="F405" s="9" t="s">
        <v>6925</v>
      </c>
      <c r="G405" s="9" t="s">
        <v>383</v>
      </c>
      <c r="H405" s="9" t="s">
        <v>444</v>
      </c>
      <c r="I405" s="87" t="s">
        <v>6405</v>
      </c>
      <c r="J405" s="87" t="s">
        <v>6405</v>
      </c>
      <c r="K405" s="87" t="s">
        <v>6926</v>
      </c>
      <c r="L405" s="87" t="s">
        <v>6341</v>
      </c>
      <c r="M405" s="87" t="s">
        <v>6583</v>
      </c>
      <c r="N405" s="9" t="s">
        <v>7173</v>
      </c>
      <c r="O405" s="87" t="s">
        <v>6393</v>
      </c>
      <c r="P405" s="9" t="s">
        <v>6243</v>
      </c>
      <c r="Q405" s="87" t="s">
        <v>6341</v>
      </c>
      <c r="R405" s="87" t="s">
        <v>6405</v>
      </c>
      <c r="S405" s="87" t="s">
        <v>6277</v>
      </c>
      <c r="T405" s="87" t="s">
        <v>6341</v>
      </c>
    </row>
    <row r="406" spans="1:20" ht="15.75" customHeight="1">
      <c r="A406" s="9" t="s">
        <v>2911</v>
      </c>
      <c r="C406" s="9" t="s">
        <v>6236</v>
      </c>
      <c r="D406" s="87" t="s">
        <v>6393</v>
      </c>
      <c r="E406" s="9" t="s">
        <v>431</v>
      </c>
      <c r="F406" s="9" t="s">
        <v>368</v>
      </c>
      <c r="G406" s="9" t="s">
        <v>436</v>
      </c>
      <c r="H406" s="9" t="s">
        <v>434</v>
      </c>
      <c r="I406" s="87" t="s">
        <v>6237</v>
      </c>
      <c r="J406" s="87" t="s">
        <v>6562</v>
      </c>
      <c r="K406" s="87" t="s">
        <v>6267</v>
      </c>
      <c r="L406" s="87" t="s">
        <v>6240</v>
      </c>
      <c r="M406" s="87" t="s">
        <v>6583</v>
      </c>
      <c r="N406" s="9" t="s">
        <v>7174</v>
      </c>
      <c r="O406" s="87" t="s">
        <v>6267</v>
      </c>
      <c r="P406" s="9" t="s">
        <v>6243</v>
      </c>
      <c r="Q406" s="87" t="s">
        <v>6506</v>
      </c>
      <c r="R406" s="87" t="s">
        <v>6562</v>
      </c>
      <c r="S406" s="87" t="s">
        <v>6327</v>
      </c>
      <c r="T406" s="87" t="s">
        <v>6424</v>
      </c>
    </row>
    <row r="407" spans="1:20" ht="15.75" customHeight="1">
      <c r="A407" s="9" t="s">
        <v>2911</v>
      </c>
      <c r="C407" s="9" t="s">
        <v>6236</v>
      </c>
      <c r="D407" s="87" t="s">
        <v>6393</v>
      </c>
      <c r="E407" s="9" t="s">
        <v>431</v>
      </c>
      <c r="F407" s="9" t="s">
        <v>368</v>
      </c>
      <c r="G407" s="9" t="s">
        <v>436</v>
      </c>
      <c r="H407" s="9" t="s">
        <v>434</v>
      </c>
      <c r="I407" s="87" t="s">
        <v>6237</v>
      </c>
      <c r="J407" s="87" t="s">
        <v>6562</v>
      </c>
      <c r="K407" s="87" t="s">
        <v>6393</v>
      </c>
      <c r="L407" s="87" t="s">
        <v>6240</v>
      </c>
      <c r="M407" s="87" t="s">
        <v>6584</v>
      </c>
      <c r="N407" s="9" t="s">
        <v>7175</v>
      </c>
      <c r="O407" s="87" t="s">
        <v>6393</v>
      </c>
      <c r="P407" s="9" t="s">
        <v>6243</v>
      </c>
      <c r="Q407" s="87" t="s">
        <v>6341</v>
      </c>
      <c r="R407" s="87" t="s">
        <v>6562</v>
      </c>
      <c r="S407" s="87" t="s">
        <v>6256</v>
      </c>
      <c r="T407" s="87" t="s">
        <v>6645</v>
      </c>
    </row>
    <row r="408" spans="1:20" ht="15.75" customHeight="1">
      <c r="A408" s="9" t="s">
        <v>2911</v>
      </c>
      <c r="C408" s="9" t="s">
        <v>6671</v>
      </c>
      <c r="D408" s="87" t="s">
        <v>6296</v>
      </c>
      <c r="E408" s="9" t="s">
        <v>6672</v>
      </c>
      <c r="F408" s="9" t="s">
        <v>439</v>
      </c>
      <c r="G408" s="9" t="s">
        <v>436</v>
      </c>
      <c r="H408" s="9" t="s">
        <v>440</v>
      </c>
      <c r="I408" s="87" t="s">
        <v>6405</v>
      </c>
      <c r="J408" s="87" t="s">
        <v>6341</v>
      </c>
      <c r="K408" s="87" t="s">
        <v>6342</v>
      </c>
      <c r="L408" s="87" t="s">
        <v>6240</v>
      </c>
      <c r="M408" s="87" t="s">
        <v>6585</v>
      </c>
      <c r="N408" s="9" t="s">
        <v>7028</v>
      </c>
      <c r="O408" s="87" t="s">
        <v>6342</v>
      </c>
      <c r="P408" s="9" t="s">
        <v>6243</v>
      </c>
      <c r="Q408" s="87" t="s">
        <v>6345</v>
      </c>
      <c r="R408" s="87" t="s">
        <v>6341</v>
      </c>
      <c r="S408" s="87" t="s">
        <v>6327</v>
      </c>
      <c r="T408" s="87" t="s">
        <v>6267</v>
      </c>
    </row>
    <row r="409" spans="1:20" ht="15.75" customHeight="1">
      <c r="A409" s="9" t="s">
        <v>2911</v>
      </c>
      <c r="C409" s="9" t="s">
        <v>6671</v>
      </c>
      <c r="D409" s="87" t="s">
        <v>6296</v>
      </c>
      <c r="E409" s="9" t="s">
        <v>6672</v>
      </c>
      <c r="F409" s="9" t="s">
        <v>439</v>
      </c>
      <c r="G409" s="9" t="s">
        <v>436</v>
      </c>
      <c r="H409" s="9" t="s">
        <v>440</v>
      </c>
      <c r="I409" s="87" t="s">
        <v>6405</v>
      </c>
      <c r="J409" s="87" t="s">
        <v>6341</v>
      </c>
      <c r="K409" s="87" t="s">
        <v>6642</v>
      </c>
      <c r="L409" s="87" t="s">
        <v>6240</v>
      </c>
      <c r="M409" s="87" t="s">
        <v>6590</v>
      </c>
      <c r="N409" s="9" t="s">
        <v>7062</v>
      </c>
      <c r="O409" s="87" t="s">
        <v>6642</v>
      </c>
      <c r="P409" s="9" t="s">
        <v>6243</v>
      </c>
      <c r="Q409" s="87" t="s">
        <v>6445</v>
      </c>
      <c r="R409" s="87" t="s">
        <v>6341</v>
      </c>
      <c r="S409" s="87" t="s">
        <v>6341</v>
      </c>
      <c r="T409" s="87" t="s">
        <v>6645</v>
      </c>
    </row>
    <row r="410" spans="1:20" ht="15.75" customHeight="1">
      <c r="A410" s="9" t="s">
        <v>2911</v>
      </c>
      <c r="C410" s="9" t="s">
        <v>6923</v>
      </c>
      <c r="D410" s="87" t="s">
        <v>6327</v>
      </c>
      <c r="E410" s="9" t="s">
        <v>6924</v>
      </c>
      <c r="F410" s="9" t="s">
        <v>6925</v>
      </c>
      <c r="G410" s="9" t="s">
        <v>383</v>
      </c>
      <c r="H410" s="9" t="s">
        <v>444</v>
      </c>
      <c r="I410" s="87" t="s">
        <v>6405</v>
      </c>
      <c r="J410" s="87" t="s">
        <v>6414</v>
      </c>
      <c r="K410" s="87" t="s">
        <v>6939</v>
      </c>
      <c r="L410" s="87" t="s">
        <v>5381</v>
      </c>
      <c r="M410" s="87" t="s">
        <v>6591</v>
      </c>
      <c r="N410" s="9" t="s">
        <v>7019</v>
      </c>
      <c r="O410" s="87" t="s">
        <v>6570</v>
      </c>
      <c r="P410" s="9" t="s">
        <v>6243</v>
      </c>
      <c r="Q410" s="87" t="s">
        <v>6573</v>
      </c>
      <c r="R410" s="87" t="s">
        <v>6414</v>
      </c>
      <c r="S410" s="87" t="s">
        <v>6334</v>
      </c>
      <c r="T410" s="87" t="s">
        <v>6280</v>
      </c>
    </row>
    <row r="411" spans="1:20" ht="15.75" customHeight="1">
      <c r="A411" s="9" t="s">
        <v>2911</v>
      </c>
      <c r="C411" s="9" t="s">
        <v>6923</v>
      </c>
      <c r="D411" s="87" t="s">
        <v>6327</v>
      </c>
      <c r="E411" s="9" t="s">
        <v>6924</v>
      </c>
      <c r="F411" s="9" t="s">
        <v>6925</v>
      </c>
      <c r="G411" s="9" t="s">
        <v>383</v>
      </c>
      <c r="H411" s="9" t="s">
        <v>444</v>
      </c>
      <c r="I411" s="87" t="s">
        <v>6405</v>
      </c>
      <c r="J411" s="87" t="s">
        <v>6414</v>
      </c>
      <c r="K411" s="87" t="s">
        <v>6965</v>
      </c>
      <c r="L411" s="87" t="s">
        <v>5381</v>
      </c>
      <c r="M411" s="87" t="s">
        <v>6592</v>
      </c>
      <c r="N411" s="9" t="s">
        <v>6945</v>
      </c>
      <c r="O411" s="87" t="s">
        <v>6500</v>
      </c>
      <c r="P411" s="9" t="s">
        <v>6547</v>
      </c>
      <c r="Q411" s="87" t="s">
        <v>3749</v>
      </c>
      <c r="R411" s="87" t="s">
        <v>6414</v>
      </c>
      <c r="S411" s="87" t="s">
        <v>6327</v>
      </c>
      <c r="T411" s="87" t="s">
        <v>6341</v>
      </c>
    </row>
    <row r="412" spans="1:20" ht="15.75" customHeight="1">
      <c r="A412" s="9" t="s">
        <v>2911</v>
      </c>
      <c r="C412" s="9" t="s">
        <v>6923</v>
      </c>
      <c r="D412" s="87" t="s">
        <v>6327</v>
      </c>
      <c r="E412" s="9" t="s">
        <v>6924</v>
      </c>
      <c r="F412" s="9" t="s">
        <v>6925</v>
      </c>
      <c r="G412" s="9" t="s">
        <v>383</v>
      </c>
      <c r="H412" s="9" t="s">
        <v>444</v>
      </c>
      <c r="I412" s="87" t="s">
        <v>6405</v>
      </c>
      <c r="J412" s="87" t="s">
        <v>6414</v>
      </c>
      <c r="K412" s="87" t="s">
        <v>6965</v>
      </c>
      <c r="L412" s="87" t="s">
        <v>5381</v>
      </c>
      <c r="M412" s="87" t="s">
        <v>6597</v>
      </c>
      <c r="N412" s="9" t="s">
        <v>6945</v>
      </c>
      <c r="O412" s="87" t="s">
        <v>6500</v>
      </c>
      <c r="P412" s="9" t="s">
        <v>6547</v>
      </c>
      <c r="Q412" s="87" t="s">
        <v>3749</v>
      </c>
      <c r="R412" s="87" t="s">
        <v>6414</v>
      </c>
      <c r="S412" s="87" t="s">
        <v>6327</v>
      </c>
      <c r="T412" s="87" t="s">
        <v>6341</v>
      </c>
    </row>
    <row r="413" spans="1:20" ht="15.75" customHeight="1">
      <c r="A413" s="9" t="s">
        <v>2911</v>
      </c>
      <c r="C413" s="9" t="s">
        <v>6923</v>
      </c>
      <c r="D413" s="87" t="s">
        <v>6327</v>
      </c>
      <c r="E413" s="9" t="s">
        <v>6924</v>
      </c>
      <c r="F413" s="9" t="s">
        <v>6925</v>
      </c>
      <c r="G413" s="9" t="s">
        <v>383</v>
      </c>
      <c r="H413" s="9" t="s">
        <v>444</v>
      </c>
      <c r="I413" s="87" t="s">
        <v>6405</v>
      </c>
      <c r="J413" s="87" t="s">
        <v>6414</v>
      </c>
      <c r="K413" s="87" t="s">
        <v>6931</v>
      </c>
      <c r="L413" s="87" t="s">
        <v>5381</v>
      </c>
      <c r="M413" s="87" t="s">
        <v>6601</v>
      </c>
      <c r="N413" s="9" t="s">
        <v>6946</v>
      </c>
      <c r="O413" s="87" t="s">
        <v>6302</v>
      </c>
      <c r="P413" s="9" t="s">
        <v>6547</v>
      </c>
      <c r="Q413" s="87" t="s">
        <v>6464</v>
      </c>
      <c r="R413" s="87" t="s">
        <v>6414</v>
      </c>
      <c r="S413" s="87" t="s">
        <v>6409</v>
      </c>
      <c r="T413" s="87" t="s">
        <v>6341</v>
      </c>
    </row>
    <row r="414" spans="1:20" ht="15.75" customHeight="1">
      <c r="A414" s="9" t="s">
        <v>2899</v>
      </c>
      <c r="C414" s="9" t="s">
        <v>6236</v>
      </c>
      <c r="D414" s="87" t="s">
        <v>6393</v>
      </c>
      <c r="E414" s="9" t="s">
        <v>431</v>
      </c>
      <c r="F414" s="9" t="s">
        <v>368</v>
      </c>
      <c r="G414" s="9" t="s">
        <v>436</v>
      </c>
      <c r="H414" s="9" t="s">
        <v>434</v>
      </c>
      <c r="I414" s="87" t="s">
        <v>6237</v>
      </c>
      <c r="J414" s="87" t="s">
        <v>6299</v>
      </c>
      <c r="K414" s="87" t="s">
        <v>6411</v>
      </c>
      <c r="L414" s="87" t="s">
        <v>6240</v>
      </c>
      <c r="M414" s="87" t="s">
        <v>6601</v>
      </c>
      <c r="N414" s="9" t="s">
        <v>7176</v>
      </c>
      <c r="O414" s="87" t="s">
        <v>6411</v>
      </c>
      <c r="P414" s="9" t="s">
        <v>6243</v>
      </c>
      <c r="Q414" s="87" t="s">
        <v>6321</v>
      </c>
      <c r="R414" s="87" t="s">
        <v>6299</v>
      </c>
      <c r="S414" s="87" t="s">
        <v>6327</v>
      </c>
      <c r="T414" s="87" t="s">
        <v>6323</v>
      </c>
    </row>
    <row r="415" spans="1:20" ht="15.75" customHeight="1">
      <c r="A415" s="9" t="s">
        <v>2899</v>
      </c>
      <c r="C415" s="9" t="s">
        <v>6236</v>
      </c>
      <c r="D415" s="87" t="s">
        <v>6393</v>
      </c>
      <c r="E415" s="9" t="s">
        <v>431</v>
      </c>
      <c r="F415" s="9" t="s">
        <v>368</v>
      </c>
      <c r="G415" s="9" t="s">
        <v>436</v>
      </c>
      <c r="H415" s="9" t="s">
        <v>434</v>
      </c>
      <c r="I415" s="87" t="s">
        <v>6237</v>
      </c>
      <c r="J415" s="87" t="s">
        <v>6299</v>
      </c>
      <c r="K415" s="87" t="s">
        <v>6414</v>
      </c>
      <c r="L415" s="87" t="s">
        <v>6240</v>
      </c>
      <c r="M415" s="87" t="s">
        <v>6613</v>
      </c>
      <c r="N415" s="9" t="s">
        <v>7166</v>
      </c>
      <c r="O415" s="87" t="s">
        <v>6414</v>
      </c>
      <c r="P415" s="9" t="s">
        <v>6243</v>
      </c>
      <c r="Q415" s="87" t="s">
        <v>6416</v>
      </c>
      <c r="R415" s="87" t="s">
        <v>6299</v>
      </c>
      <c r="S415" s="87" t="s">
        <v>6284</v>
      </c>
      <c r="T415" s="87" t="s">
        <v>6645</v>
      </c>
    </row>
    <row r="416" spans="1:20" ht="15.75" customHeight="1">
      <c r="A416" s="9" t="s">
        <v>2899</v>
      </c>
      <c r="C416" s="9" t="s">
        <v>6671</v>
      </c>
      <c r="D416" s="87" t="s">
        <v>6296</v>
      </c>
      <c r="E416" s="9" t="s">
        <v>6672</v>
      </c>
      <c r="F416" s="9" t="s">
        <v>439</v>
      </c>
      <c r="G416" s="9" t="s">
        <v>436</v>
      </c>
      <c r="H416" s="9" t="s">
        <v>440</v>
      </c>
      <c r="I416" s="87" t="s">
        <v>6405</v>
      </c>
      <c r="J416" s="87" t="s">
        <v>6329</v>
      </c>
      <c r="K416" s="87" t="s">
        <v>6329</v>
      </c>
      <c r="L416" s="87" t="s">
        <v>6240</v>
      </c>
      <c r="M416" s="87" t="s">
        <v>6616</v>
      </c>
      <c r="N416" s="9" t="s">
        <v>7154</v>
      </c>
      <c r="O416" s="87" t="s">
        <v>6329</v>
      </c>
      <c r="P416" s="9" t="s">
        <v>6243</v>
      </c>
      <c r="Q416" s="87" t="s">
        <v>6448</v>
      </c>
      <c r="R416" s="87" t="s">
        <v>6329</v>
      </c>
      <c r="S416" s="87" t="s">
        <v>6357</v>
      </c>
      <c r="T416" s="87" t="s">
        <v>6645</v>
      </c>
    </row>
    <row r="417" spans="1:20" ht="15.75" customHeight="1">
      <c r="A417" s="9" t="s">
        <v>2899</v>
      </c>
      <c r="C417" s="9" t="s">
        <v>6923</v>
      </c>
      <c r="D417" s="87" t="s">
        <v>6461</v>
      </c>
      <c r="E417" s="9" t="s">
        <v>6924</v>
      </c>
      <c r="F417" s="9" t="s">
        <v>6925</v>
      </c>
      <c r="G417" s="9" t="s">
        <v>383</v>
      </c>
      <c r="H417" s="9" t="s">
        <v>427</v>
      </c>
      <c r="I417" s="87" t="s">
        <v>6405</v>
      </c>
      <c r="J417" s="87" t="s">
        <v>6405</v>
      </c>
      <c r="K417" s="87" t="s">
        <v>6926</v>
      </c>
      <c r="L417" s="87" t="s">
        <v>3231</v>
      </c>
      <c r="M417" s="87" t="s">
        <v>6634</v>
      </c>
      <c r="N417" s="9" t="s">
        <v>7121</v>
      </c>
      <c r="O417" s="87" t="s">
        <v>6299</v>
      </c>
      <c r="P417" s="9" t="s">
        <v>6243</v>
      </c>
      <c r="Q417" s="87" t="s">
        <v>3231</v>
      </c>
      <c r="R417" s="87" t="s">
        <v>6405</v>
      </c>
      <c r="S417" s="87" t="s">
        <v>6400</v>
      </c>
      <c r="T417" s="87" t="s">
        <v>6341</v>
      </c>
    </row>
    <row r="418" spans="1:20" ht="15.75" customHeight="1">
      <c r="A418" s="9" t="s">
        <v>2902</v>
      </c>
      <c r="C418" s="9" t="s">
        <v>6236</v>
      </c>
      <c r="D418" s="87" t="s">
        <v>6393</v>
      </c>
      <c r="E418" s="9" t="s">
        <v>431</v>
      </c>
      <c r="F418" s="9" t="s">
        <v>368</v>
      </c>
      <c r="G418" s="9" t="s">
        <v>436</v>
      </c>
      <c r="H418" s="9" t="s">
        <v>434</v>
      </c>
      <c r="I418" s="87" t="s">
        <v>6264</v>
      </c>
      <c r="J418" s="87" t="s">
        <v>6239</v>
      </c>
      <c r="K418" s="87" t="s">
        <v>6411</v>
      </c>
      <c r="L418" s="87" t="s">
        <v>6240</v>
      </c>
      <c r="M418" s="87" t="s">
        <v>6597</v>
      </c>
      <c r="N418" s="9" t="s">
        <v>7176</v>
      </c>
      <c r="O418" s="87" t="s">
        <v>6411</v>
      </c>
      <c r="P418" s="9" t="s">
        <v>6243</v>
      </c>
      <c r="Q418" s="87" t="s">
        <v>6321</v>
      </c>
      <c r="R418" s="87" t="s">
        <v>6239</v>
      </c>
      <c r="S418" s="87" t="s">
        <v>6327</v>
      </c>
      <c r="T418" s="87" t="s">
        <v>6323</v>
      </c>
    </row>
    <row r="419" spans="1:20" ht="15.75" customHeight="1">
      <c r="A419" s="9" t="s">
        <v>2902</v>
      </c>
      <c r="C419" s="9" t="s">
        <v>6236</v>
      </c>
      <c r="D419" s="87" t="s">
        <v>6393</v>
      </c>
      <c r="E419" s="9" t="s">
        <v>431</v>
      </c>
      <c r="F419" s="9" t="s">
        <v>368</v>
      </c>
      <c r="G419" s="9" t="s">
        <v>436</v>
      </c>
      <c r="H419" s="9" t="s">
        <v>434</v>
      </c>
      <c r="I419" s="87" t="s">
        <v>6264</v>
      </c>
      <c r="J419" s="87" t="s">
        <v>6239</v>
      </c>
      <c r="K419" s="87" t="s">
        <v>6555</v>
      </c>
      <c r="L419" s="87" t="s">
        <v>6240</v>
      </c>
      <c r="M419" s="87" t="s">
        <v>6601</v>
      </c>
      <c r="N419" s="9" t="s">
        <v>7177</v>
      </c>
      <c r="O419" s="87" t="s">
        <v>6555</v>
      </c>
      <c r="P419" s="9" t="s">
        <v>6243</v>
      </c>
      <c r="Q419" s="87" t="s">
        <v>6640</v>
      </c>
      <c r="R419" s="87" t="s">
        <v>6239</v>
      </c>
      <c r="S419" s="87" t="s">
        <v>6254</v>
      </c>
      <c r="T419" s="87" t="s">
        <v>6645</v>
      </c>
    </row>
    <row r="420" spans="1:20" ht="15.75" customHeight="1">
      <c r="A420" s="9" t="s">
        <v>2902</v>
      </c>
      <c r="C420" s="9" t="s">
        <v>6923</v>
      </c>
      <c r="D420" s="87" t="s">
        <v>6461</v>
      </c>
      <c r="E420" s="9" t="s">
        <v>6924</v>
      </c>
      <c r="F420" s="9" t="s">
        <v>6925</v>
      </c>
      <c r="G420" s="9" t="s">
        <v>383</v>
      </c>
      <c r="H420" s="9" t="s">
        <v>427</v>
      </c>
      <c r="I420" s="87" t="s">
        <v>6405</v>
      </c>
      <c r="J420" s="87" t="s">
        <v>6421</v>
      </c>
      <c r="K420" s="87" t="s">
        <v>6939</v>
      </c>
      <c r="L420" s="87" t="s">
        <v>6594</v>
      </c>
      <c r="M420" s="87" t="s">
        <v>6613</v>
      </c>
      <c r="N420" s="9" t="s">
        <v>6981</v>
      </c>
      <c r="O420" s="87" t="s">
        <v>6300</v>
      </c>
      <c r="P420" s="9" t="s">
        <v>6243</v>
      </c>
      <c r="Q420" s="87" t="s">
        <v>3861</v>
      </c>
      <c r="R420" s="87" t="s">
        <v>6421</v>
      </c>
      <c r="S420" s="87" t="s">
        <v>6296</v>
      </c>
      <c r="T420" s="87" t="s">
        <v>6341</v>
      </c>
    </row>
    <row r="421" spans="1:20" ht="15.75" customHeight="1">
      <c r="A421" s="9" t="s">
        <v>2902</v>
      </c>
      <c r="C421" s="9" t="s">
        <v>6923</v>
      </c>
      <c r="D421" s="87" t="s">
        <v>6461</v>
      </c>
      <c r="E421" s="9" t="s">
        <v>6924</v>
      </c>
      <c r="F421" s="9" t="s">
        <v>6925</v>
      </c>
      <c r="G421" s="9" t="s">
        <v>383</v>
      </c>
      <c r="H421" s="9" t="s">
        <v>427</v>
      </c>
      <c r="I421" s="87" t="s">
        <v>6405</v>
      </c>
      <c r="J421" s="87" t="s">
        <v>6421</v>
      </c>
      <c r="K421" s="87" t="s">
        <v>6939</v>
      </c>
      <c r="L421" s="87" t="s">
        <v>6594</v>
      </c>
      <c r="M421" s="87" t="s">
        <v>6616</v>
      </c>
      <c r="N421" s="9" t="s">
        <v>6981</v>
      </c>
      <c r="O421" s="87" t="s">
        <v>6300</v>
      </c>
      <c r="P421" s="9" t="s">
        <v>6243</v>
      </c>
      <c r="Q421" s="87" t="s">
        <v>3861</v>
      </c>
      <c r="R421" s="87" t="s">
        <v>6421</v>
      </c>
      <c r="S421" s="87" t="s">
        <v>6296</v>
      </c>
      <c r="T421" s="87" t="s">
        <v>6341</v>
      </c>
    </row>
    <row r="422" spans="1:20" ht="15.75" customHeight="1">
      <c r="A422" s="9" t="s">
        <v>2902</v>
      </c>
      <c r="C422" s="9" t="s">
        <v>6923</v>
      </c>
      <c r="D422" s="87" t="s">
        <v>6461</v>
      </c>
      <c r="E422" s="9" t="s">
        <v>6924</v>
      </c>
      <c r="F422" s="9" t="s">
        <v>6925</v>
      </c>
      <c r="G422" s="9" t="s">
        <v>383</v>
      </c>
      <c r="H422" s="9" t="s">
        <v>427</v>
      </c>
      <c r="I422" s="87" t="s">
        <v>6405</v>
      </c>
      <c r="J422" s="87" t="s">
        <v>6421</v>
      </c>
      <c r="K422" s="87" t="s">
        <v>6939</v>
      </c>
      <c r="L422" s="87" t="s">
        <v>6594</v>
      </c>
      <c r="M422" s="87" t="s">
        <v>6620</v>
      </c>
      <c r="N422" s="9" t="s">
        <v>6981</v>
      </c>
      <c r="O422" s="87" t="s">
        <v>6300</v>
      </c>
      <c r="P422" s="9" t="s">
        <v>6243</v>
      </c>
      <c r="Q422" s="87" t="s">
        <v>3861</v>
      </c>
      <c r="R422" s="87" t="s">
        <v>6421</v>
      </c>
      <c r="S422" s="87" t="s">
        <v>6296</v>
      </c>
      <c r="T422" s="87" t="s">
        <v>6341</v>
      </c>
    </row>
    <row r="423" spans="1:20" ht="15.75" customHeight="1">
      <c r="A423" s="9" t="s">
        <v>2902</v>
      </c>
      <c r="C423" s="9" t="s">
        <v>6923</v>
      </c>
      <c r="D423" s="87" t="s">
        <v>6461</v>
      </c>
      <c r="E423" s="9" t="s">
        <v>6924</v>
      </c>
      <c r="F423" s="9" t="s">
        <v>6925</v>
      </c>
      <c r="G423" s="9" t="s">
        <v>383</v>
      </c>
      <c r="H423" s="9" t="s">
        <v>427</v>
      </c>
      <c r="I423" s="87" t="s">
        <v>6405</v>
      </c>
      <c r="J423" s="87" t="s">
        <v>6421</v>
      </c>
      <c r="K423" s="87" t="s">
        <v>6939</v>
      </c>
      <c r="L423" s="87" t="s">
        <v>6594</v>
      </c>
      <c r="M423" s="87" t="s">
        <v>6624</v>
      </c>
      <c r="N423" s="9" t="s">
        <v>6981</v>
      </c>
      <c r="O423" s="87" t="s">
        <v>6300</v>
      </c>
      <c r="P423" s="9" t="s">
        <v>6243</v>
      </c>
      <c r="Q423" s="87" t="s">
        <v>3861</v>
      </c>
      <c r="R423" s="87" t="s">
        <v>6421</v>
      </c>
      <c r="S423" s="87" t="s">
        <v>6296</v>
      </c>
      <c r="T423" s="87" t="s">
        <v>6341</v>
      </c>
    </row>
    <row r="424" spans="1:20" ht="15.75" customHeight="1">
      <c r="A424" s="9" t="s">
        <v>2902</v>
      </c>
      <c r="C424" s="9" t="s">
        <v>6923</v>
      </c>
      <c r="D424" s="87" t="s">
        <v>6461</v>
      </c>
      <c r="E424" s="9" t="s">
        <v>6924</v>
      </c>
      <c r="F424" s="9" t="s">
        <v>6925</v>
      </c>
      <c r="G424" s="9" t="s">
        <v>383</v>
      </c>
      <c r="H424" s="9" t="s">
        <v>427</v>
      </c>
      <c r="I424" s="87" t="s">
        <v>6405</v>
      </c>
      <c r="J424" s="87" t="s">
        <v>6421</v>
      </c>
      <c r="K424" s="87" t="s">
        <v>6939</v>
      </c>
      <c r="L424" s="87" t="s">
        <v>6594</v>
      </c>
      <c r="M424" s="87" t="s">
        <v>6628</v>
      </c>
      <c r="N424" s="9" t="s">
        <v>6981</v>
      </c>
      <c r="O424" s="87" t="s">
        <v>6300</v>
      </c>
      <c r="P424" s="9" t="s">
        <v>6243</v>
      </c>
      <c r="Q424" s="87" t="s">
        <v>3861</v>
      </c>
      <c r="R424" s="87" t="s">
        <v>6421</v>
      </c>
      <c r="S424" s="87" t="s">
        <v>6296</v>
      </c>
      <c r="T424" s="87" t="s">
        <v>6341</v>
      </c>
    </row>
    <row r="425" spans="1:20" ht="15.75" customHeight="1">
      <c r="A425" s="9" t="s">
        <v>2902</v>
      </c>
      <c r="C425" s="9" t="s">
        <v>6923</v>
      </c>
      <c r="D425" s="87" t="s">
        <v>6461</v>
      </c>
      <c r="E425" s="9" t="s">
        <v>6924</v>
      </c>
      <c r="F425" s="9" t="s">
        <v>6925</v>
      </c>
      <c r="G425" s="9" t="s">
        <v>383</v>
      </c>
      <c r="H425" s="9" t="s">
        <v>427</v>
      </c>
      <c r="I425" s="87" t="s">
        <v>6405</v>
      </c>
      <c r="J425" s="87" t="s">
        <v>6421</v>
      </c>
      <c r="K425" s="87" t="s">
        <v>6939</v>
      </c>
      <c r="L425" s="87" t="s">
        <v>6594</v>
      </c>
      <c r="M425" s="87" t="s">
        <v>6633</v>
      </c>
      <c r="N425" s="9" t="s">
        <v>6981</v>
      </c>
      <c r="O425" s="87" t="s">
        <v>6300</v>
      </c>
      <c r="P425" s="9" t="s">
        <v>6243</v>
      </c>
      <c r="Q425" s="87" t="s">
        <v>3861</v>
      </c>
      <c r="R425" s="87" t="s">
        <v>6421</v>
      </c>
      <c r="S425" s="87" t="s">
        <v>6296</v>
      </c>
      <c r="T425" s="87" t="s">
        <v>6341</v>
      </c>
    </row>
    <row r="426" spans="1:20" ht="15.75" customHeight="1">
      <c r="A426" s="9" t="s">
        <v>2902</v>
      </c>
      <c r="C426" s="9" t="s">
        <v>6923</v>
      </c>
      <c r="D426" s="87" t="s">
        <v>6461</v>
      </c>
      <c r="E426" s="9" t="s">
        <v>6924</v>
      </c>
      <c r="F426" s="9" t="s">
        <v>6925</v>
      </c>
      <c r="G426" s="9" t="s">
        <v>383</v>
      </c>
      <c r="H426" s="9" t="s">
        <v>427</v>
      </c>
      <c r="I426" s="87" t="s">
        <v>6405</v>
      </c>
      <c r="J426" s="87" t="s">
        <v>6421</v>
      </c>
      <c r="K426" s="87" t="s">
        <v>6939</v>
      </c>
      <c r="L426" s="87" t="s">
        <v>6594</v>
      </c>
      <c r="M426" s="87" t="s">
        <v>6737</v>
      </c>
      <c r="N426" s="9" t="s">
        <v>6981</v>
      </c>
      <c r="O426" s="87" t="s">
        <v>6300</v>
      </c>
      <c r="P426" s="9" t="s">
        <v>6243</v>
      </c>
      <c r="Q426" s="87" t="s">
        <v>3861</v>
      </c>
      <c r="R426" s="87" t="s">
        <v>6421</v>
      </c>
      <c r="S426" s="87" t="s">
        <v>6296</v>
      </c>
      <c r="T426" s="87" t="s">
        <v>6341</v>
      </c>
    </row>
    <row r="427" spans="1:20" ht="15.75" customHeight="1">
      <c r="A427" s="9" t="s">
        <v>2902</v>
      </c>
      <c r="C427" s="9" t="s">
        <v>6923</v>
      </c>
      <c r="D427" s="87" t="s">
        <v>6461</v>
      </c>
      <c r="E427" s="9" t="s">
        <v>6924</v>
      </c>
      <c r="F427" s="9" t="s">
        <v>6925</v>
      </c>
      <c r="G427" s="9" t="s">
        <v>383</v>
      </c>
      <c r="H427" s="9" t="s">
        <v>427</v>
      </c>
      <c r="I427" s="87" t="s">
        <v>6405</v>
      </c>
      <c r="J427" s="87" t="s">
        <v>6421</v>
      </c>
      <c r="K427" s="87" t="s">
        <v>6939</v>
      </c>
      <c r="L427" s="87" t="s">
        <v>6594</v>
      </c>
      <c r="M427" s="87" t="s">
        <v>6730</v>
      </c>
      <c r="N427" s="9" t="s">
        <v>6981</v>
      </c>
      <c r="O427" s="87" t="s">
        <v>6300</v>
      </c>
      <c r="P427" s="9" t="s">
        <v>6243</v>
      </c>
      <c r="Q427" s="87" t="s">
        <v>3861</v>
      </c>
      <c r="R427" s="87" t="s">
        <v>6421</v>
      </c>
      <c r="S427" s="87" t="s">
        <v>6296</v>
      </c>
      <c r="T427" s="87" t="s">
        <v>6341</v>
      </c>
    </row>
    <row r="428" spans="1:20" ht="15.75" customHeight="1">
      <c r="A428" s="9" t="s">
        <v>2926</v>
      </c>
      <c r="C428" s="9" t="s">
        <v>6236</v>
      </c>
      <c r="D428" s="87" t="s">
        <v>6393</v>
      </c>
      <c r="E428" s="9" t="s">
        <v>431</v>
      </c>
      <c r="F428" s="9" t="s">
        <v>368</v>
      </c>
      <c r="G428" s="9" t="s">
        <v>436</v>
      </c>
      <c r="H428" s="9" t="s">
        <v>434</v>
      </c>
      <c r="I428" s="87" t="s">
        <v>6237</v>
      </c>
      <c r="J428" s="87" t="s">
        <v>6255</v>
      </c>
      <c r="K428" s="87" t="s">
        <v>6255</v>
      </c>
      <c r="L428" s="87" t="s">
        <v>6240</v>
      </c>
      <c r="M428" s="87" t="s">
        <v>6692</v>
      </c>
      <c r="N428" s="9" t="s">
        <v>7145</v>
      </c>
      <c r="O428" s="87" t="s">
        <v>6255</v>
      </c>
      <c r="P428" s="9" t="s">
        <v>6243</v>
      </c>
      <c r="Q428" s="87" t="s">
        <v>4947</v>
      </c>
      <c r="R428" s="87" t="s">
        <v>6255</v>
      </c>
      <c r="S428" s="87" t="s">
        <v>6300</v>
      </c>
      <c r="T428" s="87" t="s">
        <v>6645</v>
      </c>
    </row>
    <row r="429" spans="1:20" ht="15.75" customHeight="1">
      <c r="A429" s="9" t="s">
        <v>2926</v>
      </c>
      <c r="C429" s="9" t="s">
        <v>6671</v>
      </c>
      <c r="D429" s="87" t="s">
        <v>6296</v>
      </c>
      <c r="E429" s="9" t="s">
        <v>6672</v>
      </c>
      <c r="F429" s="9" t="s">
        <v>439</v>
      </c>
      <c r="G429" s="9" t="s">
        <v>436</v>
      </c>
      <c r="H429" s="9" t="s">
        <v>440</v>
      </c>
      <c r="I429" s="87" t="s">
        <v>6405</v>
      </c>
      <c r="J429" s="87" t="s">
        <v>6245</v>
      </c>
      <c r="K429" s="87" t="s">
        <v>6245</v>
      </c>
      <c r="L429" s="87" t="s">
        <v>6240</v>
      </c>
      <c r="M429" s="87" t="s">
        <v>6691</v>
      </c>
      <c r="N429" s="9" t="s">
        <v>7000</v>
      </c>
      <c r="O429" s="87" t="s">
        <v>6245</v>
      </c>
      <c r="P429" s="9" t="s">
        <v>6243</v>
      </c>
      <c r="Q429" s="87" t="s">
        <v>6238</v>
      </c>
      <c r="R429" s="87" t="s">
        <v>6245</v>
      </c>
      <c r="S429" s="87" t="s">
        <v>6500</v>
      </c>
      <c r="T429" s="87" t="s">
        <v>6645</v>
      </c>
    </row>
    <row r="430" spans="1:20" ht="15.75" customHeight="1">
      <c r="A430" s="9" t="s">
        <v>2926</v>
      </c>
      <c r="C430" s="9" t="s">
        <v>6923</v>
      </c>
      <c r="D430" s="87" t="s">
        <v>6327</v>
      </c>
      <c r="E430" s="9" t="s">
        <v>6924</v>
      </c>
      <c r="F430" s="9" t="s">
        <v>6925</v>
      </c>
      <c r="G430" s="9" t="s">
        <v>383</v>
      </c>
      <c r="H430" s="9" t="s">
        <v>444</v>
      </c>
      <c r="I430" s="87" t="s">
        <v>6405</v>
      </c>
      <c r="J430" s="87" t="s">
        <v>6405</v>
      </c>
      <c r="K430" s="87" t="s">
        <v>6926</v>
      </c>
      <c r="L430" s="87" t="s">
        <v>5381</v>
      </c>
      <c r="M430" s="87" t="s">
        <v>6657</v>
      </c>
      <c r="N430" s="9" t="s">
        <v>7076</v>
      </c>
      <c r="O430" s="87" t="s">
        <v>6348</v>
      </c>
      <c r="P430" s="9" t="s">
        <v>6243</v>
      </c>
      <c r="Q430" s="87" t="s">
        <v>5381</v>
      </c>
      <c r="R430" s="87" t="s">
        <v>6405</v>
      </c>
      <c r="S430" s="87" t="s">
        <v>6409</v>
      </c>
      <c r="T430" s="87" t="s">
        <v>6326</v>
      </c>
    </row>
    <row r="431" spans="1:20" ht="15.75" customHeight="1">
      <c r="A431" s="9" t="s">
        <v>2920</v>
      </c>
      <c r="C431" s="9" t="s">
        <v>6236</v>
      </c>
      <c r="D431" s="87" t="s">
        <v>6393</v>
      </c>
      <c r="E431" s="9" t="s">
        <v>431</v>
      </c>
      <c r="F431" s="9" t="s">
        <v>368</v>
      </c>
      <c r="G431" s="9" t="s">
        <v>436</v>
      </c>
      <c r="H431" s="9" t="s">
        <v>434</v>
      </c>
      <c r="I431" s="87" t="s">
        <v>6237</v>
      </c>
      <c r="J431" s="87" t="s">
        <v>6299</v>
      </c>
      <c r="K431" s="87" t="s">
        <v>6299</v>
      </c>
      <c r="L431" s="87" t="s">
        <v>6240</v>
      </c>
      <c r="M431" s="87" t="s">
        <v>6568</v>
      </c>
      <c r="N431" s="9" t="s">
        <v>7178</v>
      </c>
      <c r="O431" s="87" t="s">
        <v>6299</v>
      </c>
      <c r="P431" s="9" t="s">
        <v>6243</v>
      </c>
      <c r="Q431" s="87" t="s">
        <v>3231</v>
      </c>
      <c r="R431" s="87" t="s">
        <v>6299</v>
      </c>
      <c r="S431" s="87" t="s">
        <v>6293</v>
      </c>
      <c r="T431" s="87" t="s">
        <v>6256</v>
      </c>
    </row>
    <row r="432" spans="1:20" ht="15.75" customHeight="1">
      <c r="A432" s="9" t="s">
        <v>2920</v>
      </c>
      <c r="C432" s="9" t="s">
        <v>6671</v>
      </c>
      <c r="D432" s="87" t="s">
        <v>6296</v>
      </c>
      <c r="E432" s="9" t="s">
        <v>6672</v>
      </c>
      <c r="F432" s="9" t="s">
        <v>439</v>
      </c>
      <c r="G432" s="9" t="s">
        <v>436</v>
      </c>
      <c r="H432" s="9" t="s">
        <v>440</v>
      </c>
      <c r="I432" s="87" t="s">
        <v>6405</v>
      </c>
      <c r="J432" s="87" t="s">
        <v>6250</v>
      </c>
      <c r="K432" s="87" t="s">
        <v>6250</v>
      </c>
      <c r="L432" s="87" t="s">
        <v>6240</v>
      </c>
      <c r="M432" s="87" t="s">
        <v>6581</v>
      </c>
      <c r="N432" s="9" t="s">
        <v>7179</v>
      </c>
      <c r="O432" s="87" t="s">
        <v>6250</v>
      </c>
      <c r="P432" s="9" t="s">
        <v>6243</v>
      </c>
      <c r="Q432" s="87" t="s">
        <v>6320</v>
      </c>
      <c r="R432" s="87" t="s">
        <v>6250</v>
      </c>
      <c r="S432" s="87" t="s">
        <v>6313</v>
      </c>
      <c r="T432" s="87" t="s">
        <v>6440</v>
      </c>
    </row>
    <row r="433" spans="1:20" ht="15.75" customHeight="1">
      <c r="A433" s="9" t="s">
        <v>2920</v>
      </c>
      <c r="C433" s="9" t="s">
        <v>6923</v>
      </c>
      <c r="D433" s="87" t="s">
        <v>6264</v>
      </c>
      <c r="E433" s="9" t="s">
        <v>6924</v>
      </c>
      <c r="F433" s="9" t="s">
        <v>6925</v>
      </c>
      <c r="G433" s="9" t="s">
        <v>383</v>
      </c>
      <c r="H433" s="9" t="s">
        <v>449</v>
      </c>
      <c r="I433" s="87" t="s">
        <v>6405</v>
      </c>
      <c r="J433" s="87" t="s">
        <v>6405</v>
      </c>
      <c r="K433" s="87" t="s">
        <v>6926</v>
      </c>
      <c r="L433" s="87" t="s">
        <v>4947</v>
      </c>
      <c r="M433" s="87" t="s">
        <v>6582</v>
      </c>
      <c r="N433" s="9" t="s">
        <v>7180</v>
      </c>
      <c r="O433" s="87" t="s">
        <v>6255</v>
      </c>
      <c r="P433" s="9" t="s">
        <v>6243</v>
      </c>
      <c r="Q433" s="87" t="s">
        <v>4947</v>
      </c>
      <c r="R433" s="87" t="s">
        <v>6405</v>
      </c>
      <c r="S433" s="87" t="s">
        <v>6360</v>
      </c>
      <c r="T433" s="87" t="s">
        <v>6341</v>
      </c>
    </row>
    <row r="434" spans="1:20" ht="15.75" customHeight="1">
      <c r="A434" s="9" t="s">
        <v>3025</v>
      </c>
      <c r="C434" s="9" t="s">
        <v>6236</v>
      </c>
      <c r="D434" s="87" t="s">
        <v>6393</v>
      </c>
      <c r="E434" s="9" t="s">
        <v>431</v>
      </c>
      <c r="F434" s="9" t="s">
        <v>368</v>
      </c>
      <c r="G434" s="9" t="s">
        <v>436</v>
      </c>
      <c r="H434" s="9" t="s">
        <v>434</v>
      </c>
      <c r="I434" s="87" t="s">
        <v>6237</v>
      </c>
      <c r="J434" s="87" t="s">
        <v>6484</v>
      </c>
      <c r="K434" s="87" t="s">
        <v>6484</v>
      </c>
      <c r="L434" s="87" t="s">
        <v>6240</v>
      </c>
      <c r="M434" s="87" t="s">
        <v>6628</v>
      </c>
      <c r="N434" s="9" t="s">
        <v>7181</v>
      </c>
      <c r="O434" s="87" t="s">
        <v>6484</v>
      </c>
      <c r="P434" s="9" t="s">
        <v>6243</v>
      </c>
      <c r="Q434" s="87" t="s">
        <v>6375</v>
      </c>
      <c r="R434" s="87" t="s">
        <v>6484</v>
      </c>
      <c r="S434" s="87" t="s">
        <v>6250</v>
      </c>
      <c r="T434" s="87" t="s">
        <v>6443</v>
      </c>
    </row>
    <row r="435" spans="1:20" ht="15.75" customHeight="1">
      <c r="A435" s="9" t="s">
        <v>3025</v>
      </c>
      <c r="C435" s="9" t="s">
        <v>6671</v>
      </c>
      <c r="D435" s="87" t="s">
        <v>6296</v>
      </c>
      <c r="E435" s="9" t="s">
        <v>6672</v>
      </c>
      <c r="F435" s="9" t="s">
        <v>439</v>
      </c>
      <c r="G435" s="9" t="s">
        <v>436</v>
      </c>
      <c r="H435" s="9" t="s">
        <v>440</v>
      </c>
      <c r="I435" s="87" t="s">
        <v>6405</v>
      </c>
      <c r="J435" s="87" t="s">
        <v>6250</v>
      </c>
      <c r="K435" s="87" t="s">
        <v>6250</v>
      </c>
      <c r="L435" s="87" t="s">
        <v>6240</v>
      </c>
      <c r="M435" s="87" t="s">
        <v>6633</v>
      </c>
      <c r="N435" s="9" t="s">
        <v>7182</v>
      </c>
      <c r="O435" s="87" t="s">
        <v>6250</v>
      </c>
      <c r="P435" s="9" t="s">
        <v>6243</v>
      </c>
      <c r="Q435" s="87" t="s">
        <v>6320</v>
      </c>
      <c r="R435" s="87" t="s">
        <v>6250</v>
      </c>
      <c r="S435" s="87" t="s">
        <v>6361</v>
      </c>
      <c r="T435" s="87" t="s">
        <v>6645</v>
      </c>
    </row>
    <row r="436" spans="1:20" ht="15.75" customHeight="1">
      <c r="A436" s="9" t="s">
        <v>3025</v>
      </c>
      <c r="C436" s="9" t="s">
        <v>6923</v>
      </c>
      <c r="D436" s="87" t="s">
        <v>6327</v>
      </c>
      <c r="E436" s="9" t="s">
        <v>6924</v>
      </c>
      <c r="F436" s="9" t="s">
        <v>6925</v>
      </c>
      <c r="G436" s="9" t="s">
        <v>383</v>
      </c>
      <c r="H436" s="9" t="s">
        <v>444</v>
      </c>
      <c r="I436" s="87" t="s">
        <v>6405</v>
      </c>
      <c r="J436" s="87" t="s">
        <v>6405</v>
      </c>
      <c r="K436" s="87" t="s">
        <v>6926</v>
      </c>
      <c r="L436" s="87" t="s">
        <v>6366</v>
      </c>
      <c r="M436" s="87" t="s">
        <v>6737</v>
      </c>
      <c r="N436" s="9" t="s">
        <v>7183</v>
      </c>
      <c r="O436" s="87" t="s">
        <v>6346</v>
      </c>
      <c r="P436" s="9" t="s">
        <v>6243</v>
      </c>
      <c r="Q436" s="87" t="s">
        <v>6366</v>
      </c>
      <c r="R436" s="87" t="s">
        <v>6405</v>
      </c>
      <c r="S436" s="87" t="s">
        <v>6430</v>
      </c>
      <c r="T436" s="87" t="s">
        <v>6341</v>
      </c>
    </row>
    <row r="437" spans="1:20" ht="15.75" customHeight="1">
      <c r="A437" s="9" t="s">
        <v>2934</v>
      </c>
      <c r="C437" s="9" t="s">
        <v>6236</v>
      </c>
      <c r="D437" s="87" t="s">
        <v>6393</v>
      </c>
      <c r="E437" s="9" t="s">
        <v>431</v>
      </c>
      <c r="F437" s="9" t="s">
        <v>368</v>
      </c>
      <c r="G437" s="9" t="s">
        <v>436</v>
      </c>
      <c r="H437" s="9" t="s">
        <v>434</v>
      </c>
      <c r="I437" s="87" t="s">
        <v>6237</v>
      </c>
      <c r="J437" s="87" t="s">
        <v>6305</v>
      </c>
      <c r="K437" s="87" t="s">
        <v>6273</v>
      </c>
      <c r="L437" s="87" t="s">
        <v>6240</v>
      </c>
      <c r="M437" s="87" t="s">
        <v>6628</v>
      </c>
      <c r="N437" s="9" t="s">
        <v>7184</v>
      </c>
      <c r="O437" s="87" t="s">
        <v>6273</v>
      </c>
      <c r="P437" s="9" t="s">
        <v>6243</v>
      </c>
      <c r="Q437" s="87" t="s">
        <v>6276</v>
      </c>
      <c r="R437" s="87" t="s">
        <v>6305</v>
      </c>
      <c r="S437" s="87" t="s">
        <v>6327</v>
      </c>
      <c r="T437" s="87" t="s">
        <v>6409</v>
      </c>
    </row>
    <row r="438" spans="1:20" ht="15.75" customHeight="1">
      <c r="A438" s="9" t="s">
        <v>2934</v>
      </c>
      <c r="C438" s="9" t="s">
        <v>6236</v>
      </c>
      <c r="D438" s="87" t="s">
        <v>6393</v>
      </c>
      <c r="E438" s="9" t="s">
        <v>431</v>
      </c>
      <c r="F438" s="9" t="s">
        <v>368</v>
      </c>
      <c r="G438" s="9" t="s">
        <v>436</v>
      </c>
      <c r="H438" s="9" t="s">
        <v>434</v>
      </c>
      <c r="I438" s="87" t="s">
        <v>6237</v>
      </c>
      <c r="J438" s="87" t="s">
        <v>6305</v>
      </c>
      <c r="K438" s="87" t="s">
        <v>6326</v>
      </c>
      <c r="L438" s="87" t="s">
        <v>6240</v>
      </c>
      <c r="M438" s="87" t="s">
        <v>6633</v>
      </c>
      <c r="N438" s="9" t="s">
        <v>6936</v>
      </c>
      <c r="O438" s="87" t="s">
        <v>6326</v>
      </c>
      <c r="P438" s="9" t="s">
        <v>6243</v>
      </c>
      <c r="Q438" s="87" t="s">
        <v>6355</v>
      </c>
      <c r="R438" s="87" t="s">
        <v>6305</v>
      </c>
      <c r="S438" s="87" t="s">
        <v>6294</v>
      </c>
      <c r="T438" s="87" t="s">
        <v>6645</v>
      </c>
    </row>
    <row r="439" spans="1:20" ht="15.75" customHeight="1">
      <c r="A439" s="9" t="s">
        <v>2934</v>
      </c>
      <c r="C439" s="9" t="s">
        <v>6671</v>
      </c>
      <c r="D439" s="87" t="s">
        <v>6296</v>
      </c>
      <c r="E439" s="9" t="s">
        <v>6672</v>
      </c>
      <c r="F439" s="9" t="s">
        <v>439</v>
      </c>
      <c r="G439" s="9" t="s">
        <v>436</v>
      </c>
      <c r="H439" s="9" t="s">
        <v>440</v>
      </c>
      <c r="I439" s="87" t="s">
        <v>6405</v>
      </c>
      <c r="J439" s="87" t="s">
        <v>6357</v>
      </c>
      <c r="K439" s="87" t="s">
        <v>6357</v>
      </c>
      <c r="L439" s="87" t="s">
        <v>6240</v>
      </c>
      <c r="M439" s="87" t="s">
        <v>6737</v>
      </c>
      <c r="N439" s="9" t="s">
        <v>7027</v>
      </c>
      <c r="O439" s="87" t="s">
        <v>6357</v>
      </c>
      <c r="P439" s="9" t="s">
        <v>6243</v>
      </c>
      <c r="Q439" s="87" t="s">
        <v>6565</v>
      </c>
      <c r="R439" s="87" t="s">
        <v>6357</v>
      </c>
      <c r="S439" s="87" t="s">
        <v>6329</v>
      </c>
      <c r="T439" s="87" t="s">
        <v>6645</v>
      </c>
    </row>
    <row r="440" spans="1:20" ht="15.75" customHeight="1">
      <c r="A440" s="9" t="s">
        <v>2934</v>
      </c>
      <c r="C440" s="9" t="s">
        <v>6923</v>
      </c>
      <c r="D440" s="87" t="s">
        <v>6327</v>
      </c>
      <c r="E440" s="9" t="s">
        <v>6924</v>
      </c>
      <c r="F440" s="9" t="s">
        <v>6925</v>
      </c>
      <c r="G440" s="9" t="s">
        <v>383</v>
      </c>
      <c r="H440" s="9" t="s">
        <v>444</v>
      </c>
      <c r="I440" s="87" t="s">
        <v>6405</v>
      </c>
      <c r="J440" s="87" t="s">
        <v>6264</v>
      </c>
      <c r="K440" s="87" t="s">
        <v>6931</v>
      </c>
      <c r="L440" s="87" t="s">
        <v>6270</v>
      </c>
      <c r="M440" s="87" t="s">
        <v>6730</v>
      </c>
      <c r="N440" s="9" t="s">
        <v>6981</v>
      </c>
      <c r="O440" s="87" t="s">
        <v>6300</v>
      </c>
      <c r="P440" s="9" t="s">
        <v>6243</v>
      </c>
      <c r="Q440" s="87" t="s">
        <v>3861</v>
      </c>
      <c r="R440" s="87" t="s">
        <v>6264</v>
      </c>
      <c r="S440" s="87" t="s">
        <v>6296</v>
      </c>
      <c r="T440" s="87" t="s">
        <v>6341</v>
      </c>
    </row>
    <row r="441" spans="1:20" ht="15.75" customHeight="1">
      <c r="A441" s="9" t="s">
        <v>2846</v>
      </c>
      <c r="C441" s="9" t="s">
        <v>6236</v>
      </c>
      <c r="D441" s="87" t="s">
        <v>6393</v>
      </c>
      <c r="E441" s="9" t="s">
        <v>431</v>
      </c>
      <c r="F441" s="9" t="s">
        <v>368</v>
      </c>
      <c r="G441" s="9" t="s">
        <v>436</v>
      </c>
      <c r="H441" s="9" t="s">
        <v>434</v>
      </c>
      <c r="I441" s="87" t="s">
        <v>6264</v>
      </c>
      <c r="J441" s="87" t="s">
        <v>6299</v>
      </c>
      <c r="K441" s="87" t="s">
        <v>6299</v>
      </c>
      <c r="L441" s="87" t="s">
        <v>6240</v>
      </c>
      <c r="M441" s="87" t="s">
        <v>6730</v>
      </c>
      <c r="N441" s="9" t="s">
        <v>7185</v>
      </c>
      <c r="O441" s="87" t="s">
        <v>6299</v>
      </c>
      <c r="P441" s="9" t="s">
        <v>6243</v>
      </c>
      <c r="Q441" s="87" t="s">
        <v>3231</v>
      </c>
      <c r="R441" s="87" t="s">
        <v>6299</v>
      </c>
      <c r="S441" s="87" t="s">
        <v>6414</v>
      </c>
      <c r="T441" s="87" t="s">
        <v>6400</v>
      </c>
    </row>
    <row r="442" spans="1:20" ht="15.75" customHeight="1">
      <c r="A442" s="9" t="s">
        <v>2846</v>
      </c>
      <c r="C442" s="9" t="s">
        <v>6671</v>
      </c>
      <c r="D442" s="87" t="s">
        <v>6296</v>
      </c>
      <c r="E442" s="9" t="s">
        <v>6672</v>
      </c>
      <c r="F442" s="9" t="s">
        <v>439</v>
      </c>
      <c r="G442" s="9" t="s">
        <v>436</v>
      </c>
      <c r="H442" s="9" t="s">
        <v>440</v>
      </c>
      <c r="I442" s="87" t="s">
        <v>6405</v>
      </c>
      <c r="J442" s="87" t="s">
        <v>6346</v>
      </c>
      <c r="K442" s="87" t="s">
        <v>4953</v>
      </c>
      <c r="L442" s="87" t="s">
        <v>6240</v>
      </c>
      <c r="M442" s="87" t="s">
        <v>6634</v>
      </c>
      <c r="N442" s="9" t="s">
        <v>7186</v>
      </c>
      <c r="O442" s="87" t="s">
        <v>4953</v>
      </c>
      <c r="P442" s="9" t="s">
        <v>6243</v>
      </c>
      <c r="Q442" s="87" t="s">
        <v>6306</v>
      </c>
      <c r="R442" s="87" t="s">
        <v>6346</v>
      </c>
      <c r="S442" s="87" t="s">
        <v>6327</v>
      </c>
      <c r="T442" s="87" t="s">
        <v>6259</v>
      </c>
    </row>
    <row r="443" spans="1:20" ht="15.75" customHeight="1">
      <c r="A443" s="9" t="s">
        <v>2846</v>
      </c>
      <c r="C443" s="9" t="s">
        <v>6671</v>
      </c>
      <c r="D443" s="87" t="s">
        <v>6296</v>
      </c>
      <c r="E443" s="9" t="s">
        <v>6672</v>
      </c>
      <c r="F443" s="9" t="s">
        <v>439</v>
      </c>
      <c r="G443" s="9" t="s">
        <v>436</v>
      </c>
      <c r="H443" s="9" t="s">
        <v>440</v>
      </c>
      <c r="I443" s="87" t="s">
        <v>6405</v>
      </c>
      <c r="J443" s="87" t="s">
        <v>6346</v>
      </c>
      <c r="K443" s="87" t="s">
        <v>6296</v>
      </c>
      <c r="L443" s="87" t="s">
        <v>6240</v>
      </c>
      <c r="M443" s="87" t="s">
        <v>6721</v>
      </c>
      <c r="N443" s="9" t="s">
        <v>7042</v>
      </c>
      <c r="O443" s="87" t="s">
        <v>6296</v>
      </c>
      <c r="P443" s="9" t="s">
        <v>6243</v>
      </c>
      <c r="Q443" s="87" t="s">
        <v>6287</v>
      </c>
      <c r="R443" s="87" t="s">
        <v>6346</v>
      </c>
      <c r="S443" s="87" t="s">
        <v>6287</v>
      </c>
      <c r="T443" s="87" t="s">
        <v>6645</v>
      </c>
    </row>
    <row r="444" spans="1:20" ht="15.75" customHeight="1">
      <c r="A444" s="9" t="s">
        <v>2846</v>
      </c>
      <c r="C444" s="9" t="s">
        <v>6923</v>
      </c>
      <c r="D444" s="87" t="s">
        <v>6264</v>
      </c>
      <c r="E444" s="9" t="s">
        <v>6924</v>
      </c>
      <c r="F444" s="9" t="s">
        <v>6925</v>
      </c>
      <c r="G444" s="9" t="s">
        <v>383</v>
      </c>
      <c r="H444" s="9" t="s">
        <v>449</v>
      </c>
      <c r="I444" s="87" t="s">
        <v>6405</v>
      </c>
      <c r="J444" s="87" t="s">
        <v>6405</v>
      </c>
      <c r="K444" s="87" t="s">
        <v>6926</v>
      </c>
      <c r="L444" s="87" t="s">
        <v>6306</v>
      </c>
      <c r="M444" s="87" t="s">
        <v>6718</v>
      </c>
      <c r="N444" s="9" t="s">
        <v>6959</v>
      </c>
      <c r="O444" s="87" t="s">
        <v>4953</v>
      </c>
      <c r="P444" s="9" t="s">
        <v>6243</v>
      </c>
      <c r="Q444" s="87" t="s">
        <v>6306</v>
      </c>
      <c r="R444" s="87" t="s">
        <v>6405</v>
      </c>
      <c r="S444" s="87" t="s">
        <v>6543</v>
      </c>
      <c r="T444" s="87" t="s">
        <v>6341</v>
      </c>
    </row>
    <row r="445" spans="1:20" ht="15.75" customHeight="1">
      <c r="A445" s="9" t="s">
        <v>3014</v>
      </c>
      <c r="C445" s="9" t="s">
        <v>6236</v>
      </c>
      <c r="D445" s="87" t="s">
        <v>6393</v>
      </c>
      <c r="E445" s="9" t="s">
        <v>431</v>
      </c>
      <c r="F445" s="9" t="s">
        <v>368</v>
      </c>
      <c r="G445" s="9" t="s">
        <v>436</v>
      </c>
      <c r="H445" s="9" t="s">
        <v>434</v>
      </c>
      <c r="I445" s="87" t="s">
        <v>6237</v>
      </c>
      <c r="J445" s="87" t="s">
        <v>6238</v>
      </c>
      <c r="K445" s="87" t="s">
        <v>6348</v>
      </c>
      <c r="L445" s="87" t="s">
        <v>6240</v>
      </c>
      <c r="M445" s="87" t="s">
        <v>6633</v>
      </c>
      <c r="N445" s="9" t="s">
        <v>7109</v>
      </c>
      <c r="O445" s="87" t="s">
        <v>6348</v>
      </c>
      <c r="P445" s="9" t="s">
        <v>6243</v>
      </c>
      <c r="Q445" s="87" t="s">
        <v>5381</v>
      </c>
      <c r="R445" s="87" t="s">
        <v>6238</v>
      </c>
      <c r="S445" s="87" t="s">
        <v>6327</v>
      </c>
      <c r="T445" s="87" t="s">
        <v>6397</v>
      </c>
    </row>
    <row r="446" spans="1:20" ht="15.75" customHeight="1">
      <c r="A446" s="9" t="s">
        <v>3014</v>
      </c>
      <c r="C446" s="9" t="s">
        <v>6236</v>
      </c>
      <c r="D446" s="87" t="s">
        <v>6393</v>
      </c>
      <c r="E446" s="9" t="s">
        <v>431</v>
      </c>
      <c r="F446" s="9" t="s">
        <v>368</v>
      </c>
      <c r="G446" s="9" t="s">
        <v>436</v>
      </c>
      <c r="H446" s="9" t="s">
        <v>434</v>
      </c>
      <c r="I446" s="87" t="s">
        <v>6237</v>
      </c>
      <c r="J446" s="87" t="s">
        <v>6238</v>
      </c>
      <c r="K446" s="87" t="s">
        <v>6239</v>
      </c>
      <c r="L446" s="87" t="s">
        <v>6240</v>
      </c>
      <c r="M446" s="87" t="s">
        <v>6737</v>
      </c>
      <c r="N446" s="9" t="s">
        <v>6928</v>
      </c>
      <c r="O446" s="87" t="s">
        <v>6239</v>
      </c>
      <c r="P446" s="9" t="s">
        <v>6243</v>
      </c>
      <c r="Q446" s="87" t="s">
        <v>3764</v>
      </c>
      <c r="R446" s="87" t="s">
        <v>6238</v>
      </c>
      <c r="S446" s="87" t="s">
        <v>6327</v>
      </c>
      <c r="T446" s="87" t="s">
        <v>6645</v>
      </c>
    </row>
    <row r="447" spans="1:20" ht="15.75" customHeight="1">
      <c r="A447" s="9" t="s">
        <v>3014</v>
      </c>
      <c r="C447" s="9" t="s">
        <v>6236</v>
      </c>
      <c r="D447" s="87" t="s">
        <v>6393</v>
      </c>
      <c r="E447" s="9" t="s">
        <v>431</v>
      </c>
      <c r="F447" s="9" t="s">
        <v>368</v>
      </c>
      <c r="G447" s="9" t="s">
        <v>436</v>
      </c>
      <c r="H447" s="9" t="s">
        <v>434</v>
      </c>
      <c r="I447" s="87" t="s">
        <v>6237</v>
      </c>
      <c r="J447" s="87" t="s">
        <v>6238</v>
      </c>
      <c r="K447" s="87" t="s">
        <v>6290</v>
      </c>
      <c r="L447" s="87" t="s">
        <v>6240</v>
      </c>
      <c r="M447" s="87" t="s">
        <v>6730</v>
      </c>
      <c r="N447" s="9" t="s">
        <v>6964</v>
      </c>
      <c r="O447" s="87" t="s">
        <v>6290</v>
      </c>
      <c r="P447" s="9" t="s">
        <v>6243</v>
      </c>
      <c r="Q447" s="87" t="s">
        <v>6293</v>
      </c>
      <c r="R447" s="87" t="s">
        <v>6238</v>
      </c>
      <c r="S447" s="87" t="s">
        <v>6525</v>
      </c>
      <c r="T447" s="87" t="s">
        <v>6645</v>
      </c>
    </row>
    <row r="448" spans="1:20" ht="15.75" customHeight="1">
      <c r="A448" s="9" t="s">
        <v>3014</v>
      </c>
      <c r="C448" s="9" t="s">
        <v>6671</v>
      </c>
      <c r="D448" s="87" t="s">
        <v>6296</v>
      </c>
      <c r="E448" s="9" t="s">
        <v>6672</v>
      </c>
      <c r="F448" s="9" t="s">
        <v>439</v>
      </c>
      <c r="G448" s="9" t="s">
        <v>436</v>
      </c>
      <c r="H448" s="9" t="s">
        <v>440</v>
      </c>
      <c r="I448" s="87" t="s">
        <v>6405</v>
      </c>
      <c r="J448" s="87" t="s">
        <v>6357</v>
      </c>
      <c r="K448" s="87" t="s">
        <v>6357</v>
      </c>
      <c r="L448" s="87" t="s">
        <v>6240</v>
      </c>
      <c r="M448" s="87" t="s">
        <v>6634</v>
      </c>
      <c r="N448" s="9" t="s">
        <v>7027</v>
      </c>
      <c r="O448" s="87" t="s">
        <v>6357</v>
      </c>
      <c r="P448" s="9" t="s">
        <v>6243</v>
      </c>
      <c r="Q448" s="87" t="s">
        <v>6565</v>
      </c>
      <c r="R448" s="87" t="s">
        <v>6357</v>
      </c>
      <c r="S448" s="87" t="s">
        <v>6329</v>
      </c>
      <c r="T448" s="87" t="s">
        <v>6645</v>
      </c>
    </row>
    <row r="449" spans="1:20" ht="15.75" customHeight="1">
      <c r="A449" s="9" t="s">
        <v>3014</v>
      </c>
      <c r="C449" s="9" t="s">
        <v>6923</v>
      </c>
      <c r="D449" s="87" t="s">
        <v>6327</v>
      </c>
      <c r="E449" s="9" t="s">
        <v>6924</v>
      </c>
      <c r="F449" s="9" t="s">
        <v>6925</v>
      </c>
      <c r="G449" s="9" t="s">
        <v>383</v>
      </c>
      <c r="H449" s="9" t="s">
        <v>444</v>
      </c>
      <c r="I449" s="87" t="s">
        <v>6405</v>
      </c>
      <c r="J449" s="87" t="s">
        <v>6405</v>
      </c>
      <c r="K449" s="87" t="s">
        <v>6926</v>
      </c>
      <c r="L449" s="87" t="s">
        <v>6416</v>
      </c>
      <c r="M449" s="87" t="s">
        <v>6721</v>
      </c>
      <c r="N449" s="9" t="s">
        <v>7187</v>
      </c>
      <c r="O449" s="87" t="s">
        <v>6414</v>
      </c>
      <c r="P449" s="9" t="s">
        <v>6243</v>
      </c>
      <c r="Q449" s="87" t="s">
        <v>6416</v>
      </c>
      <c r="R449" s="87" t="s">
        <v>6405</v>
      </c>
      <c r="S449" s="87" t="s">
        <v>6314</v>
      </c>
      <c r="T449" s="87" t="s">
        <v>6341</v>
      </c>
    </row>
    <row r="450" spans="1:20" ht="15.75" customHeight="1">
      <c r="A450" s="9" t="s">
        <v>2847</v>
      </c>
      <c r="C450" s="9" t="s">
        <v>6236</v>
      </c>
      <c r="D450" s="87" t="s">
        <v>6393</v>
      </c>
      <c r="E450" s="9" t="s">
        <v>431</v>
      </c>
      <c r="F450" s="9" t="s">
        <v>368</v>
      </c>
      <c r="G450" s="9" t="s">
        <v>436</v>
      </c>
      <c r="H450" s="9" t="s">
        <v>434</v>
      </c>
      <c r="I450" s="87" t="s">
        <v>6334</v>
      </c>
      <c r="J450" s="87" t="s">
        <v>6580</v>
      </c>
      <c r="K450" s="87" t="s">
        <v>6401</v>
      </c>
      <c r="L450" s="87" t="s">
        <v>6240</v>
      </c>
      <c r="M450" s="87" t="s">
        <v>6590</v>
      </c>
      <c r="N450" s="9" t="s">
        <v>7188</v>
      </c>
      <c r="O450" s="87" t="s">
        <v>6401</v>
      </c>
      <c r="P450" s="9" t="s">
        <v>6243</v>
      </c>
      <c r="Q450" s="87" t="s">
        <v>6403</v>
      </c>
      <c r="R450" s="87" t="s">
        <v>6580</v>
      </c>
      <c r="S450" s="87" t="s">
        <v>6327</v>
      </c>
      <c r="T450" s="87" t="s">
        <v>6619</v>
      </c>
    </row>
    <row r="451" spans="1:20" ht="15.75" customHeight="1">
      <c r="A451" s="9" t="s">
        <v>2847</v>
      </c>
      <c r="C451" s="9" t="s">
        <v>6236</v>
      </c>
      <c r="D451" s="87" t="s">
        <v>6393</v>
      </c>
      <c r="E451" s="9" t="s">
        <v>431</v>
      </c>
      <c r="F451" s="9" t="s">
        <v>368</v>
      </c>
      <c r="G451" s="9" t="s">
        <v>436</v>
      </c>
      <c r="H451" s="9" t="s">
        <v>434</v>
      </c>
      <c r="I451" s="87" t="s">
        <v>6334</v>
      </c>
      <c r="J451" s="87" t="s">
        <v>6580</v>
      </c>
      <c r="K451" s="87" t="s">
        <v>6239</v>
      </c>
      <c r="L451" s="87" t="s">
        <v>6240</v>
      </c>
      <c r="M451" s="87" t="s">
        <v>6591</v>
      </c>
      <c r="N451" s="9" t="s">
        <v>6928</v>
      </c>
      <c r="O451" s="87" t="s">
        <v>6239</v>
      </c>
      <c r="P451" s="9" t="s">
        <v>6243</v>
      </c>
      <c r="Q451" s="87" t="s">
        <v>3764</v>
      </c>
      <c r="R451" s="87" t="s">
        <v>6580</v>
      </c>
      <c r="S451" s="87" t="s">
        <v>6327</v>
      </c>
      <c r="T451" s="87" t="s">
        <v>6645</v>
      </c>
    </row>
    <row r="452" spans="1:20" ht="15.75" customHeight="1">
      <c r="A452" s="9" t="s">
        <v>2847</v>
      </c>
      <c r="C452" s="9" t="s">
        <v>6236</v>
      </c>
      <c r="D452" s="87" t="s">
        <v>6393</v>
      </c>
      <c r="E452" s="9" t="s">
        <v>431</v>
      </c>
      <c r="F452" s="9" t="s">
        <v>368</v>
      </c>
      <c r="G452" s="9" t="s">
        <v>436</v>
      </c>
      <c r="H452" s="9" t="s">
        <v>434</v>
      </c>
      <c r="I452" s="87" t="s">
        <v>6334</v>
      </c>
      <c r="J452" s="87" t="s">
        <v>6580</v>
      </c>
      <c r="K452" s="87" t="s">
        <v>6239</v>
      </c>
      <c r="L452" s="87" t="s">
        <v>6240</v>
      </c>
      <c r="M452" s="87" t="s">
        <v>6592</v>
      </c>
      <c r="N452" s="9" t="s">
        <v>6928</v>
      </c>
      <c r="O452" s="87" t="s">
        <v>6239</v>
      </c>
      <c r="P452" s="9" t="s">
        <v>6243</v>
      </c>
      <c r="Q452" s="87" t="s">
        <v>3764</v>
      </c>
      <c r="R452" s="87" t="s">
        <v>6580</v>
      </c>
      <c r="S452" s="87" t="s">
        <v>6327</v>
      </c>
      <c r="T452" s="87" t="s">
        <v>6645</v>
      </c>
    </row>
    <row r="453" spans="1:20" ht="15.75" customHeight="1">
      <c r="A453" s="9" t="s">
        <v>2847</v>
      </c>
      <c r="C453" s="9" t="s">
        <v>6236</v>
      </c>
      <c r="D453" s="87" t="s">
        <v>6393</v>
      </c>
      <c r="E453" s="9" t="s">
        <v>431</v>
      </c>
      <c r="F453" s="9" t="s">
        <v>368</v>
      </c>
      <c r="G453" s="9" t="s">
        <v>436</v>
      </c>
      <c r="H453" s="9" t="s">
        <v>434</v>
      </c>
      <c r="I453" s="87" t="s">
        <v>6334</v>
      </c>
      <c r="J453" s="87" t="s">
        <v>6580</v>
      </c>
      <c r="K453" s="87" t="s">
        <v>6555</v>
      </c>
      <c r="L453" s="87" t="s">
        <v>6240</v>
      </c>
      <c r="M453" s="87" t="s">
        <v>6597</v>
      </c>
      <c r="N453" s="9" t="s">
        <v>7177</v>
      </c>
      <c r="O453" s="87" t="s">
        <v>6555</v>
      </c>
      <c r="P453" s="9" t="s">
        <v>6243</v>
      </c>
      <c r="Q453" s="87" t="s">
        <v>6640</v>
      </c>
      <c r="R453" s="87" t="s">
        <v>6580</v>
      </c>
      <c r="S453" s="87" t="s">
        <v>6254</v>
      </c>
      <c r="T453" s="87" t="s">
        <v>6645</v>
      </c>
    </row>
    <row r="454" spans="1:20" ht="15.75" customHeight="1">
      <c r="A454" s="9" t="s">
        <v>2847</v>
      </c>
      <c r="C454" s="9" t="s">
        <v>6671</v>
      </c>
      <c r="D454" s="87" t="s">
        <v>6296</v>
      </c>
      <c r="E454" s="9" t="s">
        <v>6672</v>
      </c>
      <c r="F454" s="9" t="s">
        <v>439</v>
      </c>
      <c r="G454" s="9" t="s">
        <v>436</v>
      </c>
      <c r="H454" s="9" t="s">
        <v>440</v>
      </c>
      <c r="I454" s="87" t="s">
        <v>6405</v>
      </c>
      <c r="J454" s="87" t="s">
        <v>6567</v>
      </c>
      <c r="K454" s="87" t="s">
        <v>6239</v>
      </c>
      <c r="L454" s="87" t="s">
        <v>6240</v>
      </c>
      <c r="M454" s="87" t="s">
        <v>6601</v>
      </c>
      <c r="N454" s="9" t="s">
        <v>6928</v>
      </c>
      <c r="O454" s="87" t="s">
        <v>6239</v>
      </c>
      <c r="P454" s="9" t="s">
        <v>6243</v>
      </c>
      <c r="Q454" s="87" t="s">
        <v>3764</v>
      </c>
      <c r="R454" s="87" t="s">
        <v>6567</v>
      </c>
      <c r="S454" s="87" t="s">
        <v>6327</v>
      </c>
      <c r="T454" s="87" t="s">
        <v>6645</v>
      </c>
    </row>
    <row r="455" spans="1:20" ht="15.75" customHeight="1">
      <c r="A455" s="9" t="s">
        <v>2847</v>
      </c>
      <c r="C455" s="9" t="s">
        <v>6671</v>
      </c>
      <c r="D455" s="87" t="s">
        <v>6296</v>
      </c>
      <c r="E455" s="9" t="s">
        <v>6672</v>
      </c>
      <c r="F455" s="9" t="s">
        <v>439</v>
      </c>
      <c r="G455" s="9" t="s">
        <v>436</v>
      </c>
      <c r="H455" s="9" t="s">
        <v>440</v>
      </c>
      <c r="I455" s="87" t="s">
        <v>6405</v>
      </c>
      <c r="J455" s="87" t="s">
        <v>6567</v>
      </c>
      <c r="K455" s="87" t="s">
        <v>6346</v>
      </c>
      <c r="L455" s="87" t="s">
        <v>6240</v>
      </c>
      <c r="M455" s="87" t="s">
        <v>6613</v>
      </c>
      <c r="N455" s="9" t="s">
        <v>6972</v>
      </c>
      <c r="O455" s="87" t="s">
        <v>6346</v>
      </c>
      <c r="P455" s="9" t="s">
        <v>6243</v>
      </c>
      <c r="Q455" s="87" t="s">
        <v>6366</v>
      </c>
      <c r="R455" s="87" t="s">
        <v>6567</v>
      </c>
      <c r="S455" s="87" t="s">
        <v>5381</v>
      </c>
      <c r="T455" s="87" t="s">
        <v>6645</v>
      </c>
    </row>
    <row r="456" spans="1:20" ht="15.75" customHeight="1">
      <c r="A456" s="9" t="s">
        <v>2847</v>
      </c>
      <c r="C456" s="9" t="s">
        <v>6923</v>
      </c>
      <c r="D456" s="87" t="s">
        <v>6264</v>
      </c>
      <c r="E456" s="9" t="s">
        <v>6924</v>
      </c>
      <c r="F456" s="9" t="s">
        <v>6925</v>
      </c>
      <c r="G456" s="9" t="s">
        <v>383</v>
      </c>
      <c r="H456" s="9" t="s">
        <v>449</v>
      </c>
      <c r="I456" s="87" t="s">
        <v>6405</v>
      </c>
      <c r="J456" s="87" t="s">
        <v>6264</v>
      </c>
      <c r="K456" s="87" t="s">
        <v>6931</v>
      </c>
      <c r="L456" s="87" t="s">
        <v>4947</v>
      </c>
      <c r="M456" s="87" t="s">
        <v>6616</v>
      </c>
      <c r="N456" s="9" t="s">
        <v>7024</v>
      </c>
      <c r="O456" s="87" t="s">
        <v>6287</v>
      </c>
      <c r="P456" s="9" t="s">
        <v>6243</v>
      </c>
      <c r="Q456" s="87" t="s">
        <v>3734</v>
      </c>
      <c r="R456" s="87" t="s">
        <v>6264</v>
      </c>
      <c r="S456" s="87" t="s">
        <v>6461</v>
      </c>
      <c r="T456" s="87" t="s">
        <v>6341</v>
      </c>
    </row>
    <row r="457" spans="1:20" ht="15.75" customHeight="1">
      <c r="A457" s="9" t="s">
        <v>2922</v>
      </c>
      <c r="C457" s="9" t="s">
        <v>6236</v>
      </c>
      <c r="D457" s="87" t="s">
        <v>6393</v>
      </c>
      <c r="E457" s="9" t="s">
        <v>431</v>
      </c>
      <c r="F457" s="9" t="s">
        <v>368</v>
      </c>
      <c r="G457" s="9" t="s">
        <v>436</v>
      </c>
      <c r="H457" s="9" t="s">
        <v>434</v>
      </c>
      <c r="I457" s="87" t="s">
        <v>6237</v>
      </c>
      <c r="J457" s="87" t="s">
        <v>6323</v>
      </c>
      <c r="K457" s="87" t="s">
        <v>6323</v>
      </c>
      <c r="L457" s="87" t="s">
        <v>6240</v>
      </c>
      <c r="M457" s="87" t="s">
        <v>6647</v>
      </c>
      <c r="N457" s="9" t="s">
        <v>7189</v>
      </c>
      <c r="O457" s="87" t="s">
        <v>6323</v>
      </c>
      <c r="P457" s="9" t="s">
        <v>6243</v>
      </c>
      <c r="Q457" s="87" t="s">
        <v>5374</v>
      </c>
      <c r="R457" s="87" t="s">
        <v>6323</v>
      </c>
      <c r="S457" s="87" t="s">
        <v>6382</v>
      </c>
      <c r="T457" s="87" t="s">
        <v>6424</v>
      </c>
    </row>
    <row r="458" spans="1:20" ht="15.75" customHeight="1">
      <c r="A458" s="9" t="s">
        <v>2922</v>
      </c>
      <c r="C458" s="9" t="s">
        <v>6671</v>
      </c>
      <c r="D458" s="87" t="s">
        <v>6296</v>
      </c>
      <c r="E458" s="9" t="s">
        <v>6672</v>
      </c>
      <c r="F458" s="9" t="s">
        <v>439</v>
      </c>
      <c r="G458" s="9" t="s">
        <v>436</v>
      </c>
      <c r="H458" s="9" t="s">
        <v>440</v>
      </c>
      <c r="I458" s="87" t="s">
        <v>6405</v>
      </c>
      <c r="J458" s="87" t="s">
        <v>6245</v>
      </c>
      <c r="K458" s="87" t="s">
        <v>6245</v>
      </c>
      <c r="L458" s="87" t="s">
        <v>6240</v>
      </c>
      <c r="M458" s="87" t="s">
        <v>6648</v>
      </c>
      <c r="N458" s="9" t="s">
        <v>7000</v>
      </c>
      <c r="O458" s="87" t="s">
        <v>6245</v>
      </c>
      <c r="P458" s="9" t="s">
        <v>6547</v>
      </c>
      <c r="Q458" s="87" t="s">
        <v>6238</v>
      </c>
      <c r="R458" s="87" t="s">
        <v>6245</v>
      </c>
      <c r="S458" s="87" t="s">
        <v>6500</v>
      </c>
      <c r="T458" s="87" t="s">
        <v>6645</v>
      </c>
    </row>
    <row r="459" spans="1:20" ht="15.75" customHeight="1">
      <c r="A459" s="9" t="s">
        <v>2922</v>
      </c>
      <c r="C459" s="9" t="s">
        <v>6923</v>
      </c>
      <c r="D459" s="87" t="s">
        <v>6264</v>
      </c>
      <c r="E459" s="9" t="s">
        <v>6924</v>
      </c>
      <c r="F459" s="9" t="s">
        <v>6925</v>
      </c>
      <c r="G459" s="9" t="s">
        <v>383</v>
      </c>
      <c r="H459" s="9" t="s">
        <v>449</v>
      </c>
      <c r="I459" s="87" t="s">
        <v>6405</v>
      </c>
      <c r="J459" s="87" t="s">
        <v>6405</v>
      </c>
      <c r="K459" s="87" t="s">
        <v>6926</v>
      </c>
      <c r="L459" s="87" t="s">
        <v>6238</v>
      </c>
      <c r="M459" s="87" t="s">
        <v>6649</v>
      </c>
      <c r="N459" s="9" t="s">
        <v>7001</v>
      </c>
      <c r="O459" s="87" t="s">
        <v>6245</v>
      </c>
      <c r="P459" s="9" t="s">
        <v>6547</v>
      </c>
      <c r="Q459" s="87" t="s">
        <v>6238</v>
      </c>
      <c r="R459" s="87" t="s">
        <v>6405</v>
      </c>
      <c r="S459" s="87" t="s">
        <v>6263</v>
      </c>
      <c r="T459" s="87" t="s">
        <v>6341</v>
      </c>
    </row>
    <row r="460" spans="1:20" ht="15.75" customHeight="1">
      <c r="A460" s="9" t="s">
        <v>2840</v>
      </c>
      <c r="C460" s="9" t="s">
        <v>6236</v>
      </c>
      <c r="D460" s="87" t="s">
        <v>6393</v>
      </c>
      <c r="E460" s="9" t="s">
        <v>431</v>
      </c>
      <c r="F460" s="9" t="s">
        <v>368</v>
      </c>
      <c r="G460" s="9" t="s">
        <v>436</v>
      </c>
      <c r="H460" s="9" t="s">
        <v>434</v>
      </c>
      <c r="I460" s="87" t="s">
        <v>6264</v>
      </c>
      <c r="J460" s="87" t="s">
        <v>6313</v>
      </c>
      <c r="K460" s="87" t="s">
        <v>6313</v>
      </c>
      <c r="L460" s="87" t="s">
        <v>6240</v>
      </c>
      <c r="M460" s="87" t="s">
        <v>6633</v>
      </c>
      <c r="N460" s="9" t="s">
        <v>7190</v>
      </c>
      <c r="O460" s="87" t="s">
        <v>6313</v>
      </c>
      <c r="P460" s="9" t="s">
        <v>6243</v>
      </c>
      <c r="Q460" s="87" t="s">
        <v>6357</v>
      </c>
      <c r="R460" s="87" t="s">
        <v>6313</v>
      </c>
      <c r="S460" s="87" t="s">
        <v>6268</v>
      </c>
      <c r="T460" s="87" t="s">
        <v>6299</v>
      </c>
    </row>
    <row r="461" spans="1:20" ht="15.75" customHeight="1">
      <c r="A461" s="9" t="s">
        <v>2840</v>
      </c>
      <c r="C461" s="9" t="s">
        <v>6923</v>
      </c>
      <c r="D461" s="87" t="s">
        <v>6264</v>
      </c>
      <c r="E461" s="9" t="s">
        <v>6924</v>
      </c>
      <c r="F461" s="9" t="s">
        <v>6925</v>
      </c>
      <c r="G461" s="9" t="s">
        <v>383</v>
      </c>
      <c r="H461" s="9" t="s">
        <v>449</v>
      </c>
      <c r="I461" s="87" t="s">
        <v>6405</v>
      </c>
      <c r="J461" s="87" t="s">
        <v>6405</v>
      </c>
      <c r="K461" s="87" t="s">
        <v>6926</v>
      </c>
      <c r="L461" s="87" t="s">
        <v>4947</v>
      </c>
      <c r="M461" s="87" t="s">
        <v>6737</v>
      </c>
      <c r="N461" s="9" t="s">
        <v>7191</v>
      </c>
      <c r="O461" s="87" t="s">
        <v>6255</v>
      </c>
      <c r="P461" s="9" t="s">
        <v>6243</v>
      </c>
      <c r="Q461" s="87" t="s">
        <v>4947</v>
      </c>
      <c r="R461" s="87" t="s">
        <v>6405</v>
      </c>
      <c r="S461" s="87" t="s">
        <v>6570</v>
      </c>
      <c r="T461" s="87" t="s">
        <v>6404</v>
      </c>
    </row>
    <row r="462" spans="1:20" ht="15.75" customHeight="1">
      <c r="A462" s="9" t="s">
        <v>2876</v>
      </c>
      <c r="C462" s="9" t="s">
        <v>6236</v>
      </c>
      <c r="D462" s="87" t="s">
        <v>6393</v>
      </c>
      <c r="E462" s="9" t="s">
        <v>431</v>
      </c>
      <c r="F462" s="9" t="s">
        <v>368</v>
      </c>
      <c r="G462" s="9" t="s">
        <v>436</v>
      </c>
      <c r="H462" s="9" t="s">
        <v>434</v>
      </c>
      <c r="I462" s="87" t="s">
        <v>6237</v>
      </c>
      <c r="J462" s="87" t="s">
        <v>6316</v>
      </c>
      <c r="K462" s="87" t="s">
        <v>6240</v>
      </c>
      <c r="L462" s="87" t="s">
        <v>6240</v>
      </c>
      <c r="M462" s="87" t="s">
        <v>6730</v>
      </c>
      <c r="N462" s="9" t="s">
        <v>7192</v>
      </c>
      <c r="O462" s="87" t="s">
        <v>6240</v>
      </c>
      <c r="P462" s="9" t="s">
        <v>6243</v>
      </c>
      <c r="Q462" s="87" t="s">
        <v>6397</v>
      </c>
      <c r="R462" s="87" t="s">
        <v>6316</v>
      </c>
      <c r="S462" s="87" t="s">
        <v>6327</v>
      </c>
      <c r="T462" s="87" t="s">
        <v>6421</v>
      </c>
    </row>
    <row r="463" spans="1:20" ht="15.75" customHeight="1">
      <c r="A463" s="9" t="s">
        <v>2876</v>
      </c>
      <c r="C463" s="9" t="s">
        <v>6236</v>
      </c>
      <c r="D463" s="87" t="s">
        <v>6393</v>
      </c>
      <c r="E463" s="9" t="s">
        <v>431</v>
      </c>
      <c r="F463" s="9" t="s">
        <v>368</v>
      </c>
      <c r="G463" s="9" t="s">
        <v>436</v>
      </c>
      <c r="H463" s="9" t="s">
        <v>434</v>
      </c>
      <c r="I463" s="87" t="s">
        <v>6237</v>
      </c>
      <c r="J463" s="87" t="s">
        <v>6316</v>
      </c>
      <c r="K463" s="87" t="s">
        <v>6357</v>
      </c>
      <c r="L463" s="87" t="s">
        <v>6240</v>
      </c>
      <c r="M463" s="87" t="s">
        <v>6634</v>
      </c>
      <c r="N463" s="9" t="s">
        <v>7027</v>
      </c>
      <c r="O463" s="87" t="s">
        <v>6357</v>
      </c>
      <c r="P463" s="9" t="s">
        <v>6243</v>
      </c>
      <c r="Q463" s="87" t="s">
        <v>6565</v>
      </c>
      <c r="R463" s="87" t="s">
        <v>6316</v>
      </c>
      <c r="S463" s="87" t="s">
        <v>6329</v>
      </c>
      <c r="T463" s="87" t="s">
        <v>6645</v>
      </c>
    </row>
    <row r="464" spans="1:20" ht="15.75" customHeight="1">
      <c r="A464" s="9" t="s">
        <v>2876</v>
      </c>
      <c r="C464" s="9" t="s">
        <v>6671</v>
      </c>
      <c r="D464" s="87" t="s">
        <v>6296</v>
      </c>
      <c r="E464" s="9" t="s">
        <v>6672</v>
      </c>
      <c r="F464" s="9" t="s">
        <v>439</v>
      </c>
      <c r="G464" s="9" t="s">
        <v>436</v>
      </c>
      <c r="H464" s="9" t="s">
        <v>440</v>
      </c>
      <c r="I464" s="87" t="s">
        <v>6405</v>
      </c>
      <c r="J464" s="87" t="s">
        <v>6479</v>
      </c>
      <c r="K464" s="87" t="s">
        <v>6300</v>
      </c>
      <c r="L464" s="87" t="s">
        <v>6240</v>
      </c>
      <c r="M464" s="87" t="s">
        <v>6721</v>
      </c>
      <c r="N464" s="9" t="s">
        <v>7193</v>
      </c>
      <c r="O464" s="87" t="s">
        <v>6300</v>
      </c>
      <c r="P464" s="9" t="s">
        <v>6243</v>
      </c>
      <c r="Q464" s="87" t="s">
        <v>3861</v>
      </c>
      <c r="R464" s="87" t="s">
        <v>6479</v>
      </c>
      <c r="S464" s="87" t="s">
        <v>6327</v>
      </c>
      <c r="T464" s="87" t="s">
        <v>6256</v>
      </c>
    </row>
    <row r="465" spans="1:20" ht="15.75" customHeight="1">
      <c r="A465" s="9" t="s">
        <v>2876</v>
      </c>
      <c r="C465" s="9" t="s">
        <v>6671</v>
      </c>
      <c r="D465" s="87" t="s">
        <v>6296</v>
      </c>
      <c r="E465" s="9" t="s">
        <v>6672</v>
      </c>
      <c r="F465" s="9" t="s">
        <v>439</v>
      </c>
      <c r="G465" s="9" t="s">
        <v>436</v>
      </c>
      <c r="H465" s="9" t="s">
        <v>440</v>
      </c>
      <c r="I465" s="87" t="s">
        <v>6405</v>
      </c>
      <c r="J465" s="87" t="s">
        <v>6479</v>
      </c>
      <c r="K465" s="87" t="s">
        <v>6297</v>
      </c>
      <c r="L465" s="87" t="s">
        <v>6240</v>
      </c>
      <c r="M465" s="87" t="s">
        <v>6718</v>
      </c>
      <c r="N465" s="9" t="s">
        <v>6980</v>
      </c>
      <c r="O465" s="87" t="s">
        <v>6297</v>
      </c>
      <c r="P465" s="9" t="s">
        <v>6243</v>
      </c>
      <c r="Q465" s="87" t="s">
        <v>6299</v>
      </c>
      <c r="R465" s="87" t="s">
        <v>6479</v>
      </c>
      <c r="S465" s="87" t="s">
        <v>6306</v>
      </c>
      <c r="T465" s="87" t="s">
        <v>6645</v>
      </c>
    </row>
    <row r="466" spans="1:20" ht="15.75" customHeight="1">
      <c r="A466" s="9" t="s">
        <v>2876</v>
      </c>
      <c r="C466" s="9" t="s">
        <v>6923</v>
      </c>
      <c r="D466" s="87" t="s">
        <v>6327</v>
      </c>
      <c r="E466" s="9" t="s">
        <v>6924</v>
      </c>
      <c r="F466" s="9" t="s">
        <v>6925</v>
      </c>
      <c r="G466" s="9" t="s">
        <v>383</v>
      </c>
      <c r="H466" s="9" t="s">
        <v>444</v>
      </c>
      <c r="I466" s="87" t="s">
        <v>6405</v>
      </c>
      <c r="J466" s="87" t="s">
        <v>6405</v>
      </c>
      <c r="K466" s="87" t="s">
        <v>6926</v>
      </c>
      <c r="L466" s="87" t="s">
        <v>6474</v>
      </c>
      <c r="M466" s="87" t="s">
        <v>6635</v>
      </c>
      <c r="N466" s="9" t="s">
        <v>7194</v>
      </c>
      <c r="O466" s="87" t="s">
        <v>6528</v>
      </c>
      <c r="P466" s="9" t="s">
        <v>6243</v>
      </c>
      <c r="Q466" s="87" t="s">
        <v>6474</v>
      </c>
      <c r="R466" s="87" t="s">
        <v>6405</v>
      </c>
      <c r="S466" s="87" t="s">
        <v>6357</v>
      </c>
      <c r="T466" s="87" t="s">
        <v>6341</v>
      </c>
    </row>
    <row r="467" spans="1:20" ht="15.75" customHeight="1">
      <c r="A467" s="9" t="s">
        <v>2912</v>
      </c>
      <c r="C467" s="9" t="s">
        <v>6236</v>
      </c>
      <c r="D467" s="87" t="s">
        <v>6393</v>
      </c>
      <c r="E467" s="9" t="s">
        <v>431</v>
      </c>
      <c r="F467" s="9" t="s">
        <v>368</v>
      </c>
      <c r="G467" s="9" t="s">
        <v>436</v>
      </c>
      <c r="H467" s="9" t="s">
        <v>434</v>
      </c>
      <c r="I467" s="87" t="s">
        <v>6237</v>
      </c>
      <c r="J467" s="87" t="s">
        <v>6346</v>
      </c>
      <c r="K467" s="87" t="s">
        <v>6346</v>
      </c>
      <c r="L467" s="87" t="s">
        <v>6240</v>
      </c>
      <c r="M467" s="87" t="s">
        <v>6730</v>
      </c>
      <c r="N467" s="9" t="s">
        <v>7195</v>
      </c>
      <c r="O467" s="87" t="s">
        <v>6346</v>
      </c>
      <c r="P467" s="9" t="s">
        <v>6243</v>
      </c>
      <c r="Q467" s="87" t="s">
        <v>6366</v>
      </c>
      <c r="R467" s="87" t="s">
        <v>6346</v>
      </c>
      <c r="S467" s="87" t="s">
        <v>6392</v>
      </c>
      <c r="T467" s="87" t="s">
        <v>6733</v>
      </c>
    </row>
    <row r="468" spans="1:20" ht="15.75" customHeight="1">
      <c r="A468" s="9" t="s">
        <v>2912</v>
      </c>
      <c r="C468" s="9" t="s">
        <v>6923</v>
      </c>
      <c r="D468" s="87" t="s">
        <v>6327</v>
      </c>
      <c r="E468" s="9" t="s">
        <v>6924</v>
      </c>
      <c r="F468" s="9" t="s">
        <v>6925</v>
      </c>
      <c r="G468" s="9" t="s">
        <v>383</v>
      </c>
      <c r="H468" s="9" t="s">
        <v>444</v>
      </c>
      <c r="I468" s="87" t="s">
        <v>6405</v>
      </c>
      <c r="J468" s="87" t="s">
        <v>6405</v>
      </c>
      <c r="K468" s="87" t="s">
        <v>6926</v>
      </c>
      <c r="L468" s="87" t="s">
        <v>6474</v>
      </c>
      <c r="M468" s="87" t="s">
        <v>6634</v>
      </c>
      <c r="N468" s="9" t="s">
        <v>7194</v>
      </c>
      <c r="O468" s="87" t="s">
        <v>6528</v>
      </c>
      <c r="P468" s="9" t="s">
        <v>6243</v>
      </c>
      <c r="Q468" s="87" t="s">
        <v>6474</v>
      </c>
      <c r="R468" s="87" t="s">
        <v>6405</v>
      </c>
      <c r="S468" s="87" t="s">
        <v>6357</v>
      </c>
      <c r="T468" s="87" t="s">
        <v>6341</v>
      </c>
    </row>
    <row r="469" spans="1:20" ht="15.75" customHeight="1">
      <c r="A469" s="9" t="s">
        <v>2989</v>
      </c>
      <c r="C469" s="9" t="s">
        <v>6236</v>
      </c>
      <c r="D469" s="87" t="s">
        <v>6393</v>
      </c>
      <c r="E469" s="9" t="s">
        <v>431</v>
      </c>
      <c r="F469" s="9" t="s">
        <v>368</v>
      </c>
      <c r="G469" s="9" t="s">
        <v>436</v>
      </c>
      <c r="H469" s="9" t="s">
        <v>434</v>
      </c>
      <c r="I469" s="87" t="s">
        <v>6264</v>
      </c>
      <c r="J469" s="87" t="s">
        <v>6437</v>
      </c>
      <c r="K469" s="87" t="s">
        <v>6327</v>
      </c>
      <c r="L469" s="87" t="s">
        <v>6240</v>
      </c>
      <c r="M469" s="87" t="s">
        <v>6649</v>
      </c>
      <c r="N469" s="9" t="s">
        <v>7196</v>
      </c>
      <c r="O469" s="87" t="s">
        <v>6327</v>
      </c>
      <c r="P469" s="9" t="s">
        <v>6243</v>
      </c>
      <c r="Q469" s="87" t="s">
        <v>6392</v>
      </c>
      <c r="R469" s="87" t="s">
        <v>6437</v>
      </c>
      <c r="S469" s="87" t="s">
        <v>6327</v>
      </c>
      <c r="T469" s="87" t="s">
        <v>6411</v>
      </c>
    </row>
    <row r="470" spans="1:20" ht="15.75" customHeight="1">
      <c r="A470" s="9" t="s">
        <v>2989</v>
      </c>
      <c r="C470" s="9" t="s">
        <v>6236</v>
      </c>
      <c r="D470" s="87" t="s">
        <v>6393</v>
      </c>
      <c r="E470" s="9" t="s">
        <v>431</v>
      </c>
      <c r="F470" s="9" t="s">
        <v>368</v>
      </c>
      <c r="G470" s="9" t="s">
        <v>436</v>
      </c>
      <c r="H470" s="9" t="s">
        <v>434</v>
      </c>
      <c r="I470" s="87" t="s">
        <v>6264</v>
      </c>
      <c r="J470" s="87" t="s">
        <v>6437</v>
      </c>
      <c r="K470" s="87" t="s">
        <v>6239</v>
      </c>
      <c r="L470" s="87" t="s">
        <v>6240</v>
      </c>
      <c r="M470" s="87" t="s">
        <v>6650</v>
      </c>
      <c r="N470" s="9" t="s">
        <v>6928</v>
      </c>
      <c r="O470" s="87" t="s">
        <v>6239</v>
      </c>
      <c r="P470" s="9" t="s">
        <v>6243</v>
      </c>
      <c r="Q470" s="87" t="s">
        <v>3764</v>
      </c>
      <c r="R470" s="87" t="s">
        <v>6437</v>
      </c>
      <c r="S470" s="87" t="s">
        <v>6327</v>
      </c>
      <c r="T470" s="87" t="s">
        <v>6645</v>
      </c>
    </row>
    <row r="471" spans="1:20" ht="15.75" customHeight="1">
      <c r="A471" s="9" t="s">
        <v>2989</v>
      </c>
      <c r="C471" s="9" t="s">
        <v>6236</v>
      </c>
      <c r="D471" s="87" t="s">
        <v>6393</v>
      </c>
      <c r="E471" s="9" t="s">
        <v>431</v>
      </c>
      <c r="F471" s="9" t="s">
        <v>368</v>
      </c>
      <c r="G471" s="9" t="s">
        <v>436</v>
      </c>
      <c r="H471" s="9" t="s">
        <v>434</v>
      </c>
      <c r="I471" s="87" t="s">
        <v>6264</v>
      </c>
      <c r="J471" s="87" t="s">
        <v>6437</v>
      </c>
      <c r="K471" s="87" t="s">
        <v>6405</v>
      </c>
      <c r="L471" s="87" t="s">
        <v>6240</v>
      </c>
      <c r="M471" s="87" t="s">
        <v>6700</v>
      </c>
      <c r="N471" s="9" t="s">
        <v>7036</v>
      </c>
      <c r="O471" s="87" t="s">
        <v>6405</v>
      </c>
      <c r="P471" s="9" t="s">
        <v>6243</v>
      </c>
      <c r="Q471" s="87" t="s">
        <v>6240</v>
      </c>
      <c r="R471" s="87" t="s">
        <v>6437</v>
      </c>
      <c r="S471" s="87" t="s">
        <v>6645</v>
      </c>
      <c r="T471" s="87" t="s">
        <v>6645</v>
      </c>
    </row>
    <row r="472" spans="1:20" ht="15.75" customHeight="1">
      <c r="A472" s="9" t="s">
        <v>2989</v>
      </c>
      <c r="C472" s="9" t="s">
        <v>6923</v>
      </c>
      <c r="D472" s="87" t="s">
        <v>6461</v>
      </c>
      <c r="E472" s="9" t="s">
        <v>6924</v>
      </c>
      <c r="F472" s="9" t="s">
        <v>6925</v>
      </c>
      <c r="G472" s="9" t="s">
        <v>383</v>
      </c>
      <c r="H472" s="9" t="s">
        <v>427</v>
      </c>
      <c r="I472" s="87" t="s">
        <v>6405</v>
      </c>
      <c r="J472" s="87" t="s">
        <v>6237</v>
      </c>
      <c r="K472" s="87" t="s">
        <v>6926</v>
      </c>
      <c r="L472" s="87" t="s">
        <v>3231</v>
      </c>
      <c r="M472" s="87" t="s">
        <v>6694</v>
      </c>
      <c r="N472" s="9" t="s">
        <v>7197</v>
      </c>
      <c r="O472" s="87" t="s">
        <v>6299</v>
      </c>
      <c r="P472" s="9" t="s">
        <v>6243</v>
      </c>
      <c r="Q472" s="87" t="s">
        <v>3231</v>
      </c>
      <c r="R472" s="87" t="s">
        <v>6237</v>
      </c>
      <c r="S472" s="87" t="s">
        <v>6245</v>
      </c>
      <c r="T472" s="87" t="s">
        <v>6401</v>
      </c>
    </row>
    <row r="473" spans="1:20" ht="15.75" customHeight="1">
      <c r="A473" s="9" t="s">
        <v>2989</v>
      </c>
      <c r="C473" s="9" t="s">
        <v>6923</v>
      </c>
      <c r="D473" s="87" t="s">
        <v>6461</v>
      </c>
      <c r="E473" s="9" t="s">
        <v>6924</v>
      </c>
      <c r="F473" s="9" t="s">
        <v>6925</v>
      </c>
      <c r="G473" s="9" t="s">
        <v>383</v>
      </c>
      <c r="H473" s="9" t="s">
        <v>427</v>
      </c>
      <c r="I473" s="87" t="s">
        <v>6405</v>
      </c>
      <c r="J473" s="87" t="s">
        <v>6237</v>
      </c>
      <c r="K473" s="87" t="s">
        <v>6939</v>
      </c>
      <c r="L473" s="87" t="s">
        <v>3231</v>
      </c>
      <c r="M473" s="87" t="s">
        <v>7063</v>
      </c>
      <c r="N473" s="9" t="s">
        <v>7198</v>
      </c>
      <c r="O473" s="87" t="s">
        <v>6316</v>
      </c>
      <c r="P473" s="9" t="s">
        <v>6243</v>
      </c>
      <c r="Q473" s="87" t="s">
        <v>3240</v>
      </c>
      <c r="R473" s="87" t="s">
        <v>6237</v>
      </c>
      <c r="S473" s="87" t="s">
        <v>6421</v>
      </c>
      <c r="T473" s="87" t="s">
        <v>6341</v>
      </c>
    </row>
    <row r="474" spans="1:20" ht="15.75" customHeight="1">
      <c r="A474" s="9" t="s">
        <v>2989</v>
      </c>
      <c r="C474" s="9" t="s">
        <v>6923</v>
      </c>
      <c r="D474" s="87" t="s">
        <v>6461</v>
      </c>
      <c r="E474" s="9" t="s">
        <v>6924</v>
      </c>
      <c r="F474" s="9" t="s">
        <v>6925</v>
      </c>
      <c r="G474" s="9" t="s">
        <v>383</v>
      </c>
      <c r="H474" s="9" t="s">
        <v>427</v>
      </c>
      <c r="I474" s="87" t="s">
        <v>6405</v>
      </c>
      <c r="J474" s="87" t="s">
        <v>6237</v>
      </c>
      <c r="K474" s="87" t="s">
        <v>6926</v>
      </c>
      <c r="L474" s="87" t="s">
        <v>3231</v>
      </c>
      <c r="M474" s="87" t="s">
        <v>6692</v>
      </c>
      <c r="N474" s="9" t="s">
        <v>7121</v>
      </c>
      <c r="O474" s="87" t="s">
        <v>6299</v>
      </c>
      <c r="P474" s="9" t="s">
        <v>6243</v>
      </c>
      <c r="Q474" s="87" t="s">
        <v>3231</v>
      </c>
      <c r="R474" s="87" t="s">
        <v>6237</v>
      </c>
      <c r="S474" s="87" t="s">
        <v>6400</v>
      </c>
      <c r="T474" s="87" t="s">
        <v>6341</v>
      </c>
    </row>
    <row r="475" spans="1:20" ht="15.75" customHeight="1">
      <c r="A475" s="9" t="s">
        <v>3008</v>
      </c>
      <c r="C475" s="9" t="s">
        <v>6236</v>
      </c>
      <c r="D475" s="87" t="s">
        <v>6393</v>
      </c>
      <c r="E475" s="9" t="s">
        <v>431</v>
      </c>
      <c r="F475" s="9" t="s">
        <v>368</v>
      </c>
      <c r="G475" s="9" t="s">
        <v>436</v>
      </c>
      <c r="H475" s="9" t="s">
        <v>434</v>
      </c>
      <c r="I475" s="87" t="s">
        <v>6237</v>
      </c>
      <c r="J475" s="87" t="s">
        <v>6300</v>
      </c>
      <c r="K475" s="87" t="s">
        <v>6528</v>
      </c>
      <c r="L475" s="87" t="s">
        <v>6240</v>
      </c>
      <c r="M475" s="87" t="s">
        <v>6634</v>
      </c>
      <c r="N475" s="9" t="s">
        <v>7112</v>
      </c>
      <c r="O475" s="87" t="s">
        <v>6528</v>
      </c>
      <c r="P475" s="9" t="s">
        <v>6243</v>
      </c>
      <c r="Q475" s="87" t="s">
        <v>6474</v>
      </c>
      <c r="R475" s="87" t="s">
        <v>6300</v>
      </c>
      <c r="S475" s="87" t="s">
        <v>6327</v>
      </c>
      <c r="T475" s="87" t="s">
        <v>6295</v>
      </c>
    </row>
    <row r="476" spans="1:20" ht="15.75" customHeight="1">
      <c r="A476" s="9" t="s">
        <v>3008</v>
      </c>
      <c r="C476" s="9" t="s">
        <v>6236</v>
      </c>
      <c r="D476" s="87" t="s">
        <v>6393</v>
      </c>
      <c r="E476" s="9" t="s">
        <v>431</v>
      </c>
      <c r="F476" s="9" t="s">
        <v>368</v>
      </c>
      <c r="G476" s="9" t="s">
        <v>436</v>
      </c>
      <c r="H476" s="9" t="s">
        <v>434</v>
      </c>
      <c r="I476" s="87" t="s">
        <v>6237</v>
      </c>
      <c r="J476" s="87" t="s">
        <v>6300</v>
      </c>
      <c r="K476" s="87" t="s">
        <v>6404</v>
      </c>
      <c r="L476" s="87" t="s">
        <v>6240</v>
      </c>
      <c r="M476" s="87" t="s">
        <v>6721</v>
      </c>
      <c r="N476" s="9" t="s">
        <v>7199</v>
      </c>
      <c r="O476" s="87" t="s">
        <v>6404</v>
      </c>
      <c r="P476" s="9" t="s">
        <v>6243</v>
      </c>
      <c r="Q476" s="87" t="s">
        <v>6596</v>
      </c>
      <c r="R476" s="87" t="s">
        <v>6300</v>
      </c>
      <c r="S476" s="87" t="s">
        <v>6455</v>
      </c>
      <c r="T476" s="87" t="s">
        <v>6645</v>
      </c>
    </row>
    <row r="477" spans="1:20" ht="15.75" customHeight="1">
      <c r="A477" s="9" t="s">
        <v>3008</v>
      </c>
      <c r="C477" s="9" t="s">
        <v>6923</v>
      </c>
      <c r="D477" s="87" t="s">
        <v>6327</v>
      </c>
      <c r="E477" s="9" t="s">
        <v>6924</v>
      </c>
      <c r="F477" s="9" t="s">
        <v>6925</v>
      </c>
      <c r="G477" s="9" t="s">
        <v>383</v>
      </c>
      <c r="H477" s="9" t="s">
        <v>444</v>
      </c>
      <c r="I477" s="87" t="s">
        <v>6405</v>
      </c>
      <c r="J477" s="87" t="s">
        <v>6334</v>
      </c>
      <c r="K477" s="87" t="s">
        <v>6939</v>
      </c>
      <c r="L477" s="87" t="s">
        <v>6474</v>
      </c>
      <c r="M477" s="87" t="s">
        <v>6718</v>
      </c>
      <c r="N477" s="9" t="s">
        <v>7200</v>
      </c>
      <c r="O477" s="87" t="s">
        <v>6302</v>
      </c>
      <c r="P477" s="9" t="s">
        <v>6243</v>
      </c>
      <c r="Q477" s="87" t="s">
        <v>6464</v>
      </c>
      <c r="R477" s="87" t="s">
        <v>6334</v>
      </c>
      <c r="S477" s="87" t="s">
        <v>6323</v>
      </c>
      <c r="T477" s="87" t="s">
        <v>6357</v>
      </c>
    </row>
    <row r="478" spans="1:20" ht="15.75" customHeight="1">
      <c r="A478" s="9" t="s">
        <v>3027</v>
      </c>
      <c r="C478" s="9" t="s">
        <v>6236</v>
      </c>
      <c r="D478" s="87" t="s">
        <v>6393</v>
      </c>
      <c r="E478" s="9" t="s">
        <v>431</v>
      </c>
      <c r="F478" s="9" t="s">
        <v>368</v>
      </c>
      <c r="G478" s="9" t="s">
        <v>436</v>
      </c>
      <c r="H478" s="9" t="s">
        <v>434</v>
      </c>
      <c r="I478" s="87" t="s">
        <v>6237</v>
      </c>
      <c r="J478" s="87" t="s">
        <v>6239</v>
      </c>
      <c r="K478" s="87" t="s">
        <v>6277</v>
      </c>
      <c r="L478" s="87" t="s">
        <v>6240</v>
      </c>
      <c r="M478" s="87" t="s">
        <v>6710</v>
      </c>
      <c r="N478" s="9" t="s">
        <v>7164</v>
      </c>
      <c r="O478" s="87" t="s">
        <v>6277</v>
      </c>
      <c r="P478" s="9" t="s">
        <v>6243</v>
      </c>
      <c r="Q478" s="87" t="s">
        <v>6631</v>
      </c>
      <c r="R478" s="87" t="s">
        <v>6239</v>
      </c>
      <c r="S478" s="87" t="s">
        <v>6327</v>
      </c>
      <c r="T478" s="87" t="s">
        <v>6373</v>
      </c>
    </row>
    <row r="479" spans="1:20" ht="15.75" customHeight="1">
      <c r="A479" s="9" t="s">
        <v>3027</v>
      </c>
      <c r="C479" s="9" t="s">
        <v>6236</v>
      </c>
      <c r="D479" s="87" t="s">
        <v>6393</v>
      </c>
      <c r="E479" s="9" t="s">
        <v>431</v>
      </c>
      <c r="F479" s="9" t="s">
        <v>368</v>
      </c>
      <c r="G479" s="9" t="s">
        <v>436</v>
      </c>
      <c r="H479" s="9" t="s">
        <v>434</v>
      </c>
      <c r="I479" s="87" t="s">
        <v>6237</v>
      </c>
      <c r="J479" s="87" t="s">
        <v>6239</v>
      </c>
      <c r="K479" s="87" t="s">
        <v>6393</v>
      </c>
      <c r="L479" s="87" t="s">
        <v>6240</v>
      </c>
      <c r="M479" s="87" t="s">
        <v>6637</v>
      </c>
      <c r="N479" s="9" t="s">
        <v>7175</v>
      </c>
      <c r="O479" s="87" t="s">
        <v>6393</v>
      </c>
      <c r="P479" s="9" t="s">
        <v>6243</v>
      </c>
      <c r="Q479" s="87" t="s">
        <v>6341</v>
      </c>
      <c r="R479" s="87" t="s">
        <v>6239</v>
      </c>
      <c r="S479" s="87" t="s">
        <v>6256</v>
      </c>
      <c r="T479" s="87" t="s">
        <v>6645</v>
      </c>
    </row>
    <row r="480" spans="1:20" ht="15.75" customHeight="1">
      <c r="A480" s="9" t="s">
        <v>3027</v>
      </c>
      <c r="C480" s="9" t="s">
        <v>6923</v>
      </c>
      <c r="D480" s="87" t="s">
        <v>6327</v>
      </c>
      <c r="E480" s="9" t="s">
        <v>6924</v>
      </c>
      <c r="F480" s="9" t="s">
        <v>6925</v>
      </c>
      <c r="G480" s="9" t="s">
        <v>383</v>
      </c>
      <c r="H480" s="9" t="s">
        <v>444</v>
      </c>
      <c r="I480" s="87" t="s">
        <v>6405</v>
      </c>
      <c r="J480" s="87" t="s">
        <v>6264</v>
      </c>
      <c r="K480" s="87" t="s">
        <v>6931</v>
      </c>
      <c r="L480" s="87" t="s">
        <v>6573</v>
      </c>
      <c r="M480" s="87" t="s">
        <v>6638</v>
      </c>
      <c r="N480" s="9" t="s">
        <v>6945</v>
      </c>
      <c r="O480" s="87" t="s">
        <v>6500</v>
      </c>
      <c r="P480" s="9" t="s">
        <v>6547</v>
      </c>
      <c r="Q480" s="87" t="s">
        <v>3749</v>
      </c>
      <c r="R480" s="87" t="s">
        <v>6264</v>
      </c>
      <c r="S480" s="87" t="s">
        <v>6327</v>
      </c>
      <c r="T480" s="87" t="s">
        <v>6341</v>
      </c>
    </row>
    <row r="481" spans="1:20" ht="15.75" customHeight="1">
      <c r="A481" s="9" t="s">
        <v>2971</v>
      </c>
      <c r="C481" s="9" t="s">
        <v>6236</v>
      </c>
      <c r="D481" s="87" t="s">
        <v>6393</v>
      </c>
      <c r="E481" s="9" t="s">
        <v>431</v>
      </c>
      <c r="F481" s="9" t="s">
        <v>368</v>
      </c>
      <c r="G481" s="9" t="s">
        <v>436</v>
      </c>
      <c r="H481" s="9" t="s">
        <v>434</v>
      </c>
      <c r="I481" s="87" t="s">
        <v>6237</v>
      </c>
      <c r="J481" s="87" t="s">
        <v>6306</v>
      </c>
      <c r="K481" s="87" t="s">
        <v>6239</v>
      </c>
      <c r="L481" s="87" t="s">
        <v>6240</v>
      </c>
      <c r="M481" s="87" t="s">
        <v>6628</v>
      </c>
      <c r="N481" s="9" t="s">
        <v>6928</v>
      </c>
      <c r="O481" s="87" t="s">
        <v>6239</v>
      </c>
      <c r="P481" s="9" t="s">
        <v>6547</v>
      </c>
      <c r="Q481" s="87" t="s">
        <v>3764</v>
      </c>
      <c r="R481" s="87" t="s">
        <v>6306</v>
      </c>
      <c r="S481" s="87" t="s">
        <v>6327</v>
      </c>
      <c r="T481" s="87" t="s">
        <v>6645</v>
      </c>
    </row>
    <row r="482" spans="1:20" ht="15.75" customHeight="1">
      <c r="A482" s="9" t="s">
        <v>2971</v>
      </c>
      <c r="C482" s="9" t="s">
        <v>6236</v>
      </c>
      <c r="D482" s="87" t="s">
        <v>6393</v>
      </c>
      <c r="E482" s="9" t="s">
        <v>431</v>
      </c>
      <c r="F482" s="9" t="s">
        <v>368</v>
      </c>
      <c r="G482" s="9" t="s">
        <v>436</v>
      </c>
      <c r="H482" s="9" t="s">
        <v>434</v>
      </c>
      <c r="I482" s="87" t="s">
        <v>6237</v>
      </c>
      <c r="J482" s="87" t="s">
        <v>6306</v>
      </c>
      <c r="K482" s="87" t="s">
        <v>6237</v>
      </c>
      <c r="L482" s="87" t="s">
        <v>6240</v>
      </c>
      <c r="M482" s="87" t="s">
        <v>6633</v>
      </c>
      <c r="N482" s="9" t="s">
        <v>6967</v>
      </c>
      <c r="O482" s="87" t="s">
        <v>6237</v>
      </c>
      <c r="P482" s="9" t="s">
        <v>6547</v>
      </c>
      <c r="Q482" s="87" t="s">
        <v>4953</v>
      </c>
      <c r="R482" s="87" t="s">
        <v>6306</v>
      </c>
      <c r="S482" s="87" t="s">
        <v>6424</v>
      </c>
      <c r="T482" s="87" t="s">
        <v>6645</v>
      </c>
    </row>
    <row r="483" spans="1:20" ht="15.75" customHeight="1">
      <c r="A483" s="9" t="s">
        <v>2971</v>
      </c>
      <c r="C483" s="9" t="s">
        <v>6671</v>
      </c>
      <c r="D483" s="87" t="s">
        <v>6296</v>
      </c>
      <c r="E483" s="9" t="s">
        <v>6672</v>
      </c>
      <c r="F483" s="9" t="s">
        <v>439</v>
      </c>
      <c r="G483" s="9" t="s">
        <v>436</v>
      </c>
      <c r="H483" s="9" t="s">
        <v>440</v>
      </c>
      <c r="I483" s="87" t="s">
        <v>6405</v>
      </c>
      <c r="J483" s="87" t="s">
        <v>6267</v>
      </c>
      <c r="K483" s="87" t="s">
        <v>6267</v>
      </c>
      <c r="L483" s="87" t="s">
        <v>6240</v>
      </c>
      <c r="M483" s="87" t="s">
        <v>6737</v>
      </c>
      <c r="N483" s="9" t="s">
        <v>7128</v>
      </c>
      <c r="O483" s="87" t="s">
        <v>6267</v>
      </c>
      <c r="P483" s="9" t="s">
        <v>6547</v>
      </c>
      <c r="Q483" s="87" t="s">
        <v>6506</v>
      </c>
      <c r="R483" s="87" t="s">
        <v>6267</v>
      </c>
      <c r="S483" s="87" t="s">
        <v>6313</v>
      </c>
      <c r="T483" s="87" t="s">
        <v>6645</v>
      </c>
    </row>
    <row r="484" spans="1:20" ht="15.75" customHeight="1">
      <c r="A484" s="9" t="s">
        <v>2971</v>
      </c>
      <c r="C484" s="9" t="s">
        <v>6923</v>
      </c>
      <c r="D484" s="87" t="s">
        <v>6264</v>
      </c>
      <c r="E484" s="9" t="s">
        <v>6924</v>
      </c>
      <c r="F484" s="9" t="s">
        <v>6925</v>
      </c>
      <c r="G484" s="9" t="s">
        <v>383</v>
      </c>
      <c r="H484" s="9" t="s">
        <v>449</v>
      </c>
      <c r="I484" s="87" t="s">
        <v>6405</v>
      </c>
      <c r="J484" s="87" t="s">
        <v>6405</v>
      </c>
      <c r="K484" s="87" t="s">
        <v>6926</v>
      </c>
      <c r="L484" s="87" t="s">
        <v>6573</v>
      </c>
      <c r="M484" s="87" t="s">
        <v>6730</v>
      </c>
      <c r="N484" s="9" t="s">
        <v>6970</v>
      </c>
      <c r="O484" s="87" t="s">
        <v>6570</v>
      </c>
      <c r="P484" s="9" t="s">
        <v>6547</v>
      </c>
      <c r="Q484" s="87" t="s">
        <v>6573</v>
      </c>
      <c r="R484" s="87" t="s">
        <v>6405</v>
      </c>
      <c r="S484" s="87" t="s">
        <v>6333</v>
      </c>
      <c r="T484" s="87" t="s">
        <v>6341</v>
      </c>
    </row>
    <row r="485" spans="1:20" ht="15.75" customHeight="1">
      <c r="A485" s="9" t="s">
        <v>2977</v>
      </c>
      <c r="C485" s="9" t="s">
        <v>6236</v>
      </c>
      <c r="D485" s="87" t="s">
        <v>6393</v>
      </c>
      <c r="E485" s="9" t="s">
        <v>431</v>
      </c>
      <c r="F485" s="9" t="s">
        <v>368</v>
      </c>
      <c r="G485" s="9" t="s">
        <v>436</v>
      </c>
      <c r="H485" s="9" t="s">
        <v>434</v>
      </c>
      <c r="I485" s="87" t="s">
        <v>6237</v>
      </c>
      <c r="J485" s="87" t="s">
        <v>6348</v>
      </c>
      <c r="K485" s="87" t="s">
        <v>6348</v>
      </c>
      <c r="L485" s="87" t="s">
        <v>6240</v>
      </c>
      <c r="M485" s="87" t="s">
        <v>6635</v>
      </c>
      <c r="N485" s="9" t="s">
        <v>7201</v>
      </c>
      <c r="O485" s="87" t="s">
        <v>6348</v>
      </c>
      <c r="P485" s="9" t="s">
        <v>6243</v>
      </c>
      <c r="Q485" s="87" t="s">
        <v>5381</v>
      </c>
      <c r="R485" s="87" t="s">
        <v>6348</v>
      </c>
      <c r="S485" s="87" t="s">
        <v>6555</v>
      </c>
      <c r="T485" s="87" t="s">
        <v>6479</v>
      </c>
    </row>
    <row r="486" spans="1:20" ht="15.75" customHeight="1">
      <c r="A486" s="9" t="s">
        <v>2977</v>
      </c>
      <c r="C486" s="9" t="s">
        <v>6671</v>
      </c>
      <c r="D486" s="87" t="s">
        <v>6296</v>
      </c>
      <c r="E486" s="9" t="s">
        <v>6672</v>
      </c>
      <c r="F486" s="9" t="s">
        <v>439</v>
      </c>
      <c r="G486" s="9" t="s">
        <v>436</v>
      </c>
      <c r="H486" s="9" t="s">
        <v>440</v>
      </c>
      <c r="I486" s="87" t="s">
        <v>6405</v>
      </c>
      <c r="J486" s="87" t="s">
        <v>6297</v>
      </c>
      <c r="K486" s="87" t="s">
        <v>6297</v>
      </c>
      <c r="L486" s="87" t="s">
        <v>6240</v>
      </c>
      <c r="M486" s="87" t="s">
        <v>6710</v>
      </c>
      <c r="N486" s="9" t="s">
        <v>7202</v>
      </c>
      <c r="O486" s="87" t="s">
        <v>6297</v>
      </c>
      <c r="P486" s="9" t="s">
        <v>6243</v>
      </c>
      <c r="Q486" s="87" t="s">
        <v>6299</v>
      </c>
      <c r="R486" s="87" t="s">
        <v>6297</v>
      </c>
      <c r="S486" s="87" t="s">
        <v>6414</v>
      </c>
      <c r="T486" s="87" t="s">
        <v>6245</v>
      </c>
    </row>
    <row r="487" spans="1:20" ht="15.75" customHeight="1">
      <c r="A487" s="9" t="s">
        <v>2977</v>
      </c>
      <c r="C487" s="9" t="s">
        <v>6923</v>
      </c>
      <c r="D487" s="87" t="s">
        <v>6461</v>
      </c>
      <c r="E487" s="9" t="s">
        <v>6924</v>
      </c>
      <c r="F487" s="9" t="s">
        <v>6925</v>
      </c>
      <c r="G487" s="9" t="s">
        <v>383</v>
      </c>
      <c r="H487" s="9" t="s">
        <v>427</v>
      </c>
      <c r="I487" s="87" t="s">
        <v>6405</v>
      </c>
      <c r="J487" s="87" t="s">
        <v>6405</v>
      </c>
      <c r="K487" s="87" t="s">
        <v>6926</v>
      </c>
      <c r="L487" s="87" t="s">
        <v>6248</v>
      </c>
      <c r="M487" s="87" t="s">
        <v>6637</v>
      </c>
      <c r="N487" s="9" t="s">
        <v>7203</v>
      </c>
      <c r="O487" s="87" t="s">
        <v>6387</v>
      </c>
      <c r="P487" s="9" t="s">
        <v>6243</v>
      </c>
      <c r="Q487" s="87" t="s">
        <v>6248</v>
      </c>
      <c r="R487" s="87" t="s">
        <v>6405</v>
      </c>
      <c r="S487" s="87" t="s">
        <v>6606</v>
      </c>
      <c r="T487" s="87" t="s">
        <v>6341</v>
      </c>
    </row>
    <row r="488" spans="1:20" ht="15.75" customHeight="1">
      <c r="A488" s="9" t="s">
        <v>2874</v>
      </c>
      <c r="C488" s="9" t="s">
        <v>6236</v>
      </c>
      <c r="D488" s="87" t="s">
        <v>6393</v>
      </c>
      <c r="E488" s="9" t="s">
        <v>431</v>
      </c>
      <c r="F488" s="9" t="s">
        <v>368</v>
      </c>
      <c r="G488" s="9" t="s">
        <v>436</v>
      </c>
      <c r="H488" s="9" t="s">
        <v>434</v>
      </c>
      <c r="I488" s="87" t="s">
        <v>6237</v>
      </c>
      <c r="J488" s="87" t="s">
        <v>6316</v>
      </c>
      <c r="K488" s="87" t="s">
        <v>6322</v>
      </c>
      <c r="L488" s="87" t="s">
        <v>6240</v>
      </c>
      <c r="M488" s="87" t="s">
        <v>6635</v>
      </c>
      <c r="N488" s="9" t="s">
        <v>7204</v>
      </c>
      <c r="O488" s="87" t="s">
        <v>6322</v>
      </c>
      <c r="P488" s="9" t="s">
        <v>6243</v>
      </c>
      <c r="Q488" s="87" t="s">
        <v>6604</v>
      </c>
      <c r="R488" s="87" t="s">
        <v>6316</v>
      </c>
      <c r="S488" s="87" t="s">
        <v>6327</v>
      </c>
      <c r="T488" s="87" t="s">
        <v>6263</v>
      </c>
    </row>
    <row r="489" spans="1:20" ht="15.75" customHeight="1">
      <c r="A489" s="9" t="s">
        <v>2874</v>
      </c>
      <c r="C489" s="9" t="s">
        <v>6236</v>
      </c>
      <c r="D489" s="87" t="s">
        <v>6393</v>
      </c>
      <c r="E489" s="9" t="s">
        <v>431</v>
      </c>
      <c r="F489" s="9" t="s">
        <v>368</v>
      </c>
      <c r="G489" s="9" t="s">
        <v>436</v>
      </c>
      <c r="H489" s="9" t="s">
        <v>434</v>
      </c>
      <c r="I489" s="87" t="s">
        <v>6237</v>
      </c>
      <c r="J489" s="87" t="s">
        <v>6316</v>
      </c>
      <c r="K489" s="87" t="s">
        <v>6393</v>
      </c>
      <c r="L489" s="87" t="s">
        <v>6240</v>
      </c>
      <c r="M489" s="87" t="s">
        <v>6710</v>
      </c>
      <c r="N489" s="9" t="s">
        <v>7175</v>
      </c>
      <c r="O489" s="87" t="s">
        <v>6393</v>
      </c>
      <c r="P489" s="9" t="s">
        <v>6243</v>
      </c>
      <c r="Q489" s="87" t="s">
        <v>6341</v>
      </c>
      <c r="R489" s="87" t="s">
        <v>6316</v>
      </c>
      <c r="S489" s="87" t="s">
        <v>6256</v>
      </c>
      <c r="T489" s="87" t="s">
        <v>6645</v>
      </c>
    </row>
    <row r="490" spans="1:20" ht="15.75" customHeight="1">
      <c r="A490" s="9" t="s">
        <v>2874</v>
      </c>
      <c r="C490" s="9" t="s">
        <v>6671</v>
      </c>
      <c r="D490" s="87" t="s">
        <v>6296</v>
      </c>
      <c r="E490" s="9" t="s">
        <v>6672</v>
      </c>
      <c r="F490" s="9" t="s">
        <v>439</v>
      </c>
      <c r="G490" s="9" t="s">
        <v>436</v>
      </c>
      <c r="H490" s="9" t="s">
        <v>440</v>
      </c>
      <c r="I490" s="87" t="s">
        <v>6405</v>
      </c>
      <c r="J490" s="87" t="s">
        <v>6479</v>
      </c>
      <c r="K490" s="87" t="s">
        <v>6479</v>
      </c>
      <c r="L490" s="87" t="s">
        <v>6240</v>
      </c>
      <c r="M490" s="87" t="s">
        <v>6637</v>
      </c>
      <c r="N490" s="9" t="s">
        <v>7134</v>
      </c>
      <c r="O490" s="87" t="s">
        <v>6479</v>
      </c>
      <c r="P490" s="9" t="s">
        <v>6243</v>
      </c>
      <c r="Q490" s="87" t="s">
        <v>5417</v>
      </c>
      <c r="R490" s="87" t="s">
        <v>6479</v>
      </c>
      <c r="S490" s="87" t="s">
        <v>6433</v>
      </c>
      <c r="T490" s="87" t="s">
        <v>6645</v>
      </c>
    </row>
    <row r="491" spans="1:20" ht="15.75" customHeight="1">
      <c r="A491" s="9" t="s">
        <v>2874</v>
      </c>
      <c r="C491" s="9" t="s">
        <v>6923</v>
      </c>
      <c r="D491" s="87" t="s">
        <v>6327</v>
      </c>
      <c r="E491" s="9" t="s">
        <v>6924</v>
      </c>
      <c r="F491" s="9" t="s">
        <v>6925</v>
      </c>
      <c r="G491" s="9" t="s">
        <v>383</v>
      </c>
      <c r="H491" s="9" t="s">
        <v>444</v>
      </c>
      <c r="I491" s="87" t="s">
        <v>6405</v>
      </c>
      <c r="J491" s="87" t="s">
        <v>6405</v>
      </c>
      <c r="K491" s="87" t="s">
        <v>6926</v>
      </c>
      <c r="L491" s="87" t="s">
        <v>6474</v>
      </c>
      <c r="M491" s="87" t="s">
        <v>6638</v>
      </c>
      <c r="N491" s="9" t="s">
        <v>7194</v>
      </c>
      <c r="O491" s="87" t="s">
        <v>6528</v>
      </c>
      <c r="P491" s="9" t="s">
        <v>6243</v>
      </c>
      <c r="Q491" s="87" t="s">
        <v>6474</v>
      </c>
      <c r="R491" s="87" t="s">
        <v>6405</v>
      </c>
      <c r="S491" s="87" t="s">
        <v>6357</v>
      </c>
      <c r="T491" s="87" t="s">
        <v>6341</v>
      </c>
    </row>
    <row r="492" spans="1:20" ht="15.75" customHeight="1">
      <c r="A492" s="9" t="s">
        <v>2913</v>
      </c>
      <c r="C492" s="9" t="s">
        <v>6236</v>
      </c>
      <c r="D492" s="87" t="s">
        <v>6393</v>
      </c>
      <c r="E492" s="9" t="s">
        <v>431</v>
      </c>
      <c r="F492" s="9" t="s">
        <v>368</v>
      </c>
      <c r="G492" s="9" t="s">
        <v>436</v>
      </c>
      <c r="H492" s="9" t="s">
        <v>434</v>
      </c>
      <c r="I492" s="87" t="s">
        <v>6264</v>
      </c>
      <c r="J492" s="87" t="s">
        <v>6255</v>
      </c>
      <c r="K492" s="87" t="s">
        <v>6393</v>
      </c>
      <c r="L492" s="87" t="s">
        <v>6240</v>
      </c>
      <c r="M492" s="87" t="s">
        <v>6647</v>
      </c>
      <c r="N492" s="9" t="s">
        <v>7205</v>
      </c>
      <c r="O492" s="87" t="s">
        <v>6393</v>
      </c>
      <c r="P492" s="9" t="s">
        <v>6243</v>
      </c>
      <c r="Q492" s="87" t="s">
        <v>6341</v>
      </c>
      <c r="R492" s="87" t="s">
        <v>6255</v>
      </c>
      <c r="S492" s="87" t="s">
        <v>6327</v>
      </c>
      <c r="T492" s="87" t="s">
        <v>6255</v>
      </c>
    </row>
    <row r="493" spans="1:20" ht="15.75" customHeight="1">
      <c r="A493" s="9" t="s">
        <v>2913</v>
      </c>
      <c r="C493" s="9" t="s">
        <v>6236</v>
      </c>
      <c r="D493" s="87" t="s">
        <v>6393</v>
      </c>
      <c r="E493" s="9" t="s">
        <v>431</v>
      </c>
      <c r="F493" s="9" t="s">
        <v>368</v>
      </c>
      <c r="G493" s="9" t="s">
        <v>436</v>
      </c>
      <c r="H493" s="9" t="s">
        <v>434</v>
      </c>
      <c r="I493" s="87" t="s">
        <v>6264</v>
      </c>
      <c r="J493" s="87" t="s">
        <v>6255</v>
      </c>
      <c r="K493" s="87" t="s">
        <v>6435</v>
      </c>
      <c r="L493" s="87" t="s">
        <v>6240</v>
      </c>
      <c r="M493" s="87" t="s">
        <v>6648</v>
      </c>
      <c r="N493" s="9" t="s">
        <v>7007</v>
      </c>
      <c r="O493" s="87" t="s">
        <v>6435</v>
      </c>
      <c r="P493" s="9" t="s">
        <v>6243</v>
      </c>
      <c r="Q493" s="87" t="s">
        <v>6250</v>
      </c>
      <c r="R493" s="87" t="s">
        <v>6255</v>
      </c>
      <c r="S493" s="87" t="s">
        <v>6733</v>
      </c>
      <c r="T493" s="87" t="s">
        <v>6645</v>
      </c>
    </row>
    <row r="494" spans="1:20" ht="15.75" customHeight="1">
      <c r="A494" s="9" t="s">
        <v>2913</v>
      </c>
      <c r="C494" s="9" t="s">
        <v>6923</v>
      </c>
      <c r="D494" s="87" t="s">
        <v>6461</v>
      </c>
      <c r="E494" s="9" t="s">
        <v>6924</v>
      </c>
      <c r="F494" s="9" t="s">
        <v>6925</v>
      </c>
      <c r="G494" s="9" t="s">
        <v>383</v>
      </c>
      <c r="H494" s="9" t="s">
        <v>427</v>
      </c>
      <c r="I494" s="87" t="s">
        <v>6405</v>
      </c>
      <c r="J494" s="87" t="s">
        <v>6334</v>
      </c>
      <c r="K494" s="87" t="s">
        <v>6926</v>
      </c>
      <c r="L494" s="87" t="s">
        <v>6627</v>
      </c>
      <c r="M494" s="87" t="s">
        <v>6649</v>
      </c>
      <c r="N494" s="9" t="s">
        <v>7206</v>
      </c>
      <c r="O494" s="87" t="s">
        <v>6455</v>
      </c>
      <c r="P494" s="9" t="s">
        <v>6243</v>
      </c>
      <c r="Q494" s="87" t="s">
        <v>6627</v>
      </c>
      <c r="R494" s="87" t="s">
        <v>6334</v>
      </c>
      <c r="S494" s="87" t="s">
        <v>6484</v>
      </c>
      <c r="T494" s="87" t="s">
        <v>6341</v>
      </c>
    </row>
    <row r="495" spans="1:20" ht="15.75" customHeight="1">
      <c r="A495" s="9" t="s">
        <v>2913</v>
      </c>
      <c r="C495" s="9" t="s">
        <v>6923</v>
      </c>
      <c r="D495" s="87" t="s">
        <v>6461</v>
      </c>
      <c r="E495" s="9" t="s">
        <v>6924</v>
      </c>
      <c r="F495" s="9" t="s">
        <v>6925</v>
      </c>
      <c r="G495" s="9" t="s">
        <v>383</v>
      </c>
      <c r="H495" s="9" t="s">
        <v>427</v>
      </c>
      <c r="I495" s="87" t="s">
        <v>6405</v>
      </c>
      <c r="J495" s="87" t="s">
        <v>6334</v>
      </c>
      <c r="K495" s="87" t="s">
        <v>6926</v>
      </c>
      <c r="L495" s="87" t="s">
        <v>6627</v>
      </c>
      <c r="M495" s="87" t="s">
        <v>6650</v>
      </c>
      <c r="N495" s="9" t="s">
        <v>7206</v>
      </c>
      <c r="O495" s="87" t="s">
        <v>6455</v>
      </c>
      <c r="P495" s="9" t="s">
        <v>6243</v>
      </c>
      <c r="Q495" s="87" t="s">
        <v>6627</v>
      </c>
      <c r="R495" s="87" t="s">
        <v>6334</v>
      </c>
      <c r="S495" s="87" t="s">
        <v>6484</v>
      </c>
      <c r="T495" s="87" t="s">
        <v>6341</v>
      </c>
    </row>
    <row r="496" spans="1:20" ht="15.75" customHeight="1">
      <c r="A496" s="9" t="s">
        <v>2892</v>
      </c>
      <c r="C496" s="9" t="s">
        <v>6236</v>
      </c>
      <c r="D496" s="87" t="s">
        <v>6393</v>
      </c>
      <c r="E496" s="9" t="s">
        <v>431</v>
      </c>
      <c r="F496" s="9" t="s">
        <v>368</v>
      </c>
      <c r="G496" s="9" t="s">
        <v>436</v>
      </c>
      <c r="H496" s="9" t="s">
        <v>434</v>
      </c>
      <c r="I496" s="87" t="s">
        <v>6237</v>
      </c>
      <c r="J496" s="87" t="s">
        <v>6376</v>
      </c>
      <c r="K496" s="87" t="s">
        <v>6376</v>
      </c>
      <c r="L496" s="87" t="s">
        <v>6240</v>
      </c>
      <c r="M496" s="87" t="s">
        <v>6637</v>
      </c>
      <c r="N496" s="9" t="s">
        <v>7207</v>
      </c>
      <c r="O496" s="87" t="s">
        <v>6376</v>
      </c>
      <c r="P496" s="9" t="s">
        <v>6243</v>
      </c>
      <c r="Q496" s="87" t="s">
        <v>6379</v>
      </c>
      <c r="R496" s="87" t="s">
        <v>6376</v>
      </c>
      <c r="S496" s="87" t="s">
        <v>6302</v>
      </c>
      <c r="T496" s="87" t="s">
        <v>6373</v>
      </c>
    </row>
    <row r="497" spans="1:20" ht="15.75" customHeight="1">
      <c r="A497" s="9" t="s">
        <v>2892</v>
      </c>
      <c r="C497" s="9" t="s">
        <v>6671</v>
      </c>
      <c r="D497" s="87" t="s">
        <v>6296</v>
      </c>
      <c r="E497" s="9" t="s">
        <v>6672</v>
      </c>
      <c r="F497" s="9" t="s">
        <v>439</v>
      </c>
      <c r="G497" s="9" t="s">
        <v>436</v>
      </c>
      <c r="H497" s="9" t="s">
        <v>440</v>
      </c>
      <c r="I497" s="87" t="s">
        <v>6405</v>
      </c>
      <c r="J497" s="87" t="s">
        <v>6260</v>
      </c>
      <c r="K497" s="87" t="s">
        <v>6260</v>
      </c>
      <c r="L497" s="87" t="s">
        <v>6240</v>
      </c>
      <c r="M497" s="87" t="s">
        <v>6638</v>
      </c>
      <c r="N497" s="9" t="s">
        <v>6948</v>
      </c>
      <c r="O497" s="87" t="s">
        <v>6260</v>
      </c>
      <c r="P497" s="9" t="s">
        <v>6243</v>
      </c>
      <c r="Q497" s="87" t="s">
        <v>4014</v>
      </c>
      <c r="R497" s="87" t="s">
        <v>6260</v>
      </c>
      <c r="S497" s="87" t="s">
        <v>6392</v>
      </c>
      <c r="T497" s="87" t="s">
        <v>6645</v>
      </c>
    </row>
    <row r="498" spans="1:20" ht="15.75" customHeight="1">
      <c r="A498" s="9" t="s">
        <v>2892</v>
      </c>
      <c r="C498" s="9" t="s">
        <v>6923</v>
      </c>
      <c r="D498" s="87" t="s">
        <v>6461</v>
      </c>
      <c r="E498" s="9" t="s">
        <v>6924</v>
      </c>
      <c r="F498" s="9" t="s">
        <v>6925</v>
      </c>
      <c r="G498" s="9" t="s">
        <v>383</v>
      </c>
      <c r="H498" s="9" t="s">
        <v>427</v>
      </c>
      <c r="I498" s="87" t="s">
        <v>6405</v>
      </c>
      <c r="J498" s="87" t="s">
        <v>6334</v>
      </c>
      <c r="K498" s="87" t="s">
        <v>6939</v>
      </c>
      <c r="L498" s="87" t="s">
        <v>6372</v>
      </c>
      <c r="M498" s="87" t="s">
        <v>6763</v>
      </c>
      <c r="N498" s="9" t="s">
        <v>7031</v>
      </c>
      <c r="O498" s="87" t="s">
        <v>6526</v>
      </c>
      <c r="P498" s="9" t="s">
        <v>6243</v>
      </c>
      <c r="Q498" s="87" t="s">
        <v>4023</v>
      </c>
      <c r="R498" s="87" t="s">
        <v>6334</v>
      </c>
      <c r="S498" s="87" t="s">
        <v>6295</v>
      </c>
      <c r="T498" s="87" t="s">
        <v>6341</v>
      </c>
    </row>
    <row r="499" spans="1:20" ht="15.75" customHeight="1">
      <c r="A499" s="9" t="s">
        <v>2880</v>
      </c>
      <c r="C499" s="9" t="s">
        <v>6236</v>
      </c>
      <c r="D499" s="87" t="s">
        <v>6393</v>
      </c>
      <c r="E499" s="9" t="s">
        <v>431</v>
      </c>
      <c r="F499" s="9" t="s">
        <v>368</v>
      </c>
      <c r="G499" s="9" t="s">
        <v>436</v>
      </c>
      <c r="H499" s="9" t="s">
        <v>434</v>
      </c>
      <c r="I499" s="87" t="s">
        <v>6237</v>
      </c>
      <c r="J499" s="87" t="s">
        <v>6264</v>
      </c>
      <c r="K499" s="87" t="s">
        <v>6264</v>
      </c>
      <c r="L499" s="87" t="s">
        <v>6240</v>
      </c>
      <c r="M499" s="87" t="s">
        <v>6730</v>
      </c>
      <c r="N499" s="9" t="s">
        <v>7208</v>
      </c>
      <c r="O499" s="87" t="s">
        <v>6264</v>
      </c>
      <c r="P499" s="9" t="s">
        <v>6243</v>
      </c>
      <c r="Q499" s="87" t="s">
        <v>6313</v>
      </c>
      <c r="R499" s="87" t="s">
        <v>6264</v>
      </c>
      <c r="S499" s="87" t="s">
        <v>6404</v>
      </c>
      <c r="T499" s="87" t="s">
        <v>6606</v>
      </c>
    </row>
    <row r="500" spans="1:20" ht="15.75" customHeight="1">
      <c r="A500" s="9" t="s">
        <v>2880</v>
      </c>
      <c r="C500" s="9" t="s">
        <v>6671</v>
      </c>
      <c r="D500" s="87" t="s">
        <v>6296</v>
      </c>
      <c r="E500" s="9" t="s">
        <v>6672</v>
      </c>
      <c r="F500" s="9" t="s">
        <v>439</v>
      </c>
      <c r="G500" s="9" t="s">
        <v>436</v>
      </c>
      <c r="H500" s="9" t="s">
        <v>440</v>
      </c>
      <c r="I500" s="87" t="s">
        <v>6405</v>
      </c>
      <c r="J500" s="87" t="s">
        <v>6405</v>
      </c>
      <c r="K500" s="87" t="s">
        <v>6405</v>
      </c>
      <c r="L500" s="87" t="s">
        <v>6240</v>
      </c>
      <c r="M500" s="87" t="s">
        <v>6634</v>
      </c>
      <c r="N500" s="9" t="s">
        <v>7209</v>
      </c>
      <c r="O500" s="87" t="s">
        <v>6405</v>
      </c>
      <c r="P500" s="9" t="s">
        <v>6243</v>
      </c>
      <c r="Q500" s="87" t="s">
        <v>6240</v>
      </c>
      <c r="R500" s="87" t="s">
        <v>6405</v>
      </c>
      <c r="S500" s="87" t="s">
        <v>6295</v>
      </c>
      <c r="T500" s="87" t="s">
        <v>6295</v>
      </c>
    </row>
    <row r="501" spans="1:20" ht="15.75" customHeight="1">
      <c r="A501" s="9" t="s">
        <v>2880</v>
      </c>
      <c r="C501" s="9" t="s">
        <v>6923</v>
      </c>
      <c r="D501" s="87" t="s">
        <v>6327</v>
      </c>
      <c r="E501" s="9" t="s">
        <v>6924</v>
      </c>
      <c r="F501" s="9" t="s">
        <v>6925</v>
      </c>
      <c r="G501" s="9" t="s">
        <v>383</v>
      </c>
      <c r="H501" s="9" t="s">
        <v>444</v>
      </c>
      <c r="I501" s="87" t="s">
        <v>6405</v>
      </c>
      <c r="J501" s="87" t="s">
        <v>6405</v>
      </c>
      <c r="K501" s="87" t="s">
        <v>6926</v>
      </c>
      <c r="L501" s="87" t="s">
        <v>6416</v>
      </c>
      <c r="M501" s="87" t="s">
        <v>6721</v>
      </c>
      <c r="N501" s="9" t="s">
        <v>7210</v>
      </c>
      <c r="O501" s="87" t="s">
        <v>6414</v>
      </c>
      <c r="P501" s="9" t="s">
        <v>6243</v>
      </c>
      <c r="Q501" s="87" t="s">
        <v>6416</v>
      </c>
      <c r="R501" s="87" t="s">
        <v>6405</v>
      </c>
      <c r="S501" s="87" t="s">
        <v>6428</v>
      </c>
      <c r="T501" s="87" t="s">
        <v>6300</v>
      </c>
    </row>
    <row r="502" spans="1:20" ht="15.75" customHeight="1">
      <c r="A502" s="9" t="s">
        <v>2991</v>
      </c>
      <c r="C502" s="9" t="s">
        <v>6236</v>
      </c>
      <c r="D502" s="87" t="s">
        <v>6393</v>
      </c>
      <c r="E502" s="9" t="s">
        <v>431</v>
      </c>
      <c r="F502" s="9" t="s">
        <v>368</v>
      </c>
      <c r="G502" s="9" t="s">
        <v>436</v>
      </c>
      <c r="H502" s="9" t="s">
        <v>434</v>
      </c>
      <c r="I502" s="87" t="s">
        <v>6237</v>
      </c>
      <c r="J502" s="87" t="s">
        <v>6565</v>
      </c>
      <c r="K502" s="87" t="s">
        <v>6314</v>
      </c>
      <c r="L502" s="87" t="s">
        <v>6240</v>
      </c>
      <c r="M502" s="87" t="s">
        <v>6613</v>
      </c>
      <c r="N502" s="9" t="s">
        <v>7211</v>
      </c>
      <c r="O502" s="87" t="s">
        <v>6314</v>
      </c>
      <c r="P502" s="9" t="s">
        <v>6243</v>
      </c>
      <c r="Q502" s="87" t="s">
        <v>6748</v>
      </c>
      <c r="R502" s="87" t="s">
        <v>6565</v>
      </c>
      <c r="S502" s="87" t="s">
        <v>6327</v>
      </c>
      <c r="T502" s="87" t="s">
        <v>6287</v>
      </c>
    </row>
    <row r="503" spans="1:20" ht="15.75" customHeight="1">
      <c r="A503" s="9" t="s">
        <v>2991</v>
      </c>
      <c r="C503" s="9" t="s">
        <v>6236</v>
      </c>
      <c r="D503" s="87" t="s">
        <v>6393</v>
      </c>
      <c r="E503" s="9" t="s">
        <v>431</v>
      </c>
      <c r="F503" s="9" t="s">
        <v>368</v>
      </c>
      <c r="G503" s="9" t="s">
        <v>436</v>
      </c>
      <c r="H503" s="9" t="s">
        <v>434</v>
      </c>
      <c r="I503" s="87" t="s">
        <v>6237</v>
      </c>
      <c r="J503" s="87" t="s">
        <v>6565</v>
      </c>
      <c r="K503" s="87" t="s">
        <v>6239</v>
      </c>
      <c r="L503" s="87" t="s">
        <v>6240</v>
      </c>
      <c r="M503" s="87" t="s">
        <v>6616</v>
      </c>
      <c r="N503" s="9" t="s">
        <v>6928</v>
      </c>
      <c r="O503" s="87" t="s">
        <v>6239</v>
      </c>
      <c r="P503" s="9" t="s">
        <v>6243</v>
      </c>
      <c r="Q503" s="87" t="s">
        <v>3764</v>
      </c>
      <c r="R503" s="87" t="s">
        <v>6565</v>
      </c>
      <c r="S503" s="87" t="s">
        <v>6327</v>
      </c>
      <c r="T503" s="87" t="s">
        <v>6645</v>
      </c>
    </row>
    <row r="504" spans="1:20" ht="15.75" customHeight="1">
      <c r="A504" s="9" t="s">
        <v>2991</v>
      </c>
      <c r="C504" s="9" t="s">
        <v>6236</v>
      </c>
      <c r="D504" s="87" t="s">
        <v>6393</v>
      </c>
      <c r="E504" s="9" t="s">
        <v>431</v>
      </c>
      <c r="F504" s="9" t="s">
        <v>368</v>
      </c>
      <c r="G504" s="9" t="s">
        <v>436</v>
      </c>
      <c r="H504" s="9" t="s">
        <v>434</v>
      </c>
      <c r="I504" s="87" t="s">
        <v>6237</v>
      </c>
      <c r="J504" s="87" t="s">
        <v>6565</v>
      </c>
      <c r="K504" s="87" t="s">
        <v>6239</v>
      </c>
      <c r="L504" s="87" t="s">
        <v>6240</v>
      </c>
      <c r="M504" s="87" t="s">
        <v>6620</v>
      </c>
      <c r="N504" s="9" t="s">
        <v>6928</v>
      </c>
      <c r="O504" s="87" t="s">
        <v>6239</v>
      </c>
      <c r="P504" s="9" t="s">
        <v>6243</v>
      </c>
      <c r="Q504" s="87" t="s">
        <v>3764</v>
      </c>
      <c r="R504" s="87" t="s">
        <v>6565</v>
      </c>
      <c r="S504" s="87" t="s">
        <v>6327</v>
      </c>
      <c r="T504" s="87" t="s">
        <v>6645</v>
      </c>
    </row>
    <row r="505" spans="1:20" ht="15.75" customHeight="1">
      <c r="A505" s="9" t="s">
        <v>2991</v>
      </c>
      <c r="C505" s="9" t="s">
        <v>6236</v>
      </c>
      <c r="D505" s="87" t="s">
        <v>6393</v>
      </c>
      <c r="E505" s="9" t="s">
        <v>431</v>
      </c>
      <c r="F505" s="9" t="s">
        <v>368</v>
      </c>
      <c r="G505" s="9" t="s">
        <v>436</v>
      </c>
      <c r="H505" s="9" t="s">
        <v>434</v>
      </c>
      <c r="I505" s="87" t="s">
        <v>6237</v>
      </c>
      <c r="J505" s="87" t="s">
        <v>6565</v>
      </c>
      <c r="K505" s="87" t="s">
        <v>6239</v>
      </c>
      <c r="L505" s="87" t="s">
        <v>6240</v>
      </c>
      <c r="M505" s="87" t="s">
        <v>6624</v>
      </c>
      <c r="N505" s="9" t="s">
        <v>6928</v>
      </c>
      <c r="O505" s="87" t="s">
        <v>6239</v>
      </c>
      <c r="P505" s="9" t="s">
        <v>6243</v>
      </c>
      <c r="Q505" s="87" t="s">
        <v>3764</v>
      </c>
      <c r="R505" s="87" t="s">
        <v>6565</v>
      </c>
      <c r="S505" s="87" t="s">
        <v>6327</v>
      </c>
      <c r="T505" s="87" t="s">
        <v>6645</v>
      </c>
    </row>
    <row r="506" spans="1:20" ht="15.75" customHeight="1">
      <c r="A506" s="9" t="s">
        <v>2991</v>
      </c>
      <c r="C506" s="9" t="s">
        <v>6236</v>
      </c>
      <c r="D506" s="87" t="s">
        <v>6393</v>
      </c>
      <c r="E506" s="9" t="s">
        <v>431</v>
      </c>
      <c r="F506" s="9" t="s">
        <v>368</v>
      </c>
      <c r="G506" s="9" t="s">
        <v>436</v>
      </c>
      <c r="H506" s="9" t="s">
        <v>434</v>
      </c>
      <c r="I506" s="87" t="s">
        <v>6237</v>
      </c>
      <c r="J506" s="87" t="s">
        <v>6565</v>
      </c>
      <c r="K506" s="87" t="s">
        <v>6297</v>
      </c>
      <c r="L506" s="87" t="s">
        <v>6240</v>
      </c>
      <c r="M506" s="87" t="s">
        <v>6628</v>
      </c>
      <c r="N506" s="9" t="s">
        <v>6980</v>
      </c>
      <c r="O506" s="87" t="s">
        <v>6297</v>
      </c>
      <c r="P506" s="9" t="s">
        <v>6243</v>
      </c>
      <c r="Q506" s="87" t="s">
        <v>6299</v>
      </c>
      <c r="R506" s="87" t="s">
        <v>6565</v>
      </c>
      <c r="S506" s="87" t="s">
        <v>6306</v>
      </c>
      <c r="T506" s="87" t="s">
        <v>6645</v>
      </c>
    </row>
    <row r="507" spans="1:20" ht="15.75" customHeight="1">
      <c r="A507" s="9" t="s">
        <v>2991</v>
      </c>
      <c r="C507" s="9" t="s">
        <v>6923</v>
      </c>
      <c r="D507" s="87" t="s">
        <v>6461</v>
      </c>
      <c r="E507" s="9" t="s">
        <v>6924</v>
      </c>
      <c r="F507" s="9" t="s">
        <v>6925</v>
      </c>
      <c r="G507" s="9" t="s">
        <v>383</v>
      </c>
      <c r="H507" s="9" t="s">
        <v>427</v>
      </c>
      <c r="I507" s="87" t="s">
        <v>6405</v>
      </c>
      <c r="J507" s="87" t="s">
        <v>6290</v>
      </c>
      <c r="K507" s="87" t="s">
        <v>6926</v>
      </c>
      <c r="L507" s="87" t="s">
        <v>6372</v>
      </c>
      <c r="M507" s="87" t="s">
        <v>6634</v>
      </c>
      <c r="N507" s="9" t="s">
        <v>7212</v>
      </c>
      <c r="O507" s="87" t="s">
        <v>6295</v>
      </c>
      <c r="P507" s="9" t="s">
        <v>6243</v>
      </c>
      <c r="Q507" s="87" t="s">
        <v>6372</v>
      </c>
      <c r="R507" s="87" t="s">
        <v>6290</v>
      </c>
      <c r="S507" s="87" t="s">
        <v>6245</v>
      </c>
      <c r="T507" s="87" t="s">
        <v>6250</v>
      </c>
    </row>
    <row r="508" spans="1:20" ht="15.75" customHeight="1">
      <c r="A508" s="9" t="s">
        <v>2991</v>
      </c>
      <c r="C508" s="9" t="s">
        <v>6923</v>
      </c>
      <c r="D508" s="87" t="s">
        <v>6461</v>
      </c>
      <c r="E508" s="9" t="s">
        <v>6924</v>
      </c>
      <c r="F508" s="9" t="s">
        <v>6925</v>
      </c>
      <c r="G508" s="9" t="s">
        <v>383</v>
      </c>
      <c r="H508" s="9" t="s">
        <v>427</v>
      </c>
      <c r="I508" s="87" t="s">
        <v>6405</v>
      </c>
      <c r="J508" s="87" t="s">
        <v>6290</v>
      </c>
      <c r="K508" s="87" t="s">
        <v>6931</v>
      </c>
      <c r="L508" s="87" t="s">
        <v>6372</v>
      </c>
      <c r="M508" s="87" t="s">
        <v>6721</v>
      </c>
      <c r="N508" s="9" t="s">
        <v>7034</v>
      </c>
      <c r="O508" s="87" t="s">
        <v>6239</v>
      </c>
      <c r="P508" s="9" t="s">
        <v>6243</v>
      </c>
      <c r="Q508" s="87" t="s">
        <v>3764</v>
      </c>
      <c r="R508" s="87" t="s">
        <v>6290</v>
      </c>
      <c r="S508" s="87" t="s">
        <v>7035</v>
      </c>
      <c r="T508" s="87" t="s">
        <v>6341</v>
      </c>
    </row>
    <row r="509" spans="1:20" ht="15.75" customHeight="1">
      <c r="A509" s="9" t="s">
        <v>2991</v>
      </c>
      <c r="C509" s="9" t="s">
        <v>6923</v>
      </c>
      <c r="D509" s="87" t="s">
        <v>6461</v>
      </c>
      <c r="E509" s="9" t="s">
        <v>6924</v>
      </c>
      <c r="F509" s="9" t="s">
        <v>6925</v>
      </c>
      <c r="G509" s="9" t="s">
        <v>383</v>
      </c>
      <c r="H509" s="9" t="s">
        <v>427</v>
      </c>
      <c r="I509" s="87" t="s">
        <v>6405</v>
      </c>
      <c r="J509" s="87" t="s">
        <v>6290</v>
      </c>
      <c r="K509" s="87" t="s">
        <v>6931</v>
      </c>
      <c r="L509" s="87" t="s">
        <v>6372</v>
      </c>
      <c r="M509" s="87" t="s">
        <v>6718</v>
      </c>
      <c r="N509" s="9" t="s">
        <v>7034</v>
      </c>
      <c r="O509" s="87" t="s">
        <v>6239</v>
      </c>
      <c r="P509" s="9" t="s">
        <v>6243</v>
      </c>
      <c r="Q509" s="87" t="s">
        <v>3764</v>
      </c>
      <c r="R509" s="87" t="s">
        <v>6290</v>
      </c>
      <c r="S509" s="87" t="s">
        <v>7035</v>
      </c>
      <c r="T509" s="87" t="s">
        <v>6341</v>
      </c>
    </row>
    <row r="510" spans="1:20" ht="15.75" customHeight="1">
      <c r="A510" s="9" t="s">
        <v>2991</v>
      </c>
      <c r="C510" s="9" t="s">
        <v>6923</v>
      </c>
      <c r="D510" s="87" t="s">
        <v>6461</v>
      </c>
      <c r="E510" s="9" t="s">
        <v>6924</v>
      </c>
      <c r="F510" s="9" t="s">
        <v>6925</v>
      </c>
      <c r="G510" s="9" t="s">
        <v>383</v>
      </c>
      <c r="H510" s="9" t="s">
        <v>427</v>
      </c>
      <c r="I510" s="87" t="s">
        <v>6405</v>
      </c>
      <c r="J510" s="87" t="s">
        <v>6290</v>
      </c>
      <c r="K510" s="87" t="s">
        <v>6931</v>
      </c>
      <c r="L510" s="87" t="s">
        <v>6372</v>
      </c>
      <c r="M510" s="87" t="s">
        <v>6635</v>
      </c>
      <c r="N510" s="9" t="s">
        <v>7034</v>
      </c>
      <c r="O510" s="87" t="s">
        <v>6239</v>
      </c>
      <c r="P510" s="9" t="s">
        <v>6243</v>
      </c>
      <c r="Q510" s="87" t="s">
        <v>3764</v>
      </c>
      <c r="R510" s="87" t="s">
        <v>6290</v>
      </c>
      <c r="S510" s="87" t="s">
        <v>7035</v>
      </c>
      <c r="T510" s="87" t="s">
        <v>6341</v>
      </c>
    </row>
    <row r="511" spans="1:20" ht="15.75" customHeight="1">
      <c r="A511" s="9" t="s">
        <v>2972</v>
      </c>
      <c r="C511" s="9" t="s">
        <v>6236</v>
      </c>
      <c r="D511" s="87" t="s">
        <v>6393</v>
      </c>
      <c r="E511" s="9" t="s">
        <v>431</v>
      </c>
      <c r="F511" s="9" t="s">
        <v>368</v>
      </c>
      <c r="G511" s="9" t="s">
        <v>436</v>
      </c>
      <c r="H511" s="9" t="s">
        <v>434</v>
      </c>
      <c r="I511" s="87" t="s">
        <v>6240</v>
      </c>
      <c r="J511" s="87" t="s">
        <v>6299</v>
      </c>
      <c r="K511" s="87" t="s">
        <v>6299</v>
      </c>
      <c r="L511" s="87" t="s">
        <v>6240</v>
      </c>
      <c r="M511" s="87" t="s">
        <v>6647</v>
      </c>
      <c r="N511" s="9" t="s">
        <v>7213</v>
      </c>
      <c r="O511" s="87" t="s">
        <v>6299</v>
      </c>
      <c r="P511" s="9" t="s">
        <v>6243</v>
      </c>
      <c r="Q511" s="87" t="s">
        <v>3231</v>
      </c>
      <c r="R511" s="87" t="s">
        <v>6299</v>
      </c>
      <c r="S511" s="87" t="s">
        <v>6259</v>
      </c>
      <c r="T511" s="87" t="s">
        <v>5381</v>
      </c>
    </row>
    <row r="512" spans="1:20" ht="15.75" customHeight="1">
      <c r="A512" s="9" t="s">
        <v>2972</v>
      </c>
      <c r="C512" s="9" t="s">
        <v>6671</v>
      </c>
      <c r="D512" s="87" t="s">
        <v>6296</v>
      </c>
      <c r="E512" s="9" t="s">
        <v>6672</v>
      </c>
      <c r="F512" s="9" t="s">
        <v>439</v>
      </c>
      <c r="G512" s="9" t="s">
        <v>436</v>
      </c>
      <c r="H512" s="9" t="s">
        <v>440</v>
      </c>
      <c r="I512" s="87" t="s">
        <v>6405</v>
      </c>
      <c r="J512" s="87" t="s">
        <v>6255</v>
      </c>
      <c r="K512" s="87" t="s">
        <v>6810</v>
      </c>
      <c r="L512" s="87" t="s">
        <v>6240</v>
      </c>
      <c r="M512" s="87" t="s">
        <v>6699</v>
      </c>
      <c r="N512" s="9" t="s">
        <v>7083</v>
      </c>
      <c r="O512" s="87" t="s">
        <v>6810</v>
      </c>
      <c r="P512" s="9" t="s">
        <v>6243</v>
      </c>
      <c r="Q512" s="87" t="s">
        <v>6484</v>
      </c>
      <c r="R512" s="87" t="s">
        <v>6255</v>
      </c>
      <c r="S512" s="87" t="s">
        <v>6327</v>
      </c>
      <c r="T512" s="87" t="s">
        <v>4953</v>
      </c>
    </row>
    <row r="513" spans="1:20" ht="15.75" customHeight="1">
      <c r="A513" s="9" t="s">
        <v>2972</v>
      </c>
      <c r="C513" s="9" t="s">
        <v>6671</v>
      </c>
      <c r="D513" s="87" t="s">
        <v>6296</v>
      </c>
      <c r="E513" s="9" t="s">
        <v>6672</v>
      </c>
      <c r="F513" s="9" t="s">
        <v>439</v>
      </c>
      <c r="G513" s="9" t="s">
        <v>436</v>
      </c>
      <c r="H513" s="9" t="s">
        <v>440</v>
      </c>
      <c r="I513" s="87" t="s">
        <v>6405</v>
      </c>
      <c r="J513" s="87" t="s">
        <v>6255</v>
      </c>
      <c r="K513" s="87" t="s">
        <v>6528</v>
      </c>
      <c r="L513" s="87" t="s">
        <v>6240</v>
      </c>
      <c r="M513" s="87" t="s">
        <v>6696</v>
      </c>
      <c r="N513" s="9" t="s">
        <v>7169</v>
      </c>
      <c r="O513" s="87" t="s">
        <v>6528</v>
      </c>
      <c r="P513" s="9" t="s">
        <v>6243</v>
      </c>
      <c r="Q513" s="87" t="s">
        <v>6474</v>
      </c>
      <c r="R513" s="87" t="s">
        <v>6255</v>
      </c>
      <c r="S513" s="87" t="s">
        <v>6367</v>
      </c>
      <c r="T513" s="87" t="s">
        <v>6645</v>
      </c>
    </row>
    <row r="514" spans="1:20" ht="15.75" customHeight="1">
      <c r="A514" s="9" t="s">
        <v>2972</v>
      </c>
      <c r="C514" s="9" t="s">
        <v>6923</v>
      </c>
      <c r="D514" s="87" t="s">
        <v>6264</v>
      </c>
      <c r="E514" s="9" t="s">
        <v>6924</v>
      </c>
      <c r="F514" s="9" t="s">
        <v>6925</v>
      </c>
      <c r="G514" s="9" t="s">
        <v>383</v>
      </c>
      <c r="H514" s="9" t="s">
        <v>449</v>
      </c>
      <c r="I514" s="87" t="s">
        <v>6405</v>
      </c>
      <c r="J514" s="87" t="s">
        <v>6405</v>
      </c>
      <c r="K514" s="87" t="s">
        <v>6926</v>
      </c>
      <c r="L514" s="87" t="s">
        <v>6372</v>
      </c>
      <c r="M514" s="87" t="s">
        <v>6694</v>
      </c>
      <c r="N514" s="9" t="s">
        <v>6984</v>
      </c>
      <c r="O514" s="87" t="s">
        <v>6295</v>
      </c>
      <c r="P514" s="9" t="s">
        <v>6243</v>
      </c>
      <c r="Q514" s="87" t="s">
        <v>6372</v>
      </c>
      <c r="R514" s="87" t="s">
        <v>6405</v>
      </c>
      <c r="S514" s="87" t="s">
        <v>6526</v>
      </c>
      <c r="T514" s="87" t="s">
        <v>6341</v>
      </c>
    </row>
    <row r="515" spans="1:20" ht="15.75" customHeight="1">
      <c r="A515" s="9" t="s">
        <v>2909</v>
      </c>
      <c r="C515" s="9" t="s">
        <v>6236</v>
      </c>
      <c r="D515" s="87" t="s">
        <v>6393</v>
      </c>
      <c r="E515" s="9" t="s">
        <v>431</v>
      </c>
      <c r="F515" s="9" t="s">
        <v>368</v>
      </c>
      <c r="G515" s="9" t="s">
        <v>436</v>
      </c>
      <c r="H515" s="9" t="s">
        <v>434</v>
      </c>
      <c r="I515" s="87" t="s">
        <v>6237</v>
      </c>
      <c r="J515" s="87" t="s">
        <v>4947</v>
      </c>
      <c r="K515" s="87" t="s">
        <v>6239</v>
      </c>
      <c r="L515" s="87" t="s">
        <v>6240</v>
      </c>
      <c r="M515" s="87" t="s">
        <v>6704</v>
      </c>
      <c r="N515" s="9" t="s">
        <v>6928</v>
      </c>
      <c r="O515" s="87" t="s">
        <v>6239</v>
      </c>
      <c r="P515" s="9" t="s">
        <v>6243</v>
      </c>
      <c r="Q515" s="87" t="s">
        <v>3764</v>
      </c>
      <c r="R515" s="87" t="s">
        <v>4947</v>
      </c>
      <c r="S515" s="87" t="s">
        <v>6327</v>
      </c>
      <c r="T515" s="87" t="s">
        <v>6645</v>
      </c>
    </row>
    <row r="516" spans="1:20" ht="15.75" customHeight="1">
      <c r="A516" s="9" t="s">
        <v>2909</v>
      </c>
      <c r="C516" s="9" t="s">
        <v>6236</v>
      </c>
      <c r="D516" s="87" t="s">
        <v>6393</v>
      </c>
      <c r="E516" s="9" t="s">
        <v>431</v>
      </c>
      <c r="F516" s="9" t="s">
        <v>368</v>
      </c>
      <c r="G516" s="9" t="s">
        <v>436</v>
      </c>
      <c r="H516" s="9" t="s">
        <v>434</v>
      </c>
      <c r="I516" s="87" t="s">
        <v>6237</v>
      </c>
      <c r="J516" s="87" t="s">
        <v>4947</v>
      </c>
      <c r="K516" s="87" t="s">
        <v>6409</v>
      </c>
      <c r="L516" s="87" t="s">
        <v>6240</v>
      </c>
      <c r="M516" s="87" t="s">
        <v>6697</v>
      </c>
      <c r="N516" s="9" t="s">
        <v>7151</v>
      </c>
      <c r="O516" s="87" t="s">
        <v>6409</v>
      </c>
      <c r="P516" s="9" t="s">
        <v>6243</v>
      </c>
      <c r="Q516" s="87" t="s">
        <v>6489</v>
      </c>
      <c r="R516" s="87" t="s">
        <v>4947</v>
      </c>
      <c r="S516" s="87" t="s">
        <v>6409</v>
      </c>
      <c r="T516" s="87" t="s">
        <v>6645</v>
      </c>
    </row>
    <row r="517" spans="1:20" ht="15.75" customHeight="1">
      <c r="A517" s="9" t="s">
        <v>2909</v>
      </c>
      <c r="C517" s="9" t="s">
        <v>6671</v>
      </c>
      <c r="D517" s="87" t="s">
        <v>6296</v>
      </c>
      <c r="E517" s="9" t="s">
        <v>6672</v>
      </c>
      <c r="F517" s="9" t="s">
        <v>439</v>
      </c>
      <c r="G517" s="9" t="s">
        <v>436</v>
      </c>
      <c r="H517" s="9" t="s">
        <v>440</v>
      </c>
      <c r="I517" s="87" t="s">
        <v>6405</v>
      </c>
      <c r="J517" s="87" t="s">
        <v>6562</v>
      </c>
      <c r="K517" s="87" t="s">
        <v>6239</v>
      </c>
      <c r="L517" s="87" t="s">
        <v>6240</v>
      </c>
      <c r="M517" s="87" t="s">
        <v>6690</v>
      </c>
      <c r="N517" s="9" t="s">
        <v>6928</v>
      </c>
      <c r="O517" s="87" t="s">
        <v>6239</v>
      </c>
      <c r="P517" s="9" t="s">
        <v>6243</v>
      </c>
      <c r="Q517" s="87" t="s">
        <v>3764</v>
      </c>
      <c r="R517" s="87" t="s">
        <v>6562</v>
      </c>
      <c r="S517" s="87" t="s">
        <v>6327</v>
      </c>
      <c r="T517" s="87" t="s">
        <v>6645</v>
      </c>
    </row>
    <row r="518" spans="1:20" ht="15.75" customHeight="1">
      <c r="A518" s="9" t="s">
        <v>2909</v>
      </c>
      <c r="C518" s="9" t="s">
        <v>6671</v>
      </c>
      <c r="D518" s="87" t="s">
        <v>6296</v>
      </c>
      <c r="E518" s="9" t="s">
        <v>6672</v>
      </c>
      <c r="F518" s="9" t="s">
        <v>439</v>
      </c>
      <c r="G518" s="9" t="s">
        <v>436</v>
      </c>
      <c r="H518" s="9" t="s">
        <v>440</v>
      </c>
      <c r="I518" s="87" t="s">
        <v>6405</v>
      </c>
      <c r="J518" s="87" t="s">
        <v>6562</v>
      </c>
      <c r="K518" s="87" t="s">
        <v>6421</v>
      </c>
      <c r="L518" s="87" t="s">
        <v>6240</v>
      </c>
      <c r="M518" s="87" t="s">
        <v>6686</v>
      </c>
      <c r="N518" s="9" t="s">
        <v>7214</v>
      </c>
      <c r="O518" s="87" t="s">
        <v>6421</v>
      </c>
      <c r="P518" s="9" t="s">
        <v>6243</v>
      </c>
      <c r="Q518" s="87" t="s">
        <v>6316</v>
      </c>
      <c r="R518" s="87" t="s">
        <v>6562</v>
      </c>
      <c r="S518" s="87" t="s">
        <v>6532</v>
      </c>
      <c r="T518" s="87" t="s">
        <v>6645</v>
      </c>
    </row>
    <row r="519" spans="1:20" ht="15.75" customHeight="1">
      <c r="A519" s="9" t="s">
        <v>2909</v>
      </c>
      <c r="C519" s="9" t="s">
        <v>6923</v>
      </c>
      <c r="D519" s="87" t="s">
        <v>6461</v>
      </c>
      <c r="E519" s="9" t="s">
        <v>6924</v>
      </c>
      <c r="F519" s="9" t="s">
        <v>6925</v>
      </c>
      <c r="G519" s="9" t="s">
        <v>383</v>
      </c>
      <c r="H519" s="9" t="s">
        <v>427</v>
      </c>
      <c r="I519" s="87" t="s">
        <v>6405</v>
      </c>
      <c r="J519" s="87" t="s">
        <v>6405</v>
      </c>
      <c r="K519" s="87" t="s">
        <v>6926</v>
      </c>
      <c r="L519" s="87" t="s">
        <v>6305</v>
      </c>
      <c r="M519" s="87" t="s">
        <v>7215</v>
      </c>
      <c r="N519" s="9" t="s">
        <v>7124</v>
      </c>
      <c r="O519" s="87" t="s">
        <v>6433</v>
      </c>
      <c r="P519" s="9" t="s">
        <v>6243</v>
      </c>
      <c r="Q519" s="87" t="s">
        <v>6305</v>
      </c>
      <c r="R519" s="87" t="s">
        <v>6405</v>
      </c>
      <c r="S519" s="87" t="s">
        <v>6619</v>
      </c>
      <c r="T519" s="87" t="s">
        <v>6341</v>
      </c>
    </row>
    <row r="520" spans="1:20" ht="15.75" customHeight="1">
      <c r="A520" s="9" t="s">
        <v>2909</v>
      </c>
      <c r="C520" s="9" t="s">
        <v>6923</v>
      </c>
      <c r="D520" s="87" t="s">
        <v>6264</v>
      </c>
      <c r="E520" s="9" t="s">
        <v>6924</v>
      </c>
      <c r="F520" s="9" t="s">
        <v>6925</v>
      </c>
      <c r="G520" s="9" t="s">
        <v>383</v>
      </c>
      <c r="H520" s="9" t="s">
        <v>449</v>
      </c>
      <c r="I520" s="87" t="s">
        <v>6405</v>
      </c>
      <c r="J520" s="87" t="s">
        <v>6405</v>
      </c>
      <c r="K520" s="87" t="s">
        <v>6926</v>
      </c>
      <c r="L520" s="87" t="s">
        <v>6306</v>
      </c>
      <c r="M520" s="87" t="s">
        <v>7215</v>
      </c>
      <c r="N520" s="9" t="s">
        <v>6959</v>
      </c>
      <c r="O520" s="87" t="s">
        <v>4953</v>
      </c>
      <c r="P520" s="9" t="s">
        <v>6243</v>
      </c>
      <c r="Q520" s="87" t="s">
        <v>6306</v>
      </c>
      <c r="R520" s="87" t="s">
        <v>6405</v>
      </c>
      <c r="S520" s="87" t="s">
        <v>6543</v>
      </c>
      <c r="T520" s="87" t="s">
        <v>6341</v>
      </c>
    </row>
    <row r="521" spans="1:20" ht="15.75" customHeight="1">
      <c r="A521" s="9" t="s">
        <v>2908</v>
      </c>
      <c r="C521" s="9" t="s">
        <v>6236</v>
      </c>
      <c r="D521" s="87" t="s">
        <v>6393</v>
      </c>
      <c r="E521" s="9" t="s">
        <v>431</v>
      </c>
      <c r="F521" s="9" t="s">
        <v>368</v>
      </c>
      <c r="G521" s="9" t="s">
        <v>436</v>
      </c>
      <c r="H521" s="9" t="s">
        <v>434</v>
      </c>
      <c r="I521" s="87" t="s">
        <v>6264</v>
      </c>
      <c r="J521" s="87" t="s">
        <v>6660</v>
      </c>
      <c r="K521" s="87" t="s">
        <v>6239</v>
      </c>
      <c r="L521" s="87" t="s">
        <v>6240</v>
      </c>
      <c r="M521" s="87" t="s">
        <v>6661</v>
      </c>
      <c r="N521" s="9" t="s">
        <v>6928</v>
      </c>
      <c r="O521" s="87" t="s">
        <v>6239</v>
      </c>
      <c r="P521" s="9" t="s">
        <v>6243</v>
      </c>
      <c r="Q521" s="87" t="s">
        <v>3764</v>
      </c>
      <c r="R521" s="87" t="s">
        <v>6660</v>
      </c>
      <c r="S521" s="87" t="s">
        <v>6327</v>
      </c>
      <c r="T521" s="87" t="s">
        <v>6645</v>
      </c>
    </row>
    <row r="522" spans="1:20" ht="15.75" customHeight="1">
      <c r="A522" s="9" t="s">
        <v>2908</v>
      </c>
      <c r="C522" s="9" t="s">
        <v>6236</v>
      </c>
      <c r="D522" s="87" t="s">
        <v>6393</v>
      </c>
      <c r="E522" s="9" t="s">
        <v>431</v>
      </c>
      <c r="F522" s="9" t="s">
        <v>368</v>
      </c>
      <c r="G522" s="9" t="s">
        <v>436</v>
      </c>
      <c r="H522" s="9" t="s">
        <v>434</v>
      </c>
      <c r="I522" s="87" t="s">
        <v>6264</v>
      </c>
      <c r="J522" s="87" t="s">
        <v>6660</v>
      </c>
      <c r="K522" s="87" t="s">
        <v>6239</v>
      </c>
      <c r="L522" s="87" t="s">
        <v>6240</v>
      </c>
      <c r="M522" s="87" t="s">
        <v>6662</v>
      </c>
      <c r="N522" s="9" t="s">
        <v>6928</v>
      </c>
      <c r="O522" s="87" t="s">
        <v>6239</v>
      </c>
      <c r="P522" s="9" t="s">
        <v>6243</v>
      </c>
      <c r="Q522" s="87" t="s">
        <v>3764</v>
      </c>
      <c r="R522" s="87" t="s">
        <v>6660</v>
      </c>
      <c r="S522" s="87" t="s">
        <v>6327</v>
      </c>
      <c r="T522" s="87" t="s">
        <v>6645</v>
      </c>
    </row>
    <row r="523" spans="1:20" ht="15.75" customHeight="1">
      <c r="A523" s="9" t="s">
        <v>2908</v>
      </c>
      <c r="C523" s="9" t="s">
        <v>6236</v>
      </c>
      <c r="D523" s="87" t="s">
        <v>6393</v>
      </c>
      <c r="E523" s="9" t="s">
        <v>431</v>
      </c>
      <c r="F523" s="9" t="s">
        <v>368</v>
      </c>
      <c r="G523" s="9" t="s">
        <v>436</v>
      </c>
      <c r="H523" s="9" t="s">
        <v>434</v>
      </c>
      <c r="I523" s="87" t="s">
        <v>6264</v>
      </c>
      <c r="J523" s="87" t="s">
        <v>6660</v>
      </c>
      <c r="K523" s="87" t="s">
        <v>6526</v>
      </c>
      <c r="L523" s="87" t="s">
        <v>6240</v>
      </c>
      <c r="M523" s="87" t="s">
        <v>6663</v>
      </c>
      <c r="N523" s="9" t="s">
        <v>6938</v>
      </c>
      <c r="O523" s="87" t="s">
        <v>6526</v>
      </c>
      <c r="P523" s="9" t="s">
        <v>6243</v>
      </c>
      <c r="Q523" s="87" t="s">
        <v>4023</v>
      </c>
      <c r="R523" s="87" t="s">
        <v>6660</v>
      </c>
      <c r="S523" s="87" t="s">
        <v>6486</v>
      </c>
      <c r="T523" s="87" t="s">
        <v>6645</v>
      </c>
    </row>
    <row r="524" spans="1:20" ht="15.75" customHeight="1">
      <c r="A524" s="9" t="s">
        <v>2908</v>
      </c>
      <c r="C524" s="9" t="s">
        <v>6671</v>
      </c>
      <c r="D524" s="87" t="s">
        <v>6296</v>
      </c>
      <c r="E524" s="9" t="s">
        <v>6672</v>
      </c>
      <c r="F524" s="9" t="s">
        <v>439</v>
      </c>
      <c r="G524" s="9" t="s">
        <v>436</v>
      </c>
      <c r="H524" s="9" t="s">
        <v>440</v>
      </c>
      <c r="I524" s="87" t="s">
        <v>6405</v>
      </c>
      <c r="J524" s="87" t="s">
        <v>6680</v>
      </c>
      <c r="K524" s="87" t="s">
        <v>6239</v>
      </c>
      <c r="L524" s="87" t="s">
        <v>6240</v>
      </c>
      <c r="M524" s="87" t="s">
        <v>6684</v>
      </c>
      <c r="N524" s="9" t="s">
        <v>6928</v>
      </c>
      <c r="O524" s="87" t="s">
        <v>6239</v>
      </c>
      <c r="P524" s="9" t="s">
        <v>6243</v>
      </c>
      <c r="Q524" s="87" t="s">
        <v>3764</v>
      </c>
      <c r="R524" s="87" t="s">
        <v>6680</v>
      </c>
      <c r="S524" s="87" t="s">
        <v>6327</v>
      </c>
      <c r="T524" s="87" t="s">
        <v>6645</v>
      </c>
    </row>
    <row r="525" spans="1:20" ht="15.75" customHeight="1">
      <c r="A525" s="9" t="s">
        <v>2908</v>
      </c>
      <c r="C525" s="9" t="s">
        <v>6671</v>
      </c>
      <c r="D525" s="87" t="s">
        <v>6296</v>
      </c>
      <c r="E525" s="9" t="s">
        <v>6672</v>
      </c>
      <c r="F525" s="9" t="s">
        <v>439</v>
      </c>
      <c r="G525" s="9" t="s">
        <v>436</v>
      </c>
      <c r="H525" s="9" t="s">
        <v>440</v>
      </c>
      <c r="I525" s="87" t="s">
        <v>6405</v>
      </c>
      <c r="J525" s="87" t="s">
        <v>6680</v>
      </c>
      <c r="K525" s="87" t="s">
        <v>6239</v>
      </c>
      <c r="L525" s="87" t="s">
        <v>6240</v>
      </c>
      <c r="M525" s="87" t="s">
        <v>6683</v>
      </c>
      <c r="N525" s="9" t="s">
        <v>6928</v>
      </c>
      <c r="O525" s="87" t="s">
        <v>6239</v>
      </c>
      <c r="P525" s="9" t="s">
        <v>6243</v>
      </c>
      <c r="Q525" s="87" t="s">
        <v>3764</v>
      </c>
      <c r="R525" s="87" t="s">
        <v>6680</v>
      </c>
      <c r="S525" s="87" t="s">
        <v>6327</v>
      </c>
      <c r="T525" s="87" t="s">
        <v>6645</v>
      </c>
    </row>
    <row r="526" spans="1:20" ht="15.75" customHeight="1">
      <c r="A526" s="9" t="s">
        <v>2908</v>
      </c>
      <c r="C526" s="9" t="s">
        <v>6671</v>
      </c>
      <c r="D526" s="87" t="s">
        <v>6296</v>
      </c>
      <c r="E526" s="9" t="s">
        <v>6672</v>
      </c>
      <c r="F526" s="9" t="s">
        <v>439</v>
      </c>
      <c r="G526" s="9" t="s">
        <v>436</v>
      </c>
      <c r="H526" s="9" t="s">
        <v>440</v>
      </c>
      <c r="I526" s="87" t="s">
        <v>6405</v>
      </c>
      <c r="J526" s="87" t="s">
        <v>6680</v>
      </c>
      <c r="K526" s="87" t="s">
        <v>6440</v>
      </c>
      <c r="L526" s="87" t="s">
        <v>6240</v>
      </c>
      <c r="M526" s="87" t="s">
        <v>6681</v>
      </c>
      <c r="N526" s="9" t="s">
        <v>7216</v>
      </c>
      <c r="O526" s="87" t="s">
        <v>6440</v>
      </c>
      <c r="P526" s="9" t="s">
        <v>6243</v>
      </c>
      <c r="Q526" s="87" t="s">
        <v>5063</v>
      </c>
      <c r="R526" s="87" t="s">
        <v>6680</v>
      </c>
      <c r="S526" s="87" t="s">
        <v>6535</v>
      </c>
      <c r="T526" s="87" t="s">
        <v>6645</v>
      </c>
    </row>
    <row r="527" spans="1:20" ht="15.75" customHeight="1">
      <c r="A527" s="9" t="s">
        <v>2908</v>
      </c>
      <c r="C527" s="9" t="s">
        <v>6923</v>
      </c>
      <c r="D527" s="87" t="s">
        <v>6264</v>
      </c>
      <c r="E527" s="9" t="s">
        <v>6924</v>
      </c>
      <c r="F527" s="9" t="s">
        <v>6925</v>
      </c>
      <c r="G527" s="9" t="s">
        <v>383</v>
      </c>
      <c r="H527" s="9" t="s">
        <v>449</v>
      </c>
      <c r="I527" s="87" t="s">
        <v>6405</v>
      </c>
      <c r="J527" s="87" t="s">
        <v>6264</v>
      </c>
      <c r="K527" s="87" t="s">
        <v>6926</v>
      </c>
      <c r="L527" s="87" t="s">
        <v>6852</v>
      </c>
      <c r="M527" s="87" t="s">
        <v>7217</v>
      </c>
      <c r="N527" s="9" t="s">
        <v>7218</v>
      </c>
      <c r="O527" s="87" t="s">
        <v>6619</v>
      </c>
      <c r="P527" s="9" t="s">
        <v>6243</v>
      </c>
      <c r="Q527" s="87" t="s">
        <v>6852</v>
      </c>
      <c r="R527" s="87" t="s">
        <v>6264</v>
      </c>
      <c r="S527" s="87" t="s">
        <v>6433</v>
      </c>
      <c r="T527" s="87" t="s">
        <v>6341</v>
      </c>
    </row>
    <row r="528" spans="1:20" ht="15.75" customHeight="1">
      <c r="A528" s="9" t="s">
        <v>2908</v>
      </c>
      <c r="C528" s="9" t="s">
        <v>6923</v>
      </c>
      <c r="D528" s="87" t="s">
        <v>6264</v>
      </c>
      <c r="E528" s="9" t="s">
        <v>6924</v>
      </c>
      <c r="F528" s="9" t="s">
        <v>6925</v>
      </c>
      <c r="G528" s="9" t="s">
        <v>383</v>
      </c>
      <c r="H528" s="9" t="s">
        <v>449</v>
      </c>
      <c r="I528" s="87" t="s">
        <v>6405</v>
      </c>
      <c r="J528" s="87" t="s">
        <v>6264</v>
      </c>
      <c r="K528" s="87" t="s">
        <v>6926</v>
      </c>
      <c r="L528" s="87" t="s">
        <v>6852</v>
      </c>
      <c r="M528" s="87" t="s">
        <v>7219</v>
      </c>
      <c r="N528" s="9" t="s">
        <v>7218</v>
      </c>
      <c r="O528" s="87" t="s">
        <v>6619</v>
      </c>
      <c r="P528" s="9" t="s">
        <v>6243</v>
      </c>
      <c r="Q528" s="87" t="s">
        <v>6852</v>
      </c>
      <c r="R528" s="87" t="s">
        <v>6264</v>
      </c>
      <c r="S528" s="87" t="s">
        <v>6433</v>
      </c>
      <c r="T528" s="87" t="s">
        <v>6341</v>
      </c>
    </row>
    <row r="529" spans="1:20" ht="15.75" customHeight="1">
      <c r="A529" s="9" t="s">
        <v>2908</v>
      </c>
      <c r="C529" s="9" t="s">
        <v>6923</v>
      </c>
      <c r="D529" s="87" t="s">
        <v>6264</v>
      </c>
      <c r="E529" s="9" t="s">
        <v>6924</v>
      </c>
      <c r="F529" s="9" t="s">
        <v>6925</v>
      </c>
      <c r="G529" s="9" t="s">
        <v>383</v>
      </c>
      <c r="H529" s="9" t="s">
        <v>449</v>
      </c>
      <c r="I529" s="87" t="s">
        <v>6405</v>
      </c>
      <c r="J529" s="87" t="s">
        <v>6264</v>
      </c>
      <c r="K529" s="87" t="s">
        <v>6926</v>
      </c>
      <c r="L529" s="87" t="s">
        <v>6852</v>
      </c>
      <c r="M529" s="87" t="s">
        <v>6665</v>
      </c>
      <c r="N529" s="9" t="s">
        <v>7218</v>
      </c>
      <c r="O529" s="87" t="s">
        <v>6619</v>
      </c>
      <c r="P529" s="9" t="s">
        <v>6243</v>
      </c>
      <c r="Q529" s="87" t="s">
        <v>6852</v>
      </c>
      <c r="R529" s="87" t="s">
        <v>6264</v>
      </c>
      <c r="S529" s="87" t="s">
        <v>6433</v>
      </c>
      <c r="T529" s="87" t="s">
        <v>6341</v>
      </c>
    </row>
    <row r="530" spans="1:20" ht="15.75" customHeight="1">
      <c r="A530" s="9" t="s">
        <v>2919</v>
      </c>
      <c r="C530" s="9" t="s">
        <v>6236</v>
      </c>
      <c r="D530" s="87" t="s">
        <v>6393</v>
      </c>
      <c r="E530" s="9" t="s">
        <v>431</v>
      </c>
      <c r="F530" s="9" t="s">
        <v>368</v>
      </c>
      <c r="G530" s="9" t="s">
        <v>436</v>
      </c>
      <c r="H530" s="9" t="s">
        <v>434</v>
      </c>
      <c r="I530" s="87" t="s">
        <v>6237</v>
      </c>
      <c r="J530" s="87" t="s">
        <v>6238</v>
      </c>
      <c r="K530" s="87" t="s">
        <v>6239</v>
      </c>
      <c r="L530" s="87" t="s">
        <v>6240</v>
      </c>
      <c r="M530" s="87" t="s">
        <v>6677</v>
      </c>
      <c r="N530" s="9" t="s">
        <v>6928</v>
      </c>
      <c r="O530" s="87" t="s">
        <v>6239</v>
      </c>
      <c r="P530" s="9" t="s">
        <v>6243</v>
      </c>
      <c r="Q530" s="87" t="s">
        <v>3764</v>
      </c>
      <c r="R530" s="87" t="s">
        <v>6238</v>
      </c>
      <c r="S530" s="87" t="s">
        <v>6327</v>
      </c>
      <c r="T530" s="87" t="s">
        <v>6645</v>
      </c>
    </row>
    <row r="531" spans="1:20" ht="15.75" customHeight="1">
      <c r="A531" s="9" t="s">
        <v>2919</v>
      </c>
      <c r="C531" s="9" t="s">
        <v>6236</v>
      </c>
      <c r="D531" s="87" t="s">
        <v>6393</v>
      </c>
      <c r="E531" s="9" t="s">
        <v>431</v>
      </c>
      <c r="F531" s="9" t="s">
        <v>368</v>
      </c>
      <c r="G531" s="9" t="s">
        <v>436</v>
      </c>
      <c r="H531" s="9" t="s">
        <v>434</v>
      </c>
      <c r="I531" s="87" t="s">
        <v>6237</v>
      </c>
      <c r="J531" s="87" t="s">
        <v>6238</v>
      </c>
      <c r="K531" s="87" t="s">
        <v>6245</v>
      </c>
      <c r="L531" s="87" t="s">
        <v>6240</v>
      </c>
      <c r="M531" s="87" t="s">
        <v>6688</v>
      </c>
      <c r="N531" s="9" t="s">
        <v>7000</v>
      </c>
      <c r="O531" s="87" t="s">
        <v>6245</v>
      </c>
      <c r="P531" s="9" t="s">
        <v>6243</v>
      </c>
      <c r="Q531" s="87" t="s">
        <v>6238</v>
      </c>
      <c r="R531" s="87" t="s">
        <v>6238</v>
      </c>
      <c r="S531" s="87" t="s">
        <v>6500</v>
      </c>
      <c r="T531" s="87" t="s">
        <v>6645</v>
      </c>
    </row>
    <row r="532" spans="1:20" ht="15.75" customHeight="1">
      <c r="A532" s="9" t="s">
        <v>2919</v>
      </c>
      <c r="C532" s="9" t="s">
        <v>6923</v>
      </c>
      <c r="D532" s="87" t="s">
        <v>6810</v>
      </c>
      <c r="E532" s="9" t="s">
        <v>6924</v>
      </c>
      <c r="F532" s="9" t="s">
        <v>6925</v>
      </c>
      <c r="G532" s="9" t="s">
        <v>383</v>
      </c>
      <c r="H532" s="9" t="s">
        <v>430</v>
      </c>
      <c r="I532" s="87" t="s">
        <v>6405</v>
      </c>
      <c r="J532" s="87" t="s">
        <v>6405</v>
      </c>
      <c r="K532" s="87" t="s">
        <v>6926</v>
      </c>
      <c r="L532" s="87" t="s">
        <v>4014</v>
      </c>
      <c r="M532" s="87" t="s">
        <v>6670</v>
      </c>
      <c r="N532" s="9" t="s">
        <v>7131</v>
      </c>
      <c r="O532" s="87" t="s">
        <v>6260</v>
      </c>
      <c r="P532" s="9" t="s">
        <v>6243</v>
      </c>
      <c r="Q532" s="87" t="s">
        <v>4014</v>
      </c>
      <c r="R532" s="87" t="s">
        <v>6405</v>
      </c>
      <c r="S532" s="87" t="s">
        <v>6260</v>
      </c>
      <c r="T532" s="87" t="s">
        <v>6341</v>
      </c>
    </row>
    <row r="533" spans="1:20" ht="15.75" customHeight="1">
      <c r="A533" s="9" t="s">
        <v>2919</v>
      </c>
      <c r="C533" s="9" t="s">
        <v>6923</v>
      </c>
      <c r="D533" s="87" t="s">
        <v>6461</v>
      </c>
      <c r="E533" s="9" t="s">
        <v>6924</v>
      </c>
      <c r="F533" s="9" t="s">
        <v>6925</v>
      </c>
      <c r="G533" s="9" t="s">
        <v>383</v>
      </c>
      <c r="H533" s="9" t="s">
        <v>427</v>
      </c>
      <c r="I533" s="87" t="s">
        <v>6405</v>
      </c>
      <c r="J533" s="87" t="s">
        <v>6334</v>
      </c>
      <c r="K533" s="87" t="s">
        <v>6939</v>
      </c>
      <c r="L533" s="87" t="s">
        <v>4019</v>
      </c>
      <c r="M533" s="87" t="s">
        <v>6670</v>
      </c>
      <c r="N533" s="9" t="s">
        <v>7159</v>
      </c>
      <c r="O533" s="87" t="s">
        <v>6263</v>
      </c>
      <c r="P533" s="9" t="s">
        <v>6243</v>
      </c>
      <c r="Q533" s="87" t="s">
        <v>3699</v>
      </c>
      <c r="R533" s="87" t="s">
        <v>6334</v>
      </c>
      <c r="S533" s="87" t="s">
        <v>6245</v>
      </c>
      <c r="T533" s="87" t="s">
        <v>6341</v>
      </c>
    </row>
    <row r="534" spans="1:20" ht="15.75" customHeight="1">
      <c r="A534" s="9" t="s">
        <v>2963</v>
      </c>
      <c r="C534" s="9" t="s">
        <v>6236</v>
      </c>
      <c r="D534" s="87" t="s">
        <v>6393</v>
      </c>
      <c r="E534" s="9" t="s">
        <v>431</v>
      </c>
      <c r="F534" s="9" t="s">
        <v>368</v>
      </c>
      <c r="G534" s="9" t="s">
        <v>436</v>
      </c>
      <c r="H534" s="9" t="s">
        <v>434</v>
      </c>
      <c r="I534" s="87" t="s">
        <v>6237</v>
      </c>
      <c r="J534" s="87" t="s">
        <v>6451</v>
      </c>
      <c r="K534" s="87" t="s">
        <v>6451</v>
      </c>
      <c r="L534" s="87" t="s">
        <v>6240</v>
      </c>
      <c r="M534" s="87" t="s">
        <v>6665</v>
      </c>
      <c r="N534" s="9" t="s">
        <v>7220</v>
      </c>
      <c r="O534" s="87" t="s">
        <v>6451</v>
      </c>
      <c r="P534" s="9" t="s">
        <v>6243</v>
      </c>
      <c r="Q534" s="87" t="s">
        <v>6410</v>
      </c>
      <c r="R534" s="87" t="s">
        <v>6451</v>
      </c>
      <c r="S534" s="87" t="s">
        <v>6651</v>
      </c>
      <c r="T534" s="87" t="s">
        <v>6645</v>
      </c>
    </row>
    <row r="535" spans="1:20" ht="15.75" customHeight="1">
      <c r="A535" s="9" t="s">
        <v>2963</v>
      </c>
      <c r="C535" s="9" t="s">
        <v>6671</v>
      </c>
      <c r="D535" s="87" t="s">
        <v>6296</v>
      </c>
      <c r="E535" s="9" t="s">
        <v>6672</v>
      </c>
      <c r="F535" s="9" t="s">
        <v>439</v>
      </c>
      <c r="G535" s="9" t="s">
        <v>436</v>
      </c>
      <c r="H535" s="9" t="s">
        <v>440</v>
      </c>
      <c r="I535" s="87" t="s">
        <v>6405</v>
      </c>
      <c r="J535" s="87" t="s">
        <v>6570</v>
      </c>
      <c r="K535" s="87" t="s">
        <v>6570</v>
      </c>
      <c r="L535" s="87" t="s">
        <v>6240</v>
      </c>
      <c r="M535" s="87" t="s">
        <v>6677</v>
      </c>
      <c r="N535" s="9" t="s">
        <v>7221</v>
      </c>
      <c r="O535" s="87" t="s">
        <v>6570</v>
      </c>
      <c r="P535" s="9" t="s">
        <v>6243</v>
      </c>
      <c r="Q535" s="87" t="s">
        <v>6573</v>
      </c>
      <c r="R535" s="87" t="s">
        <v>6570</v>
      </c>
      <c r="S535" s="87" t="s">
        <v>6316</v>
      </c>
      <c r="T535" s="87" t="s">
        <v>6645</v>
      </c>
    </row>
    <row r="536" spans="1:20" ht="15.75" customHeight="1">
      <c r="A536" s="9" t="s">
        <v>2963</v>
      </c>
      <c r="C536" s="9" t="s">
        <v>6923</v>
      </c>
      <c r="D536" s="87" t="s">
        <v>6461</v>
      </c>
      <c r="E536" s="9" t="s">
        <v>6924</v>
      </c>
      <c r="F536" s="9" t="s">
        <v>6925</v>
      </c>
      <c r="G536" s="9" t="s">
        <v>383</v>
      </c>
      <c r="H536" s="9" t="s">
        <v>427</v>
      </c>
      <c r="I536" s="87" t="s">
        <v>6405</v>
      </c>
      <c r="J536" s="87" t="s">
        <v>6405</v>
      </c>
      <c r="K536" s="87" t="s">
        <v>6926</v>
      </c>
      <c r="L536" s="87" t="s">
        <v>6372</v>
      </c>
      <c r="M536" s="87" t="s">
        <v>6688</v>
      </c>
      <c r="N536" s="9" t="s">
        <v>6984</v>
      </c>
      <c r="O536" s="87" t="s">
        <v>6295</v>
      </c>
      <c r="P536" s="9" t="s">
        <v>6243</v>
      </c>
      <c r="Q536" s="87" t="s">
        <v>6372</v>
      </c>
      <c r="R536" s="87" t="s">
        <v>6405</v>
      </c>
      <c r="S536" s="87" t="s">
        <v>6526</v>
      </c>
      <c r="T536" s="87" t="s">
        <v>6341</v>
      </c>
    </row>
    <row r="537" spans="1:20" ht="15.75" customHeight="1">
      <c r="A537" s="9" t="s">
        <v>2945</v>
      </c>
      <c r="C537" s="9" t="s">
        <v>6236</v>
      </c>
      <c r="D537" s="87" t="s">
        <v>6393</v>
      </c>
      <c r="E537" s="9" t="s">
        <v>431</v>
      </c>
      <c r="F537" s="9" t="s">
        <v>368</v>
      </c>
      <c r="G537" s="9" t="s">
        <v>436</v>
      </c>
      <c r="H537" s="9" t="s">
        <v>434</v>
      </c>
      <c r="I537" s="87" t="s">
        <v>6237</v>
      </c>
      <c r="J537" s="87" t="s">
        <v>6238</v>
      </c>
      <c r="K537" s="87" t="s">
        <v>6239</v>
      </c>
      <c r="L537" s="87" t="s">
        <v>6240</v>
      </c>
      <c r="M537" s="87" t="s">
        <v>6241</v>
      </c>
      <c r="N537" s="9" t="s">
        <v>6928</v>
      </c>
      <c r="O537" s="87" t="s">
        <v>6239</v>
      </c>
      <c r="P537" s="9" t="s">
        <v>6243</v>
      </c>
      <c r="Q537" s="87" t="s">
        <v>3764</v>
      </c>
      <c r="R537" s="87" t="s">
        <v>6238</v>
      </c>
      <c r="S537" s="87" t="s">
        <v>6327</v>
      </c>
      <c r="T537" s="87" t="s">
        <v>6645</v>
      </c>
    </row>
    <row r="538" spans="1:20" ht="15.75" customHeight="1">
      <c r="A538" s="9" t="s">
        <v>2945</v>
      </c>
      <c r="C538" s="9" t="s">
        <v>6236</v>
      </c>
      <c r="D538" s="87" t="s">
        <v>6393</v>
      </c>
      <c r="E538" s="9" t="s">
        <v>431</v>
      </c>
      <c r="F538" s="9" t="s">
        <v>368</v>
      </c>
      <c r="G538" s="9" t="s">
        <v>436</v>
      </c>
      <c r="H538" s="9" t="s">
        <v>434</v>
      </c>
      <c r="I538" s="87" t="s">
        <v>6237</v>
      </c>
      <c r="J538" s="87" t="s">
        <v>6238</v>
      </c>
      <c r="K538" s="87" t="s">
        <v>6245</v>
      </c>
      <c r="L538" s="87" t="s">
        <v>6240</v>
      </c>
      <c r="M538" s="87" t="s">
        <v>6246</v>
      </c>
      <c r="N538" s="9" t="s">
        <v>7000</v>
      </c>
      <c r="O538" s="87" t="s">
        <v>6245</v>
      </c>
      <c r="P538" s="9" t="s">
        <v>6243</v>
      </c>
      <c r="Q538" s="87" t="s">
        <v>6238</v>
      </c>
      <c r="R538" s="87" t="s">
        <v>6238</v>
      </c>
      <c r="S538" s="87" t="s">
        <v>6500</v>
      </c>
      <c r="T538" s="87" t="s">
        <v>6645</v>
      </c>
    </row>
    <row r="539" spans="1:20" ht="15.75" customHeight="1">
      <c r="A539" s="9" t="s">
        <v>2945</v>
      </c>
      <c r="C539" s="9" t="s">
        <v>6671</v>
      </c>
      <c r="D539" s="87" t="s">
        <v>6296</v>
      </c>
      <c r="E539" s="9" t="s">
        <v>6672</v>
      </c>
      <c r="F539" s="9" t="s">
        <v>439</v>
      </c>
      <c r="G539" s="9" t="s">
        <v>436</v>
      </c>
      <c r="H539" s="9" t="s">
        <v>440</v>
      </c>
      <c r="I539" s="87" t="s">
        <v>6405</v>
      </c>
      <c r="J539" s="87" t="s">
        <v>6357</v>
      </c>
      <c r="K539" s="87" t="s">
        <v>6357</v>
      </c>
      <c r="L539" s="87" t="s">
        <v>6240</v>
      </c>
      <c r="M539" s="87" t="s">
        <v>6673</v>
      </c>
      <c r="N539" s="9" t="s">
        <v>7027</v>
      </c>
      <c r="O539" s="87" t="s">
        <v>6357</v>
      </c>
      <c r="P539" s="9" t="s">
        <v>6243</v>
      </c>
      <c r="Q539" s="87" t="s">
        <v>6565</v>
      </c>
      <c r="R539" s="87" t="s">
        <v>6357</v>
      </c>
      <c r="S539" s="87" t="s">
        <v>6329</v>
      </c>
      <c r="T539" s="87" t="s">
        <v>6645</v>
      </c>
    </row>
    <row r="540" spans="1:20" ht="15.75" customHeight="1">
      <c r="A540" s="9" t="s">
        <v>2945</v>
      </c>
      <c r="C540" s="9" t="s">
        <v>6923</v>
      </c>
      <c r="D540" s="87" t="s">
        <v>6327</v>
      </c>
      <c r="E540" s="9" t="s">
        <v>6924</v>
      </c>
      <c r="F540" s="9" t="s">
        <v>6925</v>
      </c>
      <c r="G540" s="9" t="s">
        <v>383</v>
      </c>
      <c r="H540" s="9" t="s">
        <v>444</v>
      </c>
      <c r="I540" s="87" t="s">
        <v>6405</v>
      </c>
      <c r="J540" s="87" t="s">
        <v>6405</v>
      </c>
      <c r="K540" s="87" t="s">
        <v>6926</v>
      </c>
      <c r="L540" s="87" t="s">
        <v>6416</v>
      </c>
      <c r="M540" s="87" t="s">
        <v>7222</v>
      </c>
      <c r="N540" s="9" t="s">
        <v>7187</v>
      </c>
      <c r="O540" s="87" t="s">
        <v>6414</v>
      </c>
      <c r="P540" s="9" t="s">
        <v>6243</v>
      </c>
      <c r="Q540" s="87" t="s">
        <v>6416</v>
      </c>
      <c r="R540" s="87" t="s">
        <v>6405</v>
      </c>
      <c r="S540" s="87" t="s">
        <v>6314</v>
      </c>
      <c r="T540" s="87" t="s">
        <v>6341</v>
      </c>
    </row>
    <row r="541" spans="1:20" ht="15.75" customHeight="1"/>
    <row r="542" spans="1:20" ht="15.75" customHeight="1"/>
    <row r="543" spans="1:20" ht="15.75" customHeight="1"/>
    <row r="544" spans="1:20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406" xr:uid="{00000000-0009-0000-0000-00000D000000}"/>
  <phoneticPr fontId="42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1328125" defaultRowHeight="15" customHeight="1"/>
  <cols>
    <col min="1" max="6" width="12.61328125" customWidth="1"/>
  </cols>
  <sheetData>
    <row r="1" spans="1:20" ht="15.75" customHeight="1">
      <c r="A1" s="9" t="s">
        <v>2817</v>
      </c>
      <c r="B1" s="9" t="s">
        <v>7223</v>
      </c>
      <c r="C1" s="9" t="s">
        <v>6224</v>
      </c>
      <c r="D1" s="9" t="s">
        <v>6913</v>
      </c>
      <c r="E1" s="9" t="s">
        <v>6225</v>
      </c>
      <c r="F1" s="9" t="s">
        <v>360</v>
      </c>
      <c r="G1" s="9" t="s">
        <v>421</v>
      </c>
      <c r="H1" s="9" t="s">
        <v>415</v>
      </c>
      <c r="I1" s="9" t="s">
        <v>420</v>
      </c>
      <c r="J1" s="9" t="s">
        <v>6914</v>
      </c>
      <c r="K1" s="9" t="s">
        <v>6915</v>
      </c>
      <c r="L1" s="9" t="s">
        <v>6916</v>
      </c>
      <c r="M1" s="9" t="s">
        <v>358</v>
      </c>
      <c r="N1" s="9" t="s">
        <v>6229</v>
      </c>
      <c r="O1" s="9" t="s">
        <v>6230</v>
      </c>
      <c r="P1" s="9" t="s">
        <v>6231</v>
      </c>
      <c r="Q1" s="9" t="s">
        <v>6917</v>
      </c>
      <c r="R1" s="9" t="s">
        <v>6918</v>
      </c>
      <c r="S1" s="9" t="s">
        <v>6919</v>
      </c>
      <c r="T1" s="9" t="s">
        <v>6920</v>
      </c>
    </row>
    <row r="2" spans="1:20" ht="15.75" customHeight="1">
      <c r="A2" s="9" t="s">
        <v>2944</v>
      </c>
      <c r="B2" s="9" t="s">
        <v>7224</v>
      </c>
      <c r="C2" s="9" t="s">
        <v>6236</v>
      </c>
      <c r="D2" s="87" t="s">
        <v>6393</v>
      </c>
      <c r="E2" s="9" t="s">
        <v>431</v>
      </c>
      <c r="F2" s="9" t="s">
        <v>368</v>
      </c>
      <c r="G2" s="9" t="s">
        <v>436</v>
      </c>
      <c r="H2" s="9" t="s">
        <v>434</v>
      </c>
      <c r="I2" s="87" t="s">
        <v>6237</v>
      </c>
      <c r="J2" s="87" t="s">
        <v>6268</v>
      </c>
      <c r="K2" s="87" t="s">
        <v>6268</v>
      </c>
      <c r="L2" s="87" t="s">
        <v>6240</v>
      </c>
      <c r="M2" s="87" t="s">
        <v>6265</v>
      </c>
      <c r="N2" s="9" t="s">
        <v>6921</v>
      </c>
      <c r="O2" s="87" t="s">
        <v>6268</v>
      </c>
      <c r="P2" s="9" t="s">
        <v>6243</v>
      </c>
      <c r="Q2" s="87" t="s">
        <v>6270</v>
      </c>
      <c r="R2" s="87" t="s">
        <v>6268</v>
      </c>
      <c r="S2" s="87" t="s">
        <v>6323</v>
      </c>
      <c r="T2" s="87" t="s">
        <v>6606</v>
      </c>
    </row>
    <row r="3" spans="1:20" ht="15.75" customHeight="1">
      <c r="A3" s="9" t="s">
        <v>2944</v>
      </c>
      <c r="B3" s="9" t="s">
        <v>7225</v>
      </c>
      <c r="C3" s="9" t="s">
        <v>6671</v>
      </c>
      <c r="D3" s="87" t="s">
        <v>6296</v>
      </c>
      <c r="E3" s="9" t="s">
        <v>6672</v>
      </c>
      <c r="F3" s="9" t="s">
        <v>439</v>
      </c>
      <c r="G3" s="9" t="s">
        <v>436</v>
      </c>
      <c r="H3" s="9" t="s">
        <v>440</v>
      </c>
      <c r="I3" s="87" t="s">
        <v>6405</v>
      </c>
      <c r="J3" s="87" t="s">
        <v>6313</v>
      </c>
      <c r="K3" s="87" t="s">
        <v>6313</v>
      </c>
      <c r="L3" s="87" t="s">
        <v>6240</v>
      </c>
      <c r="M3" s="87" t="s">
        <v>6274</v>
      </c>
      <c r="N3" s="9" t="s">
        <v>6922</v>
      </c>
      <c r="O3" s="87" t="s">
        <v>6313</v>
      </c>
      <c r="P3" s="9" t="s">
        <v>6243</v>
      </c>
      <c r="Q3" s="87" t="s">
        <v>6357</v>
      </c>
      <c r="R3" s="87" t="s">
        <v>6313</v>
      </c>
      <c r="S3" s="87" t="s">
        <v>6373</v>
      </c>
      <c r="T3" s="87" t="s">
        <v>6419</v>
      </c>
    </row>
    <row r="4" spans="1:20" ht="15.75" customHeight="1">
      <c r="A4" s="9" t="s">
        <v>2944</v>
      </c>
      <c r="B4" s="9" t="s">
        <v>7226</v>
      </c>
      <c r="C4" s="9" t="s">
        <v>6923</v>
      </c>
      <c r="D4" s="87" t="s">
        <v>6327</v>
      </c>
      <c r="E4" s="9" t="s">
        <v>6924</v>
      </c>
      <c r="F4" s="9" t="s">
        <v>6925</v>
      </c>
      <c r="G4" s="9" t="s">
        <v>383</v>
      </c>
      <c r="H4" s="9" t="s">
        <v>444</v>
      </c>
      <c r="I4" s="87" t="s">
        <v>6405</v>
      </c>
      <c r="J4" s="87" t="s">
        <v>6405</v>
      </c>
      <c r="K4" s="87" t="s">
        <v>6926</v>
      </c>
      <c r="L4" s="87" t="s">
        <v>6278</v>
      </c>
      <c r="M4" s="87" t="s">
        <v>6891</v>
      </c>
      <c r="N4" s="9" t="s">
        <v>7227</v>
      </c>
      <c r="O4" s="87" t="s">
        <v>6397</v>
      </c>
      <c r="P4" s="9" t="s">
        <v>6243</v>
      </c>
      <c r="Q4" s="87" t="s">
        <v>6278</v>
      </c>
      <c r="R4" s="87" t="s">
        <v>6405</v>
      </c>
      <c r="S4" s="87" t="s">
        <v>6293</v>
      </c>
      <c r="T4" s="87" t="s">
        <v>6619</v>
      </c>
    </row>
    <row r="5" spans="1:20" ht="15.75" customHeight="1">
      <c r="A5" s="9" t="s">
        <v>2944</v>
      </c>
      <c r="B5" s="9" t="s">
        <v>7226</v>
      </c>
      <c r="C5" s="9" t="s">
        <v>7228</v>
      </c>
      <c r="D5" s="87" t="s">
        <v>6290</v>
      </c>
      <c r="E5" s="9" t="s">
        <v>6924</v>
      </c>
      <c r="F5" s="9" t="s">
        <v>11</v>
      </c>
      <c r="G5" s="9" t="s">
        <v>383</v>
      </c>
      <c r="H5" s="9" t="s">
        <v>426</v>
      </c>
      <c r="I5" s="87" t="s">
        <v>6405</v>
      </c>
      <c r="J5" s="87" t="s">
        <v>6405</v>
      </c>
      <c r="K5" s="87" t="s">
        <v>6405</v>
      </c>
      <c r="L5" s="87" t="s">
        <v>6397</v>
      </c>
      <c r="M5" s="87" t="s">
        <v>6890</v>
      </c>
      <c r="N5" s="9" t="s">
        <v>7229</v>
      </c>
      <c r="O5" s="87" t="s">
        <v>6240</v>
      </c>
      <c r="P5" s="9" t="s">
        <v>6243</v>
      </c>
      <c r="Q5" s="87" t="s">
        <v>6397</v>
      </c>
      <c r="R5" s="87" t="s">
        <v>6405</v>
      </c>
      <c r="S5" s="87" t="s">
        <v>5381</v>
      </c>
      <c r="T5" s="87" t="s">
        <v>6619</v>
      </c>
    </row>
    <row r="6" spans="1:20" ht="15.75" customHeight="1">
      <c r="A6" s="9" t="s">
        <v>2966</v>
      </c>
      <c r="B6" s="9" t="s">
        <v>7230</v>
      </c>
      <c r="C6" s="9" t="s">
        <v>6236</v>
      </c>
      <c r="D6" s="87" t="s">
        <v>6393</v>
      </c>
      <c r="E6" s="9" t="s">
        <v>431</v>
      </c>
      <c r="F6" s="9" t="s">
        <v>368</v>
      </c>
      <c r="G6" s="9" t="s">
        <v>436</v>
      </c>
      <c r="H6" s="9" t="s">
        <v>434</v>
      </c>
      <c r="I6" s="87" t="s">
        <v>6237</v>
      </c>
      <c r="J6" s="87" t="s">
        <v>6248</v>
      </c>
      <c r="K6" s="87" t="s">
        <v>6239</v>
      </c>
      <c r="L6" s="87" t="s">
        <v>6240</v>
      </c>
      <c r="M6" s="87" t="s">
        <v>6249</v>
      </c>
      <c r="N6" s="9" t="s">
        <v>6928</v>
      </c>
      <c r="O6" s="87" t="s">
        <v>6239</v>
      </c>
      <c r="P6" s="9" t="s">
        <v>6243</v>
      </c>
      <c r="Q6" s="87" t="s">
        <v>3764</v>
      </c>
      <c r="R6" s="87" t="s">
        <v>6248</v>
      </c>
      <c r="S6" s="87" t="s">
        <v>6327</v>
      </c>
      <c r="T6" s="87" t="s">
        <v>6645</v>
      </c>
    </row>
    <row r="7" spans="1:20" ht="15.75" customHeight="1">
      <c r="A7" s="9" t="s">
        <v>2966</v>
      </c>
      <c r="B7" s="9" t="s">
        <v>7230</v>
      </c>
      <c r="C7" s="9" t="s">
        <v>6236</v>
      </c>
      <c r="D7" s="87" t="s">
        <v>6393</v>
      </c>
      <c r="E7" s="9" t="s">
        <v>431</v>
      </c>
      <c r="F7" s="9" t="s">
        <v>368</v>
      </c>
      <c r="G7" s="9" t="s">
        <v>436</v>
      </c>
      <c r="H7" s="9" t="s">
        <v>434</v>
      </c>
      <c r="I7" s="87" t="s">
        <v>6237</v>
      </c>
      <c r="J7" s="87" t="s">
        <v>6248</v>
      </c>
      <c r="K7" s="87" t="s">
        <v>6256</v>
      </c>
      <c r="L7" s="87" t="s">
        <v>6240</v>
      </c>
      <c r="M7" s="87" t="s">
        <v>6899</v>
      </c>
      <c r="N7" s="9" t="s">
        <v>6929</v>
      </c>
      <c r="O7" s="87" t="s">
        <v>6256</v>
      </c>
      <c r="P7" s="9" t="s">
        <v>6243</v>
      </c>
      <c r="Q7" s="87" t="s">
        <v>6258</v>
      </c>
      <c r="R7" s="87" t="s">
        <v>6248</v>
      </c>
      <c r="S7" s="87" t="s">
        <v>6393</v>
      </c>
      <c r="T7" s="87" t="s">
        <v>6645</v>
      </c>
    </row>
    <row r="8" spans="1:20" ht="15.75" customHeight="1">
      <c r="A8" s="9" t="s">
        <v>2966</v>
      </c>
      <c r="B8" s="9" t="s">
        <v>7231</v>
      </c>
      <c r="C8" s="9" t="s">
        <v>6671</v>
      </c>
      <c r="D8" s="87" t="s">
        <v>6296</v>
      </c>
      <c r="E8" s="9" t="s">
        <v>6672</v>
      </c>
      <c r="F8" s="9" t="s">
        <v>439</v>
      </c>
      <c r="G8" s="9" t="s">
        <v>436</v>
      </c>
      <c r="H8" s="9" t="s">
        <v>440</v>
      </c>
      <c r="I8" s="87" t="s">
        <v>6405</v>
      </c>
      <c r="J8" s="87" t="s">
        <v>6896</v>
      </c>
      <c r="K8" s="87" t="s">
        <v>6239</v>
      </c>
      <c r="L8" s="87" t="s">
        <v>6240</v>
      </c>
      <c r="M8" s="87" t="s">
        <v>6265</v>
      </c>
      <c r="N8" s="9" t="s">
        <v>6928</v>
      </c>
      <c r="O8" s="87" t="s">
        <v>6239</v>
      </c>
      <c r="P8" s="9" t="s">
        <v>6243</v>
      </c>
      <c r="Q8" s="87" t="s">
        <v>3764</v>
      </c>
      <c r="R8" s="87" t="s">
        <v>6896</v>
      </c>
      <c r="S8" s="87" t="s">
        <v>6327</v>
      </c>
      <c r="T8" s="87" t="s">
        <v>6645</v>
      </c>
    </row>
    <row r="9" spans="1:20" ht="15.75" customHeight="1">
      <c r="A9" s="9" t="s">
        <v>2966</v>
      </c>
      <c r="B9" s="9" t="s">
        <v>7231</v>
      </c>
      <c r="C9" s="9" t="s">
        <v>6671</v>
      </c>
      <c r="D9" s="87" t="s">
        <v>6296</v>
      </c>
      <c r="E9" s="9" t="s">
        <v>6672</v>
      </c>
      <c r="F9" s="9" t="s">
        <v>439</v>
      </c>
      <c r="G9" s="9" t="s">
        <v>436</v>
      </c>
      <c r="H9" s="9" t="s">
        <v>440</v>
      </c>
      <c r="I9" s="87" t="s">
        <v>6405</v>
      </c>
      <c r="J9" s="87" t="s">
        <v>6896</v>
      </c>
      <c r="K9" s="87" t="s">
        <v>6430</v>
      </c>
      <c r="L9" s="87" t="s">
        <v>6240</v>
      </c>
      <c r="M9" s="87" t="s">
        <v>6272</v>
      </c>
      <c r="N9" s="9" t="s">
        <v>6930</v>
      </c>
      <c r="O9" s="87" t="s">
        <v>6430</v>
      </c>
      <c r="P9" s="9" t="s">
        <v>6243</v>
      </c>
      <c r="Q9" s="87" t="s">
        <v>6579</v>
      </c>
      <c r="R9" s="87" t="s">
        <v>6896</v>
      </c>
      <c r="S9" s="87" t="s">
        <v>6293</v>
      </c>
      <c r="T9" s="87" t="s">
        <v>6645</v>
      </c>
    </row>
    <row r="10" spans="1:20" ht="15.75" customHeight="1">
      <c r="A10" s="9" t="s">
        <v>2966</v>
      </c>
      <c r="B10" s="9" t="s">
        <v>7232</v>
      </c>
      <c r="C10" s="9" t="s">
        <v>6923</v>
      </c>
      <c r="D10" s="87" t="s">
        <v>6461</v>
      </c>
      <c r="E10" s="9" t="s">
        <v>6924</v>
      </c>
      <c r="F10" s="9" t="s">
        <v>6925</v>
      </c>
      <c r="G10" s="9" t="s">
        <v>383</v>
      </c>
      <c r="H10" s="9" t="s">
        <v>427</v>
      </c>
      <c r="I10" s="87" t="s">
        <v>6405</v>
      </c>
      <c r="J10" s="87" t="s">
        <v>6290</v>
      </c>
      <c r="K10" s="87" t="s">
        <v>6931</v>
      </c>
      <c r="L10" s="87" t="s">
        <v>6932</v>
      </c>
      <c r="M10" s="87" t="s">
        <v>6274</v>
      </c>
      <c r="N10" s="9" t="s">
        <v>6933</v>
      </c>
      <c r="O10" s="87" t="s">
        <v>6267</v>
      </c>
      <c r="P10" s="9" t="s">
        <v>6243</v>
      </c>
      <c r="Q10" s="87" t="s">
        <v>6506</v>
      </c>
      <c r="R10" s="87" t="s">
        <v>6290</v>
      </c>
      <c r="S10" s="87" t="s">
        <v>6264</v>
      </c>
      <c r="T10" s="87" t="s">
        <v>6341</v>
      </c>
    </row>
    <row r="11" spans="1:20" ht="15.75" customHeight="1">
      <c r="A11" s="9" t="s">
        <v>2966</v>
      </c>
      <c r="B11" s="9" t="s">
        <v>7232</v>
      </c>
      <c r="C11" s="9" t="s">
        <v>7228</v>
      </c>
      <c r="D11" s="87" t="s">
        <v>6237</v>
      </c>
      <c r="E11" s="9" t="s">
        <v>6924</v>
      </c>
      <c r="F11" s="9" t="s">
        <v>11</v>
      </c>
      <c r="G11" s="9" t="s">
        <v>383</v>
      </c>
      <c r="H11" s="9" t="s">
        <v>426</v>
      </c>
      <c r="I11" s="87" t="s">
        <v>6405</v>
      </c>
      <c r="J11" s="87" t="s">
        <v>6264</v>
      </c>
      <c r="K11" s="87" t="s">
        <v>6264</v>
      </c>
      <c r="L11" s="87" t="s">
        <v>6254</v>
      </c>
      <c r="M11" s="87" t="s">
        <v>6891</v>
      </c>
      <c r="N11" s="9" t="s">
        <v>7194</v>
      </c>
      <c r="O11" s="87" t="s">
        <v>6528</v>
      </c>
      <c r="P11" s="9" t="s">
        <v>6243</v>
      </c>
      <c r="Q11" s="87" t="s">
        <v>6474</v>
      </c>
      <c r="R11" s="87" t="s">
        <v>6264</v>
      </c>
      <c r="S11" s="87" t="s">
        <v>6357</v>
      </c>
      <c r="T11" s="87" t="s">
        <v>6341</v>
      </c>
    </row>
    <row r="12" spans="1:20" ht="15.75" customHeight="1">
      <c r="A12" s="9" t="s">
        <v>2966</v>
      </c>
      <c r="B12" s="9" t="s">
        <v>7233</v>
      </c>
      <c r="C12" s="9" t="s">
        <v>6923</v>
      </c>
      <c r="D12" s="87" t="s">
        <v>6461</v>
      </c>
      <c r="E12" s="9" t="s">
        <v>6924</v>
      </c>
      <c r="F12" s="9" t="s">
        <v>6925</v>
      </c>
      <c r="G12" s="9" t="s">
        <v>383</v>
      </c>
      <c r="H12" s="9" t="s">
        <v>427</v>
      </c>
      <c r="I12" s="87" t="s">
        <v>6405</v>
      </c>
      <c r="J12" s="87" t="s">
        <v>6290</v>
      </c>
      <c r="K12" s="87" t="s">
        <v>6931</v>
      </c>
      <c r="L12" s="87" t="s">
        <v>6932</v>
      </c>
      <c r="M12" s="87" t="s">
        <v>6891</v>
      </c>
      <c r="N12" s="9" t="s">
        <v>6933</v>
      </c>
      <c r="O12" s="87" t="s">
        <v>6267</v>
      </c>
      <c r="P12" s="9" t="s">
        <v>6243</v>
      </c>
      <c r="Q12" s="87" t="s">
        <v>6506</v>
      </c>
      <c r="R12" s="87" t="s">
        <v>6290</v>
      </c>
      <c r="S12" s="87" t="s">
        <v>6264</v>
      </c>
      <c r="T12" s="87" t="s">
        <v>6341</v>
      </c>
    </row>
    <row r="13" spans="1:20" ht="15.75" customHeight="1">
      <c r="A13" s="9" t="s">
        <v>2966</v>
      </c>
      <c r="B13" s="9" t="s">
        <v>7233</v>
      </c>
      <c r="C13" s="9" t="s">
        <v>7228</v>
      </c>
      <c r="D13" s="87" t="s">
        <v>6237</v>
      </c>
      <c r="E13" s="9" t="s">
        <v>6924</v>
      </c>
      <c r="F13" s="9" t="s">
        <v>11</v>
      </c>
      <c r="G13" s="9" t="s">
        <v>383</v>
      </c>
      <c r="H13" s="9" t="s">
        <v>426</v>
      </c>
      <c r="I13" s="87" t="s">
        <v>6405</v>
      </c>
      <c r="J13" s="87" t="s">
        <v>6264</v>
      </c>
      <c r="K13" s="87" t="s">
        <v>6264</v>
      </c>
      <c r="L13" s="87" t="s">
        <v>6254</v>
      </c>
      <c r="M13" s="87" t="s">
        <v>6890</v>
      </c>
      <c r="N13" s="9" t="s">
        <v>7194</v>
      </c>
      <c r="O13" s="87" t="s">
        <v>6528</v>
      </c>
      <c r="P13" s="9" t="s">
        <v>6243</v>
      </c>
      <c r="Q13" s="87" t="s">
        <v>6474</v>
      </c>
      <c r="R13" s="87" t="s">
        <v>6264</v>
      </c>
      <c r="S13" s="87" t="s">
        <v>6357</v>
      </c>
      <c r="T13" s="87" t="s">
        <v>6341</v>
      </c>
    </row>
    <row r="14" spans="1:20" ht="15.75" customHeight="1">
      <c r="A14" s="9" t="s">
        <v>2966</v>
      </c>
      <c r="B14" s="9" t="s">
        <v>7234</v>
      </c>
      <c r="C14" s="9" t="s">
        <v>6923</v>
      </c>
      <c r="D14" s="87" t="s">
        <v>6461</v>
      </c>
      <c r="E14" s="9" t="s">
        <v>6924</v>
      </c>
      <c r="F14" s="9" t="s">
        <v>6925</v>
      </c>
      <c r="G14" s="9" t="s">
        <v>383</v>
      </c>
      <c r="H14" s="9" t="s">
        <v>427</v>
      </c>
      <c r="I14" s="87" t="s">
        <v>6405</v>
      </c>
      <c r="J14" s="87" t="s">
        <v>6290</v>
      </c>
      <c r="K14" s="87" t="s">
        <v>6931</v>
      </c>
      <c r="L14" s="87" t="s">
        <v>6932</v>
      </c>
      <c r="M14" s="87" t="s">
        <v>6890</v>
      </c>
      <c r="N14" s="9" t="s">
        <v>6933</v>
      </c>
      <c r="O14" s="87" t="s">
        <v>6267</v>
      </c>
      <c r="P14" s="9" t="s">
        <v>6243</v>
      </c>
      <c r="Q14" s="87" t="s">
        <v>6506</v>
      </c>
      <c r="R14" s="87" t="s">
        <v>6290</v>
      </c>
      <c r="S14" s="87" t="s">
        <v>6264</v>
      </c>
      <c r="T14" s="87" t="s">
        <v>6341</v>
      </c>
    </row>
    <row r="15" spans="1:20" ht="15.75" customHeight="1">
      <c r="A15" s="9" t="s">
        <v>2966</v>
      </c>
      <c r="B15" s="9" t="s">
        <v>7234</v>
      </c>
      <c r="C15" s="9" t="s">
        <v>7228</v>
      </c>
      <c r="D15" s="87" t="s">
        <v>6237</v>
      </c>
      <c r="E15" s="9" t="s">
        <v>6924</v>
      </c>
      <c r="F15" s="9" t="s">
        <v>11</v>
      </c>
      <c r="G15" s="9" t="s">
        <v>383</v>
      </c>
      <c r="H15" s="9" t="s">
        <v>426</v>
      </c>
      <c r="I15" s="87" t="s">
        <v>6405</v>
      </c>
      <c r="J15" s="87" t="s">
        <v>6264</v>
      </c>
      <c r="K15" s="87" t="s">
        <v>6264</v>
      </c>
      <c r="L15" s="87" t="s">
        <v>6254</v>
      </c>
      <c r="M15" s="87" t="s">
        <v>6285</v>
      </c>
      <c r="N15" s="9" t="s">
        <v>7194</v>
      </c>
      <c r="O15" s="87" t="s">
        <v>6528</v>
      </c>
      <c r="P15" s="9" t="s">
        <v>6243</v>
      </c>
      <c r="Q15" s="87" t="s">
        <v>6474</v>
      </c>
      <c r="R15" s="87" t="s">
        <v>6264</v>
      </c>
      <c r="S15" s="87" t="s">
        <v>6357</v>
      </c>
      <c r="T15" s="87" t="s">
        <v>6341</v>
      </c>
    </row>
    <row r="16" spans="1:20" ht="15.75" customHeight="1">
      <c r="A16" s="9" t="s">
        <v>2966</v>
      </c>
      <c r="B16" s="9" t="s">
        <v>7235</v>
      </c>
      <c r="C16" s="9" t="s">
        <v>6923</v>
      </c>
      <c r="D16" s="87" t="s">
        <v>6461</v>
      </c>
      <c r="E16" s="9" t="s">
        <v>6924</v>
      </c>
      <c r="F16" s="9" t="s">
        <v>6925</v>
      </c>
      <c r="G16" s="9" t="s">
        <v>383</v>
      </c>
      <c r="H16" s="9" t="s">
        <v>427</v>
      </c>
      <c r="I16" s="87" t="s">
        <v>6405</v>
      </c>
      <c r="J16" s="87" t="s">
        <v>6290</v>
      </c>
      <c r="K16" s="87" t="s">
        <v>6926</v>
      </c>
      <c r="L16" s="87" t="s">
        <v>6932</v>
      </c>
      <c r="M16" s="87" t="s">
        <v>6285</v>
      </c>
      <c r="N16" s="9" t="s">
        <v>6934</v>
      </c>
      <c r="O16" s="87" t="s">
        <v>6259</v>
      </c>
      <c r="P16" s="9" t="s">
        <v>6243</v>
      </c>
      <c r="Q16" s="87" t="s">
        <v>6932</v>
      </c>
      <c r="R16" s="87" t="s">
        <v>6290</v>
      </c>
      <c r="S16" s="87" t="s">
        <v>6445</v>
      </c>
      <c r="T16" s="87" t="s">
        <v>6341</v>
      </c>
    </row>
    <row r="17" spans="1:20" ht="15.75" customHeight="1">
      <c r="A17" s="9" t="s">
        <v>2966</v>
      </c>
      <c r="B17" s="9" t="s">
        <v>7235</v>
      </c>
      <c r="C17" s="9" t="s">
        <v>7228</v>
      </c>
      <c r="D17" s="87" t="s">
        <v>6237</v>
      </c>
      <c r="E17" s="9" t="s">
        <v>6924</v>
      </c>
      <c r="F17" s="9" t="s">
        <v>11</v>
      </c>
      <c r="G17" s="9" t="s">
        <v>383</v>
      </c>
      <c r="H17" s="9" t="s">
        <v>426</v>
      </c>
      <c r="I17" s="87" t="s">
        <v>6405</v>
      </c>
      <c r="J17" s="87" t="s">
        <v>6405</v>
      </c>
      <c r="K17" s="87" t="s">
        <v>6405</v>
      </c>
      <c r="L17" s="87" t="s">
        <v>6254</v>
      </c>
      <c r="M17" s="87" t="s">
        <v>6912</v>
      </c>
      <c r="N17" s="9" t="s">
        <v>7236</v>
      </c>
      <c r="O17" s="87" t="s">
        <v>6251</v>
      </c>
      <c r="P17" s="9" t="s">
        <v>6243</v>
      </c>
      <c r="Q17" s="87" t="s">
        <v>6254</v>
      </c>
      <c r="R17" s="87" t="s">
        <v>6405</v>
      </c>
      <c r="S17" s="87" t="s">
        <v>6256</v>
      </c>
      <c r="T17" s="87" t="s">
        <v>6341</v>
      </c>
    </row>
    <row r="18" spans="1:20" ht="15.75" customHeight="1">
      <c r="A18" s="9" t="s">
        <v>3001</v>
      </c>
      <c r="B18" s="9" t="s">
        <v>7237</v>
      </c>
      <c r="C18" s="9" t="s">
        <v>6236</v>
      </c>
      <c r="D18" s="87" t="s">
        <v>6393</v>
      </c>
      <c r="E18" s="9" t="s">
        <v>431</v>
      </c>
      <c r="F18" s="9" t="s">
        <v>368</v>
      </c>
      <c r="G18" s="9" t="s">
        <v>436</v>
      </c>
      <c r="H18" s="9" t="s">
        <v>434</v>
      </c>
      <c r="I18" s="87" t="s">
        <v>6237</v>
      </c>
      <c r="J18" s="87" t="s">
        <v>6238</v>
      </c>
      <c r="K18" s="87" t="s">
        <v>6361</v>
      </c>
      <c r="L18" s="87" t="s">
        <v>6240</v>
      </c>
      <c r="M18" s="87" t="s">
        <v>6353</v>
      </c>
      <c r="N18" s="9" t="s">
        <v>6935</v>
      </c>
      <c r="O18" s="87" t="s">
        <v>6361</v>
      </c>
      <c r="P18" s="9" t="s">
        <v>6243</v>
      </c>
      <c r="Q18" s="87" t="s">
        <v>6363</v>
      </c>
      <c r="R18" s="87" t="s">
        <v>6238</v>
      </c>
      <c r="S18" s="87" t="s">
        <v>6327</v>
      </c>
      <c r="T18" s="87" t="s">
        <v>6526</v>
      </c>
    </row>
    <row r="19" spans="1:20" ht="15.75" customHeight="1">
      <c r="A19" s="9" t="s">
        <v>3001</v>
      </c>
      <c r="B19" s="9" t="s">
        <v>7237</v>
      </c>
      <c r="C19" s="9" t="s">
        <v>6236</v>
      </c>
      <c r="D19" s="87" t="s">
        <v>6393</v>
      </c>
      <c r="E19" s="9" t="s">
        <v>431</v>
      </c>
      <c r="F19" s="9" t="s">
        <v>368</v>
      </c>
      <c r="G19" s="9" t="s">
        <v>436</v>
      </c>
      <c r="H19" s="9" t="s">
        <v>434</v>
      </c>
      <c r="I19" s="87" t="s">
        <v>6237</v>
      </c>
      <c r="J19" s="87" t="s">
        <v>6238</v>
      </c>
      <c r="K19" s="87" t="s">
        <v>6326</v>
      </c>
      <c r="L19" s="87" t="s">
        <v>6240</v>
      </c>
      <c r="M19" s="87" t="s">
        <v>6358</v>
      </c>
      <c r="N19" s="9" t="s">
        <v>6936</v>
      </c>
      <c r="O19" s="87" t="s">
        <v>6326</v>
      </c>
      <c r="P19" s="9" t="s">
        <v>6243</v>
      </c>
      <c r="Q19" s="87" t="s">
        <v>6355</v>
      </c>
      <c r="R19" s="87" t="s">
        <v>6238</v>
      </c>
      <c r="S19" s="87" t="s">
        <v>6294</v>
      </c>
      <c r="T19" s="87" t="s">
        <v>6645</v>
      </c>
    </row>
    <row r="20" spans="1:20" ht="15.75" customHeight="1">
      <c r="A20" s="9" t="s">
        <v>3001</v>
      </c>
      <c r="B20" s="9" t="s">
        <v>7238</v>
      </c>
      <c r="C20" s="9" t="s">
        <v>6671</v>
      </c>
      <c r="D20" s="87" t="s">
        <v>6296</v>
      </c>
      <c r="E20" s="9" t="s">
        <v>6672</v>
      </c>
      <c r="F20" s="9" t="s">
        <v>439</v>
      </c>
      <c r="G20" s="9" t="s">
        <v>436</v>
      </c>
      <c r="H20" s="9" t="s">
        <v>440</v>
      </c>
      <c r="I20" s="87" t="s">
        <v>6405</v>
      </c>
      <c r="J20" s="87" t="s">
        <v>6357</v>
      </c>
      <c r="K20" s="87" t="s">
        <v>6357</v>
      </c>
      <c r="L20" s="87" t="s">
        <v>6240</v>
      </c>
      <c r="M20" s="87" t="s">
        <v>6364</v>
      </c>
      <c r="N20" s="9" t="s">
        <v>7239</v>
      </c>
      <c r="O20" s="87" t="s">
        <v>6357</v>
      </c>
      <c r="P20" s="9" t="s">
        <v>6243</v>
      </c>
      <c r="Q20" s="87" t="s">
        <v>6565</v>
      </c>
      <c r="R20" s="87" t="s">
        <v>6357</v>
      </c>
      <c r="S20" s="87" t="s">
        <v>6411</v>
      </c>
      <c r="T20" s="87" t="s">
        <v>6733</v>
      </c>
    </row>
    <row r="21" spans="1:20" ht="15.75" customHeight="1">
      <c r="A21" s="9" t="s">
        <v>3001</v>
      </c>
      <c r="B21" s="9" t="s">
        <v>7240</v>
      </c>
      <c r="C21" s="9" t="s">
        <v>6671</v>
      </c>
      <c r="D21" s="87" t="s">
        <v>6421</v>
      </c>
      <c r="E21" s="9" t="s">
        <v>6672</v>
      </c>
      <c r="F21" s="9" t="s">
        <v>439</v>
      </c>
      <c r="G21" s="9" t="s">
        <v>436</v>
      </c>
      <c r="H21" s="9" t="s">
        <v>440</v>
      </c>
      <c r="I21" s="87" t="s">
        <v>6405</v>
      </c>
      <c r="J21" s="87" t="s">
        <v>6357</v>
      </c>
      <c r="K21" s="87" t="s">
        <v>6435</v>
      </c>
      <c r="L21" s="87" t="s">
        <v>6240</v>
      </c>
      <c r="M21" s="87" t="s">
        <v>6364</v>
      </c>
      <c r="N21" s="9" t="s">
        <v>7052</v>
      </c>
      <c r="O21" s="87" t="s">
        <v>6435</v>
      </c>
      <c r="P21" s="9" t="s">
        <v>6243</v>
      </c>
      <c r="Q21" s="87" t="s">
        <v>6250</v>
      </c>
      <c r="R21" s="87" t="s">
        <v>6357</v>
      </c>
      <c r="S21" s="87" t="s">
        <v>6327</v>
      </c>
      <c r="T21" s="87" t="s">
        <v>6433</v>
      </c>
    </row>
    <row r="22" spans="1:20" ht="15.75" customHeight="1">
      <c r="A22" s="9" t="s">
        <v>3001</v>
      </c>
      <c r="B22" s="9" t="s">
        <v>7240</v>
      </c>
      <c r="C22" s="9" t="s">
        <v>6671</v>
      </c>
      <c r="D22" s="87" t="s">
        <v>6421</v>
      </c>
      <c r="E22" s="9" t="s">
        <v>6672</v>
      </c>
      <c r="F22" s="9" t="s">
        <v>439</v>
      </c>
      <c r="G22" s="9" t="s">
        <v>436</v>
      </c>
      <c r="H22" s="9" t="s">
        <v>440</v>
      </c>
      <c r="I22" s="87" t="s">
        <v>6405</v>
      </c>
      <c r="J22" s="87" t="s">
        <v>6357</v>
      </c>
      <c r="K22" s="87" t="s">
        <v>6526</v>
      </c>
      <c r="L22" s="87" t="s">
        <v>6240</v>
      </c>
      <c r="M22" s="87" t="s">
        <v>6385</v>
      </c>
      <c r="N22" s="9" t="s">
        <v>6938</v>
      </c>
      <c r="O22" s="87" t="s">
        <v>6526</v>
      </c>
      <c r="P22" s="9" t="s">
        <v>6243</v>
      </c>
      <c r="Q22" s="87" t="s">
        <v>4023</v>
      </c>
      <c r="R22" s="87" t="s">
        <v>6357</v>
      </c>
      <c r="S22" s="87" t="s">
        <v>6486</v>
      </c>
      <c r="T22" s="87" t="s">
        <v>6645</v>
      </c>
    </row>
    <row r="23" spans="1:20" ht="15.75" customHeight="1">
      <c r="A23" s="9" t="s">
        <v>3001</v>
      </c>
      <c r="B23" s="9" t="s">
        <v>7241</v>
      </c>
      <c r="C23" s="9" t="s">
        <v>6923</v>
      </c>
      <c r="D23" s="87" t="s">
        <v>6461</v>
      </c>
      <c r="E23" s="9" t="s">
        <v>6924</v>
      </c>
      <c r="F23" s="9" t="s">
        <v>6925</v>
      </c>
      <c r="G23" s="9" t="s">
        <v>383</v>
      </c>
      <c r="H23" s="9" t="s">
        <v>427</v>
      </c>
      <c r="I23" s="87" t="s">
        <v>6405</v>
      </c>
      <c r="J23" s="87" t="s">
        <v>6290</v>
      </c>
      <c r="K23" s="87" t="s">
        <v>6939</v>
      </c>
      <c r="L23" s="87" t="s">
        <v>5374</v>
      </c>
      <c r="M23" s="87" t="s">
        <v>6390</v>
      </c>
      <c r="N23" s="9" t="s">
        <v>7242</v>
      </c>
      <c r="O23" s="87" t="s">
        <v>6333</v>
      </c>
      <c r="P23" s="9" t="s">
        <v>6243</v>
      </c>
      <c r="Q23" s="87" t="s">
        <v>6575</v>
      </c>
      <c r="R23" s="87" t="s">
        <v>6290</v>
      </c>
      <c r="S23" s="87" t="s">
        <v>6348</v>
      </c>
      <c r="T23" s="87" t="s">
        <v>6651</v>
      </c>
    </row>
    <row r="24" spans="1:20" ht="15.75" customHeight="1">
      <c r="A24" s="9" t="s">
        <v>3001</v>
      </c>
      <c r="B24" s="9" t="s">
        <v>7241</v>
      </c>
      <c r="C24" s="9" t="s">
        <v>7228</v>
      </c>
      <c r="D24" s="87" t="s">
        <v>6237</v>
      </c>
      <c r="E24" s="9" t="s">
        <v>6924</v>
      </c>
      <c r="F24" s="9" t="s">
        <v>11</v>
      </c>
      <c r="G24" s="9" t="s">
        <v>383</v>
      </c>
      <c r="H24" s="9" t="s">
        <v>426</v>
      </c>
      <c r="I24" s="87" t="s">
        <v>6405</v>
      </c>
      <c r="J24" s="87" t="s">
        <v>6334</v>
      </c>
      <c r="K24" s="87" t="s">
        <v>6334</v>
      </c>
      <c r="L24" s="87" t="s">
        <v>6255</v>
      </c>
      <c r="M24" s="87" t="s">
        <v>6398</v>
      </c>
      <c r="N24" s="9" t="s">
        <v>7243</v>
      </c>
      <c r="O24" s="87" t="s">
        <v>6327</v>
      </c>
      <c r="P24" s="9" t="s">
        <v>6243</v>
      </c>
      <c r="Q24" s="87" t="s">
        <v>6392</v>
      </c>
      <c r="R24" s="87" t="s">
        <v>6334</v>
      </c>
      <c r="S24" s="87" t="s">
        <v>6440</v>
      </c>
      <c r="T24" s="87" t="s">
        <v>6316</v>
      </c>
    </row>
    <row r="25" spans="1:20" ht="15.75" customHeight="1">
      <c r="A25" s="9" t="s">
        <v>3001</v>
      </c>
      <c r="B25" s="9" t="s">
        <v>7244</v>
      </c>
      <c r="C25" s="9" t="s">
        <v>6923</v>
      </c>
      <c r="D25" s="87" t="s">
        <v>6461</v>
      </c>
      <c r="E25" s="9" t="s">
        <v>6924</v>
      </c>
      <c r="F25" s="9" t="s">
        <v>6925</v>
      </c>
      <c r="G25" s="9" t="s">
        <v>383</v>
      </c>
      <c r="H25" s="9" t="s">
        <v>427</v>
      </c>
      <c r="I25" s="87" t="s">
        <v>6405</v>
      </c>
      <c r="J25" s="87" t="s">
        <v>6290</v>
      </c>
      <c r="K25" s="87" t="s">
        <v>6939</v>
      </c>
      <c r="L25" s="87" t="s">
        <v>5374</v>
      </c>
      <c r="M25" s="87" t="s">
        <v>6398</v>
      </c>
      <c r="N25" s="9" t="s">
        <v>6940</v>
      </c>
      <c r="O25" s="87" t="s">
        <v>6333</v>
      </c>
      <c r="P25" s="9" t="s">
        <v>6243</v>
      </c>
      <c r="Q25" s="87" t="s">
        <v>6575</v>
      </c>
      <c r="R25" s="87" t="s">
        <v>6290</v>
      </c>
      <c r="S25" s="87" t="s">
        <v>6570</v>
      </c>
      <c r="T25" s="87" t="s">
        <v>6341</v>
      </c>
    </row>
    <row r="26" spans="1:20" ht="15.75" customHeight="1">
      <c r="A26" s="9" t="s">
        <v>3001</v>
      </c>
      <c r="B26" s="9" t="s">
        <v>7244</v>
      </c>
      <c r="C26" s="9" t="s">
        <v>7228</v>
      </c>
      <c r="D26" s="87" t="s">
        <v>6237</v>
      </c>
      <c r="E26" s="9" t="s">
        <v>6924</v>
      </c>
      <c r="F26" s="9" t="s">
        <v>11</v>
      </c>
      <c r="G26" s="9" t="s">
        <v>383</v>
      </c>
      <c r="H26" s="9" t="s">
        <v>426</v>
      </c>
      <c r="I26" s="87" t="s">
        <v>6405</v>
      </c>
      <c r="J26" s="87" t="s">
        <v>6334</v>
      </c>
      <c r="K26" s="87" t="s">
        <v>6334</v>
      </c>
      <c r="L26" s="87" t="s">
        <v>6255</v>
      </c>
      <c r="M26" s="87" t="s">
        <v>6422</v>
      </c>
      <c r="N26" s="9" t="s">
        <v>7245</v>
      </c>
      <c r="O26" s="87" t="s">
        <v>6327</v>
      </c>
      <c r="P26" s="9" t="s">
        <v>6243</v>
      </c>
      <c r="Q26" s="87" t="s">
        <v>6392</v>
      </c>
      <c r="R26" s="87" t="s">
        <v>6334</v>
      </c>
      <c r="S26" s="87" t="s">
        <v>6500</v>
      </c>
      <c r="T26" s="87" t="s">
        <v>6341</v>
      </c>
    </row>
    <row r="27" spans="1:20" ht="15.75" customHeight="1">
      <c r="A27" s="9" t="s">
        <v>3001</v>
      </c>
      <c r="B27" s="9" t="s">
        <v>7246</v>
      </c>
      <c r="C27" s="9" t="s">
        <v>6923</v>
      </c>
      <c r="D27" s="87" t="s">
        <v>6461</v>
      </c>
      <c r="E27" s="9" t="s">
        <v>6924</v>
      </c>
      <c r="F27" s="9" t="s">
        <v>6925</v>
      </c>
      <c r="G27" s="9" t="s">
        <v>383</v>
      </c>
      <c r="H27" s="9" t="s">
        <v>427</v>
      </c>
      <c r="I27" s="87" t="s">
        <v>6405</v>
      </c>
      <c r="J27" s="87" t="s">
        <v>6290</v>
      </c>
      <c r="K27" s="87" t="s">
        <v>6939</v>
      </c>
      <c r="L27" s="87" t="s">
        <v>5374</v>
      </c>
      <c r="M27" s="87" t="s">
        <v>6422</v>
      </c>
      <c r="N27" s="9" t="s">
        <v>6940</v>
      </c>
      <c r="O27" s="87" t="s">
        <v>6333</v>
      </c>
      <c r="P27" s="9" t="s">
        <v>6243</v>
      </c>
      <c r="Q27" s="87" t="s">
        <v>6575</v>
      </c>
      <c r="R27" s="87" t="s">
        <v>6290</v>
      </c>
      <c r="S27" s="87" t="s">
        <v>6570</v>
      </c>
      <c r="T27" s="87" t="s">
        <v>6341</v>
      </c>
    </row>
    <row r="28" spans="1:20" ht="15.75" customHeight="1">
      <c r="A28" s="9" t="s">
        <v>3001</v>
      </c>
      <c r="B28" s="9" t="s">
        <v>7246</v>
      </c>
      <c r="C28" s="9" t="s">
        <v>7228</v>
      </c>
      <c r="D28" s="87" t="s">
        <v>6237</v>
      </c>
      <c r="E28" s="9" t="s">
        <v>6924</v>
      </c>
      <c r="F28" s="9" t="s">
        <v>11</v>
      </c>
      <c r="G28" s="9" t="s">
        <v>383</v>
      </c>
      <c r="H28" s="9" t="s">
        <v>426</v>
      </c>
      <c r="I28" s="87" t="s">
        <v>6405</v>
      </c>
      <c r="J28" s="87" t="s">
        <v>6334</v>
      </c>
      <c r="K28" s="87" t="s">
        <v>6334</v>
      </c>
      <c r="L28" s="87" t="s">
        <v>6255</v>
      </c>
      <c r="M28" s="87" t="s">
        <v>6840</v>
      </c>
      <c r="N28" s="9" t="s">
        <v>7245</v>
      </c>
      <c r="O28" s="87" t="s">
        <v>6327</v>
      </c>
      <c r="P28" s="9" t="s">
        <v>6243</v>
      </c>
      <c r="Q28" s="87" t="s">
        <v>6392</v>
      </c>
      <c r="R28" s="87" t="s">
        <v>6334</v>
      </c>
      <c r="S28" s="87" t="s">
        <v>6500</v>
      </c>
      <c r="T28" s="87" t="s">
        <v>6341</v>
      </c>
    </row>
    <row r="29" spans="1:20" ht="15.75" customHeight="1">
      <c r="A29" s="9" t="s">
        <v>3001</v>
      </c>
      <c r="B29" s="9" t="s">
        <v>7247</v>
      </c>
      <c r="C29" s="9" t="s">
        <v>6923</v>
      </c>
      <c r="D29" s="87" t="s">
        <v>6461</v>
      </c>
      <c r="E29" s="9" t="s">
        <v>6924</v>
      </c>
      <c r="F29" s="9" t="s">
        <v>6925</v>
      </c>
      <c r="G29" s="9" t="s">
        <v>383</v>
      </c>
      <c r="H29" s="9" t="s">
        <v>427</v>
      </c>
      <c r="I29" s="87" t="s">
        <v>6405</v>
      </c>
      <c r="J29" s="87" t="s">
        <v>6290</v>
      </c>
      <c r="K29" s="87" t="s">
        <v>6939</v>
      </c>
      <c r="L29" s="87" t="s">
        <v>5374</v>
      </c>
      <c r="M29" s="87" t="s">
        <v>6840</v>
      </c>
      <c r="N29" s="9" t="s">
        <v>6940</v>
      </c>
      <c r="O29" s="87" t="s">
        <v>6333</v>
      </c>
      <c r="P29" s="9" t="s">
        <v>6243</v>
      </c>
      <c r="Q29" s="87" t="s">
        <v>6575</v>
      </c>
      <c r="R29" s="87" t="s">
        <v>6290</v>
      </c>
      <c r="S29" s="87" t="s">
        <v>6570</v>
      </c>
      <c r="T29" s="87" t="s">
        <v>6341</v>
      </c>
    </row>
    <row r="30" spans="1:20" ht="15.75" customHeight="1">
      <c r="A30" s="9" t="s">
        <v>3001</v>
      </c>
      <c r="B30" s="9" t="s">
        <v>7247</v>
      </c>
      <c r="C30" s="9" t="s">
        <v>7228</v>
      </c>
      <c r="D30" s="87" t="s">
        <v>6237</v>
      </c>
      <c r="E30" s="9" t="s">
        <v>6924</v>
      </c>
      <c r="F30" s="9" t="s">
        <v>11</v>
      </c>
      <c r="G30" s="9" t="s">
        <v>383</v>
      </c>
      <c r="H30" s="9" t="s">
        <v>426</v>
      </c>
      <c r="I30" s="87" t="s">
        <v>6405</v>
      </c>
      <c r="J30" s="87" t="s">
        <v>6334</v>
      </c>
      <c r="K30" s="87" t="s">
        <v>6334</v>
      </c>
      <c r="L30" s="87" t="s">
        <v>6255</v>
      </c>
      <c r="M30" s="87" t="s">
        <v>6838</v>
      </c>
      <c r="N30" s="9" t="s">
        <v>7245</v>
      </c>
      <c r="O30" s="87" t="s">
        <v>6327</v>
      </c>
      <c r="P30" s="9" t="s">
        <v>6243</v>
      </c>
      <c r="Q30" s="87" t="s">
        <v>6392</v>
      </c>
      <c r="R30" s="87" t="s">
        <v>6334</v>
      </c>
      <c r="S30" s="87" t="s">
        <v>6500</v>
      </c>
      <c r="T30" s="87" t="s">
        <v>6341</v>
      </c>
    </row>
    <row r="31" spans="1:20" ht="15.75" customHeight="1">
      <c r="A31" s="9" t="s">
        <v>3001</v>
      </c>
      <c r="B31" s="9" t="s">
        <v>7248</v>
      </c>
      <c r="C31" s="9" t="s">
        <v>6923</v>
      </c>
      <c r="D31" s="87" t="s">
        <v>6461</v>
      </c>
      <c r="E31" s="9" t="s">
        <v>6924</v>
      </c>
      <c r="F31" s="9" t="s">
        <v>6925</v>
      </c>
      <c r="G31" s="9" t="s">
        <v>383</v>
      </c>
      <c r="H31" s="9" t="s">
        <v>427</v>
      </c>
      <c r="I31" s="87" t="s">
        <v>6405</v>
      </c>
      <c r="J31" s="87" t="s">
        <v>6290</v>
      </c>
      <c r="K31" s="87" t="s">
        <v>6939</v>
      </c>
      <c r="L31" s="87" t="s">
        <v>5374</v>
      </c>
      <c r="M31" s="87" t="s">
        <v>6838</v>
      </c>
      <c r="N31" s="9" t="s">
        <v>6940</v>
      </c>
      <c r="O31" s="87" t="s">
        <v>6333</v>
      </c>
      <c r="P31" s="9" t="s">
        <v>6243</v>
      </c>
      <c r="Q31" s="87" t="s">
        <v>6575</v>
      </c>
      <c r="R31" s="87" t="s">
        <v>6290</v>
      </c>
      <c r="S31" s="87" t="s">
        <v>6570</v>
      </c>
      <c r="T31" s="87" t="s">
        <v>6341</v>
      </c>
    </row>
    <row r="32" spans="1:20" ht="15.75" customHeight="1">
      <c r="A32" s="9" t="s">
        <v>3001</v>
      </c>
      <c r="B32" s="9" t="s">
        <v>7248</v>
      </c>
      <c r="C32" s="9" t="s">
        <v>7228</v>
      </c>
      <c r="D32" s="87" t="s">
        <v>6237</v>
      </c>
      <c r="E32" s="9" t="s">
        <v>6924</v>
      </c>
      <c r="F32" s="9" t="s">
        <v>11</v>
      </c>
      <c r="G32" s="9" t="s">
        <v>383</v>
      </c>
      <c r="H32" s="9" t="s">
        <v>426</v>
      </c>
      <c r="I32" s="87" t="s">
        <v>6405</v>
      </c>
      <c r="J32" s="87" t="s">
        <v>6334</v>
      </c>
      <c r="K32" s="87" t="s">
        <v>6334</v>
      </c>
      <c r="L32" s="87" t="s">
        <v>6255</v>
      </c>
      <c r="M32" s="87" t="s">
        <v>6426</v>
      </c>
      <c r="N32" s="9" t="s">
        <v>7245</v>
      </c>
      <c r="O32" s="87" t="s">
        <v>6327</v>
      </c>
      <c r="P32" s="9" t="s">
        <v>6243</v>
      </c>
      <c r="Q32" s="87" t="s">
        <v>6392</v>
      </c>
      <c r="R32" s="87" t="s">
        <v>6334</v>
      </c>
      <c r="S32" s="87" t="s">
        <v>6500</v>
      </c>
      <c r="T32" s="87" t="s">
        <v>6341</v>
      </c>
    </row>
    <row r="33" spans="1:20" ht="15.75" customHeight="1">
      <c r="A33" s="9" t="s">
        <v>2916</v>
      </c>
      <c r="B33" s="9" t="s">
        <v>7249</v>
      </c>
      <c r="C33" s="9" t="s">
        <v>6236</v>
      </c>
      <c r="D33" s="87" t="s">
        <v>6393</v>
      </c>
      <c r="E33" s="9" t="s">
        <v>431</v>
      </c>
      <c r="F33" s="9" t="s">
        <v>368</v>
      </c>
      <c r="G33" s="9" t="s">
        <v>436</v>
      </c>
      <c r="H33" s="9" t="s">
        <v>434</v>
      </c>
      <c r="I33" s="87" t="s">
        <v>6264</v>
      </c>
      <c r="J33" s="87" t="s">
        <v>6239</v>
      </c>
      <c r="K33" s="87" t="s">
        <v>6433</v>
      </c>
      <c r="L33" s="87" t="s">
        <v>6240</v>
      </c>
      <c r="M33" s="87" t="s">
        <v>6265</v>
      </c>
      <c r="N33" s="9" t="s">
        <v>6941</v>
      </c>
      <c r="O33" s="87" t="s">
        <v>6433</v>
      </c>
      <c r="P33" s="9" t="s">
        <v>6243</v>
      </c>
      <c r="Q33" s="87" t="s">
        <v>6305</v>
      </c>
      <c r="R33" s="87" t="s">
        <v>6239</v>
      </c>
      <c r="S33" s="87" t="s">
        <v>6327</v>
      </c>
      <c r="T33" s="87" t="s">
        <v>6329</v>
      </c>
    </row>
    <row r="34" spans="1:20" ht="15.75" customHeight="1">
      <c r="A34" s="9" t="s">
        <v>2916</v>
      </c>
      <c r="B34" s="9" t="s">
        <v>7249</v>
      </c>
      <c r="C34" s="9" t="s">
        <v>6236</v>
      </c>
      <c r="D34" s="87" t="s">
        <v>6393</v>
      </c>
      <c r="E34" s="9" t="s">
        <v>431</v>
      </c>
      <c r="F34" s="9" t="s">
        <v>368</v>
      </c>
      <c r="G34" s="9" t="s">
        <v>436</v>
      </c>
      <c r="H34" s="9" t="s">
        <v>434</v>
      </c>
      <c r="I34" s="87" t="s">
        <v>6264</v>
      </c>
      <c r="J34" s="87" t="s">
        <v>6239</v>
      </c>
      <c r="K34" s="87" t="s">
        <v>6619</v>
      </c>
      <c r="L34" s="87" t="s">
        <v>6240</v>
      </c>
      <c r="M34" s="87" t="s">
        <v>6272</v>
      </c>
      <c r="N34" s="9" t="s">
        <v>6942</v>
      </c>
      <c r="O34" s="87" t="s">
        <v>6619</v>
      </c>
      <c r="P34" s="9" t="s">
        <v>6243</v>
      </c>
      <c r="Q34" s="87" t="s">
        <v>6852</v>
      </c>
      <c r="R34" s="87" t="s">
        <v>6239</v>
      </c>
      <c r="S34" s="87" t="s">
        <v>6323</v>
      </c>
      <c r="T34" s="87" t="s">
        <v>6645</v>
      </c>
    </row>
    <row r="35" spans="1:20" ht="15.75" customHeight="1">
      <c r="A35" s="9" t="s">
        <v>2916</v>
      </c>
      <c r="B35" s="9" t="s">
        <v>7250</v>
      </c>
      <c r="C35" s="9" t="s">
        <v>6671</v>
      </c>
      <c r="D35" s="87" t="s">
        <v>6296</v>
      </c>
      <c r="E35" s="9" t="s">
        <v>6672</v>
      </c>
      <c r="F35" s="9" t="s">
        <v>439</v>
      </c>
      <c r="G35" s="9" t="s">
        <v>436</v>
      </c>
      <c r="H35" s="9" t="s">
        <v>440</v>
      </c>
      <c r="I35" s="87" t="s">
        <v>6405</v>
      </c>
      <c r="J35" s="87" t="s">
        <v>6400</v>
      </c>
      <c r="K35" s="87" t="s">
        <v>6400</v>
      </c>
      <c r="L35" s="87" t="s">
        <v>6240</v>
      </c>
      <c r="M35" s="87" t="s">
        <v>6274</v>
      </c>
      <c r="N35" s="9" t="s">
        <v>6943</v>
      </c>
      <c r="O35" s="87" t="s">
        <v>6400</v>
      </c>
      <c r="P35" s="9" t="s">
        <v>6243</v>
      </c>
      <c r="Q35" s="87" t="s">
        <v>3870</v>
      </c>
      <c r="R35" s="87" t="s">
        <v>6400</v>
      </c>
      <c r="S35" s="87" t="s">
        <v>6295</v>
      </c>
      <c r="T35" s="87" t="s">
        <v>6367</v>
      </c>
    </row>
    <row r="36" spans="1:20" ht="15.75" customHeight="1">
      <c r="A36" s="9" t="s">
        <v>2916</v>
      </c>
      <c r="B36" s="9" t="s">
        <v>7251</v>
      </c>
      <c r="C36" s="9" t="s">
        <v>6923</v>
      </c>
      <c r="D36" s="87" t="s">
        <v>6264</v>
      </c>
      <c r="E36" s="9" t="s">
        <v>6924</v>
      </c>
      <c r="F36" s="9" t="s">
        <v>6925</v>
      </c>
      <c r="G36" s="9" t="s">
        <v>383</v>
      </c>
      <c r="H36" s="9" t="s">
        <v>449</v>
      </c>
      <c r="I36" s="87" t="s">
        <v>6405</v>
      </c>
      <c r="J36" s="87" t="s">
        <v>6237</v>
      </c>
      <c r="K36" s="87" t="s">
        <v>6926</v>
      </c>
      <c r="L36" s="87" t="s">
        <v>6464</v>
      </c>
      <c r="M36" s="87" t="s">
        <v>6891</v>
      </c>
      <c r="N36" s="9" t="s">
        <v>7252</v>
      </c>
      <c r="O36" s="87" t="s">
        <v>6302</v>
      </c>
      <c r="P36" s="9" t="s">
        <v>6243</v>
      </c>
      <c r="Q36" s="87" t="s">
        <v>6464</v>
      </c>
      <c r="R36" s="87" t="s">
        <v>6237</v>
      </c>
      <c r="S36" s="87" t="s">
        <v>6297</v>
      </c>
      <c r="T36" s="87" t="s">
        <v>6370</v>
      </c>
    </row>
    <row r="37" spans="1:20" ht="15.75" customHeight="1">
      <c r="A37" s="9" t="s">
        <v>2916</v>
      </c>
      <c r="B37" s="9" t="s">
        <v>7251</v>
      </c>
      <c r="C37" s="9" t="s">
        <v>7228</v>
      </c>
      <c r="D37" s="87" t="s">
        <v>6405</v>
      </c>
      <c r="E37" s="9" t="s">
        <v>6924</v>
      </c>
      <c r="F37" s="9" t="s">
        <v>11</v>
      </c>
      <c r="G37" s="9" t="s">
        <v>383</v>
      </c>
      <c r="H37" s="9" t="s">
        <v>426</v>
      </c>
      <c r="I37" s="87" t="s">
        <v>6405</v>
      </c>
      <c r="J37" s="87" t="s">
        <v>6405</v>
      </c>
      <c r="K37" s="87" t="s">
        <v>6405</v>
      </c>
      <c r="L37" s="87" t="s">
        <v>6397</v>
      </c>
      <c r="M37" s="87" t="s">
        <v>6890</v>
      </c>
      <c r="N37" s="9" t="s">
        <v>7253</v>
      </c>
      <c r="O37" s="87" t="s">
        <v>6240</v>
      </c>
      <c r="P37" s="9" t="s">
        <v>6243</v>
      </c>
      <c r="Q37" s="87" t="s">
        <v>6397</v>
      </c>
      <c r="R37" s="87" t="s">
        <v>6405</v>
      </c>
      <c r="S37" s="87" t="s">
        <v>6411</v>
      </c>
      <c r="T37" s="87" t="s">
        <v>6451</v>
      </c>
    </row>
    <row r="38" spans="1:20" ht="15.75" customHeight="1">
      <c r="A38" s="9" t="s">
        <v>2916</v>
      </c>
      <c r="B38" s="9" t="s">
        <v>7254</v>
      </c>
      <c r="C38" s="9" t="s">
        <v>6923</v>
      </c>
      <c r="D38" s="87" t="s">
        <v>6264</v>
      </c>
      <c r="E38" s="9" t="s">
        <v>6924</v>
      </c>
      <c r="F38" s="9" t="s">
        <v>6925</v>
      </c>
      <c r="G38" s="9" t="s">
        <v>383</v>
      </c>
      <c r="H38" s="9" t="s">
        <v>449</v>
      </c>
      <c r="I38" s="87" t="s">
        <v>6405</v>
      </c>
      <c r="J38" s="87" t="s">
        <v>6237</v>
      </c>
      <c r="K38" s="87" t="s">
        <v>6926</v>
      </c>
      <c r="L38" s="87" t="s">
        <v>6464</v>
      </c>
      <c r="M38" s="87" t="s">
        <v>6890</v>
      </c>
      <c r="N38" s="9" t="s">
        <v>7255</v>
      </c>
      <c r="O38" s="87" t="s">
        <v>6302</v>
      </c>
      <c r="P38" s="9" t="s">
        <v>6243</v>
      </c>
      <c r="Q38" s="87" t="s">
        <v>6464</v>
      </c>
      <c r="R38" s="87" t="s">
        <v>6237</v>
      </c>
      <c r="S38" s="87" t="s">
        <v>6570</v>
      </c>
      <c r="T38" s="87" t="s">
        <v>6440</v>
      </c>
    </row>
    <row r="39" spans="1:20" ht="15.75" customHeight="1">
      <c r="A39" s="9" t="s">
        <v>2916</v>
      </c>
      <c r="B39" s="9" t="s">
        <v>7254</v>
      </c>
      <c r="C39" s="9" t="s">
        <v>7228</v>
      </c>
      <c r="D39" s="87" t="s">
        <v>6405</v>
      </c>
      <c r="E39" s="9" t="s">
        <v>6924</v>
      </c>
      <c r="F39" s="9" t="s">
        <v>11</v>
      </c>
      <c r="G39" s="9" t="s">
        <v>383</v>
      </c>
      <c r="H39" s="9" t="s">
        <v>426</v>
      </c>
      <c r="I39" s="87" t="s">
        <v>6405</v>
      </c>
      <c r="J39" s="87" t="s">
        <v>6405</v>
      </c>
      <c r="K39" s="87" t="s">
        <v>6405</v>
      </c>
      <c r="L39" s="87" t="s">
        <v>6397</v>
      </c>
      <c r="M39" s="87" t="s">
        <v>6285</v>
      </c>
      <c r="N39" s="9" t="s">
        <v>7256</v>
      </c>
      <c r="O39" s="87" t="s">
        <v>6240</v>
      </c>
      <c r="P39" s="9" t="s">
        <v>6243</v>
      </c>
      <c r="Q39" s="87" t="s">
        <v>6397</v>
      </c>
      <c r="R39" s="87" t="s">
        <v>6405</v>
      </c>
      <c r="S39" s="87" t="s">
        <v>6570</v>
      </c>
      <c r="T39" s="87" t="s">
        <v>6295</v>
      </c>
    </row>
    <row r="40" spans="1:20" ht="15.75" customHeight="1">
      <c r="A40" s="9" t="s">
        <v>2916</v>
      </c>
      <c r="B40" s="9" t="s">
        <v>7257</v>
      </c>
      <c r="C40" s="9" t="s">
        <v>6923</v>
      </c>
      <c r="D40" s="87" t="s">
        <v>6264</v>
      </c>
      <c r="E40" s="9" t="s">
        <v>6924</v>
      </c>
      <c r="F40" s="9" t="s">
        <v>6925</v>
      </c>
      <c r="G40" s="9" t="s">
        <v>383</v>
      </c>
      <c r="H40" s="9" t="s">
        <v>449</v>
      </c>
      <c r="I40" s="87" t="s">
        <v>6405</v>
      </c>
      <c r="J40" s="87" t="s">
        <v>6237</v>
      </c>
      <c r="K40" s="87" t="s">
        <v>6926</v>
      </c>
      <c r="L40" s="87" t="s">
        <v>6464</v>
      </c>
      <c r="M40" s="87" t="s">
        <v>6285</v>
      </c>
      <c r="N40" s="9" t="s">
        <v>7258</v>
      </c>
      <c r="O40" s="87" t="s">
        <v>6302</v>
      </c>
      <c r="P40" s="9" t="s">
        <v>6243</v>
      </c>
      <c r="Q40" s="87" t="s">
        <v>6464</v>
      </c>
      <c r="R40" s="87" t="s">
        <v>6237</v>
      </c>
      <c r="S40" s="87" t="s">
        <v>6329</v>
      </c>
      <c r="T40" s="87" t="s">
        <v>6619</v>
      </c>
    </row>
    <row r="41" spans="1:20" ht="15.75" customHeight="1">
      <c r="A41" s="9" t="s">
        <v>2916</v>
      </c>
      <c r="B41" s="9" t="s">
        <v>7257</v>
      </c>
      <c r="C41" s="9" t="s">
        <v>7228</v>
      </c>
      <c r="D41" s="87" t="s">
        <v>6405</v>
      </c>
      <c r="E41" s="9" t="s">
        <v>6924</v>
      </c>
      <c r="F41" s="9" t="s">
        <v>11</v>
      </c>
      <c r="G41" s="9" t="s">
        <v>383</v>
      </c>
      <c r="H41" s="9" t="s">
        <v>426</v>
      </c>
      <c r="I41" s="87" t="s">
        <v>6405</v>
      </c>
      <c r="J41" s="87" t="s">
        <v>6405</v>
      </c>
      <c r="K41" s="87" t="s">
        <v>6405</v>
      </c>
      <c r="L41" s="87" t="s">
        <v>6397</v>
      </c>
      <c r="M41" s="87" t="s">
        <v>6912</v>
      </c>
      <c r="N41" s="9" t="s">
        <v>7259</v>
      </c>
      <c r="O41" s="87" t="s">
        <v>6240</v>
      </c>
      <c r="P41" s="9" t="s">
        <v>6243</v>
      </c>
      <c r="Q41" s="87" t="s">
        <v>6397</v>
      </c>
      <c r="R41" s="87" t="s">
        <v>6405</v>
      </c>
      <c r="S41" s="87" t="s">
        <v>6387</v>
      </c>
      <c r="T41" s="87" t="s">
        <v>6294</v>
      </c>
    </row>
    <row r="42" spans="1:20" ht="15.75" customHeight="1">
      <c r="A42" s="9" t="s">
        <v>2916</v>
      </c>
      <c r="B42" s="9" t="s">
        <v>7260</v>
      </c>
      <c r="C42" s="9" t="s">
        <v>6923</v>
      </c>
      <c r="D42" s="87" t="s">
        <v>6264</v>
      </c>
      <c r="E42" s="9" t="s">
        <v>6924</v>
      </c>
      <c r="F42" s="9" t="s">
        <v>6925</v>
      </c>
      <c r="G42" s="9" t="s">
        <v>383</v>
      </c>
      <c r="H42" s="9" t="s">
        <v>449</v>
      </c>
      <c r="I42" s="87" t="s">
        <v>6405</v>
      </c>
      <c r="J42" s="87" t="s">
        <v>6237</v>
      </c>
      <c r="K42" s="87" t="s">
        <v>6926</v>
      </c>
      <c r="L42" s="87" t="s">
        <v>6464</v>
      </c>
      <c r="M42" s="87" t="s">
        <v>6912</v>
      </c>
      <c r="N42" s="9" t="s">
        <v>7261</v>
      </c>
      <c r="O42" s="87" t="s">
        <v>6302</v>
      </c>
      <c r="P42" s="9" t="s">
        <v>6243</v>
      </c>
      <c r="Q42" s="87" t="s">
        <v>6464</v>
      </c>
      <c r="R42" s="87" t="s">
        <v>6237</v>
      </c>
      <c r="S42" s="87" t="s">
        <v>6302</v>
      </c>
      <c r="T42" s="87" t="s">
        <v>6497</v>
      </c>
    </row>
    <row r="43" spans="1:20" ht="15.75" customHeight="1">
      <c r="A43" s="9" t="s">
        <v>2916</v>
      </c>
      <c r="B43" s="9" t="s">
        <v>7260</v>
      </c>
      <c r="C43" s="9" t="s">
        <v>7228</v>
      </c>
      <c r="D43" s="87" t="s">
        <v>6405</v>
      </c>
      <c r="E43" s="9" t="s">
        <v>6924</v>
      </c>
      <c r="F43" s="9" t="s">
        <v>11</v>
      </c>
      <c r="G43" s="9" t="s">
        <v>383</v>
      </c>
      <c r="H43" s="9" t="s">
        <v>426</v>
      </c>
      <c r="I43" s="87" t="s">
        <v>6405</v>
      </c>
      <c r="J43" s="87" t="s">
        <v>6405</v>
      </c>
      <c r="K43" s="87" t="s">
        <v>6405</v>
      </c>
      <c r="L43" s="87" t="s">
        <v>6397</v>
      </c>
      <c r="M43" s="87" t="s">
        <v>6910</v>
      </c>
      <c r="N43" s="9" t="s">
        <v>7262</v>
      </c>
      <c r="O43" s="87" t="s">
        <v>6240</v>
      </c>
      <c r="P43" s="9" t="s">
        <v>6243</v>
      </c>
      <c r="Q43" s="87" t="s">
        <v>6397</v>
      </c>
      <c r="R43" s="87" t="s">
        <v>6405</v>
      </c>
      <c r="S43" s="87" t="s">
        <v>6651</v>
      </c>
      <c r="T43" s="87" t="s">
        <v>6416</v>
      </c>
    </row>
    <row r="44" spans="1:20" ht="15.75" customHeight="1">
      <c r="A44" s="9" t="s">
        <v>2924</v>
      </c>
      <c r="B44" s="9" t="s">
        <v>7263</v>
      </c>
      <c r="C44" s="9" t="s">
        <v>6236</v>
      </c>
      <c r="D44" s="87" t="s">
        <v>6393</v>
      </c>
      <c r="E44" s="9" t="s">
        <v>431</v>
      </c>
      <c r="F44" s="9" t="s">
        <v>368</v>
      </c>
      <c r="G44" s="9" t="s">
        <v>436</v>
      </c>
      <c r="H44" s="9" t="s">
        <v>434</v>
      </c>
      <c r="I44" s="87" t="s">
        <v>6237</v>
      </c>
      <c r="J44" s="87" t="s">
        <v>6250</v>
      </c>
      <c r="K44" s="87" t="s">
        <v>6251</v>
      </c>
      <c r="L44" s="87" t="s">
        <v>6240</v>
      </c>
      <c r="M44" s="87" t="s">
        <v>6899</v>
      </c>
      <c r="N44" s="9" t="s">
        <v>6947</v>
      </c>
      <c r="O44" s="87" t="s">
        <v>6251</v>
      </c>
      <c r="P44" s="9" t="s">
        <v>6243</v>
      </c>
      <c r="Q44" s="87" t="s">
        <v>6254</v>
      </c>
      <c r="R44" s="87" t="s">
        <v>6250</v>
      </c>
      <c r="S44" s="87" t="s">
        <v>6327</v>
      </c>
      <c r="T44" s="87" t="s">
        <v>6296</v>
      </c>
    </row>
    <row r="45" spans="1:20" ht="15.75" customHeight="1">
      <c r="A45" s="9" t="s">
        <v>2924</v>
      </c>
      <c r="B45" s="9" t="s">
        <v>7263</v>
      </c>
      <c r="C45" s="9" t="s">
        <v>6236</v>
      </c>
      <c r="D45" s="87" t="s">
        <v>6393</v>
      </c>
      <c r="E45" s="9" t="s">
        <v>431</v>
      </c>
      <c r="F45" s="9" t="s">
        <v>368</v>
      </c>
      <c r="G45" s="9" t="s">
        <v>436</v>
      </c>
      <c r="H45" s="9" t="s">
        <v>434</v>
      </c>
      <c r="I45" s="87" t="s">
        <v>6237</v>
      </c>
      <c r="J45" s="87" t="s">
        <v>6250</v>
      </c>
      <c r="K45" s="87" t="s">
        <v>6260</v>
      </c>
      <c r="L45" s="87" t="s">
        <v>6240</v>
      </c>
      <c r="M45" s="87" t="s">
        <v>6265</v>
      </c>
      <c r="N45" s="9" t="s">
        <v>6948</v>
      </c>
      <c r="O45" s="87" t="s">
        <v>6260</v>
      </c>
      <c r="P45" s="9" t="s">
        <v>6243</v>
      </c>
      <c r="Q45" s="87" t="s">
        <v>4014</v>
      </c>
      <c r="R45" s="87" t="s">
        <v>6250</v>
      </c>
      <c r="S45" s="87" t="s">
        <v>6392</v>
      </c>
      <c r="T45" s="87" t="s">
        <v>6645</v>
      </c>
    </row>
    <row r="46" spans="1:20" ht="15.75" customHeight="1">
      <c r="A46" s="9" t="s">
        <v>2924</v>
      </c>
      <c r="B46" s="9" t="s">
        <v>7264</v>
      </c>
      <c r="C46" s="9" t="s">
        <v>6671</v>
      </c>
      <c r="D46" s="87" t="s">
        <v>6296</v>
      </c>
      <c r="E46" s="9" t="s">
        <v>6672</v>
      </c>
      <c r="F46" s="9" t="s">
        <v>439</v>
      </c>
      <c r="G46" s="9" t="s">
        <v>436</v>
      </c>
      <c r="H46" s="9" t="s">
        <v>440</v>
      </c>
      <c r="I46" s="87" t="s">
        <v>6405</v>
      </c>
      <c r="J46" s="87" t="s">
        <v>6273</v>
      </c>
      <c r="K46" s="87" t="s">
        <v>6346</v>
      </c>
      <c r="L46" s="87" t="s">
        <v>6240</v>
      </c>
      <c r="M46" s="87" t="s">
        <v>6272</v>
      </c>
      <c r="N46" s="9" t="s">
        <v>6949</v>
      </c>
      <c r="O46" s="87" t="s">
        <v>6346</v>
      </c>
      <c r="P46" s="9" t="s">
        <v>6243</v>
      </c>
      <c r="Q46" s="87" t="s">
        <v>6366</v>
      </c>
      <c r="R46" s="87" t="s">
        <v>6273</v>
      </c>
      <c r="S46" s="87" t="s">
        <v>6327</v>
      </c>
      <c r="T46" s="87" t="s">
        <v>6370</v>
      </c>
    </row>
    <row r="47" spans="1:20" ht="15.75" customHeight="1">
      <c r="A47" s="9" t="s">
        <v>2924</v>
      </c>
      <c r="B47" s="9" t="s">
        <v>7264</v>
      </c>
      <c r="C47" s="9" t="s">
        <v>6671</v>
      </c>
      <c r="D47" s="87" t="s">
        <v>6296</v>
      </c>
      <c r="E47" s="9" t="s">
        <v>6672</v>
      </c>
      <c r="F47" s="9" t="s">
        <v>439</v>
      </c>
      <c r="G47" s="9" t="s">
        <v>436</v>
      </c>
      <c r="H47" s="9" t="s">
        <v>440</v>
      </c>
      <c r="I47" s="87" t="s">
        <v>6405</v>
      </c>
      <c r="J47" s="87" t="s">
        <v>6273</v>
      </c>
      <c r="K47" s="87" t="s">
        <v>6240</v>
      </c>
      <c r="L47" s="87" t="s">
        <v>6240</v>
      </c>
      <c r="M47" s="87" t="s">
        <v>6274</v>
      </c>
      <c r="N47" s="9" t="s">
        <v>6950</v>
      </c>
      <c r="O47" s="87" t="s">
        <v>6240</v>
      </c>
      <c r="P47" s="9" t="s">
        <v>6243</v>
      </c>
      <c r="Q47" s="87" t="s">
        <v>6397</v>
      </c>
      <c r="R47" s="87" t="s">
        <v>6273</v>
      </c>
      <c r="S47" s="87" t="s">
        <v>6417</v>
      </c>
      <c r="T47" s="87" t="s">
        <v>6645</v>
      </c>
    </row>
    <row r="48" spans="1:20" ht="15.75" customHeight="1">
      <c r="A48" s="9" t="s">
        <v>2924</v>
      </c>
      <c r="B48" s="9" t="s">
        <v>7265</v>
      </c>
      <c r="C48" s="9" t="s">
        <v>6923</v>
      </c>
      <c r="D48" s="87" t="s">
        <v>6461</v>
      </c>
      <c r="E48" s="9" t="s">
        <v>6924</v>
      </c>
      <c r="F48" s="9" t="s">
        <v>6925</v>
      </c>
      <c r="G48" s="9" t="s">
        <v>383</v>
      </c>
      <c r="H48" s="9" t="s">
        <v>427</v>
      </c>
      <c r="I48" s="87" t="s">
        <v>6405</v>
      </c>
      <c r="J48" s="87" t="s">
        <v>6264</v>
      </c>
      <c r="K48" s="87" t="s">
        <v>6926</v>
      </c>
      <c r="L48" s="87" t="s">
        <v>5374</v>
      </c>
      <c r="M48" s="87" t="s">
        <v>6285</v>
      </c>
      <c r="N48" s="9" t="s">
        <v>6951</v>
      </c>
      <c r="O48" s="87" t="s">
        <v>6323</v>
      </c>
      <c r="P48" s="9" t="s">
        <v>6243</v>
      </c>
      <c r="Q48" s="87" t="s">
        <v>5374</v>
      </c>
      <c r="R48" s="87" t="s">
        <v>6264</v>
      </c>
      <c r="S48" s="87" t="s">
        <v>6259</v>
      </c>
      <c r="T48" s="87" t="s">
        <v>6526</v>
      </c>
    </row>
    <row r="49" spans="1:20" ht="15.75" customHeight="1">
      <c r="A49" s="9" t="s">
        <v>2924</v>
      </c>
      <c r="B49" s="9" t="s">
        <v>7265</v>
      </c>
      <c r="C49" s="9" t="s">
        <v>7228</v>
      </c>
      <c r="D49" s="87" t="s">
        <v>6237</v>
      </c>
      <c r="E49" s="9" t="s">
        <v>6924</v>
      </c>
      <c r="F49" s="9" t="s">
        <v>11</v>
      </c>
      <c r="G49" s="9" t="s">
        <v>383</v>
      </c>
      <c r="H49" s="9" t="s">
        <v>426</v>
      </c>
      <c r="I49" s="87" t="s">
        <v>6405</v>
      </c>
      <c r="J49" s="87" t="s">
        <v>6405</v>
      </c>
      <c r="K49" s="87" t="s">
        <v>6405</v>
      </c>
      <c r="L49" s="87" t="s">
        <v>6397</v>
      </c>
      <c r="M49" s="87" t="s">
        <v>6912</v>
      </c>
      <c r="N49" s="9" t="s">
        <v>7266</v>
      </c>
      <c r="O49" s="87" t="s">
        <v>6240</v>
      </c>
      <c r="P49" s="9" t="s">
        <v>6243</v>
      </c>
      <c r="Q49" s="87" t="s">
        <v>6397</v>
      </c>
      <c r="R49" s="87" t="s">
        <v>6405</v>
      </c>
      <c r="S49" s="87" t="s">
        <v>6500</v>
      </c>
      <c r="T49" s="87" t="s">
        <v>6373</v>
      </c>
    </row>
    <row r="50" spans="1:20" ht="15.75" customHeight="1">
      <c r="A50" s="9" t="s">
        <v>2924</v>
      </c>
      <c r="B50" s="9" t="s">
        <v>7267</v>
      </c>
      <c r="C50" s="9" t="s">
        <v>6923</v>
      </c>
      <c r="D50" s="87" t="s">
        <v>6461</v>
      </c>
      <c r="E50" s="9" t="s">
        <v>6924</v>
      </c>
      <c r="F50" s="9" t="s">
        <v>6925</v>
      </c>
      <c r="G50" s="9" t="s">
        <v>383</v>
      </c>
      <c r="H50" s="9" t="s">
        <v>427</v>
      </c>
      <c r="I50" s="87" t="s">
        <v>6405</v>
      </c>
      <c r="J50" s="87" t="s">
        <v>6264</v>
      </c>
      <c r="K50" s="87" t="s">
        <v>6939</v>
      </c>
      <c r="L50" s="87" t="s">
        <v>5374</v>
      </c>
      <c r="M50" s="87" t="s">
        <v>6912</v>
      </c>
      <c r="N50" s="9" t="s">
        <v>6940</v>
      </c>
      <c r="O50" s="87" t="s">
        <v>6333</v>
      </c>
      <c r="P50" s="9" t="s">
        <v>6243</v>
      </c>
      <c r="Q50" s="87" t="s">
        <v>6575</v>
      </c>
      <c r="R50" s="87" t="s">
        <v>6264</v>
      </c>
      <c r="S50" s="87" t="s">
        <v>6570</v>
      </c>
      <c r="T50" s="87" t="s">
        <v>6341</v>
      </c>
    </row>
    <row r="51" spans="1:20" ht="15.75" customHeight="1">
      <c r="A51" s="9" t="s">
        <v>2924</v>
      </c>
      <c r="B51" s="9" t="s">
        <v>7267</v>
      </c>
      <c r="C51" s="9" t="s">
        <v>7228</v>
      </c>
      <c r="D51" s="87" t="s">
        <v>6237</v>
      </c>
      <c r="E51" s="9" t="s">
        <v>6924</v>
      </c>
      <c r="F51" s="9" t="s">
        <v>11</v>
      </c>
      <c r="G51" s="9" t="s">
        <v>383</v>
      </c>
      <c r="H51" s="9" t="s">
        <v>426</v>
      </c>
      <c r="I51" s="87" t="s">
        <v>6405</v>
      </c>
      <c r="J51" s="87" t="s">
        <v>6334</v>
      </c>
      <c r="K51" s="87" t="s">
        <v>6334</v>
      </c>
      <c r="L51" s="87" t="s">
        <v>6397</v>
      </c>
      <c r="M51" s="87" t="s">
        <v>6910</v>
      </c>
      <c r="N51" s="9" t="s">
        <v>7268</v>
      </c>
      <c r="O51" s="87" t="s">
        <v>6290</v>
      </c>
      <c r="P51" s="9" t="s">
        <v>6243</v>
      </c>
      <c r="Q51" s="87" t="s">
        <v>6293</v>
      </c>
      <c r="R51" s="87" t="s">
        <v>6334</v>
      </c>
      <c r="S51" s="87" t="s">
        <v>6479</v>
      </c>
      <c r="T51" s="87" t="s">
        <v>6341</v>
      </c>
    </row>
    <row r="52" spans="1:20" ht="15.75" customHeight="1">
      <c r="A52" s="9" t="s">
        <v>2946</v>
      </c>
      <c r="B52" s="9" t="s">
        <v>7269</v>
      </c>
      <c r="C52" s="9" t="s">
        <v>6236</v>
      </c>
      <c r="D52" s="87" t="s">
        <v>6393</v>
      </c>
      <c r="E52" s="9" t="s">
        <v>431</v>
      </c>
      <c r="F52" s="9" t="s">
        <v>368</v>
      </c>
      <c r="G52" s="9" t="s">
        <v>436</v>
      </c>
      <c r="H52" s="9" t="s">
        <v>434</v>
      </c>
      <c r="I52" s="87" t="s">
        <v>6264</v>
      </c>
      <c r="J52" s="87" t="s">
        <v>6273</v>
      </c>
      <c r="K52" s="87" t="s">
        <v>6273</v>
      </c>
      <c r="L52" s="87" t="s">
        <v>6240</v>
      </c>
      <c r="M52" s="87" t="s">
        <v>6274</v>
      </c>
      <c r="N52" s="9" t="s">
        <v>6952</v>
      </c>
      <c r="O52" s="87" t="s">
        <v>6273</v>
      </c>
      <c r="P52" s="9" t="s">
        <v>6243</v>
      </c>
      <c r="Q52" s="87" t="s">
        <v>6276</v>
      </c>
      <c r="R52" s="87" t="s">
        <v>6273</v>
      </c>
      <c r="S52" s="87" t="s">
        <v>6445</v>
      </c>
      <c r="T52" s="87" t="s">
        <v>6645</v>
      </c>
    </row>
    <row r="53" spans="1:20" ht="15.75" customHeight="1">
      <c r="A53" s="9" t="s">
        <v>2946</v>
      </c>
      <c r="B53" s="9" t="s">
        <v>7270</v>
      </c>
      <c r="C53" s="9" t="s">
        <v>6671</v>
      </c>
      <c r="D53" s="87" t="s">
        <v>6296</v>
      </c>
      <c r="E53" s="9" t="s">
        <v>6672</v>
      </c>
      <c r="F53" s="9" t="s">
        <v>439</v>
      </c>
      <c r="G53" s="9" t="s">
        <v>436</v>
      </c>
      <c r="H53" s="9" t="s">
        <v>440</v>
      </c>
      <c r="I53" s="87" t="s">
        <v>6405</v>
      </c>
      <c r="J53" s="87" t="s">
        <v>6484</v>
      </c>
      <c r="K53" s="87" t="s">
        <v>6484</v>
      </c>
      <c r="L53" s="87" t="s">
        <v>6240</v>
      </c>
      <c r="M53" s="87" t="s">
        <v>6891</v>
      </c>
      <c r="N53" s="9" t="s">
        <v>6953</v>
      </c>
      <c r="O53" s="87" t="s">
        <v>6484</v>
      </c>
      <c r="P53" s="9" t="s">
        <v>6243</v>
      </c>
      <c r="Q53" s="87" t="s">
        <v>6375</v>
      </c>
      <c r="R53" s="87" t="s">
        <v>6484</v>
      </c>
      <c r="S53" s="87" t="s">
        <v>6401</v>
      </c>
      <c r="T53" s="87" t="s">
        <v>6645</v>
      </c>
    </row>
    <row r="54" spans="1:20" ht="15.75" customHeight="1">
      <c r="A54" s="9" t="s">
        <v>2946</v>
      </c>
      <c r="B54" s="9" t="s">
        <v>7271</v>
      </c>
      <c r="C54" s="9" t="s">
        <v>6923</v>
      </c>
      <c r="D54" s="87" t="s">
        <v>6327</v>
      </c>
      <c r="E54" s="9" t="s">
        <v>6924</v>
      </c>
      <c r="F54" s="9" t="s">
        <v>6925</v>
      </c>
      <c r="G54" s="9" t="s">
        <v>383</v>
      </c>
      <c r="H54" s="9" t="s">
        <v>444</v>
      </c>
      <c r="I54" s="87" t="s">
        <v>6405</v>
      </c>
      <c r="J54" s="87" t="s">
        <v>6405</v>
      </c>
      <c r="K54" s="87" t="s">
        <v>6926</v>
      </c>
      <c r="L54" s="87" t="s">
        <v>6306</v>
      </c>
      <c r="M54" s="87" t="s">
        <v>6890</v>
      </c>
      <c r="N54" s="9" t="s">
        <v>7272</v>
      </c>
      <c r="O54" s="87" t="s">
        <v>4953</v>
      </c>
      <c r="P54" s="9" t="s">
        <v>6243</v>
      </c>
      <c r="Q54" s="87" t="s">
        <v>6306</v>
      </c>
      <c r="R54" s="87" t="s">
        <v>6405</v>
      </c>
      <c r="S54" s="87" t="s">
        <v>6264</v>
      </c>
      <c r="T54" s="87" t="s">
        <v>6433</v>
      </c>
    </row>
    <row r="55" spans="1:20" ht="15.75" customHeight="1">
      <c r="A55" s="9" t="s">
        <v>2946</v>
      </c>
      <c r="B55" s="9" t="s">
        <v>7271</v>
      </c>
      <c r="C55" s="9" t="s">
        <v>7228</v>
      </c>
      <c r="D55" s="87" t="s">
        <v>6290</v>
      </c>
      <c r="E55" s="9" t="s">
        <v>6924</v>
      </c>
      <c r="F55" s="9" t="s">
        <v>11</v>
      </c>
      <c r="G55" s="9" t="s">
        <v>383</v>
      </c>
      <c r="H55" s="9" t="s">
        <v>426</v>
      </c>
      <c r="I55" s="87" t="s">
        <v>6405</v>
      </c>
      <c r="J55" s="87" t="s">
        <v>6405</v>
      </c>
      <c r="K55" s="87" t="s">
        <v>6405</v>
      </c>
      <c r="L55" s="87" t="s">
        <v>4953</v>
      </c>
      <c r="M55" s="87" t="s">
        <v>6285</v>
      </c>
      <c r="N55" s="9" t="s">
        <v>7273</v>
      </c>
      <c r="O55" s="87" t="s">
        <v>6237</v>
      </c>
      <c r="P55" s="9" t="s">
        <v>6243</v>
      </c>
      <c r="Q55" s="87" t="s">
        <v>4953</v>
      </c>
      <c r="R55" s="87" t="s">
        <v>6405</v>
      </c>
      <c r="S55" s="87" t="s">
        <v>6245</v>
      </c>
      <c r="T55" s="87" t="s">
        <v>6451</v>
      </c>
    </row>
    <row r="56" spans="1:20" ht="15.75" customHeight="1">
      <c r="A56" s="9" t="s">
        <v>6384</v>
      </c>
      <c r="B56" s="9" t="s">
        <v>7274</v>
      </c>
      <c r="C56" s="9" t="s">
        <v>6923</v>
      </c>
      <c r="D56" s="87" t="s">
        <v>6327</v>
      </c>
      <c r="E56" s="9" t="s">
        <v>6924</v>
      </c>
      <c r="F56" s="9" t="s">
        <v>6925</v>
      </c>
      <c r="G56" s="9" t="s">
        <v>383</v>
      </c>
      <c r="H56" s="9" t="s">
        <v>444</v>
      </c>
      <c r="I56" s="87" t="s">
        <v>6405</v>
      </c>
      <c r="J56" s="87" t="s">
        <v>6290</v>
      </c>
      <c r="K56" s="87" t="s">
        <v>6939</v>
      </c>
      <c r="L56" s="87" t="s">
        <v>6448</v>
      </c>
      <c r="M56" s="87" t="s">
        <v>6364</v>
      </c>
      <c r="N56" s="9" t="s">
        <v>6955</v>
      </c>
      <c r="O56" s="87" t="s">
        <v>6360</v>
      </c>
      <c r="P56" s="9" t="s">
        <v>6243</v>
      </c>
      <c r="Q56" s="87" t="s">
        <v>6776</v>
      </c>
      <c r="R56" s="87" t="s">
        <v>6290</v>
      </c>
      <c r="S56" s="87" t="s">
        <v>6255</v>
      </c>
      <c r="T56" s="87" t="s">
        <v>6341</v>
      </c>
    </row>
    <row r="57" spans="1:20" ht="15.75" customHeight="1">
      <c r="A57" s="9" t="s">
        <v>6384</v>
      </c>
      <c r="B57" s="9" t="s">
        <v>7274</v>
      </c>
      <c r="C57" s="9" t="s">
        <v>7228</v>
      </c>
      <c r="D57" s="87" t="s">
        <v>6290</v>
      </c>
      <c r="E57" s="9" t="s">
        <v>6924</v>
      </c>
      <c r="F57" s="9" t="s">
        <v>11</v>
      </c>
      <c r="G57" s="9" t="s">
        <v>383</v>
      </c>
      <c r="H57" s="9" t="s">
        <v>426</v>
      </c>
      <c r="I57" s="87" t="s">
        <v>6405</v>
      </c>
      <c r="J57" s="87" t="s">
        <v>6334</v>
      </c>
      <c r="K57" s="87" t="s">
        <v>6334</v>
      </c>
      <c r="L57" s="87" t="s">
        <v>6306</v>
      </c>
      <c r="M57" s="87" t="s">
        <v>6385</v>
      </c>
      <c r="N57" s="9" t="s">
        <v>7121</v>
      </c>
      <c r="O57" s="87" t="s">
        <v>6299</v>
      </c>
      <c r="P57" s="9" t="s">
        <v>6243</v>
      </c>
      <c r="Q57" s="87" t="s">
        <v>3231</v>
      </c>
      <c r="R57" s="87" t="s">
        <v>6334</v>
      </c>
      <c r="S57" s="87" t="s">
        <v>6400</v>
      </c>
      <c r="T57" s="87" t="s">
        <v>6341</v>
      </c>
    </row>
    <row r="58" spans="1:20" ht="15.75" customHeight="1">
      <c r="A58" s="9" t="s">
        <v>6384</v>
      </c>
      <c r="B58" s="9" t="s">
        <v>7275</v>
      </c>
      <c r="C58" s="9" t="s">
        <v>6923</v>
      </c>
      <c r="D58" s="87" t="s">
        <v>6327</v>
      </c>
      <c r="E58" s="9" t="s">
        <v>6924</v>
      </c>
      <c r="F58" s="9" t="s">
        <v>6925</v>
      </c>
      <c r="G58" s="9" t="s">
        <v>383</v>
      </c>
      <c r="H58" s="9" t="s">
        <v>444</v>
      </c>
      <c r="I58" s="87" t="s">
        <v>6405</v>
      </c>
      <c r="J58" s="87" t="s">
        <v>6290</v>
      </c>
      <c r="K58" s="87" t="s">
        <v>6926</v>
      </c>
      <c r="L58" s="87" t="s">
        <v>6448</v>
      </c>
      <c r="M58" s="87" t="s">
        <v>6398</v>
      </c>
      <c r="N58" s="9" t="s">
        <v>7054</v>
      </c>
      <c r="O58" s="87" t="s">
        <v>6329</v>
      </c>
      <c r="P58" s="9" t="s">
        <v>6243</v>
      </c>
      <c r="Q58" s="87" t="s">
        <v>6448</v>
      </c>
      <c r="R58" s="87" t="s">
        <v>6290</v>
      </c>
      <c r="S58" s="87" t="s">
        <v>6327</v>
      </c>
      <c r="T58" s="87" t="s">
        <v>6486</v>
      </c>
    </row>
    <row r="59" spans="1:20" ht="15.75" customHeight="1">
      <c r="A59" s="9" t="s">
        <v>6384</v>
      </c>
      <c r="B59" s="9" t="s">
        <v>7275</v>
      </c>
      <c r="C59" s="9" t="s">
        <v>7228</v>
      </c>
      <c r="D59" s="87" t="s">
        <v>6290</v>
      </c>
      <c r="E59" s="9" t="s">
        <v>6924</v>
      </c>
      <c r="F59" s="9" t="s">
        <v>11</v>
      </c>
      <c r="G59" s="9" t="s">
        <v>383</v>
      </c>
      <c r="H59" s="9" t="s">
        <v>426</v>
      </c>
      <c r="I59" s="87" t="s">
        <v>6405</v>
      </c>
      <c r="J59" s="87" t="s">
        <v>6405</v>
      </c>
      <c r="K59" s="87" t="s">
        <v>6405</v>
      </c>
      <c r="L59" s="87" t="s">
        <v>6306</v>
      </c>
      <c r="M59" s="87" t="s">
        <v>6422</v>
      </c>
      <c r="N59" s="9" t="s">
        <v>7276</v>
      </c>
      <c r="O59" s="87" t="s">
        <v>4953</v>
      </c>
      <c r="P59" s="9" t="s">
        <v>6243</v>
      </c>
      <c r="Q59" s="87" t="s">
        <v>6306</v>
      </c>
      <c r="R59" s="87" t="s">
        <v>6405</v>
      </c>
      <c r="S59" s="87" t="s">
        <v>6297</v>
      </c>
      <c r="T59" s="87" t="s">
        <v>6451</v>
      </c>
    </row>
    <row r="60" spans="1:20" ht="15.75" customHeight="1">
      <c r="A60" s="9" t="s">
        <v>6384</v>
      </c>
      <c r="B60" s="9" t="s">
        <v>7277</v>
      </c>
      <c r="C60" s="9" t="s">
        <v>6923</v>
      </c>
      <c r="D60" s="87" t="s">
        <v>6327</v>
      </c>
      <c r="E60" s="9" t="s">
        <v>6924</v>
      </c>
      <c r="F60" s="9" t="s">
        <v>6925</v>
      </c>
      <c r="G60" s="9" t="s">
        <v>383</v>
      </c>
      <c r="H60" s="9" t="s">
        <v>444</v>
      </c>
      <c r="I60" s="87" t="s">
        <v>6405</v>
      </c>
      <c r="J60" s="87" t="s">
        <v>6290</v>
      </c>
      <c r="K60" s="87" t="s">
        <v>6939</v>
      </c>
      <c r="L60" s="87" t="s">
        <v>6448</v>
      </c>
      <c r="M60" s="87" t="s">
        <v>6422</v>
      </c>
      <c r="N60" s="9" t="s">
        <v>7278</v>
      </c>
      <c r="O60" s="87" t="s">
        <v>6360</v>
      </c>
      <c r="P60" s="9" t="s">
        <v>6243</v>
      </c>
      <c r="Q60" s="87" t="s">
        <v>6776</v>
      </c>
      <c r="R60" s="87" t="s">
        <v>6290</v>
      </c>
      <c r="S60" s="87" t="s">
        <v>6237</v>
      </c>
      <c r="T60" s="87" t="s">
        <v>6440</v>
      </c>
    </row>
    <row r="61" spans="1:20" ht="15.75" customHeight="1">
      <c r="A61" s="9" t="s">
        <v>6384</v>
      </c>
      <c r="B61" s="9" t="s">
        <v>7279</v>
      </c>
      <c r="C61" s="9" t="s">
        <v>6923</v>
      </c>
      <c r="D61" s="87" t="s">
        <v>6327</v>
      </c>
      <c r="E61" s="9" t="s">
        <v>6924</v>
      </c>
      <c r="F61" s="9" t="s">
        <v>6925</v>
      </c>
      <c r="G61" s="9" t="s">
        <v>383</v>
      </c>
      <c r="H61" s="9" t="s">
        <v>444</v>
      </c>
      <c r="I61" s="87" t="s">
        <v>6405</v>
      </c>
      <c r="J61" s="87" t="s">
        <v>6290</v>
      </c>
      <c r="K61" s="87" t="s">
        <v>6939</v>
      </c>
      <c r="L61" s="87" t="s">
        <v>6448</v>
      </c>
      <c r="M61" s="87" t="s">
        <v>6840</v>
      </c>
      <c r="N61" s="9" t="s">
        <v>7280</v>
      </c>
      <c r="O61" s="87" t="s">
        <v>6360</v>
      </c>
      <c r="P61" s="9" t="s">
        <v>6243</v>
      </c>
      <c r="Q61" s="87" t="s">
        <v>6776</v>
      </c>
      <c r="R61" s="87" t="s">
        <v>6290</v>
      </c>
      <c r="S61" s="87" t="s">
        <v>6296</v>
      </c>
      <c r="T61" s="87" t="s">
        <v>6497</v>
      </c>
    </row>
    <row r="62" spans="1:20" ht="15.75" customHeight="1">
      <c r="A62" s="9" t="s">
        <v>6384</v>
      </c>
      <c r="B62" s="9" t="s">
        <v>7281</v>
      </c>
      <c r="C62" s="9" t="s">
        <v>6923</v>
      </c>
      <c r="D62" s="87" t="s">
        <v>6327</v>
      </c>
      <c r="E62" s="9" t="s">
        <v>6924</v>
      </c>
      <c r="F62" s="9" t="s">
        <v>6925</v>
      </c>
      <c r="G62" s="9" t="s">
        <v>383</v>
      </c>
      <c r="H62" s="9" t="s">
        <v>444</v>
      </c>
      <c r="I62" s="87" t="s">
        <v>6405</v>
      </c>
      <c r="J62" s="87" t="s">
        <v>6290</v>
      </c>
      <c r="K62" s="87" t="s">
        <v>6939</v>
      </c>
      <c r="L62" s="87" t="s">
        <v>6448</v>
      </c>
      <c r="M62" s="87" t="s">
        <v>6838</v>
      </c>
      <c r="N62" s="9" t="s">
        <v>7280</v>
      </c>
      <c r="O62" s="87" t="s">
        <v>6360</v>
      </c>
      <c r="P62" s="9" t="s">
        <v>6243</v>
      </c>
      <c r="Q62" s="87" t="s">
        <v>6776</v>
      </c>
      <c r="R62" s="87" t="s">
        <v>6290</v>
      </c>
      <c r="S62" s="87" t="s">
        <v>6296</v>
      </c>
      <c r="T62" s="87" t="s">
        <v>6497</v>
      </c>
    </row>
    <row r="63" spans="1:20" ht="15.75" customHeight="1">
      <c r="A63" s="9" t="s">
        <v>6384</v>
      </c>
      <c r="B63" s="9" t="s">
        <v>7279</v>
      </c>
      <c r="C63" s="9" t="s">
        <v>7228</v>
      </c>
      <c r="D63" s="87" t="s">
        <v>6290</v>
      </c>
      <c r="E63" s="9" t="s">
        <v>6924</v>
      </c>
      <c r="F63" s="9" t="s">
        <v>11</v>
      </c>
      <c r="G63" s="9" t="s">
        <v>383</v>
      </c>
      <c r="H63" s="9" t="s">
        <v>426</v>
      </c>
      <c r="I63" s="87" t="s">
        <v>6405</v>
      </c>
      <c r="J63" s="87" t="s">
        <v>6334</v>
      </c>
      <c r="K63" s="87" t="s">
        <v>6334</v>
      </c>
      <c r="L63" s="87" t="s">
        <v>6306</v>
      </c>
      <c r="M63" s="87" t="s">
        <v>6426</v>
      </c>
      <c r="N63" s="9" t="s">
        <v>7282</v>
      </c>
      <c r="O63" s="87" t="s">
        <v>6299</v>
      </c>
      <c r="P63" s="9" t="s">
        <v>6243</v>
      </c>
      <c r="Q63" s="87" t="s">
        <v>3231</v>
      </c>
      <c r="R63" s="87" t="s">
        <v>6334</v>
      </c>
      <c r="S63" s="87" t="s">
        <v>6237</v>
      </c>
      <c r="T63" s="87" t="s">
        <v>6273</v>
      </c>
    </row>
    <row r="64" spans="1:20" ht="15.75" customHeight="1">
      <c r="A64" s="9" t="s">
        <v>6384</v>
      </c>
      <c r="B64" s="9" t="s">
        <v>7277</v>
      </c>
      <c r="C64" s="9" t="s">
        <v>7228</v>
      </c>
      <c r="D64" s="87" t="s">
        <v>6290</v>
      </c>
      <c r="E64" s="9" t="s">
        <v>6924</v>
      </c>
      <c r="F64" s="9" t="s">
        <v>11</v>
      </c>
      <c r="G64" s="9" t="s">
        <v>383</v>
      </c>
      <c r="H64" s="9" t="s">
        <v>426</v>
      </c>
      <c r="I64" s="87" t="s">
        <v>6405</v>
      </c>
      <c r="J64" s="87" t="s">
        <v>6334</v>
      </c>
      <c r="K64" s="87" t="s">
        <v>6334</v>
      </c>
      <c r="L64" s="87" t="s">
        <v>6306</v>
      </c>
      <c r="M64" s="87" t="s">
        <v>6426</v>
      </c>
      <c r="N64" s="9" t="s">
        <v>7283</v>
      </c>
      <c r="O64" s="87" t="s">
        <v>6299</v>
      </c>
      <c r="P64" s="9" t="s">
        <v>6243</v>
      </c>
      <c r="Q64" s="87" t="s">
        <v>3231</v>
      </c>
      <c r="R64" s="87" t="s">
        <v>6334</v>
      </c>
      <c r="S64" s="87" t="s">
        <v>6486</v>
      </c>
      <c r="T64" s="87" t="s">
        <v>6497</v>
      </c>
    </row>
    <row r="65" spans="1:20" ht="15.75" customHeight="1">
      <c r="A65" s="9" t="s">
        <v>6384</v>
      </c>
      <c r="B65" s="9" t="s">
        <v>7284</v>
      </c>
      <c r="C65" s="9" t="s">
        <v>6923</v>
      </c>
      <c r="D65" s="87" t="s">
        <v>6327</v>
      </c>
      <c r="E65" s="9" t="s">
        <v>6924</v>
      </c>
      <c r="F65" s="9" t="s">
        <v>6925</v>
      </c>
      <c r="G65" s="9" t="s">
        <v>383</v>
      </c>
      <c r="H65" s="9" t="s">
        <v>444</v>
      </c>
      <c r="I65" s="87" t="s">
        <v>6405</v>
      </c>
      <c r="J65" s="87" t="s">
        <v>6290</v>
      </c>
      <c r="K65" s="87" t="s">
        <v>6926</v>
      </c>
      <c r="L65" s="87" t="s">
        <v>6448</v>
      </c>
      <c r="M65" s="87" t="s">
        <v>6426</v>
      </c>
      <c r="N65" s="9" t="s">
        <v>7073</v>
      </c>
      <c r="O65" s="87" t="s">
        <v>6329</v>
      </c>
      <c r="P65" s="9" t="s">
        <v>6243</v>
      </c>
      <c r="Q65" s="87" t="s">
        <v>6448</v>
      </c>
      <c r="R65" s="87" t="s">
        <v>6290</v>
      </c>
      <c r="S65" s="87" t="s">
        <v>6401</v>
      </c>
      <c r="T65" s="87" t="s">
        <v>6341</v>
      </c>
    </row>
    <row r="66" spans="1:20" ht="15.75" customHeight="1">
      <c r="A66" s="9" t="s">
        <v>6384</v>
      </c>
      <c r="B66" s="9" t="s">
        <v>7284</v>
      </c>
      <c r="C66" s="9" t="s">
        <v>7228</v>
      </c>
      <c r="D66" s="87" t="s">
        <v>6290</v>
      </c>
      <c r="E66" s="9" t="s">
        <v>6924</v>
      </c>
      <c r="F66" s="9" t="s">
        <v>11</v>
      </c>
      <c r="G66" s="9" t="s">
        <v>383</v>
      </c>
      <c r="H66" s="9" t="s">
        <v>426</v>
      </c>
      <c r="I66" s="87" t="s">
        <v>6405</v>
      </c>
      <c r="J66" s="87" t="s">
        <v>6405</v>
      </c>
      <c r="K66" s="87" t="s">
        <v>6405</v>
      </c>
      <c r="L66" s="87" t="s">
        <v>6306</v>
      </c>
      <c r="M66" s="87" t="s">
        <v>6431</v>
      </c>
      <c r="N66" s="9" t="s">
        <v>7285</v>
      </c>
      <c r="O66" s="87" t="s">
        <v>4953</v>
      </c>
      <c r="P66" s="9" t="s">
        <v>6243</v>
      </c>
      <c r="Q66" s="87" t="s">
        <v>6306</v>
      </c>
      <c r="R66" s="87" t="s">
        <v>6405</v>
      </c>
      <c r="S66" s="87" t="s">
        <v>6498</v>
      </c>
      <c r="T66" s="87" t="s">
        <v>6250</v>
      </c>
    </row>
    <row r="67" spans="1:20" ht="15.75" customHeight="1">
      <c r="A67" s="9" t="s">
        <v>6384</v>
      </c>
      <c r="B67" s="9" t="s">
        <v>7281</v>
      </c>
      <c r="C67" s="9" t="s">
        <v>7228</v>
      </c>
      <c r="D67" s="87" t="s">
        <v>6290</v>
      </c>
      <c r="E67" s="9" t="s">
        <v>6924</v>
      </c>
      <c r="F67" s="9" t="s">
        <v>11</v>
      </c>
      <c r="G67" s="9" t="s">
        <v>383</v>
      </c>
      <c r="H67" s="9" t="s">
        <v>426</v>
      </c>
      <c r="I67" s="87" t="s">
        <v>6405</v>
      </c>
      <c r="J67" s="87" t="s">
        <v>6334</v>
      </c>
      <c r="K67" s="87" t="s">
        <v>6334</v>
      </c>
      <c r="L67" s="87" t="s">
        <v>6306</v>
      </c>
      <c r="M67" s="87" t="s">
        <v>6431</v>
      </c>
      <c r="N67" s="9" t="s">
        <v>7121</v>
      </c>
      <c r="O67" s="87" t="s">
        <v>6299</v>
      </c>
      <c r="P67" s="9" t="s">
        <v>6243</v>
      </c>
      <c r="Q67" s="87" t="s">
        <v>3231</v>
      </c>
      <c r="R67" s="87" t="s">
        <v>6334</v>
      </c>
      <c r="S67" s="87" t="s">
        <v>6400</v>
      </c>
      <c r="T67" s="87" t="s">
        <v>6341</v>
      </c>
    </row>
    <row r="68" spans="1:20" ht="15.75" customHeight="1">
      <c r="A68" s="9" t="s">
        <v>2850</v>
      </c>
      <c r="B68" s="9" t="s">
        <v>7286</v>
      </c>
      <c r="C68" s="9" t="s">
        <v>6236</v>
      </c>
      <c r="D68" s="87" t="s">
        <v>6393</v>
      </c>
      <c r="E68" s="9" t="s">
        <v>431</v>
      </c>
      <c r="F68" s="9" t="s">
        <v>368</v>
      </c>
      <c r="G68" s="9" t="s">
        <v>436</v>
      </c>
      <c r="H68" s="9" t="s">
        <v>434</v>
      </c>
      <c r="I68" s="87" t="s">
        <v>6264</v>
      </c>
      <c r="J68" s="87" t="s">
        <v>6299</v>
      </c>
      <c r="K68" s="87" t="s">
        <v>6299</v>
      </c>
      <c r="L68" s="87" t="s">
        <v>6240</v>
      </c>
      <c r="M68" s="87" t="s">
        <v>6311</v>
      </c>
      <c r="N68" s="9" t="s">
        <v>6957</v>
      </c>
      <c r="O68" s="87" t="s">
        <v>6299</v>
      </c>
      <c r="P68" s="9" t="s">
        <v>6243</v>
      </c>
      <c r="Q68" s="87" t="s">
        <v>3231</v>
      </c>
      <c r="R68" s="87" t="s">
        <v>6299</v>
      </c>
      <c r="S68" s="87" t="s">
        <v>6526</v>
      </c>
      <c r="T68" s="87" t="s">
        <v>6417</v>
      </c>
    </row>
    <row r="69" spans="1:20" ht="15.75" customHeight="1">
      <c r="A69" s="9" t="s">
        <v>2850</v>
      </c>
      <c r="B69" s="9" t="s">
        <v>7287</v>
      </c>
      <c r="C69" s="9" t="s">
        <v>6671</v>
      </c>
      <c r="D69" s="87" t="s">
        <v>6296</v>
      </c>
      <c r="E69" s="9" t="s">
        <v>6672</v>
      </c>
      <c r="F69" s="9" t="s">
        <v>439</v>
      </c>
      <c r="G69" s="9" t="s">
        <v>436</v>
      </c>
      <c r="H69" s="9" t="s">
        <v>440</v>
      </c>
      <c r="I69" s="87" t="s">
        <v>6405</v>
      </c>
      <c r="J69" s="87" t="s">
        <v>6346</v>
      </c>
      <c r="K69" s="87" t="s">
        <v>6346</v>
      </c>
      <c r="L69" s="87" t="s">
        <v>6240</v>
      </c>
      <c r="M69" s="87" t="s">
        <v>6875</v>
      </c>
      <c r="N69" s="9" t="s">
        <v>6958</v>
      </c>
      <c r="O69" s="87" t="s">
        <v>6346</v>
      </c>
      <c r="P69" s="9" t="s">
        <v>6243</v>
      </c>
      <c r="Q69" s="87" t="s">
        <v>6366</v>
      </c>
      <c r="R69" s="87" t="s">
        <v>6346</v>
      </c>
      <c r="S69" s="87" t="s">
        <v>6428</v>
      </c>
      <c r="T69" s="87" t="s">
        <v>6443</v>
      </c>
    </row>
    <row r="70" spans="1:20" ht="15.75" customHeight="1">
      <c r="A70" s="9" t="s">
        <v>2850</v>
      </c>
      <c r="B70" s="9" t="s">
        <v>7288</v>
      </c>
      <c r="C70" s="9" t="s">
        <v>6923</v>
      </c>
      <c r="D70" s="87" t="s">
        <v>6264</v>
      </c>
      <c r="E70" s="9" t="s">
        <v>6924</v>
      </c>
      <c r="F70" s="9" t="s">
        <v>6925</v>
      </c>
      <c r="G70" s="9" t="s">
        <v>383</v>
      </c>
      <c r="H70" s="9" t="s">
        <v>449</v>
      </c>
      <c r="I70" s="87" t="s">
        <v>6405</v>
      </c>
      <c r="J70" s="87" t="s">
        <v>6405</v>
      </c>
      <c r="K70" s="87" t="s">
        <v>6926</v>
      </c>
      <c r="L70" s="87" t="s">
        <v>6306</v>
      </c>
      <c r="M70" s="87" t="s">
        <v>6869</v>
      </c>
      <c r="N70" s="9" t="s">
        <v>6959</v>
      </c>
      <c r="O70" s="87" t="s">
        <v>4953</v>
      </c>
      <c r="P70" s="9" t="s">
        <v>6243</v>
      </c>
      <c r="Q70" s="87" t="s">
        <v>6306</v>
      </c>
      <c r="R70" s="87" t="s">
        <v>6405</v>
      </c>
      <c r="S70" s="87" t="s">
        <v>6543</v>
      </c>
      <c r="T70" s="87" t="s">
        <v>6341</v>
      </c>
    </row>
    <row r="71" spans="1:20" ht="15.75" customHeight="1">
      <c r="A71" s="9" t="s">
        <v>2850</v>
      </c>
      <c r="B71" s="9" t="s">
        <v>7288</v>
      </c>
      <c r="C71" s="9" t="s">
        <v>7228</v>
      </c>
      <c r="D71" s="87" t="s">
        <v>6405</v>
      </c>
      <c r="E71" s="9" t="s">
        <v>6924</v>
      </c>
      <c r="F71" s="9" t="s">
        <v>11</v>
      </c>
      <c r="G71" s="9" t="s">
        <v>383</v>
      </c>
      <c r="H71" s="9" t="s">
        <v>426</v>
      </c>
      <c r="I71" s="87" t="s">
        <v>6405</v>
      </c>
      <c r="J71" s="87" t="s">
        <v>6405</v>
      </c>
      <c r="K71" s="87" t="s">
        <v>6405</v>
      </c>
      <c r="L71" s="87" t="s">
        <v>6397</v>
      </c>
      <c r="M71" s="87" t="s">
        <v>6338</v>
      </c>
      <c r="N71" s="9" t="s">
        <v>7289</v>
      </c>
      <c r="O71" s="87" t="s">
        <v>6240</v>
      </c>
      <c r="P71" s="9" t="s">
        <v>6243</v>
      </c>
      <c r="Q71" s="87" t="s">
        <v>6397</v>
      </c>
      <c r="R71" s="87" t="s">
        <v>6405</v>
      </c>
      <c r="S71" s="87" t="s">
        <v>6284</v>
      </c>
      <c r="T71" s="87" t="s">
        <v>6341</v>
      </c>
    </row>
    <row r="72" spans="1:20" ht="15.75" customHeight="1">
      <c r="A72" s="9" t="s">
        <v>3018</v>
      </c>
      <c r="B72" s="9" t="s">
        <v>7290</v>
      </c>
      <c r="C72" s="9" t="s">
        <v>6236</v>
      </c>
      <c r="D72" s="87" t="s">
        <v>6393</v>
      </c>
      <c r="E72" s="9" t="s">
        <v>431</v>
      </c>
      <c r="F72" s="9" t="s">
        <v>368</v>
      </c>
      <c r="G72" s="9" t="s">
        <v>436</v>
      </c>
      <c r="H72" s="9" t="s">
        <v>434</v>
      </c>
      <c r="I72" s="87" t="s">
        <v>6237</v>
      </c>
      <c r="J72" s="87" t="s">
        <v>6376</v>
      </c>
      <c r="K72" s="87" t="s">
        <v>6376</v>
      </c>
      <c r="L72" s="87" t="s">
        <v>6240</v>
      </c>
      <c r="M72" s="87" t="s">
        <v>6389</v>
      </c>
      <c r="N72" s="9" t="s">
        <v>6960</v>
      </c>
      <c r="O72" s="87" t="s">
        <v>6376</v>
      </c>
      <c r="P72" s="9" t="s">
        <v>6243</v>
      </c>
      <c r="Q72" s="87" t="s">
        <v>6379</v>
      </c>
      <c r="R72" s="87" t="s">
        <v>6376</v>
      </c>
      <c r="S72" s="87" t="s">
        <v>6322</v>
      </c>
      <c r="T72" s="87" t="s">
        <v>6645</v>
      </c>
    </row>
    <row r="73" spans="1:20" ht="15.75" customHeight="1">
      <c r="A73" s="9" t="s">
        <v>3018</v>
      </c>
      <c r="B73" s="9" t="s">
        <v>7291</v>
      </c>
      <c r="C73" s="9" t="s">
        <v>6671</v>
      </c>
      <c r="D73" s="87" t="s">
        <v>6296</v>
      </c>
      <c r="E73" s="9" t="s">
        <v>6672</v>
      </c>
      <c r="F73" s="9" t="s">
        <v>439</v>
      </c>
      <c r="G73" s="9" t="s">
        <v>436</v>
      </c>
      <c r="H73" s="9" t="s">
        <v>440</v>
      </c>
      <c r="I73" s="87" t="s">
        <v>6405</v>
      </c>
      <c r="J73" s="87" t="s">
        <v>6299</v>
      </c>
      <c r="K73" s="87" t="s">
        <v>6299</v>
      </c>
      <c r="L73" s="87" t="s">
        <v>6240</v>
      </c>
      <c r="M73" s="87" t="s">
        <v>6390</v>
      </c>
      <c r="N73" s="9" t="s">
        <v>6961</v>
      </c>
      <c r="O73" s="87" t="s">
        <v>6299</v>
      </c>
      <c r="P73" s="9" t="s">
        <v>6243</v>
      </c>
      <c r="Q73" s="87" t="s">
        <v>3231</v>
      </c>
      <c r="R73" s="87" t="s">
        <v>6299</v>
      </c>
      <c r="S73" s="87" t="s">
        <v>6333</v>
      </c>
      <c r="T73" s="87" t="s">
        <v>6645</v>
      </c>
    </row>
    <row r="74" spans="1:20" ht="15.75" customHeight="1">
      <c r="A74" s="9" t="s">
        <v>3018</v>
      </c>
      <c r="B74" s="9" t="s">
        <v>7292</v>
      </c>
      <c r="C74" s="9" t="s">
        <v>6923</v>
      </c>
      <c r="D74" s="87" t="s">
        <v>6264</v>
      </c>
      <c r="E74" s="9" t="s">
        <v>6924</v>
      </c>
      <c r="F74" s="9" t="s">
        <v>6925</v>
      </c>
      <c r="G74" s="9" t="s">
        <v>383</v>
      </c>
      <c r="H74" s="9" t="s">
        <v>449</v>
      </c>
      <c r="I74" s="87" t="s">
        <v>6405</v>
      </c>
      <c r="J74" s="87" t="s">
        <v>6405</v>
      </c>
      <c r="K74" s="87" t="s">
        <v>6926</v>
      </c>
      <c r="L74" s="87" t="s">
        <v>6270</v>
      </c>
      <c r="M74" s="87" t="s">
        <v>6840</v>
      </c>
      <c r="N74" s="9" t="s">
        <v>6962</v>
      </c>
      <c r="O74" s="87" t="s">
        <v>6268</v>
      </c>
      <c r="P74" s="9" t="s">
        <v>6243</v>
      </c>
      <c r="Q74" s="87" t="s">
        <v>6270</v>
      </c>
      <c r="R74" s="87" t="s">
        <v>6405</v>
      </c>
      <c r="S74" s="87" t="s">
        <v>6334</v>
      </c>
      <c r="T74" s="87" t="s">
        <v>6451</v>
      </c>
    </row>
    <row r="75" spans="1:20" ht="15.75" customHeight="1">
      <c r="A75" s="9" t="s">
        <v>3018</v>
      </c>
      <c r="B75" s="9" t="s">
        <v>7292</v>
      </c>
      <c r="C75" s="9" t="s">
        <v>7228</v>
      </c>
      <c r="D75" s="87" t="s">
        <v>6405</v>
      </c>
      <c r="E75" s="9" t="s">
        <v>6924</v>
      </c>
      <c r="F75" s="9" t="s">
        <v>11</v>
      </c>
      <c r="G75" s="9" t="s">
        <v>383</v>
      </c>
      <c r="H75" s="9" t="s">
        <v>426</v>
      </c>
      <c r="I75" s="87" t="s">
        <v>6405</v>
      </c>
      <c r="J75" s="87" t="s">
        <v>6405</v>
      </c>
      <c r="K75" s="87" t="s">
        <v>6405</v>
      </c>
      <c r="L75" s="87" t="s">
        <v>6250</v>
      </c>
      <c r="M75" s="87" t="s">
        <v>6838</v>
      </c>
      <c r="N75" s="9" t="s">
        <v>7293</v>
      </c>
      <c r="O75" s="87" t="s">
        <v>6435</v>
      </c>
      <c r="P75" s="9" t="s">
        <v>6243</v>
      </c>
      <c r="Q75" s="87" t="s">
        <v>6250</v>
      </c>
      <c r="R75" s="87" t="s">
        <v>6405</v>
      </c>
      <c r="S75" s="87" t="s">
        <v>6414</v>
      </c>
      <c r="T75" s="87" t="s">
        <v>6451</v>
      </c>
    </row>
    <row r="76" spans="1:20" ht="15.75" customHeight="1">
      <c r="A76" s="9" t="s">
        <v>3029</v>
      </c>
      <c r="B76" s="9" t="s">
        <v>7294</v>
      </c>
      <c r="C76" s="9" t="s">
        <v>6236</v>
      </c>
      <c r="D76" s="87" t="s">
        <v>6393</v>
      </c>
      <c r="E76" s="9" t="s">
        <v>431</v>
      </c>
      <c r="F76" s="9" t="s">
        <v>368</v>
      </c>
      <c r="G76" s="9" t="s">
        <v>436</v>
      </c>
      <c r="H76" s="9" t="s">
        <v>434</v>
      </c>
      <c r="I76" s="87" t="s">
        <v>6237</v>
      </c>
      <c r="J76" s="87" t="s">
        <v>6278</v>
      </c>
      <c r="K76" s="87" t="s">
        <v>6239</v>
      </c>
      <c r="L76" s="87" t="s">
        <v>6240</v>
      </c>
      <c r="M76" s="87" t="s">
        <v>6890</v>
      </c>
      <c r="N76" s="9" t="s">
        <v>6928</v>
      </c>
      <c r="O76" s="87" t="s">
        <v>6239</v>
      </c>
      <c r="P76" s="9" t="s">
        <v>6243</v>
      </c>
      <c r="Q76" s="87" t="s">
        <v>3764</v>
      </c>
      <c r="R76" s="87" t="s">
        <v>6278</v>
      </c>
      <c r="S76" s="87" t="s">
        <v>6327</v>
      </c>
      <c r="T76" s="87" t="s">
        <v>6645</v>
      </c>
    </row>
    <row r="77" spans="1:20" ht="15.75" customHeight="1">
      <c r="A77" s="9" t="s">
        <v>3029</v>
      </c>
      <c r="B77" s="9" t="s">
        <v>7294</v>
      </c>
      <c r="C77" s="9" t="s">
        <v>6236</v>
      </c>
      <c r="D77" s="87" t="s">
        <v>6393</v>
      </c>
      <c r="E77" s="9" t="s">
        <v>431</v>
      </c>
      <c r="F77" s="9" t="s">
        <v>368</v>
      </c>
      <c r="G77" s="9" t="s">
        <v>436</v>
      </c>
      <c r="H77" s="9" t="s">
        <v>434</v>
      </c>
      <c r="I77" s="87" t="s">
        <v>6237</v>
      </c>
      <c r="J77" s="87" t="s">
        <v>6278</v>
      </c>
      <c r="K77" s="87" t="s">
        <v>6280</v>
      </c>
      <c r="L77" s="87" t="s">
        <v>6240</v>
      </c>
      <c r="M77" s="87" t="s">
        <v>6285</v>
      </c>
      <c r="N77" s="9" t="s">
        <v>6963</v>
      </c>
      <c r="O77" s="87" t="s">
        <v>6280</v>
      </c>
      <c r="P77" s="9" t="s">
        <v>6243</v>
      </c>
      <c r="Q77" s="87" t="s">
        <v>6283</v>
      </c>
      <c r="R77" s="87" t="s">
        <v>6278</v>
      </c>
      <c r="S77" s="87" t="s">
        <v>6314</v>
      </c>
      <c r="T77" s="87" t="s">
        <v>6645</v>
      </c>
    </row>
    <row r="78" spans="1:20" ht="15.75" customHeight="1">
      <c r="A78" s="9" t="s">
        <v>3029</v>
      </c>
      <c r="B78" s="9" t="s">
        <v>7295</v>
      </c>
      <c r="C78" s="9" t="s">
        <v>6671</v>
      </c>
      <c r="D78" s="87" t="s">
        <v>6296</v>
      </c>
      <c r="E78" s="9" t="s">
        <v>6672</v>
      </c>
      <c r="F78" s="9" t="s">
        <v>439</v>
      </c>
      <c r="G78" s="9" t="s">
        <v>436</v>
      </c>
      <c r="H78" s="9" t="s">
        <v>440</v>
      </c>
      <c r="I78" s="87" t="s">
        <v>6405</v>
      </c>
      <c r="J78" s="87" t="s">
        <v>6351</v>
      </c>
      <c r="K78" s="87" t="s">
        <v>6239</v>
      </c>
      <c r="L78" s="87" t="s">
        <v>6240</v>
      </c>
      <c r="M78" s="87" t="s">
        <v>6912</v>
      </c>
      <c r="N78" s="9" t="s">
        <v>6928</v>
      </c>
      <c r="O78" s="87" t="s">
        <v>6239</v>
      </c>
      <c r="P78" s="9" t="s">
        <v>6243</v>
      </c>
      <c r="Q78" s="87" t="s">
        <v>3764</v>
      </c>
      <c r="R78" s="87" t="s">
        <v>6351</v>
      </c>
      <c r="S78" s="87" t="s">
        <v>6327</v>
      </c>
      <c r="T78" s="87" t="s">
        <v>6645</v>
      </c>
    </row>
    <row r="79" spans="1:20" ht="15.75" customHeight="1">
      <c r="A79" s="9" t="s">
        <v>3029</v>
      </c>
      <c r="B79" s="9" t="s">
        <v>7295</v>
      </c>
      <c r="C79" s="9" t="s">
        <v>6671</v>
      </c>
      <c r="D79" s="87" t="s">
        <v>6296</v>
      </c>
      <c r="E79" s="9" t="s">
        <v>6672</v>
      </c>
      <c r="F79" s="9" t="s">
        <v>439</v>
      </c>
      <c r="G79" s="9" t="s">
        <v>436</v>
      </c>
      <c r="H79" s="9" t="s">
        <v>440</v>
      </c>
      <c r="I79" s="87" t="s">
        <v>6405</v>
      </c>
      <c r="J79" s="87" t="s">
        <v>6351</v>
      </c>
      <c r="K79" s="87" t="s">
        <v>6290</v>
      </c>
      <c r="L79" s="87" t="s">
        <v>6240</v>
      </c>
      <c r="M79" s="87" t="s">
        <v>6910</v>
      </c>
      <c r="N79" s="9" t="s">
        <v>6964</v>
      </c>
      <c r="O79" s="87" t="s">
        <v>6290</v>
      </c>
      <c r="P79" s="9" t="s">
        <v>6243</v>
      </c>
      <c r="Q79" s="87" t="s">
        <v>6293</v>
      </c>
      <c r="R79" s="87" t="s">
        <v>6351</v>
      </c>
      <c r="S79" s="87" t="s">
        <v>6525</v>
      </c>
      <c r="T79" s="87" t="s">
        <v>6645</v>
      </c>
    </row>
    <row r="80" spans="1:20" ht="15.75" customHeight="1">
      <c r="A80" s="9" t="s">
        <v>3029</v>
      </c>
      <c r="B80" s="9" t="s">
        <v>7296</v>
      </c>
      <c r="C80" s="9" t="s">
        <v>6923</v>
      </c>
      <c r="D80" s="87" t="s">
        <v>6327</v>
      </c>
      <c r="E80" s="9" t="s">
        <v>6924</v>
      </c>
      <c r="F80" s="9" t="s">
        <v>6925</v>
      </c>
      <c r="G80" s="9" t="s">
        <v>383</v>
      </c>
      <c r="H80" s="9" t="s">
        <v>444</v>
      </c>
      <c r="I80" s="87" t="s">
        <v>6405</v>
      </c>
      <c r="J80" s="87" t="s">
        <v>6393</v>
      </c>
      <c r="K80" s="87" t="s">
        <v>6965</v>
      </c>
      <c r="L80" s="87" t="s">
        <v>5381</v>
      </c>
      <c r="M80" s="87" t="s">
        <v>6289</v>
      </c>
      <c r="N80" s="9" t="s">
        <v>6945</v>
      </c>
      <c r="O80" s="87" t="s">
        <v>6500</v>
      </c>
      <c r="P80" s="9" t="s">
        <v>6243</v>
      </c>
      <c r="Q80" s="87" t="s">
        <v>3749</v>
      </c>
      <c r="R80" s="87" t="s">
        <v>6393</v>
      </c>
      <c r="S80" s="87" t="s">
        <v>6327</v>
      </c>
      <c r="T80" s="87" t="s">
        <v>6341</v>
      </c>
    </row>
    <row r="81" spans="1:20" ht="15.75" customHeight="1">
      <c r="A81" s="9" t="s">
        <v>3029</v>
      </c>
      <c r="B81" s="9" t="s">
        <v>7296</v>
      </c>
      <c r="C81" s="9" t="s">
        <v>7228</v>
      </c>
      <c r="D81" s="87" t="s">
        <v>6290</v>
      </c>
      <c r="E81" s="9" t="s">
        <v>6924</v>
      </c>
      <c r="F81" s="9" t="s">
        <v>11</v>
      </c>
      <c r="G81" s="9" t="s">
        <v>383</v>
      </c>
      <c r="H81" s="9" t="s">
        <v>426</v>
      </c>
      <c r="I81" s="87" t="s">
        <v>6405</v>
      </c>
      <c r="J81" s="87" t="s">
        <v>6461</v>
      </c>
      <c r="K81" s="87" t="s">
        <v>6461</v>
      </c>
      <c r="L81" s="87" t="s">
        <v>6357</v>
      </c>
      <c r="M81" s="87" t="s">
        <v>6906</v>
      </c>
      <c r="N81" s="9" t="s">
        <v>7024</v>
      </c>
      <c r="O81" s="87" t="s">
        <v>6287</v>
      </c>
      <c r="P81" s="9" t="s">
        <v>6243</v>
      </c>
      <c r="Q81" s="87" t="s">
        <v>3734</v>
      </c>
      <c r="R81" s="87" t="s">
        <v>6461</v>
      </c>
      <c r="S81" s="87" t="s">
        <v>6461</v>
      </c>
      <c r="T81" s="87" t="s">
        <v>6341</v>
      </c>
    </row>
    <row r="82" spans="1:20" ht="15.75" customHeight="1">
      <c r="A82" s="9" t="s">
        <v>3029</v>
      </c>
      <c r="B82" s="9" t="s">
        <v>7297</v>
      </c>
      <c r="C82" s="9" t="s">
        <v>6923</v>
      </c>
      <c r="D82" s="87" t="s">
        <v>6327</v>
      </c>
      <c r="E82" s="9" t="s">
        <v>6924</v>
      </c>
      <c r="F82" s="9" t="s">
        <v>6925</v>
      </c>
      <c r="G82" s="9" t="s">
        <v>383</v>
      </c>
      <c r="H82" s="9" t="s">
        <v>444</v>
      </c>
      <c r="I82" s="87" t="s">
        <v>6405</v>
      </c>
      <c r="J82" s="87" t="s">
        <v>6393</v>
      </c>
      <c r="K82" s="87" t="s">
        <v>6965</v>
      </c>
      <c r="L82" s="87" t="s">
        <v>5381</v>
      </c>
      <c r="M82" s="87" t="s">
        <v>6906</v>
      </c>
      <c r="N82" s="9" t="s">
        <v>6945</v>
      </c>
      <c r="O82" s="87" t="s">
        <v>6500</v>
      </c>
      <c r="P82" s="9" t="s">
        <v>6243</v>
      </c>
      <c r="Q82" s="87" t="s">
        <v>3749</v>
      </c>
      <c r="R82" s="87" t="s">
        <v>6393</v>
      </c>
      <c r="S82" s="87" t="s">
        <v>6327</v>
      </c>
      <c r="T82" s="87" t="s">
        <v>6341</v>
      </c>
    </row>
    <row r="83" spans="1:20" ht="15.75" customHeight="1">
      <c r="A83" s="9" t="s">
        <v>3029</v>
      </c>
      <c r="B83" s="9" t="s">
        <v>7297</v>
      </c>
      <c r="C83" s="9" t="s">
        <v>7228</v>
      </c>
      <c r="D83" s="87" t="s">
        <v>6290</v>
      </c>
      <c r="E83" s="9" t="s">
        <v>6924</v>
      </c>
      <c r="F83" s="9" t="s">
        <v>11</v>
      </c>
      <c r="G83" s="9" t="s">
        <v>383</v>
      </c>
      <c r="H83" s="9" t="s">
        <v>426</v>
      </c>
      <c r="I83" s="87" t="s">
        <v>6405</v>
      </c>
      <c r="J83" s="87" t="s">
        <v>6461</v>
      </c>
      <c r="K83" s="87" t="s">
        <v>6461</v>
      </c>
      <c r="L83" s="87" t="s">
        <v>6357</v>
      </c>
      <c r="M83" s="87" t="s">
        <v>6905</v>
      </c>
      <c r="N83" s="9" t="s">
        <v>7024</v>
      </c>
      <c r="O83" s="87" t="s">
        <v>6287</v>
      </c>
      <c r="P83" s="9" t="s">
        <v>6243</v>
      </c>
      <c r="Q83" s="87" t="s">
        <v>3734</v>
      </c>
      <c r="R83" s="87" t="s">
        <v>6461</v>
      </c>
      <c r="S83" s="87" t="s">
        <v>6461</v>
      </c>
      <c r="T83" s="87" t="s">
        <v>6341</v>
      </c>
    </row>
    <row r="84" spans="1:20" ht="15.75" customHeight="1">
      <c r="A84" s="9" t="s">
        <v>3029</v>
      </c>
      <c r="B84" s="9" t="s">
        <v>7298</v>
      </c>
      <c r="C84" s="9" t="s">
        <v>6923</v>
      </c>
      <c r="D84" s="87" t="s">
        <v>6327</v>
      </c>
      <c r="E84" s="9" t="s">
        <v>6924</v>
      </c>
      <c r="F84" s="9" t="s">
        <v>6925</v>
      </c>
      <c r="G84" s="9" t="s">
        <v>383</v>
      </c>
      <c r="H84" s="9" t="s">
        <v>444</v>
      </c>
      <c r="I84" s="87" t="s">
        <v>6405</v>
      </c>
      <c r="J84" s="87" t="s">
        <v>6393</v>
      </c>
      <c r="K84" s="87" t="s">
        <v>6965</v>
      </c>
      <c r="L84" s="87" t="s">
        <v>5381</v>
      </c>
      <c r="M84" s="87" t="s">
        <v>6905</v>
      </c>
      <c r="N84" s="9" t="s">
        <v>6945</v>
      </c>
      <c r="O84" s="87" t="s">
        <v>6500</v>
      </c>
      <c r="P84" s="9" t="s">
        <v>6243</v>
      </c>
      <c r="Q84" s="87" t="s">
        <v>3749</v>
      </c>
      <c r="R84" s="87" t="s">
        <v>6393</v>
      </c>
      <c r="S84" s="87" t="s">
        <v>6327</v>
      </c>
      <c r="T84" s="87" t="s">
        <v>6341</v>
      </c>
    </row>
    <row r="85" spans="1:20" ht="15.75" customHeight="1">
      <c r="A85" s="9" t="s">
        <v>3029</v>
      </c>
      <c r="B85" s="9" t="s">
        <v>7298</v>
      </c>
      <c r="C85" s="9" t="s">
        <v>7228</v>
      </c>
      <c r="D85" s="87" t="s">
        <v>6290</v>
      </c>
      <c r="E85" s="9" t="s">
        <v>6924</v>
      </c>
      <c r="F85" s="9" t="s">
        <v>11</v>
      </c>
      <c r="G85" s="9" t="s">
        <v>383</v>
      </c>
      <c r="H85" s="9" t="s">
        <v>426</v>
      </c>
      <c r="I85" s="87" t="s">
        <v>6405</v>
      </c>
      <c r="J85" s="87" t="s">
        <v>6461</v>
      </c>
      <c r="K85" s="87" t="s">
        <v>6461</v>
      </c>
      <c r="L85" s="87" t="s">
        <v>6357</v>
      </c>
      <c r="M85" s="87" t="s">
        <v>6902</v>
      </c>
      <c r="N85" s="9" t="s">
        <v>7024</v>
      </c>
      <c r="O85" s="87" t="s">
        <v>6287</v>
      </c>
      <c r="P85" s="9" t="s">
        <v>6243</v>
      </c>
      <c r="Q85" s="87" t="s">
        <v>3734</v>
      </c>
      <c r="R85" s="87" t="s">
        <v>6461</v>
      </c>
      <c r="S85" s="87" t="s">
        <v>6461</v>
      </c>
      <c r="T85" s="87" t="s">
        <v>6341</v>
      </c>
    </row>
    <row r="86" spans="1:20" ht="15.75" customHeight="1">
      <c r="A86" s="9" t="s">
        <v>3029</v>
      </c>
      <c r="B86" s="9" t="s">
        <v>7299</v>
      </c>
      <c r="C86" s="9" t="s">
        <v>6923</v>
      </c>
      <c r="D86" s="87" t="s">
        <v>6327</v>
      </c>
      <c r="E86" s="9" t="s">
        <v>6924</v>
      </c>
      <c r="F86" s="9" t="s">
        <v>6925</v>
      </c>
      <c r="G86" s="9" t="s">
        <v>383</v>
      </c>
      <c r="H86" s="9" t="s">
        <v>444</v>
      </c>
      <c r="I86" s="87" t="s">
        <v>6405</v>
      </c>
      <c r="J86" s="87" t="s">
        <v>6393</v>
      </c>
      <c r="K86" s="87" t="s">
        <v>6926</v>
      </c>
      <c r="L86" s="87" t="s">
        <v>5381</v>
      </c>
      <c r="M86" s="87" t="s">
        <v>6902</v>
      </c>
      <c r="N86" s="9" t="s">
        <v>6966</v>
      </c>
      <c r="O86" s="87" t="s">
        <v>6348</v>
      </c>
      <c r="P86" s="9" t="s">
        <v>6243</v>
      </c>
      <c r="Q86" s="87" t="s">
        <v>5381</v>
      </c>
      <c r="R86" s="87" t="s">
        <v>6393</v>
      </c>
      <c r="S86" s="87" t="s">
        <v>6342</v>
      </c>
      <c r="T86" s="87" t="s">
        <v>6341</v>
      </c>
    </row>
    <row r="87" spans="1:20" ht="15.75" customHeight="1">
      <c r="A87" s="9" t="s">
        <v>3029</v>
      </c>
      <c r="B87" s="9" t="s">
        <v>7299</v>
      </c>
      <c r="C87" s="9" t="s">
        <v>7228</v>
      </c>
      <c r="D87" s="87" t="s">
        <v>6290</v>
      </c>
      <c r="E87" s="9" t="s">
        <v>6924</v>
      </c>
      <c r="F87" s="9" t="s">
        <v>11</v>
      </c>
      <c r="G87" s="9" t="s">
        <v>383</v>
      </c>
      <c r="H87" s="9" t="s">
        <v>426</v>
      </c>
      <c r="I87" s="87" t="s">
        <v>6405</v>
      </c>
      <c r="J87" s="87" t="s">
        <v>6405</v>
      </c>
      <c r="K87" s="87" t="s">
        <v>6405</v>
      </c>
      <c r="L87" s="87" t="s">
        <v>6357</v>
      </c>
      <c r="M87" s="87" t="s">
        <v>6973</v>
      </c>
      <c r="N87" s="9" t="s">
        <v>7300</v>
      </c>
      <c r="O87" s="87" t="s">
        <v>6313</v>
      </c>
      <c r="P87" s="9" t="s">
        <v>6243</v>
      </c>
      <c r="Q87" s="87" t="s">
        <v>6357</v>
      </c>
      <c r="R87" s="87" t="s">
        <v>6405</v>
      </c>
      <c r="S87" s="87" t="s">
        <v>6651</v>
      </c>
      <c r="T87" s="87" t="s">
        <v>6341</v>
      </c>
    </row>
    <row r="88" spans="1:20" ht="15.75" customHeight="1">
      <c r="A88" s="9" t="s">
        <v>3026</v>
      </c>
      <c r="B88" s="9" t="s">
        <v>7301</v>
      </c>
      <c r="C88" s="9" t="s">
        <v>6236</v>
      </c>
      <c r="D88" s="87" t="s">
        <v>6393</v>
      </c>
      <c r="E88" s="9" t="s">
        <v>431</v>
      </c>
      <c r="F88" s="9" t="s">
        <v>368</v>
      </c>
      <c r="G88" s="9" t="s">
        <v>436</v>
      </c>
      <c r="H88" s="9" t="s">
        <v>434</v>
      </c>
      <c r="I88" s="87" t="s">
        <v>6237</v>
      </c>
      <c r="J88" s="87" t="s">
        <v>6306</v>
      </c>
      <c r="K88" s="87" t="s">
        <v>6239</v>
      </c>
      <c r="L88" s="87" t="s">
        <v>6240</v>
      </c>
      <c r="M88" s="87" t="s">
        <v>6317</v>
      </c>
      <c r="N88" s="9" t="s">
        <v>6928</v>
      </c>
      <c r="O88" s="87" t="s">
        <v>6239</v>
      </c>
      <c r="P88" s="9" t="s">
        <v>6243</v>
      </c>
      <c r="Q88" s="87" t="s">
        <v>3764</v>
      </c>
      <c r="R88" s="87" t="s">
        <v>6306</v>
      </c>
      <c r="S88" s="87" t="s">
        <v>6327</v>
      </c>
      <c r="T88" s="87" t="s">
        <v>6645</v>
      </c>
    </row>
    <row r="89" spans="1:20" ht="15.75" customHeight="1">
      <c r="A89" s="9" t="s">
        <v>3026</v>
      </c>
      <c r="B89" s="9" t="s">
        <v>7301</v>
      </c>
      <c r="C89" s="9" t="s">
        <v>6236</v>
      </c>
      <c r="D89" s="87" t="s">
        <v>6393</v>
      </c>
      <c r="E89" s="9" t="s">
        <v>431</v>
      </c>
      <c r="F89" s="9" t="s">
        <v>368</v>
      </c>
      <c r="G89" s="9" t="s">
        <v>436</v>
      </c>
      <c r="H89" s="9" t="s">
        <v>434</v>
      </c>
      <c r="I89" s="87" t="s">
        <v>6237</v>
      </c>
      <c r="J89" s="87" t="s">
        <v>6306</v>
      </c>
      <c r="K89" s="87" t="s">
        <v>6237</v>
      </c>
      <c r="L89" s="87" t="s">
        <v>6240</v>
      </c>
      <c r="M89" s="87" t="s">
        <v>6318</v>
      </c>
      <c r="N89" s="9" t="s">
        <v>6967</v>
      </c>
      <c r="O89" s="87" t="s">
        <v>6237</v>
      </c>
      <c r="P89" s="9" t="s">
        <v>6243</v>
      </c>
      <c r="Q89" s="87" t="s">
        <v>4953</v>
      </c>
      <c r="R89" s="87" t="s">
        <v>6306</v>
      </c>
      <c r="S89" s="87" t="s">
        <v>6424</v>
      </c>
      <c r="T89" s="87" t="s">
        <v>6645</v>
      </c>
    </row>
    <row r="90" spans="1:20" ht="15.75" customHeight="1">
      <c r="A90" s="9" t="s">
        <v>3026</v>
      </c>
      <c r="B90" s="9" t="s">
        <v>7302</v>
      </c>
      <c r="C90" s="9" t="s">
        <v>6671</v>
      </c>
      <c r="D90" s="87" t="s">
        <v>6296</v>
      </c>
      <c r="E90" s="9" t="s">
        <v>6672</v>
      </c>
      <c r="F90" s="9" t="s">
        <v>439</v>
      </c>
      <c r="G90" s="9" t="s">
        <v>436</v>
      </c>
      <c r="H90" s="9" t="s">
        <v>440</v>
      </c>
      <c r="I90" s="87" t="s">
        <v>6405</v>
      </c>
      <c r="J90" s="87" t="s">
        <v>6267</v>
      </c>
      <c r="K90" s="87" t="s">
        <v>6370</v>
      </c>
      <c r="L90" s="87" t="s">
        <v>6240</v>
      </c>
      <c r="M90" s="87" t="s">
        <v>6875</v>
      </c>
      <c r="N90" s="9" t="s">
        <v>6968</v>
      </c>
      <c r="O90" s="87" t="s">
        <v>6370</v>
      </c>
      <c r="P90" s="9" t="s">
        <v>6243</v>
      </c>
      <c r="Q90" s="87" t="s">
        <v>6381</v>
      </c>
      <c r="R90" s="87" t="s">
        <v>6267</v>
      </c>
      <c r="S90" s="87" t="s">
        <v>6327</v>
      </c>
      <c r="T90" s="87" t="s">
        <v>6392</v>
      </c>
    </row>
    <row r="91" spans="1:20" ht="15.75" customHeight="1">
      <c r="A91" s="9" t="s">
        <v>3026</v>
      </c>
      <c r="B91" s="9" t="s">
        <v>7302</v>
      </c>
      <c r="C91" s="9" t="s">
        <v>6671</v>
      </c>
      <c r="D91" s="87" t="s">
        <v>6296</v>
      </c>
      <c r="E91" s="9" t="s">
        <v>6672</v>
      </c>
      <c r="F91" s="9" t="s">
        <v>439</v>
      </c>
      <c r="G91" s="9" t="s">
        <v>436</v>
      </c>
      <c r="H91" s="9" t="s">
        <v>440</v>
      </c>
      <c r="I91" s="87" t="s">
        <v>6405</v>
      </c>
      <c r="J91" s="87" t="s">
        <v>6267</v>
      </c>
      <c r="K91" s="87" t="s">
        <v>6486</v>
      </c>
      <c r="L91" s="87" t="s">
        <v>6240</v>
      </c>
      <c r="M91" s="87" t="s">
        <v>6869</v>
      </c>
      <c r="N91" s="9" t="s">
        <v>6969</v>
      </c>
      <c r="O91" s="87" t="s">
        <v>6486</v>
      </c>
      <c r="P91" s="9" t="s">
        <v>6243</v>
      </c>
      <c r="Q91" s="87" t="s">
        <v>5079</v>
      </c>
      <c r="R91" s="87" t="s">
        <v>6267</v>
      </c>
      <c r="S91" s="87" t="s">
        <v>6526</v>
      </c>
      <c r="T91" s="87" t="s">
        <v>6645</v>
      </c>
    </row>
    <row r="92" spans="1:20" ht="15.75" customHeight="1">
      <c r="A92" s="9" t="s">
        <v>3026</v>
      </c>
      <c r="B92" s="9" t="s">
        <v>7303</v>
      </c>
      <c r="C92" s="9" t="s">
        <v>6923</v>
      </c>
      <c r="D92" s="87" t="s">
        <v>6264</v>
      </c>
      <c r="E92" s="9" t="s">
        <v>6924</v>
      </c>
      <c r="F92" s="9" t="s">
        <v>6925</v>
      </c>
      <c r="G92" s="9" t="s">
        <v>383</v>
      </c>
      <c r="H92" s="9" t="s">
        <v>449</v>
      </c>
      <c r="I92" s="87" t="s">
        <v>6405</v>
      </c>
      <c r="J92" s="87" t="s">
        <v>6405</v>
      </c>
      <c r="K92" s="87" t="s">
        <v>6926</v>
      </c>
      <c r="L92" s="87" t="s">
        <v>6573</v>
      </c>
      <c r="M92" s="87" t="s">
        <v>6338</v>
      </c>
      <c r="N92" s="9" t="s">
        <v>6970</v>
      </c>
      <c r="O92" s="87" t="s">
        <v>6570</v>
      </c>
      <c r="P92" s="9" t="s">
        <v>6243</v>
      </c>
      <c r="Q92" s="87" t="s">
        <v>6573</v>
      </c>
      <c r="R92" s="87" t="s">
        <v>6405</v>
      </c>
      <c r="S92" s="87" t="s">
        <v>6333</v>
      </c>
      <c r="T92" s="87" t="s">
        <v>6341</v>
      </c>
    </row>
    <row r="93" spans="1:20" ht="15.75" customHeight="1">
      <c r="A93" s="9" t="s">
        <v>3026</v>
      </c>
      <c r="B93" s="9" t="s">
        <v>7303</v>
      </c>
      <c r="C93" s="9" t="s">
        <v>7228</v>
      </c>
      <c r="D93" s="87" t="s">
        <v>6405</v>
      </c>
      <c r="E93" s="9" t="s">
        <v>6924</v>
      </c>
      <c r="F93" s="9" t="s">
        <v>11</v>
      </c>
      <c r="G93" s="9" t="s">
        <v>383</v>
      </c>
      <c r="H93" s="9" t="s">
        <v>426</v>
      </c>
      <c r="I93" s="87" t="s">
        <v>6405</v>
      </c>
      <c r="J93" s="87" t="s">
        <v>6405</v>
      </c>
      <c r="K93" s="87" t="s">
        <v>6405</v>
      </c>
      <c r="L93" s="87" t="s">
        <v>6392</v>
      </c>
      <c r="M93" s="87" t="s">
        <v>6339</v>
      </c>
      <c r="N93" s="9" t="s">
        <v>7245</v>
      </c>
      <c r="O93" s="87" t="s">
        <v>6327</v>
      </c>
      <c r="P93" s="9" t="s">
        <v>6243</v>
      </c>
      <c r="Q93" s="87" t="s">
        <v>6392</v>
      </c>
      <c r="R93" s="87" t="s">
        <v>6405</v>
      </c>
      <c r="S93" s="87" t="s">
        <v>6500</v>
      </c>
      <c r="T93" s="87" t="s">
        <v>6341</v>
      </c>
    </row>
    <row r="94" spans="1:20" ht="15.75" customHeight="1">
      <c r="A94" s="9" t="s">
        <v>2949</v>
      </c>
      <c r="B94" s="9" t="s">
        <v>7304</v>
      </c>
      <c r="C94" s="9" t="s">
        <v>6236</v>
      </c>
      <c r="D94" s="87" t="s">
        <v>6393</v>
      </c>
      <c r="E94" s="9" t="s">
        <v>431</v>
      </c>
      <c r="F94" s="9" t="s">
        <v>368</v>
      </c>
      <c r="G94" s="9" t="s">
        <v>436</v>
      </c>
      <c r="H94" s="9" t="s">
        <v>434</v>
      </c>
      <c r="I94" s="87" t="s">
        <v>6264</v>
      </c>
      <c r="J94" s="87" t="s">
        <v>6288</v>
      </c>
      <c r="K94" s="87" t="s">
        <v>6239</v>
      </c>
      <c r="L94" s="87" t="s">
        <v>6240</v>
      </c>
      <c r="M94" s="87" t="s">
        <v>6289</v>
      </c>
      <c r="N94" s="9" t="s">
        <v>6928</v>
      </c>
      <c r="O94" s="87" t="s">
        <v>6239</v>
      </c>
      <c r="P94" s="9" t="s">
        <v>6243</v>
      </c>
      <c r="Q94" s="87" t="s">
        <v>3764</v>
      </c>
      <c r="R94" s="87" t="s">
        <v>6288</v>
      </c>
      <c r="S94" s="87" t="s">
        <v>6327</v>
      </c>
      <c r="T94" s="87" t="s">
        <v>6645</v>
      </c>
    </row>
    <row r="95" spans="1:20" ht="15.75" customHeight="1">
      <c r="A95" s="9" t="s">
        <v>2949</v>
      </c>
      <c r="B95" s="9" t="s">
        <v>7304</v>
      </c>
      <c r="C95" s="9" t="s">
        <v>6236</v>
      </c>
      <c r="D95" s="87" t="s">
        <v>6393</v>
      </c>
      <c r="E95" s="9" t="s">
        <v>431</v>
      </c>
      <c r="F95" s="9" t="s">
        <v>368</v>
      </c>
      <c r="G95" s="9" t="s">
        <v>436</v>
      </c>
      <c r="H95" s="9" t="s">
        <v>434</v>
      </c>
      <c r="I95" s="87" t="s">
        <v>6264</v>
      </c>
      <c r="J95" s="87" t="s">
        <v>6288</v>
      </c>
      <c r="K95" s="87" t="s">
        <v>6300</v>
      </c>
      <c r="L95" s="87" t="s">
        <v>6240</v>
      </c>
      <c r="M95" s="87" t="s">
        <v>6906</v>
      </c>
      <c r="N95" s="9" t="s">
        <v>6971</v>
      </c>
      <c r="O95" s="87" t="s">
        <v>6300</v>
      </c>
      <c r="P95" s="9" t="s">
        <v>6243</v>
      </c>
      <c r="Q95" s="87" t="s">
        <v>3861</v>
      </c>
      <c r="R95" s="87" t="s">
        <v>6288</v>
      </c>
      <c r="S95" s="87" t="s">
        <v>6255</v>
      </c>
      <c r="T95" s="87" t="s">
        <v>6645</v>
      </c>
    </row>
    <row r="96" spans="1:20" ht="15.75" customHeight="1">
      <c r="A96" s="9" t="s">
        <v>2949</v>
      </c>
      <c r="B96" s="9" t="s">
        <v>7305</v>
      </c>
      <c r="C96" s="9" t="s">
        <v>6671</v>
      </c>
      <c r="D96" s="87" t="s">
        <v>6296</v>
      </c>
      <c r="E96" s="9" t="s">
        <v>6672</v>
      </c>
      <c r="F96" s="9" t="s">
        <v>439</v>
      </c>
      <c r="G96" s="9" t="s">
        <v>436</v>
      </c>
      <c r="H96" s="9" t="s">
        <v>440</v>
      </c>
      <c r="I96" s="87" t="s">
        <v>6405</v>
      </c>
      <c r="J96" s="87" t="s">
        <v>6567</v>
      </c>
      <c r="K96" s="87" t="s">
        <v>6239</v>
      </c>
      <c r="L96" s="87" t="s">
        <v>6240</v>
      </c>
      <c r="M96" s="87" t="s">
        <v>6905</v>
      </c>
      <c r="N96" s="9" t="s">
        <v>6928</v>
      </c>
      <c r="O96" s="87" t="s">
        <v>6239</v>
      </c>
      <c r="P96" s="9" t="s">
        <v>6243</v>
      </c>
      <c r="Q96" s="87" t="s">
        <v>3764</v>
      </c>
      <c r="R96" s="87" t="s">
        <v>6567</v>
      </c>
      <c r="S96" s="87" t="s">
        <v>6327</v>
      </c>
      <c r="T96" s="87" t="s">
        <v>6645</v>
      </c>
    </row>
    <row r="97" spans="1:20" ht="15.75" customHeight="1">
      <c r="A97" s="9" t="s">
        <v>2949</v>
      </c>
      <c r="B97" s="9" t="s">
        <v>7305</v>
      </c>
      <c r="C97" s="9" t="s">
        <v>6671</v>
      </c>
      <c r="D97" s="87" t="s">
        <v>6296</v>
      </c>
      <c r="E97" s="9" t="s">
        <v>6672</v>
      </c>
      <c r="F97" s="9" t="s">
        <v>439</v>
      </c>
      <c r="G97" s="9" t="s">
        <v>436</v>
      </c>
      <c r="H97" s="9" t="s">
        <v>440</v>
      </c>
      <c r="I97" s="87" t="s">
        <v>6405</v>
      </c>
      <c r="J97" s="87" t="s">
        <v>6567</v>
      </c>
      <c r="K97" s="87" t="s">
        <v>6346</v>
      </c>
      <c r="L97" s="87" t="s">
        <v>6240</v>
      </c>
      <c r="M97" s="87" t="s">
        <v>6902</v>
      </c>
      <c r="N97" s="9" t="s">
        <v>6972</v>
      </c>
      <c r="O97" s="87" t="s">
        <v>6346</v>
      </c>
      <c r="P97" s="9" t="s">
        <v>6243</v>
      </c>
      <c r="Q97" s="87" t="s">
        <v>6366</v>
      </c>
      <c r="R97" s="87" t="s">
        <v>6567</v>
      </c>
      <c r="S97" s="87" t="s">
        <v>5381</v>
      </c>
      <c r="T97" s="87" t="s">
        <v>6645</v>
      </c>
    </row>
    <row r="98" spans="1:20" ht="15.75" customHeight="1">
      <c r="A98" s="9" t="s">
        <v>2949</v>
      </c>
      <c r="B98" s="9" t="s">
        <v>7306</v>
      </c>
      <c r="C98" s="9" t="s">
        <v>6923</v>
      </c>
      <c r="D98" s="87" t="s">
        <v>6327</v>
      </c>
      <c r="E98" s="9" t="s">
        <v>6924</v>
      </c>
      <c r="F98" s="9" t="s">
        <v>6925</v>
      </c>
      <c r="G98" s="9" t="s">
        <v>383</v>
      </c>
      <c r="H98" s="9" t="s">
        <v>444</v>
      </c>
      <c r="I98" s="87" t="s">
        <v>6405</v>
      </c>
      <c r="J98" s="87" t="s">
        <v>6240</v>
      </c>
      <c r="K98" s="87" t="s">
        <v>6939</v>
      </c>
      <c r="L98" s="87" t="s">
        <v>5968</v>
      </c>
      <c r="M98" s="87" t="s">
        <v>6973</v>
      </c>
      <c r="N98" s="9" t="s">
        <v>6974</v>
      </c>
      <c r="O98" s="87" t="s">
        <v>5381</v>
      </c>
      <c r="P98" s="9" t="s">
        <v>6243</v>
      </c>
      <c r="Q98" s="87" t="s">
        <v>4081</v>
      </c>
      <c r="R98" s="87" t="s">
        <v>6240</v>
      </c>
      <c r="S98" s="87" t="s">
        <v>6268</v>
      </c>
      <c r="T98" s="87" t="s">
        <v>6341</v>
      </c>
    </row>
    <row r="99" spans="1:20" ht="15.75" customHeight="1">
      <c r="A99" s="9" t="s">
        <v>2949</v>
      </c>
      <c r="B99" s="9" t="s">
        <v>7306</v>
      </c>
      <c r="C99" s="9" t="s">
        <v>7228</v>
      </c>
      <c r="D99" s="87" t="s">
        <v>6290</v>
      </c>
      <c r="E99" s="9" t="s">
        <v>6924</v>
      </c>
      <c r="F99" s="9" t="s">
        <v>11</v>
      </c>
      <c r="G99" s="9" t="s">
        <v>383</v>
      </c>
      <c r="H99" s="9" t="s">
        <v>426</v>
      </c>
      <c r="I99" s="87" t="s">
        <v>6405</v>
      </c>
      <c r="J99" s="87" t="s">
        <v>6334</v>
      </c>
      <c r="K99" s="87" t="s">
        <v>6334</v>
      </c>
      <c r="L99" s="87" t="s">
        <v>6306</v>
      </c>
      <c r="M99" s="87" t="s">
        <v>6975</v>
      </c>
      <c r="N99" s="9" t="s">
        <v>7121</v>
      </c>
      <c r="O99" s="87" t="s">
        <v>6299</v>
      </c>
      <c r="P99" s="9" t="s">
        <v>6243</v>
      </c>
      <c r="Q99" s="87" t="s">
        <v>3231</v>
      </c>
      <c r="R99" s="87" t="s">
        <v>6334</v>
      </c>
      <c r="S99" s="87" t="s">
        <v>6400</v>
      </c>
      <c r="T99" s="87" t="s">
        <v>6341</v>
      </c>
    </row>
    <row r="100" spans="1:20" ht="15.75" customHeight="1">
      <c r="A100" s="9" t="s">
        <v>2949</v>
      </c>
      <c r="B100" s="9" t="s">
        <v>7307</v>
      </c>
      <c r="C100" s="9" t="s">
        <v>6923</v>
      </c>
      <c r="D100" s="87" t="s">
        <v>6327</v>
      </c>
      <c r="E100" s="9" t="s">
        <v>6924</v>
      </c>
      <c r="F100" s="9" t="s">
        <v>6925</v>
      </c>
      <c r="G100" s="9" t="s">
        <v>383</v>
      </c>
      <c r="H100" s="9" t="s">
        <v>444</v>
      </c>
      <c r="I100" s="87" t="s">
        <v>6405</v>
      </c>
      <c r="J100" s="87" t="s">
        <v>6240</v>
      </c>
      <c r="K100" s="87" t="s">
        <v>6939</v>
      </c>
      <c r="L100" s="87" t="s">
        <v>5968</v>
      </c>
      <c r="M100" s="87" t="s">
        <v>6975</v>
      </c>
      <c r="N100" s="9" t="s">
        <v>6974</v>
      </c>
      <c r="O100" s="87" t="s">
        <v>5381</v>
      </c>
      <c r="P100" s="9" t="s">
        <v>6243</v>
      </c>
      <c r="Q100" s="87" t="s">
        <v>4081</v>
      </c>
      <c r="R100" s="87" t="s">
        <v>6240</v>
      </c>
      <c r="S100" s="87" t="s">
        <v>6268</v>
      </c>
      <c r="T100" s="87" t="s">
        <v>6341</v>
      </c>
    </row>
    <row r="101" spans="1:20" ht="15.75" customHeight="1">
      <c r="A101" s="9" t="s">
        <v>2949</v>
      </c>
      <c r="B101" s="9" t="s">
        <v>7307</v>
      </c>
      <c r="C101" s="9" t="s">
        <v>7228</v>
      </c>
      <c r="D101" s="87" t="s">
        <v>6290</v>
      </c>
      <c r="E101" s="9" t="s">
        <v>6924</v>
      </c>
      <c r="F101" s="9" t="s">
        <v>11</v>
      </c>
      <c r="G101" s="9" t="s">
        <v>383</v>
      </c>
      <c r="H101" s="9" t="s">
        <v>426</v>
      </c>
      <c r="I101" s="87" t="s">
        <v>6405</v>
      </c>
      <c r="J101" s="87" t="s">
        <v>6334</v>
      </c>
      <c r="K101" s="87" t="s">
        <v>6334</v>
      </c>
      <c r="L101" s="87" t="s">
        <v>6306</v>
      </c>
      <c r="M101" s="87" t="s">
        <v>6882</v>
      </c>
      <c r="N101" s="9" t="s">
        <v>7121</v>
      </c>
      <c r="O101" s="87" t="s">
        <v>6299</v>
      </c>
      <c r="P101" s="9" t="s">
        <v>6243</v>
      </c>
      <c r="Q101" s="87" t="s">
        <v>3231</v>
      </c>
      <c r="R101" s="87" t="s">
        <v>6334</v>
      </c>
      <c r="S101" s="87" t="s">
        <v>6400</v>
      </c>
      <c r="T101" s="87" t="s">
        <v>6341</v>
      </c>
    </row>
    <row r="102" spans="1:20" ht="15.75" customHeight="1">
      <c r="A102" s="9" t="s">
        <v>2949</v>
      </c>
      <c r="B102" s="9" t="s">
        <v>7308</v>
      </c>
      <c r="C102" s="9" t="s">
        <v>6923</v>
      </c>
      <c r="D102" s="87" t="s">
        <v>6327</v>
      </c>
      <c r="E102" s="9" t="s">
        <v>6924</v>
      </c>
      <c r="F102" s="9" t="s">
        <v>6925</v>
      </c>
      <c r="G102" s="9" t="s">
        <v>383</v>
      </c>
      <c r="H102" s="9" t="s">
        <v>444</v>
      </c>
      <c r="I102" s="87" t="s">
        <v>6405</v>
      </c>
      <c r="J102" s="87" t="s">
        <v>6240</v>
      </c>
      <c r="K102" s="87" t="s">
        <v>6926</v>
      </c>
      <c r="L102" s="87" t="s">
        <v>5968</v>
      </c>
      <c r="M102" s="87" t="s">
        <v>6882</v>
      </c>
      <c r="N102" s="9" t="s">
        <v>6976</v>
      </c>
      <c r="O102" s="87" t="s">
        <v>6254</v>
      </c>
      <c r="P102" s="9" t="s">
        <v>6243</v>
      </c>
      <c r="Q102" s="87" t="s">
        <v>5968</v>
      </c>
      <c r="R102" s="87" t="s">
        <v>6240</v>
      </c>
      <c r="S102" s="87" t="s">
        <v>6322</v>
      </c>
      <c r="T102" s="87" t="s">
        <v>6341</v>
      </c>
    </row>
    <row r="103" spans="1:20" ht="15.75" customHeight="1">
      <c r="A103" s="9" t="s">
        <v>2949</v>
      </c>
      <c r="B103" s="9" t="s">
        <v>7308</v>
      </c>
      <c r="C103" s="9" t="s">
        <v>7228</v>
      </c>
      <c r="D103" s="87" t="s">
        <v>6290</v>
      </c>
      <c r="E103" s="9" t="s">
        <v>6924</v>
      </c>
      <c r="F103" s="9" t="s">
        <v>11</v>
      </c>
      <c r="G103" s="9" t="s">
        <v>383</v>
      </c>
      <c r="H103" s="9" t="s">
        <v>426</v>
      </c>
      <c r="I103" s="87" t="s">
        <v>6405</v>
      </c>
      <c r="J103" s="87" t="s">
        <v>6405</v>
      </c>
      <c r="K103" s="87" t="s">
        <v>6405</v>
      </c>
      <c r="L103" s="87" t="s">
        <v>6306</v>
      </c>
      <c r="M103" s="87" t="s">
        <v>6311</v>
      </c>
      <c r="N103" s="9" t="s">
        <v>6959</v>
      </c>
      <c r="O103" s="87" t="s">
        <v>4953</v>
      </c>
      <c r="P103" s="9" t="s">
        <v>6243</v>
      </c>
      <c r="Q103" s="87" t="s">
        <v>6306</v>
      </c>
      <c r="R103" s="87" t="s">
        <v>6405</v>
      </c>
      <c r="S103" s="87" t="s">
        <v>6543</v>
      </c>
      <c r="T103" s="87" t="s">
        <v>6341</v>
      </c>
    </row>
    <row r="104" spans="1:20" ht="15.75" customHeight="1">
      <c r="A104" s="9" t="s">
        <v>2849</v>
      </c>
      <c r="B104" s="9" t="s">
        <v>7309</v>
      </c>
      <c r="C104" s="9" t="s">
        <v>6236</v>
      </c>
      <c r="D104" s="87" t="s">
        <v>6393</v>
      </c>
      <c r="E104" s="9" t="s">
        <v>431</v>
      </c>
      <c r="F104" s="9" t="s">
        <v>368</v>
      </c>
      <c r="G104" s="9" t="s">
        <v>436</v>
      </c>
      <c r="H104" s="9" t="s">
        <v>434</v>
      </c>
      <c r="I104" s="87" t="s">
        <v>6264</v>
      </c>
      <c r="J104" s="87" t="s">
        <v>6397</v>
      </c>
      <c r="K104" s="87" t="s">
        <v>6397</v>
      </c>
      <c r="L104" s="87" t="s">
        <v>6240</v>
      </c>
      <c r="M104" s="87" t="s">
        <v>6388</v>
      </c>
      <c r="N104" s="9" t="s">
        <v>6977</v>
      </c>
      <c r="O104" s="87" t="s">
        <v>6397</v>
      </c>
      <c r="P104" s="9" t="s">
        <v>6243</v>
      </c>
      <c r="Q104" s="87" t="s">
        <v>6278</v>
      </c>
      <c r="R104" s="87" t="s">
        <v>6397</v>
      </c>
      <c r="S104" s="87" t="s">
        <v>6314</v>
      </c>
      <c r="T104" s="87" t="s">
        <v>6417</v>
      </c>
    </row>
    <row r="105" spans="1:20" ht="15.75" customHeight="1">
      <c r="A105" s="9" t="s">
        <v>2849</v>
      </c>
      <c r="B105" s="9" t="s">
        <v>7310</v>
      </c>
      <c r="C105" s="9" t="s">
        <v>6671</v>
      </c>
      <c r="D105" s="87" t="s">
        <v>6296</v>
      </c>
      <c r="E105" s="9" t="s">
        <v>6672</v>
      </c>
      <c r="F105" s="9" t="s">
        <v>439</v>
      </c>
      <c r="G105" s="9" t="s">
        <v>436</v>
      </c>
      <c r="H105" s="9" t="s">
        <v>440</v>
      </c>
      <c r="I105" s="87" t="s">
        <v>6405</v>
      </c>
      <c r="J105" s="87" t="s">
        <v>6290</v>
      </c>
      <c r="K105" s="87" t="s">
        <v>6290</v>
      </c>
      <c r="L105" s="87" t="s">
        <v>6240</v>
      </c>
      <c r="M105" s="87" t="s">
        <v>6389</v>
      </c>
      <c r="N105" s="9" t="s">
        <v>6978</v>
      </c>
      <c r="O105" s="87" t="s">
        <v>6290</v>
      </c>
      <c r="P105" s="9" t="s">
        <v>6243</v>
      </c>
      <c r="Q105" s="87" t="s">
        <v>6293</v>
      </c>
      <c r="R105" s="87" t="s">
        <v>6290</v>
      </c>
      <c r="S105" s="87" t="s">
        <v>6430</v>
      </c>
      <c r="T105" s="87" t="s">
        <v>6326</v>
      </c>
    </row>
    <row r="106" spans="1:20" ht="15.75" customHeight="1">
      <c r="A106" s="9" t="s">
        <v>2849</v>
      </c>
      <c r="B106" s="9" t="s">
        <v>7311</v>
      </c>
      <c r="C106" s="9" t="s">
        <v>6923</v>
      </c>
      <c r="D106" s="87" t="s">
        <v>6327</v>
      </c>
      <c r="E106" s="9" t="s">
        <v>6924</v>
      </c>
      <c r="F106" s="9" t="s">
        <v>6925</v>
      </c>
      <c r="G106" s="9" t="s">
        <v>383</v>
      </c>
      <c r="H106" s="9" t="s">
        <v>444</v>
      </c>
      <c r="I106" s="87" t="s">
        <v>6405</v>
      </c>
      <c r="J106" s="87" t="s">
        <v>6405</v>
      </c>
      <c r="K106" s="87" t="s">
        <v>6926</v>
      </c>
      <c r="L106" s="87" t="s">
        <v>4019</v>
      </c>
      <c r="M106" s="87" t="s">
        <v>6431</v>
      </c>
      <c r="N106" s="9" t="s">
        <v>7312</v>
      </c>
      <c r="O106" s="87" t="s">
        <v>6498</v>
      </c>
      <c r="P106" s="9" t="s">
        <v>6243</v>
      </c>
      <c r="Q106" s="87" t="s">
        <v>4019</v>
      </c>
      <c r="R106" s="87" t="s">
        <v>6405</v>
      </c>
      <c r="S106" s="87" t="s">
        <v>6295</v>
      </c>
      <c r="T106" s="87" t="s">
        <v>6326</v>
      </c>
    </row>
    <row r="107" spans="1:20" ht="15.75" customHeight="1">
      <c r="A107" s="9" t="s">
        <v>2943</v>
      </c>
      <c r="B107" s="9" t="s">
        <v>7313</v>
      </c>
      <c r="C107" s="9" t="s">
        <v>6236</v>
      </c>
      <c r="D107" s="87" t="s">
        <v>6393</v>
      </c>
      <c r="E107" s="9" t="s">
        <v>431</v>
      </c>
      <c r="F107" s="9" t="s">
        <v>368</v>
      </c>
      <c r="G107" s="9" t="s">
        <v>436</v>
      </c>
      <c r="H107" s="9" t="s">
        <v>434</v>
      </c>
      <c r="I107" s="87" t="s">
        <v>6237</v>
      </c>
      <c r="J107" s="87" t="s">
        <v>6306</v>
      </c>
      <c r="K107" s="87" t="s">
        <v>6239</v>
      </c>
      <c r="L107" s="87" t="s">
        <v>6240</v>
      </c>
      <c r="M107" s="87" t="s">
        <v>6882</v>
      </c>
      <c r="N107" s="9" t="s">
        <v>6928</v>
      </c>
      <c r="O107" s="87" t="s">
        <v>6239</v>
      </c>
      <c r="P107" s="9" t="s">
        <v>6243</v>
      </c>
      <c r="Q107" s="87" t="s">
        <v>3764</v>
      </c>
      <c r="R107" s="87" t="s">
        <v>6306</v>
      </c>
      <c r="S107" s="87" t="s">
        <v>6327</v>
      </c>
      <c r="T107" s="87" t="s">
        <v>6645</v>
      </c>
    </row>
    <row r="108" spans="1:20" ht="15.75" customHeight="1">
      <c r="A108" s="9" t="s">
        <v>2943</v>
      </c>
      <c r="B108" s="9" t="s">
        <v>7313</v>
      </c>
      <c r="C108" s="9" t="s">
        <v>6236</v>
      </c>
      <c r="D108" s="87" t="s">
        <v>6393</v>
      </c>
      <c r="E108" s="9" t="s">
        <v>431</v>
      </c>
      <c r="F108" s="9" t="s">
        <v>368</v>
      </c>
      <c r="G108" s="9" t="s">
        <v>436</v>
      </c>
      <c r="H108" s="9" t="s">
        <v>434</v>
      </c>
      <c r="I108" s="87" t="s">
        <v>6237</v>
      </c>
      <c r="J108" s="87" t="s">
        <v>6306</v>
      </c>
      <c r="K108" s="87" t="s">
        <v>6237</v>
      </c>
      <c r="L108" s="87" t="s">
        <v>6240</v>
      </c>
      <c r="M108" s="87" t="s">
        <v>6311</v>
      </c>
      <c r="N108" s="9" t="s">
        <v>6967</v>
      </c>
      <c r="O108" s="87" t="s">
        <v>6237</v>
      </c>
      <c r="P108" s="9" t="s">
        <v>6243</v>
      </c>
      <c r="Q108" s="87" t="s">
        <v>4953</v>
      </c>
      <c r="R108" s="87" t="s">
        <v>6306</v>
      </c>
      <c r="S108" s="87" t="s">
        <v>6424</v>
      </c>
      <c r="T108" s="87" t="s">
        <v>6645</v>
      </c>
    </row>
    <row r="109" spans="1:20" ht="15.75" customHeight="1">
      <c r="A109" s="9" t="s">
        <v>2943</v>
      </c>
      <c r="B109" s="9" t="s">
        <v>7314</v>
      </c>
      <c r="C109" s="9" t="s">
        <v>6671</v>
      </c>
      <c r="D109" s="87" t="s">
        <v>6296</v>
      </c>
      <c r="E109" s="9" t="s">
        <v>6672</v>
      </c>
      <c r="F109" s="9" t="s">
        <v>439</v>
      </c>
      <c r="G109" s="9" t="s">
        <v>436</v>
      </c>
      <c r="H109" s="9" t="s">
        <v>440</v>
      </c>
      <c r="I109" s="87" t="s">
        <v>6405</v>
      </c>
      <c r="J109" s="87" t="s">
        <v>3231</v>
      </c>
      <c r="K109" s="87" t="s">
        <v>6239</v>
      </c>
      <c r="L109" s="87" t="s">
        <v>6240</v>
      </c>
      <c r="M109" s="87" t="s">
        <v>6317</v>
      </c>
      <c r="N109" s="9" t="s">
        <v>6928</v>
      </c>
      <c r="O109" s="87" t="s">
        <v>6239</v>
      </c>
      <c r="P109" s="9" t="s">
        <v>6243</v>
      </c>
      <c r="Q109" s="87" t="s">
        <v>3764</v>
      </c>
      <c r="R109" s="87" t="s">
        <v>3231</v>
      </c>
      <c r="S109" s="87" t="s">
        <v>6327</v>
      </c>
      <c r="T109" s="87" t="s">
        <v>6645</v>
      </c>
    </row>
    <row r="110" spans="1:20" ht="15.75" customHeight="1">
      <c r="A110" s="9" t="s">
        <v>2943</v>
      </c>
      <c r="B110" s="9" t="s">
        <v>7314</v>
      </c>
      <c r="C110" s="9" t="s">
        <v>6671</v>
      </c>
      <c r="D110" s="87" t="s">
        <v>6296</v>
      </c>
      <c r="E110" s="9" t="s">
        <v>6672</v>
      </c>
      <c r="F110" s="9" t="s">
        <v>439</v>
      </c>
      <c r="G110" s="9" t="s">
        <v>436</v>
      </c>
      <c r="H110" s="9" t="s">
        <v>440</v>
      </c>
      <c r="I110" s="87" t="s">
        <v>6405</v>
      </c>
      <c r="J110" s="87" t="s">
        <v>3231</v>
      </c>
      <c r="K110" s="87" t="s">
        <v>6239</v>
      </c>
      <c r="L110" s="87" t="s">
        <v>6240</v>
      </c>
      <c r="M110" s="87" t="s">
        <v>6318</v>
      </c>
      <c r="N110" s="9" t="s">
        <v>6928</v>
      </c>
      <c r="O110" s="87" t="s">
        <v>6239</v>
      </c>
      <c r="P110" s="9" t="s">
        <v>6243</v>
      </c>
      <c r="Q110" s="87" t="s">
        <v>3764</v>
      </c>
      <c r="R110" s="87" t="s">
        <v>3231</v>
      </c>
      <c r="S110" s="87" t="s">
        <v>6327</v>
      </c>
      <c r="T110" s="87" t="s">
        <v>6645</v>
      </c>
    </row>
    <row r="111" spans="1:20" ht="15.75" customHeight="1">
      <c r="A111" s="9" t="s">
        <v>2943</v>
      </c>
      <c r="B111" s="9" t="s">
        <v>7314</v>
      </c>
      <c r="C111" s="9" t="s">
        <v>6671</v>
      </c>
      <c r="D111" s="87" t="s">
        <v>6296</v>
      </c>
      <c r="E111" s="9" t="s">
        <v>6672</v>
      </c>
      <c r="F111" s="9" t="s">
        <v>439</v>
      </c>
      <c r="G111" s="9" t="s">
        <v>436</v>
      </c>
      <c r="H111" s="9" t="s">
        <v>440</v>
      </c>
      <c r="I111" s="87" t="s">
        <v>6405</v>
      </c>
      <c r="J111" s="87" t="s">
        <v>3231</v>
      </c>
      <c r="K111" s="87" t="s">
        <v>6297</v>
      </c>
      <c r="L111" s="87" t="s">
        <v>6240</v>
      </c>
      <c r="M111" s="87" t="s">
        <v>6875</v>
      </c>
      <c r="N111" s="9" t="s">
        <v>6980</v>
      </c>
      <c r="O111" s="87" t="s">
        <v>6297</v>
      </c>
      <c r="P111" s="9" t="s">
        <v>6243</v>
      </c>
      <c r="Q111" s="87" t="s">
        <v>6299</v>
      </c>
      <c r="R111" s="87" t="s">
        <v>3231</v>
      </c>
      <c r="S111" s="87" t="s">
        <v>6306</v>
      </c>
      <c r="T111" s="87" t="s">
        <v>6645</v>
      </c>
    </row>
    <row r="112" spans="1:20" ht="15.75" customHeight="1">
      <c r="A112" s="9" t="s">
        <v>2943</v>
      </c>
      <c r="B112" s="9" t="s">
        <v>7315</v>
      </c>
      <c r="C112" s="9" t="s">
        <v>6923</v>
      </c>
      <c r="D112" s="87" t="s">
        <v>6327</v>
      </c>
      <c r="E112" s="9" t="s">
        <v>6924</v>
      </c>
      <c r="F112" s="9" t="s">
        <v>6925</v>
      </c>
      <c r="G112" s="9" t="s">
        <v>383</v>
      </c>
      <c r="H112" s="9" t="s">
        <v>444</v>
      </c>
      <c r="I112" s="87" t="s">
        <v>6405</v>
      </c>
      <c r="J112" s="87" t="s">
        <v>6264</v>
      </c>
      <c r="K112" s="87" t="s">
        <v>6931</v>
      </c>
      <c r="L112" s="87" t="s">
        <v>6270</v>
      </c>
      <c r="M112" s="87" t="s">
        <v>6869</v>
      </c>
      <c r="N112" s="9" t="s">
        <v>6981</v>
      </c>
      <c r="O112" s="87" t="s">
        <v>6300</v>
      </c>
      <c r="P112" s="9" t="s">
        <v>6243</v>
      </c>
      <c r="Q112" s="87" t="s">
        <v>3861</v>
      </c>
      <c r="R112" s="87" t="s">
        <v>6264</v>
      </c>
      <c r="S112" s="87" t="s">
        <v>6296</v>
      </c>
      <c r="T112" s="87" t="s">
        <v>6341</v>
      </c>
    </row>
    <row r="113" spans="1:20" ht="15.75" customHeight="1">
      <c r="A113" s="9" t="s">
        <v>2943</v>
      </c>
      <c r="B113" s="9" t="s">
        <v>7315</v>
      </c>
      <c r="C113" s="9" t="s">
        <v>7228</v>
      </c>
      <c r="D113" s="87" t="s">
        <v>6290</v>
      </c>
      <c r="E113" s="9" t="s">
        <v>6924</v>
      </c>
      <c r="F113" s="9" t="s">
        <v>11</v>
      </c>
      <c r="G113" s="9" t="s">
        <v>383</v>
      </c>
      <c r="H113" s="9" t="s">
        <v>426</v>
      </c>
      <c r="I113" s="87" t="s">
        <v>6405</v>
      </c>
      <c r="J113" s="87" t="s">
        <v>6264</v>
      </c>
      <c r="K113" s="87" t="s">
        <v>6264</v>
      </c>
      <c r="L113" s="87" t="s">
        <v>4953</v>
      </c>
      <c r="M113" s="87" t="s">
        <v>6338</v>
      </c>
      <c r="N113" s="9" t="s">
        <v>7245</v>
      </c>
      <c r="O113" s="87" t="s">
        <v>6327</v>
      </c>
      <c r="P113" s="9" t="s">
        <v>6547</v>
      </c>
      <c r="Q113" s="87" t="s">
        <v>6392</v>
      </c>
      <c r="R113" s="87" t="s">
        <v>6264</v>
      </c>
      <c r="S113" s="87" t="s">
        <v>6500</v>
      </c>
      <c r="T113" s="87" t="s">
        <v>6341</v>
      </c>
    </row>
    <row r="114" spans="1:20" ht="15.75" customHeight="1">
      <c r="A114" s="9" t="s">
        <v>2930</v>
      </c>
      <c r="B114" s="9" t="s">
        <v>7316</v>
      </c>
      <c r="C114" s="9" t="s">
        <v>6236</v>
      </c>
      <c r="D114" s="87" t="s">
        <v>6393</v>
      </c>
      <c r="E114" s="9" t="s">
        <v>431</v>
      </c>
      <c r="F114" s="9" t="s">
        <v>368</v>
      </c>
      <c r="G114" s="9" t="s">
        <v>436</v>
      </c>
      <c r="H114" s="9" t="s">
        <v>434</v>
      </c>
      <c r="I114" s="87" t="s">
        <v>6237</v>
      </c>
      <c r="J114" s="87" t="s">
        <v>6290</v>
      </c>
      <c r="K114" s="87" t="s">
        <v>6290</v>
      </c>
      <c r="L114" s="87" t="s">
        <v>6240</v>
      </c>
      <c r="M114" s="87" t="s">
        <v>6906</v>
      </c>
      <c r="N114" s="9" t="s">
        <v>6982</v>
      </c>
      <c r="O114" s="87" t="s">
        <v>6290</v>
      </c>
      <c r="P114" s="9" t="s">
        <v>6243</v>
      </c>
      <c r="Q114" s="87" t="s">
        <v>6293</v>
      </c>
      <c r="R114" s="87" t="s">
        <v>6290</v>
      </c>
      <c r="S114" s="87" t="s">
        <v>4953</v>
      </c>
      <c r="T114" s="87" t="s">
        <v>6280</v>
      </c>
    </row>
    <row r="115" spans="1:20" ht="15.75" customHeight="1">
      <c r="A115" s="9" t="s">
        <v>2930</v>
      </c>
      <c r="B115" s="9" t="s">
        <v>7317</v>
      </c>
      <c r="C115" s="9" t="s">
        <v>6671</v>
      </c>
      <c r="D115" s="87" t="s">
        <v>6296</v>
      </c>
      <c r="E115" s="9" t="s">
        <v>6672</v>
      </c>
      <c r="F115" s="9" t="s">
        <v>439</v>
      </c>
      <c r="G115" s="9" t="s">
        <v>436</v>
      </c>
      <c r="H115" s="9" t="s">
        <v>440</v>
      </c>
      <c r="I115" s="87" t="s">
        <v>6405</v>
      </c>
      <c r="J115" s="87" t="s">
        <v>6435</v>
      </c>
      <c r="K115" s="87" t="s">
        <v>6435</v>
      </c>
      <c r="L115" s="87" t="s">
        <v>6240</v>
      </c>
      <c r="M115" s="87" t="s">
        <v>6902</v>
      </c>
      <c r="N115" s="9" t="s">
        <v>6983</v>
      </c>
      <c r="O115" s="87" t="s">
        <v>6435</v>
      </c>
      <c r="P115" s="9" t="s">
        <v>6243</v>
      </c>
      <c r="Q115" s="87" t="s">
        <v>6250</v>
      </c>
      <c r="R115" s="87" t="s">
        <v>6435</v>
      </c>
      <c r="S115" s="87" t="s">
        <v>6606</v>
      </c>
      <c r="T115" s="87" t="s">
        <v>6440</v>
      </c>
    </row>
    <row r="116" spans="1:20" ht="15.75" customHeight="1">
      <c r="A116" s="9" t="s">
        <v>2930</v>
      </c>
      <c r="B116" s="9" t="s">
        <v>7318</v>
      </c>
      <c r="C116" s="9" t="s">
        <v>6923</v>
      </c>
      <c r="D116" s="87" t="s">
        <v>6461</v>
      </c>
      <c r="E116" s="9" t="s">
        <v>6924</v>
      </c>
      <c r="F116" s="9" t="s">
        <v>6925</v>
      </c>
      <c r="G116" s="9" t="s">
        <v>383</v>
      </c>
      <c r="H116" s="9" t="s">
        <v>427</v>
      </c>
      <c r="I116" s="87" t="s">
        <v>6405</v>
      </c>
      <c r="J116" s="87" t="s">
        <v>6405</v>
      </c>
      <c r="K116" s="87" t="s">
        <v>6926</v>
      </c>
      <c r="L116" s="87" t="s">
        <v>6372</v>
      </c>
      <c r="M116" s="87" t="s">
        <v>6973</v>
      </c>
      <c r="N116" s="9" t="s">
        <v>7319</v>
      </c>
      <c r="O116" s="87" t="s">
        <v>6295</v>
      </c>
      <c r="P116" s="9" t="s">
        <v>6243</v>
      </c>
      <c r="Q116" s="87" t="s">
        <v>6372</v>
      </c>
      <c r="R116" s="87" t="s">
        <v>6405</v>
      </c>
      <c r="S116" s="87" t="s">
        <v>6370</v>
      </c>
      <c r="T116" s="87" t="s">
        <v>6316</v>
      </c>
    </row>
    <row r="117" spans="1:20" ht="15.75" customHeight="1">
      <c r="A117" s="9" t="s">
        <v>2930</v>
      </c>
      <c r="B117" s="9" t="s">
        <v>7318</v>
      </c>
      <c r="C117" s="9" t="s">
        <v>7228</v>
      </c>
      <c r="D117" s="87" t="s">
        <v>6237</v>
      </c>
      <c r="E117" s="9" t="s">
        <v>6924</v>
      </c>
      <c r="F117" s="9" t="s">
        <v>11</v>
      </c>
      <c r="G117" s="9" t="s">
        <v>383</v>
      </c>
      <c r="H117" s="9" t="s">
        <v>426</v>
      </c>
      <c r="I117" s="87" t="s">
        <v>6405</v>
      </c>
      <c r="J117" s="87" t="s">
        <v>6405</v>
      </c>
      <c r="K117" s="87" t="s">
        <v>6405</v>
      </c>
      <c r="L117" s="87" t="s">
        <v>6397</v>
      </c>
      <c r="M117" s="87" t="s">
        <v>6975</v>
      </c>
      <c r="N117" s="9" t="s">
        <v>7320</v>
      </c>
      <c r="O117" s="87" t="s">
        <v>6240</v>
      </c>
      <c r="P117" s="9" t="s">
        <v>6243</v>
      </c>
      <c r="Q117" s="87" t="s">
        <v>6397</v>
      </c>
      <c r="R117" s="87" t="s">
        <v>6405</v>
      </c>
      <c r="S117" s="87" t="s">
        <v>6455</v>
      </c>
      <c r="T117" s="87" t="s">
        <v>6250</v>
      </c>
    </row>
    <row r="118" spans="1:20" ht="15.75" customHeight="1">
      <c r="A118" s="9" t="s">
        <v>3005</v>
      </c>
      <c r="B118" s="9" t="s">
        <v>7321</v>
      </c>
      <c r="C118" s="9" t="s">
        <v>6236</v>
      </c>
      <c r="D118" s="87" t="s">
        <v>6393</v>
      </c>
      <c r="E118" s="9" t="s">
        <v>431</v>
      </c>
      <c r="F118" s="9" t="s">
        <v>368</v>
      </c>
      <c r="G118" s="9" t="s">
        <v>436</v>
      </c>
      <c r="H118" s="9" t="s">
        <v>434</v>
      </c>
      <c r="I118" s="87" t="s">
        <v>6237</v>
      </c>
      <c r="J118" s="87" t="s">
        <v>6255</v>
      </c>
      <c r="K118" s="87" t="s">
        <v>6255</v>
      </c>
      <c r="L118" s="87" t="s">
        <v>6240</v>
      </c>
      <c r="M118" s="87" t="s">
        <v>6285</v>
      </c>
      <c r="N118" s="9" t="s">
        <v>6985</v>
      </c>
      <c r="O118" s="87" t="s">
        <v>6255</v>
      </c>
      <c r="P118" s="9" t="s">
        <v>6243</v>
      </c>
      <c r="Q118" s="87" t="s">
        <v>4947</v>
      </c>
      <c r="R118" s="87" t="s">
        <v>6255</v>
      </c>
      <c r="S118" s="87" t="s">
        <v>6370</v>
      </c>
      <c r="T118" s="87" t="s">
        <v>6300</v>
      </c>
    </row>
    <row r="119" spans="1:20" ht="15.75" customHeight="1">
      <c r="A119" s="9" t="s">
        <v>3005</v>
      </c>
      <c r="B119" s="9" t="s">
        <v>7322</v>
      </c>
      <c r="C119" s="9" t="s">
        <v>6671</v>
      </c>
      <c r="D119" s="87" t="s">
        <v>6296</v>
      </c>
      <c r="E119" s="9" t="s">
        <v>6672</v>
      </c>
      <c r="F119" s="9" t="s">
        <v>439</v>
      </c>
      <c r="G119" s="9" t="s">
        <v>436</v>
      </c>
      <c r="H119" s="9" t="s">
        <v>440</v>
      </c>
      <c r="I119" s="87" t="s">
        <v>6405</v>
      </c>
      <c r="J119" s="87" t="s">
        <v>6387</v>
      </c>
      <c r="K119" s="87" t="s">
        <v>6387</v>
      </c>
      <c r="L119" s="87" t="s">
        <v>6240</v>
      </c>
      <c r="M119" s="87" t="s">
        <v>6910</v>
      </c>
      <c r="N119" s="9" t="s">
        <v>6986</v>
      </c>
      <c r="O119" s="87" t="s">
        <v>6387</v>
      </c>
      <c r="P119" s="9" t="s">
        <v>6243</v>
      </c>
      <c r="Q119" s="87" t="s">
        <v>6248</v>
      </c>
      <c r="R119" s="87" t="s">
        <v>6387</v>
      </c>
      <c r="S119" s="87" t="s">
        <v>6322</v>
      </c>
      <c r="T119" s="87" t="s">
        <v>6733</v>
      </c>
    </row>
    <row r="120" spans="1:20" ht="15.75" customHeight="1">
      <c r="A120" s="9" t="s">
        <v>3005</v>
      </c>
      <c r="B120" s="9" t="s">
        <v>7323</v>
      </c>
      <c r="C120" s="9" t="s">
        <v>6923</v>
      </c>
      <c r="D120" s="87" t="s">
        <v>6327</v>
      </c>
      <c r="E120" s="9" t="s">
        <v>6924</v>
      </c>
      <c r="F120" s="9" t="s">
        <v>6925</v>
      </c>
      <c r="G120" s="9" t="s">
        <v>383</v>
      </c>
      <c r="H120" s="9" t="s">
        <v>444</v>
      </c>
      <c r="I120" s="87" t="s">
        <v>6405</v>
      </c>
      <c r="J120" s="87" t="s">
        <v>6405</v>
      </c>
      <c r="K120" s="87" t="s">
        <v>6926</v>
      </c>
      <c r="L120" s="87" t="s">
        <v>6366</v>
      </c>
      <c r="M120" s="87" t="s">
        <v>6902</v>
      </c>
      <c r="N120" s="9" t="s">
        <v>6987</v>
      </c>
      <c r="O120" s="87" t="s">
        <v>6346</v>
      </c>
      <c r="P120" s="9" t="s">
        <v>6243</v>
      </c>
      <c r="Q120" s="87" t="s">
        <v>6366</v>
      </c>
      <c r="R120" s="87" t="s">
        <v>6405</v>
      </c>
      <c r="S120" s="87" t="s">
        <v>6486</v>
      </c>
      <c r="T120" s="87" t="s">
        <v>6651</v>
      </c>
    </row>
    <row r="121" spans="1:20" ht="15.75" customHeight="1">
      <c r="A121" s="9" t="s">
        <v>2975</v>
      </c>
      <c r="B121" s="9" t="s">
        <v>7324</v>
      </c>
      <c r="C121" s="9" t="s">
        <v>6236</v>
      </c>
      <c r="D121" s="87" t="s">
        <v>6393</v>
      </c>
      <c r="E121" s="9" t="s">
        <v>431</v>
      </c>
      <c r="F121" s="9" t="s">
        <v>368</v>
      </c>
      <c r="G121" s="9" t="s">
        <v>436</v>
      </c>
      <c r="H121" s="9" t="s">
        <v>434</v>
      </c>
      <c r="I121" s="87" t="s">
        <v>6264</v>
      </c>
      <c r="J121" s="87" t="s">
        <v>6330</v>
      </c>
      <c r="K121" s="87" t="s">
        <v>6330</v>
      </c>
      <c r="L121" s="87" t="s">
        <v>6240</v>
      </c>
      <c r="M121" s="87" t="s">
        <v>6869</v>
      </c>
      <c r="N121" s="9" t="s">
        <v>6988</v>
      </c>
      <c r="O121" s="87" t="s">
        <v>6330</v>
      </c>
      <c r="P121" s="9" t="s">
        <v>6243</v>
      </c>
      <c r="Q121" s="87" t="s">
        <v>6332</v>
      </c>
      <c r="R121" s="87" t="s">
        <v>6330</v>
      </c>
      <c r="S121" s="87" t="s">
        <v>6400</v>
      </c>
      <c r="T121" s="87" t="s">
        <v>6645</v>
      </c>
    </row>
    <row r="122" spans="1:20" ht="15.75" customHeight="1">
      <c r="A122" s="9" t="s">
        <v>2975</v>
      </c>
      <c r="B122" s="9" t="s">
        <v>7325</v>
      </c>
      <c r="C122" s="9" t="s">
        <v>6923</v>
      </c>
      <c r="D122" s="87" t="s">
        <v>6327</v>
      </c>
      <c r="E122" s="9" t="s">
        <v>6924</v>
      </c>
      <c r="F122" s="9" t="s">
        <v>6925</v>
      </c>
      <c r="G122" s="9" t="s">
        <v>383</v>
      </c>
      <c r="H122" s="9" t="s">
        <v>444</v>
      </c>
      <c r="I122" s="87" t="s">
        <v>6405</v>
      </c>
      <c r="J122" s="87" t="s">
        <v>6334</v>
      </c>
      <c r="K122" s="87" t="s">
        <v>6939</v>
      </c>
      <c r="L122" s="87" t="s">
        <v>6278</v>
      </c>
      <c r="M122" s="87" t="s">
        <v>6338</v>
      </c>
      <c r="N122" s="9" t="s">
        <v>7326</v>
      </c>
      <c r="O122" s="87" t="s">
        <v>6293</v>
      </c>
      <c r="P122" s="9" t="s">
        <v>6243</v>
      </c>
      <c r="Q122" s="87" t="s">
        <v>4828</v>
      </c>
      <c r="R122" s="87" t="s">
        <v>6334</v>
      </c>
      <c r="S122" s="87" t="s">
        <v>6280</v>
      </c>
      <c r="T122" s="87" t="s">
        <v>6300</v>
      </c>
    </row>
    <row r="123" spans="1:20" ht="15.75" customHeight="1">
      <c r="A123" s="9" t="s">
        <v>2975</v>
      </c>
      <c r="B123" s="9" t="s">
        <v>7325</v>
      </c>
      <c r="C123" s="9" t="s">
        <v>7228</v>
      </c>
      <c r="D123" s="87" t="s">
        <v>6290</v>
      </c>
      <c r="E123" s="9" t="s">
        <v>6924</v>
      </c>
      <c r="F123" s="9" t="s">
        <v>11</v>
      </c>
      <c r="G123" s="9" t="s">
        <v>383</v>
      </c>
      <c r="H123" s="9" t="s">
        <v>426</v>
      </c>
      <c r="I123" s="87" t="s">
        <v>6405</v>
      </c>
      <c r="J123" s="87" t="s">
        <v>6334</v>
      </c>
      <c r="K123" s="87" t="s">
        <v>6334</v>
      </c>
      <c r="L123" s="87" t="s">
        <v>6484</v>
      </c>
      <c r="M123" s="87" t="s">
        <v>6339</v>
      </c>
      <c r="N123" s="9" t="s">
        <v>7327</v>
      </c>
      <c r="O123" s="87" t="s">
        <v>6296</v>
      </c>
      <c r="P123" s="9" t="s">
        <v>6243</v>
      </c>
      <c r="Q123" s="87" t="s">
        <v>6287</v>
      </c>
      <c r="R123" s="87" t="s">
        <v>6334</v>
      </c>
      <c r="S123" s="87" t="s">
        <v>6360</v>
      </c>
      <c r="T123" s="87" t="s">
        <v>6497</v>
      </c>
    </row>
    <row r="124" spans="1:20" ht="15.75" customHeight="1">
      <c r="A124" s="9" t="s">
        <v>2906</v>
      </c>
      <c r="B124" s="9" t="s">
        <v>7328</v>
      </c>
      <c r="C124" s="9" t="s">
        <v>6236</v>
      </c>
      <c r="D124" s="87" t="s">
        <v>6393</v>
      </c>
      <c r="E124" s="9" t="s">
        <v>431</v>
      </c>
      <c r="F124" s="9" t="s">
        <v>368</v>
      </c>
      <c r="G124" s="9" t="s">
        <v>436</v>
      </c>
      <c r="H124" s="9" t="s">
        <v>434</v>
      </c>
      <c r="I124" s="87" t="s">
        <v>6264</v>
      </c>
      <c r="J124" s="87" t="s">
        <v>6296</v>
      </c>
      <c r="K124" s="87" t="s">
        <v>6297</v>
      </c>
      <c r="L124" s="87" t="s">
        <v>6240</v>
      </c>
      <c r="M124" s="87" t="s">
        <v>6906</v>
      </c>
      <c r="N124" s="9" t="s">
        <v>6990</v>
      </c>
      <c r="O124" s="87" t="s">
        <v>6297</v>
      </c>
      <c r="P124" s="9" t="s">
        <v>6243</v>
      </c>
      <c r="Q124" s="87" t="s">
        <v>6299</v>
      </c>
      <c r="R124" s="87" t="s">
        <v>6296</v>
      </c>
      <c r="S124" s="87" t="s">
        <v>6327</v>
      </c>
      <c r="T124" s="87" t="s">
        <v>6393</v>
      </c>
    </row>
    <row r="125" spans="1:20" ht="15.75" customHeight="1">
      <c r="A125" s="9" t="s">
        <v>2906</v>
      </c>
      <c r="B125" s="9" t="s">
        <v>7328</v>
      </c>
      <c r="C125" s="9" t="s">
        <v>6236</v>
      </c>
      <c r="D125" s="87" t="s">
        <v>6393</v>
      </c>
      <c r="E125" s="9" t="s">
        <v>431</v>
      </c>
      <c r="F125" s="9" t="s">
        <v>368</v>
      </c>
      <c r="G125" s="9" t="s">
        <v>436</v>
      </c>
      <c r="H125" s="9" t="s">
        <v>434</v>
      </c>
      <c r="I125" s="87" t="s">
        <v>6264</v>
      </c>
      <c r="J125" s="87" t="s">
        <v>6296</v>
      </c>
      <c r="K125" s="87" t="s">
        <v>6290</v>
      </c>
      <c r="L125" s="87" t="s">
        <v>6240</v>
      </c>
      <c r="M125" s="87" t="s">
        <v>6905</v>
      </c>
      <c r="N125" s="9" t="s">
        <v>6964</v>
      </c>
      <c r="O125" s="87" t="s">
        <v>6290</v>
      </c>
      <c r="P125" s="9" t="s">
        <v>6243</v>
      </c>
      <c r="Q125" s="87" t="s">
        <v>6293</v>
      </c>
      <c r="R125" s="87" t="s">
        <v>6296</v>
      </c>
      <c r="S125" s="87" t="s">
        <v>6525</v>
      </c>
      <c r="T125" s="87" t="s">
        <v>6645</v>
      </c>
    </row>
    <row r="126" spans="1:20" ht="15.75" customHeight="1">
      <c r="A126" s="9" t="s">
        <v>2906</v>
      </c>
      <c r="B126" s="9" t="s">
        <v>7329</v>
      </c>
      <c r="C126" s="9" t="s">
        <v>6671</v>
      </c>
      <c r="D126" s="87" t="s">
        <v>6296</v>
      </c>
      <c r="E126" s="9" t="s">
        <v>6672</v>
      </c>
      <c r="F126" s="9" t="s">
        <v>439</v>
      </c>
      <c r="G126" s="9" t="s">
        <v>436</v>
      </c>
      <c r="H126" s="9" t="s">
        <v>440</v>
      </c>
      <c r="I126" s="87" t="s">
        <v>6405</v>
      </c>
      <c r="J126" s="87" t="s">
        <v>6290</v>
      </c>
      <c r="K126" s="87" t="s">
        <v>6290</v>
      </c>
      <c r="L126" s="87" t="s">
        <v>6240</v>
      </c>
      <c r="M126" s="87" t="s">
        <v>6902</v>
      </c>
      <c r="N126" s="9" t="s">
        <v>6991</v>
      </c>
      <c r="O126" s="87" t="s">
        <v>6290</v>
      </c>
      <c r="P126" s="9" t="s">
        <v>6243</v>
      </c>
      <c r="Q126" s="87" t="s">
        <v>6293</v>
      </c>
      <c r="R126" s="87" t="s">
        <v>6290</v>
      </c>
      <c r="S126" s="87" t="s">
        <v>6370</v>
      </c>
      <c r="T126" s="87" t="s">
        <v>6430</v>
      </c>
    </row>
    <row r="127" spans="1:20" ht="15.75" customHeight="1">
      <c r="A127" s="9" t="s">
        <v>2906</v>
      </c>
      <c r="B127" s="9" t="s">
        <v>7330</v>
      </c>
      <c r="C127" s="9" t="s">
        <v>6923</v>
      </c>
      <c r="D127" s="87" t="s">
        <v>6327</v>
      </c>
      <c r="E127" s="9" t="s">
        <v>6924</v>
      </c>
      <c r="F127" s="9" t="s">
        <v>6925</v>
      </c>
      <c r="G127" s="9" t="s">
        <v>383</v>
      </c>
      <c r="H127" s="9" t="s">
        <v>444</v>
      </c>
      <c r="I127" s="87" t="s">
        <v>6405</v>
      </c>
      <c r="J127" s="87" t="s">
        <v>6405</v>
      </c>
      <c r="K127" s="87" t="s">
        <v>6926</v>
      </c>
      <c r="L127" s="87" t="s">
        <v>5968</v>
      </c>
      <c r="M127" s="87" t="s">
        <v>6882</v>
      </c>
      <c r="N127" s="9" t="s">
        <v>6992</v>
      </c>
      <c r="O127" s="87" t="s">
        <v>6254</v>
      </c>
      <c r="P127" s="9" t="s">
        <v>6243</v>
      </c>
      <c r="Q127" s="87" t="s">
        <v>5968</v>
      </c>
      <c r="R127" s="87" t="s">
        <v>6405</v>
      </c>
      <c r="S127" s="87" t="s">
        <v>6268</v>
      </c>
      <c r="T127" s="87" t="s">
        <v>6392</v>
      </c>
    </row>
    <row r="128" spans="1:20" ht="15.75" customHeight="1">
      <c r="A128" s="9" t="s">
        <v>2906</v>
      </c>
      <c r="B128" s="9" t="s">
        <v>7330</v>
      </c>
      <c r="C128" s="9" t="s">
        <v>7228</v>
      </c>
      <c r="D128" s="87" t="s">
        <v>6290</v>
      </c>
      <c r="E128" s="9" t="s">
        <v>6924</v>
      </c>
      <c r="F128" s="9" t="s">
        <v>11</v>
      </c>
      <c r="G128" s="9" t="s">
        <v>383</v>
      </c>
      <c r="H128" s="9" t="s">
        <v>426</v>
      </c>
      <c r="I128" s="87" t="s">
        <v>6405</v>
      </c>
      <c r="J128" s="87" t="s">
        <v>6405</v>
      </c>
      <c r="K128" s="87" t="s">
        <v>6405</v>
      </c>
      <c r="L128" s="87" t="s">
        <v>6306</v>
      </c>
      <c r="M128" s="87" t="s">
        <v>6311</v>
      </c>
      <c r="N128" s="9" t="s">
        <v>7331</v>
      </c>
      <c r="O128" s="87" t="s">
        <v>4953</v>
      </c>
      <c r="P128" s="9" t="s">
        <v>6243</v>
      </c>
      <c r="Q128" s="87" t="s">
        <v>6306</v>
      </c>
      <c r="R128" s="87" t="s">
        <v>6405</v>
      </c>
      <c r="S128" s="87" t="s">
        <v>6400</v>
      </c>
      <c r="T128" s="87" t="s">
        <v>6357</v>
      </c>
    </row>
    <row r="129" spans="1:20" ht="15.75" customHeight="1">
      <c r="A129" s="9" t="s">
        <v>2866</v>
      </c>
      <c r="B129" s="9" t="s">
        <v>7332</v>
      </c>
      <c r="C129" s="9" t="s">
        <v>6236</v>
      </c>
      <c r="D129" s="87" t="s">
        <v>6393</v>
      </c>
      <c r="E129" s="9" t="s">
        <v>431</v>
      </c>
      <c r="F129" s="9" t="s">
        <v>368</v>
      </c>
      <c r="G129" s="9" t="s">
        <v>436</v>
      </c>
      <c r="H129" s="9" t="s">
        <v>434</v>
      </c>
      <c r="I129" s="87" t="s">
        <v>6264</v>
      </c>
      <c r="J129" s="87" t="s">
        <v>6346</v>
      </c>
      <c r="K129" s="87" t="s">
        <v>6280</v>
      </c>
      <c r="L129" s="87" t="s">
        <v>6240</v>
      </c>
      <c r="M129" s="87" t="s">
        <v>6358</v>
      </c>
      <c r="N129" s="9" t="s">
        <v>6993</v>
      </c>
      <c r="O129" s="87" t="s">
        <v>6280</v>
      </c>
      <c r="P129" s="9" t="s">
        <v>6243</v>
      </c>
      <c r="Q129" s="87" t="s">
        <v>6283</v>
      </c>
      <c r="R129" s="87" t="s">
        <v>6346</v>
      </c>
      <c r="S129" s="87" t="s">
        <v>6327</v>
      </c>
      <c r="T129" s="87" t="s">
        <v>6299</v>
      </c>
    </row>
    <row r="130" spans="1:20" ht="15.75" customHeight="1">
      <c r="A130" s="9" t="s">
        <v>2866</v>
      </c>
      <c r="B130" s="9" t="s">
        <v>7332</v>
      </c>
      <c r="C130" s="9" t="s">
        <v>6236</v>
      </c>
      <c r="D130" s="87" t="s">
        <v>6393</v>
      </c>
      <c r="E130" s="9" t="s">
        <v>431</v>
      </c>
      <c r="F130" s="9" t="s">
        <v>368</v>
      </c>
      <c r="G130" s="9" t="s">
        <v>436</v>
      </c>
      <c r="H130" s="9" t="s">
        <v>434</v>
      </c>
      <c r="I130" s="87" t="s">
        <v>6264</v>
      </c>
      <c r="J130" s="87" t="s">
        <v>6346</v>
      </c>
      <c r="K130" s="87" t="s">
        <v>6810</v>
      </c>
      <c r="L130" s="87" t="s">
        <v>6240</v>
      </c>
      <c r="M130" s="87" t="s">
        <v>6364</v>
      </c>
      <c r="N130" s="9" t="s">
        <v>6994</v>
      </c>
      <c r="O130" s="87" t="s">
        <v>6810</v>
      </c>
      <c r="P130" s="9" t="s">
        <v>6243</v>
      </c>
      <c r="Q130" s="87" t="s">
        <v>6484</v>
      </c>
      <c r="R130" s="87" t="s">
        <v>6346</v>
      </c>
      <c r="S130" s="87" t="s">
        <v>6443</v>
      </c>
      <c r="T130" s="87" t="s">
        <v>6645</v>
      </c>
    </row>
    <row r="131" spans="1:20" ht="15.75" customHeight="1">
      <c r="A131" s="9" t="s">
        <v>2866</v>
      </c>
      <c r="B131" s="9" t="s">
        <v>7333</v>
      </c>
      <c r="C131" s="9" t="s">
        <v>6671</v>
      </c>
      <c r="D131" s="87" t="s">
        <v>6296</v>
      </c>
      <c r="E131" s="9" t="s">
        <v>6672</v>
      </c>
      <c r="F131" s="9" t="s">
        <v>439</v>
      </c>
      <c r="G131" s="9" t="s">
        <v>436</v>
      </c>
      <c r="H131" s="9" t="s">
        <v>440</v>
      </c>
      <c r="I131" s="87" t="s">
        <v>6405</v>
      </c>
      <c r="J131" s="87" t="s">
        <v>6346</v>
      </c>
      <c r="K131" s="87" t="s">
        <v>6295</v>
      </c>
      <c r="L131" s="87" t="s">
        <v>6240</v>
      </c>
      <c r="M131" s="87" t="s">
        <v>6385</v>
      </c>
      <c r="N131" s="9" t="s">
        <v>6995</v>
      </c>
      <c r="O131" s="87" t="s">
        <v>6295</v>
      </c>
      <c r="P131" s="9" t="s">
        <v>6243</v>
      </c>
      <c r="Q131" s="87" t="s">
        <v>6372</v>
      </c>
      <c r="R131" s="87" t="s">
        <v>6346</v>
      </c>
      <c r="S131" s="87" t="s">
        <v>6327</v>
      </c>
      <c r="T131" s="87" t="s">
        <v>6273</v>
      </c>
    </row>
    <row r="132" spans="1:20" ht="15.75" customHeight="1">
      <c r="A132" s="9" t="s">
        <v>2866</v>
      </c>
      <c r="B132" s="9" t="s">
        <v>7333</v>
      </c>
      <c r="C132" s="9" t="s">
        <v>6671</v>
      </c>
      <c r="D132" s="87" t="s">
        <v>6296</v>
      </c>
      <c r="E132" s="9" t="s">
        <v>6672</v>
      </c>
      <c r="F132" s="9" t="s">
        <v>439</v>
      </c>
      <c r="G132" s="9" t="s">
        <v>436</v>
      </c>
      <c r="H132" s="9" t="s">
        <v>440</v>
      </c>
      <c r="I132" s="87" t="s">
        <v>6405</v>
      </c>
      <c r="J132" s="87" t="s">
        <v>6346</v>
      </c>
      <c r="K132" s="87" t="s">
        <v>6461</v>
      </c>
      <c r="L132" s="87" t="s">
        <v>6240</v>
      </c>
      <c r="M132" s="87" t="s">
        <v>6388</v>
      </c>
      <c r="N132" s="9" t="s">
        <v>6996</v>
      </c>
      <c r="O132" s="87" t="s">
        <v>6461</v>
      </c>
      <c r="P132" s="9" t="s">
        <v>6243</v>
      </c>
      <c r="Q132" s="87" t="s">
        <v>6255</v>
      </c>
      <c r="R132" s="87" t="s">
        <v>6346</v>
      </c>
      <c r="S132" s="87" t="s">
        <v>6419</v>
      </c>
      <c r="T132" s="87" t="s">
        <v>6645</v>
      </c>
    </row>
    <row r="133" spans="1:20" ht="15.75" customHeight="1">
      <c r="A133" s="9" t="s">
        <v>2866</v>
      </c>
      <c r="B133" s="9" t="s">
        <v>7334</v>
      </c>
      <c r="C133" s="9" t="s">
        <v>6923</v>
      </c>
      <c r="D133" s="87" t="s">
        <v>6264</v>
      </c>
      <c r="E133" s="9" t="s">
        <v>6924</v>
      </c>
      <c r="F133" s="9" t="s">
        <v>6925</v>
      </c>
      <c r="G133" s="9" t="s">
        <v>383</v>
      </c>
      <c r="H133" s="9" t="s">
        <v>449</v>
      </c>
      <c r="I133" s="87" t="s">
        <v>6405</v>
      </c>
      <c r="J133" s="87" t="s">
        <v>6405</v>
      </c>
      <c r="K133" s="87" t="s">
        <v>6926</v>
      </c>
      <c r="L133" s="87" t="s">
        <v>6238</v>
      </c>
      <c r="M133" s="87" t="s">
        <v>6398</v>
      </c>
      <c r="N133" s="9" t="s">
        <v>7043</v>
      </c>
      <c r="O133" s="87" t="s">
        <v>6245</v>
      </c>
      <c r="P133" s="9" t="s">
        <v>6243</v>
      </c>
      <c r="Q133" s="87" t="s">
        <v>6238</v>
      </c>
      <c r="R133" s="87" t="s">
        <v>6405</v>
      </c>
      <c r="S133" s="87" t="s">
        <v>6484</v>
      </c>
      <c r="T133" s="87" t="s">
        <v>6333</v>
      </c>
    </row>
    <row r="134" spans="1:20" ht="15.75" customHeight="1">
      <c r="A134" s="9" t="s">
        <v>2866</v>
      </c>
      <c r="B134" s="9" t="s">
        <v>7334</v>
      </c>
      <c r="C134" s="9" t="s">
        <v>7228</v>
      </c>
      <c r="D134" s="87" t="s">
        <v>6405</v>
      </c>
      <c r="E134" s="9" t="s">
        <v>6924</v>
      </c>
      <c r="F134" s="9" t="s">
        <v>11</v>
      </c>
      <c r="G134" s="9" t="s">
        <v>383</v>
      </c>
      <c r="H134" s="9" t="s">
        <v>426</v>
      </c>
      <c r="I134" s="87" t="s">
        <v>6405</v>
      </c>
      <c r="J134" s="87" t="s">
        <v>6405</v>
      </c>
      <c r="K134" s="87" t="s">
        <v>6405</v>
      </c>
      <c r="L134" s="87" t="s">
        <v>5381</v>
      </c>
      <c r="M134" s="87" t="s">
        <v>6422</v>
      </c>
      <c r="N134" s="9" t="s">
        <v>7335</v>
      </c>
      <c r="O134" s="87" t="s">
        <v>6348</v>
      </c>
      <c r="P134" s="9" t="s">
        <v>6243</v>
      </c>
      <c r="Q134" s="87" t="s">
        <v>5381</v>
      </c>
      <c r="R134" s="87" t="s">
        <v>6405</v>
      </c>
      <c r="S134" s="87" t="s">
        <v>5381</v>
      </c>
      <c r="T134" s="87" t="s">
        <v>6497</v>
      </c>
    </row>
    <row r="135" spans="1:20" ht="15.75" customHeight="1">
      <c r="A135" s="9" t="s">
        <v>2987</v>
      </c>
      <c r="B135" s="9" t="s">
        <v>7336</v>
      </c>
      <c r="C135" s="9" t="s">
        <v>6236</v>
      </c>
      <c r="D135" s="87" t="s">
        <v>6393</v>
      </c>
      <c r="E135" s="9" t="s">
        <v>431</v>
      </c>
      <c r="F135" s="9" t="s">
        <v>368</v>
      </c>
      <c r="G135" s="9" t="s">
        <v>436</v>
      </c>
      <c r="H135" s="9" t="s">
        <v>434</v>
      </c>
      <c r="I135" s="87" t="s">
        <v>6237</v>
      </c>
      <c r="J135" s="87" t="s">
        <v>6299</v>
      </c>
      <c r="K135" s="87" t="s">
        <v>6299</v>
      </c>
      <c r="L135" s="87" t="s">
        <v>6240</v>
      </c>
      <c r="M135" s="87" t="s">
        <v>6364</v>
      </c>
      <c r="N135" s="9" t="s">
        <v>6998</v>
      </c>
      <c r="O135" s="87" t="s">
        <v>6299</v>
      </c>
      <c r="P135" s="9" t="s">
        <v>6243</v>
      </c>
      <c r="Q135" s="87" t="s">
        <v>3231</v>
      </c>
      <c r="R135" s="87" t="s">
        <v>6299</v>
      </c>
      <c r="S135" s="87" t="s">
        <v>6606</v>
      </c>
      <c r="T135" s="87" t="s">
        <v>6525</v>
      </c>
    </row>
    <row r="136" spans="1:20" ht="15.75" customHeight="1">
      <c r="A136" s="9" t="s">
        <v>2987</v>
      </c>
      <c r="B136" s="9" t="s">
        <v>7337</v>
      </c>
      <c r="C136" s="9" t="s">
        <v>6923</v>
      </c>
      <c r="D136" s="87" t="s">
        <v>6461</v>
      </c>
      <c r="E136" s="9" t="s">
        <v>6924</v>
      </c>
      <c r="F136" s="9" t="s">
        <v>6925</v>
      </c>
      <c r="G136" s="9" t="s">
        <v>383</v>
      </c>
      <c r="H136" s="9" t="s">
        <v>427</v>
      </c>
      <c r="I136" s="87" t="s">
        <v>6405</v>
      </c>
      <c r="J136" s="87" t="s">
        <v>6334</v>
      </c>
      <c r="K136" s="87" t="s">
        <v>6926</v>
      </c>
      <c r="L136" s="87" t="s">
        <v>6464</v>
      </c>
      <c r="M136" s="87" t="s">
        <v>6385</v>
      </c>
      <c r="N136" s="9" t="s">
        <v>7338</v>
      </c>
      <c r="O136" s="87" t="s">
        <v>6302</v>
      </c>
      <c r="P136" s="9" t="s">
        <v>6243</v>
      </c>
      <c r="Q136" s="87" t="s">
        <v>6464</v>
      </c>
      <c r="R136" s="87" t="s">
        <v>6334</v>
      </c>
      <c r="S136" s="87" t="s">
        <v>6348</v>
      </c>
      <c r="T136" s="87" t="s">
        <v>6250</v>
      </c>
    </row>
    <row r="137" spans="1:20" ht="15.75" customHeight="1">
      <c r="A137" s="9" t="s">
        <v>2987</v>
      </c>
      <c r="B137" s="9" t="s">
        <v>7337</v>
      </c>
      <c r="C137" s="9" t="s">
        <v>7228</v>
      </c>
      <c r="D137" s="87" t="s">
        <v>6237</v>
      </c>
      <c r="E137" s="9" t="s">
        <v>6924</v>
      </c>
      <c r="F137" s="9" t="s">
        <v>11</v>
      </c>
      <c r="G137" s="9" t="s">
        <v>383</v>
      </c>
      <c r="H137" s="9" t="s">
        <v>426</v>
      </c>
      <c r="I137" s="87" t="s">
        <v>6405</v>
      </c>
      <c r="J137" s="87" t="s">
        <v>6405</v>
      </c>
      <c r="K137" s="87" t="s">
        <v>6405</v>
      </c>
      <c r="L137" s="87" t="s">
        <v>6474</v>
      </c>
      <c r="M137" s="87" t="s">
        <v>6398</v>
      </c>
      <c r="N137" s="9" t="s">
        <v>7339</v>
      </c>
      <c r="O137" s="87" t="s">
        <v>6528</v>
      </c>
      <c r="P137" s="9" t="s">
        <v>6243</v>
      </c>
      <c r="Q137" s="87" t="s">
        <v>6474</v>
      </c>
      <c r="R137" s="87" t="s">
        <v>6405</v>
      </c>
      <c r="S137" s="87" t="s">
        <v>6251</v>
      </c>
      <c r="T137" s="87" t="s">
        <v>6451</v>
      </c>
    </row>
    <row r="138" spans="1:20" ht="15.75" customHeight="1">
      <c r="A138" s="9" t="s">
        <v>2987</v>
      </c>
      <c r="B138" s="9" t="s">
        <v>7340</v>
      </c>
      <c r="C138" s="9" t="s">
        <v>6923</v>
      </c>
      <c r="D138" s="87" t="s">
        <v>6461</v>
      </c>
      <c r="E138" s="9" t="s">
        <v>6924</v>
      </c>
      <c r="F138" s="9" t="s">
        <v>6925</v>
      </c>
      <c r="G138" s="9" t="s">
        <v>383</v>
      </c>
      <c r="H138" s="9" t="s">
        <v>427</v>
      </c>
      <c r="I138" s="87" t="s">
        <v>6405</v>
      </c>
      <c r="J138" s="87" t="s">
        <v>6334</v>
      </c>
      <c r="K138" s="87" t="s">
        <v>6926</v>
      </c>
      <c r="L138" s="87" t="s">
        <v>6464</v>
      </c>
      <c r="M138" s="87" t="s">
        <v>6426</v>
      </c>
      <c r="N138" s="9" t="s">
        <v>7341</v>
      </c>
      <c r="O138" s="87" t="s">
        <v>6302</v>
      </c>
      <c r="P138" s="9" t="s">
        <v>6243</v>
      </c>
      <c r="Q138" s="87" t="s">
        <v>6464</v>
      </c>
      <c r="R138" s="87" t="s">
        <v>6334</v>
      </c>
      <c r="S138" s="87" t="s">
        <v>6528</v>
      </c>
      <c r="T138" s="87" t="s">
        <v>6428</v>
      </c>
    </row>
    <row r="139" spans="1:20" ht="15.75" customHeight="1">
      <c r="A139" s="9" t="s">
        <v>2987</v>
      </c>
      <c r="B139" s="9" t="s">
        <v>7340</v>
      </c>
      <c r="C139" s="9" t="s">
        <v>7228</v>
      </c>
      <c r="D139" s="87" t="s">
        <v>6237</v>
      </c>
      <c r="E139" s="9" t="s">
        <v>6924</v>
      </c>
      <c r="F139" s="9" t="s">
        <v>11</v>
      </c>
      <c r="G139" s="9" t="s">
        <v>383</v>
      </c>
      <c r="H139" s="9" t="s">
        <v>426</v>
      </c>
      <c r="I139" s="87" t="s">
        <v>6405</v>
      </c>
      <c r="J139" s="87" t="s">
        <v>6405</v>
      </c>
      <c r="K139" s="87" t="s">
        <v>6405</v>
      </c>
      <c r="L139" s="87" t="s">
        <v>6474</v>
      </c>
      <c r="M139" s="87" t="s">
        <v>6431</v>
      </c>
      <c r="N139" s="9" t="s">
        <v>7342</v>
      </c>
      <c r="O139" s="87" t="s">
        <v>6528</v>
      </c>
      <c r="P139" s="9" t="s">
        <v>6243</v>
      </c>
      <c r="Q139" s="87" t="s">
        <v>6474</v>
      </c>
      <c r="R139" s="87" t="s">
        <v>6405</v>
      </c>
      <c r="S139" s="87" t="s">
        <v>6313</v>
      </c>
      <c r="T139" s="87" t="s">
        <v>6254</v>
      </c>
    </row>
    <row r="140" spans="1:20" ht="15.75" customHeight="1">
      <c r="A140" s="9" t="s">
        <v>3012</v>
      </c>
      <c r="B140" s="9" t="s">
        <v>7343</v>
      </c>
      <c r="C140" s="9" t="s">
        <v>6236</v>
      </c>
      <c r="D140" s="87" t="s">
        <v>6393</v>
      </c>
      <c r="E140" s="9" t="s">
        <v>431</v>
      </c>
      <c r="F140" s="9" t="s">
        <v>368</v>
      </c>
      <c r="G140" s="9" t="s">
        <v>436</v>
      </c>
      <c r="H140" s="9" t="s">
        <v>434</v>
      </c>
      <c r="I140" s="87" t="s">
        <v>6237</v>
      </c>
      <c r="J140" s="87" t="s">
        <v>6323</v>
      </c>
      <c r="K140" s="87" t="s">
        <v>6323</v>
      </c>
      <c r="L140" s="87" t="s">
        <v>6240</v>
      </c>
      <c r="M140" s="87" t="s">
        <v>6869</v>
      </c>
      <c r="N140" s="9" t="s">
        <v>6999</v>
      </c>
      <c r="O140" s="87" t="s">
        <v>6323</v>
      </c>
      <c r="P140" s="9" t="s">
        <v>6243</v>
      </c>
      <c r="Q140" s="87" t="s">
        <v>5374</v>
      </c>
      <c r="R140" s="87" t="s">
        <v>6323</v>
      </c>
      <c r="S140" s="87" t="s">
        <v>6433</v>
      </c>
      <c r="T140" s="87" t="s">
        <v>6250</v>
      </c>
    </row>
    <row r="141" spans="1:20" ht="15.75" customHeight="1">
      <c r="A141" s="9" t="s">
        <v>3012</v>
      </c>
      <c r="B141" s="9" t="s">
        <v>7344</v>
      </c>
      <c r="C141" s="9" t="s">
        <v>6671</v>
      </c>
      <c r="D141" s="87" t="s">
        <v>6296</v>
      </c>
      <c r="E141" s="9" t="s">
        <v>6672</v>
      </c>
      <c r="F141" s="9" t="s">
        <v>439</v>
      </c>
      <c r="G141" s="9" t="s">
        <v>436</v>
      </c>
      <c r="H141" s="9" t="s">
        <v>440</v>
      </c>
      <c r="I141" s="87" t="s">
        <v>6405</v>
      </c>
      <c r="J141" s="87" t="s">
        <v>6245</v>
      </c>
      <c r="K141" s="87" t="s">
        <v>6245</v>
      </c>
      <c r="L141" s="87" t="s">
        <v>6240</v>
      </c>
      <c r="M141" s="87" t="s">
        <v>6338</v>
      </c>
      <c r="N141" s="9" t="s">
        <v>7000</v>
      </c>
      <c r="O141" s="87" t="s">
        <v>6245</v>
      </c>
      <c r="P141" s="9" t="s">
        <v>6243</v>
      </c>
      <c r="Q141" s="87" t="s">
        <v>6238</v>
      </c>
      <c r="R141" s="87" t="s">
        <v>6245</v>
      </c>
      <c r="S141" s="87" t="s">
        <v>6500</v>
      </c>
      <c r="T141" s="87" t="s">
        <v>6645</v>
      </c>
    </row>
    <row r="142" spans="1:20" ht="15.75" customHeight="1">
      <c r="A142" s="9" t="s">
        <v>3012</v>
      </c>
      <c r="B142" s="9" t="s">
        <v>7345</v>
      </c>
      <c r="C142" s="9" t="s">
        <v>6923</v>
      </c>
      <c r="D142" s="87" t="s">
        <v>6264</v>
      </c>
      <c r="E142" s="9" t="s">
        <v>6924</v>
      </c>
      <c r="F142" s="9" t="s">
        <v>6925</v>
      </c>
      <c r="G142" s="9" t="s">
        <v>383</v>
      </c>
      <c r="H142" s="9" t="s">
        <v>449</v>
      </c>
      <c r="I142" s="87" t="s">
        <v>6405</v>
      </c>
      <c r="J142" s="87" t="s">
        <v>6405</v>
      </c>
      <c r="K142" s="87" t="s">
        <v>6926</v>
      </c>
      <c r="L142" s="87" t="s">
        <v>6238</v>
      </c>
      <c r="M142" s="87" t="s">
        <v>6339</v>
      </c>
      <c r="N142" s="9" t="s">
        <v>7001</v>
      </c>
      <c r="O142" s="87" t="s">
        <v>6245</v>
      </c>
      <c r="P142" s="9" t="s">
        <v>6243</v>
      </c>
      <c r="Q142" s="87" t="s">
        <v>6238</v>
      </c>
      <c r="R142" s="87" t="s">
        <v>6405</v>
      </c>
      <c r="S142" s="87" t="s">
        <v>6263</v>
      </c>
      <c r="T142" s="87" t="s">
        <v>6341</v>
      </c>
    </row>
    <row r="143" spans="1:20" ht="15.75" customHeight="1">
      <c r="A143" s="9" t="s">
        <v>3012</v>
      </c>
      <c r="B143" s="9" t="s">
        <v>7345</v>
      </c>
      <c r="C143" s="9" t="s">
        <v>7228</v>
      </c>
      <c r="D143" s="87" t="s">
        <v>6405</v>
      </c>
      <c r="E143" s="9" t="s">
        <v>6924</v>
      </c>
      <c r="F143" s="9" t="s">
        <v>11</v>
      </c>
      <c r="G143" s="9" t="s">
        <v>383</v>
      </c>
      <c r="H143" s="9" t="s">
        <v>426</v>
      </c>
      <c r="I143" s="87" t="s">
        <v>6405</v>
      </c>
      <c r="J143" s="87" t="s">
        <v>6405</v>
      </c>
      <c r="K143" s="87" t="s">
        <v>6405</v>
      </c>
      <c r="L143" s="87" t="s">
        <v>6293</v>
      </c>
      <c r="M143" s="87" t="s">
        <v>6343</v>
      </c>
      <c r="N143" s="9" t="s">
        <v>7268</v>
      </c>
      <c r="O143" s="87" t="s">
        <v>6290</v>
      </c>
      <c r="P143" s="9" t="s">
        <v>6243</v>
      </c>
      <c r="Q143" s="87" t="s">
        <v>6293</v>
      </c>
      <c r="R143" s="87" t="s">
        <v>6405</v>
      </c>
      <c r="S143" s="87" t="s">
        <v>6479</v>
      </c>
      <c r="T143" s="87" t="s">
        <v>6341</v>
      </c>
    </row>
    <row r="144" spans="1:20" ht="15.75" customHeight="1">
      <c r="A144" s="9" t="s">
        <v>2981</v>
      </c>
      <c r="B144" s="9" t="s">
        <v>7346</v>
      </c>
      <c r="C144" s="9" t="s">
        <v>6236</v>
      </c>
      <c r="D144" s="87" t="s">
        <v>6393</v>
      </c>
      <c r="E144" s="9" t="s">
        <v>431</v>
      </c>
      <c r="F144" s="9" t="s">
        <v>368</v>
      </c>
      <c r="G144" s="9" t="s">
        <v>436</v>
      </c>
      <c r="H144" s="9" t="s">
        <v>434</v>
      </c>
      <c r="I144" s="87" t="s">
        <v>6237</v>
      </c>
      <c r="J144" s="87" t="s">
        <v>6250</v>
      </c>
      <c r="K144" s="87" t="s">
        <v>6250</v>
      </c>
      <c r="L144" s="87" t="s">
        <v>6240</v>
      </c>
      <c r="M144" s="87" t="s">
        <v>6318</v>
      </c>
      <c r="N144" s="9" t="s">
        <v>7002</v>
      </c>
      <c r="O144" s="87" t="s">
        <v>6250</v>
      </c>
      <c r="P144" s="9" t="s">
        <v>6243</v>
      </c>
      <c r="Q144" s="87" t="s">
        <v>6320</v>
      </c>
      <c r="R144" s="87" t="s">
        <v>6250</v>
      </c>
      <c r="S144" s="87" t="s">
        <v>6370</v>
      </c>
      <c r="T144" s="87" t="s">
        <v>6417</v>
      </c>
    </row>
    <row r="145" spans="1:20" ht="15.75" customHeight="1">
      <c r="A145" s="9" t="s">
        <v>2981</v>
      </c>
      <c r="B145" s="9" t="s">
        <v>7347</v>
      </c>
      <c r="C145" s="9" t="s">
        <v>6671</v>
      </c>
      <c r="D145" s="87" t="s">
        <v>6296</v>
      </c>
      <c r="E145" s="9" t="s">
        <v>6672</v>
      </c>
      <c r="F145" s="9" t="s">
        <v>439</v>
      </c>
      <c r="G145" s="9" t="s">
        <v>436</v>
      </c>
      <c r="H145" s="9" t="s">
        <v>440</v>
      </c>
      <c r="I145" s="87" t="s">
        <v>6405</v>
      </c>
      <c r="J145" s="87" t="s">
        <v>6273</v>
      </c>
      <c r="K145" s="87" t="s">
        <v>6273</v>
      </c>
      <c r="L145" s="87" t="s">
        <v>6240</v>
      </c>
      <c r="M145" s="87" t="s">
        <v>6869</v>
      </c>
      <c r="N145" s="9" t="s">
        <v>7003</v>
      </c>
      <c r="O145" s="87" t="s">
        <v>6273</v>
      </c>
      <c r="P145" s="9" t="s">
        <v>6243</v>
      </c>
      <c r="Q145" s="87" t="s">
        <v>6276</v>
      </c>
      <c r="R145" s="87" t="s">
        <v>6273</v>
      </c>
      <c r="S145" s="87" t="s">
        <v>6528</v>
      </c>
      <c r="T145" s="87" t="s">
        <v>6401</v>
      </c>
    </row>
    <row r="146" spans="1:20" ht="15.75" customHeight="1">
      <c r="A146" s="9" t="s">
        <v>2981</v>
      </c>
      <c r="B146" s="9" t="s">
        <v>7348</v>
      </c>
      <c r="C146" s="9" t="s">
        <v>6923</v>
      </c>
      <c r="D146" s="87" t="s">
        <v>6461</v>
      </c>
      <c r="E146" s="9" t="s">
        <v>6924</v>
      </c>
      <c r="F146" s="9" t="s">
        <v>6925</v>
      </c>
      <c r="G146" s="9" t="s">
        <v>383</v>
      </c>
      <c r="H146" s="9" t="s">
        <v>427</v>
      </c>
      <c r="I146" s="87" t="s">
        <v>6405</v>
      </c>
      <c r="J146" s="87" t="s">
        <v>6264</v>
      </c>
      <c r="K146" s="87" t="s">
        <v>6939</v>
      </c>
      <c r="L146" s="87" t="s">
        <v>5374</v>
      </c>
      <c r="M146" s="87" t="s">
        <v>6338</v>
      </c>
      <c r="N146" s="9" t="s">
        <v>6940</v>
      </c>
      <c r="O146" s="87" t="s">
        <v>6333</v>
      </c>
      <c r="P146" s="9" t="s">
        <v>6547</v>
      </c>
      <c r="Q146" s="87" t="s">
        <v>6575</v>
      </c>
      <c r="R146" s="87" t="s">
        <v>6264</v>
      </c>
      <c r="S146" s="87" t="s">
        <v>6570</v>
      </c>
      <c r="T146" s="87" t="s">
        <v>6341</v>
      </c>
    </row>
    <row r="147" spans="1:20" ht="15.75" customHeight="1">
      <c r="A147" s="9" t="s">
        <v>2981</v>
      </c>
      <c r="B147" s="9" t="s">
        <v>7348</v>
      </c>
      <c r="C147" s="9" t="s">
        <v>7228</v>
      </c>
      <c r="D147" s="87" t="s">
        <v>6237</v>
      </c>
      <c r="E147" s="9" t="s">
        <v>6924</v>
      </c>
      <c r="F147" s="9" t="s">
        <v>11</v>
      </c>
      <c r="G147" s="9" t="s">
        <v>383</v>
      </c>
      <c r="H147" s="9" t="s">
        <v>426</v>
      </c>
      <c r="I147" s="87" t="s">
        <v>6405</v>
      </c>
      <c r="J147" s="87" t="s">
        <v>6334</v>
      </c>
      <c r="K147" s="87" t="s">
        <v>6334</v>
      </c>
      <c r="L147" s="87" t="s">
        <v>6397</v>
      </c>
      <c r="M147" s="87" t="s">
        <v>6339</v>
      </c>
      <c r="N147" s="9" t="s">
        <v>7268</v>
      </c>
      <c r="O147" s="87" t="s">
        <v>6290</v>
      </c>
      <c r="P147" s="9" t="s">
        <v>6547</v>
      </c>
      <c r="Q147" s="87" t="s">
        <v>6293</v>
      </c>
      <c r="R147" s="87" t="s">
        <v>6334</v>
      </c>
      <c r="S147" s="87" t="s">
        <v>6479</v>
      </c>
      <c r="T147" s="87" t="s">
        <v>6341</v>
      </c>
    </row>
    <row r="148" spans="1:20" ht="15.75" customHeight="1">
      <c r="A148" s="9" t="s">
        <v>2981</v>
      </c>
      <c r="B148" s="9" t="s">
        <v>7349</v>
      </c>
      <c r="C148" s="9" t="s">
        <v>6923</v>
      </c>
      <c r="D148" s="87" t="s">
        <v>6461</v>
      </c>
      <c r="E148" s="9" t="s">
        <v>6924</v>
      </c>
      <c r="F148" s="9" t="s">
        <v>6925</v>
      </c>
      <c r="G148" s="9" t="s">
        <v>383</v>
      </c>
      <c r="H148" s="9" t="s">
        <v>427</v>
      </c>
      <c r="I148" s="87" t="s">
        <v>6405</v>
      </c>
      <c r="J148" s="87" t="s">
        <v>6264</v>
      </c>
      <c r="K148" s="87" t="s">
        <v>6926</v>
      </c>
      <c r="L148" s="87" t="s">
        <v>5374</v>
      </c>
      <c r="M148" s="87" t="s">
        <v>6339</v>
      </c>
      <c r="N148" s="9" t="s">
        <v>7004</v>
      </c>
      <c r="O148" s="87" t="s">
        <v>6323</v>
      </c>
      <c r="P148" s="9" t="s">
        <v>6547</v>
      </c>
      <c r="Q148" s="87" t="s">
        <v>5374</v>
      </c>
      <c r="R148" s="87" t="s">
        <v>6264</v>
      </c>
      <c r="S148" s="87" t="s">
        <v>6428</v>
      </c>
      <c r="T148" s="87" t="s">
        <v>6341</v>
      </c>
    </row>
    <row r="149" spans="1:20" ht="15.75" customHeight="1">
      <c r="A149" s="9" t="s">
        <v>2981</v>
      </c>
      <c r="B149" s="9" t="s">
        <v>7349</v>
      </c>
      <c r="C149" s="9" t="s">
        <v>7228</v>
      </c>
      <c r="D149" s="87" t="s">
        <v>6237</v>
      </c>
      <c r="E149" s="9" t="s">
        <v>6924</v>
      </c>
      <c r="F149" s="9" t="s">
        <v>11</v>
      </c>
      <c r="G149" s="9" t="s">
        <v>383</v>
      </c>
      <c r="H149" s="9" t="s">
        <v>426</v>
      </c>
      <c r="I149" s="87" t="s">
        <v>6405</v>
      </c>
      <c r="J149" s="87" t="s">
        <v>6405</v>
      </c>
      <c r="K149" s="87" t="s">
        <v>6405</v>
      </c>
      <c r="L149" s="87" t="s">
        <v>6397</v>
      </c>
      <c r="M149" s="87" t="s">
        <v>6343</v>
      </c>
      <c r="N149" s="9" t="s">
        <v>7289</v>
      </c>
      <c r="O149" s="87" t="s">
        <v>6240</v>
      </c>
      <c r="P149" s="9" t="s">
        <v>6547</v>
      </c>
      <c r="Q149" s="87" t="s">
        <v>6397</v>
      </c>
      <c r="R149" s="87" t="s">
        <v>6405</v>
      </c>
      <c r="S149" s="87" t="s">
        <v>6284</v>
      </c>
      <c r="T149" s="87" t="s">
        <v>6341</v>
      </c>
    </row>
    <row r="150" spans="1:20" ht="15.75" customHeight="1">
      <c r="A150" s="9" t="s">
        <v>2961</v>
      </c>
      <c r="B150" s="9" t="s">
        <v>7350</v>
      </c>
      <c r="C150" s="9" t="s">
        <v>6236</v>
      </c>
      <c r="D150" s="87" t="s">
        <v>6393</v>
      </c>
      <c r="E150" s="9" t="s">
        <v>431</v>
      </c>
      <c r="F150" s="9" t="s">
        <v>368</v>
      </c>
      <c r="G150" s="9" t="s">
        <v>436</v>
      </c>
      <c r="H150" s="9" t="s">
        <v>434</v>
      </c>
      <c r="I150" s="87" t="s">
        <v>6237</v>
      </c>
      <c r="J150" s="87" t="s">
        <v>6327</v>
      </c>
      <c r="K150" s="87" t="s">
        <v>6290</v>
      </c>
      <c r="L150" s="87" t="s">
        <v>6240</v>
      </c>
      <c r="M150" s="87" t="s">
        <v>6869</v>
      </c>
      <c r="N150" s="9" t="s">
        <v>7005</v>
      </c>
      <c r="O150" s="87" t="s">
        <v>6290</v>
      </c>
      <c r="P150" s="9" t="s">
        <v>6243</v>
      </c>
      <c r="Q150" s="87" t="s">
        <v>6293</v>
      </c>
      <c r="R150" s="87" t="s">
        <v>6327</v>
      </c>
      <c r="S150" s="87" t="s">
        <v>6327</v>
      </c>
      <c r="T150" s="87" t="s">
        <v>6528</v>
      </c>
    </row>
    <row r="151" spans="1:20" ht="15.75" customHeight="1">
      <c r="A151" s="9" t="s">
        <v>2961</v>
      </c>
      <c r="B151" s="9" t="s">
        <v>7350</v>
      </c>
      <c r="C151" s="9" t="s">
        <v>6236</v>
      </c>
      <c r="D151" s="87" t="s">
        <v>6393</v>
      </c>
      <c r="E151" s="9" t="s">
        <v>431</v>
      </c>
      <c r="F151" s="9" t="s">
        <v>368</v>
      </c>
      <c r="G151" s="9" t="s">
        <v>436</v>
      </c>
      <c r="H151" s="9" t="s">
        <v>434</v>
      </c>
      <c r="I151" s="87" t="s">
        <v>6237</v>
      </c>
      <c r="J151" s="87" t="s">
        <v>6327</v>
      </c>
      <c r="K151" s="87" t="s">
        <v>6334</v>
      </c>
      <c r="L151" s="87" t="s">
        <v>6240</v>
      </c>
      <c r="M151" s="87" t="s">
        <v>6338</v>
      </c>
      <c r="N151" s="9" t="s">
        <v>7006</v>
      </c>
      <c r="O151" s="87" t="s">
        <v>6334</v>
      </c>
      <c r="P151" s="9" t="s">
        <v>6243</v>
      </c>
      <c r="Q151" s="87" t="s">
        <v>6290</v>
      </c>
      <c r="R151" s="87" t="s">
        <v>6327</v>
      </c>
      <c r="S151" s="87" t="s">
        <v>6351</v>
      </c>
      <c r="T151" s="87" t="s">
        <v>6645</v>
      </c>
    </row>
    <row r="152" spans="1:20" ht="15.75" customHeight="1">
      <c r="A152" s="9" t="s">
        <v>2961</v>
      </c>
      <c r="B152" s="9" t="s">
        <v>7351</v>
      </c>
      <c r="C152" s="9" t="s">
        <v>6671</v>
      </c>
      <c r="D152" s="87" t="s">
        <v>6296</v>
      </c>
      <c r="E152" s="9" t="s">
        <v>6672</v>
      </c>
      <c r="F152" s="9" t="s">
        <v>439</v>
      </c>
      <c r="G152" s="9" t="s">
        <v>436</v>
      </c>
      <c r="H152" s="9" t="s">
        <v>440</v>
      </c>
      <c r="I152" s="87" t="s">
        <v>6405</v>
      </c>
      <c r="J152" s="87" t="s">
        <v>6435</v>
      </c>
      <c r="K152" s="87" t="s">
        <v>6435</v>
      </c>
      <c r="L152" s="87" t="s">
        <v>6240</v>
      </c>
      <c r="M152" s="87" t="s">
        <v>6339</v>
      </c>
      <c r="N152" s="9" t="s">
        <v>7007</v>
      </c>
      <c r="O152" s="87" t="s">
        <v>6435</v>
      </c>
      <c r="P152" s="9" t="s">
        <v>6243</v>
      </c>
      <c r="Q152" s="87" t="s">
        <v>6250</v>
      </c>
      <c r="R152" s="87" t="s">
        <v>6435</v>
      </c>
      <c r="S152" s="87" t="s">
        <v>6733</v>
      </c>
      <c r="T152" s="87" t="s">
        <v>6645</v>
      </c>
    </row>
    <row r="153" spans="1:20" ht="15.75" customHeight="1">
      <c r="A153" s="9" t="s">
        <v>2961</v>
      </c>
      <c r="B153" s="9" t="s">
        <v>7352</v>
      </c>
      <c r="C153" s="9" t="s">
        <v>6923</v>
      </c>
      <c r="D153" s="87" t="s">
        <v>6327</v>
      </c>
      <c r="E153" s="9" t="s">
        <v>6924</v>
      </c>
      <c r="F153" s="9" t="s">
        <v>6925</v>
      </c>
      <c r="G153" s="9" t="s">
        <v>383</v>
      </c>
      <c r="H153" s="9" t="s">
        <v>444</v>
      </c>
      <c r="I153" s="87" t="s">
        <v>6405</v>
      </c>
      <c r="J153" s="87" t="s">
        <v>6405</v>
      </c>
      <c r="K153" s="87" t="s">
        <v>6926</v>
      </c>
      <c r="L153" s="87" t="s">
        <v>6321</v>
      </c>
      <c r="M153" s="87" t="s">
        <v>6343</v>
      </c>
      <c r="N153" s="9" t="s">
        <v>7008</v>
      </c>
      <c r="O153" s="87" t="s">
        <v>6411</v>
      </c>
      <c r="P153" s="9" t="s">
        <v>6243</v>
      </c>
      <c r="Q153" s="87" t="s">
        <v>6321</v>
      </c>
      <c r="R153" s="87" t="s">
        <v>6405</v>
      </c>
      <c r="S153" s="87" t="s">
        <v>6555</v>
      </c>
      <c r="T153" s="87" t="s">
        <v>6341</v>
      </c>
    </row>
    <row r="154" spans="1:20" ht="15.75" customHeight="1">
      <c r="A154" s="9" t="s">
        <v>2961</v>
      </c>
      <c r="B154" s="9" t="s">
        <v>7352</v>
      </c>
      <c r="C154" s="9" t="s">
        <v>7228</v>
      </c>
      <c r="D154" s="87" t="s">
        <v>6290</v>
      </c>
      <c r="E154" s="9" t="s">
        <v>6924</v>
      </c>
      <c r="F154" s="9" t="s">
        <v>11</v>
      </c>
      <c r="G154" s="9" t="s">
        <v>383</v>
      </c>
      <c r="H154" s="9" t="s">
        <v>426</v>
      </c>
      <c r="I154" s="87" t="s">
        <v>6405</v>
      </c>
      <c r="J154" s="87" t="s">
        <v>6405</v>
      </c>
      <c r="K154" s="87" t="s">
        <v>6405</v>
      </c>
      <c r="L154" s="87" t="s">
        <v>6293</v>
      </c>
      <c r="M154" s="87" t="s">
        <v>6863</v>
      </c>
      <c r="N154" s="9" t="s">
        <v>7268</v>
      </c>
      <c r="O154" s="87" t="s">
        <v>6290</v>
      </c>
      <c r="P154" s="9" t="s">
        <v>6243</v>
      </c>
      <c r="Q154" s="87" t="s">
        <v>6293</v>
      </c>
      <c r="R154" s="87" t="s">
        <v>6405</v>
      </c>
      <c r="S154" s="87" t="s">
        <v>6479</v>
      </c>
      <c r="T154" s="87" t="s">
        <v>6341</v>
      </c>
    </row>
    <row r="155" spans="1:20" ht="15.75" customHeight="1">
      <c r="A155" s="9" t="s">
        <v>2997</v>
      </c>
      <c r="B155" s="9" t="s">
        <v>7353</v>
      </c>
      <c r="C155" s="9" t="s">
        <v>6236</v>
      </c>
      <c r="D155" s="87" t="s">
        <v>6393</v>
      </c>
      <c r="E155" s="9" t="s">
        <v>431</v>
      </c>
      <c r="F155" s="9" t="s">
        <v>368</v>
      </c>
      <c r="G155" s="9" t="s">
        <v>436</v>
      </c>
      <c r="H155" s="9" t="s">
        <v>434</v>
      </c>
      <c r="I155" s="87" t="s">
        <v>6237</v>
      </c>
      <c r="J155" s="87" t="s">
        <v>6245</v>
      </c>
      <c r="K155" s="87" t="s">
        <v>6245</v>
      </c>
      <c r="L155" s="87" t="s">
        <v>6240</v>
      </c>
      <c r="M155" s="87" t="s">
        <v>6339</v>
      </c>
      <c r="N155" s="9" t="s">
        <v>7009</v>
      </c>
      <c r="O155" s="87" t="s">
        <v>6245</v>
      </c>
      <c r="P155" s="9" t="s">
        <v>6243</v>
      </c>
      <c r="Q155" s="87" t="s">
        <v>6238</v>
      </c>
      <c r="R155" s="87" t="s">
        <v>6245</v>
      </c>
      <c r="S155" s="87" t="s">
        <v>6430</v>
      </c>
      <c r="T155" s="87" t="s">
        <v>6651</v>
      </c>
    </row>
    <row r="156" spans="1:20" ht="15.75" customHeight="1">
      <c r="A156" s="9" t="s">
        <v>2997</v>
      </c>
      <c r="B156" s="9" t="s">
        <v>7354</v>
      </c>
      <c r="C156" s="9" t="s">
        <v>6671</v>
      </c>
      <c r="D156" s="87" t="s">
        <v>6296</v>
      </c>
      <c r="E156" s="9" t="s">
        <v>6672</v>
      </c>
      <c r="F156" s="9" t="s">
        <v>439</v>
      </c>
      <c r="G156" s="9" t="s">
        <v>436</v>
      </c>
      <c r="H156" s="9" t="s">
        <v>440</v>
      </c>
      <c r="I156" s="87" t="s">
        <v>6405</v>
      </c>
      <c r="J156" s="87" t="s">
        <v>6323</v>
      </c>
      <c r="K156" s="87" t="s">
        <v>6268</v>
      </c>
      <c r="L156" s="87" t="s">
        <v>6240</v>
      </c>
      <c r="M156" s="87" t="s">
        <v>6343</v>
      </c>
      <c r="N156" s="9" t="s">
        <v>7010</v>
      </c>
      <c r="O156" s="87" t="s">
        <v>6268</v>
      </c>
      <c r="P156" s="9" t="s">
        <v>6243</v>
      </c>
      <c r="Q156" s="87" t="s">
        <v>6270</v>
      </c>
      <c r="R156" s="87" t="s">
        <v>6323</v>
      </c>
      <c r="S156" s="87" t="s">
        <v>6327</v>
      </c>
      <c r="T156" s="87" t="s">
        <v>6387</v>
      </c>
    </row>
    <row r="157" spans="1:20" ht="15.75" customHeight="1">
      <c r="A157" s="9" t="s">
        <v>2997</v>
      </c>
      <c r="B157" s="9" t="s">
        <v>7354</v>
      </c>
      <c r="C157" s="9" t="s">
        <v>6671</v>
      </c>
      <c r="D157" s="87" t="s">
        <v>6296</v>
      </c>
      <c r="E157" s="9" t="s">
        <v>6672</v>
      </c>
      <c r="F157" s="9" t="s">
        <v>439</v>
      </c>
      <c r="G157" s="9" t="s">
        <v>436</v>
      </c>
      <c r="H157" s="9" t="s">
        <v>440</v>
      </c>
      <c r="I157" s="87" t="s">
        <v>6405</v>
      </c>
      <c r="J157" s="87" t="s">
        <v>6323</v>
      </c>
      <c r="K157" s="87" t="s">
        <v>6297</v>
      </c>
      <c r="L157" s="87" t="s">
        <v>6240</v>
      </c>
      <c r="M157" s="87" t="s">
        <v>6863</v>
      </c>
      <c r="N157" s="9" t="s">
        <v>6980</v>
      </c>
      <c r="O157" s="87" t="s">
        <v>6297</v>
      </c>
      <c r="P157" s="9" t="s">
        <v>6243</v>
      </c>
      <c r="Q157" s="87" t="s">
        <v>6299</v>
      </c>
      <c r="R157" s="87" t="s">
        <v>6323</v>
      </c>
      <c r="S157" s="87" t="s">
        <v>6306</v>
      </c>
      <c r="T157" s="87" t="s">
        <v>6645</v>
      </c>
    </row>
    <row r="158" spans="1:20" ht="15.75" customHeight="1">
      <c r="A158" s="9" t="s">
        <v>2997</v>
      </c>
      <c r="B158" s="9" t="s">
        <v>7355</v>
      </c>
      <c r="C158" s="9" t="s">
        <v>6923</v>
      </c>
      <c r="D158" s="87" t="s">
        <v>6327</v>
      </c>
      <c r="E158" s="9" t="s">
        <v>6924</v>
      </c>
      <c r="F158" s="9" t="s">
        <v>6925</v>
      </c>
      <c r="G158" s="9" t="s">
        <v>383</v>
      </c>
      <c r="H158" s="9" t="s">
        <v>444</v>
      </c>
      <c r="I158" s="87" t="s">
        <v>6405</v>
      </c>
      <c r="J158" s="87" t="s">
        <v>6264</v>
      </c>
      <c r="K158" s="87" t="s">
        <v>6939</v>
      </c>
      <c r="L158" s="87" t="s">
        <v>6250</v>
      </c>
      <c r="M158" s="87" t="s">
        <v>6862</v>
      </c>
      <c r="N158" s="9" t="s">
        <v>7011</v>
      </c>
      <c r="O158" s="87" t="s">
        <v>6433</v>
      </c>
      <c r="P158" s="9" t="s">
        <v>6243</v>
      </c>
      <c r="Q158" s="87" t="s">
        <v>6305</v>
      </c>
      <c r="R158" s="87" t="s">
        <v>6264</v>
      </c>
      <c r="S158" s="87" t="s">
        <v>6237</v>
      </c>
      <c r="T158" s="87" t="s">
        <v>6397</v>
      </c>
    </row>
    <row r="159" spans="1:20" ht="15.75" customHeight="1">
      <c r="A159" s="9" t="s">
        <v>2997</v>
      </c>
      <c r="B159" s="9" t="s">
        <v>7355</v>
      </c>
      <c r="C159" s="9" t="s">
        <v>7228</v>
      </c>
      <c r="D159" s="87" t="s">
        <v>6290</v>
      </c>
      <c r="E159" s="9" t="s">
        <v>6924</v>
      </c>
      <c r="F159" s="9" t="s">
        <v>11</v>
      </c>
      <c r="G159" s="9" t="s">
        <v>383</v>
      </c>
      <c r="H159" s="9" t="s">
        <v>426</v>
      </c>
      <c r="I159" s="87" t="s">
        <v>6405</v>
      </c>
      <c r="J159" s="87" t="s">
        <v>6334</v>
      </c>
      <c r="K159" s="87" t="s">
        <v>6334</v>
      </c>
      <c r="L159" s="87" t="s">
        <v>6316</v>
      </c>
      <c r="M159" s="87" t="s">
        <v>6352</v>
      </c>
      <c r="N159" s="9" t="s">
        <v>7212</v>
      </c>
      <c r="O159" s="87" t="s">
        <v>6295</v>
      </c>
      <c r="P159" s="9" t="s">
        <v>6243</v>
      </c>
      <c r="Q159" s="87" t="s">
        <v>6372</v>
      </c>
      <c r="R159" s="87" t="s">
        <v>6334</v>
      </c>
      <c r="S159" s="87" t="s">
        <v>6245</v>
      </c>
      <c r="T159" s="87" t="s">
        <v>6250</v>
      </c>
    </row>
    <row r="160" spans="1:20" ht="15.75" customHeight="1">
      <c r="A160" s="9" t="s">
        <v>2997</v>
      </c>
      <c r="B160" s="9" t="s">
        <v>7356</v>
      </c>
      <c r="C160" s="9" t="s">
        <v>6923</v>
      </c>
      <c r="D160" s="87" t="s">
        <v>6327</v>
      </c>
      <c r="E160" s="9" t="s">
        <v>6924</v>
      </c>
      <c r="F160" s="9" t="s">
        <v>6925</v>
      </c>
      <c r="G160" s="9" t="s">
        <v>383</v>
      </c>
      <c r="H160" s="9" t="s">
        <v>444</v>
      </c>
      <c r="I160" s="87" t="s">
        <v>6405</v>
      </c>
      <c r="J160" s="87" t="s">
        <v>6264</v>
      </c>
      <c r="K160" s="87" t="s">
        <v>6926</v>
      </c>
      <c r="L160" s="87" t="s">
        <v>6250</v>
      </c>
      <c r="M160" s="87" t="s">
        <v>6352</v>
      </c>
      <c r="N160" s="9" t="s">
        <v>7012</v>
      </c>
      <c r="O160" s="87" t="s">
        <v>6435</v>
      </c>
      <c r="P160" s="9" t="s">
        <v>6243</v>
      </c>
      <c r="Q160" s="87" t="s">
        <v>6250</v>
      </c>
      <c r="R160" s="87" t="s">
        <v>6264</v>
      </c>
      <c r="S160" s="87" t="s">
        <v>6416</v>
      </c>
      <c r="T160" s="87" t="s">
        <v>6341</v>
      </c>
    </row>
    <row r="161" spans="1:20" ht="15.75" customHeight="1">
      <c r="A161" s="9" t="s">
        <v>2997</v>
      </c>
      <c r="B161" s="9" t="s">
        <v>7356</v>
      </c>
      <c r="C161" s="9" t="s">
        <v>7228</v>
      </c>
      <c r="D161" s="87" t="s">
        <v>6290</v>
      </c>
      <c r="E161" s="9" t="s">
        <v>6924</v>
      </c>
      <c r="F161" s="9" t="s">
        <v>11</v>
      </c>
      <c r="G161" s="9" t="s">
        <v>383</v>
      </c>
      <c r="H161" s="9" t="s">
        <v>426</v>
      </c>
      <c r="I161" s="87" t="s">
        <v>6405</v>
      </c>
      <c r="J161" s="87" t="s">
        <v>6405</v>
      </c>
      <c r="K161" s="87" t="s">
        <v>6405</v>
      </c>
      <c r="L161" s="87" t="s">
        <v>6316</v>
      </c>
      <c r="M161" s="87" t="s">
        <v>6353</v>
      </c>
      <c r="N161" s="9" t="s">
        <v>7357</v>
      </c>
      <c r="O161" s="87" t="s">
        <v>6421</v>
      </c>
      <c r="P161" s="9" t="s">
        <v>6243</v>
      </c>
      <c r="Q161" s="87" t="s">
        <v>6316</v>
      </c>
      <c r="R161" s="87" t="s">
        <v>6405</v>
      </c>
      <c r="S161" s="87" t="s">
        <v>6316</v>
      </c>
      <c r="T161" s="87" t="s">
        <v>6341</v>
      </c>
    </row>
    <row r="162" spans="1:20" ht="15.75" customHeight="1">
      <c r="A162" s="9" t="s">
        <v>2888</v>
      </c>
      <c r="B162" s="9" t="s">
        <v>7358</v>
      </c>
      <c r="C162" s="9" t="s">
        <v>6236</v>
      </c>
      <c r="D162" s="87" t="s">
        <v>6393</v>
      </c>
      <c r="E162" s="9" t="s">
        <v>431</v>
      </c>
      <c r="F162" s="9" t="s">
        <v>368</v>
      </c>
      <c r="G162" s="9" t="s">
        <v>436</v>
      </c>
      <c r="H162" s="9" t="s">
        <v>434</v>
      </c>
      <c r="I162" s="87" t="s">
        <v>6237</v>
      </c>
      <c r="J162" s="87" t="s">
        <v>6264</v>
      </c>
      <c r="K162" s="87" t="s">
        <v>6264</v>
      </c>
      <c r="L162" s="87" t="s">
        <v>6240</v>
      </c>
      <c r="M162" s="87" t="s">
        <v>6311</v>
      </c>
      <c r="N162" s="9" t="s">
        <v>7013</v>
      </c>
      <c r="O162" s="87" t="s">
        <v>6264</v>
      </c>
      <c r="P162" s="9" t="s">
        <v>6243</v>
      </c>
      <c r="Q162" s="87" t="s">
        <v>6313</v>
      </c>
      <c r="R162" s="87" t="s">
        <v>6264</v>
      </c>
      <c r="S162" s="87" t="s">
        <v>6322</v>
      </c>
      <c r="T162" s="87" t="s">
        <v>6401</v>
      </c>
    </row>
    <row r="163" spans="1:20" ht="15.75" customHeight="1">
      <c r="A163" s="9" t="s">
        <v>2888</v>
      </c>
      <c r="B163" s="9" t="s">
        <v>7359</v>
      </c>
      <c r="C163" s="9" t="s">
        <v>6671</v>
      </c>
      <c r="D163" s="87" t="s">
        <v>6296</v>
      </c>
      <c r="E163" s="9" t="s">
        <v>6672</v>
      </c>
      <c r="F163" s="9" t="s">
        <v>439</v>
      </c>
      <c r="G163" s="9" t="s">
        <v>436</v>
      </c>
      <c r="H163" s="9" t="s">
        <v>440</v>
      </c>
      <c r="I163" s="87" t="s">
        <v>6405</v>
      </c>
      <c r="J163" s="87" t="s">
        <v>6405</v>
      </c>
      <c r="K163" s="87" t="s">
        <v>6405</v>
      </c>
      <c r="L163" s="87" t="s">
        <v>6240</v>
      </c>
      <c r="M163" s="87" t="s">
        <v>6875</v>
      </c>
      <c r="N163" s="9" t="s">
        <v>7014</v>
      </c>
      <c r="O163" s="87" t="s">
        <v>6405</v>
      </c>
      <c r="P163" s="9" t="s">
        <v>6243</v>
      </c>
      <c r="Q163" s="87" t="s">
        <v>6240</v>
      </c>
      <c r="R163" s="87" t="s">
        <v>6405</v>
      </c>
      <c r="S163" s="87" t="s">
        <v>6322</v>
      </c>
      <c r="T163" s="87" t="s">
        <v>6322</v>
      </c>
    </row>
    <row r="164" spans="1:20" ht="15.75" customHeight="1">
      <c r="A164" s="9" t="s">
        <v>2888</v>
      </c>
      <c r="B164" s="9" t="s">
        <v>7360</v>
      </c>
      <c r="C164" s="9" t="s">
        <v>6923</v>
      </c>
      <c r="D164" s="87" t="s">
        <v>6327</v>
      </c>
      <c r="E164" s="9" t="s">
        <v>6924</v>
      </c>
      <c r="F164" s="9" t="s">
        <v>6925</v>
      </c>
      <c r="G164" s="9" t="s">
        <v>383</v>
      </c>
      <c r="H164" s="9" t="s">
        <v>444</v>
      </c>
      <c r="I164" s="87" t="s">
        <v>6405</v>
      </c>
      <c r="J164" s="87" t="s">
        <v>6405</v>
      </c>
      <c r="K164" s="87" t="s">
        <v>6926</v>
      </c>
      <c r="L164" s="87" t="s">
        <v>6316</v>
      </c>
      <c r="M164" s="87" t="s">
        <v>6869</v>
      </c>
      <c r="N164" s="9" t="s">
        <v>7015</v>
      </c>
      <c r="O164" s="87" t="s">
        <v>6421</v>
      </c>
      <c r="P164" s="9" t="s">
        <v>6243</v>
      </c>
      <c r="Q164" s="87" t="s">
        <v>6316</v>
      </c>
      <c r="R164" s="87" t="s">
        <v>6405</v>
      </c>
      <c r="S164" s="87" t="s">
        <v>6334</v>
      </c>
      <c r="T164" s="87" t="s">
        <v>6414</v>
      </c>
    </row>
    <row r="165" spans="1:20" ht="15.75" customHeight="1">
      <c r="A165" s="9" t="s">
        <v>2888</v>
      </c>
      <c r="B165" s="9" t="s">
        <v>7360</v>
      </c>
      <c r="C165" s="9" t="s">
        <v>7228</v>
      </c>
      <c r="D165" s="87" t="s">
        <v>6290</v>
      </c>
      <c r="E165" s="9" t="s">
        <v>6924</v>
      </c>
      <c r="F165" s="9" t="s">
        <v>11</v>
      </c>
      <c r="G165" s="9" t="s">
        <v>383</v>
      </c>
      <c r="H165" s="9" t="s">
        <v>426</v>
      </c>
      <c r="I165" s="87" t="s">
        <v>6405</v>
      </c>
      <c r="J165" s="87" t="s">
        <v>6405</v>
      </c>
      <c r="K165" s="87" t="s">
        <v>6405</v>
      </c>
      <c r="L165" s="87" t="s">
        <v>6392</v>
      </c>
      <c r="M165" s="87" t="s">
        <v>6338</v>
      </c>
      <c r="N165" s="9" t="s">
        <v>7361</v>
      </c>
      <c r="O165" s="87" t="s">
        <v>6327</v>
      </c>
      <c r="P165" s="9" t="s">
        <v>6243</v>
      </c>
      <c r="Q165" s="87" t="s">
        <v>6392</v>
      </c>
      <c r="R165" s="87" t="s">
        <v>6405</v>
      </c>
      <c r="S165" s="87" t="s">
        <v>6314</v>
      </c>
      <c r="T165" s="87" t="s">
        <v>6287</v>
      </c>
    </row>
    <row r="166" spans="1:20" ht="15.75" customHeight="1">
      <c r="A166" s="9" t="s">
        <v>2993</v>
      </c>
      <c r="B166" s="9" t="s">
        <v>7362</v>
      </c>
      <c r="C166" s="9" t="s">
        <v>6236</v>
      </c>
      <c r="D166" s="87" t="s">
        <v>6393</v>
      </c>
      <c r="E166" s="9" t="s">
        <v>431</v>
      </c>
      <c r="F166" s="9" t="s">
        <v>368</v>
      </c>
      <c r="G166" s="9" t="s">
        <v>436</v>
      </c>
      <c r="H166" s="9" t="s">
        <v>434</v>
      </c>
      <c r="I166" s="87" t="s">
        <v>6264</v>
      </c>
      <c r="J166" s="87" t="s">
        <v>6238</v>
      </c>
      <c r="K166" s="87" t="s">
        <v>6271</v>
      </c>
      <c r="L166" s="87" t="s">
        <v>6240</v>
      </c>
      <c r="M166" s="87" t="s">
        <v>6338</v>
      </c>
      <c r="N166" s="9" t="s">
        <v>7016</v>
      </c>
      <c r="O166" s="87" t="s">
        <v>6271</v>
      </c>
      <c r="P166" s="9" t="s">
        <v>6243</v>
      </c>
      <c r="Q166" s="87" t="s">
        <v>3746</v>
      </c>
      <c r="R166" s="87" t="s">
        <v>6238</v>
      </c>
      <c r="S166" s="87" t="s">
        <v>6327</v>
      </c>
      <c r="T166" s="87" t="s">
        <v>6474</v>
      </c>
    </row>
    <row r="167" spans="1:20" ht="15.75" customHeight="1">
      <c r="A167" s="9" t="s">
        <v>2993</v>
      </c>
      <c r="B167" s="9" t="s">
        <v>7362</v>
      </c>
      <c r="C167" s="9" t="s">
        <v>6236</v>
      </c>
      <c r="D167" s="87" t="s">
        <v>6393</v>
      </c>
      <c r="E167" s="9" t="s">
        <v>431</v>
      </c>
      <c r="F167" s="9" t="s">
        <v>368</v>
      </c>
      <c r="G167" s="9" t="s">
        <v>436</v>
      </c>
      <c r="H167" s="9" t="s">
        <v>434</v>
      </c>
      <c r="I167" s="87" t="s">
        <v>6264</v>
      </c>
      <c r="J167" s="87" t="s">
        <v>6238</v>
      </c>
      <c r="K167" s="87" t="s">
        <v>6268</v>
      </c>
      <c r="L167" s="87" t="s">
        <v>6240</v>
      </c>
      <c r="M167" s="87" t="s">
        <v>6339</v>
      </c>
      <c r="N167" s="9" t="s">
        <v>7017</v>
      </c>
      <c r="O167" s="87" t="s">
        <v>6268</v>
      </c>
      <c r="P167" s="9" t="s">
        <v>6243</v>
      </c>
      <c r="Q167" s="87" t="s">
        <v>6270</v>
      </c>
      <c r="R167" s="87" t="s">
        <v>6238</v>
      </c>
      <c r="S167" s="87" t="s">
        <v>6342</v>
      </c>
      <c r="T167" s="87" t="s">
        <v>6645</v>
      </c>
    </row>
    <row r="168" spans="1:20" ht="15.75" customHeight="1">
      <c r="A168" s="9" t="s">
        <v>2993</v>
      </c>
      <c r="B168" s="9" t="s">
        <v>7363</v>
      </c>
      <c r="C168" s="9" t="s">
        <v>6671</v>
      </c>
      <c r="D168" s="87" t="s">
        <v>6296</v>
      </c>
      <c r="E168" s="9" t="s">
        <v>6672</v>
      </c>
      <c r="F168" s="9" t="s">
        <v>439</v>
      </c>
      <c r="G168" s="9" t="s">
        <v>436</v>
      </c>
      <c r="H168" s="9" t="s">
        <v>440</v>
      </c>
      <c r="I168" s="87" t="s">
        <v>6405</v>
      </c>
      <c r="J168" s="87" t="s">
        <v>5381</v>
      </c>
      <c r="K168" s="87" t="s">
        <v>5381</v>
      </c>
      <c r="L168" s="87" t="s">
        <v>6240</v>
      </c>
      <c r="M168" s="87" t="s">
        <v>6343</v>
      </c>
      <c r="N168" s="9" t="s">
        <v>7018</v>
      </c>
      <c r="O168" s="87" t="s">
        <v>5381</v>
      </c>
      <c r="P168" s="9" t="s">
        <v>6243</v>
      </c>
      <c r="Q168" s="87" t="s">
        <v>4081</v>
      </c>
      <c r="R168" s="87" t="s">
        <v>5381</v>
      </c>
      <c r="S168" s="87" t="s">
        <v>6346</v>
      </c>
      <c r="T168" s="87" t="s">
        <v>6645</v>
      </c>
    </row>
    <row r="169" spans="1:20" ht="15.75" customHeight="1">
      <c r="A169" s="9" t="s">
        <v>2993</v>
      </c>
      <c r="B169" s="9" t="s">
        <v>7364</v>
      </c>
      <c r="C169" s="9" t="s">
        <v>6923</v>
      </c>
      <c r="D169" s="87" t="s">
        <v>6327</v>
      </c>
      <c r="E169" s="9" t="s">
        <v>6924</v>
      </c>
      <c r="F169" s="9" t="s">
        <v>6925</v>
      </c>
      <c r="G169" s="9" t="s">
        <v>383</v>
      </c>
      <c r="H169" s="9" t="s">
        <v>444</v>
      </c>
      <c r="I169" s="87" t="s">
        <v>6405</v>
      </c>
      <c r="J169" s="87" t="s">
        <v>6237</v>
      </c>
      <c r="K169" s="87" t="s">
        <v>6939</v>
      </c>
      <c r="L169" s="87" t="s">
        <v>5968</v>
      </c>
      <c r="M169" s="87" t="s">
        <v>6863</v>
      </c>
      <c r="N169" s="9" t="s">
        <v>6974</v>
      </c>
      <c r="O169" s="87" t="s">
        <v>5381</v>
      </c>
      <c r="P169" s="9" t="s">
        <v>6243</v>
      </c>
      <c r="Q169" s="87" t="s">
        <v>4081</v>
      </c>
      <c r="R169" s="87" t="s">
        <v>6237</v>
      </c>
      <c r="S169" s="87" t="s">
        <v>6268</v>
      </c>
      <c r="T169" s="87" t="s">
        <v>6341</v>
      </c>
    </row>
    <row r="170" spans="1:20" ht="15.75" customHeight="1">
      <c r="A170" s="9" t="s">
        <v>2993</v>
      </c>
      <c r="B170" s="9" t="s">
        <v>7364</v>
      </c>
      <c r="C170" s="9" t="s">
        <v>7228</v>
      </c>
      <c r="D170" s="87" t="s">
        <v>6290</v>
      </c>
      <c r="E170" s="9" t="s">
        <v>6924</v>
      </c>
      <c r="F170" s="9" t="s">
        <v>11</v>
      </c>
      <c r="G170" s="9" t="s">
        <v>383</v>
      </c>
      <c r="H170" s="9" t="s">
        <v>426</v>
      </c>
      <c r="I170" s="87" t="s">
        <v>6405</v>
      </c>
      <c r="J170" s="87" t="s">
        <v>6334</v>
      </c>
      <c r="K170" s="87" t="s">
        <v>6334</v>
      </c>
      <c r="L170" s="87" t="s">
        <v>6306</v>
      </c>
      <c r="M170" s="87" t="s">
        <v>6862</v>
      </c>
      <c r="N170" s="9" t="s">
        <v>7121</v>
      </c>
      <c r="O170" s="87" t="s">
        <v>6299</v>
      </c>
      <c r="P170" s="9" t="s">
        <v>6243</v>
      </c>
      <c r="Q170" s="87" t="s">
        <v>3231</v>
      </c>
      <c r="R170" s="87" t="s">
        <v>6334</v>
      </c>
      <c r="S170" s="87" t="s">
        <v>6400</v>
      </c>
      <c r="T170" s="87" t="s">
        <v>6341</v>
      </c>
    </row>
    <row r="171" spans="1:20" ht="15.75" customHeight="1">
      <c r="A171" s="9" t="s">
        <v>2993</v>
      </c>
      <c r="B171" s="9" t="s">
        <v>7365</v>
      </c>
      <c r="C171" s="9" t="s">
        <v>6923</v>
      </c>
      <c r="D171" s="87" t="s">
        <v>6327</v>
      </c>
      <c r="E171" s="9" t="s">
        <v>6924</v>
      </c>
      <c r="F171" s="9" t="s">
        <v>6925</v>
      </c>
      <c r="G171" s="9" t="s">
        <v>383</v>
      </c>
      <c r="H171" s="9" t="s">
        <v>444</v>
      </c>
      <c r="I171" s="87" t="s">
        <v>6405</v>
      </c>
      <c r="J171" s="87" t="s">
        <v>6237</v>
      </c>
      <c r="K171" s="87" t="s">
        <v>6939</v>
      </c>
      <c r="L171" s="87" t="s">
        <v>5968</v>
      </c>
      <c r="M171" s="87" t="s">
        <v>6862</v>
      </c>
      <c r="N171" s="9" t="s">
        <v>6974</v>
      </c>
      <c r="O171" s="87" t="s">
        <v>5381</v>
      </c>
      <c r="P171" s="9" t="s">
        <v>6243</v>
      </c>
      <c r="Q171" s="87" t="s">
        <v>4081</v>
      </c>
      <c r="R171" s="87" t="s">
        <v>6237</v>
      </c>
      <c r="S171" s="87" t="s">
        <v>6268</v>
      </c>
      <c r="T171" s="87" t="s">
        <v>6341</v>
      </c>
    </row>
    <row r="172" spans="1:20" ht="15.75" customHeight="1">
      <c r="A172" s="9" t="s">
        <v>2993</v>
      </c>
      <c r="B172" s="9" t="s">
        <v>7365</v>
      </c>
      <c r="C172" s="9" t="s">
        <v>7228</v>
      </c>
      <c r="D172" s="87" t="s">
        <v>6290</v>
      </c>
      <c r="E172" s="9" t="s">
        <v>6924</v>
      </c>
      <c r="F172" s="9" t="s">
        <v>11</v>
      </c>
      <c r="G172" s="9" t="s">
        <v>383</v>
      </c>
      <c r="H172" s="9" t="s">
        <v>426</v>
      </c>
      <c r="I172" s="87" t="s">
        <v>6405</v>
      </c>
      <c r="J172" s="87" t="s">
        <v>6334</v>
      </c>
      <c r="K172" s="87" t="s">
        <v>6334</v>
      </c>
      <c r="L172" s="87" t="s">
        <v>6306</v>
      </c>
      <c r="M172" s="87" t="s">
        <v>6352</v>
      </c>
      <c r="N172" s="9" t="s">
        <v>7121</v>
      </c>
      <c r="O172" s="87" t="s">
        <v>6299</v>
      </c>
      <c r="P172" s="9" t="s">
        <v>6243</v>
      </c>
      <c r="Q172" s="87" t="s">
        <v>3231</v>
      </c>
      <c r="R172" s="87" t="s">
        <v>6334</v>
      </c>
      <c r="S172" s="87" t="s">
        <v>6400</v>
      </c>
      <c r="T172" s="87" t="s">
        <v>6341</v>
      </c>
    </row>
    <row r="173" spans="1:20" ht="15.75" customHeight="1">
      <c r="A173" s="9" t="s">
        <v>2978</v>
      </c>
      <c r="B173" s="9" t="s">
        <v>7366</v>
      </c>
      <c r="C173" s="9" t="s">
        <v>6236</v>
      </c>
      <c r="D173" s="87" t="s">
        <v>6393</v>
      </c>
      <c r="E173" s="9" t="s">
        <v>431</v>
      </c>
      <c r="F173" s="9" t="s">
        <v>368</v>
      </c>
      <c r="G173" s="9" t="s">
        <v>436</v>
      </c>
      <c r="H173" s="9" t="s">
        <v>434</v>
      </c>
      <c r="I173" s="87" t="s">
        <v>6264</v>
      </c>
      <c r="J173" s="87" t="s">
        <v>6306</v>
      </c>
      <c r="K173" s="87" t="s">
        <v>6239</v>
      </c>
      <c r="L173" s="87" t="s">
        <v>6240</v>
      </c>
      <c r="M173" s="87" t="s">
        <v>6385</v>
      </c>
      <c r="N173" s="9" t="s">
        <v>6928</v>
      </c>
      <c r="O173" s="87" t="s">
        <v>6239</v>
      </c>
      <c r="P173" s="9" t="s">
        <v>6243</v>
      </c>
      <c r="Q173" s="87" t="s">
        <v>3764</v>
      </c>
      <c r="R173" s="87" t="s">
        <v>6306</v>
      </c>
      <c r="S173" s="87" t="s">
        <v>6327</v>
      </c>
      <c r="T173" s="87" t="s">
        <v>6645</v>
      </c>
    </row>
    <row r="174" spans="1:20" ht="15.75" customHeight="1">
      <c r="A174" s="9" t="s">
        <v>2978</v>
      </c>
      <c r="B174" s="9" t="s">
        <v>7366</v>
      </c>
      <c r="C174" s="9" t="s">
        <v>6236</v>
      </c>
      <c r="D174" s="87" t="s">
        <v>6393</v>
      </c>
      <c r="E174" s="9" t="s">
        <v>431</v>
      </c>
      <c r="F174" s="9" t="s">
        <v>368</v>
      </c>
      <c r="G174" s="9" t="s">
        <v>436</v>
      </c>
      <c r="H174" s="9" t="s">
        <v>434</v>
      </c>
      <c r="I174" s="87" t="s">
        <v>6264</v>
      </c>
      <c r="J174" s="87" t="s">
        <v>6306</v>
      </c>
      <c r="K174" s="87" t="s">
        <v>6237</v>
      </c>
      <c r="L174" s="87" t="s">
        <v>6240</v>
      </c>
      <c r="M174" s="87" t="s">
        <v>6388</v>
      </c>
      <c r="N174" s="9" t="s">
        <v>6967</v>
      </c>
      <c r="O174" s="87" t="s">
        <v>6237</v>
      </c>
      <c r="P174" s="9" t="s">
        <v>6243</v>
      </c>
      <c r="Q174" s="87" t="s">
        <v>4953</v>
      </c>
      <c r="R174" s="87" t="s">
        <v>6306</v>
      </c>
      <c r="S174" s="87" t="s">
        <v>6424</v>
      </c>
      <c r="T174" s="87" t="s">
        <v>6645</v>
      </c>
    </row>
    <row r="175" spans="1:20" ht="15.75" customHeight="1">
      <c r="A175" s="9" t="s">
        <v>2978</v>
      </c>
      <c r="B175" s="9" t="s">
        <v>7367</v>
      </c>
      <c r="C175" s="9" t="s">
        <v>6671</v>
      </c>
      <c r="D175" s="87" t="s">
        <v>6296</v>
      </c>
      <c r="E175" s="9" t="s">
        <v>6672</v>
      </c>
      <c r="F175" s="9" t="s">
        <v>439</v>
      </c>
      <c r="G175" s="9" t="s">
        <v>436</v>
      </c>
      <c r="H175" s="9" t="s">
        <v>440</v>
      </c>
      <c r="I175" s="87" t="s">
        <v>6405</v>
      </c>
      <c r="J175" s="87" t="s">
        <v>6299</v>
      </c>
      <c r="K175" s="87" t="s">
        <v>6299</v>
      </c>
      <c r="L175" s="87" t="s">
        <v>6240</v>
      </c>
      <c r="M175" s="87" t="s">
        <v>6389</v>
      </c>
      <c r="N175" s="9" t="s">
        <v>6961</v>
      </c>
      <c r="O175" s="87" t="s">
        <v>6299</v>
      </c>
      <c r="P175" s="9" t="s">
        <v>6243</v>
      </c>
      <c r="Q175" s="87" t="s">
        <v>3231</v>
      </c>
      <c r="R175" s="87" t="s">
        <v>6299</v>
      </c>
      <c r="S175" s="87" t="s">
        <v>6333</v>
      </c>
      <c r="T175" s="87" t="s">
        <v>6645</v>
      </c>
    </row>
    <row r="176" spans="1:20" ht="15.75" customHeight="1">
      <c r="A176" s="9" t="s">
        <v>2978</v>
      </c>
      <c r="B176" s="9" t="s">
        <v>7368</v>
      </c>
      <c r="C176" s="9" t="s">
        <v>6923</v>
      </c>
      <c r="D176" s="87" t="s">
        <v>6327</v>
      </c>
      <c r="E176" s="9" t="s">
        <v>6924</v>
      </c>
      <c r="F176" s="9" t="s">
        <v>6925</v>
      </c>
      <c r="G176" s="9" t="s">
        <v>383</v>
      </c>
      <c r="H176" s="9" t="s">
        <v>444</v>
      </c>
      <c r="I176" s="87" t="s">
        <v>6405</v>
      </c>
      <c r="J176" s="87" t="s">
        <v>6405</v>
      </c>
      <c r="K176" s="87" t="s">
        <v>6926</v>
      </c>
      <c r="L176" s="87" t="s">
        <v>6573</v>
      </c>
      <c r="M176" s="87" t="s">
        <v>6431</v>
      </c>
      <c r="N176" s="9" t="s">
        <v>6970</v>
      </c>
      <c r="O176" s="87" t="s">
        <v>6570</v>
      </c>
      <c r="P176" s="9" t="s">
        <v>6243</v>
      </c>
      <c r="Q176" s="87" t="s">
        <v>6573</v>
      </c>
      <c r="R176" s="87" t="s">
        <v>6405</v>
      </c>
      <c r="S176" s="87" t="s">
        <v>6333</v>
      </c>
      <c r="T176" s="87" t="s">
        <v>6341</v>
      </c>
    </row>
    <row r="177" spans="1:20" ht="15.75" customHeight="1">
      <c r="A177" s="9" t="s">
        <v>2978</v>
      </c>
      <c r="B177" s="9" t="s">
        <v>7368</v>
      </c>
      <c r="C177" s="9" t="s">
        <v>7228</v>
      </c>
      <c r="D177" s="87" t="s">
        <v>6290</v>
      </c>
      <c r="E177" s="9" t="s">
        <v>6924</v>
      </c>
      <c r="F177" s="9" t="s">
        <v>11</v>
      </c>
      <c r="G177" s="9" t="s">
        <v>383</v>
      </c>
      <c r="H177" s="9" t="s">
        <v>426</v>
      </c>
      <c r="I177" s="87" t="s">
        <v>6405</v>
      </c>
      <c r="J177" s="87" t="s">
        <v>6405</v>
      </c>
      <c r="K177" s="87" t="s">
        <v>6405</v>
      </c>
      <c r="L177" s="87" t="s">
        <v>6341</v>
      </c>
      <c r="M177" s="87" t="s">
        <v>6828</v>
      </c>
      <c r="N177" s="9" t="s">
        <v>7173</v>
      </c>
      <c r="O177" s="87" t="s">
        <v>6393</v>
      </c>
      <c r="P177" s="9" t="s">
        <v>6243</v>
      </c>
      <c r="Q177" s="87" t="s">
        <v>6341</v>
      </c>
      <c r="R177" s="87" t="s">
        <v>6405</v>
      </c>
      <c r="S177" s="87" t="s">
        <v>6277</v>
      </c>
      <c r="T177" s="87" t="s">
        <v>6341</v>
      </c>
    </row>
    <row r="178" spans="1:20" ht="15.75" customHeight="1">
      <c r="A178" s="9" t="s">
        <v>2970</v>
      </c>
      <c r="B178" s="9" t="s">
        <v>7369</v>
      </c>
      <c r="C178" s="9" t="s">
        <v>6236</v>
      </c>
      <c r="D178" s="87" t="s">
        <v>6393</v>
      </c>
      <c r="E178" s="9" t="s">
        <v>431</v>
      </c>
      <c r="F178" s="9" t="s">
        <v>368</v>
      </c>
      <c r="G178" s="9" t="s">
        <v>436</v>
      </c>
      <c r="H178" s="9" t="s">
        <v>434</v>
      </c>
      <c r="I178" s="87" t="s">
        <v>6264</v>
      </c>
      <c r="J178" s="87" t="s">
        <v>6342</v>
      </c>
      <c r="K178" s="87" t="s">
        <v>6342</v>
      </c>
      <c r="L178" s="87" t="s">
        <v>6240</v>
      </c>
      <c r="M178" s="87" t="s">
        <v>6343</v>
      </c>
      <c r="N178" s="9" t="s">
        <v>7020</v>
      </c>
      <c r="O178" s="87" t="s">
        <v>6342</v>
      </c>
      <c r="P178" s="9" t="s">
        <v>6243</v>
      </c>
      <c r="Q178" s="87" t="s">
        <v>6345</v>
      </c>
      <c r="R178" s="87" t="s">
        <v>6342</v>
      </c>
      <c r="S178" s="87" t="s">
        <v>6268</v>
      </c>
      <c r="T178" s="87" t="s">
        <v>6645</v>
      </c>
    </row>
    <row r="179" spans="1:20" ht="15.75" customHeight="1">
      <c r="A179" s="9" t="s">
        <v>2970</v>
      </c>
      <c r="B179" s="9" t="s">
        <v>7370</v>
      </c>
      <c r="C179" s="9" t="s">
        <v>6671</v>
      </c>
      <c r="D179" s="87" t="s">
        <v>6296</v>
      </c>
      <c r="E179" s="9" t="s">
        <v>6672</v>
      </c>
      <c r="F179" s="9" t="s">
        <v>439</v>
      </c>
      <c r="G179" s="9" t="s">
        <v>436</v>
      </c>
      <c r="H179" s="9" t="s">
        <v>440</v>
      </c>
      <c r="I179" s="87" t="s">
        <v>6405</v>
      </c>
      <c r="J179" s="87" t="s">
        <v>6302</v>
      </c>
      <c r="K179" s="87" t="s">
        <v>6302</v>
      </c>
      <c r="L179" s="87" t="s">
        <v>6240</v>
      </c>
      <c r="M179" s="87" t="s">
        <v>6863</v>
      </c>
      <c r="N179" s="9" t="s">
        <v>7021</v>
      </c>
      <c r="O179" s="87" t="s">
        <v>6302</v>
      </c>
      <c r="P179" s="9" t="s">
        <v>6243</v>
      </c>
      <c r="Q179" s="87" t="s">
        <v>6464</v>
      </c>
      <c r="R179" s="87" t="s">
        <v>6302</v>
      </c>
      <c r="S179" s="87" t="s">
        <v>6430</v>
      </c>
      <c r="T179" s="87" t="s">
        <v>6443</v>
      </c>
    </row>
    <row r="180" spans="1:20" ht="15.75" customHeight="1">
      <c r="A180" s="9" t="s">
        <v>2970</v>
      </c>
      <c r="B180" s="9" t="s">
        <v>7371</v>
      </c>
      <c r="C180" s="9" t="s">
        <v>6923</v>
      </c>
      <c r="D180" s="87" t="s">
        <v>6264</v>
      </c>
      <c r="E180" s="9" t="s">
        <v>6924</v>
      </c>
      <c r="F180" s="9" t="s">
        <v>6925</v>
      </c>
      <c r="G180" s="9" t="s">
        <v>383</v>
      </c>
      <c r="H180" s="9" t="s">
        <v>449</v>
      </c>
      <c r="I180" s="87" t="s">
        <v>6405</v>
      </c>
      <c r="J180" s="87" t="s">
        <v>6237</v>
      </c>
      <c r="K180" s="87" t="s">
        <v>6926</v>
      </c>
      <c r="L180" s="87" t="s">
        <v>6464</v>
      </c>
      <c r="M180" s="87" t="s">
        <v>6862</v>
      </c>
      <c r="N180" s="9" t="s">
        <v>7338</v>
      </c>
      <c r="O180" s="87" t="s">
        <v>6302</v>
      </c>
      <c r="P180" s="9" t="s">
        <v>6243</v>
      </c>
      <c r="Q180" s="87" t="s">
        <v>6464</v>
      </c>
      <c r="R180" s="87" t="s">
        <v>6237</v>
      </c>
      <c r="S180" s="87" t="s">
        <v>6348</v>
      </c>
      <c r="T180" s="87" t="s">
        <v>6250</v>
      </c>
    </row>
    <row r="181" spans="1:20" ht="15.75" customHeight="1">
      <c r="A181" s="9" t="s">
        <v>2970</v>
      </c>
      <c r="B181" s="9" t="s">
        <v>7371</v>
      </c>
      <c r="C181" s="9" t="s">
        <v>7228</v>
      </c>
      <c r="D181" s="87" t="s">
        <v>6405</v>
      </c>
      <c r="E181" s="9" t="s">
        <v>6924</v>
      </c>
      <c r="F181" s="9" t="s">
        <v>11</v>
      </c>
      <c r="G181" s="9" t="s">
        <v>383</v>
      </c>
      <c r="H181" s="9" t="s">
        <v>426</v>
      </c>
      <c r="I181" s="87" t="s">
        <v>6405</v>
      </c>
      <c r="J181" s="87" t="s">
        <v>6405</v>
      </c>
      <c r="K181" s="87" t="s">
        <v>6405</v>
      </c>
      <c r="L181" s="87" t="s">
        <v>6397</v>
      </c>
      <c r="M181" s="87" t="s">
        <v>6352</v>
      </c>
      <c r="N181" s="9" t="s">
        <v>7372</v>
      </c>
      <c r="O181" s="87" t="s">
        <v>6240</v>
      </c>
      <c r="P181" s="9" t="s">
        <v>6243</v>
      </c>
      <c r="Q181" s="87" t="s">
        <v>6397</v>
      </c>
      <c r="R181" s="87" t="s">
        <v>6405</v>
      </c>
      <c r="S181" s="87" t="s">
        <v>6393</v>
      </c>
      <c r="T181" s="87" t="s">
        <v>6411</v>
      </c>
    </row>
    <row r="182" spans="1:20" ht="15.75" customHeight="1">
      <c r="A182" s="9" t="s">
        <v>2970</v>
      </c>
      <c r="B182" s="9" t="s">
        <v>7373</v>
      </c>
      <c r="C182" s="9" t="s">
        <v>6923</v>
      </c>
      <c r="D182" s="87" t="s">
        <v>6264</v>
      </c>
      <c r="E182" s="9" t="s">
        <v>6924</v>
      </c>
      <c r="F182" s="9" t="s">
        <v>6925</v>
      </c>
      <c r="G182" s="9" t="s">
        <v>383</v>
      </c>
      <c r="H182" s="9" t="s">
        <v>449</v>
      </c>
      <c r="I182" s="87" t="s">
        <v>6405</v>
      </c>
      <c r="J182" s="87" t="s">
        <v>6237</v>
      </c>
      <c r="K182" s="87" t="s">
        <v>6939</v>
      </c>
      <c r="L182" s="87" t="s">
        <v>6464</v>
      </c>
      <c r="M182" s="87" t="s">
        <v>6352</v>
      </c>
      <c r="N182" s="9" t="s">
        <v>7374</v>
      </c>
      <c r="O182" s="87" t="s">
        <v>6500</v>
      </c>
      <c r="P182" s="9" t="s">
        <v>6243</v>
      </c>
      <c r="Q182" s="87" t="s">
        <v>3749</v>
      </c>
      <c r="R182" s="87" t="s">
        <v>6237</v>
      </c>
      <c r="S182" s="87" t="s">
        <v>6405</v>
      </c>
      <c r="T182" s="87" t="s">
        <v>6500</v>
      </c>
    </row>
    <row r="183" spans="1:20" ht="15.75" customHeight="1">
      <c r="A183" s="9" t="s">
        <v>2970</v>
      </c>
      <c r="B183" s="9" t="s">
        <v>7373</v>
      </c>
      <c r="C183" s="9" t="s">
        <v>7228</v>
      </c>
      <c r="D183" s="87" t="s">
        <v>6405</v>
      </c>
      <c r="E183" s="9" t="s">
        <v>6924</v>
      </c>
      <c r="F183" s="9" t="s">
        <v>11</v>
      </c>
      <c r="G183" s="9" t="s">
        <v>383</v>
      </c>
      <c r="H183" s="9" t="s">
        <v>426</v>
      </c>
      <c r="I183" s="87" t="s">
        <v>6405</v>
      </c>
      <c r="J183" s="87" t="s">
        <v>6334</v>
      </c>
      <c r="K183" s="87" t="s">
        <v>6334</v>
      </c>
      <c r="L183" s="87" t="s">
        <v>6397</v>
      </c>
      <c r="M183" s="87" t="s">
        <v>6353</v>
      </c>
      <c r="N183" s="9" t="s">
        <v>7375</v>
      </c>
      <c r="O183" s="87" t="s">
        <v>6290</v>
      </c>
      <c r="P183" s="9" t="s">
        <v>6243</v>
      </c>
      <c r="Q183" s="87" t="s">
        <v>6293</v>
      </c>
      <c r="R183" s="87" t="s">
        <v>6334</v>
      </c>
      <c r="S183" s="87" t="s">
        <v>5381</v>
      </c>
      <c r="T183" s="87" t="s">
        <v>6314</v>
      </c>
    </row>
    <row r="184" spans="1:20" ht="15.75" customHeight="1">
      <c r="A184" s="9" t="s">
        <v>2970</v>
      </c>
      <c r="B184" s="9" t="s">
        <v>7376</v>
      </c>
      <c r="C184" s="9" t="s">
        <v>6923</v>
      </c>
      <c r="D184" s="87" t="s">
        <v>6264</v>
      </c>
      <c r="E184" s="9" t="s">
        <v>6924</v>
      </c>
      <c r="F184" s="9" t="s">
        <v>6925</v>
      </c>
      <c r="G184" s="9" t="s">
        <v>383</v>
      </c>
      <c r="H184" s="9" t="s">
        <v>449</v>
      </c>
      <c r="I184" s="87" t="s">
        <v>6405</v>
      </c>
      <c r="J184" s="87" t="s">
        <v>6237</v>
      </c>
      <c r="K184" s="87" t="s">
        <v>6926</v>
      </c>
      <c r="L184" s="87" t="s">
        <v>6464</v>
      </c>
      <c r="M184" s="87" t="s">
        <v>6353</v>
      </c>
      <c r="N184" s="9" t="s">
        <v>6946</v>
      </c>
      <c r="O184" s="87" t="s">
        <v>6302</v>
      </c>
      <c r="P184" s="9" t="s">
        <v>6243</v>
      </c>
      <c r="Q184" s="87" t="s">
        <v>6464</v>
      </c>
      <c r="R184" s="87" t="s">
        <v>6237</v>
      </c>
      <c r="S184" s="87" t="s">
        <v>6409</v>
      </c>
      <c r="T184" s="87" t="s">
        <v>6341</v>
      </c>
    </row>
    <row r="185" spans="1:20" ht="15.75" customHeight="1">
      <c r="A185" s="9" t="s">
        <v>2970</v>
      </c>
      <c r="B185" s="9" t="s">
        <v>7376</v>
      </c>
      <c r="C185" s="9" t="s">
        <v>7228</v>
      </c>
      <c r="D185" s="87" t="s">
        <v>6405</v>
      </c>
      <c r="E185" s="9" t="s">
        <v>6924</v>
      </c>
      <c r="F185" s="9" t="s">
        <v>11</v>
      </c>
      <c r="G185" s="9" t="s">
        <v>383</v>
      </c>
      <c r="H185" s="9" t="s">
        <v>426</v>
      </c>
      <c r="I185" s="87" t="s">
        <v>6405</v>
      </c>
      <c r="J185" s="87" t="s">
        <v>6405</v>
      </c>
      <c r="K185" s="87" t="s">
        <v>6405</v>
      </c>
      <c r="L185" s="87" t="s">
        <v>6397</v>
      </c>
      <c r="M185" s="87" t="s">
        <v>6358</v>
      </c>
      <c r="N185" s="9" t="s">
        <v>7289</v>
      </c>
      <c r="O185" s="87" t="s">
        <v>6240</v>
      </c>
      <c r="P185" s="9" t="s">
        <v>6243</v>
      </c>
      <c r="Q185" s="87" t="s">
        <v>6397</v>
      </c>
      <c r="R185" s="87" t="s">
        <v>6405</v>
      </c>
      <c r="S185" s="87" t="s">
        <v>6284</v>
      </c>
      <c r="T185" s="87" t="s">
        <v>6341</v>
      </c>
    </row>
    <row r="186" spans="1:20" ht="15.75" customHeight="1">
      <c r="A186" s="9" t="s">
        <v>2870</v>
      </c>
      <c r="B186" s="9" t="s">
        <v>7377</v>
      </c>
      <c r="C186" s="9" t="s">
        <v>6236</v>
      </c>
      <c r="D186" s="87" t="s">
        <v>6393</v>
      </c>
      <c r="E186" s="9" t="s">
        <v>431</v>
      </c>
      <c r="F186" s="9" t="s">
        <v>368</v>
      </c>
      <c r="G186" s="9" t="s">
        <v>436</v>
      </c>
      <c r="H186" s="9" t="s">
        <v>434</v>
      </c>
      <c r="I186" s="87" t="s">
        <v>6237</v>
      </c>
      <c r="J186" s="87" t="s">
        <v>6410</v>
      </c>
      <c r="K186" s="87" t="s">
        <v>6239</v>
      </c>
      <c r="L186" s="87" t="s">
        <v>6240</v>
      </c>
      <c r="M186" s="87" t="s">
        <v>6422</v>
      </c>
      <c r="N186" s="9" t="s">
        <v>6928</v>
      </c>
      <c r="O186" s="87" t="s">
        <v>6239</v>
      </c>
      <c r="P186" s="9" t="s">
        <v>6243</v>
      </c>
      <c r="Q186" s="87" t="s">
        <v>3764</v>
      </c>
      <c r="R186" s="87" t="s">
        <v>6410</v>
      </c>
      <c r="S186" s="87" t="s">
        <v>6327</v>
      </c>
      <c r="T186" s="87" t="s">
        <v>6645</v>
      </c>
    </row>
    <row r="187" spans="1:20" ht="15.75" customHeight="1">
      <c r="A187" s="9" t="s">
        <v>2870</v>
      </c>
      <c r="B187" s="9" t="s">
        <v>7377</v>
      </c>
      <c r="C187" s="9" t="s">
        <v>6236</v>
      </c>
      <c r="D187" s="87" t="s">
        <v>6393</v>
      </c>
      <c r="E187" s="9" t="s">
        <v>431</v>
      </c>
      <c r="F187" s="9" t="s">
        <v>368</v>
      </c>
      <c r="G187" s="9" t="s">
        <v>436</v>
      </c>
      <c r="H187" s="9" t="s">
        <v>434</v>
      </c>
      <c r="I187" s="87" t="s">
        <v>6237</v>
      </c>
      <c r="J187" s="87" t="s">
        <v>6410</v>
      </c>
      <c r="K187" s="87" t="s">
        <v>6535</v>
      </c>
      <c r="L187" s="87" t="s">
        <v>6240</v>
      </c>
      <c r="M187" s="87" t="s">
        <v>6840</v>
      </c>
      <c r="N187" s="9" t="s">
        <v>7022</v>
      </c>
      <c r="O187" s="87" t="s">
        <v>6535</v>
      </c>
      <c r="P187" s="9" t="s">
        <v>6243</v>
      </c>
      <c r="Q187" s="87" t="s">
        <v>6594</v>
      </c>
      <c r="R187" s="87" t="s">
        <v>6410</v>
      </c>
      <c r="S187" s="87" t="s">
        <v>6440</v>
      </c>
      <c r="T187" s="87" t="s">
        <v>6645</v>
      </c>
    </row>
    <row r="188" spans="1:20" ht="15.75" customHeight="1">
      <c r="A188" s="9" t="s">
        <v>2870</v>
      </c>
      <c r="B188" s="9" t="s">
        <v>7378</v>
      </c>
      <c r="C188" s="9" t="s">
        <v>6671</v>
      </c>
      <c r="D188" s="87" t="s">
        <v>6296</v>
      </c>
      <c r="E188" s="9" t="s">
        <v>6672</v>
      </c>
      <c r="F188" s="9" t="s">
        <v>439</v>
      </c>
      <c r="G188" s="9" t="s">
        <v>436</v>
      </c>
      <c r="H188" s="9" t="s">
        <v>440</v>
      </c>
      <c r="I188" s="87" t="s">
        <v>6405</v>
      </c>
      <c r="J188" s="87" t="s">
        <v>6392</v>
      </c>
      <c r="K188" s="87" t="s">
        <v>6392</v>
      </c>
      <c r="L188" s="87" t="s">
        <v>6240</v>
      </c>
      <c r="M188" s="87" t="s">
        <v>6838</v>
      </c>
      <c r="N188" s="9" t="s">
        <v>7023</v>
      </c>
      <c r="O188" s="87" t="s">
        <v>6392</v>
      </c>
      <c r="P188" s="9" t="s">
        <v>6243</v>
      </c>
      <c r="Q188" s="87" t="s">
        <v>3236</v>
      </c>
      <c r="R188" s="87" t="s">
        <v>6392</v>
      </c>
      <c r="S188" s="87" t="s">
        <v>6260</v>
      </c>
      <c r="T188" s="87" t="s">
        <v>6645</v>
      </c>
    </row>
    <row r="189" spans="1:20" ht="15.75" customHeight="1">
      <c r="A189" s="9" t="s">
        <v>2870</v>
      </c>
      <c r="B189" s="9" t="s">
        <v>7379</v>
      </c>
      <c r="C189" s="9" t="s">
        <v>6923</v>
      </c>
      <c r="D189" s="87" t="s">
        <v>6461</v>
      </c>
      <c r="E189" s="9" t="s">
        <v>6924</v>
      </c>
      <c r="F189" s="9" t="s">
        <v>6925</v>
      </c>
      <c r="G189" s="9" t="s">
        <v>383</v>
      </c>
      <c r="H189" s="9" t="s">
        <v>427</v>
      </c>
      <c r="I189" s="87" t="s">
        <v>6405</v>
      </c>
      <c r="J189" s="87" t="s">
        <v>6251</v>
      </c>
      <c r="K189" s="87" t="s">
        <v>6926</v>
      </c>
      <c r="L189" s="87" t="s">
        <v>6375</v>
      </c>
      <c r="M189" s="87" t="s">
        <v>6828</v>
      </c>
      <c r="N189" s="9" t="s">
        <v>7380</v>
      </c>
      <c r="O189" s="87" t="s">
        <v>6484</v>
      </c>
      <c r="P189" s="9" t="s">
        <v>6243</v>
      </c>
      <c r="Q189" s="87" t="s">
        <v>6375</v>
      </c>
      <c r="R189" s="87" t="s">
        <v>6251</v>
      </c>
      <c r="S189" s="87" t="s">
        <v>6268</v>
      </c>
      <c r="T189" s="87" t="s">
        <v>5381</v>
      </c>
    </row>
    <row r="190" spans="1:20" ht="15.75" customHeight="1">
      <c r="A190" s="9" t="s">
        <v>2870</v>
      </c>
      <c r="B190" s="9" t="s">
        <v>7379</v>
      </c>
      <c r="C190" s="9" t="s">
        <v>7228</v>
      </c>
      <c r="D190" s="87" t="s">
        <v>6237</v>
      </c>
      <c r="E190" s="9" t="s">
        <v>6924</v>
      </c>
      <c r="F190" s="9" t="s">
        <v>11</v>
      </c>
      <c r="G190" s="9" t="s">
        <v>383</v>
      </c>
      <c r="H190" s="9" t="s">
        <v>426</v>
      </c>
      <c r="I190" s="87" t="s">
        <v>6405</v>
      </c>
      <c r="J190" s="87" t="s">
        <v>6405</v>
      </c>
      <c r="K190" s="87" t="s">
        <v>6405</v>
      </c>
      <c r="L190" s="87" t="s">
        <v>6392</v>
      </c>
      <c r="M190" s="87" t="s">
        <v>6826</v>
      </c>
      <c r="N190" s="9" t="s">
        <v>7381</v>
      </c>
      <c r="O190" s="87" t="s">
        <v>6327</v>
      </c>
      <c r="P190" s="9" t="s">
        <v>6243</v>
      </c>
      <c r="Q190" s="87" t="s">
        <v>6392</v>
      </c>
      <c r="R190" s="87" t="s">
        <v>6405</v>
      </c>
      <c r="S190" s="87" t="s">
        <v>6300</v>
      </c>
      <c r="T190" s="87" t="s">
        <v>6256</v>
      </c>
    </row>
    <row r="191" spans="1:20" ht="15.75" customHeight="1">
      <c r="A191" s="9" t="s">
        <v>2870</v>
      </c>
      <c r="B191" s="9" t="s">
        <v>7382</v>
      </c>
      <c r="C191" s="9" t="s">
        <v>6923</v>
      </c>
      <c r="D191" s="87" t="s">
        <v>6461</v>
      </c>
      <c r="E191" s="9" t="s">
        <v>6924</v>
      </c>
      <c r="F191" s="9" t="s">
        <v>6925</v>
      </c>
      <c r="G191" s="9" t="s">
        <v>383</v>
      </c>
      <c r="H191" s="9" t="s">
        <v>427</v>
      </c>
      <c r="I191" s="87" t="s">
        <v>6405</v>
      </c>
      <c r="J191" s="87" t="s">
        <v>6251</v>
      </c>
      <c r="K191" s="87" t="s">
        <v>6939</v>
      </c>
      <c r="L191" s="87" t="s">
        <v>6375</v>
      </c>
      <c r="M191" s="87" t="s">
        <v>6826</v>
      </c>
      <c r="N191" s="9" t="s">
        <v>7024</v>
      </c>
      <c r="O191" s="87" t="s">
        <v>6287</v>
      </c>
      <c r="P191" s="9" t="s">
        <v>6243</v>
      </c>
      <c r="Q191" s="87" t="s">
        <v>3734</v>
      </c>
      <c r="R191" s="87" t="s">
        <v>6251</v>
      </c>
      <c r="S191" s="87" t="s">
        <v>6461</v>
      </c>
      <c r="T191" s="87" t="s">
        <v>6341</v>
      </c>
    </row>
    <row r="192" spans="1:20" ht="15.75" customHeight="1">
      <c r="A192" s="9" t="s">
        <v>2870</v>
      </c>
      <c r="B192" s="9" t="s">
        <v>7382</v>
      </c>
      <c r="C192" s="9" t="s">
        <v>7228</v>
      </c>
      <c r="D192" s="87" t="s">
        <v>6237</v>
      </c>
      <c r="E192" s="9" t="s">
        <v>6924</v>
      </c>
      <c r="F192" s="9" t="s">
        <v>11</v>
      </c>
      <c r="G192" s="9" t="s">
        <v>383</v>
      </c>
      <c r="H192" s="9" t="s">
        <v>426</v>
      </c>
      <c r="I192" s="87" t="s">
        <v>6405</v>
      </c>
      <c r="J192" s="87" t="s">
        <v>6334</v>
      </c>
      <c r="K192" s="87" t="s">
        <v>6334</v>
      </c>
      <c r="L192" s="87" t="s">
        <v>6392</v>
      </c>
      <c r="M192" s="87" t="s">
        <v>7048</v>
      </c>
      <c r="N192" s="9" t="s">
        <v>7001</v>
      </c>
      <c r="O192" s="87" t="s">
        <v>6245</v>
      </c>
      <c r="P192" s="9" t="s">
        <v>6243</v>
      </c>
      <c r="Q192" s="87" t="s">
        <v>6238</v>
      </c>
      <c r="R192" s="87" t="s">
        <v>6334</v>
      </c>
      <c r="S192" s="87" t="s">
        <v>6263</v>
      </c>
      <c r="T192" s="87" t="s">
        <v>6341</v>
      </c>
    </row>
    <row r="193" spans="1:20" ht="15.75" customHeight="1">
      <c r="A193" s="9" t="s">
        <v>2870</v>
      </c>
      <c r="B193" s="9" t="s">
        <v>7383</v>
      </c>
      <c r="C193" s="9" t="s">
        <v>6923</v>
      </c>
      <c r="D193" s="87" t="s">
        <v>6461</v>
      </c>
      <c r="E193" s="9" t="s">
        <v>6924</v>
      </c>
      <c r="F193" s="9" t="s">
        <v>6925</v>
      </c>
      <c r="G193" s="9" t="s">
        <v>383</v>
      </c>
      <c r="H193" s="9" t="s">
        <v>427</v>
      </c>
      <c r="I193" s="87" t="s">
        <v>6405</v>
      </c>
      <c r="J193" s="87" t="s">
        <v>6251</v>
      </c>
      <c r="K193" s="87" t="s">
        <v>6939</v>
      </c>
      <c r="L193" s="87" t="s">
        <v>6375</v>
      </c>
      <c r="M193" s="87" t="s">
        <v>7048</v>
      </c>
      <c r="N193" s="9" t="s">
        <v>7024</v>
      </c>
      <c r="O193" s="87" t="s">
        <v>6287</v>
      </c>
      <c r="P193" s="9" t="s">
        <v>6243</v>
      </c>
      <c r="Q193" s="87" t="s">
        <v>3734</v>
      </c>
      <c r="R193" s="87" t="s">
        <v>6251</v>
      </c>
      <c r="S193" s="87" t="s">
        <v>6461</v>
      </c>
      <c r="T193" s="87" t="s">
        <v>6341</v>
      </c>
    </row>
    <row r="194" spans="1:20" ht="15.75" customHeight="1">
      <c r="A194" s="9" t="s">
        <v>2870</v>
      </c>
      <c r="B194" s="9" t="s">
        <v>7383</v>
      </c>
      <c r="C194" s="9" t="s">
        <v>7228</v>
      </c>
      <c r="D194" s="87" t="s">
        <v>6237</v>
      </c>
      <c r="E194" s="9" t="s">
        <v>6924</v>
      </c>
      <c r="F194" s="9" t="s">
        <v>11</v>
      </c>
      <c r="G194" s="9" t="s">
        <v>383</v>
      </c>
      <c r="H194" s="9" t="s">
        <v>426</v>
      </c>
      <c r="I194" s="87" t="s">
        <v>6405</v>
      </c>
      <c r="J194" s="87" t="s">
        <v>6334</v>
      </c>
      <c r="K194" s="87" t="s">
        <v>6334</v>
      </c>
      <c r="L194" s="87" t="s">
        <v>6392</v>
      </c>
      <c r="M194" s="87" t="s">
        <v>6449</v>
      </c>
      <c r="N194" s="9" t="s">
        <v>7001</v>
      </c>
      <c r="O194" s="87" t="s">
        <v>6245</v>
      </c>
      <c r="P194" s="9" t="s">
        <v>6243</v>
      </c>
      <c r="Q194" s="87" t="s">
        <v>6238</v>
      </c>
      <c r="R194" s="87" t="s">
        <v>6334</v>
      </c>
      <c r="S194" s="87" t="s">
        <v>6263</v>
      </c>
      <c r="T194" s="87" t="s">
        <v>6341</v>
      </c>
    </row>
    <row r="195" spans="1:20" ht="15.75" customHeight="1">
      <c r="A195" s="9" t="s">
        <v>2870</v>
      </c>
      <c r="B195" s="9" t="s">
        <v>7384</v>
      </c>
      <c r="C195" s="9" t="s">
        <v>6923</v>
      </c>
      <c r="D195" s="87" t="s">
        <v>6461</v>
      </c>
      <c r="E195" s="9" t="s">
        <v>6924</v>
      </c>
      <c r="F195" s="9" t="s">
        <v>6925</v>
      </c>
      <c r="G195" s="9" t="s">
        <v>383</v>
      </c>
      <c r="H195" s="9" t="s">
        <v>427</v>
      </c>
      <c r="I195" s="87" t="s">
        <v>6405</v>
      </c>
      <c r="J195" s="87" t="s">
        <v>6251</v>
      </c>
      <c r="K195" s="87" t="s">
        <v>6939</v>
      </c>
      <c r="L195" s="87" t="s">
        <v>6375</v>
      </c>
      <c r="M195" s="87" t="s">
        <v>6449</v>
      </c>
      <c r="N195" s="9" t="s">
        <v>7024</v>
      </c>
      <c r="O195" s="87" t="s">
        <v>6287</v>
      </c>
      <c r="P195" s="9" t="s">
        <v>6243</v>
      </c>
      <c r="Q195" s="87" t="s">
        <v>3734</v>
      </c>
      <c r="R195" s="87" t="s">
        <v>6251</v>
      </c>
      <c r="S195" s="87" t="s">
        <v>6461</v>
      </c>
      <c r="T195" s="87" t="s">
        <v>6341</v>
      </c>
    </row>
    <row r="196" spans="1:20" ht="15.75" customHeight="1">
      <c r="A196" s="9" t="s">
        <v>2870</v>
      </c>
      <c r="B196" s="9" t="s">
        <v>7384</v>
      </c>
      <c r="C196" s="9" t="s">
        <v>7228</v>
      </c>
      <c r="D196" s="87" t="s">
        <v>6237</v>
      </c>
      <c r="E196" s="9" t="s">
        <v>6924</v>
      </c>
      <c r="F196" s="9" t="s">
        <v>11</v>
      </c>
      <c r="G196" s="9" t="s">
        <v>383</v>
      </c>
      <c r="H196" s="9" t="s">
        <v>426</v>
      </c>
      <c r="I196" s="87" t="s">
        <v>6405</v>
      </c>
      <c r="J196" s="87" t="s">
        <v>6334</v>
      </c>
      <c r="K196" s="87" t="s">
        <v>6334</v>
      </c>
      <c r="L196" s="87" t="s">
        <v>6392</v>
      </c>
      <c r="M196" s="87" t="s">
        <v>6452</v>
      </c>
      <c r="N196" s="9" t="s">
        <v>7001</v>
      </c>
      <c r="O196" s="87" t="s">
        <v>6245</v>
      </c>
      <c r="P196" s="9" t="s">
        <v>6243</v>
      </c>
      <c r="Q196" s="87" t="s">
        <v>6238</v>
      </c>
      <c r="R196" s="87" t="s">
        <v>6334</v>
      </c>
      <c r="S196" s="87" t="s">
        <v>6263</v>
      </c>
      <c r="T196" s="87" t="s">
        <v>6341</v>
      </c>
    </row>
    <row r="197" spans="1:20" ht="15.75" customHeight="1">
      <c r="A197" s="9" t="s">
        <v>2938</v>
      </c>
      <c r="B197" s="9" t="s">
        <v>7385</v>
      </c>
      <c r="C197" s="9" t="s">
        <v>6236</v>
      </c>
      <c r="D197" s="87" t="s">
        <v>6393</v>
      </c>
      <c r="E197" s="9" t="s">
        <v>431</v>
      </c>
      <c r="F197" s="9" t="s">
        <v>368</v>
      </c>
      <c r="G197" s="9" t="s">
        <v>436</v>
      </c>
      <c r="H197" s="9" t="s">
        <v>434</v>
      </c>
      <c r="I197" s="87" t="s">
        <v>6237</v>
      </c>
      <c r="J197" s="87" t="s">
        <v>6305</v>
      </c>
      <c r="K197" s="87" t="s">
        <v>6239</v>
      </c>
      <c r="L197" s="87" t="s">
        <v>6240</v>
      </c>
      <c r="M197" s="87" t="s">
        <v>6862</v>
      </c>
      <c r="N197" s="9" t="s">
        <v>6928</v>
      </c>
      <c r="O197" s="87" t="s">
        <v>6239</v>
      </c>
      <c r="P197" s="9" t="s">
        <v>6243</v>
      </c>
      <c r="Q197" s="87" t="s">
        <v>3764</v>
      </c>
      <c r="R197" s="87" t="s">
        <v>6305</v>
      </c>
      <c r="S197" s="87" t="s">
        <v>6327</v>
      </c>
      <c r="T197" s="87" t="s">
        <v>6645</v>
      </c>
    </row>
    <row r="198" spans="1:20" ht="15.75" customHeight="1">
      <c r="A198" s="9" t="s">
        <v>2938</v>
      </c>
      <c r="B198" s="9" t="s">
        <v>7385</v>
      </c>
      <c r="C198" s="9" t="s">
        <v>6236</v>
      </c>
      <c r="D198" s="87" t="s">
        <v>6393</v>
      </c>
      <c r="E198" s="9" t="s">
        <v>431</v>
      </c>
      <c r="F198" s="9" t="s">
        <v>368</v>
      </c>
      <c r="G198" s="9" t="s">
        <v>436</v>
      </c>
      <c r="H198" s="9" t="s">
        <v>434</v>
      </c>
      <c r="I198" s="87" t="s">
        <v>6237</v>
      </c>
      <c r="J198" s="87" t="s">
        <v>6305</v>
      </c>
      <c r="K198" s="87" t="s">
        <v>6348</v>
      </c>
      <c r="L198" s="87" t="s">
        <v>6240</v>
      </c>
      <c r="M198" s="87" t="s">
        <v>6352</v>
      </c>
      <c r="N198" s="9" t="s">
        <v>7026</v>
      </c>
      <c r="O198" s="87" t="s">
        <v>6348</v>
      </c>
      <c r="P198" s="9" t="s">
        <v>6243</v>
      </c>
      <c r="Q198" s="87" t="s">
        <v>5381</v>
      </c>
      <c r="R198" s="87" t="s">
        <v>6305</v>
      </c>
      <c r="S198" s="87" t="s">
        <v>6271</v>
      </c>
      <c r="T198" s="87" t="s">
        <v>6645</v>
      </c>
    </row>
    <row r="199" spans="1:20" ht="15.75" customHeight="1">
      <c r="A199" s="9" t="s">
        <v>2938</v>
      </c>
      <c r="B199" s="9" t="s">
        <v>7386</v>
      </c>
      <c r="C199" s="9" t="s">
        <v>6671</v>
      </c>
      <c r="D199" s="87" t="s">
        <v>6296</v>
      </c>
      <c r="E199" s="9" t="s">
        <v>6672</v>
      </c>
      <c r="F199" s="9" t="s">
        <v>439</v>
      </c>
      <c r="G199" s="9" t="s">
        <v>436</v>
      </c>
      <c r="H199" s="9" t="s">
        <v>440</v>
      </c>
      <c r="I199" s="87" t="s">
        <v>6405</v>
      </c>
      <c r="J199" s="87" t="s">
        <v>6357</v>
      </c>
      <c r="K199" s="87" t="s">
        <v>6357</v>
      </c>
      <c r="L199" s="87" t="s">
        <v>6240</v>
      </c>
      <c r="M199" s="87" t="s">
        <v>6353</v>
      </c>
      <c r="N199" s="9" t="s">
        <v>7027</v>
      </c>
      <c r="O199" s="87" t="s">
        <v>6357</v>
      </c>
      <c r="P199" s="9" t="s">
        <v>6243</v>
      </c>
      <c r="Q199" s="87" t="s">
        <v>6565</v>
      </c>
      <c r="R199" s="87" t="s">
        <v>6357</v>
      </c>
      <c r="S199" s="87" t="s">
        <v>6329</v>
      </c>
      <c r="T199" s="87" t="s">
        <v>6645</v>
      </c>
    </row>
    <row r="200" spans="1:20" ht="15.75" customHeight="1">
      <c r="A200" s="9" t="s">
        <v>2938</v>
      </c>
      <c r="B200" s="9" t="s">
        <v>7387</v>
      </c>
      <c r="C200" s="9" t="s">
        <v>6923</v>
      </c>
      <c r="D200" s="87" t="s">
        <v>6327</v>
      </c>
      <c r="E200" s="9" t="s">
        <v>6924</v>
      </c>
      <c r="F200" s="9" t="s">
        <v>6925</v>
      </c>
      <c r="G200" s="9" t="s">
        <v>383</v>
      </c>
      <c r="H200" s="9" t="s">
        <v>444</v>
      </c>
      <c r="I200" s="87" t="s">
        <v>6405</v>
      </c>
      <c r="J200" s="87" t="s">
        <v>6264</v>
      </c>
      <c r="K200" s="87" t="s">
        <v>6931</v>
      </c>
      <c r="L200" s="87" t="s">
        <v>6270</v>
      </c>
      <c r="M200" s="87" t="s">
        <v>6358</v>
      </c>
      <c r="N200" s="9" t="s">
        <v>6981</v>
      </c>
      <c r="O200" s="87" t="s">
        <v>6300</v>
      </c>
      <c r="P200" s="9" t="s">
        <v>6243</v>
      </c>
      <c r="Q200" s="87" t="s">
        <v>3861</v>
      </c>
      <c r="R200" s="87" t="s">
        <v>6264</v>
      </c>
      <c r="S200" s="87" t="s">
        <v>6296</v>
      </c>
      <c r="T200" s="87" t="s">
        <v>6341</v>
      </c>
    </row>
    <row r="201" spans="1:20" ht="15.75" customHeight="1">
      <c r="A201" s="9" t="s">
        <v>2938</v>
      </c>
      <c r="B201" s="9" t="s">
        <v>7387</v>
      </c>
      <c r="C201" s="9" t="s">
        <v>7228</v>
      </c>
      <c r="D201" s="87" t="s">
        <v>6290</v>
      </c>
      <c r="E201" s="9" t="s">
        <v>6924</v>
      </c>
      <c r="F201" s="9" t="s">
        <v>11</v>
      </c>
      <c r="G201" s="9" t="s">
        <v>383</v>
      </c>
      <c r="H201" s="9" t="s">
        <v>426</v>
      </c>
      <c r="I201" s="87" t="s">
        <v>6405</v>
      </c>
      <c r="J201" s="87" t="s">
        <v>6264</v>
      </c>
      <c r="K201" s="87" t="s">
        <v>6264</v>
      </c>
      <c r="L201" s="87" t="s">
        <v>6397</v>
      </c>
      <c r="M201" s="87" t="s">
        <v>6364</v>
      </c>
      <c r="N201" s="9" t="s">
        <v>7300</v>
      </c>
      <c r="O201" s="87" t="s">
        <v>6313</v>
      </c>
      <c r="P201" s="9" t="s">
        <v>6243</v>
      </c>
      <c r="Q201" s="87" t="s">
        <v>6357</v>
      </c>
      <c r="R201" s="87" t="s">
        <v>6264</v>
      </c>
      <c r="S201" s="87" t="s">
        <v>6651</v>
      </c>
      <c r="T201" s="87" t="s">
        <v>6341</v>
      </c>
    </row>
    <row r="202" spans="1:20" ht="15.75" customHeight="1">
      <c r="A202" s="9" t="s">
        <v>3023</v>
      </c>
      <c r="B202" s="9" t="s">
        <v>7388</v>
      </c>
      <c r="C202" s="9" t="s">
        <v>6236</v>
      </c>
      <c r="D202" s="87" t="s">
        <v>6393</v>
      </c>
      <c r="E202" s="9" t="s">
        <v>431</v>
      </c>
      <c r="F202" s="9" t="s">
        <v>368</v>
      </c>
      <c r="G202" s="9" t="s">
        <v>436</v>
      </c>
      <c r="H202" s="9" t="s">
        <v>434</v>
      </c>
      <c r="I202" s="87" t="s">
        <v>6237</v>
      </c>
      <c r="J202" s="87" t="s">
        <v>6278</v>
      </c>
      <c r="K202" s="87" t="s">
        <v>6342</v>
      </c>
      <c r="L202" s="87" t="s">
        <v>6240</v>
      </c>
      <c r="M202" s="87" t="s">
        <v>6352</v>
      </c>
      <c r="N202" s="9" t="s">
        <v>7028</v>
      </c>
      <c r="O202" s="87" t="s">
        <v>6342</v>
      </c>
      <c r="P202" s="9" t="s">
        <v>6243</v>
      </c>
      <c r="Q202" s="87" t="s">
        <v>6345</v>
      </c>
      <c r="R202" s="87" t="s">
        <v>6278</v>
      </c>
      <c r="S202" s="87" t="s">
        <v>6327</v>
      </c>
      <c r="T202" s="87" t="s">
        <v>6267</v>
      </c>
    </row>
    <row r="203" spans="1:20" ht="15.75" customHeight="1">
      <c r="A203" s="9" t="s">
        <v>3023</v>
      </c>
      <c r="B203" s="9" t="s">
        <v>7388</v>
      </c>
      <c r="C203" s="9" t="s">
        <v>6236</v>
      </c>
      <c r="D203" s="87" t="s">
        <v>6393</v>
      </c>
      <c r="E203" s="9" t="s">
        <v>431</v>
      </c>
      <c r="F203" s="9" t="s">
        <v>368</v>
      </c>
      <c r="G203" s="9" t="s">
        <v>436</v>
      </c>
      <c r="H203" s="9" t="s">
        <v>434</v>
      </c>
      <c r="I203" s="87" t="s">
        <v>6237</v>
      </c>
      <c r="J203" s="87" t="s">
        <v>6278</v>
      </c>
      <c r="K203" s="87" t="s">
        <v>6273</v>
      </c>
      <c r="L203" s="87" t="s">
        <v>6240</v>
      </c>
      <c r="M203" s="87" t="s">
        <v>6353</v>
      </c>
      <c r="N203" s="9" t="s">
        <v>6952</v>
      </c>
      <c r="O203" s="87" t="s">
        <v>6273</v>
      </c>
      <c r="P203" s="9" t="s">
        <v>6243</v>
      </c>
      <c r="Q203" s="87" t="s">
        <v>6276</v>
      </c>
      <c r="R203" s="87" t="s">
        <v>6278</v>
      </c>
      <c r="S203" s="87" t="s">
        <v>6445</v>
      </c>
      <c r="T203" s="87" t="s">
        <v>6645</v>
      </c>
    </row>
    <row r="204" spans="1:20" ht="15.75" customHeight="1">
      <c r="A204" s="9" t="s">
        <v>3023</v>
      </c>
      <c r="B204" s="9" t="s">
        <v>7389</v>
      </c>
      <c r="C204" s="9" t="s">
        <v>6671</v>
      </c>
      <c r="D204" s="87" t="s">
        <v>6296</v>
      </c>
      <c r="E204" s="9" t="s">
        <v>6672</v>
      </c>
      <c r="F204" s="9" t="s">
        <v>439</v>
      </c>
      <c r="G204" s="9" t="s">
        <v>436</v>
      </c>
      <c r="H204" s="9" t="s">
        <v>440</v>
      </c>
      <c r="I204" s="87" t="s">
        <v>6405</v>
      </c>
      <c r="J204" s="87" t="s">
        <v>6351</v>
      </c>
      <c r="K204" s="87" t="s">
        <v>6239</v>
      </c>
      <c r="L204" s="87" t="s">
        <v>6240</v>
      </c>
      <c r="M204" s="87" t="s">
        <v>6358</v>
      </c>
      <c r="N204" s="9" t="s">
        <v>6928</v>
      </c>
      <c r="O204" s="87" t="s">
        <v>6239</v>
      </c>
      <c r="P204" s="9" t="s">
        <v>6243</v>
      </c>
      <c r="Q204" s="87" t="s">
        <v>3764</v>
      </c>
      <c r="R204" s="87" t="s">
        <v>6351</v>
      </c>
      <c r="S204" s="87" t="s">
        <v>6327</v>
      </c>
      <c r="T204" s="87" t="s">
        <v>6645</v>
      </c>
    </row>
    <row r="205" spans="1:20" ht="15.75" customHeight="1">
      <c r="A205" s="9" t="s">
        <v>3023</v>
      </c>
      <c r="B205" s="9" t="s">
        <v>7389</v>
      </c>
      <c r="C205" s="9" t="s">
        <v>6671</v>
      </c>
      <c r="D205" s="87" t="s">
        <v>6296</v>
      </c>
      <c r="E205" s="9" t="s">
        <v>6672</v>
      </c>
      <c r="F205" s="9" t="s">
        <v>439</v>
      </c>
      <c r="G205" s="9" t="s">
        <v>436</v>
      </c>
      <c r="H205" s="9" t="s">
        <v>440</v>
      </c>
      <c r="I205" s="87" t="s">
        <v>6405</v>
      </c>
      <c r="J205" s="87" t="s">
        <v>6351</v>
      </c>
      <c r="K205" s="87" t="s">
        <v>6290</v>
      </c>
      <c r="L205" s="87" t="s">
        <v>6240</v>
      </c>
      <c r="M205" s="87" t="s">
        <v>6364</v>
      </c>
      <c r="N205" s="9" t="s">
        <v>6964</v>
      </c>
      <c r="O205" s="87" t="s">
        <v>6290</v>
      </c>
      <c r="P205" s="9" t="s">
        <v>6243</v>
      </c>
      <c r="Q205" s="87" t="s">
        <v>6293</v>
      </c>
      <c r="R205" s="87" t="s">
        <v>6351</v>
      </c>
      <c r="S205" s="87" t="s">
        <v>6525</v>
      </c>
      <c r="T205" s="87" t="s">
        <v>6645</v>
      </c>
    </row>
    <row r="206" spans="1:20" ht="15.75" customHeight="1">
      <c r="A206" s="9" t="s">
        <v>3023</v>
      </c>
      <c r="B206" s="9" t="s">
        <v>7390</v>
      </c>
      <c r="C206" s="9" t="s">
        <v>6923</v>
      </c>
      <c r="D206" s="87" t="s">
        <v>6327</v>
      </c>
      <c r="E206" s="9" t="s">
        <v>6924</v>
      </c>
      <c r="F206" s="9" t="s">
        <v>6925</v>
      </c>
      <c r="G206" s="9" t="s">
        <v>383</v>
      </c>
      <c r="H206" s="9" t="s">
        <v>444</v>
      </c>
      <c r="I206" s="87" t="s">
        <v>6405</v>
      </c>
      <c r="J206" s="87" t="s">
        <v>6393</v>
      </c>
      <c r="K206" s="87" t="s">
        <v>6965</v>
      </c>
      <c r="L206" s="87" t="s">
        <v>5381</v>
      </c>
      <c r="M206" s="87" t="s">
        <v>6385</v>
      </c>
      <c r="N206" s="9" t="s">
        <v>6945</v>
      </c>
      <c r="O206" s="87" t="s">
        <v>6500</v>
      </c>
      <c r="P206" s="9" t="s">
        <v>6243</v>
      </c>
      <c r="Q206" s="87" t="s">
        <v>3749</v>
      </c>
      <c r="R206" s="87" t="s">
        <v>6393</v>
      </c>
      <c r="S206" s="87" t="s">
        <v>6327</v>
      </c>
      <c r="T206" s="87" t="s">
        <v>6341</v>
      </c>
    </row>
    <row r="207" spans="1:20" ht="15.75" customHeight="1">
      <c r="A207" s="9" t="s">
        <v>3023</v>
      </c>
      <c r="B207" s="9" t="s">
        <v>7390</v>
      </c>
      <c r="C207" s="9" t="s">
        <v>7228</v>
      </c>
      <c r="D207" s="87" t="s">
        <v>6290</v>
      </c>
      <c r="E207" s="9" t="s">
        <v>6924</v>
      </c>
      <c r="F207" s="9" t="s">
        <v>11</v>
      </c>
      <c r="G207" s="9" t="s">
        <v>383</v>
      </c>
      <c r="H207" s="9" t="s">
        <v>426</v>
      </c>
      <c r="I207" s="87" t="s">
        <v>6405</v>
      </c>
      <c r="J207" s="87" t="s">
        <v>6461</v>
      </c>
      <c r="K207" s="87" t="s">
        <v>6461</v>
      </c>
      <c r="L207" s="87" t="s">
        <v>6357</v>
      </c>
      <c r="M207" s="87" t="s">
        <v>6388</v>
      </c>
      <c r="N207" s="9" t="s">
        <v>7024</v>
      </c>
      <c r="O207" s="87" t="s">
        <v>6287</v>
      </c>
      <c r="P207" s="9" t="s">
        <v>6243</v>
      </c>
      <c r="Q207" s="87" t="s">
        <v>3734</v>
      </c>
      <c r="R207" s="87" t="s">
        <v>6461</v>
      </c>
      <c r="S207" s="87" t="s">
        <v>6461</v>
      </c>
      <c r="T207" s="87" t="s">
        <v>6341</v>
      </c>
    </row>
    <row r="208" spans="1:20" ht="15.75" customHeight="1">
      <c r="A208" s="9" t="s">
        <v>3023</v>
      </c>
      <c r="B208" s="9" t="s">
        <v>7391</v>
      </c>
      <c r="C208" s="9" t="s">
        <v>6923</v>
      </c>
      <c r="D208" s="87" t="s">
        <v>6327</v>
      </c>
      <c r="E208" s="9" t="s">
        <v>6924</v>
      </c>
      <c r="F208" s="9" t="s">
        <v>6925</v>
      </c>
      <c r="G208" s="9" t="s">
        <v>383</v>
      </c>
      <c r="H208" s="9" t="s">
        <v>444</v>
      </c>
      <c r="I208" s="87" t="s">
        <v>6405</v>
      </c>
      <c r="J208" s="87" t="s">
        <v>6393</v>
      </c>
      <c r="K208" s="87" t="s">
        <v>6965</v>
      </c>
      <c r="L208" s="87" t="s">
        <v>5381</v>
      </c>
      <c r="M208" s="87" t="s">
        <v>6388</v>
      </c>
      <c r="N208" s="9" t="s">
        <v>6945</v>
      </c>
      <c r="O208" s="87" t="s">
        <v>6500</v>
      </c>
      <c r="P208" s="9" t="s">
        <v>6243</v>
      </c>
      <c r="Q208" s="87" t="s">
        <v>3749</v>
      </c>
      <c r="R208" s="87" t="s">
        <v>6393</v>
      </c>
      <c r="S208" s="87" t="s">
        <v>6327</v>
      </c>
      <c r="T208" s="87" t="s">
        <v>6341</v>
      </c>
    </row>
    <row r="209" spans="1:20" ht="15.75" customHeight="1">
      <c r="A209" s="9" t="s">
        <v>3023</v>
      </c>
      <c r="B209" s="9" t="s">
        <v>7391</v>
      </c>
      <c r="C209" s="9" t="s">
        <v>7228</v>
      </c>
      <c r="D209" s="87" t="s">
        <v>6290</v>
      </c>
      <c r="E209" s="9" t="s">
        <v>6924</v>
      </c>
      <c r="F209" s="9" t="s">
        <v>11</v>
      </c>
      <c r="G209" s="9" t="s">
        <v>383</v>
      </c>
      <c r="H209" s="9" t="s">
        <v>426</v>
      </c>
      <c r="I209" s="87" t="s">
        <v>6405</v>
      </c>
      <c r="J209" s="87" t="s">
        <v>6461</v>
      </c>
      <c r="K209" s="87" t="s">
        <v>6461</v>
      </c>
      <c r="L209" s="87" t="s">
        <v>6357</v>
      </c>
      <c r="M209" s="87" t="s">
        <v>6389</v>
      </c>
      <c r="N209" s="9" t="s">
        <v>7024</v>
      </c>
      <c r="O209" s="87" t="s">
        <v>6287</v>
      </c>
      <c r="P209" s="9" t="s">
        <v>6243</v>
      </c>
      <c r="Q209" s="87" t="s">
        <v>3734</v>
      </c>
      <c r="R209" s="87" t="s">
        <v>6461</v>
      </c>
      <c r="S209" s="87" t="s">
        <v>6461</v>
      </c>
      <c r="T209" s="87" t="s">
        <v>6341</v>
      </c>
    </row>
    <row r="210" spans="1:20" ht="15.75" customHeight="1">
      <c r="A210" s="9" t="s">
        <v>3023</v>
      </c>
      <c r="B210" s="9" t="s">
        <v>7392</v>
      </c>
      <c r="C210" s="9" t="s">
        <v>6923</v>
      </c>
      <c r="D210" s="87" t="s">
        <v>6327</v>
      </c>
      <c r="E210" s="9" t="s">
        <v>6924</v>
      </c>
      <c r="F210" s="9" t="s">
        <v>6925</v>
      </c>
      <c r="G210" s="9" t="s">
        <v>383</v>
      </c>
      <c r="H210" s="9" t="s">
        <v>444</v>
      </c>
      <c r="I210" s="87" t="s">
        <v>6405</v>
      </c>
      <c r="J210" s="87" t="s">
        <v>6393</v>
      </c>
      <c r="K210" s="87" t="s">
        <v>6965</v>
      </c>
      <c r="L210" s="87" t="s">
        <v>5381</v>
      </c>
      <c r="M210" s="87" t="s">
        <v>6389</v>
      </c>
      <c r="N210" s="9" t="s">
        <v>6945</v>
      </c>
      <c r="O210" s="87" t="s">
        <v>6500</v>
      </c>
      <c r="P210" s="9" t="s">
        <v>6243</v>
      </c>
      <c r="Q210" s="87" t="s">
        <v>3749</v>
      </c>
      <c r="R210" s="87" t="s">
        <v>6393</v>
      </c>
      <c r="S210" s="87" t="s">
        <v>6327</v>
      </c>
      <c r="T210" s="87" t="s">
        <v>6341</v>
      </c>
    </row>
    <row r="211" spans="1:20" ht="15.75" customHeight="1">
      <c r="A211" s="9" t="s">
        <v>3023</v>
      </c>
      <c r="B211" s="9" t="s">
        <v>7392</v>
      </c>
      <c r="C211" s="9" t="s">
        <v>7228</v>
      </c>
      <c r="D211" s="87" t="s">
        <v>6290</v>
      </c>
      <c r="E211" s="9" t="s">
        <v>6924</v>
      </c>
      <c r="F211" s="9" t="s">
        <v>11</v>
      </c>
      <c r="G211" s="9" t="s">
        <v>383</v>
      </c>
      <c r="H211" s="9" t="s">
        <v>426</v>
      </c>
      <c r="I211" s="87" t="s">
        <v>6405</v>
      </c>
      <c r="J211" s="87" t="s">
        <v>6461</v>
      </c>
      <c r="K211" s="87" t="s">
        <v>6461</v>
      </c>
      <c r="L211" s="87" t="s">
        <v>6357</v>
      </c>
      <c r="M211" s="87" t="s">
        <v>6390</v>
      </c>
      <c r="N211" s="9" t="s">
        <v>7024</v>
      </c>
      <c r="O211" s="87" t="s">
        <v>6287</v>
      </c>
      <c r="P211" s="9" t="s">
        <v>6243</v>
      </c>
      <c r="Q211" s="87" t="s">
        <v>3734</v>
      </c>
      <c r="R211" s="87" t="s">
        <v>6461</v>
      </c>
      <c r="S211" s="87" t="s">
        <v>6461</v>
      </c>
      <c r="T211" s="87" t="s">
        <v>6341</v>
      </c>
    </row>
    <row r="212" spans="1:20" ht="15.75" customHeight="1">
      <c r="A212" s="9" t="s">
        <v>3023</v>
      </c>
      <c r="B212" s="9" t="s">
        <v>7393</v>
      </c>
      <c r="C212" s="9" t="s">
        <v>6923</v>
      </c>
      <c r="D212" s="87" t="s">
        <v>6327</v>
      </c>
      <c r="E212" s="9" t="s">
        <v>6924</v>
      </c>
      <c r="F212" s="9" t="s">
        <v>6925</v>
      </c>
      <c r="G212" s="9" t="s">
        <v>383</v>
      </c>
      <c r="H212" s="9" t="s">
        <v>444</v>
      </c>
      <c r="I212" s="87" t="s">
        <v>6405</v>
      </c>
      <c r="J212" s="87" t="s">
        <v>6393</v>
      </c>
      <c r="K212" s="87" t="s">
        <v>6926</v>
      </c>
      <c r="L212" s="87" t="s">
        <v>5381</v>
      </c>
      <c r="M212" s="87" t="s">
        <v>6390</v>
      </c>
      <c r="N212" s="9" t="s">
        <v>6966</v>
      </c>
      <c r="O212" s="87" t="s">
        <v>6348</v>
      </c>
      <c r="P212" s="9" t="s">
        <v>6243</v>
      </c>
      <c r="Q212" s="87" t="s">
        <v>5381</v>
      </c>
      <c r="R212" s="87" t="s">
        <v>6393</v>
      </c>
      <c r="S212" s="87" t="s">
        <v>6342</v>
      </c>
      <c r="T212" s="87" t="s">
        <v>6341</v>
      </c>
    </row>
    <row r="213" spans="1:20" ht="15.75" customHeight="1">
      <c r="A213" s="9" t="s">
        <v>3023</v>
      </c>
      <c r="B213" s="9" t="s">
        <v>7393</v>
      </c>
      <c r="C213" s="9" t="s">
        <v>7228</v>
      </c>
      <c r="D213" s="87" t="s">
        <v>6290</v>
      </c>
      <c r="E213" s="9" t="s">
        <v>6924</v>
      </c>
      <c r="F213" s="9" t="s">
        <v>11</v>
      </c>
      <c r="G213" s="9" t="s">
        <v>383</v>
      </c>
      <c r="H213" s="9" t="s">
        <v>426</v>
      </c>
      <c r="I213" s="87" t="s">
        <v>6405</v>
      </c>
      <c r="J213" s="87" t="s">
        <v>6405</v>
      </c>
      <c r="K213" s="87" t="s">
        <v>6405</v>
      </c>
      <c r="L213" s="87" t="s">
        <v>6357</v>
      </c>
      <c r="M213" s="87" t="s">
        <v>6398</v>
      </c>
      <c r="N213" s="9" t="s">
        <v>7300</v>
      </c>
      <c r="O213" s="87" t="s">
        <v>6313</v>
      </c>
      <c r="P213" s="9" t="s">
        <v>6243</v>
      </c>
      <c r="Q213" s="87" t="s">
        <v>6357</v>
      </c>
      <c r="R213" s="87" t="s">
        <v>6405</v>
      </c>
      <c r="S213" s="87" t="s">
        <v>6651</v>
      </c>
      <c r="T213" s="87" t="s">
        <v>6341</v>
      </c>
    </row>
    <row r="214" spans="1:20" ht="15.75" customHeight="1">
      <c r="A214" s="9" t="s">
        <v>2863</v>
      </c>
      <c r="B214" s="9" t="s">
        <v>7394</v>
      </c>
      <c r="C214" s="9" t="s">
        <v>6236</v>
      </c>
      <c r="D214" s="87" t="s">
        <v>6393</v>
      </c>
      <c r="E214" s="9" t="s">
        <v>431</v>
      </c>
      <c r="F214" s="9" t="s">
        <v>368</v>
      </c>
      <c r="G214" s="9" t="s">
        <v>436</v>
      </c>
      <c r="H214" s="9" t="s">
        <v>434</v>
      </c>
      <c r="I214" s="87" t="s">
        <v>6264</v>
      </c>
      <c r="J214" s="87" t="s">
        <v>6397</v>
      </c>
      <c r="K214" s="87" t="s">
        <v>6397</v>
      </c>
      <c r="L214" s="87" t="s">
        <v>6240</v>
      </c>
      <c r="M214" s="87" t="s">
        <v>6388</v>
      </c>
      <c r="N214" s="9" t="s">
        <v>7029</v>
      </c>
      <c r="O214" s="87" t="s">
        <v>6397</v>
      </c>
      <c r="P214" s="9" t="s">
        <v>6243</v>
      </c>
      <c r="Q214" s="87" t="s">
        <v>6278</v>
      </c>
      <c r="R214" s="87" t="s">
        <v>6397</v>
      </c>
      <c r="S214" s="87" t="s">
        <v>6409</v>
      </c>
      <c r="T214" s="87" t="s">
        <v>6300</v>
      </c>
    </row>
    <row r="215" spans="1:20" ht="15.75" customHeight="1">
      <c r="A215" s="9" t="s">
        <v>2863</v>
      </c>
      <c r="B215" s="9" t="s">
        <v>7395</v>
      </c>
      <c r="C215" s="9" t="s">
        <v>6671</v>
      </c>
      <c r="D215" s="87" t="s">
        <v>6296</v>
      </c>
      <c r="E215" s="9" t="s">
        <v>6672</v>
      </c>
      <c r="F215" s="9" t="s">
        <v>439</v>
      </c>
      <c r="G215" s="9" t="s">
        <v>436</v>
      </c>
      <c r="H215" s="9" t="s">
        <v>440</v>
      </c>
      <c r="I215" s="87" t="s">
        <v>6405</v>
      </c>
      <c r="J215" s="87" t="s">
        <v>6329</v>
      </c>
      <c r="K215" s="87" t="s">
        <v>6329</v>
      </c>
      <c r="L215" s="87" t="s">
        <v>6240</v>
      </c>
      <c r="M215" s="87" t="s">
        <v>6389</v>
      </c>
      <c r="N215" s="9" t="s">
        <v>7030</v>
      </c>
      <c r="O215" s="87" t="s">
        <v>6329</v>
      </c>
      <c r="P215" s="9" t="s">
        <v>6243</v>
      </c>
      <c r="Q215" s="87" t="s">
        <v>6448</v>
      </c>
      <c r="R215" s="87" t="s">
        <v>6329</v>
      </c>
      <c r="S215" s="87" t="s">
        <v>6397</v>
      </c>
      <c r="T215" s="87" t="s">
        <v>6404</v>
      </c>
    </row>
    <row r="216" spans="1:20" ht="15.75" customHeight="1">
      <c r="A216" s="9" t="s">
        <v>2863</v>
      </c>
      <c r="B216" s="9" t="s">
        <v>7396</v>
      </c>
      <c r="C216" s="9" t="s">
        <v>6923</v>
      </c>
      <c r="D216" s="87" t="s">
        <v>6264</v>
      </c>
      <c r="E216" s="9" t="s">
        <v>6924</v>
      </c>
      <c r="F216" s="9" t="s">
        <v>6925</v>
      </c>
      <c r="G216" s="9" t="s">
        <v>383</v>
      </c>
      <c r="H216" s="9" t="s">
        <v>449</v>
      </c>
      <c r="I216" s="87" t="s">
        <v>6405</v>
      </c>
      <c r="J216" s="87" t="s">
        <v>6334</v>
      </c>
      <c r="K216" s="87" t="s">
        <v>6926</v>
      </c>
      <c r="L216" s="87" t="s">
        <v>6372</v>
      </c>
      <c r="M216" s="87" t="s">
        <v>6431</v>
      </c>
      <c r="N216" s="9" t="s">
        <v>7397</v>
      </c>
      <c r="O216" s="87" t="s">
        <v>6295</v>
      </c>
      <c r="P216" s="9" t="s">
        <v>6243</v>
      </c>
      <c r="Q216" s="87" t="s">
        <v>6372</v>
      </c>
      <c r="R216" s="87" t="s">
        <v>6334</v>
      </c>
      <c r="S216" s="87" t="s">
        <v>7035</v>
      </c>
      <c r="T216" s="87" t="s">
        <v>6259</v>
      </c>
    </row>
    <row r="217" spans="1:20" ht="15.75" customHeight="1">
      <c r="A217" s="9" t="s">
        <v>2863</v>
      </c>
      <c r="B217" s="9" t="s">
        <v>7396</v>
      </c>
      <c r="C217" s="9" t="s">
        <v>7228</v>
      </c>
      <c r="D217" s="87" t="s">
        <v>6405</v>
      </c>
      <c r="E217" s="9" t="s">
        <v>6924</v>
      </c>
      <c r="F217" s="9" t="s">
        <v>11</v>
      </c>
      <c r="G217" s="9" t="s">
        <v>383</v>
      </c>
      <c r="H217" s="9" t="s">
        <v>426</v>
      </c>
      <c r="I217" s="87" t="s">
        <v>6405</v>
      </c>
      <c r="J217" s="87" t="s">
        <v>6405</v>
      </c>
      <c r="K217" s="87" t="s">
        <v>6405</v>
      </c>
      <c r="L217" s="87" t="s">
        <v>6255</v>
      </c>
      <c r="M217" s="87" t="s">
        <v>6828</v>
      </c>
      <c r="N217" s="9" t="s">
        <v>7398</v>
      </c>
      <c r="O217" s="87" t="s">
        <v>6461</v>
      </c>
      <c r="P217" s="9" t="s">
        <v>6243</v>
      </c>
      <c r="Q217" s="87" t="s">
        <v>6255</v>
      </c>
      <c r="R217" s="87" t="s">
        <v>6405</v>
      </c>
      <c r="S217" s="87" t="s">
        <v>6382</v>
      </c>
      <c r="T217" s="87" t="s">
        <v>6543</v>
      </c>
    </row>
    <row r="218" spans="1:20" ht="15.75" customHeight="1">
      <c r="A218" s="9" t="s">
        <v>2863</v>
      </c>
      <c r="B218" s="9" t="s">
        <v>7399</v>
      </c>
      <c r="C218" s="9" t="s">
        <v>6923</v>
      </c>
      <c r="D218" s="87" t="s">
        <v>6264</v>
      </c>
      <c r="E218" s="9" t="s">
        <v>6924</v>
      </c>
      <c r="F218" s="9" t="s">
        <v>6925</v>
      </c>
      <c r="G218" s="9" t="s">
        <v>383</v>
      </c>
      <c r="H218" s="9" t="s">
        <v>449</v>
      </c>
      <c r="I218" s="87" t="s">
        <v>6405</v>
      </c>
      <c r="J218" s="87" t="s">
        <v>6334</v>
      </c>
      <c r="K218" s="87" t="s">
        <v>6926</v>
      </c>
      <c r="L218" s="87" t="s">
        <v>6372</v>
      </c>
      <c r="M218" s="87" t="s">
        <v>6828</v>
      </c>
      <c r="N218" s="9" t="s">
        <v>6984</v>
      </c>
      <c r="O218" s="87" t="s">
        <v>6295</v>
      </c>
      <c r="P218" s="9" t="s">
        <v>6243</v>
      </c>
      <c r="Q218" s="87" t="s">
        <v>6372</v>
      </c>
      <c r="R218" s="87" t="s">
        <v>6334</v>
      </c>
      <c r="S218" s="87" t="s">
        <v>6526</v>
      </c>
      <c r="T218" s="87" t="s">
        <v>6341</v>
      </c>
    </row>
    <row r="219" spans="1:20" ht="15.75" customHeight="1">
      <c r="A219" s="9" t="s">
        <v>2863</v>
      </c>
      <c r="B219" s="9" t="s">
        <v>7399</v>
      </c>
      <c r="C219" s="9" t="s">
        <v>7228</v>
      </c>
      <c r="D219" s="87" t="s">
        <v>6405</v>
      </c>
      <c r="E219" s="9" t="s">
        <v>6924</v>
      </c>
      <c r="F219" s="9" t="s">
        <v>11</v>
      </c>
      <c r="G219" s="9" t="s">
        <v>383</v>
      </c>
      <c r="H219" s="9" t="s">
        <v>426</v>
      </c>
      <c r="I219" s="87" t="s">
        <v>6405</v>
      </c>
      <c r="J219" s="87" t="s">
        <v>6405</v>
      </c>
      <c r="K219" s="87" t="s">
        <v>6405</v>
      </c>
      <c r="L219" s="87" t="s">
        <v>6255</v>
      </c>
      <c r="M219" s="87" t="s">
        <v>6826</v>
      </c>
      <c r="N219" s="9" t="s">
        <v>7400</v>
      </c>
      <c r="O219" s="87" t="s">
        <v>6461</v>
      </c>
      <c r="P219" s="9" t="s">
        <v>6243</v>
      </c>
      <c r="Q219" s="87" t="s">
        <v>6255</v>
      </c>
      <c r="R219" s="87" t="s">
        <v>6405</v>
      </c>
      <c r="S219" s="87" t="s">
        <v>6287</v>
      </c>
      <c r="T219" s="87" t="s">
        <v>6341</v>
      </c>
    </row>
    <row r="220" spans="1:20" ht="15.75" customHeight="1">
      <c r="A220" s="9" t="s">
        <v>2948</v>
      </c>
      <c r="B220" s="9" t="s">
        <v>7401</v>
      </c>
      <c r="C220" s="9" t="s">
        <v>6236</v>
      </c>
      <c r="D220" s="87" t="s">
        <v>6393</v>
      </c>
      <c r="E220" s="9" t="s">
        <v>431</v>
      </c>
      <c r="F220" s="9" t="s">
        <v>368</v>
      </c>
      <c r="G220" s="9" t="s">
        <v>436</v>
      </c>
      <c r="H220" s="9" t="s">
        <v>434</v>
      </c>
      <c r="I220" s="87" t="s">
        <v>6237</v>
      </c>
      <c r="J220" s="87" t="s">
        <v>6428</v>
      </c>
      <c r="K220" s="87" t="s">
        <v>6428</v>
      </c>
      <c r="L220" s="87" t="s">
        <v>6240</v>
      </c>
      <c r="M220" s="87" t="s">
        <v>6426</v>
      </c>
      <c r="N220" s="9" t="s">
        <v>7032</v>
      </c>
      <c r="O220" s="87" t="s">
        <v>6428</v>
      </c>
      <c r="P220" s="9" t="s">
        <v>6243</v>
      </c>
      <c r="Q220" s="87" t="s">
        <v>3210</v>
      </c>
      <c r="R220" s="87" t="s">
        <v>6428</v>
      </c>
      <c r="S220" s="87" t="s">
        <v>6413</v>
      </c>
      <c r="T220" s="87" t="s">
        <v>6645</v>
      </c>
    </row>
    <row r="221" spans="1:20" ht="15.75" customHeight="1">
      <c r="A221" s="9" t="s">
        <v>2948</v>
      </c>
      <c r="B221" s="9" t="s">
        <v>7402</v>
      </c>
      <c r="C221" s="9" t="s">
        <v>6923</v>
      </c>
      <c r="D221" s="87" t="s">
        <v>6327</v>
      </c>
      <c r="E221" s="9" t="s">
        <v>6924</v>
      </c>
      <c r="F221" s="9" t="s">
        <v>6925</v>
      </c>
      <c r="G221" s="9" t="s">
        <v>383</v>
      </c>
      <c r="H221" s="9" t="s">
        <v>444</v>
      </c>
      <c r="I221" s="87" t="s">
        <v>6405</v>
      </c>
      <c r="J221" s="87" t="s">
        <v>6237</v>
      </c>
      <c r="K221" s="87" t="s">
        <v>6939</v>
      </c>
      <c r="L221" s="87" t="s">
        <v>6573</v>
      </c>
      <c r="M221" s="87" t="s">
        <v>6828</v>
      </c>
      <c r="N221" s="9" t="s">
        <v>7403</v>
      </c>
      <c r="O221" s="87" t="s">
        <v>6400</v>
      </c>
      <c r="P221" s="9" t="s">
        <v>6243</v>
      </c>
      <c r="Q221" s="87" t="s">
        <v>3870</v>
      </c>
      <c r="R221" s="87" t="s">
        <v>6237</v>
      </c>
      <c r="S221" s="87" t="s">
        <v>6297</v>
      </c>
      <c r="T221" s="87" t="s">
        <v>6401</v>
      </c>
    </row>
    <row r="222" spans="1:20" ht="15.75" customHeight="1">
      <c r="A222" s="9" t="s">
        <v>2948</v>
      </c>
      <c r="B222" s="9" t="s">
        <v>7402</v>
      </c>
      <c r="C222" s="9" t="s">
        <v>7228</v>
      </c>
      <c r="D222" s="87" t="s">
        <v>6290</v>
      </c>
      <c r="E222" s="9" t="s">
        <v>6924</v>
      </c>
      <c r="F222" s="9" t="s">
        <v>11</v>
      </c>
      <c r="G222" s="9" t="s">
        <v>383</v>
      </c>
      <c r="H222" s="9" t="s">
        <v>426</v>
      </c>
      <c r="I222" s="87" t="s">
        <v>6405</v>
      </c>
      <c r="J222" s="87" t="s">
        <v>6334</v>
      </c>
      <c r="K222" s="87" t="s">
        <v>6334</v>
      </c>
      <c r="L222" s="87" t="s">
        <v>6254</v>
      </c>
      <c r="M222" s="87" t="s">
        <v>6826</v>
      </c>
      <c r="N222" s="9" t="s">
        <v>7404</v>
      </c>
      <c r="O222" s="87" t="s">
        <v>6348</v>
      </c>
      <c r="P222" s="9" t="s">
        <v>6243</v>
      </c>
      <c r="Q222" s="87" t="s">
        <v>5381</v>
      </c>
      <c r="R222" s="87" t="s">
        <v>6334</v>
      </c>
      <c r="S222" s="87" t="s">
        <v>6297</v>
      </c>
      <c r="T222" s="87" t="s">
        <v>6528</v>
      </c>
    </row>
    <row r="223" spans="1:20" ht="15.75" customHeight="1">
      <c r="A223" s="9" t="s">
        <v>2948</v>
      </c>
      <c r="B223" s="9" t="s">
        <v>7405</v>
      </c>
      <c r="C223" s="9" t="s">
        <v>6923</v>
      </c>
      <c r="D223" s="87" t="s">
        <v>6327</v>
      </c>
      <c r="E223" s="9" t="s">
        <v>6924</v>
      </c>
      <c r="F223" s="9" t="s">
        <v>6925</v>
      </c>
      <c r="G223" s="9" t="s">
        <v>383</v>
      </c>
      <c r="H223" s="9" t="s">
        <v>444</v>
      </c>
      <c r="I223" s="87" t="s">
        <v>6405</v>
      </c>
      <c r="J223" s="87" t="s">
        <v>6237</v>
      </c>
      <c r="K223" s="87" t="s">
        <v>6939</v>
      </c>
      <c r="L223" s="87" t="s">
        <v>6573</v>
      </c>
      <c r="M223" s="87" t="s">
        <v>6826</v>
      </c>
      <c r="N223" s="9" t="s">
        <v>7406</v>
      </c>
      <c r="O223" s="87" t="s">
        <v>6400</v>
      </c>
      <c r="P223" s="9" t="s">
        <v>6243</v>
      </c>
      <c r="Q223" s="87" t="s">
        <v>3870</v>
      </c>
      <c r="R223" s="87" t="s">
        <v>6237</v>
      </c>
      <c r="S223" s="87" t="s">
        <v>6433</v>
      </c>
      <c r="T223" s="87" t="s">
        <v>6277</v>
      </c>
    </row>
    <row r="224" spans="1:20" ht="15.75" customHeight="1">
      <c r="A224" s="9" t="s">
        <v>2948</v>
      </c>
      <c r="B224" s="9" t="s">
        <v>7405</v>
      </c>
      <c r="C224" s="9" t="s">
        <v>7228</v>
      </c>
      <c r="D224" s="87" t="s">
        <v>6290</v>
      </c>
      <c r="E224" s="9" t="s">
        <v>6924</v>
      </c>
      <c r="F224" s="9" t="s">
        <v>11</v>
      </c>
      <c r="G224" s="9" t="s">
        <v>383</v>
      </c>
      <c r="H224" s="9" t="s">
        <v>426</v>
      </c>
      <c r="I224" s="87" t="s">
        <v>6405</v>
      </c>
      <c r="J224" s="87" t="s">
        <v>6334</v>
      </c>
      <c r="K224" s="87" t="s">
        <v>6334</v>
      </c>
      <c r="L224" s="87" t="s">
        <v>6254</v>
      </c>
      <c r="M224" s="87" t="s">
        <v>7048</v>
      </c>
      <c r="N224" s="9" t="s">
        <v>7407</v>
      </c>
      <c r="O224" s="87" t="s">
        <v>6348</v>
      </c>
      <c r="P224" s="9" t="s">
        <v>6243</v>
      </c>
      <c r="Q224" s="87" t="s">
        <v>5381</v>
      </c>
      <c r="R224" s="87" t="s">
        <v>6334</v>
      </c>
      <c r="S224" s="87" t="s">
        <v>6430</v>
      </c>
      <c r="T224" s="87" t="s">
        <v>6382</v>
      </c>
    </row>
    <row r="225" spans="1:20" ht="15.75" customHeight="1">
      <c r="A225" s="9" t="s">
        <v>3032</v>
      </c>
      <c r="B225" s="9" t="s">
        <v>7408</v>
      </c>
      <c r="C225" s="9" t="s">
        <v>6236</v>
      </c>
      <c r="D225" s="87" t="s">
        <v>6393</v>
      </c>
      <c r="E225" s="9" t="s">
        <v>431</v>
      </c>
      <c r="F225" s="9" t="s">
        <v>368</v>
      </c>
      <c r="G225" s="9" t="s">
        <v>436</v>
      </c>
      <c r="H225" s="9" t="s">
        <v>434</v>
      </c>
      <c r="I225" s="87" t="s">
        <v>6264</v>
      </c>
      <c r="J225" s="87" t="s">
        <v>6468</v>
      </c>
      <c r="K225" s="87" t="s">
        <v>6239</v>
      </c>
      <c r="L225" s="87" t="s">
        <v>6240</v>
      </c>
      <c r="M225" s="87" t="s">
        <v>6449</v>
      </c>
      <c r="N225" s="9" t="s">
        <v>6928</v>
      </c>
      <c r="O225" s="87" t="s">
        <v>6239</v>
      </c>
      <c r="P225" s="9" t="s">
        <v>6243</v>
      </c>
      <c r="Q225" s="87" t="s">
        <v>3764</v>
      </c>
      <c r="R225" s="87" t="s">
        <v>6468</v>
      </c>
      <c r="S225" s="87" t="s">
        <v>6327</v>
      </c>
      <c r="T225" s="87" t="s">
        <v>6645</v>
      </c>
    </row>
    <row r="226" spans="1:20" ht="15.75" customHeight="1">
      <c r="A226" s="9" t="s">
        <v>3032</v>
      </c>
      <c r="B226" s="9" t="s">
        <v>7408</v>
      </c>
      <c r="C226" s="9" t="s">
        <v>6236</v>
      </c>
      <c r="D226" s="87" t="s">
        <v>6393</v>
      </c>
      <c r="E226" s="9" t="s">
        <v>431</v>
      </c>
      <c r="F226" s="9" t="s">
        <v>368</v>
      </c>
      <c r="G226" s="9" t="s">
        <v>436</v>
      </c>
      <c r="H226" s="9" t="s">
        <v>434</v>
      </c>
      <c r="I226" s="87" t="s">
        <v>6264</v>
      </c>
      <c r="J226" s="87" t="s">
        <v>6468</v>
      </c>
      <c r="K226" s="87" t="s">
        <v>6239</v>
      </c>
      <c r="L226" s="87" t="s">
        <v>6240</v>
      </c>
      <c r="M226" s="87" t="s">
        <v>6452</v>
      </c>
      <c r="N226" s="9" t="s">
        <v>6928</v>
      </c>
      <c r="O226" s="87" t="s">
        <v>6239</v>
      </c>
      <c r="P226" s="9" t="s">
        <v>6243</v>
      </c>
      <c r="Q226" s="87" t="s">
        <v>3764</v>
      </c>
      <c r="R226" s="87" t="s">
        <v>6468</v>
      </c>
      <c r="S226" s="87" t="s">
        <v>6327</v>
      </c>
      <c r="T226" s="87" t="s">
        <v>6645</v>
      </c>
    </row>
    <row r="227" spans="1:20" ht="15.75" customHeight="1">
      <c r="A227" s="9" t="s">
        <v>3032</v>
      </c>
      <c r="B227" s="9" t="s">
        <v>7408</v>
      </c>
      <c r="C227" s="9" t="s">
        <v>6236</v>
      </c>
      <c r="D227" s="87" t="s">
        <v>6393</v>
      </c>
      <c r="E227" s="9" t="s">
        <v>431</v>
      </c>
      <c r="F227" s="9" t="s">
        <v>368</v>
      </c>
      <c r="G227" s="9" t="s">
        <v>436</v>
      </c>
      <c r="H227" s="9" t="s">
        <v>434</v>
      </c>
      <c r="I227" s="87" t="s">
        <v>6264</v>
      </c>
      <c r="J227" s="87" t="s">
        <v>6468</v>
      </c>
      <c r="K227" s="87" t="s">
        <v>4953</v>
      </c>
      <c r="L227" s="87" t="s">
        <v>6240</v>
      </c>
      <c r="M227" s="87" t="s">
        <v>6466</v>
      </c>
      <c r="N227" s="9" t="s">
        <v>7080</v>
      </c>
      <c r="O227" s="87" t="s">
        <v>4953</v>
      </c>
      <c r="P227" s="9" t="s">
        <v>6243</v>
      </c>
      <c r="Q227" s="87" t="s">
        <v>6306</v>
      </c>
      <c r="R227" s="87" t="s">
        <v>6468</v>
      </c>
      <c r="S227" s="87" t="s">
        <v>6373</v>
      </c>
      <c r="T227" s="87" t="s">
        <v>6645</v>
      </c>
    </row>
    <row r="228" spans="1:20" ht="15.75" customHeight="1">
      <c r="A228" s="9" t="s">
        <v>3032</v>
      </c>
      <c r="B228" s="9" t="s">
        <v>7409</v>
      </c>
      <c r="C228" s="9" t="s">
        <v>6671</v>
      </c>
      <c r="D228" s="87" t="s">
        <v>6296</v>
      </c>
      <c r="E228" s="9" t="s">
        <v>6672</v>
      </c>
      <c r="F228" s="9" t="s">
        <v>439</v>
      </c>
      <c r="G228" s="9" t="s">
        <v>436</v>
      </c>
      <c r="H228" s="9" t="s">
        <v>440</v>
      </c>
      <c r="I228" s="87" t="s">
        <v>6405</v>
      </c>
      <c r="J228" s="87" t="s">
        <v>7410</v>
      </c>
      <c r="K228" s="87" t="s">
        <v>6239</v>
      </c>
      <c r="L228" s="87" t="s">
        <v>6240</v>
      </c>
      <c r="M228" s="87" t="s">
        <v>6469</v>
      </c>
      <c r="N228" s="9" t="s">
        <v>6928</v>
      </c>
      <c r="O228" s="87" t="s">
        <v>6239</v>
      </c>
      <c r="P228" s="9" t="s">
        <v>6243</v>
      </c>
      <c r="Q228" s="87" t="s">
        <v>3764</v>
      </c>
      <c r="R228" s="87" t="s">
        <v>7410</v>
      </c>
      <c r="S228" s="87" t="s">
        <v>6327</v>
      </c>
      <c r="T228" s="87" t="s">
        <v>6645</v>
      </c>
    </row>
    <row r="229" spans="1:20" ht="15.75" customHeight="1">
      <c r="A229" s="9" t="s">
        <v>3032</v>
      </c>
      <c r="B229" s="9" t="s">
        <v>7409</v>
      </c>
      <c r="C229" s="9" t="s">
        <v>6671</v>
      </c>
      <c r="D229" s="87" t="s">
        <v>6296</v>
      </c>
      <c r="E229" s="9" t="s">
        <v>6672</v>
      </c>
      <c r="F229" s="9" t="s">
        <v>439</v>
      </c>
      <c r="G229" s="9" t="s">
        <v>436</v>
      </c>
      <c r="H229" s="9" t="s">
        <v>440</v>
      </c>
      <c r="I229" s="87" t="s">
        <v>6405</v>
      </c>
      <c r="J229" s="87" t="s">
        <v>7410</v>
      </c>
      <c r="K229" s="87" t="s">
        <v>6239</v>
      </c>
      <c r="L229" s="87" t="s">
        <v>6240</v>
      </c>
      <c r="M229" s="87" t="s">
        <v>6470</v>
      </c>
      <c r="N229" s="9" t="s">
        <v>6928</v>
      </c>
      <c r="O229" s="87" t="s">
        <v>6239</v>
      </c>
      <c r="P229" s="9" t="s">
        <v>6243</v>
      </c>
      <c r="Q229" s="87" t="s">
        <v>3764</v>
      </c>
      <c r="R229" s="87" t="s">
        <v>7410</v>
      </c>
      <c r="S229" s="87" t="s">
        <v>6327</v>
      </c>
      <c r="T229" s="87" t="s">
        <v>6645</v>
      </c>
    </row>
    <row r="230" spans="1:20" ht="15.75" customHeight="1">
      <c r="A230" s="9" t="s">
        <v>3032</v>
      </c>
      <c r="B230" s="9" t="s">
        <v>7409</v>
      </c>
      <c r="C230" s="9" t="s">
        <v>6671</v>
      </c>
      <c r="D230" s="87" t="s">
        <v>6296</v>
      </c>
      <c r="E230" s="9" t="s">
        <v>6672</v>
      </c>
      <c r="F230" s="9" t="s">
        <v>439</v>
      </c>
      <c r="G230" s="9" t="s">
        <v>436</v>
      </c>
      <c r="H230" s="9" t="s">
        <v>440</v>
      </c>
      <c r="I230" s="87" t="s">
        <v>6405</v>
      </c>
      <c r="J230" s="87" t="s">
        <v>7410</v>
      </c>
      <c r="K230" s="87" t="s">
        <v>6416</v>
      </c>
      <c r="L230" s="87" t="s">
        <v>6240</v>
      </c>
      <c r="M230" s="87" t="s">
        <v>6471</v>
      </c>
      <c r="N230" s="9" t="s">
        <v>7411</v>
      </c>
      <c r="O230" s="87" t="s">
        <v>6416</v>
      </c>
      <c r="P230" s="9" t="s">
        <v>6243</v>
      </c>
      <c r="Q230" s="87" t="s">
        <v>6758</v>
      </c>
      <c r="R230" s="87" t="s">
        <v>7410</v>
      </c>
      <c r="S230" s="87" t="s">
        <v>6411</v>
      </c>
      <c r="T230" s="87" t="s">
        <v>6645</v>
      </c>
    </row>
    <row r="231" spans="1:20" ht="15.75" customHeight="1">
      <c r="A231" s="9" t="s">
        <v>3032</v>
      </c>
      <c r="B231" s="9" t="s">
        <v>7412</v>
      </c>
      <c r="C231" s="9" t="s">
        <v>6923</v>
      </c>
      <c r="D231" s="87" t="s">
        <v>6264</v>
      </c>
      <c r="E231" s="9" t="s">
        <v>6924</v>
      </c>
      <c r="F231" s="9" t="s">
        <v>6925</v>
      </c>
      <c r="G231" s="9" t="s">
        <v>383</v>
      </c>
      <c r="H231" s="9" t="s">
        <v>449</v>
      </c>
      <c r="I231" s="87" t="s">
        <v>6405</v>
      </c>
      <c r="J231" s="87" t="s">
        <v>6264</v>
      </c>
      <c r="K231" s="87" t="s">
        <v>6931</v>
      </c>
      <c r="L231" s="87" t="s">
        <v>6238</v>
      </c>
      <c r="M231" s="87" t="s">
        <v>6475</v>
      </c>
      <c r="N231" s="9" t="s">
        <v>7159</v>
      </c>
      <c r="O231" s="87" t="s">
        <v>6263</v>
      </c>
      <c r="P231" s="9" t="s">
        <v>6243</v>
      </c>
      <c r="Q231" s="87" t="s">
        <v>3699</v>
      </c>
      <c r="R231" s="87" t="s">
        <v>6264</v>
      </c>
      <c r="S231" s="87" t="s">
        <v>6245</v>
      </c>
      <c r="T231" s="87" t="s">
        <v>6341</v>
      </c>
    </row>
    <row r="232" spans="1:20" ht="15.75" customHeight="1">
      <c r="A232" s="9" t="s">
        <v>3032</v>
      </c>
      <c r="B232" s="9" t="s">
        <v>7412</v>
      </c>
      <c r="C232" s="9" t="s">
        <v>7228</v>
      </c>
      <c r="D232" s="87" t="s">
        <v>6405</v>
      </c>
      <c r="E232" s="9" t="s">
        <v>6924</v>
      </c>
      <c r="F232" s="9" t="s">
        <v>11</v>
      </c>
      <c r="G232" s="9" t="s">
        <v>383</v>
      </c>
      <c r="H232" s="9" t="s">
        <v>426</v>
      </c>
      <c r="I232" s="87" t="s">
        <v>6405</v>
      </c>
      <c r="J232" s="87" t="s">
        <v>6264</v>
      </c>
      <c r="K232" s="87" t="s">
        <v>6264</v>
      </c>
      <c r="L232" s="87" t="s">
        <v>6287</v>
      </c>
      <c r="M232" s="87" t="s">
        <v>6481</v>
      </c>
      <c r="N232" s="9" t="s">
        <v>7413</v>
      </c>
      <c r="O232" s="87" t="s">
        <v>6409</v>
      </c>
      <c r="P232" s="9" t="s">
        <v>6243</v>
      </c>
      <c r="Q232" s="87" t="s">
        <v>6489</v>
      </c>
      <c r="R232" s="87" t="s">
        <v>6264</v>
      </c>
      <c r="S232" s="87" t="s">
        <v>6302</v>
      </c>
      <c r="T232" s="87" t="s">
        <v>6341</v>
      </c>
    </row>
    <row r="233" spans="1:20" ht="15.75" customHeight="1">
      <c r="A233" s="9" t="s">
        <v>2844</v>
      </c>
      <c r="B233" s="9" t="s">
        <v>7414</v>
      </c>
      <c r="C233" s="9" t="s">
        <v>6236</v>
      </c>
      <c r="D233" s="87" t="s">
        <v>6393</v>
      </c>
      <c r="E233" s="9" t="s">
        <v>431</v>
      </c>
      <c r="F233" s="9" t="s">
        <v>368</v>
      </c>
      <c r="G233" s="9" t="s">
        <v>436</v>
      </c>
      <c r="H233" s="9" t="s">
        <v>434</v>
      </c>
      <c r="I233" s="87" t="s">
        <v>6237</v>
      </c>
      <c r="J233" s="87" t="s">
        <v>6405</v>
      </c>
      <c r="K233" s="87" t="s">
        <v>6405</v>
      </c>
      <c r="L233" s="87" t="s">
        <v>6240</v>
      </c>
      <c r="M233" s="87" t="s">
        <v>6390</v>
      </c>
      <c r="N233" s="9" t="s">
        <v>7036</v>
      </c>
      <c r="O233" s="87" t="s">
        <v>6405</v>
      </c>
      <c r="P233" s="9" t="s">
        <v>6243</v>
      </c>
      <c r="Q233" s="87" t="s">
        <v>6240</v>
      </c>
      <c r="R233" s="87" t="s">
        <v>6405</v>
      </c>
      <c r="S233" s="87" t="s">
        <v>6645</v>
      </c>
      <c r="T233" s="87" t="s">
        <v>6645</v>
      </c>
    </row>
    <row r="234" spans="1:20" ht="15.75" customHeight="1">
      <c r="A234" s="9" t="s">
        <v>2844</v>
      </c>
      <c r="B234" s="9" t="s">
        <v>7415</v>
      </c>
      <c r="C234" s="9" t="s">
        <v>6671</v>
      </c>
      <c r="D234" s="87" t="s">
        <v>6296</v>
      </c>
      <c r="E234" s="9" t="s">
        <v>6672</v>
      </c>
      <c r="F234" s="9" t="s">
        <v>439</v>
      </c>
      <c r="G234" s="9" t="s">
        <v>436</v>
      </c>
      <c r="H234" s="9" t="s">
        <v>440</v>
      </c>
      <c r="I234" s="87" t="s">
        <v>6405</v>
      </c>
      <c r="J234" s="87" t="s">
        <v>6405</v>
      </c>
      <c r="K234" s="87" t="s">
        <v>6405</v>
      </c>
      <c r="L234" s="87" t="s">
        <v>6240</v>
      </c>
      <c r="M234" s="87" t="s">
        <v>6398</v>
      </c>
      <c r="N234" s="9" t="s">
        <v>7036</v>
      </c>
      <c r="O234" s="87" t="s">
        <v>6405</v>
      </c>
      <c r="P234" s="9" t="s">
        <v>6243</v>
      </c>
      <c r="Q234" s="87" t="s">
        <v>6240</v>
      </c>
      <c r="R234" s="87" t="s">
        <v>6405</v>
      </c>
      <c r="S234" s="87" t="s">
        <v>6645</v>
      </c>
      <c r="T234" s="87" t="s">
        <v>6645</v>
      </c>
    </row>
    <row r="235" spans="1:20" ht="15.75" customHeight="1">
      <c r="A235" s="9" t="s">
        <v>2844</v>
      </c>
      <c r="B235" s="9" t="s">
        <v>7416</v>
      </c>
      <c r="C235" s="9" t="s">
        <v>6923</v>
      </c>
      <c r="D235" s="87" t="s">
        <v>6327</v>
      </c>
      <c r="E235" s="9" t="s">
        <v>6924</v>
      </c>
      <c r="F235" s="9" t="s">
        <v>6925</v>
      </c>
      <c r="G235" s="9" t="s">
        <v>383</v>
      </c>
      <c r="H235" s="9" t="s">
        <v>444</v>
      </c>
      <c r="I235" s="87" t="s">
        <v>6405</v>
      </c>
      <c r="J235" s="87" t="s">
        <v>6405</v>
      </c>
      <c r="K235" s="87" t="s">
        <v>6926</v>
      </c>
      <c r="L235" s="87" t="s">
        <v>5381</v>
      </c>
      <c r="M235" s="87" t="s">
        <v>6840</v>
      </c>
      <c r="N235" s="9" t="s">
        <v>7417</v>
      </c>
      <c r="O235" s="87" t="s">
        <v>6348</v>
      </c>
      <c r="P235" s="9" t="s">
        <v>6243</v>
      </c>
      <c r="Q235" s="87" t="s">
        <v>5381</v>
      </c>
      <c r="R235" s="87" t="s">
        <v>6405</v>
      </c>
      <c r="S235" s="87" t="s">
        <v>6237</v>
      </c>
      <c r="T235" s="87" t="s">
        <v>6414</v>
      </c>
    </row>
    <row r="236" spans="1:20" ht="15.75" customHeight="1">
      <c r="A236" s="9" t="s">
        <v>2868</v>
      </c>
      <c r="B236" s="9" t="s">
        <v>7418</v>
      </c>
      <c r="C236" s="9" t="s">
        <v>6236</v>
      </c>
      <c r="D236" s="87" t="s">
        <v>6393</v>
      </c>
      <c r="E236" s="9" t="s">
        <v>431</v>
      </c>
      <c r="F236" s="9" t="s">
        <v>368</v>
      </c>
      <c r="G236" s="9" t="s">
        <v>436</v>
      </c>
      <c r="H236" s="9" t="s">
        <v>434</v>
      </c>
      <c r="I236" s="87" t="s">
        <v>6237</v>
      </c>
      <c r="J236" s="87" t="s">
        <v>6297</v>
      </c>
      <c r="K236" s="87" t="s">
        <v>6297</v>
      </c>
      <c r="L236" s="87" t="s">
        <v>6240</v>
      </c>
      <c r="M236" s="87" t="s">
        <v>6390</v>
      </c>
      <c r="N236" s="9" t="s">
        <v>7038</v>
      </c>
      <c r="O236" s="87" t="s">
        <v>6297</v>
      </c>
      <c r="P236" s="9" t="s">
        <v>6243</v>
      </c>
      <c r="Q236" s="87" t="s">
        <v>6299</v>
      </c>
      <c r="R236" s="87" t="s">
        <v>6297</v>
      </c>
      <c r="S236" s="87" t="s">
        <v>6443</v>
      </c>
      <c r="T236" s="87" t="s">
        <v>6351</v>
      </c>
    </row>
    <row r="237" spans="1:20" ht="15.75" customHeight="1">
      <c r="A237" s="9" t="s">
        <v>2868</v>
      </c>
      <c r="B237" s="9" t="s">
        <v>7419</v>
      </c>
      <c r="C237" s="9" t="s">
        <v>6671</v>
      </c>
      <c r="D237" s="87" t="s">
        <v>6296</v>
      </c>
      <c r="E237" s="9" t="s">
        <v>6672</v>
      </c>
      <c r="F237" s="9" t="s">
        <v>439</v>
      </c>
      <c r="G237" s="9" t="s">
        <v>436</v>
      </c>
      <c r="H237" s="9" t="s">
        <v>440</v>
      </c>
      <c r="I237" s="87" t="s">
        <v>6405</v>
      </c>
      <c r="J237" s="87" t="s">
        <v>6240</v>
      </c>
      <c r="K237" s="87" t="s">
        <v>6240</v>
      </c>
      <c r="L237" s="87" t="s">
        <v>6240</v>
      </c>
      <c r="M237" s="87" t="s">
        <v>6398</v>
      </c>
      <c r="N237" s="9" t="s">
        <v>7039</v>
      </c>
      <c r="O237" s="87" t="s">
        <v>6240</v>
      </c>
      <c r="P237" s="9" t="s">
        <v>6243</v>
      </c>
      <c r="Q237" s="87" t="s">
        <v>6397</v>
      </c>
      <c r="R237" s="87" t="s">
        <v>6240</v>
      </c>
      <c r="S237" s="87" t="s">
        <v>6419</v>
      </c>
      <c r="T237" s="87" t="s">
        <v>6351</v>
      </c>
    </row>
    <row r="238" spans="1:20" ht="15.75" customHeight="1">
      <c r="A238" s="9" t="s">
        <v>2868</v>
      </c>
      <c r="B238" s="9" t="s">
        <v>7420</v>
      </c>
      <c r="C238" s="9" t="s">
        <v>6923</v>
      </c>
      <c r="D238" s="87" t="s">
        <v>6327</v>
      </c>
      <c r="E238" s="9" t="s">
        <v>6924</v>
      </c>
      <c r="F238" s="9" t="s">
        <v>6925</v>
      </c>
      <c r="G238" s="9" t="s">
        <v>383</v>
      </c>
      <c r="H238" s="9" t="s">
        <v>444</v>
      </c>
      <c r="I238" s="87" t="s">
        <v>6405</v>
      </c>
      <c r="J238" s="87" t="s">
        <v>6405</v>
      </c>
      <c r="K238" s="87" t="s">
        <v>6926</v>
      </c>
      <c r="L238" s="87" t="s">
        <v>5381</v>
      </c>
      <c r="M238" s="87" t="s">
        <v>6838</v>
      </c>
      <c r="N238" s="9" t="s">
        <v>7417</v>
      </c>
      <c r="O238" s="87" t="s">
        <v>6348</v>
      </c>
      <c r="P238" s="9" t="s">
        <v>6243</v>
      </c>
      <c r="Q238" s="87" t="s">
        <v>5381</v>
      </c>
      <c r="R238" s="87" t="s">
        <v>6405</v>
      </c>
      <c r="S238" s="87" t="s">
        <v>6237</v>
      </c>
      <c r="T238" s="87" t="s">
        <v>6414</v>
      </c>
    </row>
    <row r="239" spans="1:20" ht="15.75" customHeight="1">
      <c r="A239" s="9" t="s">
        <v>2859</v>
      </c>
      <c r="B239" s="9" t="s">
        <v>7421</v>
      </c>
      <c r="C239" s="9" t="s">
        <v>6236</v>
      </c>
      <c r="D239" s="87" t="s">
        <v>6393</v>
      </c>
      <c r="E239" s="9" t="s">
        <v>431</v>
      </c>
      <c r="F239" s="9" t="s">
        <v>368</v>
      </c>
      <c r="G239" s="9" t="s">
        <v>436</v>
      </c>
      <c r="H239" s="9" t="s">
        <v>434</v>
      </c>
      <c r="I239" s="87" t="s">
        <v>6237</v>
      </c>
      <c r="J239" s="87" t="s">
        <v>4953</v>
      </c>
      <c r="K239" s="87" t="s">
        <v>4953</v>
      </c>
      <c r="L239" s="87" t="s">
        <v>6240</v>
      </c>
      <c r="M239" s="87" t="s">
        <v>6426</v>
      </c>
      <c r="N239" s="9" t="s">
        <v>7041</v>
      </c>
      <c r="O239" s="87" t="s">
        <v>4953</v>
      </c>
      <c r="P239" s="9" t="s">
        <v>6243</v>
      </c>
      <c r="Q239" s="87" t="s">
        <v>6306</v>
      </c>
      <c r="R239" s="87" t="s">
        <v>4953</v>
      </c>
      <c r="S239" s="87" t="s">
        <v>6268</v>
      </c>
      <c r="T239" s="87" t="s">
        <v>6484</v>
      </c>
    </row>
    <row r="240" spans="1:20" ht="15.75" customHeight="1">
      <c r="A240" s="9" t="s">
        <v>2859</v>
      </c>
      <c r="B240" s="9" t="s">
        <v>7422</v>
      </c>
      <c r="C240" s="9" t="s">
        <v>6671</v>
      </c>
      <c r="D240" s="87" t="s">
        <v>6296</v>
      </c>
      <c r="E240" s="9" t="s">
        <v>6672</v>
      </c>
      <c r="F240" s="9" t="s">
        <v>439</v>
      </c>
      <c r="G240" s="9" t="s">
        <v>436</v>
      </c>
      <c r="H240" s="9" t="s">
        <v>440</v>
      </c>
      <c r="I240" s="87" t="s">
        <v>6405</v>
      </c>
      <c r="J240" s="87" t="s">
        <v>6296</v>
      </c>
      <c r="K240" s="87" t="s">
        <v>6296</v>
      </c>
      <c r="L240" s="87" t="s">
        <v>6240</v>
      </c>
      <c r="M240" s="87" t="s">
        <v>6431</v>
      </c>
      <c r="N240" s="9" t="s">
        <v>7042</v>
      </c>
      <c r="O240" s="87" t="s">
        <v>6296</v>
      </c>
      <c r="P240" s="9" t="s">
        <v>6243</v>
      </c>
      <c r="Q240" s="87" t="s">
        <v>6287</v>
      </c>
      <c r="R240" s="87" t="s">
        <v>6296</v>
      </c>
      <c r="S240" s="87" t="s">
        <v>6287</v>
      </c>
      <c r="T240" s="87" t="s">
        <v>6645</v>
      </c>
    </row>
    <row r="241" spans="1:20" ht="15.75" customHeight="1">
      <c r="A241" s="9" t="s">
        <v>2859</v>
      </c>
      <c r="B241" s="9" t="s">
        <v>7423</v>
      </c>
      <c r="C241" s="9" t="s">
        <v>6923</v>
      </c>
      <c r="D241" s="87" t="s">
        <v>6327</v>
      </c>
      <c r="E241" s="9" t="s">
        <v>6924</v>
      </c>
      <c r="F241" s="9" t="s">
        <v>6925</v>
      </c>
      <c r="G241" s="9" t="s">
        <v>383</v>
      </c>
      <c r="H241" s="9" t="s">
        <v>444</v>
      </c>
      <c r="I241" s="87" t="s">
        <v>6405</v>
      </c>
      <c r="J241" s="87" t="s">
        <v>6405</v>
      </c>
      <c r="K241" s="87" t="s">
        <v>6926</v>
      </c>
      <c r="L241" s="87" t="s">
        <v>6293</v>
      </c>
      <c r="M241" s="87" t="s">
        <v>7048</v>
      </c>
      <c r="N241" s="9" t="s">
        <v>7424</v>
      </c>
      <c r="O241" s="87" t="s">
        <v>6290</v>
      </c>
      <c r="P241" s="9" t="s">
        <v>6243</v>
      </c>
      <c r="Q241" s="87" t="s">
        <v>6293</v>
      </c>
      <c r="R241" s="87" t="s">
        <v>6405</v>
      </c>
      <c r="S241" s="87" t="s">
        <v>6260</v>
      </c>
      <c r="T241" s="87" t="s">
        <v>6404</v>
      </c>
    </row>
    <row r="242" spans="1:20" ht="15.75" customHeight="1">
      <c r="A242" s="9" t="s">
        <v>2859</v>
      </c>
      <c r="B242" s="9" t="s">
        <v>7423</v>
      </c>
      <c r="C242" s="9" t="s">
        <v>7228</v>
      </c>
      <c r="D242" s="87" t="s">
        <v>6290</v>
      </c>
      <c r="E242" s="9" t="s">
        <v>6924</v>
      </c>
      <c r="F242" s="9" t="s">
        <v>11</v>
      </c>
      <c r="G242" s="9" t="s">
        <v>383</v>
      </c>
      <c r="H242" s="9" t="s">
        <v>426</v>
      </c>
      <c r="I242" s="87" t="s">
        <v>6405</v>
      </c>
      <c r="J242" s="87" t="s">
        <v>6405</v>
      </c>
      <c r="K242" s="87" t="s">
        <v>6405</v>
      </c>
      <c r="L242" s="87" t="s">
        <v>5381</v>
      </c>
      <c r="M242" s="87" t="s">
        <v>6449</v>
      </c>
      <c r="N242" s="9" t="s">
        <v>7407</v>
      </c>
      <c r="O242" s="87" t="s">
        <v>6348</v>
      </c>
      <c r="P242" s="9" t="s">
        <v>6243</v>
      </c>
      <c r="Q242" s="87" t="s">
        <v>5381</v>
      </c>
      <c r="R242" s="87" t="s">
        <v>6405</v>
      </c>
      <c r="S242" s="87" t="s">
        <v>6430</v>
      </c>
      <c r="T242" s="87" t="s">
        <v>6382</v>
      </c>
    </row>
    <row r="243" spans="1:20" ht="15.75" customHeight="1">
      <c r="A243" s="9" t="s">
        <v>2886</v>
      </c>
      <c r="B243" s="9" t="s">
        <v>7425</v>
      </c>
      <c r="C243" s="9" t="s">
        <v>6236</v>
      </c>
      <c r="D243" s="87" t="s">
        <v>6393</v>
      </c>
      <c r="E243" s="9" t="s">
        <v>431</v>
      </c>
      <c r="F243" s="9" t="s">
        <v>368</v>
      </c>
      <c r="G243" s="9" t="s">
        <v>436</v>
      </c>
      <c r="H243" s="9" t="s">
        <v>434</v>
      </c>
      <c r="I243" s="87" t="s">
        <v>6237</v>
      </c>
      <c r="J243" s="87" t="s">
        <v>6435</v>
      </c>
      <c r="K243" s="87" t="s">
        <v>6435</v>
      </c>
      <c r="L243" s="87" t="s">
        <v>6240</v>
      </c>
      <c r="M243" s="87" t="s">
        <v>6431</v>
      </c>
      <c r="N243" s="9" t="s">
        <v>7007</v>
      </c>
      <c r="O243" s="87" t="s">
        <v>6435</v>
      </c>
      <c r="P243" s="9" t="s">
        <v>6243</v>
      </c>
      <c r="Q243" s="87" t="s">
        <v>6250</v>
      </c>
      <c r="R243" s="87" t="s">
        <v>6435</v>
      </c>
      <c r="S243" s="87" t="s">
        <v>6733</v>
      </c>
      <c r="T243" s="87" t="s">
        <v>6645</v>
      </c>
    </row>
    <row r="244" spans="1:20" ht="15.75" customHeight="1">
      <c r="A244" s="9" t="s">
        <v>2886</v>
      </c>
      <c r="B244" s="9" t="s">
        <v>7426</v>
      </c>
      <c r="C244" s="9" t="s">
        <v>6671</v>
      </c>
      <c r="D244" s="87" t="s">
        <v>6296</v>
      </c>
      <c r="E244" s="9" t="s">
        <v>6672</v>
      </c>
      <c r="F244" s="9" t="s">
        <v>439</v>
      </c>
      <c r="G244" s="9" t="s">
        <v>436</v>
      </c>
      <c r="H244" s="9" t="s">
        <v>440</v>
      </c>
      <c r="I244" s="87" t="s">
        <v>6405</v>
      </c>
      <c r="J244" s="87" t="s">
        <v>6290</v>
      </c>
      <c r="K244" s="87" t="s">
        <v>6290</v>
      </c>
      <c r="L244" s="87" t="s">
        <v>6240</v>
      </c>
      <c r="M244" s="87" t="s">
        <v>6828</v>
      </c>
      <c r="N244" s="9" t="s">
        <v>6964</v>
      </c>
      <c r="O244" s="87" t="s">
        <v>6290</v>
      </c>
      <c r="P244" s="9" t="s">
        <v>6243</v>
      </c>
      <c r="Q244" s="87" t="s">
        <v>6293</v>
      </c>
      <c r="R244" s="87" t="s">
        <v>6290</v>
      </c>
      <c r="S244" s="87" t="s">
        <v>6525</v>
      </c>
      <c r="T244" s="87" t="s">
        <v>6645</v>
      </c>
    </row>
    <row r="245" spans="1:20" ht="15.75" customHeight="1">
      <c r="A245" s="9" t="s">
        <v>2886</v>
      </c>
      <c r="B245" s="9" t="s">
        <v>7427</v>
      </c>
      <c r="C245" s="9" t="s">
        <v>6923</v>
      </c>
      <c r="D245" s="87" t="s">
        <v>6327</v>
      </c>
      <c r="E245" s="9" t="s">
        <v>6924</v>
      </c>
      <c r="F245" s="9" t="s">
        <v>6925</v>
      </c>
      <c r="G245" s="9" t="s">
        <v>383</v>
      </c>
      <c r="H245" s="9" t="s">
        <v>444</v>
      </c>
      <c r="I245" s="87" t="s">
        <v>6405</v>
      </c>
      <c r="J245" s="87" t="s">
        <v>6405</v>
      </c>
      <c r="K245" s="87" t="s">
        <v>6926</v>
      </c>
      <c r="L245" s="87" t="s">
        <v>6573</v>
      </c>
      <c r="M245" s="87" t="s">
        <v>7048</v>
      </c>
      <c r="N245" s="9" t="s">
        <v>7428</v>
      </c>
      <c r="O245" s="87" t="s">
        <v>6570</v>
      </c>
      <c r="P245" s="9" t="s">
        <v>6243</v>
      </c>
      <c r="Q245" s="87" t="s">
        <v>6573</v>
      </c>
      <c r="R245" s="87" t="s">
        <v>6405</v>
      </c>
      <c r="S245" s="87" t="s">
        <v>4953</v>
      </c>
      <c r="T245" s="87" t="s">
        <v>6376</v>
      </c>
    </row>
    <row r="246" spans="1:20" ht="15.75" customHeight="1">
      <c r="A246" s="9" t="s">
        <v>2886</v>
      </c>
      <c r="B246" s="9" t="s">
        <v>7427</v>
      </c>
      <c r="C246" s="9" t="s">
        <v>7228</v>
      </c>
      <c r="D246" s="87" t="s">
        <v>6290</v>
      </c>
      <c r="E246" s="9" t="s">
        <v>6924</v>
      </c>
      <c r="F246" s="9" t="s">
        <v>11</v>
      </c>
      <c r="G246" s="9" t="s">
        <v>383</v>
      </c>
      <c r="H246" s="9" t="s">
        <v>426</v>
      </c>
      <c r="I246" s="87" t="s">
        <v>6405</v>
      </c>
      <c r="J246" s="87" t="s">
        <v>6405</v>
      </c>
      <c r="K246" s="87" t="s">
        <v>6405</v>
      </c>
      <c r="L246" s="87" t="s">
        <v>6254</v>
      </c>
      <c r="M246" s="87" t="s">
        <v>6449</v>
      </c>
      <c r="N246" s="9" t="s">
        <v>7429</v>
      </c>
      <c r="O246" s="87" t="s">
        <v>6251</v>
      </c>
      <c r="P246" s="9" t="s">
        <v>6243</v>
      </c>
      <c r="Q246" s="87" t="s">
        <v>6254</v>
      </c>
      <c r="R246" s="87" t="s">
        <v>6405</v>
      </c>
      <c r="S246" s="87" t="s">
        <v>6455</v>
      </c>
      <c r="T246" s="87" t="s">
        <v>6404</v>
      </c>
    </row>
    <row r="247" spans="1:20" ht="15.75" customHeight="1">
      <c r="A247" s="9" t="s">
        <v>2941</v>
      </c>
      <c r="B247" s="9" t="s">
        <v>7430</v>
      </c>
      <c r="C247" s="9" t="s">
        <v>6236</v>
      </c>
      <c r="D247" s="87" t="s">
        <v>6393</v>
      </c>
      <c r="E247" s="9" t="s">
        <v>431</v>
      </c>
      <c r="F247" s="9" t="s">
        <v>368</v>
      </c>
      <c r="G247" s="9" t="s">
        <v>436</v>
      </c>
      <c r="H247" s="9" t="s">
        <v>434</v>
      </c>
      <c r="I247" s="87" t="s">
        <v>6237</v>
      </c>
      <c r="J247" s="87" t="s">
        <v>6245</v>
      </c>
      <c r="K247" s="87" t="s">
        <v>6245</v>
      </c>
      <c r="L247" s="87" t="s">
        <v>6240</v>
      </c>
      <c r="M247" s="87" t="s">
        <v>6840</v>
      </c>
      <c r="N247" s="9" t="s">
        <v>7043</v>
      </c>
      <c r="O247" s="87" t="s">
        <v>6245</v>
      </c>
      <c r="P247" s="9" t="s">
        <v>6243</v>
      </c>
      <c r="Q247" s="87" t="s">
        <v>6238</v>
      </c>
      <c r="R247" s="87" t="s">
        <v>6245</v>
      </c>
      <c r="S247" s="87" t="s">
        <v>6484</v>
      </c>
      <c r="T247" s="87" t="s">
        <v>6333</v>
      </c>
    </row>
    <row r="248" spans="1:20" ht="15.75" customHeight="1">
      <c r="A248" s="9" t="s">
        <v>2941</v>
      </c>
      <c r="B248" s="9" t="s">
        <v>7431</v>
      </c>
      <c r="C248" s="9" t="s">
        <v>6923</v>
      </c>
      <c r="D248" s="87" t="s">
        <v>6461</v>
      </c>
      <c r="E248" s="9" t="s">
        <v>6924</v>
      </c>
      <c r="F248" s="9" t="s">
        <v>6925</v>
      </c>
      <c r="G248" s="9" t="s">
        <v>383</v>
      </c>
      <c r="H248" s="9" t="s">
        <v>427</v>
      </c>
      <c r="I248" s="87" t="s">
        <v>6405</v>
      </c>
      <c r="J248" s="87" t="s">
        <v>6334</v>
      </c>
      <c r="K248" s="87" t="s">
        <v>6939</v>
      </c>
      <c r="L248" s="87" t="s">
        <v>4014</v>
      </c>
      <c r="M248" s="87" t="s">
        <v>6452</v>
      </c>
      <c r="N248" s="9" t="s">
        <v>7034</v>
      </c>
      <c r="O248" s="87" t="s">
        <v>6239</v>
      </c>
      <c r="P248" s="9" t="s">
        <v>6243</v>
      </c>
      <c r="Q248" s="87" t="s">
        <v>3764</v>
      </c>
      <c r="R248" s="87" t="s">
        <v>6334</v>
      </c>
      <c r="S248" s="87" t="s">
        <v>7035</v>
      </c>
      <c r="T248" s="87" t="s">
        <v>6341</v>
      </c>
    </row>
    <row r="249" spans="1:20" ht="15.75" customHeight="1">
      <c r="A249" s="9" t="s">
        <v>2941</v>
      </c>
      <c r="B249" s="9" t="s">
        <v>7431</v>
      </c>
      <c r="C249" s="9" t="s">
        <v>7228</v>
      </c>
      <c r="D249" s="87" t="s">
        <v>6237</v>
      </c>
      <c r="E249" s="9" t="s">
        <v>6924</v>
      </c>
      <c r="F249" s="9" t="s">
        <v>11</v>
      </c>
      <c r="G249" s="9" t="s">
        <v>383</v>
      </c>
      <c r="H249" s="9" t="s">
        <v>426</v>
      </c>
      <c r="I249" s="87" t="s">
        <v>6405</v>
      </c>
      <c r="J249" s="87" t="s">
        <v>6334</v>
      </c>
      <c r="K249" s="87" t="s">
        <v>6334</v>
      </c>
      <c r="L249" s="87" t="s">
        <v>6287</v>
      </c>
      <c r="M249" s="87" t="s">
        <v>6466</v>
      </c>
      <c r="N249" s="9" t="s">
        <v>6979</v>
      </c>
      <c r="O249" s="87" t="s">
        <v>6498</v>
      </c>
      <c r="P249" s="9" t="s">
        <v>6243</v>
      </c>
      <c r="Q249" s="87" t="s">
        <v>4019</v>
      </c>
      <c r="R249" s="87" t="s">
        <v>6334</v>
      </c>
      <c r="S249" s="87" t="s">
        <v>6392</v>
      </c>
      <c r="T249" s="87" t="s">
        <v>6341</v>
      </c>
    </row>
    <row r="250" spans="1:20" ht="15.75" customHeight="1">
      <c r="A250" s="9" t="s">
        <v>2904</v>
      </c>
      <c r="B250" s="9" t="s">
        <v>7432</v>
      </c>
      <c r="C250" s="9" t="s">
        <v>6236</v>
      </c>
      <c r="D250" s="87" t="s">
        <v>6393</v>
      </c>
      <c r="E250" s="9" t="s">
        <v>431</v>
      </c>
      <c r="F250" s="9" t="s">
        <v>368</v>
      </c>
      <c r="G250" s="9" t="s">
        <v>436</v>
      </c>
      <c r="H250" s="9" t="s">
        <v>434</v>
      </c>
      <c r="I250" s="87" t="s">
        <v>6237</v>
      </c>
      <c r="J250" s="87" t="s">
        <v>6296</v>
      </c>
      <c r="K250" s="87" t="s">
        <v>6296</v>
      </c>
      <c r="L250" s="87" t="s">
        <v>6240</v>
      </c>
      <c r="M250" s="87" t="s">
        <v>6466</v>
      </c>
      <c r="N250" s="9" t="s">
        <v>7433</v>
      </c>
      <c r="O250" s="87" t="s">
        <v>6296</v>
      </c>
      <c r="P250" s="9" t="s">
        <v>6243</v>
      </c>
      <c r="Q250" s="87" t="s">
        <v>6287</v>
      </c>
      <c r="R250" s="87" t="s">
        <v>6296</v>
      </c>
      <c r="S250" s="87" t="s">
        <v>5381</v>
      </c>
      <c r="T250" s="87" t="s">
        <v>6367</v>
      </c>
    </row>
    <row r="251" spans="1:20" ht="15.75" customHeight="1">
      <c r="A251" s="9" t="s">
        <v>2904</v>
      </c>
      <c r="B251" s="9" t="s">
        <v>7434</v>
      </c>
      <c r="C251" s="9" t="s">
        <v>6671</v>
      </c>
      <c r="D251" s="87" t="s">
        <v>6296</v>
      </c>
      <c r="E251" s="9" t="s">
        <v>6672</v>
      </c>
      <c r="F251" s="9" t="s">
        <v>439</v>
      </c>
      <c r="G251" s="9" t="s">
        <v>436</v>
      </c>
      <c r="H251" s="9" t="s">
        <v>440</v>
      </c>
      <c r="I251" s="87" t="s">
        <v>6405</v>
      </c>
      <c r="J251" s="87" t="s">
        <v>6296</v>
      </c>
      <c r="K251" s="87" t="s">
        <v>6435</v>
      </c>
      <c r="L251" s="87" t="s">
        <v>6240</v>
      </c>
      <c r="M251" s="87" t="s">
        <v>6471</v>
      </c>
      <c r="N251" s="9" t="s">
        <v>7052</v>
      </c>
      <c r="O251" s="87" t="s">
        <v>6435</v>
      </c>
      <c r="P251" s="9" t="s">
        <v>6243</v>
      </c>
      <c r="Q251" s="87" t="s">
        <v>6250</v>
      </c>
      <c r="R251" s="87" t="s">
        <v>6296</v>
      </c>
      <c r="S251" s="87" t="s">
        <v>6327</v>
      </c>
      <c r="T251" s="87" t="s">
        <v>6433</v>
      </c>
    </row>
    <row r="252" spans="1:20" ht="15.75" customHeight="1">
      <c r="A252" s="9" t="s">
        <v>2904</v>
      </c>
      <c r="B252" s="9" t="s">
        <v>7434</v>
      </c>
      <c r="C252" s="9" t="s">
        <v>6671</v>
      </c>
      <c r="D252" s="87" t="s">
        <v>6296</v>
      </c>
      <c r="E252" s="9" t="s">
        <v>6672</v>
      </c>
      <c r="F252" s="9" t="s">
        <v>439</v>
      </c>
      <c r="G252" s="9" t="s">
        <v>436</v>
      </c>
      <c r="H252" s="9" t="s">
        <v>440</v>
      </c>
      <c r="I252" s="87" t="s">
        <v>6405</v>
      </c>
      <c r="J252" s="87" t="s">
        <v>6296</v>
      </c>
      <c r="K252" s="87" t="s">
        <v>6251</v>
      </c>
      <c r="L252" s="87" t="s">
        <v>6240</v>
      </c>
      <c r="M252" s="87" t="s">
        <v>6475</v>
      </c>
      <c r="N252" s="9" t="s">
        <v>7435</v>
      </c>
      <c r="O252" s="87" t="s">
        <v>6251</v>
      </c>
      <c r="P252" s="9" t="s">
        <v>6243</v>
      </c>
      <c r="Q252" s="87" t="s">
        <v>6254</v>
      </c>
      <c r="R252" s="87" t="s">
        <v>6296</v>
      </c>
      <c r="S252" s="87" t="s">
        <v>6395</v>
      </c>
      <c r="T252" s="87" t="s">
        <v>6645</v>
      </c>
    </row>
    <row r="253" spans="1:20" ht="15.75" customHeight="1">
      <c r="A253" s="9" t="s">
        <v>2904</v>
      </c>
      <c r="B253" s="9" t="s">
        <v>7436</v>
      </c>
      <c r="C253" s="9" t="s">
        <v>6923</v>
      </c>
      <c r="D253" s="87" t="s">
        <v>6327</v>
      </c>
      <c r="E253" s="9" t="s">
        <v>6924</v>
      </c>
      <c r="F253" s="9" t="s">
        <v>6925</v>
      </c>
      <c r="G253" s="9" t="s">
        <v>383</v>
      </c>
      <c r="H253" s="9" t="s">
        <v>444</v>
      </c>
      <c r="I253" s="87" t="s">
        <v>6405</v>
      </c>
      <c r="J253" s="87" t="s">
        <v>6405</v>
      </c>
      <c r="K253" s="87" t="s">
        <v>6926</v>
      </c>
      <c r="L253" s="87" t="s">
        <v>6484</v>
      </c>
      <c r="M253" s="87" t="s">
        <v>6481</v>
      </c>
      <c r="N253" s="9" t="s">
        <v>7046</v>
      </c>
      <c r="O253" s="87" t="s">
        <v>6810</v>
      </c>
      <c r="P253" s="9" t="s">
        <v>6243</v>
      </c>
      <c r="Q253" s="87" t="s">
        <v>6484</v>
      </c>
      <c r="R253" s="87" t="s">
        <v>6405</v>
      </c>
      <c r="S253" s="87" t="s">
        <v>6367</v>
      </c>
      <c r="T253" s="87" t="s">
        <v>6341</v>
      </c>
    </row>
    <row r="254" spans="1:20" ht="15.75" customHeight="1">
      <c r="A254" s="9" t="s">
        <v>2985</v>
      </c>
      <c r="B254" s="9" t="s">
        <v>7437</v>
      </c>
      <c r="C254" s="9" t="s">
        <v>6236</v>
      </c>
      <c r="D254" s="87" t="s">
        <v>6393</v>
      </c>
      <c r="E254" s="9" t="s">
        <v>431</v>
      </c>
      <c r="F254" s="9" t="s">
        <v>368</v>
      </c>
      <c r="G254" s="9" t="s">
        <v>436</v>
      </c>
      <c r="H254" s="9" t="s">
        <v>434</v>
      </c>
      <c r="I254" s="87" t="s">
        <v>6237</v>
      </c>
      <c r="J254" s="87" t="s">
        <v>6323</v>
      </c>
      <c r="K254" s="87" t="s">
        <v>6323</v>
      </c>
      <c r="L254" s="87" t="s">
        <v>6240</v>
      </c>
      <c r="M254" s="87" t="s">
        <v>6828</v>
      </c>
      <c r="N254" s="9" t="s">
        <v>7047</v>
      </c>
      <c r="O254" s="87" t="s">
        <v>6323</v>
      </c>
      <c r="P254" s="9" t="s">
        <v>6243</v>
      </c>
      <c r="Q254" s="87" t="s">
        <v>5374</v>
      </c>
      <c r="R254" s="87" t="s">
        <v>6323</v>
      </c>
      <c r="S254" s="87" t="s">
        <v>6409</v>
      </c>
      <c r="T254" s="87" t="s">
        <v>6367</v>
      </c>
    </row>
    <row r="255" spans="1:20" ht="15.75" customHeight="1">
      <c r="A255" s="9" t="s">
        <v>2985</v>
      </c>
      <c r="B255" s="9" t="s">
        <v>7438</v>
      </c>
      <c r="C255" s="9" t="s">
        <v>6671</v>
      </c>
      <c r="D255" s="87" t="s">
        <v>6296</v>
      </c>
      <c r="E255" s="9" t="s">
        <v>6672</v>
      </c>
      <c r="F255" s="9" t="s">
        <v>439</v>
      </c>
      <c r="G255" s="9" t="s">
        <v>436</v>
      </c>
      <c r="H255" s="9" t="s">
        <v>440</v>
      </c>
      <c r="I255" s="87" t="s">
        <v>6405</v>
      </c>
      <c r="J255" s="87" t="s">
        <v>6245</v>
      </c>
      <c r="K255" s="87" t="s">
        <v>6245</v>
      </c>
      <c r="L255" s="87" t="s">
        <v>6240</v>
      </c>
      <c r="M255" s="87" t="s">
        <v>6826</v>
      </c>
      <c r="N255" s="9" t="s">
        <v>7001</v>
      </c>
      <c r="O255" s="87" t="s">
        <v>6245</v>
      </c>
      <c r="P255" s="9" t="s">
        <v>6243</v>
      </c>
      <c r="Q255" s="87" t="s">
        <v>6238</v>
      </c>
      <c r="R255" s="87" t="s">
        <v>6245</v>
      </c>
      <c r="S255" s="87" t="s">
        <v>6263</v>
      </c>
      <c r="T255" s="87" t="s">
        <v>6341</v>
      </c>
    </row>
    <row r="256" spans="1:20" ht="15.75" customHeight="1">
      <c r="A256" s="9" t="s">
        <v>2985</v>
      </c>
      <c r="B256" s="9" t="s">
        <v>7439</v>
      </c>
      <c r="C256" s="9" t="s">
        <v>6923</v>
      </c>
      <c r="D256" s="87" t="s">
        <v>6264</v>
      </c>
      <c r="E256" s="9" t="s">
        <v>6924</v>
      </c>
      <c r="F256" s="9" t="s">
        <v>6925</v>
      </c>
      <c r="G256" s="9" t="s">
        <v>383</v>
      </c>
      <c r="H256" s="9" t="s">
        <v>449</v>
      </c>
      <c r="I256" s="87" t="s">
        <v>6405</v>
      </c>
      <c r="J256" s="87" t="s">
        <v>6405</v>
      </c>
      <c r="K256" s="87" t="s">
        <v>6926</v>
      </c>
      <c r="L256" s="87" t="s">
        <v>6238</v>
      </c>
      <c r="M256" s="87" t="s">
        <v>6452</v>
      </c>
      <c r="N256" s="9" t="s">
        <v>7440</v>
      </c>
      <c r="O256" s="87" t="s">
        <v>6245</v>
      </c>
      <c r="P256" s="9" t="s">
        <v>6243</v>
      </c>
      <c r="Q256" s="87" t="s">
        <v>6238</v>
      </c>
      <c r="R256" s="87" t="s">
        <v>6405</v>
      </c>
      <c r="S256" s="87" t="s">
        <v>6570</v>
      </c>
      <c r="T256" s="87" t="s">
        <v>6455</v>
      </c>
    </row>
    <row r="257" spans="1:20" ht="15.75" customHeight="1">
      <c r="A257" s="9" t="s">
        <v>2985</v>
      </c>
      <c r="B257" s="9" t="s">
        <v>7439</v>
      </c>
      <c r="C257" s="9" t="s">
        <v>7228</v>
      </c>
      <c r="D257" s="87" t="s">
        <v>6405</v>
      </c>
      <c r="E257" s="9" t="s">
        <v>6924</v>
      </c>
      <c r="F257" s="9" t="s">
        <v>11</v>
      </c>
      <c r="G257" s="9" t="s">
        <v>383</v>
      </c>
      <c r="H257" s="9" t="s">
        <v>426</v>
      </c>
      <c r="I257" s="87" t="s">
        <v>6405</v>
      </c>
      <c r="J257" s="87" t="s">
        <v>6405</v>
      </c>
      <c r="K257" s="87" t="s">
        <v>6405</v>
      </c>
      <c r="L257" s="87" t="s">
        <v>6293</v>
      </c>
      <c r="M257" s="87" t="s">
        <v>6466</v>
      </c>
      <c r="N257" s="9" t="s">
        <v>7441</v>
      </c>
      <c r="O257" s="87" t="s">
        <v>6290</v>
      </c>
      <c r="P257" s="9" t="s">
        <v>6243</v>
      </c>
      <c r="Q257" s="87" t="s">
        <v>6293</v>
      </c>
      <c r="R257" s="87" t="s">
        <v>6405</v>
      </c>
      <c r="S257" s="87" t="s">
        <v>6293</v>
      </c>
      <c r="T257" s="87" t="s">
        <v>6606</v>
      </c>
    </row>
    <row r="258" spans="1:20" ht="15.75" customHeight="1">
      <c r="A258" s="9" t="s">
        <v>2917</v>
      </c>
      <c r="B258" s="9" t="s">
        <v>7442</v>
      </c>
      <c r="C258" s="9" t="s">
        <v>6236</v>
      </c>
      <c r="D258" s="87" t="s">
        <v>6393</v>
      </c>
      <c r="E258" s="9" t="s">
        <v>431</v>
      </c>
      <c r="F258" s="9" t="s">
        <v>368</v>
      </c>
      <c r="G258" s="9" t="s">
        <v>436</v>
      </c>
      <c r="H258" s="9" t="s">
        <v>434</v>
      </c>
      <c r="I258" s="87" t="s">
        <v>6237</v>
      </c>
      <c r="J258" s="87" t="s">
        <v>6299</v>
      </c>
      <c r="K258" s="87" t="s">
        <v>6299</v>
      </c>
      <c r="L258" s="87" t="s">
        <v>6240</v>
      </c>
      <c r="M258" s="87" t="s">
        <v>6828</v>
      </c>
      <c r="N258" s="9" t="s">
        <v>7049</v>
      </c>
      <c r="O258" s="87" t="s">
        <v>6299</v>
      </c>
      <c r="P258" s="9" t="s">
        <v>6243</v>
      </c>
      <c r="Q258" s="87" t="s">
        <v>3231</v>
      </c>
      <c r="R258" s="87" t="s">
        <v>6299</v>
      </c>
      <c r="S258" s="87" t="s">
        <v>6348</v>
      </c>
      <c r="T258" s="87" t="s">
        <v>6361</v>
      </c>
    </row>
    <row r="259" spans="1:20" ht="15.75" customHeight="1">
      <c r="A259" s="9" t="s">
        <v>2917</v>
      </c>
      <c r="B259" s="9" t="s">
        <v>7443</v>
      </c>
      <c r="C259" s="9" t="s">
        <v>6923</v>
      </c>
      <c r="D259" s="87" t="s">
        <v>6461</v>
      </c>
      <c r="E259" s="9" t="s">
        <v>6924</v>
      </c>
      <c r="F259" s="9" t="s">
        <v>6925</v>
      </c>
      <c r="G259" s="9" t="s">
        <v>383</v>
      </c>
      <c r="H259" s="9" t="s">
        <v>427</v>
      </c>
      <c r="I259" s="87" t="s">
        <v>6405</v>
      </c>
      <c r="J259" s="87" t="s">
        <v>6334</v>
      </c>
      <c r="K259" s="87" t="s">
        <v>6939</v>
      </c>
      <c r="L259" s="87" t="s">
        <v>6464</v>
      </c>
      <c r="M259" s="87" t="s">
        <v>6466</v>
      </c>
      <c r="N259" s="9" t="s">
        <v>6945</v>
      </c>
      <c r="O259" s="87" t="s">
        <v>6500</v>
      </c>
      <c r="P259" s="9" t="s">
        <v>6243</v>
      </c>
      <c r="Q259" s="87" t="s">
        <v>3749</v>
      </c>
      <c r="R259" s="87" t="s">
        <v>6334</v>
      </c>
      <c r="S259" s="87" t="s">
        <v>6327</v>
      </c>
      <c r="T259" s="87" t="s">
        <v>6341</v>
      </c>
    </row>
    <row r="260" spans="1:20" ht="15.75" customHeight="1">
      <c r="A260" s="9" t="s">
        <v>2917</v>
      </c>
      <c r="B260" s="9" t="s">
        <v>7443</v>
      </c>
      <c r="C260" s="9" t="s">
        <v>7228</v>
      </c>
      <c r="D260" s="87" t="s">
        <v>6237</v>
      </c>
      <c r="E260" s="9" t="s">
        <v>6924</v>
      </c>
      <c r="F260" s="9" t="s">
        <v>11</v>
      </c>
      <c r="G260" s="9" t="s">
        <v>383</v>
      </c>
      <c r="H260" s="9" t="s">
        <v>426</v>
      </c>
      <c r="I260" s="87" t="s">
        <v>6405</v>
      </c>
      <c r="J260" s="87" t="s">
        <v>6334</v>
      </c>
      <c r="K260" s="87" t="s">
        <v>6334</v>
      </c>
      <c r="L260" s="87" t="s">
        <v>6474</v>
      </c>
      <c r="M260" s="87" t="s">
        <v>6469</v>
      </c>
      <c r="N260" s="9" t="s">
        <v>6946</v>
      </c>
      <c r="O260" s="87" t="s">
        <v>6302</v>
      </c>
      <c r="P260" s="9" t="s">
        <v>6243</v>
      </c>
      <c r="Q260" s="87" t="s">
        <v>6464</v>
      </c>
      <c r="R260" s="87" t="s">
        <v>6334</v>
      </c>
      <c r="S260" s="87" t="s">
        <v>6409</v>
      </c>
      <c r="T260" s="87" t="s">
        <v>6341</v>
      </c>
    </row>
    <row r="261" spans="1:20" ht="15.75" customHeight="1">
      <c r="A261" s="9" t="s">
        <v>2940</v>
      </c>
      <c r="B261" s="9" t="s">
        <v>7444</v>
      </c>
      <c r="C261" s="9" t="s">
        <v>6236</v>
      </c>
      <c r="D261" s="87" t="s">
        <v>6393</v>
      </c>
      <c r="E261" s="9" t="s">
        <v>431</v>
      </c>
      <c r="F261" s="9" t="s">
        <v>368</v>
      </c>
      <c r="G261" s="9" t="s">
        <v>436</v>
      </c>
      <c r="H261" s="9" t="s">
        <v>434</v>
      </c>
      <c r="I261" s="87" t="s">
        <v>6264</v>
      </c>
      <c r="J261" s="87" t="s">
        <v>6504</v>
      </c>
      <c r="K261" s="87" t="s">
        <v>6259</v>
      </c>
      <c r="L261" s="87" t="s">
        <v>6240</v>
      </c>
      <c r="M261" s="87" t="s">
        <v>6475</v>
      </c>
      <c r="N261" s="9" t="s">
        <v>7445</v>
      </c>
      <c r="O261" s="87" t="s">
        <v>6259</v>
      </c>
      <c r="P261" s="9" t="s">
        <v>6243</v>
      </c>
      <c r="Q261" s="87" t="s">
        <v>6932</v>
      </c>
      <c r="R261" s="87" t="s">
        <v>6504</v>
      </c>
      <c r="S261" s="87" t="s">
        <v>6327</v>
      </c>
      <c r="T261" s="87" t="s">
        <v>6302</v>
      </c>
    </row>
    <row r="262" spans="1:20" ht="15.75" customHeight="1">
      <c r="A262" s="9" t="s">
        <v>2940</v>
      </c>
      <c r="B262" s="9" t="s">
        <v>7444</v>
      </c>
      <c r="C262" s="9" t="s">
        <v>6236</v>
      </c>
      <c r="D262" s="87" t="s">
        <v>6393</v>
      </c>
      <c r="E262" s="9" t="s">
        <v>431</v>
      </c>
      <c r="F262" s="9" t="s">
        <v>368</v>
      </c>
      <c r="G262" s="9" t="s">
        <v>436</v>
      </c>
      <c r="H262" s="9" t="s">
        <v>434</v>
      </c>
      <c r="I262" s="87" t="s">
        <v>6264</v>
      </c>
      <c r="J262" s="87" t="s">
        <v>6504</v>
      </c>
      <c r="K262" s="87" t="s">
        <v>6239</v>
      </c>
      <c r="L262" s="87" t="s">
        <v>6240</v>
      </c>
      <c r="M262" s="87" t="s">
        <v>6481</v>
      </c>
      <c r="N262" s="9" t="s">
        <v>6928</v>
      </c>
      <c r="O262" s="87" t="s">
        <v>6239</v>
      </c>
      <c r="P262" s="9" t="s">
        <v>6243</v>
      </c>
      <c r="Q262" s="87" t="s">
        <v>3764</v>
      </c>
      <c r="R262" s="87" t="s">
        <v>6504</v>
      </c>
      <c r="S262" s="87" t="s">
        <v>6327</v>
      </c>
      <c r="T262" s="87" t="s">
        <v>6645</v>
      </c>
    </row>
    <row r="263" spans="1:20" ht="15.75" customHeight="1">
      <c r="A263" s="9" t="s">
        <v>2940</v>
      </c>
      <c r="B263" s="9" t="s">
        <v>7444</v>
      </c>
      <c r="C263" s="9" t="s">
        <v>6236</v>
      </c>
      <c r="D263" s="87" t="s">
        <v>6393</v>
      </c>
      <c r="E263" s="9" t="s">
        <v>431</v>
      </c>
      <c r="F263" s="9" t="s">
        <v>368</v>
      </c>
      <c r="G263" s="9" t="s">
        <v>436</v>
      </c>
      <c r="H263" s="9" t="s">
        <v>434</v>
      </c>
      <c r="I263" s="87" t="s">
        <v>6264</v>
      </c>
      <c r="J263" s="87" t="s">
        <v>6504</v>
      </c>
      <c r="K263" s="87" t="s">
        <v>6284</v>
      </c>
      <c r="L263" s="87" t="s">
        <v>6240</v>
      </c>
      <c r="M263" s="87" t="s">
        <v>6490</v>
      </c>
      <c r="N263" s="9" t="s">
        <v>7446</v>
      </c>
      <c r="O263" s="87" t="s">
        <v>6284</v>
      </c>
      <c r="P263" s="9" t="s">
        <v>6243</v>
      </c>
      <c r="Q263" s="87" t="s">
        <v>7447</v>
      </c>
      <c r="R263" s="87" t="s">
        <v>6504</v>
      </c>
      <c r="S263" s="87" t="s">
        <v>6414</v>
      </c>
      <c r="T263" s="87" t="s">
        <v>6645</v>
      </c>
    </row>
    <row r="264" spans="1:20" ht="15.75" customHeight="1">
      <c r="A264" s="9" t="s">
        <v>2940</v>
      </c>
      <c r="B264" s="9" t="s">
        <v>7448</v>
      </c>
      <c r="C264" s="9" t="s">
        <v>6671</v>
      </c>
      <c r="D264" s="87" t="s">
        <v>6296</v>
      </c>
      <c r="E264" s="9" t="s">
        <v>6672</v>
      </c>
      <c r="F264" s="9" t="s">
        <v>439</v>
      </c>
      <c r="G264" s="9" t="s">
        <v>436</v>
      </c>
      <c r="H264" s="9" t="s">
        <v>440</v>
      </c>
      <c r="I264" s="87" t="s">
        <v>6405</v>
      </c>
      <c r="J264" s="87" t="s">
        <v>6573</v>
      </c>
      <c r="K264" s="87" t="s">
        <v>6239</v>
      </c>
      <c r="L264" s="87" t="s">
        <v>6240</v>
      </c>
      <c r="M264" s="87" t="s">
        <v>6491</v>
      </c>
      <c r="N264" s="9" t="s">
        <v>6928</v>
      </c>
      <c r="O264" s="87" t="s">
        <v>6239</v>
      </c>
      <c r="P264" s="9" t="s">
        <v>6243</v>
      </c>
      <c r="Q264" s="87" t="s">
        <v>3764</v>
      </c>
      <c r="R264" s="87" t="s">
        <v>6573</v>
      </c>
      <c r="S264" s="87" t="s">
        <v>6327</v>
      </c>
      <c r="T264" s="87" t="s">
        <v>6645</v>
      </c>
    </row>
    <row r="265" spans="1:20" ht="15.75" customHeight="1">
      <c r="A265" s="9" t="s">
        <v>2940</v>
      </c>
      <c r="B265" s="9" t="s">
        <v>7448</v>
      </c>
      <c r="C265" s="9" t="s">
        <v>6671</v>
      </c>
      <c r="D265" s="87" t="s">
        <v>6296</v>
      </c>
      <c r="E265" s="9" t="s">
        <v>6672</v>
      </c>
      <c r="F265" s="9" t="s">
        <v>439</v>
      </c>
      <c r="G265" s="9" t="s">
        <v>436</v>
      </c>
      <c r="H265" s="9" t="s">
        <v>440</v>
      </c>
      <c r="I265" s="87" t="s">
        <v>6405</v>
      </c>
      <c r="J265" s="87" t="s">
        <v>6573</v>
      </c>
      <c r="K265" s="87" t="s">
        <v>6486</v>
      </c>
      <c r="L265" s="87" t="s">
        <v>6240</v>
      </c>
      <c r="M265" s="87" t="s">
        <v>6492</v>
      </c>
      <c r="N265" s="9" t="s">
        <v>6969</v>
      </c>
      <c r="O265" s="87" t="s">
        <v>6486</v>
      </c>
      <c r="P265" s="9" t="s">
        <v>6243</v>
      </c>
      <c r="Q265" s="87" t="s">
        <v>5079</v>
      </c>
      <c r="R265" s="87" t="s">
        <v>6573</v>
      </c>
      <c r="S265" s="87" t="s">
        <v>6526</v>
      </c>
      <c r="T265" s="87" t="s">
        <v>6645</v>
      </c>
    </row>
    <row r="266" spans="1:20" ht="15.75" customHeight="1">
      <c r="A266" s="9" t="s">
        <v>2940</v>
      </c>
      <c r="B266" s="9" t="s">
        <v>7449</v>
      </c>
      <c r="C266" s="9" t="s">
        <v>6923</v>
      </c>
      <c r="D266" s="87" t="s">
        <v>6264</v>
      </c>
      <c r="E266" s="9" t="s">
        <v>6924</v>
      </c>
      <c r="F266" s="9" t="s">
        <v>6925</v>
      </c>
      <c r="G266" s="9" t="s">
        <v>383</v>
      </c>
      <c r="H266" s="9" t="s">
        <v>449</v>
      </c>
      <c r="I266" s="87" t="s">
        <v>6405</v>
      </c>
      <c r="J266" s="87" t="s">
        <v>6461</v>
      </c>
      <c r="K266" s="87" t="s">
        <v>6931</v>
      </c>
      <c r="L266" s="87" t="s">
        <v>6410</v>
      </c>
      <c r="M266" s="87" t="s">
        <v>6510</v>
      </c>
      <c r="N266" s="9" t="s">
        <v>7450</v>
      </c>
      <c r="O266" s="87" t="s">
        <v>6651</v>
      </c>
      <c r="P266" s="9" t="s">
        <v>6243</v>
      </c>
      <c r="Q266" s="87" t="s">
        <v>6654</v>
      </c>
      <c r="R266" s="87" t="s">
        <v>6461</v>
      </c>
      <c r="S266" s="87" t="s">
        <v>7035</v>
      </c>
      <c r="T266" s="87" t="s">
        <v>6316</v>
      </c>
    </row>
    <row r="267" spans="1:20" ht="15.75" customHeight="1">
      <c r="A267" s="9" t="s">
        <v>2940</v>
      </c>
      <c r="B267" s="9" t="s">
        <v>7449</v>
      </c>
      <c r="C267" s="9" t="s">
        <v>7228</v>
      </c>
      <c r="D267" s="87" t="s">
        <v>6405</v>
      </c>
      <c r="E267" s="9" t="s">
        <v>6924</v>
      </c>
      <c r="F267" s="9" t="s">
        <v>11</v>
      </c>
      <c r="G267" s="9" t="s">
        <v>383</v>
      </c>
      <c r="H267" s="9" t="s">
        <v>426</v>
      </c>
      <c r="I267" s="87" t="s">
        <v>6405</v>
      </c>
      <c r="J267" s="87" t="s">
        <v>6264</v>
      </c>
      <c r="K267" s="87" t="s">
        <v>6264</v>
      </c>
      <c r="L267" s="87" t="s">
        <v>6293</v>
      </c>
      <c r="M267" s="87" t="s">
        <v>6511</v>
      </c>
      <c r="N267" s="9" t="s">
        <v>7451</v>
      </c>
      <c r="O267" s="87" t="s">
        <v>6255</v>
      </c>
      <c r="P267" s="9" t="s">
        <v>6243</v>
      </c>
      <c r="Q267" s="87" t="s">
        <v>4947</v>
      </c>
      <c r="R267" s="87" t="s">
        <v>6264</v>
      </c>
      <c r="S267" s="87" t="s">
        <v>6400</v>
      </c>
      <c r="T267" s="87" t="s">
        <v>6416</v>
      </c>
    </row>
    <row r="268" spans="1:20" ht="15.75" customHeight="1">
      <c r="A268" s="9" t="s">
        <v>2940</v>
      </c>
      <c r="B268" s="9" t="s">
        <v>7452</v>
      </c>
      <c r="C268" s="9" t="s">
        <v>6923</v>
      </c>
      <c r="D268" s="87" t="s">
        <v>6264</v>
      </c>
      <c r="E268" s="9" t="s">
        <v>6924</v>
      </c>
      <c r="F268" s="9" t="s">
        <v>6925</v>
      </c>
      <c r="G268" s="9" t="s">
        <v>383</v>
      </c>
      <c r="H268" s="9" t="s">
        <v>449</v>
      </c>
      <c r="I268" s="87" t="s">
        <v>6405</v>
      </c>
      <c r="J268" s="87" t="s">
        <v>6461</v>
      </c>
      <c r="K268" s="87" t="s">
        <v>6931</v>
      </c>
      <c r="L268" s="87" t="s">
        <v>6410</v>
      </c>
      <c r="M268" s="87" t="s">
        <v>6511</v>
      </c>
      <c r="N268" s="9" t="s">
        <v>7055</v>
      </c>
      <c r="O268" s="87" t="s">
        <v>6651</v>
      </c>
      <c r="P268" s="9" t="s">
        <v>6243</v>
      </c>
      <c r="Q268" s="87" t="s">
        <v>6654</v>
      </c>
      <c r="R268" s="87" t="s">
        <v>6461</v>
      </c>
      <c r="S268" s="87" t="s">
        <v>6313</v>
      </c>
      <c r="T268" s="87" t="s">
        <v>6341</v>
      </c>
    </row>
    <row r="269" spans="1:20" ht="15.75" customHeight="1">
      <c r="A269" s="9" t="s">
        <v>2940</v>
      </c>
      <c r="B269" s="9" t="s">
        <v>7452</v>
      </c>
      <c r="C269" s="9" t="s">
        <v>7228</v>
      </c>
      <c r="D269" s="87" t="s">
        <v>6405</v>
      </c>
      <c r="E269" s="9" t="s">
        <v>6924</v>
      </c>
      <c r="F269" s="9" t="s">
        <v>11</v>
      </c>
      <c r="G269" s="9" t="s">
        <v>383</v>
      </c>
      <c r="H269" s="9" t="s">
        <v>426</v>
      </c>
      <c r="I269" s="87" t="s">
        <v>6405</v>
      </c>
      <c r="J269" s="87" t="s">
        <v>6264</v>
      </c>
      <c r="K269" s="87" t="s">
        <v>6264</v>
      </c>
      <c r="L269" s="87" t="s">
        <v>6293</v>
      </c>
      <c r="M269" s="87" t="s">
        <v>6513</v>
      </c>
      <c r="N269" s="9" t="s">
        <v>7180</v>
      </c>
      <c r="O269" s="87" t="s">
        <v>6255</v>
      </c>
      <c r="P269" s="9" t="s">
        <v>6243</v>
      </c>
      <c r="Q269" s="87" t="s">
        <v>4947</v>
      </c>
      <c r="R269" s="87" t="s">
        <v>6264</v>
      </c>
      <c r="S269" s="87" t="s">
        <v>6360</v>
      </c>
      <c r="T269" s="87" t="s">
        <v>6341</v>
      </c>
    </row>
    <row r="270" spans="1:20" ht="15.75" customHeight="1">
      <c r="A270" s="9" t="s">
        <v>3006</v>
      </c>
      <c r="B270" s="9" t="s">
        <v>7453</v>
      </c>
      <c r="C270" s="9" t="s">
        <v>6236</v>
      </c>
      <c r="D270" s="87" t="s">
        <v>6393</v>
      </c>
      <c r="E270" s="9" t="s">
        <v>431</v>
      </c>
      <c r="F270" s="9" t="s">
        <v>368</v>
      </c>
      <c r="G270" s="9" t="s">
        <v>436</v>
      </c>
      <c r="H270" s="9" t="s">
        <v>434</v>
      </c>
      <c r="I270" s="87" t="s">
        <v>6237</v>
      </c>
      <c r="J270" s="87" t="s">
        <v>4014</v>
      </c>
      <c r="K270" s="87" t="s">
        <v>6361</v>
      </c>
      <c r="L270" s="87" t="s">
        <v>6240</v>
      </c>
      <c r="M270" s="87" t="s">
        <v>6466</v>
      </c>
      <c r="N270" s="9" t="s">
        <v>6935</v>
      </c>
      <c r="O270" s="87" t="s">
        <v>6361</v>
      </c>
      <c r="P270" s="9" t="s">
        <v>6243</v>
      </c>
      <c r="Q270" s="87" t="s">
        <v>6363</v>
      </c>
      <c r="R270" s="87" t="s">
        <v>4014</v>
      </c>
      <c r="S270" s="87" t="s">
        <v>6327</v>
      </c>
      <c r="T270" s="87" t="s">
        <v>6526</v>
      </c>
    </row>
    <row r="271" spans="1:20" ht="15.75" customHeight="1">
      <c r="A271" s="9" t="s">
        <v>3006</v>
      </c>
      <c r="B271" s="9" t="s">
        <v>7453</v>
      </c>
      <c r="C271" s="9" t="s">
        <v>6236</v>
      </c>
      <c r="D271" s="87" t="s">
        <v>6393</v>
      </c>
      <c r="E271" s="9" t="s">
        <v>431</v>
      </c>
      <c r="F271" s="9" t="s">
        <v>368</v>
      </c>
      <c r="G271" s="9" t="s">
        <v>436</v>
      </c>
      <c r="H271" s="9" t="s">
        <v>434</v>
      </c>
      <c r="I271" s="87" t="s">
        <v>6237</v>
      </c>
      <c r="J271" s="87" t="s">
        <v>4014</v>
      </c>
      <c r="K271" s="87" t="s">
        <v>6239</v>
      </c>
      <c r="L271" s="87" t="s">
        <v>6240</v>
      </c>
      <c r="M271" s="87" t="s">
        <v>6469</v>
      </c>
      <c r="N271" s="9" t="s">
        <v>6928</v>
      </c>
      <c r="O271" s="87" t="s">
        <v>6239</v>
      </c>
      <c r="P271" s="9" t="s">
        <v>6243</v>
      </c>
      <c r="Q271" s="87" t="s">
        <v>3764</v>
      </c>
      <c r="R271" s="87" t="s">
        <v>4014</v>
      </c>
      <c r="S271" s="87" t="s">
        <v>6327</v>
      </c>
      <c r="T271" s="87" t="s">
        <v>6645</v>
      </c>
    </row>
    <row r="272" spans="1:20" ht="15.75" customHeight="1">
      <c r="A272" s="9" t="s">
        <v>3006</v>
      </c>
      <c r="B272" s="9" t="s">
        <v>7453</v>
      </c>
      <c r="C272" s="9" t="s">
        <v>6236</v>
      </c>
      <c r="D272" s="87" t="s">
        <v>6393</v>
      </c>
      <c r="E272" s="9" t="s">
        <v>431</v>
      </c>
      <c r="F272" s="9" t="s">
        <v>368</v>
      </c>
      <c r="G272" s="9" t="s">
        <v>436</v>
      </c>
      <c r="H272" s="9" t="s">
        <v>434</v>
      </c>
      <c r="I272" s="87" t="s">
        <v>6237</v>
      </c>
      <c r="J272" s="87" t="s">
        <v>4014</v>
      </c>
      <c r="K272" s="87" t="s">
        <v>6284</v>
      </c>
      <c r="L272" s="87" t="s">
        <v>6240</v>
      </c>
      <c r="M272" s="87" t="s">
        <v>6470</v>
      </c>
      <c r="N272" s="9" t="s">
        <v>7446</v>
      </c>
      <c r="O272" s="87" t="s">
        <v>6284</v>
      </c>
      <c r="P272" s="9" t="s">
        <v>6243</v>
      </c>
      <c r="Q272" s="87" t="s">
        <v>7447</v>
      </c>
      <c r="R272" s="87" t="s">
        <v>4014</v>
      </c>
      <c r="S272" s="87" t="s">
        <v>6414</v>
      </c>
      <c r="T272" s="87" t="s">
        <v>6645</v>
      </c>
    </row>
    <row r="273" spans="1:20" ht="15.75" customHeight="1">
      <c r="A273" s="9" t="s">
        <v>3006</v>
      </c>
      <c r="B273" s="9" t="s">
        <v>7454</v>
      </c>
      <c r="C273" s="9" t="s">
        <v>6671</v>
      </c>
      <c r="D273" s="87" t="s">
        <v>6296</v>
      </c>
      <c r="E273" s="9" t="s">
        <v>6672</v>
      </c>
      <c r="F273" s="9" t="s">
        <v>439</v>
      </c>
      <c r="G273" s="9" t="s">
        <v>436</v>
      </c>
      <c r="H273" s="9" t="s">
        <v>440</v>
      </c>
      <c r="I273" s="87" t="s">
        <v>6405</v>
      </c>
      <c r="J273" s="87" t="s">
        <v>6248</v>
      </c>
      <c r="K273" s="87" t="s">
        <v>6367</v>
      </c>
      <c r="L273" s="87" t="s">
        <v>6240</v>
      </c>
      <c r="M273" s="87" t="s">
        <v>6475</v>
      </c>
      <c r="N273" s="9" t="s">
        <v>7153</v>
      </c>
      <c r="O273" s="87" t="s">
        <v>6367</v>
      </c>
      <c r="P273" s="9" t="s">
        <v>6243</v>
      </c>
      <c r="Q273" s="87" t="s">
        <v>6814</v>
      </c>
      <c r="R273" s="87" t="s">
        <v>6248</v>
      </c>
      <c r="S273" s="87" t="s">
        <v>6327</v>
      </c>
      <c r="T273" s="87" t="s">
        <v>6525</v>
      </c>
    </row>
    <row r="274" spans="1:20" ht="15.75" customHeight="1">
      <c r="A274" s="9" t="s">
        <v>3006</v>
      </c>
      <c r="B274" s="9" t="s">
        <v>7454</v>
      </c>
      <c r="C274" s="9" t="s">
        <v>6671</v>
      </c>
      <c r="D274" s="87" t="s">
        <v>6296</v>
      </c>
      <c r="E274" s="9" t="s">
        <v>6672</v>
      </c>
      <c r="F274" s="9" t="s">
        <v>439</v>
      </c>
      <c r="G274" s="9" t="s">
        <v>436</v>
      </c>
      <c r="H274" s="9" t="s">
        <v>440</v>
      </c>
      <c r="I274" s="87" t="s">
        <v>6405</v>
      </c>
      <c r="J274" s="87" t="s">
        <v>6248</v>
      </c>
      <c r="K274" s="87" t="s">
        <v>6239</v>
      </c>
      <c r="L274" s="87" t="s">
        <v>6240</v>
      </c>
      <c r="M274" s="87" t="s">
        <v>6481</v>
      </c>
      <c r="N274" s="9" t="s">
        <v>6928</v>
      </c>
      <c r="O274" s="87" t="s">
        <v>6239</v>
      </c>
      <c r="P274" s="9" t="s">
        <v>6243</v>
      </c>
      <c r="Q274" s="87" t="s">
        <v>3764</v>
      </c>
      <c r="R274" s="87" t="s">
        <v>6248</v>
      </c>
      <c r="S274" s="87" t="s">
        <v>6327</v>
      </c>
      <c r="T274" s="87" t="s">
        <v>6645</v>
      </c>
    </row>
    <row r="275" spans="1:20" ht="15.75" customHeight="1">
      <c r="A275" s="9" t="s">
        <v>3006</v>
      </c>
      <c r="B275" s="9" t="s">
        <v>7454</v>
      </c>
      <c r="C275" s="9" t="s">
        <v>6671</v>
      </c>
      <c r="D275" s="87" t="s">
        <v>6296</v>
      </c>
      <c r="E275" s="9" t="s">
        <v>6672</v>
      </c>
      <c r="F275" s="9" t="s">
        <v>439</v>
      </c>
      <c r="G275" s="9" t="s">
        <v>436</v>
      </c>
      <c r="H275" s="9" t="s">
        <v>440</v>
      </c>
      <c r="I275" s="87" t="s">
        <v>6405</v>
      </c>
      <c r="J275" s="87" t="s">
        <v>6248</v>
      </c>
      <c r="K275" s="87" t="s">
        <v>6334</v>
      </c>
      <c r="L275" s="87" t="s">
        <v>6240</v>
      </c>
      <c r="M275" s="87" t="s">
        <v>6490</v>
      </c>
      <c r="N275" s="9" t="s">
        <v>7006</v>
      </c>
      <c r="O275" s="87" t="s">
        <v>6334</v>
      </c>
      <c r="P275" s="9" t="s">
        <v>6243</v>
      </c>
      <c r="Q275" s="87" t="s">
        <v>6290</v>
      </c>
      <c r="R275" s="87" t="s">
        <v>6248</v>
      </c>
      <c r="S275" s="87" t="s">
        <v>6351</v>
      </c>
      <c r="T275" s="87" t="s">
        <v>6645</v>
      </c>
    </row>
    <row r="276" spans="1:20" ht="15.75" customHeight="1">
      <c r="A276" s="9" t="s">
        <v>3006</v>
      </c>
      <c r="B276" s="9" t="s">
        <v>7455</v>
      </c>
      <c r="C276" s="9" t="s">
        <v>6923</v>
      </c>
      <c r="D276" s="87" t="s">
        <v>6461</v>
      </c>
      <c r="E276" s="9" t="s">
        <v>6924</v>
      </c>
      <c r="F276" s="9" t="s">
        <v>6925</v>
      </c>
      <c r="G276" s="9" t="s">
        <v>383</v>
      </c>
      <c r="H276" s="9" t="s">
        <v>427</v>
      </c>
      <c r="I276" s="87" t="s">
        <v>6405</v>
      </c>
      <c r="J276" s="87" t="s">
        <v>6461</v>
      </c>
      <c r="K276" s="87" t="s">
        <v>7033</v>
      </c>
      <c r="L276" s="87" t="s">
        <v>6305</v>
      </c>
      <c r="M276" s="87" t="s">
        <v>6491</v>
      </c>
      <c r="N276" s="9" t="s">
        <v>7058</v>
      </c>
      <c r="O276" s="87" t="s">
        <v>6373</v>
      </c>
      <c r="P276" s="9" t="s">
        <v>6243</v>
      </c>
      <c r="Q276" s="87" t="s">
        <v>3089</v>
      </c>
      <c r="R276" s="87" t="s">
        <v>6461</v>
      </c>
      <c r="S276" s="87" t="s">
        <v>6297</v>
      </c>
      <c r="T276" s="87" t="s">
        <v>6341</v>
      </c>
    </row>
    <row r="277" spans="1:20" ht="15.75" customHeight="1">
      <c r="A277" s="9" t="s">
        <v>3006</v>
      </c>
      <c r="B277" s="9" t="s">
        <v>7455</v>
      </c>
      <c r="C277" s="9" t="s">
        <v>6923</v>
      </c>
      <c r="D277" s="87" t="s">
        <v>6264</v>
      </c>
      <c r="E277" s="9" t="s">
        <v>6924</v>
      </c>
      <c r="F277" s="9" t="s">
        <v>6925</v>
      </c>
      <c r="G277" s="9" t="s">
        <v>383</v>
      </c>
      <c r="H277" s="9" t="s">
        <v>449</v>
      </c>
      <c r="I277" s="87" t="s">
        <v>6405</v>
      </c>
      <c r="J277" s="87" t="s">
        <v>6264</v>
      </c>
      <c r="K277" s="87" t="s">
        <v>6931</v>
      </c>
      <c r="L277" s="87" t="s">
        <v>6306</v>
      </c>
      <c r="M277" s="87" t="s">
        <v>6491</v>
      </c>
      <c r="N277" s="9" t="s">
        <v>7059</v>
      </c>
      <c r="O277" s="87" t="s">
        <v>6392</v>
      </c>
      <c r="P277" s="9" t="s">
        <v>6243</v>
      </c>
      <c r="Q277" s="87" t="s">
        <v>3236</v>
      </c>
      <c r="R277" s="87" t="s">
        <v>6264</v>
      </c>
      <c r="S277" s="87" t="s">
        <v>6498</v>
      </c>
      <c r="T277" s="87" t="s">
        <v>6341</v>
      </c>
    </row>
    <row r="278" spans="1:20" ht="15.75" customHeight="1">
      <c r="A278" s="9" t="s">
        <v>3006</v>
      </c>
      <c r="B278" s="9" t="s">
        <v>7455</v>
      </c>
      <c r="C278" s="9" t="s">
        <v>7228</v>
      </c>
      <c r="D278" s="87" t="s">
        <v>6405</v>
      </c>
      <c r="E278" s="9" t="s">
        <v>6924</v>
      </c>
      <c r="F278" s="9" t="s">
        <v>11</v>
      </c>
      <c r="G278" s="9" t="s">
        <v>383</v>
      </c>
      <c r="H278" s="9" t="s">
        <v>426</v>
      </c>
      <c r="I278" s="87" t="s">
        <v>6405</v>
      </c>
      <c r="J278" s="87" t="s">
        <v>6264</v>
      </c>
      <c r="K278" s="87" t="s">
        <v>6264</v>
      </c>
      <c r="L278" s="87" t="s">
        <v>5381</v>
      </c>
      <c r="M278" s="87" t="s">
        <v>6492</v>
      </c>
      <c r="N278" s="9" t="s">
        <v>6946</v>
      </c>
      <c r="O278" s="87" t="s">
        <v>6302</v>
      </c>
      <c r="P278" s="9" t="s">
        <v>6243</v>
      </c>
      <c r="Q278" s="87" t="s">
        <v>6464</v>
      </c>
      <c r="R278" s="87" t="s">
        <v>6264</v>
      </c>
      <c r="S278" s="87" t="s">
        <v>6409</v>
      </c>
      <c r="T278" s="87" t="s">
        <v>6341</v>
      </c>
    </row>
    <row r="279" spans="1:20" ht="15.75" customHeight="1">
      <c r="A279" s="9" t="s">
        <v>3006</v>
      </c>
      <c r="B279" s="9" t="s">
        <v>7455</v>
      </c>
      <c r="C279" s="9" t="s">
        <v>6923</v>
      </c>
      <c r="D279" s="87" t="s">
        <v>6461</v>
      </c>
      <c r="E279" s="9" t="s">
        <v>6924</v>
      </c>
      <c r="F279" s="9" t="s">
        <v>6925</v>
      </c>
      <c r="G279" s="9" t="s">
        <v>383</v>
      </c>
      <c r="H279" s="9" t="s">
        <v>427</v>
      </c>
      <c r="I279" s="87" t="s">
        <v>6405</v>
      </c>
      <c r="J279" s="87" t="s">
        <v>6461</v>
      </c>
      <c r="K279" s="87" t="s">
        <v>6939</v>
      </c>
      <c r="L279" s="87" t="s">
        <v>6305</v>
      </c>
      <c r="M279" s="87" t="s">
        <v>6492</v>
      </c>
      <c r="N279" s="9" t="s">
        <v>7060</v>
      </c>
      <c r="O279" s="87" t="s">
        <v>6486</v>
      </c>
      <c r="P279" s="9" t="s">
        <v>6243</v>
      </c>
      <c r="Q279" s="87" t="s">
        <v>5079</v>
      </c>
      <c r="R279" s="87" t="s">
        <v>6461</v>
      </c>
      <c r="S279" s="87" t="s">
        <v>6330</v>
      </c>
      <c r="T279" s="87" t="s">
        <v>6341</v>
      </c>
    </row>
    <row r="280" spans="1:20" ht="15.75" customHeight="1">
      <c r="A280" s="9" t="s">
        <v>3016</v>
      </c>
      <c r="B280" s="9" t="s">
        <v>7456</v>
      </c>
      <c r="C280" s="9" t="s">
        <v>6236</v>
      </c>
      <c r="D280" s="87" t="s">
        <v>6393</v>
      </c>
      <c r="E280" s="9" t="s">
        <v>431</v>
      </c>
      <c r="F280" s="9" t="s">
        <v>368</v>
      </c>
      <c r="G280" s="9" t="s">
        <v>436</v>
      </c>
      <c r="H280" s="9" t="s">
        <v>434</v>
      </c>
      <c r="I280" s="87" t="s">
        <v>6237</v>
      </c>
      <c r="J280" s="87" t="s">
        <v>3236</v>
      </c>
      <c r="K280" s="87" t="s">
        <v>6543</v>
      </c>
      <c r="L280" s="87" t="s">
        <v>6240</v>
      </c>
      <c r="M280" s="87" t="s">
        <v>6650</v>
      </c>
      <c r="N280" s="9" t="s">
        <v>7457</v>
      </c>
      <c r="O280" s="87" t="s">
        <v>6543</v>
      </c>
      <c r="P280" s="9" t="s">
        <v>6243</v>
      </c>
      <c r="Q280" s="87" t="s">
        <v>7458</v>
      </c>
      <c r="R280" s="87" t="s">
        <v>3236</v>
      </c>
      <c r="S280" s="87" t="s">
        <v>6327</v>
      </c>
      <c r="T280" s="87" t="s">
        <v>6367</v>
      </c>
    </row>
    <row r="281" spans="1:20" ht="15.75" customHeight="1">
      <c r="A281" s="9" t="s">
        <v>3016</v>
      </c>
      <c r="B281" s="9" t="s">
        <v>7456</v>
      </c>
      <c r="C281" s="9" t="s">
        <v>6236</v>
      </c>
      <c r="D281" s="87" t="s">
        <v>6393</v>
      </c>
      <c r="E281" s="9" t="s">
        <v>431</v>
      </c>
      <c r="F281" s="9" t="s">
        <v>368</v>
      </c>
      <c r="G281" s="9" t="s">
        <v>436</v>
      </c>
      <c r="H281" s="9" t="s">
        <v>434</v>
      </c>
      <c r="I281" s="87" t="s">
        <v>6237</v>
      </c>
      <c r="J281" s="87" t="s">
        <v>3236</v>
      </c>
      <c r="K281" s="87" t="s">
        <v>6287</v>
      </c>
      <c r="L281" s="87" t="s">
        <v>6240</v>
      </c>
      <c r="M281" s="87" t="s">
        <v>6700</v>
      </c>
      <c r="N281" s="9" t="s">
        <v>6928</v>
      </c>
      <c r="O281" s="87" t="s">
        <v>6287</v>
      </c>
      <c r="P281" s="9" t="s">
        <v>6243</v>
      </c>
      <c r="Q281" s="87" t="s">
        <v>3734</v>
      </c>
      <c r="R281" s="87" t="s">
        <v>3236</v>
      </c>
      <c r="S281" s="87" t="s">
        <v>6327</v>
      </c>
      <c r="T281" s="87" t="s">
        <v>6645</v>
      </c>
    </row>
    <row r="282" spans="1:20" ht="15.75" customHeight="1">
      <c r="A282" s="9" t="s">
        <v>3016</v>
      </c>
      <c r="B282" s="9" t="s">
        <v>7456</v>
      </c>
      <c r="C282" s="9" t="s">
        <v>6236</v>
      </c>
      <c r="D282" s="87" t="s">
        <v>6393</v>
      </c>
      <c r="E282" s="9" t="s">
        <v>431</v>
      </c>
      <c r="F282" s="9" t="s">
        <v>368</v>
      </c>
      <c r="G282" s="9" t="s">
        <v>436</v>
      </c>
      <c r="H282" s="9" t="s">
        <v>434</v>
      </c>
      <c r="I282" s="87" t="s">
        <v>6237</v>
      </c>
      <c r="J282" s="87" t="s">
        <v>3236</v>
      </c>
      <c r="K282" s="87" t="s">
        <v>6239</v>
      </c>
      <c r="L282" s="87" t="s">
        <v>6240</v>
      </c>
      <c r="M282" s="87" t="s">
        <v>6699</v>
      </c>
      <c r="N282" s="9" t="s">
        <v>6928</v>
      </c>
      <c r="O282" s="87" t="s">
        <v>6239</v>
      </c>
      <c r="P282" s="9" t="s">
        <v>6243</v>
      </c>
      <c r="Q282" s="87" t="s">
        <v>3764</v>
      </c>
      <c r="R282" s="87" t="s">
        <v>3236</v>
      </c>
      <c r="S282" s="87" t="s">
        <v>6327</v>
      </c>
      <c r="T282" s="87" t="s">
        <v>6645</v>
      </c>
    </row>
    <row r="283" spans="1:20" ht="15.75" customHeight="1">
      <c r="A283" s="9" t="s">
        <v>3016</v>
      </c>
      <c r="B283" s="9" t="s">
        <v>7456</v>
      </c>
      <c r="C283" s="9" t="s">
        <v>6236</v>
      </c>
      <c r="D283" s="87" t="s">
        <v>6393</v>
      </c>
      <c r="E283" s="9" t="s">
        <v>431</v>
      </c>
      <c r="F283" s="9" t="s">
        <v>368</v>
      </c>
      <c r="G283" s="9" t="s">
        <v>436</v>
      </c>
      <c r="H283" s="9" t="s">
        <v>434</v>
      </c>
      <c r="I283" s="87" t="s">
        <v>6237</v>
      </c>
      <c r="J283" s="87" t="s">
        <v>3236</v>
      </c>
      <c r="K283" s="87" t="s">
        <v>6346</v>
      </c>
      <c r="L283" s="87" t="s">
        <v>6240</v>
      </c>
      <c r="M283" s="87" t="s">
        <v>6696</v>
      </c>
      <c r="N283" s="9" t="s">
        <v>6972</v>
      </c>
      <c r="O283" s="87" t="s">
        <v>6346</v>
      </c>
      <c r="P283" s="9" t="s">
        <v>6243</v>
      </c>
      <c r="Q283" s="87" t="s">
        <v>6366</v>
      </c>
      <c r="R283" s="87" t="s">
        <v>3236</v>
      </c>
      <c r="S283" s="87" t="s">
        <v>5381</v>
      </c>
      <c r="T283" s="87" t="s">
        <v>6645</v>
      </c>
    </row>
    <row r="284" spans="1:20" ht="15.75" customHeight="1">
      <c r="A284" s="9" t="s">
        <v>3016</v>
      </c>
      <c r="B284" s="9" t="s">
        <v>7459</v>
      </c>
      <c r="C284" s="9" t="s">
        <v>6923</v>
      </c>
      <c r="D284" s="87" t="s">
        <v>6327</v>
      </c>
      <c r="E284" s="9" t="s">
        <v>6924</v>
      </c>
      <c r="F284" s="9" t="s">
        <v>6925</v>
      </c>
      <c r="G284" s="9" t="s">
        <v>383</v>
      </c>
      <c r="H284" s="9" t="s">
        <v>444</v>
      </c>
      <c r="I284" s="87" t="s">
        <v>6405</v>
      </c>
      <c r="J284" s="87" t="s">
        <v>6313</v>
      </c>
      <c r="K284" s="87" t="s">
        <v>6926</v>
      </c>
      <c r="L284" s="87" t="s">
        <v>6573</v>
      </c>
      <c r="M284" s="87" t="s">
        <v>6694</v>
      </c>
      <c r="N284" s="9" t="s">
        <v>7460</v>
      </c>
      <c r="O284" s="87" t="s">
        <v>6570</v>
      </c>
      <c r="P284" s="9" t="s">
        <v>6243</v>
      </c>
      <c r="Q284" s="87" t="s">
        <v>6573</v>
      </c>
      <c r="R284" s="87" t="s">
        <v>6313</v>
      </c>
      <c r="S284" s="87" t="s">
        <v>6414</v>
      </c>
      <c r="T284" s="87" t="s">
        <v>6486</v>
      </c>
    </row>
    <row r="285" spans="1:20" ht="15.75" customHeight="1">
      <c r="A285" s="9" t="s">
        <v>3016</v>
      </c>
      <c r="B285" s="9" t="s">
        <v>7459</v>
      </c>
      <c r="C285" s="9" t="s">
        <v>7228</v>
      </c>
      <c r="D285" s="87" t="s">
        <v>6290</v>
      </c>
      <c r="E285" s="9" t="s">
        <v>6924</v>
      </c>
      <c r="F285" s="9" t="s">
        <v>11</v>
      </c>
      <c r="G285" s="9" t="s">
        <v>383</v>
      </c>
      <c r="H285" s="9" t="s">
        <v>426</v>
      </c>
      <c r="I285" s="87" t="s">
        <v>6405</v>
      </c>
      <c r="J285" s="87" t="s">
        <v>6405</v>
      </c>
      <c r="K285" s="87" t="s">
        <v>6405</v>
      </c>
      <c r="L285" s="87" t="s">
        <v>6254</v>
      </c>
      <c r="M285" s="87" t="s">
        <v>7063</v>
      </c>
      <c r="N285" s="9" t="s">
        <v>7461</v>
      </c>
      <c r="O285" s="87" t="s">
        <v>6251</v>
      </c>
      <c r="P285" s="9" t="s">
        <v>6243</v>
      </c>
      <c r="Q285" s="87" t="s">
        <v>6254</v>
      </c>
      <c r="R285" s="87" t="s">
        <v>6405</v>
      </c>
      <c r="S285" s="87" t="s">
        <v>6810</v>
      </c>
      <c r="T285" s="87" t="s">
        <v>6313</v>
      </c>
    </row>
    <row r="286" spans="1:20" ht="15.75" customHeight="1">
      <c r="A286" s="9" t="s">
        <v>3016</v>
      </c>
      <c r="B286" s="9" t="s">
        <v>7462</v>
      </c>
      <c r="C286" s="9" t="s">
        <v>6923</v>
      </c>
      <c r="D286" s="87" t="s">
        <v>6327</v>
      </c>
      <c r="E286" s="9" t="s">
        <v>6924</v>
      </c>
      <c r="F286" s="9" t="s">
        <v>6925</v>
      </c>
      <c r="G286" s="9" t="s">
        <v>383</v>
      </c>
      <c r="H286" s="9" t="s">
        <v>444</v>
      </c>
      <c r="I286" s="87" t="s">
        <v>6405</v>
      </c>
      <c r="J286" s="87" t="s">
        <v>6313</v>
      </c>
      <c r="K286" s="87" t="s">
        <v>6939</v>
      </c>
      <c r="L286" s="87" t="s">
        <v>6573</v>
      </c>
      <c r="M286" s="87" t="s">
        <v>7063</v>
      </c>
      <c r="N286" s="9" t="s">
        <v>7463</v>
      </c>
      <c r="O286" s="87" t="s">
        <v>6400</v>
      </c>
      <c r="P286" s="9" t="s">
        <v>6243</v>
      </c>
      <c r="Q286" s="87" t="s">
        <v>3870</v>
      </c>
      <c r="R286" s="87" t="s">
        <v>6313</v>
      </c>
      <c r="S286" s="87" t="s">
        <v>6348</v>
      </c>
      <c r="T286" s="87" t="s">
        <v>6440</v>
      </c>
    </row>
    <row r="287" spans="1:20" ht="15.75" customHeight="1">
      <c r="A287" s="9" t="s">
        <v>3016</v>
      </c>
      <c r="B287" s="9" t="s">
        <v>7462</v>
      </c>
      <c r="C287" s="9" t="s">
        <v>7228</v>
      </c>
      <c r="D287" s="87" t="s">
        <v>6290</v>
      </c>
      <c r="E287" s="9" t="s">
        <v>6924</v>
      </c>
      <c r="F287" s="9" t="s">
        <v>11</v>
      </c>
      <c r="G287" s="9" t="s">
        <v>383</v>
      </c>
      <c r="H287" s="9" t="s">
        <v>426</v>
      </c>
      <c r="I287" s="87" t="s">
        <v>6405</v>
      </c>
      <c r="J287" s="87" t="s">
        <v>6334</v>
      </c>
      <c r="K287" s="87" t="s">
        <v>6334</v>
      </c>
      <c r="L287" s="87" t="s">
        <v>6254</v>
      </c>
      <c r="M287" s="87" t="s">
        <v>6692</v>
      </c>
      <c r="N287" s="9" t="s">
        <v>7464</v>
      </c>
      <c r="O287" s="87" t="s">
        <v>6348</v>
      </c>
      <c r="P287" s="9" t="s">
        <v>6243</v>
      </c>
      <c r="Q287" s="87" t="s">
        <v>5381</v>
      </c>
      <c r="R287" s="87" t="s">
        <v>6334</v>
      </c>
      <c r="S287" s="87" t="s">
        <v>6290</v>
      </c>
      <c r="T287" s="87" t="s">
        <v>6411</v>
      </c>
    </row>
    <row r="288" spans="1:20" ht="15.75" customHeight="1">
      <c r="A288" s="9" t="s">
        <v>3016</v>
      </c>
      <c r="B288" s="9" t="s">
        <v>7465</v>
      </c>
      <c r="C288" s="9" t="s">
        <v>6923</v>
      </c>
      <c r="D288" s="87" t="s">
        <v>6327</v>
      </c>
      <c r="E288" s="9" t="s">
        <v>6924</v>
      </c>
      <c r="F288" s="9" t="s">
        <v>6925</v>
      </c>
      <c r="G288" s="9" t="s">
        <v>383</v>
      </c>
      <c r="H288" s="9" t="s">
        <v>444</v>
      </c>
      <c r="I288" s="87" t="s">
        <v>6405</v>
      </c>
      <c r="J288" s="87" t="s">
        <v>6313</v>
      </c>
      <c r="K288" s="87" t="s">
        <v>6939</v>
      </c>
      <c r="L288" s="87" t="s">
        <v>6573</v>
      </c>
      <c r="M288" s="87" t="s">
        <v>6692</v>
      </c>
      <c r="N288" s="9" t="s">
        <v>7466</v>
      </c>
      <c r="O288" s="87" t="s">
        <v>6400</v>
      </c>
      <c r="P288" s="9" t="s">
        <v>6243</v>
      </c>
      <c r="Q288" s="87" t="s">
        <v>3870</v>
      </c>
      <c r="R288" s="87" t="s">
        <v>6313</v>
      </c>
      <c r="S288" s="87" t="s">
        <v>6245</v>
      </c>
      <c r="T288" s="87" t="s">
        <v>6314</v>
      </c>
    </row>
    <row r="289" spans="1:20" ht="15.75" customHeight="1">
      <c r="A289" s="9" t="s">
        <v>3016</v>
      </c>
      <c r="B289" s="9" t="s">
        <v>7465</v>
      </c>
      <c r="C289" s="9" t="s">
        <v>7228</v>
      </c>
      <c r="D289" s="87" t="s">
        <v>6290</v>
      </c>
      <c r="E289" s="9" t="s">
        <v>6924</v>
      </c>
      <c r="F289" s="9" t="s">
        <v>11</v>
      </c>
      <c r="G289" s="9" t="s">
        <v>383</v>
      </c>
      <c r="H289" s="9" t="s">
        <v>426</v>
      </c>
      <c r="I289" s="87" t="s">
        <v>6405</v>
      </c>
      <c r="J289" s="87" t="s">
        <v>6334</v>
      </c>
      <c r="K289" s="87" t="s">
        <v>6334</v>
      </c>
      <c r="L289" s="87" t="s">
        <v>6254</v>
      </c>
      <c r="M289" s="87" t="s">
        <v>6691</v>
      </c>
      <c r="N289" s="9" t="s">
        <v>7467</v>
      </c>
      <c r="O289" s="87" t="s">
        <v>6348</v>
      </c>
      <c r="P289" s="9" t="s">
        <v>6243</v>
      </c>
      <c r="Q289" s="87" t="s">
        <v>5381</v>
      </c>
      <c r="R289" s="87" t="s">
        <v>6334</v>
      </c>
      <c r="S289" s="87" t="s">
        <v>6360</v>
      </c>
      <c r="T289" s="87" t="s">
        <v>6314</v>
      </c>
    </row>
    <row r="290" spans="1:20" ht="15.75" customHeight="1">
      <c r="A290" s="9" t="s">
        <v>3016</v>
      </c>
      <c r="B290" s="9" t="s">
        <v>7468</v>
      </c>
      <c r="C290" s="9" t="s">
        <v>6923</v>
      </c>
      <c r="D290" s="87" t="s">
        <v>6327</v>
      </c>
      <c r="E290" s="9" t="s">
        <v>6924</v>
      </c>
      <c r="F290" s="9" t="s">
        <v>6925</v>
      </c>
      <c r="G290" s="9" t="s">
        <v>383</v>
      </c>
      <c r="H290" s="9" t="s">
        <v>444</v>
      </c>
      <c r="I290" s="87" t="s">
        <v>6405</v>
      </c>
      <c r="J290" s="87" t="s">
        <v>6313</v>
      </c>
      <c r="K290" s="87" t="s">
        <v>6931</v>
      </c>
      <c r="L290" s="87" t="s">
        <v>6573</v>
      </c>
      <c r="M290" s="87" t="s">
        <v>6691</v>
      </c>
      <c r="N290" s="9" t="s">
        <v>6945</v>
      </c>
      <c r="O290" s="87" t="s">
        <v>6500</v>
      </c>
      <c r="P290" s="9" t="s">
        <v>6243</v>
      </c>
      <c r="Q290" s="87" t="s">
        <v>3749</v>
      </c>
      <c r="R290" s="87" t="s">
        <v>6313</v>
      </c>
      <c r="S290" s="87" t="s">
        <v>6327</v>
      </c>
      <c r="T290" s="87" t="s">
        <v>6341</v>
      </c>
    </row>
    <row r="291" spans="1:20" ht="15.75" customHeight="1">
      <c r="A291" s="9" t="s">
        <v>3016</v>
      </c>
      <c r="B291" s="9" t="s">
        <v>7468</v>
      </c>
      <c r="C291" s="9" t="s">
        <v>7228</v>
      </c>
      <c r="D291" s="87" t="s">
        <v>6290</v>
      </c>
      <c r="E291" s="9" t="s">
        <v>6924</v>
      </c>
      <c r="F291" s="9" t="s">
        <v>11</v>
      </c>
      <c r="G291" s="9" t="s">
        <v>383</v>
      </c>
      <c r="H291" s="9" t="s">
        <v>426</v>
      </c>
      <c r="I291" s="87" t="s">
        <v>6405</v>
      </c>
      <c r="J291" s="87" t="s">
        <v>6264</v>
      </c>
      <c r="K291" s="87" t="s">
        <v>6264</v>
      </c>
      <c r="L291" s="87" t="s">
        <v>6254</v>
      </c>
      <c r="M291" s="87" t="s">
        <v>7065</v>
      </c>
      <c r="N291" s="9" t="s">
        <v>7194</v>
      </c>
      <c r="O291" s="87" t="s">
        <v>6528</v>
      </c>
      <c r="P291" s="9" t="s">
        <v>6243</v>
      </c>
      <c r="Q291" s="87" t="s">
        <v>6474</v>
      </c>
      <c r="R291" s="87" t="s">
        <v>6264</v>
      </c>
      <c r="S291" s="87" t="s">
        <v>6357</v>
      </c>
      <c r="T291" s="87" t="s">
        <v>6341</v>
      </c>
    </row>
    <row r="292" spans="1:20" ht="15.75" customHeight="1">
      <c r="A292" s="9" t="s">
        <v>3016</v>
      </c>
      <c r="B292" s="9" t="s">
        <v>7469</v>
      </c>
      <c r="C292" s="9" t="s">
        <v>6923</v>
      </c>
      <c r="D292" s="87" t="s">
        <v>6327</v>
      </c>
      <c r="E292" s="9" t="s">
        <v>6924</v>
      </c>
      <c r="F292" s="9" t="s">
        <v>6925</v>
      </c>
      <c r="G292" s="9" t="s">
        <v>383</v>
      </c>
      <c r="H292" s="9" t="s">
        <v>444</v>
      </c>
      <c r="I292" s="87" t="s">
        <v>6405</v>
      </c>
      <c r="J292" s="87" t="s">
        <v>6313</v>
      </c>
      <c r="K292" s="87" t="s">
        <v>6931</v>
      </c>
      <c r="L292" s="87" t="s">
        <v>6573</v>
      </c>
      <c r="M292" s="87" t="s">
        <v>7065</v>
      </c>
      <c r="N292" s="9" t="s">
        <v>6945</v>
      </c>
      <c r="O292" s="87" t="s">
        <v>6500</v>
      </c>
      <c r="P292" s="9" t="s">
        <v>6243</v>
      </c>
      <c r="Q292" s="87" t="s">
        <v>3749</v>
      </c>
      <c r="R292" s="87" t="s">
        <v>6313</v>
      </c>
      <c r="S292" s="87" t="s">
        <v>6327</v>
      </c>
      <c r="T292" s="87" t="s">
        <v>6341</v>
      </c>
    </row>
    <row r="293" spans="1:20" ht="15.75" customHeight="1">
      <c r="A293" s="9" t="s">
        <v>3016</v>
      </c>
      <c r="B293" s="9" t="s">
        <v>7469</v>
      </c>
      <c r="C293" s="9" t="s">
        <v>7228</v>
      </c>
      <c r="D293" s="87" t="s">
        <v>6290</v>
      </c>
      <c r="E293" s="9" t="s">
        <v>6924</v>
      </c>
      <c r="F293" s="9" t="s">
        <v>11</v>
      </c>
      <c r="G293" s="9" t="s">
        <v>383</v>
      </c>
      <c r="H293" s="9" t="s">
        <v>426</v>
      </c>
      <c r="I293" s="87" t="s">
        <v>6405</v>
      </c>
      <c r="J293" s="87" t="s">
        <v>6264</v>
      </c>
      <c r="K293" s="87" t="s">
        <v>6264</v>
      </c>
      <c r="L293" s="87" t="s">
        <v>6254</v>
      </c>
      <c r="M293" s="87" t="s">
        <v>6656</v>
      </c>
      <c r="N293" s="9" t="s">
        <v>7194</v>
      </c>
      <c r="O293" s="87" t="s">
        <v>6528</v>
      </c>
      <c r="P293" s="9" t="s">
        <v>6243</v>
      </c>
      <c r="Q293" s="87" t="s">
        <v>6474</v>
      </c>
      <c r="R293" s="87" t="s">
        <v>6264</v>
      </c>
      <c r="S293" s="87" t="s">
        <v>6357</v>
      </c>
      <c r="T293" s="87" t="s">
        <v>6341</v>
      </c>
    </row>
    <row r="294" spans="1:20" ht="15.75" customHeight="1">
      <c r="A294" s="9" t="s">
        <v>3016</v>
      </c>
      <c r="B294" s="9" t="s">
        <v>7470</v>
      </c>
      <c r="C294" s="9" t="s">
        <v>6923</v>
      </c>
      <c r="D294" s="87" t="s">
        <v>6327</v>
      </c>
      <c r="E294" s="9" t="s">
        <v>6924</v>
      </c>
      <c r="F294" s="9" t="s">
        <v>6925</v>
      </c>
      <c r="G294" s="9" t="s">
        <v>383</v>
      </c>
      <c r="H294" s="9" t="s">
        <v>444</v>
      </c>
      <c r="I294" s="87" t="s">
        <v>6405</v>
      </c>
      <c r="J294" s="87" t="s">
        <v>6313</v>
      </c>
      <c r="K294" s="87" t="s">
        <v>6931</v>
      </c>
      <c r="L294" s="87" t="s">
        <v>6573</v>
      </c>
      <c r="M294" s="87" t="s">
        <v>6656</v>
      </c>
      <c r="N294" s="9" t="s">
        <v>6945</v>
      </c>
      <c r="O294" s="87" t="s">
        <v>6500</v>
      </c>
      <c r="P294" s="9" t="s">
        <v>6243</v>
      </c>
      <c r="Q294" s="87" t="s">
        <v>3749</v>
      </c>
      <c r="R294" s="87" t="s">
        <v>6313</v>
      </c>
      <c r="S294" s="87" t="s">
        <v>6327</v>
      </c>
      <c r="T294" s="87" t="s">
        <v>6341</v>
      </c>
    </row>
    <row r="295" spans="1:20" ht="15.75" customHeight="1">
      <c r="A295" s="9" t="s">
        <v>3016</v>
      </c>
      <c r="B295" s="9" t="s">
        <v>7470</v>
      </c>
      <c r="C295" s="9" t="s">
        <v>7228</v>
      </c>
      <c r="D295" s="87" t="s">
        <v>6290</v>
      </c>
      <c r="E295" s="9" t="s">
        <v>6924</v>
      </c>
      <c r="F295" s="9" t="s">
        <v>11</v>
      </c>
      <c r="G295" s="9" t="s">
        <v>383</v>
      </c>
      <c r="H295" s="9" t="s">
        <v>426</v>
      </c>
      <c r="I295" s="87" t="s">
        <v>6405</v>
      </c>
      <c r="J295" s="87" t="s">
        <v>6264</v>
      </c>
      <c r="K295" s="87" t="s">
        <v>6264</v>
      </c>
      <c r="L295" s="87" t="s">
        <v>6254</v>
      </c>
      <c r="M295" s="87" t="s">
        <v>6657</v>
      </c>
      <c r="N295" s="9" t="s">
        <v>7194</v>
      </c>
      <c r="O295" s="87" t="s">
        <v>6528</v>
      </c>
      <c r="P295" s="9" t="s">
        <v>6243</v>
      </c>
      <c r="Q295" s="87" t="s">
        <v>6474</v>
      </c>
      <c r="R295" s="87" t="s">
        <v>6264</v>
      </c>
      <c r="S295" s="87" t="s">
        <v>6357</v>
      </c>
      <c r="T295" s="87" t="s">
        <v>6341</v>
      </c>
    </row>
    <row r="296" spans="1:20" ht="15.75" customHeight="1">
      <c r="A296" s="9" t="s">
        <v>3016</v>
      </c>
      <c r="B296" s="9" t="s">
        <v>7471</v>
      </c>
      <c r="C296" s="9" t="s">
        <v>6923</v>
      </c>
      <c r="D296" s="87" t="s">
        <v>6327</v>
      </c>
      <c r="E296" s="9" t="s">
        <v>6924</v>
      </c>
      <c r="F296" s="9" t="s">
        <v>6925</v>
      </c>
      <c r="G296" s="9" t="s">
        <v>383</v>
      </c>
      <c r="H296" s="9" t="s">
        <v>444</v>
      </c>
      <c r="I296" s="87" t="s">
        <v>6405</v>
      </c>
      <c r="J296" s="87" t="s">
        <v>6313</v>
      </c>
      <c r="K296" s="87" t="s">
        <v>6926</v>
      </c>
      <c r="L296" s="87" t="s">
        <v>6573</v>
      </c>
      <c r="M296" s="87" t="s">
        <v>6657</v>
      </c>
      <c r="N296" s="9" t="s">
        <v>6970</v>
      </c>
      <c r="O296" s="87" t="s">
        <v>6570</v>
      </c>
      <c r="P296" s="9" t="s">
        <v>6243</v>
      </c>
      <c r="Q296" s="87" t="s">
        <v>6573</v>
      </c>
      <c r="R296" s="87" t="s">
        <v>6313</v>
      </c>
      <c r="S296" s="87" t="s">
        <v>6333</v>
      </c>
      <c r="T296" s="87" t="s">
        <v>6341</v>
      </c>
    </row>
    <row r="297" spans="1:20" ht="15.75" customHeight="1">
      <c r="A297" s="9" t="s">
        <v>3016</v>
      </c>
      <c r="B297" s="9" t="s">
        <v>7471</v>
      </c>
      <c r="C297" s="9" t="s">
        <v>7228</v>
      </c>
      <c r="D297" s="87" t="s">
        <v>6290</v>
      </c>
      <c r="E297" s="9" t="s">
        <v>6924</v>
      </c>
      <c r="F297" s="9" t="s">
        <v>11</v>
      </c>
      <c r="G297" s="9" t="s">
        <v>383</v>
      </c>
      <c r="H297" s="9" t="s">
        <v>426</v>
      </c>
      <c r="I297" s="87" t="s">
        <v>6405</v>
      </c>
      <c r="J297" s="87" t="s">
        <v>6405</v>
      </c>
      <c r="K297" s="87" t="s">
        <v>6405</v>
      </c>
      <c r="L297" s="87" t="s">
        <v>6254</v>
      </c>
      <c r="M297" s="87" t="s">
        <v>6689</v>
      </c>
      <c r="N297" s="9" t="s">
        <v>7236</v>
      </c>
      <c r="O297" s="87" t="s">
        <v>6251</v>
      </c>
      <c r="P297" s="9" t="s">
        <v>6243</v>
      </c>
      <c r="Q297" s="87" t="s">
        <v>6254</v>
      </c>
      <c r="R297" s="87" t="s">
        <v>6405</v>
      </c>
      <c r="S297" s="87" t="s">
        <v>6256</v>
      </c>
      <c r="T297" s="87" t="s">
        <v>6341</v>
      </c>
    </row>
    <row r="298" spans="1:20" ht="15.75" customHeight="1">
      <c r="A298" s="9" t="s">
        <v>2915</v>
      </c>
      <c r="B298" s="9" t="s">
        <v>7472</v>
      </c>
      <c r="C298" s="9" t="s">
        <v>6236</v>
      </c>
      <c r="D298" s="87" t="s">
        <v>6393</v>
      </c>
      <c r="E298" s="9" t="s">
        <v>431</v>
      </c>
      <c r="F298" s="9" t="s">
        <v>368</v>
      </c>
      <c r="G298" s="9" t="s">
        <v>436</v>
      </c>
      <c r="H298" s="9" t="s">
        <v>434</v>
      </c>
      <c r="I298" s="87" t="s">
        <v>6237</v>
      </c>
      <c r="J298" s="87" t="s">
        <v>6238</v>
      </c>
      <c r="K298" s="87" t="s">
        <v>6239</v>
      </c>
      <c r="L298" s="87" t="s">
        <v>6240</v>
      </c>
      <c r="M298" s="87" t="s">
        <v>6656</v>
      </c>
      <c r="N298" s="9" t="s">
        <v>6928</v>
      </c>
      <c r="O298" s="87" t="s">
        <v>6239</v>
      </c>
      <c r="P298" s="9" t="s">
        <v>6243</v>
      </c>
      <c r="Q298" s="87" t="s">
        <v>3764</v>
      </c>
      <c r="R298" s="87" t="s">
        <v>6238</v>
      </c>
      <c r="S298" s="87" t="s">
        <v>6327</v>
      </c>
      <c r="T298" s="87" t="s">
        <v>6645</v>
      </c>
    </row>
    <row r="299" spans="1:20" ht="15.75" customHeight="1">
      <c r="A299" s="9" t="s">
        <v>2915</v>
      </c>
      <c r="B299" s="9" t="s">
        <v>7472</v>
      </c>
      <c r="C299" s="9" t="s">
        <v>6236</v>
      </c>
      <c r="D299" s="87" t="s">
        <v>6393</v>
      </c>
      <c r="E299" s="9" t="s">
        <v>431</v>
      </c>
      <c r="F299" s="9" t="s">
        <v>368</v>
      </c>
      <c r="G299" s="9" t="s">
        <v>436</v>
      </c>
      <c r="H299" s="9" t="s">
        <v>434</v>
      </c>
      <c r="I299" s="87" t="s">
        <v>6237</v>
      </c>
      <c r="J299" s="87" t="s">
        <v>6238</v>
      </c>
      <c r="K299" s="87" t="s">
        <v>6245</v>
      </c>
      <c r="L299" s="87" t="s">
        <v>6240</v>
      </c>
      <c r="M299" s="87" t="s">
        <v>6657</v>
      </c>
      <c r="N299" s="9" t="s">
        <v>7000</v>
      </c>
      <c r="O299" s="87" t="s">
        <v>6245</v>
      </c>
      <c r="P299" s="9" t="s">
        <v>6243</v>
      </c>
      <c r="Q299" s="87" t="s">
        <v>6238</v>
      </c>
      <c r="R299" s="87" t="s">
        <v>6238</v>
      </c>
      <c r="S299" s="87" t="s">
        <v>6500</v>
      </c>
      <c r="T299" s="87" t="s">
        <v>6645</v>
      </c>
    </row>
    <row r="300" spans="1:20" ht="15.75" customHeight="1">
      <c r="A300" s="9" t="s">
        <v>2915</v>
      </c>
      <c r="B300" s="9" t="s">
        <v>7473</v>
      </c>
      <c r="C300" s="9" t="s">
        <v>6671</v>
      </c>
      <c r="D300" s="87" t="s">
        <v>6296</v>
      </c>
      <c r="E300" s="9" t="s">
        <v>6672</v>
      </c>
      <c r="F300" s="9" t="s">
        <v>439</v>
      </c>
      <c r="G300" s="9" t="s">
        <v>436</v>
      </c>
      <c r="H300" s="9" t="s">
        <v>440</v>
      </c>
      <c r="I300" s="87" t="s">
        <v>6405</v>
      </c>
      <c r="J300" s="87" t="s">
        <v>6357</v>
      </c>
      <c r="K300" s="87" t="s">
        <v>6357</v>
      </c>
      <c r="L300" s="87" t="s">
        <v>6240</v>
      </c>
      <c r="M300" s="87" t="s">
        <v>6689</v>
      </c>
      <c r="N300" s="9" t="s">
        <v>7027</v>
      </c>
      <c r="O300" s="87" t="s">
        <v>6357</v>
      </c>
      <c r="P300" s="9" t="s">
        <v>6243</v>
      </c>
      <c r="Q300" s="87" t="s">
        <v>6565</v>
      </c>
      <c r="R300" s="87" t="s">
        <v>6357</v>
      </c>
      <c r="S300" s="87" t="s">
        <v>6329</v>
      </c>
      <c r="T300" s="87" t="s">
        <v>6645</v>
      </c>
    </row>
    <row r="301" spans="1:20" ht="15.75" customHeight="1">
      <c r="A301" s="9" t="s">
        <v>2915</v>
      </c>
      <c r="B301" s="9" t="s">
        <v>7474</v>
      </c>
      <c r="C301" s="9" t="s">
        <v>6923</v>
      </c>
      <c r="D301" s="87" t="s">
        <v>6461</v>
      </c>
      <c r="E301" s="9" t="s">
        <v>6924</v>
      </c>
      <c r="F301" s="9" t="s">
        <v>6925</v>
      </c>
      <c r="G301" s="9" t="s">
        <v>383</v>
      </c>
      <c r="H301" s="9" t="s">
        <v>427</v>
      </c>
      <c r="I301" s="87" t="s">
        <v>6405</v>
      </c>
      <c r="J301" s="87" t="s">
        <v>6290</v>
      </c>
      <c r="K301" s="87" t="s">
        <v>6939</v>
      </c>
      <c r="L301" s="87" t="s">
        <v>5374</v>
      </c>
      <c r="M301" s="87" t="s">
        <v>7066</v>
      </c>
      <c r="N301" s="9" t="s">
        <v>6940</v>
      </c>
      <c r="O301" s="87" t="s">
        <v>6333</v>
      </c>
      <c r="P301" s="9" t="s">
        <v>6243</v>
      </c>
      <c r="Q301" s="87" t="s">
        <v>6575</v>
      </c>
      <c r="R301" s="87" t="s">
        <v>6290</v>
      </c>
      <c r="S301" s="87" t="s">
        <v>6570</v>
      </c>
      <c r="T301" s="87" t="s">
        <v>6341</v>
      </c>
    </row>
    <row r="302" spans="1:20" ht="15.75" customHeight="1">
      <c r="A302" s="9" t="s">
        <v>2915</v>
      </c>
      <c r="B302" s="9" t="s">
        <v>7474</v>
      </c>
      <c r="C302" s="9" t="s">
        <v>7228</v>
      </c>
      <c r="D302" s="87" t="s">
        <v>6237</v>
      </c>
      <c r="E302" s="9" t="s">
        <v>6924</v>
      </c>
      <c r="F302" s="9" t="s">
        <v>11</v>
      </c>
      <c r="G302" s="9" t="s">
        <v>383</v>
      </c>
      <c r="H302" s="9" t="s">
        <v>426</v>
      </c>
      <c r="I302" s="87" t="s">
        <v>6405</v>
      </c>
      <c r="J302" s="87" t="s">
        <v>6334</v>
      </c>
      <c r="K302" s="87" t="s">
        <v>6334</v>
      </c>
      <c r="L302" s="87" t="s">
        <v>6255</v>
      </c>
      <c r="M302" s="87" t="s">
        <v>7067</v>
      </c>
      <c r="N302" s="9" t="s">
        <v>7245</v>
      </c>
      <c r="O302" s="87" t="s">
        <v>6327</v>
      </c>
      <c r="P302" s="9" t="s">
        <v>6243</v>
      </c>
      <c r="Q302" s="87" t="s">
        <v>6392</v>
      </c>
      <c r="R302" s="87" t="s">
        <v>6334</v>
      </c>
      <c r="S302" s="87" t="s">
        <v>6500</v>
      </c>
      <c r="T302" s="87" t="s">
        <v>6341</v>
      </c>
    </row>
    <row r="303" spans="1:20" ht="15.75" customHeight="1">
      <c r="A303" s="9" t="s">
        <v>2915</v>
      </c>
      <c r="B303" s="9" t="s">
        <v>7475</v>
      </c>
      <c r="C303" s="9" t="s">
        <v>6923</v>
      </c>
      <c r="D303" s="87" t="s">
        <v>6461</v>
      </c>
      <c r="E303" s="9" t="s">
        <v>6924</v>
      </c>
      <c r="F303" s="9" t="s">
        <v>6925</v>
      </c>
      <c r="G303" s="9" t="s">
        <v>383</v>
      </c>
      <c r="H303" s="9" t="s">
        <v>427</v>
      </c>
      <c r="I303" s="87" t="s">
        <v>6405</v>
      </c>
      <c r="J303" s="87" t="s">
        <v>6290</v>
      </c>
      <c r="K303" s="87" t="s">
        <v>6939</v>
      </c>
      <c r="L303" s="87" t="s">
        <v>5374</v>
      </c>
      <c r="M303" s="87" t="s">
        <v>7067</v>
      </c>
      <c r="N303" s="9" t="s">
        <v>6940</v>
      </c>
      <c r="O303" s="87" t="s">
        <v>6333</v>
      </c>
      <c r="P303" s="9" t="s">
        <v>6243</v>
      </c>
      <c r="Q303" s="87" t="s">
        <v>6575</v>
      </c>
      <c r="R303" s="87" t="s">
        <v>6290</v>
      </c>
      <c r="S303" s="87" t="s">
        <v>6570</v>
      </c>
      <c r="T303" s="87" t="s">
        <v>6341</v>
      </c>
    </row>
    <row r="304" spans="1:20" ht="15.75" customHeight="1">
      <c r="A304" s="9" t="s">
        <v>2915</v>
      </c>
      <c r="B304" s="9" t="s">
        <v>7475</v>
      </c>
      <c r="C304" s="9" t="s">
        <v>7228</v>
      </c>
      <c r="D304" s="87" t="s">
        <v>6237</v>
      </c>
      <c r="E304" s="9" t="s">
        <v>6924</v>
      </c>
      <c r="F304" s="9" t="s">
        <v>11</v>
      </c>
      <c r="G304" s="9" t="s">
        <v>383</v>
      </c>
      <c r="H304" s="9" t="s">
        <v>426</v>
      </c>
      <c r="I304" s="87" t="s">
        <v>6405</v>
      </c>
      <c r="J304" s="87" t="s">
        <v>6334</v>
      </c>
      <c r="K304" s="87" t="s">
        <v>6334</v>
      </c>
      <c r="L304" s="87" t="s">
        <v>6255</v>
      </c>
      <c r="M304" s="87" t="s">
        <v>7068</v>
      </c>
      <c r="N304" s="9" t="s">
        <v>7245</v>
      </c>
      <c r="O304" s="87" t="s">
        <v>6327</v>
      </c>
      <c r="P304" s="9" t="s">
        <v>6243</v>
      </c>
      <c r="Q304" s="87" t="s">
        <v>6392</v>
      </c>
      <c r="R304" s="87" t="s">
        <v>6334</v>
      </c>
      <c r="S304" s="87" t="s">
        <v>6500</v>
      </c>
      <c r="T304" s="87" t="s">
        <v>6341</v>
      </c>
    </row>
    <row r="305" spans="1:26" ht="15.75" customHeight="1">
      <c r="A305" s="9" t="s">
        <v>2915</v>
      </c>
      <c r="B305" s="9" t="s">
        <v>7476</v>
      </c>
      <c r="C305" s="9" t="s">
        <v>6923</v>
      </c>
      <c r="D305" s="87" t="s">
        <v>6461</v>
      </c>
      <c r="E305" s="9" t="s">
        <v>6924</v>
      </c>
      <c r="F305" s="9" t="s">
        <v>6925</v>
      </c>
      <c r="G305" s="9" t="s">
        <v>383</v>
      </c>
      <c r="H305" s="9" t="s">
        <v>427</v>
      </c>
      <c r="I305" s="87" t="s">
        <v>6405</v>
      </c>
      <c r="J305" s="87" t="s">
        <v>6290</v>
      </c>
      <c r="K305" s="87" t="s">
        <v>6939</v>
      </c>
      <c r="L305" s="87" t="s">
        <v>5374</v>
      </c>
      <c r="M305" s="87" t="s">
        <v>7068</v>
      </c>
      <c r="N305" s="9" t="s">
        <v>6940</v>
      </c>
      <c r="O305" s="87" t="s">
        <v>6333</v>
      </c>
      <c r="P305" s="9" t="s">
        <v>6243</v>
      </c>
      <c r="Q305" s="87" t="s">
        <v>6575</v>
      </c>
      <c r="R305" s="87" t="s">
        <v>6290</v>
      </c>
      <c r="S305" s="87" t="s">
        <v>6570</v>
      </c>
      <c r="T305" s="87" t="s">
        <v>6341</v>
      </c>
    </row>
    <row r="306" spans="1:26" ht="15.75" customHeight="1">
      <c r="A306" s="9" t="s">
        <v>2915</v>
      </c>
      <c r="B306" s="9" t="s">
        <v>7476</v>
      </c>
      <c r="C306" s="9" t="s">
        <v>7228</v>
      </c>
      <c r="D306" s="87" t="s">
        <v>6237</v>
      </c>
      <c r="E306" s="9" t="s">
        <v>6924</v>
      </c>
      <c r="F306" s="9" t="s">
        <v>11</v>
      </c>
      <c r="G306" s="9" t="s">
        <v>383</v>
      </c>
      <c r="H306" s="9" t="s">
        <v>426</v>
      </c>
      <c r="I306" s="87" t="s">
        <v>6405</v>
      </c>
      <c r="J306" s="87" t="s">
        <v>6334</v>
      </c>
      <c r="K306" s="87" t="s">
        <v>6334</v>
      </c>
      <c r="L306" s="87" t="s">
        <v>6255</v>
      </c>
      <c r="M306" s="87" t="s">
        <v>7069</v>
      </c>
      <c r="N306" s="9" t="s">
        <v>7245</v>
      </c>
      <c r="O306" s="87" t="s">
        <v>6327</v>
      </c>
      <c r="P306" s="9" t="s">
        <v>6243</v>
      </c>
      <c r="Q306" s="87" t="s">
        <v>6392</v>
      </c>
      <c r="R306" s="87" t="s">
        <v>6334</v>
      </c>
      <c r="S306" s="87" t="s">
        <v>6500</v>
      </c>
      <c r="T306" s="87" t="s">
        <v>6341</v>
      </c>
    </row>
    <row r="307" spans="1:26" ht="15.75" customHeight="1">
      <c r="A307" s="9" t="s">
        <v>2915</v>
      </c>
      <c r="B307" s="9" t="s">
        <v>7477</v>
      </c>
      <c r="C307" s="9" t="s">
        <v>6923</v>
      </c>
      <c r="D307" s="87" t="s">
        <v>6461</v>
      </c>
      <c r="E307" s="9" t="s">
        <v>6924</v>
      </c>
      <c r="F307" s="9" t="s">
        <v>6925</v>
      </c>
      <c r="G307" s="9" t="s">
        <v>383</v>
      </c>
      <c r="H307" s="9" t="s">
        <v>427</v>
      </c>
      <c r="I307" s="87" t="s">
        <v>6405</v>
      </c>
      <c r="J307" s="87" t="s">
        <v>6290</v>
      </c>
      <c r="K307" s="87" t="s">
        <v>6939</v>
      </c>
      <c r="L307" s="87" t="s">
        <v>5374</v>
      </c>
      <c r="M307" s="87" t="s">
        <v>7069</v>
      </c>
      <c r="N307" s="9" t="s">
        <v>6940</v>
      </c>
      <c r="O307" s="87" t="s">
        <v>6333</v>
      </c>
      <c r="P307" s="9" t="s">
        <v>6243</v>
      </c>
      <c r="Q307" s="87" t="s">
        <v>6575</v>
      </c>
      <c r="R307" s="87" t="s">
        <v>6290</v>
      </c>
      <c r="S307" s="87" t="s">
        <v>6570</v>
      </c>
      <c r="T307" s="87" t="s">
        <v>6341</v>
      </c>
    </row>
    <row r="308" spans="1:26" ht="15.75" customHeight="1">
      <c r="A308" s="9" t="s">
        <v>2915</v>
      </c>
      <c r="B308" s="9" t="s">
        <v>7477</v>
      </c>
      <c r="C308" s="9" t="s">
        <v>7228</v>
      </c>
      <c r="D308" s="87" t="s">
        <v>6237</v>
      </c>
      <c r="E308" s="9" t="s">
        <v>6924</v>
      </c>
      <c r="F308" s="9" t="s">
        <v>11</v>
      </c>
      <c r="G308" s="9" t="s">
        <v>383</v>
      </c>
      <c r="H308" s="9" t="s">
        <v>426</v>
      </c>
      <c r="I308" s="87" t="s">
        <v>6405</v>
      </c>
      <c r="J308" s="87" t="s">
        <v>6334</v>
      </c>
      <c r="K308" s="87" t="s">
        <v>6334</v>
      </c>
      <c r="L308" s="87" t="s">
        <v>6255</v>
      </c>
      <c r="M308" s="87" t="s">
        <v>7070</v>
      </c>
      <c r="N308" s="9" t="s">
        <v>7245</v>
      </c>
      <c r="O308" s="87" t="s">
        <v>6327</v>
      </c>
      <c r="P308" s="9" t="s">
        <v>6243</v>
      </c>
      <c r="Q308" s="87" t="s">
        <v>6392</v>
      </c>
      <c r="R308" s="87" t="s">
        <v>6334</v>
      </c>
      <c r="S308" s="87" t="s">
        <v>6500</v>
      </c>
      <c r="T308" s="87" t="s">
        <v>6341</v>
      </c>
    </row>
    <row r="309" spans="1:26" ht="15.75" customHeight="1">
      <c r="A309" s="9" t="s">
        <v>2915</v>
      </c>
      <c r="B309" s="9" t="s">
        <v>7478</v>
      </c>
      <c r="C309" s="9" t="s">
        <v>6923</v>
      </c>
      <c r="D309" s="87" t="s">
        <v>6461</v>
      </c>
      <c r="E309" s="9" t="s">
        <v>6924</v>
      </c>
      <c r="F309" s="9" t="s">
        <v>6925</v>
      </c>
      <c r="G309" s="9" t="s">
        <v>383</v>
      </c>
      <c r="H309" s="9" t="s">
        <v>427</v>
      </c>
      <c r="I309" s="87" t="s">
        <v>6405</v>
      </c>
      <c r="J309" s="87" t="s">
        <v>6290</v>
      </c>
      <c r="K309" s="87" t="s">
        <v>6939</v>
      </c>
      <c r="L309" s="87" t="s">
        <v>5374</v>
      </c>
      <c r="M309" s="87" t="s">
        <v>7070</v>
      </c>
      <c r="N309" s="9" t="s">
        <v>6940</v>
      </c>
      <c r="O309" s="87" t="s">
        <v>6333</v>
      </c>
      <c r="P309" s="9" t="s">
        <v>6243</v>
      </c>
      <c r="Q309" s="87" t="s">
        <v>6575</v>
      </c>
      <c r="R309" s="87" t="s">
        <v>6290</v>
      </c>
      <c r="S309" s="87" t="s">
        <v>6570</v>
      </c>
      <c r="T309" s="87" t="s">
        <v>6341</v>
      </c>
    </row>
    <row r="310" spans="1:26" ht="15.75" customHeight="1">
      <c r="A310" s="9" t="s">
        <v>2915</v>
      </c>
      <c r="B310" s="9" t="s">
        <v>7478</v>
      </c>
      <c r="C310" s="9" t="s">
        <v>7228</v>
      </c>
      <c r="D310" s="87" t="s">
        <v>6237</v>
      </c>
      <c r="E310" s="9" t="s">
        <v>6924</v>
      </c>
      <c r="F310" s="9" t="s">
        <v>11</v>
      </c>
      <c r="G310" s="9" t="s">
        <v>383</v>
      </c>
      <c r="H310" s="9" t="s">
        <v>426</v>
      </c>
      <c r="I310" s="87" t="s">
        <v>6405</v>
      </c>
      <c r="J310" s="87" t="s">
        <v>6334</v>
      </c>
      <c r="K310" s="87" t="s">
        <v>6334</v>
      </c>
      <c r="L310" s="87" t="s">
        <v>6255</v>
      </c>
      <c r="M310" s="87" t="s">
        <v>7479</v>
      </c>
      <c r="N310" s="9" t="s">
        <v>7245</v>
      </c>
      <c r="O310" s="87" t="s">
        <v>6327</v>
      </c>
      <c r="P310" s="9" t="s">
        <v>6243</v>
      </c>
      <c r="Q310" s="87" t="s">
        <v>6392</v>
      </c>
      <c r="R310" s="87" t="s">
        <v>6334</v>
      </c>
      <c r="S310" s="87" t="s">
        <v>6500</v>
      </c>
      <c r="T310" s="87" t="s">
        <v>6341</v>
      </c>
    </row>
    <row r="311" spans="1:26" ht="15.75" customHeight="1">
      <c r="A311" s="9" t="s">
        <v>2936</v>
      </c>
      <c r="B311" s="9" t="s">
        <v>7480</v>
      </c>
      <c r="C311" s="9" t="s">
        <v>6236</v>
      </c>
      <c r="D311" s="87" t="s">
        <v>6393</v>
      </c>
      <c r="E311" s="9" t="s">
        <v>431</v>
      </c>
      <c r="F311" s="9" t="s">
        <v>368</v>
      </c>
      <c r="G311" s="9" t="s">
        <v>436</v>
      </c>
      <c r="H311" s="9" t="s">
        <v>434</v>
      </c>
      <c r="I311" s="87" t="s">
        <v>6264</v>
      </c>
      <c r="J311" s="87" t="s">
        <v>6375</v>
      </c>
      <c r="K311" s="87" t="s">
        <v>6240</v>
      </c>
      <c r="L311" s="87" t="s">
        <v>6240</v>
      </c>
      <c r="M311" s="87" t="s">
        <v>6710</v>
      </c>
      <c r="N311" s="9" t="s">
        <v>7192</v>
      </c>
      <c r="O311" s="87" t="s">
        <v>6240</v>
      </c>
      <c r="P311" s="9" t="s">
        <v>6243</v>
      </c>
      <c r="Q311" s="87" t="s">
        <v>6397</v>
      </c>
      <c r="R311" s="87" t="s">
        <v>6375</v>
      </c>
      <c r="S311" s="87" t="s">
        <v>6327</v>
      </c>
      <c r="T311" s="87" t="s">
        <v>6421</v>
      </c>
    </row>
    <row r="312" spans="1:26" ht="15.75" customHeight="1">
      <c r="A312" s="9" t="s">
        <v>2936</v>
      </c>
      <c r="B312" s="9" t="s">
        <v>7480</v>
      </c>
      <c r="C312" s="9" t="s">
        <v>6236</v>
      </c>
      <c r="D312" s="87" t="s">
        <v>6393</v>
      </c>
      <c r="E312" s="9" t="s">
        <v>431</v>
      </c>
      <c r="F312" s="9" t="s">
        <v>368</v>
      </c>
      <c r="G312" s="9" t="s">
        <v>436</v>
      </c>
      <c r="H312" s="9" t="s">
        <v>434</v>
      </c>
      <c r="I312" s="87" t="s">
        <v>6264</v>
      </c>
      <c r="J312" s="87" t="s">
        <v>6375</v>
      </c>
      <c r="K312" s="87" t="s">
        <v>6239</v>
      </c>
      <c r="L312" s="87" t="s">
        <v>6240</v>
      </c>
      <c r="M312" s="87" t="s">
        <v>6637</v>
      </c>
      <c r="N312" s="9" t="s">
        <v>6928</v>
      </c>
      <c r="O312" s="87" t="s">
        <v>6239</v>
      </c>
      <c r="P312" s="9" t="s">
        <v>6243</v>
      </c>
      <c r="Q312" s="87" t="s">
        <v>3764</v>
      </c>
      <c r="R312" s="87" t="s">
        <v>6375</v>
      </c>
      <c r="S312" s="87" t="s">
        <v>6327</v>
      </c>
      <c r="T312" s="87" t="s">
        <v>6645</v>
      </c>
    </row>
    <row r="313" spans="1:26" ht="15.75" customHeight="1">
      <c r="A313" s="9" t="s">
        <v>2936</v>
      </c>
      <c r="B313" s="9" t="s">
        <v>7480</v>
      </c>
      <c r="C313" s="9" t="s">
        <v>6236</v>
      </c>
      <c r="D313" s="87" t="s">
        <v>6393</v>
      </c>
      <c r="E313" s="9" t="s">
        <v>431</v>
      </c>
      <c r="F313" s="9" t="s">
        <v>368</v>
      </c>
      <c r="G313" s="9" t="s">
        <v>436</v>
      </c>
      <c r="H313" s="9" t="s">
        <v>434</v>
      </c>
      <c r="I313" s="87" t="s">
        <v>6264</v>
      </c>
      <c r="J313" s="87" t="s">
        <v>6375</v>
      </c>
      <c r="K313" s="87" t="s">
        <v>6239</v>
      </c>
      <c r="L313" s="87" t="s">
        <v>6240</v>
      </c>
      <c r="M313" s="87" t="s">
        <v>6638</v>
      </c>
      <c r="N313" s="9" t="s">
        <v>6928</v>
      </c>
      <c r="O313" s="87" t="s">
        <v>6239</v>
      </c>
      <c r="P313" s="9" t="s">
        <v>6243</v>
      </c>
      <c r="Q313" s="87" t="s">
        <v>3764</v>
      </c>
      <c r="R313" s="87" t="s">
        <v>6375</v>
      </c>
      <c r="S313" s="87" t="s">
        <v>6327</v>
      </c>
      <c r="T313" s="87" t="s">
        <v>6645</v>
      </c>
    </row>
    <row r="314" spans="1:26" ht="15.75" customHeight="1">
      <c r="A314" s="9" t="s">
        <v>2936</v>
      </c>
      <c r="B314" s="9" t="s">
        <v>7480</v>
      </c>
      <c r="C314" s="9" t="s">
        <v>6236</v>
      </c>
      <c r="D314" s="87" t="s">
        <v>6393</v>
      </c>
      <c r="E314" s="9" t="s">
        <v>431</v>
      </c>
      <c r="F314" s="9" t="s">
        <v>368</v>
      </c>
      <c r="G314" s="9" t="s">
        <v>436</v>
      </c>
      <c r="H314" s="9" t="s">
        <v>434</v>
      </c>
      <c r="I314" s="87" t="s">
        <v>6264</v>
      </c>
      <c r="J314" s="87" t="s">
        <v>6375</v>
      </c>
      <c r="K314" s="87" t="s">
        <v>6570</v>
      </c>
      <c r="L314" s="87" t="s">
        <v>6240</v>
      </c>
      <c r="M314" s="87" t="s">
        <v>6763</v>
      </c>
      <c r="N314" s="9" t="s">
        <v>7221</v>
      </c>
      <c r="O314" s="87" t="s">
        <v>6570</v>
      </c>
      <c r="P314" s="9" t="s">
        <v>6243</v>
      </c>
      <c r="Q314" s="87" t="s">
        <v>6573</v>
      </c>
      <c r="R314" s="87" t="s">
        <v>6375</v>
      </c>
      <c r="S314" s="87" t="s">
        <v>6316</v>
      </c>
      <c r="T314" s="87" t="s">
        <v>6645</v>
      </c>
    </row>
    <row r="315" spans="1:26" ht="15.75" customHeight="1">
      <c r="A315" s="9" t="s">
        <v>2936</v>
      </c>
      <c r="B315" s="9" t="s">
        <v>7481</v>
      </c>
      <c r="C315" s="9" t="s">
        <v>6671</v>
      </c>
      <c r="D315" s="87" t="s">
        <v>6296</v>
      </c>
      <c r="E315" s="9" t="s">
        <v>6672</v>
      </c>
      <c r="F315" s="9" t="s">
        <v>439</v>
      </c>
      <c r="G315" s="9" t="s">
        <v>436</v>
      </c>
      <c r="H315" s="9" t="s">
        <v>440</v>
      </c>
      <c r="I315" s="87" t="s">
        <v>6405</v>
      </c>
      <c r="J315" s="87" t="s">
        <v>6754</v>
      </c>
      <c r="K315" s="87" t="s">
        <v>6239</v>
      </c>
      <c r="L315" s="87" t="s">
        <v>6240</v>
      </c>
      <c r="M315" s="87" t="s">
        <v>6647</v>
      </c>
      <c r="N315" s="9" t="s">
        <v>6928</v>
      </c>
      <c r="O315" s="87" t="s">
        <v>6239</v>
      </c>
      <c r="P315" s="9" t="s">
        <v>6243</v>
      </c>
      <c r="Q315" s="87" t="s">
        <v>3764</v>
      </c>
      <c r="R315" s="87" t="s">
        <v>6754</v>
      </c>
      <c r="S315" s="87" t="s">
        <v>6327</v>
      </c>
      <c r="T315" s="87" t="s">
        <v>6645</v>
      </c>
    </row>
    <row r="316" spans="1:26" ht="15.75" customHeight="1">
      <c r="A316" s="9" t="s">
        <v>2936</v>
      </c>
      <c r="B316" s="9" t="s">
        <v>7481</v>
      </c>
      <c r="C316" s="9" t="s">
        <v>6671</v>
      </c>
      <c r="D316" s="87" t="s">
        <v>6296</v>
      </c>
      <c r="E316" s="9" t="s">
        <v>6672</v>
      </c>
      <c r="F316" s="9" t="s">
        <v>439</v>
      </c>
      <c r="G316" s="9" t="s">
        <v>436</v>
      </c>
      <c r="H316" s="9" t="s">
        <v>440</v>
      </c>
      <c r="I316" s="87" t="s">
        <v>6405</v>
      </c>
      <c r="J316" s="87" t="s">
        <v>6754</v>
      </c>
      <c r="K316" s="87" t="s">
        <v>6293</v>
      </c>
      <c r="L316" s="87" t="s">
        <v>6240</v>
      </c>
      <c r="M316" s="87" t="s">
        <v>6648</v>
      </c>
      <c r="N316" s="9" t="s">
        <v>7101</v>
      </c>
      <c r="O316" s="87" t="s">
        <v>6293</v>
      </c>
      <c r="P316" s="9" t="s">
        <v>6243</v>
      </c>
      <c r="Q316" s="87" t="s">
        <v>4828</v>
      </c>
      <c r="R316" s="87" t="s">
        <v>6754</v>
      </c>
      <c r="S316" s="87" t="s">
        <v>6430</v>
      </c>
      <c r="T316" s="87" t="s">
        <v>6645</v>
      </c>
    </row>
    <row r="317" spans="1:26" ht="15.75" customHeight="1">
      <c r="A317" s="9" t="s">
        <v>2936</v>
      </c>
      <c r="B317" s="9" t="s">
        <v>7482</v>
      </c>
      <c r="C317" s="9" t="s">
        <v>6671</v>
      </c>
      <c r="D317" s="87" t="s">
        <v>6414</v>
      </c>
      <c r="E317" s="9" t="s">
        <v>6672</v>
      </c>
      <c r="F317" s="9" t="s">
        <v>439</v>
      </c>
      <c r="G317" s="9" t="s">
        <v>436</v>
      </c>
      <c r="H317" s="9" t="s">
        <v>440</v>
      </c>
      <c r="I317" s="87" t="s">
        <v>6405</v>
      </c>
      <c r="J317" s="87" t="s">
        <v>6796</v>
      </c>
      <c r="K317" s="87" t="s">
        <v>6413</v>
      </c>
      <c r="L317" s="87" t="s">
        <v>6240</v>
      </c>
      <c r="M317" s="87" t="s">
        <v>6648</v>
      </c>
      <c r="N317" s="9" t="s">
        <v>7483</v>
      </c>
      <c r="O317" s="87" t="s">
        <v>6413</v>
      </c>
      <c r="P317" s="9" t="s">
        <v>6243</v>
      </c>
      <c r="Q317" s="87" t="s">
        <v>7484</v>
      </c>
      <c r="R317" s="87" t="s">
        <v>6796</v>
      </c>
      <c r="S317" s="87" t="s">
        <v>6327</v>
      </c>
      <c r="T317" s="87" t="s">
        <v>6404</v>
      </c>
      <c r="U317" s="84"/>
      <c r="V317" s="84"/>
      <c r="W317" s="84"/>
      <c r="X317" s="84"/>
      <c r="Y317" s="84"/>
      <c r="Z317" s="84"/>
    </row>
    <row r="318" spans="1:26" ht="15.75" customHeight="1">
      <c r="A318" s="9" t="s">
        <v>2936</v>
      </c>
      <c r="B318" s="9" t="s">
        <v>7482</v>
      </c>
      <c r="C318" s="9" t="s">
        <v>6671</v>
      </c>
      <c r="D318" s="87" t="s">
        <v>6414</v>
      </c>
      <c r="E318" s="9" t="s">
        <v>6672</v>
      </c>
      <c r="F318" s="9" t="s">
        <v>439</v>
      </c>
      <c r="G318" s="9" t="s">
        <v>436</v>
      </c>
      <c r="H318" s="9" t="s">
        <v>440</v>
      </c>
      <c r="I318" s="87" t="s">
        <v>6405</v>
      </c>
      <c r="J318" s="87" t="s">
        <v>6796</v>
      </c>
      <c r="K318" s="87" t="s">
        <v>6239</v>
      </c>
      <c r="L318" s="87" t="s">
        <v>6240</v>
      </c>
      <c r="M318" s="87" t="s">
        <v>6649</v>
      </c>
      <c r="N318" s="9" t="s">
        <v>6928</v>
      </c>
      <c r="O318" s="87" t="s">
        <v>6239</v>
      </c>
      <c r="P318" s="9" t="s">
        <v>6243</v>
      </c>
      <c r="Q318" s="87" t="s">
        <v>3764</v>
      </c>
      <c r="R318" s="87" t="s">
        <v>6796</v>
      </c>
      <c r="S318" s="87" t="s">
        <v>6327</v>
      </c>
      <c r="T318" s="87" t="s">
        <v>6645</v>
      </c>
      <c r="U318" s="84"/>
      <c r="V318" s="84"/>
      <c r="W318" s="84"/>
      <c r="X318" s="84"/>
      <c r="Y318" s="84"/>
      <c r="Z318" s="84"/>
    </row>
    <row r="319" spans="1:26" ht="15.75" customHeight="1">
      <c r="A319" s="9" t="s">
        <v>2936</v>
      </c>
      <c r="B319" s="9" t="s">
        <v>7482</v>
      </c>
      <c r="C319" s="9" t="s">
        <v>6671</v>
      </c>
      <c r="D319" s="87" t="s">
        <v>6414</v>
      </c>
      <c r="E319" s="9" t="s">
        <v>6672</v>
      </c>
      <c r="F319" s="9" t="s">
        <v>439</v>
      </c>
      <c r="G319" s="9" t="s">
        <v>436</v>
      </c>
      <c r="H319" s="9" t="s">
        <v>440</v>
      </c>
      <c r="I319" s="87" t="s">
        <v>6405</v>
      </c>
      <c r="J319" s="87" t="s">
        <v>6796</v>
      </c>
      <c r="K319" s="87" t="s">
        <v>6239</v>
      </c>
      <c r="L319" s="87" t="s">
        <v>6240</v>
      </c>
      <c r="M319" s="87" t="s">
        <v>6650</v>
      </c>
      <c r="N319" s="9" t="s">
        <v>6928</v>
      </c>
      <c r="O319" s="87" t="s">
        <v>6239</v>
      </c>
      <c r="P319" s="9" t="s">
        <v>6243</v>
      </c>
      <c r="Q319" s="87" t="s">
        <v>3764</v>
      </c>
      <c r="R319" s="87" t="s">
        <v>6796</v>
      </c>
      <c r="S319" s="87" t="s">
        <v>6327</v>
      </c>
      <c r="T319" s="87" t="s">
        <v>6645</v>
      </c>
      <c r="U319" s="84"/>
      <c r="V319" s="84"/>
      <c r="W319" s="84"/>
      <c r="X319" s="84"/>
      <c r="Y319" s="84"/>
      <c r="Z319" s="84"/>
    </row>
    <row r="320" spans="1:26" ht="15.75" customHeight="1">
      <c r="A320" s="9" t="s">
        <v>2936</v>
      </c>
      <c r="B320" s="9" t="s">
        <v>7482</v>
      </c>
      <c r="C320" s="9" t="s">
        <v>6671</v>
      </c>
      <c r="D320" s="87" t="s">
        <v>6414</v>
      </c>
      <c r="E320" s="9" t="s">
        <v>6672</v>
      </c>
      <c r="F320" s="9" t="s">
        <v>439</v>
      </c>
      <c r="G320" s="9" t="s">
        <v>436</v>
      </c>
      <c r="H320" s="9" t="s">
        <v>440</v>
      </c>
      <c r="I320" s="87" t="s">
        <v>6405</v>
      </c>
      <c r="J320" s="87" t="s">
        <v>6796</v>
      </c>
      <c r="K320" s="87" t="s">
        <v>6367</v>
      </c>
      <c r="L320" s="87" t="s">
        <v>6240</v>
      </c>
      <c r="M320" s="87" t="s">
        <v>6700</v>
      </c>
      <c r="N320" s="9" t="s">
        <v>7057</v>
      </c>
      <c r="O320" s="87" t="s">
        <v>6367</v>
      </c>
      <c r="P320" s="9" t="s">
        <v>6243</v>
      </c>
      <c r="Q320" s="87" t="s">
        <v>6814</v>
      </c>
      <c r="R320" s="87" t="s">
        <v>6796</v>
      </c>
      <c r="S320" s="87" t="s">
        <v>6528</v>
      </c>
      <c r="T320" s="87" t="s">
        <v>6645</v>
      </c>
      <c r="U320" s="84"/>
      <c r="V320" s="84"/>
      <c r="W320" s="84"/>
      <c r="X320" s="84"/>
      <c r="Y320" s="84"/>
      <c r="Z320" s="84"/>
    </row>
    <row r="321" spans="1:26" ht="15.75" customHeight="1">
      <c r="A321" s="9" t="s">
        <v>2936</v>
      </c>
      <c r="B321" s="9" t="s">
        <v>7485</v>
      </c>
      <c r="C321" s="9" t="s">
        <v>6923</v>
      </c>
      <c r="D321" s="87" t="s">
        <v>6327</v>
      </c>
      <c r="E321" s="9" t="s">
        <v>6924</v>
      </c>
      <c r="F321" s="9" t="s">
        <v>6925</v>
      </c>
      <c r="G321" s="9" t="s">
        <v>383</v>
      </c>
      <c r="H321" s="9" t="s">
        <v>444</v>
      </c>
      <c r="I321" s="87" t="s">
        <v>6405</v>
      </c>
      <c r="J321" s="87" t="s">
        <v>6240</v>
      </c>
      <c r="K321" s="87" t="s">
        <v>6939</v>
      </c>
      <c r="L321" s="87" t="s">
        <v>6448</v>
      </c>
      <c r="M321" s="87" t="s">
        <v>6699</v>
      </c>
      <c r="N321" s="9" t="s">
        <v>6955</v>
      </c>
      <c r="O321" s="87" t="s">
        <v>6360</v>
      </c>
      <c r="P321" s="9" t="s">
        <v>6243</v>
      </c>
      <c r="Q321" s="87" t="s">
        <v>6776</v>
      </c>
      <c r="R321" s="87" t="s">
        <v>6240</v>
      </c>
      <c r="S321" s="87" t="s">
        <v>6255</v>
      </c>
      <c r="T321" s="87" t="s">
        <v>6341</v>
      </c>
      <c r="U321" s="84"/>
      <c r="V321" s="84"/>
      <c r="W321" s="84"/>
      <c r="X321" s="84"/>
      <c r="Y321" s="84"/>
      <c r="Z321" s="84"/>
    </row>
    <row r="322" spans="1:26" ht="15.75" customHeight="1">
      <c r="A322" s="9" t="s">
        <v>2936</v>
      </c>
      <c r="B322" s="9" t="s">
        <v>7485</v>
      </c>
      <c r="C322" s="9" t="s">
        <v>7228</v>
      </c>
      <c r="D322" s="87" t="s">
        <v>6290</v>
      </c>
      <c r="E322" s="9" t="s">
        <v>6924</v>
      </c>
      <c r="F322" s="9" t="s">
        <v>11</v>
      </c>
      <c r="G322" s="9" t="s">
        <v>383</v>
      </c>
      <c r="H322" s="9" t="s">
        <v>426</v>
      </c>
      <c r="I322" s="87" t="s">
        <v>6405</v>
      </c>
      <c r="J322" s="87" t="s">
        <v>6334</v>
      </c>
      <c r="K322" s="87" t="s">
        <v>6334</v>
      </c>
      <c r="L322" s="87" t="s">
        <v>6306</v>
      </c>
      <c r="M322" s="87" t="s">
        <v>6696</v>
      </c>
      <c r="N322" s="9" t="s">
        <v>7121</v>
      </c>
      <c r="O322" s="87" t="s">
        <v>6299</v>
      </c>
      <c r="P322" s="9" t="s">
        <v>6243</v>
      </c>
      <c r="Q322" s="87" t="s">
        <v>3231</v>
      </c>
      <c r="R322" s="87" t="s">
        <v>6334</v>
      </c>
      <c r="S322" s="87" t="s">
        <v>6400</v>
      </c>
      <c r="T322" s="87" t="s">
        <v>6341</v>
      </c>
      <c r="U322" s="84"/>
      <c r="V322" s="84"/>
      <c r="W322" s="84"/>
      <c r="X322" s="84"/>
      <c r="Y322" s="84"/>
      <c r="Z322" s="84"/>
    </row>
    <row r="323" spans="1:26" ht="15.75" customHeight="1">
      <c r="A323" s="9" t="s">
        <v>2936</v>
      </c>
      <c r="B323" s="9" t="s">
        <v>7486</v>
      </c>
      <c r="C323" s="9" t="s">
        <v>6923</v>
      </c>
      <c r="D323" s="87" t="s">
        <v>6327</v>
      </c>
      <c r="E323" s="9" t="s">
        <v>6924</v>
      </c>
      <c r="F323" s="9" t="s">
        <v>6925</v>
      </c>
      <c r="G323" s="9" t="s">
        <v>383</v>
      </c>
      <c r="H323" s="9" t="s">
        <v>444</v>
      </c>
      <c r="I323" s="87" t="s">
        <v>6405</v>
      </c>
      <c r="J323" s="87" t="s">
        <v>6240</v>
      </c>
      <c r="K323" s="87" t="s">
        <v>6939</v>
      </c>
      <c r="L323" s="87" t="s">
        <v>6448</v>
      </c>
      <c r="M323" s="87" t="s">
        <v>6696</v>
      </c>
      <c r="N323" s="9" t="s">
        <v>6955</v>
      </c>
      <c r="O323" s="87" t="s">
        <v>6360</v>
      </c>
      <c r="P323" s="9" t="s">
        <v>6243</v>
      </c>
      <c r="Q323" s="87" t="s">
        <v>6776</v>
      </c>
      <c r="R323" s="87" t="s">
        <v>6240</v>
      </c>
      <c r="S323" s="87" t="s">
        <v>6255</v>
      </c>
      <c r="T323" s="87" t="s">
        <v>6341</v>
      </c>
      <c r="U323" s="84"/>
      <c r="V323" s="84"/>
      <c r="W323" s="84"/>
      <c r="X323" s="84"/>
      <c r="Y323" s="84"/>
      <c r="Z323" s="84"/>
    </row>
    <row r="324" spans="1:26" ht="15.75" customHeight="1">
      <c r="A324" s="9" t="s">
        <v>2936</v>
      </c>
      <c r="B324" s="9" t="s">
        <v>7486</v>
      </c>
      <c r="C324" s="9" t="s">
        <v>7228</v>
      </c>
      <c r="D324" s="87" t="s">
        <v>6290</v>
      </c>
      <c r="E324" s="9" t="s">
        <v>6924</v>
      </c>
      <c r="F324" s="9" t="s">
        <v>11</v>
      </c>
      <c r="G324" s="9" t="s">
        <v>383</v>
      </c>
      <c r="H324" s="9" t="s">
        <v>426</v>
      </c>
      <c r="I324" s="87" t="s">
        <v>6405</v>
      </c>
      <c r="J324" s="87" t="s">
        <v>6334</v>
      </c>
      <c r="K324" s="87" t="s">
        <v>6334</v>
      </c>
      <c r="L324" s="87" t="s">
        <v>6306</v>
      </c>
      <c r="M324" s="87" t="s">
        <v>6694</v>
      </c>
      <c r="N324" s="9" t="s">
        <v>7121</v>
      </c>
      <c r="O324" s="87" t="s">
        <v>6299</v>
      </c>
      <c r="P324" s="9" t="s">
        <v>6243</v>
      </c>
      <c r="Q324" s="87" t="s">
        <v>3231</v>
      </c>
      <c r="R324" s="87" t="s">
        <v>6334</v>
      </c>
      <c r="S324" s="87" t="s">
        <v>6400</v>
      </c>
      <c r="T324" s="87" t="s">
        <v>6341</v>
      </c>
      <c r="U324" s="84"/>
      <c r="V324" s="84"/>
      <c r="W324" s="84"/>
      <c r="X324" s="84"/>
      <c r="Y324" s="84"/>
      <c r="Z324" s="84"/>
    </row>
    <row r="325" spans="1:26" ht="15.75" customHeight="1">
      <c r="A325" s="9" t="s">
        <v>2936</v>
      </c>
      <c r="B325" s="9" t="s">
        <v>7487</v>
      </c>
      <c r="C325" s="9" t="s">
        <v>6923</v>
      </c>
      <c r="D325" s="87" t="s">
        <v>6327</v>
      </c>
      <c r="E325" s="9" t="s">
        <v>6924</v>
      </c>
      <c r="F325" s="9" t="s">
        <v>6925</v>
      </c>
      <c r="G325" s="9" t="s">
        <v>383</v>
      </c>
      <c r="H325" s="9" t="s">
        <v>444</v>
      </c>
      <c r="I325" s="87" t="s">
        <v>6405</v>
      </c>
      <c r="J325" s="87" t="s">
        <v>6240</v>
      </c>
      <c r="K325" s="87" t="s">
        <v>6926</v>
      </c>
      <c r="L325" s="87" t="s">
        <v>6448</v>
      </c>
      <c r="M325" s="87" t="s">
        <v>6694</v>
      </c>
      <c r="N325" s="9" t="s">
        <v>7073</v>
      </c>
      <c r="O325" s="87" t="s">
        <v>6329</v>
      </c>
      <c r="P325" s="9" t="s">
        <v>6243</v>
      </c>
      <c r="Q325" s="87" t="s">
        <v>6448</v>
      </c>
      <c r="R325" s="87" t="s">
        <v>6240</v>
      </c>
      <c r="S325" s="87" t="s">
        <v>6401</v>
      </c>
      <c r="T325" s="87" t="s">
        <v>6341</v>
      </c>
      <c r="U325" s="84"/>
      <c r="V325" s="84"/>
      <c r="W325" s="84"/>
      <c r="X325" s="84"/>
      <c r="Y325" s="84"/>
      <c r="Z325" s="84"/>
    </row>
    <row r="326" spans="1:26" ht="15.75" customHeight="1">
      <c r="A326" s="9" t="s">
        <v>2936</v>
      </c>
      <c r="B326" s="9" t="s">
        <v>7487</v>
      </c>
      <c r="C326" s="9" t="s">
        <v>7228</v>
      </c>
      <c r="D326" s="87" t="s">
        <v>6290</v>
      </c>
      <c r="E326" s="9" t="s">
        <v>6924</v>
      </c>
      <c r="F326" s="9" t="s">
        <v>11</v>
      </c>
      <c r="G326" s="9" t="s">
        <v>383</v>
      </c>
      <c r="H326" s="9" t="s">
        <v>426</v>
      </c>
      <c r="I326" s="87" t="s">
        <v>6405</v>
      </c>
      <c r="J326" s="87" t="s">
        <v>6405</v>
      </c>
      <c r="K326" s="87" t="s">
        <v>6405</v>
      </c>
      <c r="L326" s="87" t="s">
        <v>6306</v>
      </c>
      <c r="M326" s="87" t="s">
        <v>7063</v>
      </c>
      <c r="N326" s="9" t="s">
        <v>6959</v>
      </c>
      <c r="O326" s="87" t="s">
        <v>4953</v>
      </c>
      <c r="P326" s="9" t="s">
        <v>6243</v>
      </c>
      <c r="Q326" s="87" t="s">
        <v>6306</v>
      </c>
      <c r="R326" s="87" t="s">
        <v>6405</v>
      </c>
      <c r="S326" s="87" t="s">
        <v>6543</v>
      </c>
      <c r="T326" s="87" t="s">
        <v>6341</v>
      </c>
      <c r="U326" s="84"/>
      <c r="V326" s="84"/>
      <c r="W326" s="84"/>
      <c r="X326" s="84"/>
      <c r="Y326" s="84"/>
      <c r="Z326" s="84"/>
    </row>
    <row r="327" spans="1:26" ht="15.75" customHeight="1">
      <c r="A327" s="9" t="s">
        <v>2959</v>
      </c>
      <c r="B327" s="9" t="s">
        <v>7488</v>
      </c>
      <c r="C327" s="9" t="s">
        <v>6236</v>
      </c>
      <c r="D327" s="87" t="s">
        <v>6393</v>
      </c>
      <c r="E327" s="9" t="s">
        <v>431</v>
      </c>
      <c r="F327" s="9" t="s">
        <v>368</v>
      </c>
      <c r="G327" s="9" t="s">
        <v>436</v>
      </c>
      <c r="H327" s="9" t="s">
        <v>434</v>
      </c>
      <c r="I327" s="87" t="s">
        <v>6237</v>
      </c>
      <c r="J327" s="87" t="s">
        <v>6299</v>
      </c>
      <c r="K327" s="87" t="s">
        <v>6299</v>
      </c>
      <c r="L327" s="87" t="s">
        <v>6240</v>
      </c>
      <c r="M327" s="87" t="s">
        <v>6431</v>
      </c>
      <c r="N327" s="9" t="s">
        <v>7074</v>
      </c>
      <c r="O327" s="87" t="s">
        <v>6299</v>
      </c>
      <c r="P327" s="9" t="s">
        <v>6243</v>
      </c>
      <c r="Q327" s="87" t="s">
        <v>3231</v>
      </c>
      <c r="R327" s="87" t="s">
        <v>6299</v>
      </c>
      <c r="S327" s="87" t="s">
        <v>6404</v>
      </c>
      <c r="T327" s="87" t="s">
        <v>6239</v>
      </c>
      <c r="U327" s="84"/>
      <c r="V327" s="84"/>
      <c r="W327" s="84"/>
      <c r="X327" s="84"/>
      <c r="Y327" s="84"/>
      <c r="Z327" s="84"/>
    </row>
    <row r="328" spans="1:26" ht="15.75" customHeight="1">
      <c r="A328" s="9" t="s">
        <v>2959</v>
      </c>
      <c r="B328" s="9" t="s">
        <v>7489</v>
      </c>
      <c r="C328" s="9" t="s">
        <v>6671</v>
      </c>
      <c r="D328" s="87" t="s">
        <v>6296</v>
      </c>
      <c r="E328" s="9" t="s">
        <v>6672</v>
      </c>
      <c r="F328" s="9" t="s">
        <v>439</v>
      </c>
      <c r="G328" s="9" t="s">
        <v>436</v>
      </c>
      <c r="H328" s="9" t="s">
        <v>440</v>
      </c>
      <c r="I328" s="87" t="s">
        <v>6405</v>
      </c>
      <c r="J328" s="87" t="s">
        <v>6245</v>
      </c>
      <c r="K328" s="87" t="s">
        <v>6245</v>
      </c>
      <c r="L328" s="87" t="s">
        <v>6240</v>
      </c>
      <c r="M328" s="87" t="s">
        <v>6828</v>
      </c>
      <c r="N328" s="9" t="s">
        <v>7075</v>
      </c>
      <c r="O328" s="87" t="s">
        <v>6245</v>
      </c>
      <c r="P328" s="9" t="s">
        <v>6243</v>
      </c>
      <c r="Q328" s="87" t="s">
        <v>6238</v>
      </c>
      <c r="R328" s="87" t="s">
        <v>6245</v>
      </c>
      <c r="S328" s="87" t="s">
        <v>6619</v>
      </c>
      <c r="T328" s="87" t="s">
        <v>6733</v>
      </c>
      <c r="U328" s="84"/>
      <c r="V328" s="84"/>
      <c r="W328" s="84"/>
      <c r="X328" s="84"/>
      <c r="Y328" s="84"/>
      <c r="Z328" s="84"/>
    </row>
    <row r="329" spans="1:26" ht="15.75" customHeight="1">
      <c r="A329" s="9" t="s">
        <v>2959</v>
      </c>
      <c r="B329" s="9" t="s">
        <v>7490</v>
      </c>
      <c r="C329" s="9" t="s">
        <v>6923</v>
      </c>
      <c r="D329" s="87" t="s">
        <v>6327</v>
      </c>
      <c r="E329" s="9" t="s">
        <v>6924</v>
      </c>
      <c r="F329" s="9" t="s">
        <v>6925</v>
      </c>
      <c r="G329" s="9" t="s">
        <v>383</v>
      </c>
      <c r="H329" s="9" t="s">
        <v>444</v>
      </c>
      <c r="I329" s="87" t="s">
        <v>6405</v>
      </c>
      <c r="J329" s="87" t="s">
        <v>6405</v>
      </c>
      <c r="K329" s="87" t="s">
        <v>6926</v>
      </c>
      <c r="L329" s="87" t="s">
        <v>5381</v>
      </c>
      <c r="M329" s="87" t="s">
        <v>7048</v>
      </c>
      <c r="N329" s="9" t="s">
        <v>7491</v>
      </c>
      <c r="O329" s="87" t="s">
        <v>6348</v>
      </c>
      <c r="P329" s="9" t="s">
        <v>6243</v>
      </c>
      <c r="Q329" s="87" t="s">
        <v>5381</v>
      </c>
      <c r="R329" s="87" t="s">
        <v>6405</v>
      </c>
      <c r="S329" s="87" t="s">
        <v>6461</v>
      </c>
      <c r="T329" s="87" t="s">
        <v>6393</v>
      </c>
      <c r="U329" s="84"/>
      <c r="V329" s="84"/>
      <c r="W329" s="84"/>
      <c r="X329" s="84"/>
      <c r="Y329" s="84"/>
      <c r="Z329" s="84"/>
    </row>
    <row r="330" spans="1:26" ht="15.75" customHeight="1">
      <c r="A330" s="9" t="s">
        <v>2959</v>
      </c>
      <c r="B330" s="9" t="s">
        <v>7490</v>
      </c>
      <c r="C330" s="9" t="s">
        <v>7228</v>
      </c>
      <c r="D330" s="87" t="s">
        <v>6290</v>
      </c>
      <c r="E330" s="9" t="s">
        <v>6924</v>
      </c>
      <c r="F330" s="9" t="s">
        <v>11</v>
      </c>
      <c r="G330" s="9" t="s">
        <v>383</v>
      </c>
      <c r="H330" s="9" t="s">
        <v>426</v>
      </c>
      <c r="I330" s="87" t="s">
        <v>6405</v>
      </c>
      <c r="J330" s="87" t="s">
        <v>6405</v>
      </c>
      <c r="K330" s="87" t="s">
        <v>6405</v>
      </c>
      <c r="L330" s="87" t="s">
        <v>6293</v>
      </c>
      <c r="M330" s="87" t="s">
        <v>6449</v>
      </c>
      <c r="N330" s="9" t="s">
        <v>7492</v>
      </c>
      <c r="O330" s="87" t="s">
        <v>6290</v>
      </c>
      <c r="P330" s="9" t="s">
        <v>6243</v>
      </c>
      <c r="Q330" s="87" t="s">
        <v>6293</v>
      </c>
      <c r="R330" s="87" t="s">
        <v>6405</v>
      </c>
      <c r="S330" s="87" t="s">
        <v>6294</v>
      </c>
      <c r="T330" s="87" t="s">
        <v>6293</v>
      </c>
      <c r="U330" s="84"/>
      <c r="V330" s="84"/>
      <c r="W330" s="84"/>
      <c r="X330" s="84"/>
      <c r="Y330" s="84"/>
      <c r="Z330" s="84"/>
    </row>
    <row r="331" spans="1:26" ht="15.75" customHeight="1">
      <c r="A331" s="9" t="s">
        <v>2947</v>
      </c>
      <c r="B331" s="9" t="s">
        <v>7493</v>
      </c>
      <c r="C331" s="9" t="s">
        <v>6236</v>
      </c>
      <c r="D331" s="87" t="s">
        <v>6393</v>
      </c>
      <c r="E331" s="9" t="s">
        <v>431</v>
      </c>
      <c r="F331" s="9" t="s">
        <v>368</v>
      </c>
      <c r="G331" s="9" t="s">
        <v>436</v>
      </c>
      <c r="H331" s="9" t="s">
        <v>434</v>
      </c>
      <c r="I331" s="87" t="s">
        <v>6237</v>
      </c>
      <c r="J331" s="87" t="s">
        <v>6273</v>
      </c>
      <c r="K331" s="87" t="s">
        <v>6273</v>
      </c>
      <c r="L331" s="87" t="s">
        <v>6240</v>
      </c>
      <c r="M331" s="87" t="s">
        <v>6431</v>
      </c>
      <c r="N331" s="9" t="s">
        <v>7077</v>
      </c>
      <c r="O331" s="87" t="s">
        <v>6273</v>
      </c>
      <c r="P331" s="9" t="s">
        <v>6243</v>
      </c>
      <c r="Q331" s="87" t="s">
        <v>6276</v>
      </c>
      <c r="R331" s="87" t="s">
        <v>6273</v>
      </c>
      <c r="S331" s="87" t="s">
        <v>6348</v>
      </c>
      <c r="T331" s="87" t="s">
        <v>6400</v>
      </c>
      <c r="U331" s="84"/>
      <c r="V331" s="84"/>
      <c r="W331" s="84"/>
      <c r="X331" s="84"/>
      <c r="Y331" s="84"/>
      <c r="Z331" s="84"/>
    </row>
    <row r="332" spans="1:26" ht="15.75" customHeight="1">
      <c r="A332" s="9" t="s">
        <v>2947</v>
      </c>
      <c r="B332" s="9" t="s">
        <v>7494</v>
      </c>
      <c r="C332" s="9" t="s">
        <v>6671</v>
      </c>
      <c r="D332" s="87" t="s">
        <v>6296</v>
      </c>
      <c r="E332" s="9" t="s">
        <v>6672</v>
      </c>
      <c r="F332" s="9" t="s">
        <v>439</v>
      </c>
      <c r="G332" s="9" t="s">
        <v>436</v>
      </c>
      <c r="H332" s="9" t="s">
        <v>440</v>
      </c>
      <c r="I332" s="87" t="s">
        <v>6405</v>
      </c>
      <c r="J332" s="87" t="s">
        <v>6245</v>
      </c>
      <c r="K332" s="87" t="s">
        <v>6245</v>
      </c>
      <c r="L332" s="87" t="s">
        <v>6240</v>
      </c>
      <c r="M332" s="87" t="s">
        <v>6828</v>
      </c>
      <c r="N332" s="9" t="s">
        <v>7078</v>
      </c>
      <c r="O332" s="87" t="s">
        <v>6245</v>
      </c>
      <c r="P332" s="9" t="s">
        <v>6243</v>
      </c>
      <c r="Q332" s="87" t="s">
        <v>6238</v>
      </c>
      <c r="R332" s="87" t="s">
        <v>6245</v>
      </c>
      <c r="S332" s="87" t="s">
        <v>6293</v>
      </c>
      <c r="T332" s="87" t="s">
        <v>6555</v>
      </c>
    </row>
    <row r="333" spans="1:26" ht="15.75" customHeight="1">
      <c r="A333" s="9" t="s">
        <v>2947</v>
      </c>
      <c r="B333" s="9" t="s">
        <v>7495</v>
      </c>
      <c r="C333" s="9" t="s">
        <v>6923</v>
      </c>
      <c r="D333" s="87" t="s">
        <v>6327</v>
      </c>
      <c r="E333" s="9" t="s">
        <v>6924</v>
      </c>
      <c r="F333" s="9" t="s">
        <v>6925</v>
      </c>
      <c r="G333" s="9" t="s">
        <v>383</v>
      </c>
      <c r="H333" s="9" t="s">
        <v>444</v>
      </c>
      <c r="I333" s="87" t="s">
        <v>6405</v>
      </c>
      <c r="J333" s="87" t="s">
        <v>6405</v>
      </c>
      <c r="K333" s="87" t="s">
        <v>6926</v>
      </c>
      <c r="L333" s="87" t="s">
        <v>5381</v>
      </c>
      <c r="M333" s="87" t="s">
        <v>6449</v>
      </c>
      <c r="N333" s="9" t="s">
        <v>7496</v>
      </c>
      <c r="O333" s="87" t="s">
        <v>6348</v>
      </c>
      <c r="P333" s="9" t="s">
        <v>6243</v>
      </c>
      <c r="Q333" s="87" t="s">
        <v>5381</v>
      </c>
      <c r="R333" s="87" t="s">
        <v>6405</v>
      </c>
      <c r="S333" s="87" t="s">
        <v>6451</v>
      </c>
      <c r="T333" s="87" t="s">
        <v>6299</v>
      </c>
    </row>
    <row r="334" spans="1:26" ht="15.75" customHeight="1">
      <c r="A334" s="9" t="s">
        <v>2947</v>
      </c>
      <c r="B334" s="9" t="s">
        <v>7495</v>
      </c>
      <c r="C334" s="9" t="s">
        <v>7228</v>
      </c>
      <c r="D334" s="87" t="s">
        <v>6290</v>
      </c>
      <c r="E334" s="9" t="s">
        <v>6924</v>
      </c>
      <c r="F334" s="9" t="s">
        <v>11</v>
      </c>
      <c r="G334" s="9" t="s">
        <v>383</v>
      </c>
      <c r="H334" s="9" t="s">
        <v>426</v>
      </c>
      <c r="I334" s="87" t="s">
        <v>6405</v>
      </c>
      <c r="J334" s="87" t="s">
        <v>6405</v>
      </c>
      <c r="K334" s="87" t="s">
        <v>6405</v>
      </c>
      <c r="L334" s="87" t="s">
        <v>6293</v>
      </c>
      <c r="M334" s="87" t="s">
        <v>6452</v>
      </c>
      <c r="N334" s="9" t="s">
        <v>7497</v>
      </c>
      <c r="O334" s="87" t="s">
        <v>6290</v>
      </c>
      <c r="P334" s="9" t="s">
        <v>6243</v>
      </c>
      <c r="Q334" s="87" t="s">
        <v>6293</v>
      </c>
      <c r="R334" s="87" t="s">
        <v>6405</v>
      </c>
      <c r="S334" s="87" t="s">
        <v>6428</v>
      </c>
      <c r="T334" s="87" t="s">
        <v>6382</v>
      </c>
    </row>
    <row r="335" spans="1:26" ht="15.75" customHeight="1">
      <c r="A335" s="9" t="s">
        <v>3003</v>
      </c>
      <c r="B335" s="9" t="s">
        <v>7498</v>
      </c>
      <c r="C335" s="9" t="s">
        <v>6236</v>
      </c>
      <c r="D335" s="87" t="s">
        <v>6393</v>
      </c>
      <c r="E335" s="9" t="s">
        <v>431</v>
      </c>
      <c r="F335" s="9" t="s">
        <v>368</v>
      </c>
      <c r="G335" s="9" t="s">
        <v>436</v>
      </c>
      <c r="H335" s="9" t="s">
        <v>434</v>
      </c>
      <c r="I335" s="87" t="s">
        <v>6237</v>
      </c>
      <c r="J335" s="87" t="s">
        <v>6433</v>
      </c>
      <c r="K335" s="87" t="s">
        <v>6334</v>
      </c>
      <c r="L335" s="87" t="s">
        <v>6240</v>
      </c>
      <c r="M335" s="87" t="s">
        <v>6431</v>
      </c>
      <c r="N335" s="9" t="s">
        <v>7056</v>
      </c>
      <c r="O335" s="87" t="s">
        <v>6334</v>
      </c>
      <c r="P335" s="9" t="s">
        <v>6243</v>
      </c>
      <c r="Q335" s="87" t="s">
        <v>6290</v>
      </c>
      <c r="R335" s="87" t="s">
        <v>6433</v>
      </c>
      <c r="S335" s="87" t="s">
        <v>6327</v>
      </c>
      <c r="T335" s="87" t="s">
        <v>6642</v>
      </c>
    </row>
    <row r="336" spans="1:26" ht="15.75" customHeight="1">
      <c r="A336" s="9" t="s">
        <v>3003</v>
      </c>
      <c r="B336" s="9" t="s">
        <v>7498</v>
      </c>
      <c r="C336" s="9" t="s">
        <v>6236</v>
      </c>
      <c r="D336" s="87" t="s">
        <v>6393</v>
      </c>
      <c r="E336" s="9" t="s">
        <v>431</v>
      </c>
      <c r="F336" s="9" t="s">
        <v>368</v>
      </c>
      <c r="G336" s="9" t="s">
        <v>436</v>
      </c>
      <c r="H336" s="9" t="s">
        <v>434</v>
      </c>
      <c r="I336" s="87" t="s">
        <v>6237</v>
      </c>
      <c r="J336" s="87" t="s">
        <v>6433</v>
      </c>
      <c r="K336" s="87" t="s">
        <v>4953</v>
      </c>
      <c r="L336" s="87" t="s">
        <v>6240</v>
      </c>
      <c r="M336" s="87" t="s">
        <v>6828</v>
      </c>
      <c r="N336" s="9" t="s">
        <v>7080</v>
      </c>
      <c r="O336" s="87" t="s">
        <v>4953</v>
      </c>
      <c r="P336" s="9" t="s">
        <v>6243</v>
      </c>
      <c r="Q336" s="87" t="s">
        <v>6306</v>
      </c>
      <c r="R336" s="87" t="s">
        <v>6433</v>
      </c>
      <c r="S336" s="87" t="s">
        <v>6373</v>
      </c>
      <c r="T336" s="87" t="s">
        <v>6645</v>
      </c>
    </row>
    <row r="337" spans="1:20" ht="15.75" customHeight="1">
      <c r="A337" s="9" t="s">
        <v>3003</v>
      </c>
      <c r="B337" s="9" t="s">
        <v>7499</v>
      </c>
      <c r="C337" s="9" t="s">
        <v>6671</v>
      </c>
      <c r="D337" s="87" t="s">
        <v>6296</v>
      </c>
      <c r="E337" s="9" t="s">
        <v>6672</v>
      </c>
      <c r="F337" s="9" t="s">
        <v>439</v>
      </c>
      <c r="G337" s="9" t="s">
        <v>436</v>
      </c>
      <c r="H337" s="9" t="s">
        <v>440</v>
      </c>
      <c r="I337" s="87" t="s">
        <v>6405</v>
      </c>
      <c r="J337" s="87" t="s">
        <v>6327</v>
      </c>
      <c r="K337" s="87" t="s">
        <v>6327</v>
      </c>
      <c r="L337" s="87" t="s">
        <v>6240</v>
      </c>
      <c r="M337" s="87" t="s">
        <v>6826</v>
      </c>
      <c r="N337" s="9" t="s">
        <v>7081</v>
      </c>
      <c r="O337" s="87" t="s">
        <v>6327</v>
      </c>
      <c r="P337" s="9" t="s">
        <v>6243</v>
      </c>
      <c r="Q337" s="87" t="s">
        <v>6392</v>
      </c>
      <c r="R337" s="87" t="s">
        <v>6327</v>
      </c>
      <c r="S337" s="87" t="s">
        <v>6239</v>
      </c>
      <c r="T337" s="87" t="s">
        <v>6645</v>
      </c>
    </row>
    <row r="338" spans="1:20" ht="15.75" customHeight="1">
      <c r="A338" s="9" t="s">
        <v>3003</v>
      </c>
      <c r="B338" s="9" t="s">
        <v>7500</v>
      </c>
      <c r="C338" s="9" t="s">
        <v>6923</v>
      </c>
      <c r="D338" s="87" t="s">
        <v>6327</v>
      </c>
      <c r="E338" s="9" t="s">
        <v>6924</v>
      </c>
      <c r="F338" s="9" t="s">
        <v>6925</v>
      </c>
      <c r="G338" s="9" t="s">
        <v>383</v>
      </c>
      <c r="H338" s="9" t="s">
        <v>444</v>
      </c>
      <c r="I338" s="87" t="s">
        <v>6405</v>
      </c>
      <c r="J338" s="87" t="s">
        <v>6405</v>
      </c>
      <c r="K338" s="87" t="s">
        <v>6926</v>
      </c>
      <c r="L338" s="87" t="s">
        <v>5381</v>
      </c>
      <c r="M338" s="87" t="s">
        <v>6449</v>
      </c>
      <c r="N338" s="9" t="s">
        <v>7501</v>
      </c>
      <c r="O338" s="87" t="s">
        <v>6348</v>
      </c>
      <c r="P338" s="9" t="s">
        <v>6243</v>
      </c>
      <c r="Q338" s="87" t="s">
        <v>5381</v>
      </c>
      <c r="R338" s="87" t="s">
        <v>6405</v>
      </c>
      <c r="S338" s="87" t="s">
        <v>6642</v>
      </c>
      <c r="T338" s="87" t="s">
        <v>6268</v>
      </c>
    </row>
    <row r="339" spans="1:20" ht="15.75" customHeight="1">
      <c r="A339" s="9" t="s">
        <v>3003</v>
      </c>
      <c r="B339" s="9" t="s">
        <v>7500</v>
      </c>
      <c r="C339" s="9" t="s">
        <v>7228</v>
      </c>
      <c r="D339" s="87" t="s">
        <v>6290</v>
      </c>
      <c r="E339" s="9" t="s">
        <v>6924</v>
      </c>
      <c r="F339" s="9" t="s">
        <v>11</v>
      </c>
      <c r="G339" s="9" t="s">
        <v>383</v>
      </c>
      <c r="H339" s="9" t="s">
        <v>426</v>
      </c>
      <c r="I339" s="87" t="s">
        <v>6405</v>
      </c>
      <c r="J339" s="87" t="s">
        <v>6405</v>
      </c>
      <c r="K339" s="87" t="s">
        <v>6405</v>
      </c>
      <c r="L339" s="87" t="s">
        <v>6293</v>
      </c>
      <c r="M339" s="87" t="s">
        <v>6452</v>
      </c>
      <c r="N339" s="9" t="s">
        <v>7502</v>
      </c>
      <c r="O339" s="87" t="s">
        <v>6290</v>
      </c>
      <c r="P339" s="9" t="s">
        <v>6243</v>
      </c>
      <c r="Q339" s="87" t="s">
        <v>6293</v>
      </c>
      <c r="R339" s="87" t="s">
        <v>6405</v>
      </c>
      <c r="S339" s="87" t="s">
        <v>6330</v>
      </c>
      <c r="T339" s="87" t="s">
        <v>6322</v>
      </c>
    </row>
    <row r="340" spans="1:20" ht="15.75" customHeight="1">
      <c r="A340" s="9" t="s">
        <v>2968</v>
      </c>
      <c r="B340" s="9" t="s">
        <v>7503</v>
      </c>
      <c r="C340" s="9" t="s">
        <v>6236</v>
      </c>
      <c r="D340" s="87" t="s">
        <v>6393</v>
      </c>
      <c r="E340" s="9" t="s">
        <v>431</v>
      </c>
      <c r="F340" s="9" t="s">
        <v>368</v>
      </c>
      <c r="G340" s="9" t="s">
        <v>436</v>
      </c>
      <c r="H340" s="9" t="s">
        <v>434</v>
      </c>
      <c r="I340" s="87" t="s">
        <v>6264</v>
      </c>
      <c r="J340" s="87" t="s">
        <v>6392</v>
      </c>
      <c r="K340" s="87" t="s">
        <v>6430</v>
      </c>
      <c r="L340" s="87" t="s">
        <v>6240</v>
      </c>
      <c r="M340" s="87" t="s">
        <v>6471</v>
      </c>
      <c r="N340" s="9" t="s">
        <v>7504</v>
      </c>
      <c r="O340" s="87" t="s">
        <v>6430</v>
      </c>
      <c r="P340" s="9" t="s">
        <v>6243</v>
      </c>
      <c r="Q340" s="87" t="s">
        <v>6579</v>
      </c>
      <c r="R340" s="87" t="s">
        <v>6392</v>
      </c>
      <c r="S340" s="87" t="s">
        <v>6327</v>
      </c>
      <c r="T340" s="87" t="s">
        <v>6440</v>
      </c>
    </row>
    <row r="341" spans="1:20" ht="15.75" customHeight="1">
      <c r="A341" s="9" t="s">
        <v>2968</v>
      </c>
      <c r="B341" s="9" t="s">
        <v>7503</v>
      </c>
      <c r="C341" s="9" t="s">
        <v>6236</v>
      </c>
      <c r="D341" s="87" t="s">
        <v>6393</v>
      </c>
      <c r="E341" s="9" t="s">
        <v>431</v>
      </c>
      <c r="F341" s="9" t="s">
        <v>368</v>
      </c>
      <c r="G341" s="9" t="s">
        <v>436</v>
      </c>
      <c r="H341" s="9" t="s">
        <v>434</v>
      </c>
      <c r="I341" s="87" t="s">
        <v>6264</v>
      </c>
      <c r="J341" s="87" t="s">
        <v>6392</v>
      </c>
      <c r="K341" s="87" t="s">
        <v>6334</v>
      </c>
      <c r="L341" s="87" t="s">
        <v>6240</v>
      </c>
      <c r="M341" s="87" t="s">
        <v>6475</v>
      </c>
      <c r="N341" s="9" t="s">
        <v>7006</v>
      </c>
      <c r="O341" s="87" t="s">
        <v>6334</v>
      </c>
      <c r="P341" s="9" t="s">
        <v>6243</v>
      </c>
      <c r="Q341" s="87" t="s">
        <v>6290</v>
      </c>
      <c r="R341" s="87" t="s">
        <v>6392</v>
      </c>
      <c r="S341" s="87" t="s">
        <v>6351</v>
      </c>
      <c r="T341" s="87" t="s">
        <v>6645</v>
      </c>
    </row>
    <row r="342" spans="1:20" ht="15.75" customHeight="1">
      <c r="A342" s="9" t="s">
        <v>2968</v>
      </c>
      <c r="B342" s="9" t="s">
        <v>7505</v>
      </c>
      <c r="C342" s="9" t="s">
        <v>6671</v>
      </c>
      <c r="D342" s="87" t="s">
        <v>6296</v>
      </c>
      <c r="E342" s="9" t="s">
        <v>6672</v>
      </c>
      <c r="F342" s="9" t="s">
        <v>439</v>
      </c>
      <c r="G342" s="9" t="s">
        <v>436</v>
      </c>
      <c r="H342" s="9" t="s">
        <v>440</v>
      </c>
      <c r="I342" s="87" t="s">
        <v>6405</v>
      </c>
      <c r="J342" s="87" t="s">
        <v>6346</v>
      </c>
      <c r="K342" s="87" t="s">
        <v>6346</v>
      </c>
      <c r="L342" s="87" t="s">
        <v>6240</v>
      </c>
      <c r="M342" s="87" t="s">
        <v>6490</v>
      </c>
      <c r="N342" s="9" t="s">
        <v>7506</v>
      </c>
      <c r="O342" s="87" t="s">
        <v>6346</v>
      </c>
      <c r="P342" s="9" t="s">
        <v>6243</v>
      </c>
      <c r="Q342" s="87" t="s">
        <v>6366</v>
      </c>
      <c r="R342" s="87" t="s">
        <v>6346</v>
      </c>
      <c r="S342" s="87" t="s">
        <v>6333</v>
      </c>
      <c r="T342" s="87" t="s">
        <v>6474</v>
      </c>
    </row>
    <row r="343" spans="1:20" ht="15.75" customHeight="1">
      <c r="A343" s="9" t="s">
        <v>2968</v>
      </c>
      <c r="B343" s="9" t="s">
        <v>7507</v>
      </c>
      <c r="C343" s="9" t="s">
        <v>6923</v>
      </c>
      <c r="D343" s="87" t="s">
        <v>6461</v>
      </c>
      <c r="E343" s="9" t="s">
        <v>6924</v>
      </c>
      <c r="F343" s="9" t="s">
        <v>6925</v>
      </c>
      <c r="G343" s="9" t="s">
        <v>383</v>
      </c>
      <c r="H343" s="9" t="s">
        <v>427</v>
      </c>
      <c r="I343" s="87" t="s">
        <v>6405</v>
      </c>
      <c r="J343" s="87" t="s">
        <v>6810</v>
      </c>
      <c r="K343" s="87" t="s">
        <v>6926</v>
      </c>
      <c r="L343" s="87" t="s">
        <v>6372</v>
      </c>
      <c r="M343" s="87" t="s">
        <v>6492</v>
      </c>
      <c r="N343" s="9" t="s">
        <v>7084</v>
      </c>
      <c r="O343" s="87" t="s">
        <v>6295</v>
      </c>
      <c r="P343" s="9" t="s">
        <v>6243</v>
      </c>
      <c r="Q343" s="87" t="s">
        <v>6372</v>
      </c>
      <c r="R343" s="87" t="s">
        <v>6810</v>
      </c>
      <c r="S343" s="87" t="s">
        <v>4953</v>
      </c>
      <c r="T343" s="87" t="s">
        <v>6455</v>
      </c>
    </row>
    <row r="344" spans="1:20" ht="15.75" customHeight="1">
      <c r="A344" s="9" t="s">
        <v>2968</v>
      </c>
      <c r="B344" s="9" t="s">
        <v>7507</v>
      </c>
      <c r="C344" s="9" t="s">
        <v>7228</v>
      </c>
      <c r="D344" s="87" t="s">
        <v>6237</v>
      </c>
      <c r="E344" s="9" t="s">
        <v>6924</v>
      </c>
      <c r="F344" s="9" t="s">
        <v>11</v>
      </c>
      <c r="G344" s="9" t="s">
        <v>383</v>
      </c>
      <c r="H344" s="9" t="s">
        <v>426</v>
      </c>
      <c r="I344" s="87" t="s">
        <v>6405</v>
      </c>
      <c r="J344" s="87" t="s">
        <v>6405</v>
      </c>
      <c r="K344" s="87" t="s">
        <v>6405</v>
      </c>
      <c r="L344" s="87" t="s">
        <v>6397</v>
      </c>
      <c r="M344" s="87" t="s">
        <v>6495</v>
      </c>
      <c r="N344" s="9" t="s">
        <v>7289</v>
      </c>
      <c r="O344" s="87" t="s">
        <v>6240</v>
      </c>
      <c r="P344" s="9" t="s">
        <v>6243</v>
      </c>
      <c r="Q344" s="87" t="s">
        <v>6397</v>
      </c>
      <c r="R344" s="87" t="s">
        <v>6405</v>
      </c>
      <c r="S344" s="87" t="s">
        <v>6284</v>
      </c>
      <c r="T344" s="87" t="s">
        <v>6341</v>
      </c>
    </row>
    <row r="345" spans="1:20" ht="15.75" customHeight="1">
      <c r="A345" s="9" t="s">
        <v>2968</v>
      </c>
      <c r="B345" s="9" t="s">
        <v>7508</v>
      </c>
      <c r="C345" s="9" t="s">
        <v>6923</v>
      </c>
      <c r="D345" s="87" t="s">
        <v>6461</v>
      </c>
      <c r="E345" s="9" t="s">
        <v>6924</v>
      </c>
      <c r="F345" s="9" t="s">
        <v>6925</v>
      </c>
      <c r="G345" s="9" t="s">
        <v>383</v>
      </c>
      <c r="H345" s="9" t="s">
        <v>427</v>
      </c>
      <c r="I345" s="87" t="s">
        <v>6405</v>
      </c>
      <c r="J345" s="87" t="s">
        <v>6810</v>
      </c>
      <c r="K345" s="87" t="s">
        <v>6931</v>
      </c>
      <c r="L345" s="87" t="s">
        <v>6372</v>
      </c>
      <c r="M345" s="87" t="s">
        <v>6495</v>
      </c>
      <c r="N345" s="9" t="s">
        <v>7034</v>
      </c>
      <c r="O345" s="87" t="s">
        <v>6239</v>
      </c>
      <c r="P345" s="9" t="s">
        <v>6243</v>
      </c>
      <c r="Q345" s="87" t="s">
        <v>3764</v>
      </c>
      <c r="R345" s="87" t="s">
        <v>6810</v>
      </c>
      <c r="S345" s="87" t="s">
        <v>7035</v>
      </c>
      <c r="T345" s="87" t="s">
        <v>6341</v>
      </c>
    </row>
    <row r="346" spans="1:20" ht="15.75" customHeight="1">
      <c r="A346" s="9" t="s">
        <v>2968</v>
      </c>
      <c r="B346" s="9" t="s">
        <v>7508</v>
      </c>
      <c r="C346" s="9" t="s">
        <v>7228</v>
      </c>
      <c r="D346" s="87" t="s">
        <v>6237</v>
      </c>
      <c r="E346" s="9" t="s">
        <v>6924</v>
      </c>
      <c r="F346" s="9" t="s">
        <v>11</v>
      </c>
      <c r="G346" s="9" t="s">
        <v>383</v>
      </c>
      <c r="H346" s="9" t="s">
        <v>426</v>
      </c>
      <c r="I346" s="87" t="s">
        <v>6405</v>
      </c>
      <c r="J346" s="87" t="s">
        <v>6264</v>
      </c>
      <c r="K346" s="87" t="s">
        <v>6264</v>
      </c>
      <c r="L346" s="87" t="s">
        <v>6397</v>
      </c>
      <c r="M346" s="87" t="s">
        <v>6508</v>
      </c>
      <c r="N346" s="9" t="s">
        <v>7300</v>
      </c>
      <c r="O346" s="87" t="s">
        <v>6313</v>
      </c>
      <c r="P346" s="9" t="s">
        <v>6243</v>
      </c>
      <c r="Q346" s="87" t="s">
        <v>6357</v>
      </c>
      <c r="R346" s="87" t="s">
        <v>6264</v>
      </c>
      <c r="S346" s="87" t="s">
        <v>6651</v>
      </c>
      <c r="T346" s="87" t="s">
        <v>6341</v>
      </c>
    </row>
    <row r="347" spans="1:20" ht="15.75" customHeight="1">
      <c r="A347" s="9" t="s">
        <v>2968</v>
      </c>
      <c r="B347" s="9" t="s">
        <v>7509</v>
      </c>
      <c r="C347" s="9" t="s">
        <v>6923</v>
      </c>
      <c r="D347" s="87" t="s">
        <v>6461</v>
      </c>
      <c r="E347" s="9" t="s">
        <v>6924</v>
      </c>
      <c r="F347" s="9" t="s">
        <v>6925</v>
      </c>
      <c r="G347" s="9" t="s">
        <v>383</v>
      </c>
      <c r="H347" s="9" t="s">
        <v>427</v>
      </c>
      <c r="I347" s="87" t="s">
        <v>6405</v>
      </c>
      <c r="J347" s="87" t="s">
        <v>6810</v>
      </c>
      <c r="K347" s="87" t="s">
        <v>6931</v>
      </c>
      <c r="L347" s="87" t="s">
        <v>6372</v>
      </c>
      <c r="M347" s="87" t="s">
        <v>6508</v>
      </c>
      <c r="N347" s="9" t="s">
        <v>7034</v>
      </c>
      <c r="O347" s="87" t="s">
        <v>6239</v>
      </c>
      <c r="P347" s="9" t="s">
        <v>6243</v>
      </c>
      <c r="Q347" s="87" t="s">
        <v>3764</v>
      </c>
      <c r="R347" s="87" t="s">
        <v>6810</v>
      </c>
      <c r="S347" s="87" t="s">
        <v>7035</v>
      </c>
      <c r="T347" s="87" t="s">
        <v>6341</v>
      </c>
    </row>
    <row r="348" spans="1:20" ht="15.75" customHeight="1">
      <c r="A348" s="9" t="s">
        <v>2968</v>
      </c>
      <c r="B348" s="9" t="s">
        <v>7509</v>
      </c>
      <c r="C348" s="9" t="s">
        <v>7228</v>
      </c>
      <c r="D348" s="87" t="s">
        <v>6237</v>
      </c>
      <c r="E348" s="9" t="s">
        <v>6924</v>
      </c>
      <c r="F348" s="9" t="s">
        <v>11</v>
      </c>
      <c r="G348" s="9" t="s">
        <v>383</v>
      </c>
      <c r="H348" s="9" t="s">
        <v>426</v>
      </c>
      <c r="I348" s="87" t="s">
        <v>6405</v>
      </c>
      <c r="J348" s="87" t="s">
        <v>6264</v>
      </c>
      <c r="K348" s="87" t="s">
        <v>6264</v>
      </c>
      <c r="L348" s="87" t="s">
        <v>6397</v>
      </c>
      <c r="M348" s="87" t="s">
        <v>6510</v>
      </c>
      <c r="N348" s="9" t="s">
        <v>7300</v>
      </c>
      <c r="O348" s="87" t="s">
        <v>6313</v>
      </c>
      <c r="P348" s="9" t="s">
        <v>6243</v>
      </c>
      <c r="Q348" s="87" t="s">
        <v>6357</v>
      </c>
      <c r="R348" s="87" t="s">
        <v>6264</v>
      </c>
      <c r="S348" s="87" t="s">
        <v>6651</v>
      </c>
      <c r="T348" s="87" t="s">
        <v>6341</v>
      </c>
    </row>
    <row r="349" spans="1:20" ht="15.75" customHeight="1">
      <c r="A349" s="9" t="s">
        <v>2968</v>
      </c>
      <c r="B349" s="9" t="s">
        <v>7510</v>
      </c>
      <c r="C349" s="9" t="s">
        <v>6923</v>
      </c>
      <c r="D349" s="87" t="s">
        <v>6461</v>
      </c>
      <c r="E349" s="9" t="s">
        <v>6924</v>
      </c>
      <c r="F349" s="9" t="s">
        <v>6925</v>
      </c>
      <c r="G349" s="9" t="s">
        <v>383</v>
      </c>
      <c r="H349" s="9" t="s">
        <v>427</v>
      </c>
      <c r="I349" s="87" t="s">
        <v>6405</v>
      </c>
      <c r="J349" s="87" t="s">
        <v>6810</v>
      </c>
      <c r="K349" s="87" t="s">
        <v>6939</v>
      </c>
      <c r="L349" s="87" t="s">
        <v>6372</v>
      </c>
      <c r="M349" s="87" t="s">
        <v>6510</v>
      </c>
      <c r="N349" s="9" t="s">
        <v>7031</v>
      </c>
      <c r="O349" s="87" t="s">
        <v>6526</v>
      </c>
      <c r="P349" s="9" t="s">
        <v>6243</v>
      </c>
      <c r="Q349" s="87" t="s">
        <v>4023</v>
      </c>
      <c r="R349" s="87" t="s">
        <v>6810</v>
      </c>
      <c r="S349" s="87" t="s">
        <v>6295</v>
      </c>
      <c r="T349" s="87" t="s">
        <v>6341</v>
      </c>
    </row>
    <row r="350" spans="1:20" ht="15.75" customHeight="1">
      <c r="A350" s="9" t="s">
        <v>2968</v>
      </c>
      <c r="B350" s="9" t="s">
        <v>7510</v>
      </c>
      <c r="C350" s="9" t="s">
        <v>7228</v>
      </c>
      <c r="D350" s="87" t="s">
        <v>6237</v>
      </c>
      <c r="E350" s="9" t="s">
        <v>6924</v>
      </c>
      <c r="F350" s="9" t="s">
        <v>11</v>
      </c>
      <c r="G350" s="9" t="s">
        <v>383</v>
      </c>
      <c r="H350" s="9" t="s">
        <v>426</v>
      </c>
      <c r="I350" s="87" t="s">
        <v>6405</v>
      </c>
      <c r="J350" s="87" t="s">
        <v>6334</v>
      </c>
      <c r="K350" s="87" t="s">
        <v>6334</v>
      </c>
      <c r="L350" s="87" t="s">
        <v>6397</v>
      </c>
      <c r="M350" s="87" t="s">
        <v>6511</v>
      </c>
      <c r="N350" s="9" t="s">
        <v>7268</v>
      </c>
      <c r="O350" s="87" t="s">
        <v>6290</v>
      </c>
      <c r="P350" s="9" t="s">
        <v>6243</v>
      </c>
      <c r="Q350" s="87" t="s">
        <v>6293</v>
      </c>
      <c r="R350" s="87" t="s">
        <v>6334</v>
      </c>
      <c r="S350" s="87" t="s">
        <v>6479</v>
      </c>
      <c r="T350" s="87" t="s">
        <v>6341</v>
      </c>
    </row>
    <row r="351" spans="1:20" ht="15.75" customHeight="1">
      <c r="A351" s="9" t="s">
        <v>3004</v>
      </c>
      <c r="B351" s="9" t="s">
        <v>7511</v>
      </c>
      <c r="C351" s="9" t="s">
        <v>6236</v>
      </c>
      <c r="D351" s="87" t="s">
        <v>6393</v>
      </c>
      <c r="E351" s="9" t="s">
        <v>431</v>
      </c>
      <c r="F351" s="9" t="s">
        <v>368</v>
      </c>
      <c r="G351" s="9" t="s">
        <v>436</v>
      </c>
      <c r="H351" s="9" t="s">
        <v>434</v>
      </c>
      <c r="I351" s="87" t="s">
        <v>6237</v>
      </c>
      <c r="J351" s="87" t="s">
        <v>6264</v>
      </c>
      <c r="K351" s="87" t="s">
        <v>6264</v>
      </c>
      <c r="L351" s="87" t="s">
        <v>6240</v>
      </c>
      <c r="M351" s="87" t="s">
        <v>6466</v>
      </c>
      <c r="N351" s="9" t="s">
        <v>7512</v>
      </c>
      <c r="O351" s="87" t="s">
        <v>6264</v>
      </c>
      <c r="P351" s="9" t="s">
        <v>6243</v>
      </c>
      <c r="Q351" s="87" t="s">
        <v>6313</v>
      </c>
      <c r="R351" s="87" t="s">
        <v>6264</v>
      </c>
      <c r="S351" s="87" t="s">
        <v>6326</v>
      </c>
      <c r="T351" s="87" t="s">
        <v>6440</v>
      </c>
    </row>
    <row r="352" spans="1:20" ht="15.75" customHeight="1">
      <c r="A352" s="9" t="s">
        <v>3004</v>
      </c>
      <c r="B352" s="9" t="s">
        <v>7513</v>
      </c>
      <c r="C352" s="9" t="s">
        <v>6671</v>
      </c>
      <c r="D352" s="87" t="s">
        <v>6296</v>
      </c>
      <c r="E352" s="9" t="s">
        <v>6672</v>
      </c>
      <c r="F352" s="9" t="s">
        <v>439</v>
      </c>
      <c r="G352" s="9" t="s">
        <v>436</v>
      </c>
      <c r="H352" s="9" t="s">
        <v>440</v>
      </c>
      <c r="I352" s="87" t="s">
        <v>6405</v>
      </c>
      <c r="J352" s="87" t="s">
        <v>6405</v>
      </c>
      <c r="K352" s="87" t="s">
        <v>6405</v>
      </c>
      <c r="L352" s="87" t="s">
        <v>6240</v>
      </c>
      <c r="M352" s="87" t="s">
        <v>6475</v>
      </c>
      <c r="N352" s="9" t="s">
        <v>7514</v>
      </c>
      <c r="O352" s="87" t="s">
        <v>6405</v>
      </c>
      <c r="P352" s="9" t="s">
        <v>6243</v>
      </c>
      <c r="Q352" s="87" t="s">
        <v>6240</v>
      </c>
      <c r="R352" s="87" t="s">
        <v>6405</v>
      </c>
      <c r="S352" s="87" t="s">
        <v>6306</v>
      </c>
      <c r="T352" s="87" t="s">
        <v>6306</v>
      </c>
    </row>
    <row r="353" spans="1:20" ht="15.75" customHeight="1">
      <c r="A353" s="9" t="s">
        <v>3004</v>
      </c>
      <c r="B353" s="9" t="s">
        <v>7515</v>
      </c>
      <c r="C353" s="9" t="s">
        <v>6923</v>
      </c>
      <c r="D353" s="87" t="s">
        <v>6327</v>
      </c>
      <c r="E353" s="9" t="s">
        <v>6924</v>
      </c>
      <c r="F353" s="9" t="s">
        <v>6925</v>
      </c>
      <c r="G353" s="9" t="s">
        <v>383</v>
      </c>
      <c r="H353" s="9" t="s">
        <v>444</v>
      </c>
      <c r="I353" s="87" t="s">
        <v>6405</v>
      </c>
      <c r="J353" s="87" t="s">
        <v>6405</v>
      </c>
      <c r="K353" s="87" t="s">
        <v>6926</v>
      </c>
      <c r="L353" s="87" t="s">
        <v>6416</v>
      </c>
      <c r="M353" s="87" t="s">
        <v>6481</v>
      </c>
      <c r="N353" s="9" t="s">
        <v>7087</v>
      </c>
      <c r="O353" s="87" t="s">
        <v>6414</v>
      </c>
      <c r="P353" s="9" t="s">
        <v>6243</v>
      </c>
      <c r="Q353" s="87" t="s">
        <v>6416</v>
      </c>
      <c r="R353" s="87" t="s">
        <v>6405</v>
      </c>
      <c r="S353" s="87" t="s">
        <v>5381</v>
      </c>
      <c r="T353" s="87" t="s">
        <v>6479</v>
      </c>
    </row>
    <row r="354" spans="1:20" ht="15.75" customHeight="1">
      <c r="A354" s="9" t="s">
        <v>3004</v>
      </c>
      <c r="B354" s="9" t="s">
        <v>7515</v>
      </c>
      <c r="C354" s="9" t="s">
        <v>7228</v>
      </c>
      <c r="D354" s="87" t="s">
        <v>6290</v>
      </c>
      <c r="E354" s="9" t="s">
        <v>6924</v>
      </c>
      <c r="F354" s="9" t="s">
        <v>11</v>
      </c>
      <c r="G354" s="9" t="s">
        <v>383</v>
      </c>
      <c r="H354" s="9" t="s">
        <v>426</v>
      </c>
      <c r="I354" s="87" t="s">
        <v>6405</v>
      </c>
      <c r="J354" s="87" t="s">
        <v>6405</v>
      </c>
      <c r="K354" s="87" t="s">
        <v>6405</v>
      </c>
      <c r="L354" s="87" t="s">
        <v>6445</v>
      </c>
      <c r="M354" s="87" t="s">
        <v>6490</v>
      </c>
      <c r="N354" s="9" t="s">
        <v>7516</v>
      </c>
      <c r="O354" s="87" t="s">
        <v>6642</v>
      </c>
      <c r="P354" s="9" t="s">
        <v>6243</v>
      </c>
      <c r="Q354" s="87" t="s">
        <v>6445</v>
      </c>
      <c r="R354" s="87" t="s">
        <v>6405</v>
      </c>
      <c r="S354" s="87" t="s">
        <v>6497</v>
      </c>
      <c r="T354" s="87" t="s">
        <v>6341</v>
      </c>
    </row>
    <row r="355" spans="1:20" ht="15.75" customHeight="1">
      <c r="A355" s="9" t="s">
        <v>2883</v>
      </c>
      <c r="B355" s="9" t="s">
        <v>7517</v>
      </c>
      <c r="C355" s="9" t="s">
        <v>6236</v>
      </c>
      <c r="D355" s="87" t="s">
        <v>6393</v>
      </c>
      <c r="E355" s="9" t="s">
        <v>431</v>
      </c>
      <c r="F355" s="9" t="s">
        <v>368</v>
      </c>
      <c r="G355" s="9" t="s">
        <v>436</v>
      </c>
      <c r="H355" s="9" t="s">
        <v>434</v>
      </c>
      <c r="I355" s="87" t="s">
        <v>6237</v>
      </c>
      <c r="J355" s="87" t="s">
        <v>6334</v>
      </c>
      <c r="K355" s="87" t="s">
        <v>6334</v>
      </c>
      <c r="L355" s="87" t="s">
        <v>6240</v>
      </c>
      <c r="M355" s="87" t="s">
        <v>6466</v>
      </c>
      <c r="N355" s="9" t="s">
        <v>7518</v>
      </c>
      <c r="O355" s="87" t="s">
        <v>6334</v>
      </c>
      <c r="P355" s="9" t="s">
        <v>6243</v>
      </c>
      <c r="Q355" s="87" t="s">
        <v>6290</v>
      </c>
      <c r="R355" s="87" t="s">
        <v>6334</v>
      </c>
      <c r="S355" s="87" t="s">
        <v>6445</v>
      </c>
      <c r="T355" s="87" t="s">
        <v>6360</v>
      </c>
    </row>
    <row r="356" spans="1:20" ht="15.75" customHeight="1">
      <c r="A356" s="9" t="s">
        <v>2883</v>
      </c>
      <c r="B356" s="9" t="s">
        <v>7519</v>
      </c>
      <c r="C356" s="9" t="s">
        <v>6671</v>
      </c>
      <c r="D356" s="87" t="s">
        <v>6296</v>
      </c>
      <c r="E356" s="9" t="s">
        <v>6672</v>
      </c>
      <c r="F356" s="9" t="s">
        <v>439</v>
      </c>
      <c r="G356" s="9" t="s">
        <v>436</v>
      </c>
      <c r="H356" s="9" t="s">
        <v>440</v>
      </c>
      <c r="I356" s="87" t="s">
        <v>6405</v>
      </c>
      <c r="J356" s="87" t="s">
        <v>6405</v>
      </c>
      <c r="K356" s="87" t="s">
        <v>6405</v>
      </c>
      <c r="L356" s="87" t="s">
        <v>6240</v>
      </c>
      <c r="M356" s="87" t="s">
        <v>6475</v>
      </c>
      <c r="N356" s="9" t="s">
        <v>7520</v>
      </c>
      <c r="O356" s="87" t="s">
        <v>6405</v>
      </c>
      <c r="P356" s="9" t="s">
        <v>6243</v>
      </c>
      <c r="Q356" s="87" t="s">
        <v>6240</v>
      </c>
      <c r="R356" s="87" t="s">
        <v>6405</v>
      </c>
      <c r="S356" s="87" t="s">
        <v>6443</v>
      </c>
      <c r="T356" s="87" t="s">
        <v>6443</v>
      </c>
    </row>
    <row r="357" spans="1:20" ht="15.75" customHeight="1">
      <c r="A357" s="9" t="s">
        <v>2883</v>
      </c>
      <c r="B357" s="9" t="s">
        <v>7521</v>
      </c>
      <c r="C357" s="9" t="s">
        <v>6923</v>
      </c>
      <c r="D357" s="87" t="s">
        <v>6327</v>
      </c>
      <c r="E357" s="9" t="s">
        <v>6924</v>
      </c>
      <c r="F357" s="9" t="s">
        <v>6925</v>
      </c>
      <c r="G357" s="9" t="s">
        <v>383</v>
      </c>
      <c r="H357" s="9" t="s">
        <v>444</v>
      </c>
      <c r="I357" s="87" t="s">
        <v>6405</v>
      </c>
      <c r="J357" s="87" t="s">
        <v>6405</v>
      </c>
      <c r="K357" s="87" t="s">
        <v>6926</v>
      </c>
      <c r="L357" s="87" t="s">
        <v>6416</v>
      </c>
      <c r="M357" s="87" t="s">
        <v>6481</v>
      </c>
      <c r="N357" s="9" t="s">
        <v>7090</v>
      </c>
      <c r="O357" s="87" t="s">
        <v>6414</v>
      </c>
      <c r="P357" s="9" t="s">
        <v>6243</v>
      </c>
      <c r="Q357" s="87" t="s">
        <v>6416</v>
      </c>
      <c r="R357" s="87" t="s">
        <v>6405</v>
      </c>
      <c r="S357" s="87" t="s">
        <v>6361</v>
      </c>
      <c r="T357" s="87" t="s">
        <v>6440</v>
      </c>
    </row>
    <row r="358" spans="1:20" ht="15.75" customHeight="1">
      <c r="A358" s="9" t="s">
        <v>2883</v>
      </c>
      <c r="B358" s="9" t="s">
        <v>7521</v>
      </c>
      <c r="C358" s="9" t="s">
        <v>7228</v>
      </c>
      <c r="D358" s="87" t="s">
        <v>6290</v>
      </c>
      <c r="E358" s="9" t="s">
        <v>6924</v>
      </c>
      <c r="F358" s="9" t="s">
        <v>11</v>
      </c>
      <c r="G358" s="9" t="s">
        <v>383</v>
      </c>
      <c r="H358" s="9" t="s">
        <v>426</v>
      </c>
      <c r="I358" s="87" t="s">
        <v>6405</v>
      </c>
      <c r="J358" s="87" t="s">
        <v>6405</v>
      </c>
      <c r="K358" s="87" t="s">
        <v>6405</v>
      </c>
      <c r="L358" s="87" t="s">
        <v>6445</v>
      </c>
      <c r="M358" s="87" t="s">
        <v>6490</v>
      </c>
      <c r="N358" s="9" t="s">
        <v>7522</v>
      </c>
      <c r="O358" s="87" t="s">
        <v>6642</v>
      </c>
      <c r="P358" s="9" t="s">
        <v>6243</v>
      </c>
      <c r="Q358" s="87" t="s">
        <v>6445</v>
      </c>
      <c r="R358" s="87" t="s">
        <v>6405</v>
      </c>
      <c r="S358" s="87" t="s">
        <v>5381</v>
      </c>
      <c r="T358" s="87" t="s">
        <v>6342</v>
      </c>
    </row>
    <row r="359" spans="1:20" ht="15.75" customHeight="1">
      <c r="A359" s="9" t="s">
        <v>2979</v>
      </c>
      <c r="B359" s="9" t="s">
        <v>7523</v>
      </c>
      <c r="C359" s="9" t="s">
        <v>6236</v>
      </c>
      <c r="D359" s="87" t="s">
        <v>6393</v>
      </c>
      <c r="E359" s="9" t="s">
        <v>431</v>
      </c>
      <c r="F359" s="9" t="s">
        <v>368</v>
      </c>
      <c r="G359" s="9" t="s">
        <v>436</v>
      </c>
      <c r="H359" s="9" t="s">
        <v>434</v>
      </c>
      <c r="I359" s="87" t="s">
        <v>6264</v>
      </c>
      <c r="J359" s="87" t="s">
        <v>6273</v>
      </c>
      <c r="K359" s="87" t="s">
        <v>6240</v>
      </c>
      <c r="L359" s="87" t="s">
        <v>6240</v>
      </c>
      <c r="M359" s="87" t="s">
        <v>6470</v>
      </c>
      <c r="N359" s="9" t="s">
        <v>7192</v>
      </c>
      <c r="O359" s="87" t="s">
        <v>6240</v>
      </c>
      <c r="P359" s="9" t="s">
        <v>6243</v>
      </c>
      <c r="Q359" s="87" t="s">
        <v>6397</v>
      </c>
      <c r="R359" s="87" t="s">
        <v>6273</v>
      </c>
      <c r="S359" s="87" t="s">
        <v>6327</v>
      </c>
      <c r="T359" s="87" t="s">
        <v>6421</v>
      </c>
    </row>
    <row r="360" spans="1:20" ht="15.75" customHeight="1">
      <c r="A360" s="9" t="s">
        <v>2979</v>
      </c>
      <c r="B360" s="9" t="s">
        <v>7523</v>
      </c>
      <c r="C360" s="9" t="s">
        <v>6236</v>
      </c>
      <c r="D360" s="87" t="s">
        <v>6393</v>
      </c>
      <c r="E360" s="9" t="s">
        <v>431</v>
      </c>
      <c r="F360" s="9" t="s">
        <v>368</v>
      </c>
      <c r="G360" s="9" t="s">
        <v>436</v>
      </c>
      <c r="H360" s="9" t="s">
        <v>434</v>
      </c>
      <c r="I360" s="87" t="s">
        <v>6264</v>
      </c>
      <c r="J360" s="87" t="s">
        <v>6273</v>
      </c>
      <c r="K360" s="87" t="s">
        <v>6346</v>
      </c>
      <c r="L360" s="87" t="s">
        <v>6240</v>
      </c>
      <c r="M360" s="87" t="s">
        <v>6471</v>
      </c>
      <c r="N360" s="9" t="s">
        <v>6972</v>
      </c>
      <c r="O360" s="87" t="s">
        <v>6346</v>
      </c>
      <c r="P360" s="9" t="s">
        <v>6243</v>
      </c>
      <c r="Q360" s="87" t="s">
        <v>6366</v>
      </c>
      <c r="R360" s="87" t="s">
        <v>6273</v>
      </c>
      <c r="S360" s="87" t="s">
        <v>5381</v>
      </c>
      <c r="T360" s="87" t="s">
        <v>6645</v>
      </c>
    </row>
    <row r="361" spans="1:20" ht="15.75" customHeight="1">
      <c r="A361" s="9" t="s">
        <v>2979</v>
      </c>
      <c r="B361" s="9" t="s">
        <v>7524</v>
      </c>
      <c r="C361" s="9" t="s">
        <v>6923</v>
      </c>
      <c r="D361" s="87" t="s">
        <v>6327</v>
      </c>
      <c r="E361" s="9" t="s">
        <v>6924</v>
      </c>
      <c r="F361" s="9" t="s">
        <v>6925</v>
      </c>
      <c r="G361" s="9" t="s">
        <v>383</v>
      </c>
      <c r="H361" s="9" t="s">
        <v>444</v>
      </c>
      <c r="I361" s="87" t="s">
        <v>6405</v>
      </c>
      <c r="J361" s="87" t="s">
        <v>6334</v>
      </c>
      <c r="K361" s="87" t="s">
        <v>6939</v>
      </c>
      <c r="L361" s="87" t="s">
        <v>6278</v>
      </c>
      <c r="M361" s="87" t="s">
        <v>6475</v>
      </c>
      <c r="N361" s="9" t="s">
        <v>6989</v>
      </c>
      <c r="O361" s="87" t="s">
        <v>6293</v>
      </c>
      <c r="P361" s="9" t="s">
        <v>6243</v>
      </c>
      <c r="Q361" s="87" t="s">
        <v>4828</v>
      </c>
      <c r="R361" s="87" t="s">
        <v>6334</v>
      </c>
      <c r="S361" s="87" t="s">
        <v>6413</v>
      </c>
      <c r="T361" s="87" t="s">
        <v>6341</v>
      </c>
    </row>
    <row r="362" spans="1:20" ht="15.75" customHeight="1">
      <c r="A362" s="9" t="s">
        <v>2979</v>
      </c>
      <c r="B362" s="9" t="s">
        <v>7524</v>
      </c>
      <c r="C362" s="9" t="s">
        <v>7228</v>
      </c>
      <c r="D362" s="87" t="s">
        <v>6290</v>
      </c>
      <c r="E362" s="9" t="s">
        <v>6924</v>
      </c>
      <c r="F362" s="9" t="s">
        <v>11</v>
      </c>
      <c r="G362" s="9" t="s">
        <v>383</v>
      </c>
      <c r="H362" s="9" t="s">
        <v>426</v>
      </c>
      <c r="I362" s="87" t="s">
        <v>6405</v>
      </c>
      <c r="J362" s="87" t="s">
        <v>6334</v>
      </c>
      <c r="K362" s="87" t="s">
        <v>6334</v>
      </c>
      <c r="L362" s="87" t="s">
        <v>6484</v>
      </c>
      <c r="M362" s="87" t="s">
        <v>6481</v>
      </c>
      <c r="N362" s="9" t="s">
        <v>7525</v>
      </c>
      <c r="O362" s="87" t="s">
        <v>6296</v>
      </c>
      <c r="P362" s="9" t="s">
        <v>6243</v>
      </c>
      <c r="Q362" s="87" t="s">
        <v>6287</v>
      </c>
      <c r="R362" s="87" t="s">
        <v>6334</v>
      </c>
      <c r="S362" s="87" t="s">
        <v>6245</v>
      </c>
      <c r="T362" s="87" t="s">
        <v>6294</v>
      </c>
    </row>
    <row r="363" spans="1:20" ht="15.75" customHeight="1">
      <c r="A363" s="9" t="s">
        <v>2825</v>
      </c>
      <c r="B363" s="9" t="s">
        <v>7526</v>
      </c>
      <c r="C363" s="9" t="s">
        <v>6236</v>
      </c>
      <c r="D363" s="87" t="s">
        <v>6393</v>
      </c>
      <c r="E363" s="9" t="s">
        <v>431</v>
      </c>
      <c r="F363" s="9" t="s">
        <v>368</v>
      </c>
      <c r="G363" s="9" t="s">
        <v>436</v>
      </c>
      <c r="H363" s="9" t="s">
        <v>434</v>
      </c>
      <c r="I363" s="87" t="s">
        <v>6405</v>
      </c>
      <c r="J363" s="87" t="s">
        <v>6273</v>
      </c>
      <c r="K363" s="87" t="s">
        <v>6273</v>
      </c>
      <c r="L363" s="87" t="s">
        <v>6240</v>
      </c>
      <c r="M363" s="87" t="s">
        <v>6513</v>
      </c>
      <c r="N363" s="9" t="s">
        <v>7527</v>
      </c>
      <c r="O363" s="87" t="s">
        <v>6273</v>
      </c>
      <c r="P363" s="9" t="s">
        <v>6243</v>
      </c>
      <c r="Q363" s="87" t="s">
        <v>6276</v>
      </c>
      <c r="R363" s="87" t="s">
        <v>6273</v>
      </c>
      <c r="S363" s="87" t="s">
        <v>6370</v>
      </c>
      <c r="T363" s="87" t="s">
        <v>6284</v>
      </c>
    </row>
    <row r="364" spans="1:20" ht="15.75" customHeight="1">
      <c r="A364" s="9" t="s">
        <v>2825</v>
      </c>
      <c r="B364" s="9" t="s">
        <v>7528</v>
      </c>
      <c r="C364" s="9" t="s">
        <v>6923</v>
      </c>
      <c r="D364" s="87" t="s">
        <v>6264</v>
      </c>
      <c r="E364" s="9" t="s">
        <v>6924</v>
      </c>
      <c r="F364" s="9" t="s">
        <v>6925</v>
      </c>
      <c r="G364" s="9" t="s">
        <v>383</v>
      </c>
      <c r="H364" s="9" t="s">
        <v>449</v>
      </c>
      <c r="I364" s="87" t="s">
        <v>6405</v>
      </c>
      <c r="J364" s="87" t="s">
        <v>6405</v>
      </c>
      <c r="K364" s="87" t="s">
        <v>6926</v>
      </c>
      <c r="L364" s="87" t="s">
        <v>6283</v>
      </c>
      <c r="M364" s="87" t="s">
        <v>6517</v>
      </c>
      <c r="N364" s="9" t="s">
        <v>7529</v>
      </c>
      <c r="O364" s="87" t="s">
        <v>6280</v>
      </c>
      <c r="P364" s="9" t="s">
        <v>6243</v>
      </c>
      <c r="Q364" s="87" t="s">
        <v>6283</v>
      </c>
      <c r="R364" s="87" t="s">
        <v>6405</v>
      </c>
      <c r="S364" s="87" t="s">
        <v>6535</v>
      </c>
      <c r="T364" s="87" t="s">
        <v>6326</v>
      </c>
    </row>
    <row r="365" spans="1:20" ht="15.75" customHeight="1">
      <c r="A365" s="9" t="s">
        <v>2825</v>
      </c>
      <c r="B365" s="9" t="s">
        <v>7528</v>
      </c>
      <c r="C365" s="9" t="s">
        <v>7228</v>
      </c>
      <c r="D365" s="87" t="s">
        <v>6405</v>
      </c>
      <c r="E365" s="9" t="s">
        <v>6924</v>
      </c>
      <c r="F365" s="9" t="s">
        <v>11</v>
      </c>
      <c r="G365" s="9" t="s">
        <v>383</v>
      </c>
      <c r="H365" s="9" t="s">
        <v>426</v>
      </c>
      <c r="I365" s="87" t="s">
        <v>6405</v>
      </c>
      <c r="J365" s="87" t="s">
        <v>6405</v>
      </c>
      <c r="K365" s="87" t="s">
        <v>6405</v>
      </c>
      <c r="L365" s="87" t="s">
        <v>6397</v>
      </c>
      <c r="M365" s="87" t="s">
        <v>6530</v>
      </c>
      <c r="N365" s="9" t="s">
        <v>7530</v>
      </c>
      <c r="O365" s="87" t="s">
        <v>6240</v>
      </c>
      <c r="P365" s="9" t="s">
        <v>6243</v>
      </c>
      <c r="Q365" s="87" t="s">
        <v>6397</v>
      </c>
      <c r="R365" s="87" t="s">
        <v>6405</v>
      </c>
      <c r="S365" s="87" t="s">
        <v>6421</v>
      </c>
      <c r="T365" s="87" t="s">
        <v>4953</v>
      </c>
    </row>
    <row r="366" spans="1:20" ht="15.75" customHeight="1">
      <c r="A366" s="9" t="s">
        <v>3031</v>
      </c>
      <c r="B366" s="9" t="s">
        <v>7531</v>
      </c>
      <c r="C366" s="9" t="s">
        <v>6236</v>
      </c>
      <c r="D366" s="87" t="s">
        <v>6393</v>
      </c>
      <c r="E366" s="9" t="s">
        <v>431</v>
      </c>
      <c r="F366" s="9" t="s">
        <v>368</v>
      </c>
      <c r="G366" s="9" t="s">
        <v>436</v>
      </c>
      <c r="H366" s="9" t="s">
        <v>434</v>
      </c>
      <c r="I366" s="87" t="s">
        <v>6237</v>
      </c>
      <c r="J366" s="87" t="s">
        <v>6293</v>
      </c>
      <c r="K366" s="87" t="s">
        <v>6323</v>
      </c>
      <c r="L366" s="87" t="s">
        <v>6240</v>
      </c>
      <c r="M366" s="87" t="s">
        <v>6511</v>
      </c>
      <c r="N366" s="9" t="s">
        <v>7532</v>
      </c>
      <c r="O366" s="87" t="s">
        <v>6323</v>
      </c>
      <c r="P366" s="9" t="s">
        <v>6243</v>
      </c>
      <c r="Q366" s="87" t="s">
        <v>5374</v>
      </c>
      <c r="R366" s="87" t="s">
        <v>6293</v>
      </c>
      <c r="S366" s="87" t="s">
        <v>6327</v>
      </c>
      <c r="T366" s="87" t="s">
        <v>6484</v>
      </c>
    </row>
    <row r="367" spans="1:20" ht="15.75" customHeight="1">
      <c r="A367" s="9" t="s">
        <v>3031</v>
      </c>
      <c r="B367" s="9" t="s">
        <v>7531</v>
      </c>
      <c r="C367" s="9" t="s">
        <v>6236</v>
      </c>
      <c r="D367" s="87" t="s">
        <v>6393</v>
      </c>
      <c r="E367" s="9" t="s">
        <v>431</v>
      </c>
      <c r="F367" s="9" t="s">
        <v>368</v>
      </c>
      <c r="G367" s="9" t="s">
        <v>436</v>
      </c>
      <c r="H367" s="9" t="s">
        <v>434</v>
      </c>
      <c r="I367" s="87" t="s">
        <v>6237</v>
      </c>
      <c r="J367" s="87" t="s">
        <v>6293</v>
      </c>
      <c r="K367" s="87" t="s">
        <v>6421</v>
      </c>
      <c r="L367" s="87" t="s">
        <v>6240</v>
      </c>
      <c r="M367" s="87" t="s">
        <v>6513</v>
      </c>
      <c r="N367" s="9" t="s">
        <v>7214</v>
      </c>
      <c r="O367" s="87" t="s">
        <v>6421</v>
      </c>
      <c r="P367" s="9" t="s">
        <v>6243</v>
      </c>
      <c r="Q367" s="87" t="s">
        <v>6316</v>
      </c>
      <c r="R367" s="87" t="s">
        <v>6293</v>
      </c>
      <c r="S367" s="87" t="s">
        <v>6532</v>
      </c>
      <c r="T367" s="87" t="s">
        <v>6645</v>
      </c>
    </row>
    <row r="368" spans="1:20" ht="15.75" customHeight="1">
      <c r="A368" s="9" t="s">
        <v>3031</v>
      </c>
      <c r="B368" s="9" t="s">
        <v>7533</v>
      </c>
      <c r="C368" s="9" t="s">
        <v>6671</v>
      </c>
      <c r="D368" s="87" t="s">
        <v>6296</v>
      </c>
      <c r="E368" s="9" t="s">
        <v>6672</v>
      </c>
      <c r="F368" s="9" t="s">
        <v>439</v>
      </c>
      <c r="G368" s="9" t="s">
        <v>436</v>
      </c>
      <c r="H368" s="9" t="s">
        <v>440</v>
      </c>
      <c r="I368" s="87" t="s">
        <v>6405</v>
      </c>
      <c r="J368" s="87" t="s">
        <v>6255</v>
      </c>
      <c r="K368" s="87" t="s">
        <v>6255</v>
      </c>
      <c r="L368" s="87" t="s">
        <v>6240</v>
      </c>
      <c r="M368" s="87" t="s">
        <v>6517</v>
      </c>
      <c r="N368" s="9" t="s">
        <v>7534</v>
      </c>
      <c r="O368" s="87" t="s">
        <v>6255</v>
      </c>
      <c r="P368" s="9" t="s">
        <v>6243</v>
      </c>
      <c r="Q368" s="87" t="s">
        <v>4947</v>
      </c>
      <c r="R368" s="87" t="s">
        <v>6255</v>
      </c>
      <c r="S368" s="87" t="s">
        <v>6268</v>
      </c>
      <c r="T368" s="87" t="s">
        <v>6250</v>
      </c>
    </row>
    <row r="369" spans="1:20" ht="15.75" customHeight="1">
      <c r="A369" s="9" t="s">
        <v>3031</v>
      </c>
      <c r="B369" s="9" t="s">
        <v>7535</v>
      </c>
      <c r="C369" s="9" t="s">
        <v>6923</v>
      </c>
      <c r="D369" s="87" t="s">
        <v>6461</v>
      </c>
      <c r="E369" s="9" t="s">
        <v>6924</v>
      </c>
      <c r="F369" s="9" t="s">
        <v>6925</v>
      </c>
      <c r="G369" s="9" t="s">
        <v>383</v>
      </c>
      <c r="H369" s="9" t="s">
        <v>427</v>
      </c>
      <c r="I369" s="87" t="s">
        <v>6405</v>
      </c>
      <c r="J369" s="87" t="s">
        <v>6240</v>
      </c>
      <c r="K369" s="87" t="s">
        <v>6926</v>
      </c>
      <c r="L369" s="87" t="s">
        <v>6594</v>
      </c>
      <c r="M369" s="87" t="s">
        <v>6530</v>
      </c>
      <c r="N369" s="9" t="s">
        <v>7536</v>
      </c>
      <c r="O369" s="87" t="s">
        <v>6535</v>
      </c>
      <c r="P369" s="9" t="s">
        <v>6243</v>
      </c>
      <c r="Q369" s="87" t="s">
        <v>6594</v>
      </c>
      <c r="R369" s="87" t="s">
        <v>6240</v>
      </c>
      <c r="S369" s="87" t="s">
        <v>6264</v>
      </c>
      <c r="T369" s="87" t="s">
        <v>6294</v>
      </c>
    </row>
    <row r="370" spans="1:20" ht="15.75" customHeight="1">
      <c r="A370" s="9" t="s">
        <v>3031</v>
      </c>
      <c r="B370" s="9" t="s">
        <v>7535</v>
      </c>
      <c r="C370" s="9" t="s">
        <v>7228</v>
      </c>
      <c r="D370" s="87" t="s">
        <v>6237</v>
      </c>
      <c r="E370" s="9" t="s">
        <v>6924</v>
      </c>
      <c r="F370" s="9" t="s">
        <v>11</v>
      </c>
      <c r="G370" s="9" t="s">
        <v>383</v>
      </c>
      <c r="H370" s="9" t="s">
        <v>426</v>
      </c>
      <c r="I370" s="87" t="s">
        <v>6405</v>
      </c>
      <c r="J370" s="87" t="s">
        <v>6405</v>
      </c>
      <c r="K370" s="87" t="s">
        <v>6405</v>
      </c>
      <c r="L370" s="87" t="s">
        <v>6255</v>
      </c>
      <c r="M370" s="87" t="s">
        <v>6537</v>
      </c>
      <c r="N370" s="9" t="s">
        <v>7537</v>
      </c>
      <c r="O370" s="87" t="s">
        <v>6461</v>
      </c>
      <c r="P370" s="9" t="s">
        <v>6243</v>
      </c>
      <c r="Q370" s="87" t="s">
        <v>6255</v>
      </c>
      <c r="R370" s="87" t="s">
        <v>6405</v>
      </c>
      <c r="S370" s="87" t="s">
        <v>6400</v>
      </c>
      <c r="T370" s="87" t="s">
        <v>6322</v>
      </c>
    </row>
    <row r="371" spans="1:20" ht="15.75" customHeight="1">
      <c r="A371" s="9" t="s">
        <v>3031</v>
      </c>
      <c r="B371" s="9" t="s">
        <v>7538</v>
      </c>
      <c r="C371" s="9" t="s">
        <v>6923</v>
      </c>
      <c r="D371" s="87" t="s">
        <v>6461</v>
      </c>
      <c r="E371" s="9" t="s">
        <v>6924</v>
      </c>
      <c r="F371" s="9" t="s">
        <v>6925</v>
      </c>
      <c r="G371" s="9" t="s">
        <v>383</v>
      </c>
      <c r="H371" s="9" t="s">
        <v>427</v>
      </c>
      <c r="I371" s="87" t="s">
        <v>6405</v>
      </c>
      <c r="J371" s="87" t="s">
        <v>6240</v>
      </c>
      <c r="K371" s="87" t="s">
        <v>6939</v>
      </c>
      <c r="L371" s="87" t="s">
        <v>6594</v>
      </c>
      <c r="M371" s="87" t="s">
        <v>6537</v>
      </c>
      <c r="N371" s="9" t="s">
        <v>6981</v>
      </c>
      <c r="O371" s="87" t="s">
        <v>6300</v>
      </c>
      <c r="P371" s="9" t="s">
        <v>6243</v>
      </c>
      <c r="Q371" s="87" t="s">
        <v>3861</v>
      </c>
      <c r="R371" s="87" t="s">
        <v>6240</v>
      </c>
      <c r="S371" s="87" t="s">
        <v>6296</v>
      </c>
      <c r="T371" s="87" t="s">
        <v>6341</v>
      </c>
    </row>
    <row r="372" spans="1:20" ht="15.75" customHeight="1">
      <c r="A372" s="9" t="s">
        <v>3031</v>
      </c>
      <c r="B372" s="9" t="s">
        <v>7538</v>
      </c>
      <c r="C372" s="9" t="s">
        <v>7228</v>
      </c>
      <c r="D372" s="87" t="s">
        <v>6237</v>
      </c>
      <c r="E372" s="9" t="s">
        <v>6924</v>
      </c>
      <c r="F372" s="9" t="s">
        <v>11</v>
      </c>
      <c r="G372" s="9" t="s">
        <v>383</v>
      </c>
      <c r="H372" s="9" t="s">
        <v>426</v>
      </c>
      <c r="I372" s="87" t="s">
        <v>6405</v>
      </c>
      <c r="J372" s="87" t="s">
        <v>6334</v>
      </c>
      <c r="K372" s="87" t="s">
        <v>6334</v>
      </c>
      <c r="L372" s="87" t="s">
        <v>6255</v>
      </c>
      <c r="M372" s="87" t="s">
        <v>6538</v>
      </c>
      <c r="N372" s="9" t="s">
        <v>7245</v>
      </c>
      <c r="O372" s="87" t="s">
        <v>6327</v>
      </c>
      <c r="P372" s="9" t="s">
        <v>6243</v>
      </c>
      <c r="Q372" s="87" t="s">
        <v>6392</v>
      </c>
      <c r="R372" s="87" t="s">
        <v>6334</v>
      </c>
      <c r="S372" s="87" t="s">
        <v>6500</v>
      </c>
      <c r="T372" s="87" t="s">
        <v>6341</v>
      </c>
    </row>
    <row r="373" spans="1:20" ht="15.75" customHeight="1">
      <c r="A373" s="9" t="s">
        <v>3031</v>
      </c>
      <c r="B373" s="9" t="s">
        <v>7539</v>
      </c>
      <c r="C373" s="9" t="s">
        <v>6923</v>
      </c>
      <c r="D373" s="87" t="s">
        <v>6461</v>
      </c>
      <c r="E373" s="9" t="s">
        <v>6924</v>
      </c>
      <c r="F373" s="9" t="s">
        <v>6925</v>
      </c>
      <c r="G373" s="9" t="s">
        <v>383</v>
      </c>
      <c r="H373" s="9" t="s">
        <v>427</v>
      </c>
      <c r="I373" s="87" t="s">
        <v>6405</v>
      </c>
      <c r="J373" s="87" t="s">
        <v>6240</v>
      </c>
      <c r="K373" s="87" t="s">
        <v>6939</v>
      </c>
      <c r="L373" s="87" t="s">
        <v>6594</v>
      </c>
      <c r="M373" s="87" t="s">
        <v>6538</v>
      </c>
      <c r="N373" s="9" t="s">
        <v>6981</v>
      </c>
      <c r="O373" s="87" t="s">
        <v>6300</v>
      </c>
      <c r="P373" s="9" t="s">
        <v>6243</v>
      </c>
      <c r="Q373" s="87" t="s">
        <v>3861</v>
      </c>
      <c r="R373" s="87" t="s">
        <v>6240</v>
      </c>
      <c r="S373" s="87" t="s">
        <v>6296</v>
      </c>
      <c r="T373" s="87" t="s">
        <v>6341</v>
      </c>
    </row>
    <row r="374" spans="1:20" ht="15.75" customHeight="1">
      <c r="A374" s="9" t="s">
        <v>3031</v>
      </c>
      <c r="B374" s="9" t="s">
        <v>7539</v>
      </c>
      <c r="C374" s="9" t="s">
        <v>7228</v>
      </c>
      <c r="D374" s="87" t="s">
        <v>6237</v>
      </c>
      <c r="E374" s="9" t="s">
        <v>6924</v>
      </c>
      <c r="F374" s="9" t="s">
        <v>11</v>
      </c>
      <c r="G374" s="9" t="s">
        <v>383</v>
      </c>
      <c r="H374" s="9" t="s">
        <v>426</v>
      </c>
      <c r="I374" s="87" t="s">
        <v>6405</v>
      </c>
      <c r="J374" s="87" t="s">
        <v>6334</v>
      </c>
      <c r="K374" s="87" t="s">
        <v>6334</v>
      </c>
      <c r="L374" s="87" t="s">
        <v>6255</v>
      </c>
      <c r="M374" s="87" t="s">
        <v>6539</v>
      </c>
      <c r="N374" s="9" t="s">
        <v>7245</v>
      </c>
      <c r="O374" s="87" t="s">
        <v>6327</v>
      </c>
      <c r="P374" s="9" t="s">
        <v>6243</v>
      </c>
      <c r="Q374" s="87" t="s">
        <v>6392</v>
      </c>
      <c r="R374" s="87" t="s">
        <v>6334</v>
      </c>
      <c r="S374" s="87" t="s">
        <v>6500</v>
      </c>
      <c r="T374" s="87" t="s">
        <v>6341</v>
      </c>
    </row>
    <row r="375" spans="1:20" ht="15.75" customHeight="1">
      <c r="A375" s="9" t="s">
        <v>2914</v>
      </c>
      <c r="B375" s="9" t="s">
        <v>7540</v>
      </c>
      <c r="C375" s="9" t="s">
        <v>6236</v>
      </c>
      <c r="D375" s="87" t="s">
        <v>6393</v>
      </c>
      <c r="E375" s="9" t="s">
        <v>431</v>
      </c>
      <c r="F375" s="9" t="s">
        <v>368</v>
      </c>
      <c r="G375" s="9" t="s">
        <v>436</v>
      </c>
      <c r="H375" s="9" t="s">
        <v>434</v>
      </c>
      <c r="I375" s="87" t="s">
        <v>6237</v>
      </c>
      <c r="J375" s="87" t="s">
        <v>6255</v>
      </c>
      <c r="K375" s="87" t="s">
        <v>6290</v>
      </c>
      <c r="L375" s="87" t="s">
        <v>6240</v>
      </c>
      <c r="M375" s="87" t="s">
        <v>6539</v>
      </c>
      <c r="N375" s="9" t="s">
        <v>7005</v>
      </c>
      <c r="O375" s="87" t="s">
        <v>6290</v>
      </c>
      <c r="P375" s="9" t="s">
        <v>6243</v>
      </c>
      <c r="Q375" s="87" t="s">
        <v>6293</v>
      </c>
      <c r="R375" s="87" t="s">
        <v>6255</v>
      </c>
      <c r="S375" s="87" t="s">
        <v>6327</v>
      </c>
      <c r="T375" s="87" t="s">
        <v>6528</v>
      </c>
    </row>
    <row r="376" spans="1:20" ht="15.75" customHeight="1">
      <c r="A376" s="9" t="s">
        <v>2914</v>
      </c>
      <c r="B376" s="9" t="s">
        <v>7540</v>
      </c>
      <c r="C376" s="9" t="s">
        <v>6236</v>
      </c>
      <c r="D376" s="87" t="s">
        <v>6393</v>
      </c>
      <c r="E376" s="9" t="s">
        <v>431</v>
      </c>
      <c r="F376" s="9" t="s">
        <v>368</v>
      </c>
      <c r="G376" s="9" t="s">
        <v>436</v>
      </c>
      <c r="H376" s="9" t="s">
        <v>434</v>
      </c>
      <c r="I376" s="87" t="s">
        <v>6237</v>
      </c>
      <c r="J376" s="87" t="s">
        <v>6255</v>
      </c>
      <c r="K376" s="87" t="s">
        <v>4953</v>
      </c>
      <c r="L376" s="87" t="s">
        <v>6240</v>
      </c>
      <c r="M376" s="87" t="s">
        <v>6540</v>
      </c>
      <c r="N376" s="9" t="s">
        <v>7080</v>
      </c>
      <c r="O376" s="87" t="s">
        <v>4953</v>
      </c>
      <c r="P376" s="9" t="s">
        <v>6243</v>
      </c>
      <c r="Q376" s="87" t="s">
        <v>6306</v>
      </c>
      <c r="R376" s="87" t="s">
        <v>6255</v>
      </c>
      <c r="S376" s="87" t="s">
        <v>6373</v>
      </c>
      <c r="T376" s="87" t="s">
        <v>6645</v>
      </c>
    </row>
    <row r="377" spans="1:20" ht="15.75" customHeight="1">
      <c r="A377" s="9" t="s">
        <v>2914</v>
      </c>
      <c r="B377" s="9" t="s">
        <v>7541</v>
      </c>
      <c r="C377" s="9" t="s">
        <v>6671</v>
      </c>
      <c r="D377" s="87" t="s">
        <v>6296</v>
      </c>
      <c r="E377" s="9" t="s">
        <v>6672</v>
      </c>
      <c r="F377" s="9" t="s">
        <v>439</v>
      </c>
      <c r="G377" s="9" t="s">
        <v>436</v>
      </c>
      <c r="H377" s="9" t="s">
        <v>440</v>
      </c>
      <c r="I377" s="87" t="s">
        <v>6405</v>
      </c>
      <c r="J377" s="87" t="s">
        <v>6346</v>
      </c>
      <c r="K377" s="87" t="s">
        <v>6346</v>
      </c>
      <c r="L377" s="87" t="s">
        <v>6240</v>
      </c>
      <c r="M377" s="87" t="s">
        <v>6556</v>
      </c>
      <c r="N377" s="9" t="s">
        <v>7098</v>
      </c>
      <c r="O377" s="87" t="s">
        <v>6346</v>
      </c>
      <c r="P377" s="9" t="s">
        <v>6243</v>
      </c>
      <c r="Q377" s="87" t="s">
        <v>6366</v>
      </c>
      <c r="R377" s="87" t="s">
        <v>6346</v>
      </c>
      <c r="S377" s="87" t="s">
        <v>6322</v>
      </c>
      <c r="T377" s="87" t="s">
        <v>6525</v>
      </c>
    </row>
    <row r="378" spans="1:20" ht="15.75" customHeight="1">
      <c r="A378" s="9" t="s">
        <v>2914</v>
      </c>
      <c r="B378" s="9" t="s">
        <v>7542</v>
      </c>
      <c r="C378" s="9" t="s">
        <v>6923</v>
      </c>
      <c r="D378" s="87" t="s">
        <v>6327</v>
      </c>
      <c r="E378" s="9" t="s">
        <v>6924</v>
      </c>
      <c r="F378" s="9" t="s">
        <v>6925</v>
      </c>
      <c r="G378" s="9" t="s">
        <v>383</v>
      </c>
      <c r="H378" s="9" t="s">
        <v>444</v>
      </c>
      <c r="I378" s="87" t="s">
        <v>6405</v>
      </c>
      <c r="J378" s="87" t="s">
        <v>6405</v>
      </c>
      <c r="K378" s="87" t="s">
        <v>6926</v>
      </c>
      <c r="L378" s="87" t="s">
        <v>6392</v>
      </c>
      <c r="M378" s="87" t="s">
        <v>6557</v>
      </c>
      <c r="N378" s="9" t="s">
        <v>7543</v>
      </c>
      <c r="O378" s="87" t="s">
        <v>6327</v>
      </c>
      <c r="P378" s="9" t="s">
        <v>6243</v>
      </c>
      <c r="Q378" s="87" t="s">
        <v>6392</v>
      </c>
      <c r="R378" s="87" t="s">
        <v>6405</v>
      </c>
      <c r="S378" s="87" t="s">
        <v>4953</v>
      </c>
      <c r="T378" s="87" t="s">
        <v>6259</v>
      </c>
    </row>
    <row r="379" spans="1:20" ht="15.75" customHeight="1">
      <c r="A379" s="9" t="s">
        <v>2914</v>
      </c>
      <c r="B379" s="9" t="s">
        <v>7542</v>
      </c>
      <c r="C379" s="9" t="s">
        <v>7228</v>
      </c>
      <c r="D379" s="87" t="s">
        <v>6290</v>
      </c>
      <c r="E379" s="9" t="s">
        <v>6924</v>
      </c>
      <c r="F379" s="9" t="s">
        <v>11</v>
      </c>
      <c r="G379" s="9" t="s">
        <v>383</v>
      </c>
      <c r="H379" s="9" t="s">
        <v>426</v>
      </c>
      <c r="I379" s="87" t="s">
        <v>6405</v>
      </c>
      <c r="J379" s="87" t="s">
        <v>6405</v>
      </c>
      <c r="K379" s="87" t="s">
        <v>6405</v>
      </c>
      <c r="L379" s="87" t="s">
        <v>6287</v>
      </c>
      <c r="M379" s="87" t="s">
        <v>6563</v>
      </c>
      <c r="N379" s="9" t="s">
        <v>7544</v>
      </c>
      <c r="O379" s="87" t="s">
        <v>6296</v>
      </c>
      <c r="P379" s="9" t="s">
        <v>6243</v>
      </c>
      <c r="Q379" s="87" t="s">
        <v>6287</v>
      </c>
      <c r="R379" s="87" t="s">
        <v>6405</v>
      </c>
      <c r="S379" s="87" t="s">
        <v>6486</v>
      </c>
      <c r="T379" s="87" t="s">
        <v>6322</v>
      </c>
    </row>
    <row r="380" spans="1:20" ht="15.75" customHeight="1">
      <c r="A380" s="9" t="s">
        <v>3020</v>
      </c>
      <c r="B380" s="9" t="s">
        <v>7545</v>
      </c>
      <c r="C380" s="9" t="s">
        <v>6236</v>
      </c>
      <c r="D380" s="87" t="s">
        <v>6393</v>
      </c>
      <c r="E380" s="9" t="s">
        <v>431</v>
      </c>
      <c r="F380" s="9" t="s">
        <v>368</v>
      </c>
      <c r="G380" s="9" t="s">
        <v>436</v>
      </c>
      <c r="H380" s="9" t="s">
        <v>434</v>
      </c>
      <c r="I380" s="87" t="s">
        <v>6264</v>
      </c>
      <c r="J380" s="87" t="s">
        <v>6326</v>
      </c>
      <c r="K380" s="87" t="s">
        <v>6387</v>
      </c>
      <c r="L380" s="87" t="s">
        <v>6240</v>
      </c>
      <c r="M380" s="87" t="s">
        <v>6513</v>
      </c>
      <c r="N380" s="9" t="s">
        <v>7546</v>
      </c>
      <c r="O380" s="87" t="s">
        <v>6387</v>
      </c>
      <c r="P380" s="9" t="s">
        <v>6243</v>
      </c>
      <c r="Q380" s="87" t="s">
        <v>6248</v>
      </c>
      <c r="R380" s="87" t="s">
        <v>6326</v>
      </c>
      <c r="S380" s="87" t="s">
        <v>6327</v>
      </c>
      <c r="T380" s="87" t="s">
        <v>6260</v>
      </c>
    </row>
    <row r="381" spans="1:20" ht="15.75" customHeight="1">
      <c r="A381" s="9" t="s">
        <v>3020</v>
      </c>
      <c r="B381" s="9" t="s">
        <v>7545</v>
      </c>
      <c r="C381" s="9" t="s">
        <v>6236</v>
      </c>
      <c r="D381" s="87" t="s">
        <v>6393</v>
      </c>
      <c r="E381" s="9" t="s">
        <v>431</v>
      </c>
      <c r="F381" s="9" t="s">
        <v>368</v>
      </c>
      <c r="G381" s="9" t="s">
        <v>436</v>
      </c>
      <c r="H381" s="9" t="s">
        <v>434</v>
      </c>
      <c r="I381" s="87" t="s">
        <v>6264</v>
      </c>
      <c r="J381" s="87" t="s">
        <v>6326</v>
      </c>
      <c r="K381" s="87" t="s">
        <v>6255</v>
      </c>
      <c r="L381" s="87" t="s">
        <v>6240</v>
      </c>
      <c r="M381" s="87" t="s">
        <v>6517</v>
      </c>
      <c r="N381" s="9" t="s">
        <v>7145</v>
      </c>
      <c r="O381" s="87" t="s">
        <v>6255</v>
      </c>
      <c r="P381" s="9" t="s">
        <v>6243</v>
      </c>
      <c r="Q381" s="87" t="s">
        <v>4947</v>
      </c>
      <c r="R381" s="87" t="s">
        <v>6326</v>
      </c>
      <c r="S381" s="87" t="s">
        <v>6300</v>
      </c>
      <c r="T381" s="87" t="s">
        <v>6645</v>
      </c>
    </row>
    <row r="382" spans="1:20" ht="15.75" customHeight="1">
      <c r="A382" s="9" t="s">
        <v>3020</v>
      </c>
      <c r="B382" s="9" t="s">
        <v>7547</v>
      </c>
      <c r="C382" s="9" t="s">
        <v>6923</v>
      </c>
      <c r="D382" s="87" t="s">
        <v>6264</v>
      </c>
      <c r="E382" s="9" t="s">
        <v>6924</v>
      </c>
      <c r="F382" s="9" t="s">
        <v>6925</v>
      </c>
      <c r="G382" s="9" t="s">
        <v>383</v>
      </c>
      <c r="H382" s="9" t="s">
        <v>449</v>
      </c>
      <c r="I382" s="87" t="s">
        <v>6405</v>
      </c>
      <c r="J382" s="87" t="s">
        <v>6405</v>
      </c>
      <c r="K382" s="87" t="s">
        <v>6926</v>
      </c>
      <c r="L382" s="87" t="s">
        <v>3210</v>
      </c>
      <c r="M382" s="87" t="s">
        <v>6538</v>
      </c>
      <c r="N382" s="9" t="s">
        <v>7548</v>
      </c>
      <c r="O382" s="87" t="s">
        <v>6428</v>
      </c>
      <c r="P382" s="9" t="s">
        <v>6243</v>
      </c>
      <c r="Q382" s="87" t="s">
        <v>3210</v>
      </c>
      <c r="R382" s="87" t="s">
        <v>6405</v>
      </c>
      <c r="S382" s="87" t="s">
        <v>6433</v>
      </c>
      <c r="T382" s="87" t="s">
        <v>6497</v>
      </c>
    </row>
    <row r="383" spans="1:20" ht="15.75" customHeight="1">
      <c r="A383" s="9" t="s">
        <v>2995</v>
      </c>
      <c r="B383" s="9" t="s">
        <v>7549</v>
      </c>
      <c r="C383" s="9" t="s">
        <v>6236</v>
      </c>
      <c r="D383" s="87" t="s">
        <v>6393</v>
      </c>
      <c r="E383" s="9" t="s">
        <v>431</v>
      </c>
      <c r="F383" s="9" t="s">
        <v>368</v>
      </c>
      <c r="G383" s="9" t="s">
        <v>436</v>
      </c>
      <c r="H383" s="9" t="s">
        <v>434</v>
      </c>
      <c r="I383" s="87" t="s">
        <v>6237</v>
      </c>
      <c r="J383" s="87" t="s">
        <v>6260</v>
      </c>
      <c r="K383" s="87" t="s">
        <v>6240</v>
      </c>
      <c r="L383" s="87" t="s">
        <v>6240</v>
      </c>
      <c r="M383" s="87" t="s">
        <v>6490</v>
      </c>
      <c r="N383" s="9" t="s">
        <v>7192</v>
      </c>
      <c r="O383" s="87" t="s">
        <v>6240</v>
      </c>
      <c r="P383" s="9" t="s">
        <v>6243</v>
      </c>
      <c r="Q383" s="87" t="s">
        <v>6397</v>
      </c>
      <c r="R383" s="87" t="s">
        <v>6260</v>
      </c>
      <c r="S383" s="87" t="s">
        <v>6327</v>
      </c>
      <c r="T383" s="87" t="s">
        <v>6421</v>
      </c>
    </row>
    <row r="384" spans="1:20" ht="15.75" customHeight="1">
      <c r="A384" s="9" t="s">
        <v>2995</v>
      </c>
      <c r="B384" s="9" t="s">
        <v>7549</v>
      </c>
      <c r="C384" s="9" t="s">
        <v>6236</v>
      </c>
      <c r="D384" s="87" t="s">
        <v>6393</v>
      </c>
      <c r="E384" s="9" t="s">
        <v>431</v>
      </c>
      <c r="F384" s="9" t="s">
        <v>368</v>
      </c>
      <c r="G384" s="9" t="s">
        <v>436</v>
      </c>
      <c r="H384" s="9" t="s">
        <v>434</v>
      </c>
      <c r="I384" s="87" t="s">
        <v>6237</v>
      </c>
      <c r="J384" s="87" t="s">
        <v>6260</v>
      </c>
      <c r="K384" s="87" t="s">
        <v>6273</v>
      </c>
      <c r="L384" s="87" t="s">
        <v>6240</v>
      </c>
      <c r="M384" s="87" t="s">
        <v>6491</v>
      </c>
      <c r="N384" s="9" t="s">
        <v>6952</v>
      </c>
      <c r="O384" s="87" t="s">
        <v>6273</v>
      </c>
      <c r="P384" s="9" t="s">
        <v>6243</v>
      </c>
      <c r="Q384" s="87" t="s">
        <v>6276</v>
      </c>
      <c r="R384" s="87" t="s">
        <v>6260</v>
      </c>
      <c r="S384" s="87" t="s">
        <v>6445</v>
      </c>
      <c r="T384" s="87" t="s">
        <v>6645</v>
      </c>
    </row>
    <row r="385" spans="1:20" ht="15.75" customHeight="1">
      <c r="A385" s="9" t="s">
        <v>2995</v>
      </c>
      <c r="B385" s="9" t="s">
        <v>7550</v>
      </c>
      <c r="C385" s="9" t="s">
        <v>6671</v>
      </c>
      <c r="D385" s="87" t="s">
        <v>6296</v>
      </c>
      <c r="E385" s="9" t="s">
        <v>6672</v>
      </c>
      <c r="F385" s="9" t="s">
        <v>439</v>
      </c>
      <c r="G385" s="9" t="s">
        <v>436</v>
      </c>
      <c r="H385" s="9" t="s">
        <v>440</v>
      </c>
      <c r="I385" s="87" t="s">
        <v>6405</v>
      </c>
      <c r="J385" s="87" t="s">
        <v>6455</v>
      </c>
      <c r="K385" s="87" t="s">
        <v>6455</v>
      </c>
      <c r="L385" s="87" t="s">
        <v>6240</v>
      </c>
      <c r="M385" s="87" t="s">
        <v>6492</v>
      </c>
      <c r="N385" s="9" t="s">
        <v>7551</v>
      </c>
      <c r="O385" s="87" t="s">
        <v>6455</v>
      </c>
      <c r="P385" s="9" t="s">
        <v>6243</v>
      </c>
      <c r="Q385" s="87" t="s">
        <v>6627</v>
      </c>
      <c r="R385" s="87" t="s">
        <v>6455</v>
      </c>
      <c r="S385" s="87" t="s">
        <v>6642</v>
      </c>
      <c r="T385" s="87" t="s">
        <v>6401</v>
      </c>
    </row>
    <row r="386" spans="1:20" ht="15.75" customHeight="1">
      <c r="A386" s="9" t="s">
        <v>2995</v>
      </c>
      <c r="B386" s="9" t="s">
        <v>7552</v>
      </c>
      <c r="C386" s="9" t="s">
        <v>6923</v>
      </c>
      <c r="D386" s="87" t="s">
        <v>6264</v>
      </c>
      <c r="E386" s="9" t="s">
        <v>6924</v>
      </c>
      <c r="F386" s="9" t="s">
        <v>6925</v>
      </c>
      <c r="G386" s="9" t="s">
        <v>383</v>
      </c>
      <c r="H386" s="9" t="s">
        <v>449</v>
      </c>
      <c r="I386" s="87" t="s">
        <v>6405</v>
      </c>
      <c r="J386" s="87" t="s">
        <v>6334</v>
      </c>
      <c r="K386" s="87" t="s">
        <v>6939</v>
      </c>
      <c r="L386" s="87" t="s">
        <v>6372</v>
      </c>
      <c r="M386" s="87" t="s">
        <v>6513</v>
      </c>
      <c r="N386" s="9" t="s">
        <v>7031</v>
      </c>
      <c r="O386" s="87" t="s">
        <v>6526</v>
      </c>
      <c r="P386" s="9" t="s">
        <v>6243</v>
      </c>
      <c r="Q386" s="87" t="s">
        <v>4023</v>
      </c>
      <c r="R386" s="87" t="s">
        <v>6334</v>
      </c>
      <c r="S386" s="87" t="s">
        <v>6295</v>
      </c>
      <c r="T386" s="87" t="s">
        <v>6341</v>
      </c>
    </row>
    <row r="387" spans="1:20" ht="15.75" customHeight="1">
      <c r="A387" s="9" t="s">
        <v>2995</v>
      </c>
      <c r="B387" s="9" t="s">
        <v>7552</v>
      </c>
      <c r="C387" s="9" t="s">
        <v>7228</v>
      </c>
      <c r="D387" s="87" t="s">
        <v>6405</v>
      </c>
      <c r="E387" s="9" t="s">
        <v>6924</v>
      </c>
      <c r="F387" s="9" t="s">
        <v>11</v>
      </c>
      <c r="G387" s="9" t="s">
        <v>383</v>
      </c>
      <c r="H387" s="9" t="s">
        <v>426</v>
      </c>
      <c r="I387" s="87" t="s">
        <v>6405</v>
      </c>
      <c r="J387" s="87" t="s">
        <v>6334</v>
      </c>
      <c r="K387" s="87" t="s">
        <v>6334</v>
      </c>
      <c r="L387" s="87" t="s">
        <v>5381</v>
      </c>
      <c r="M387" s="87" t="s">
        <v>6517</v>
      </c>
      <c r="N387" s="9" t="s">
        <v>6970</v>
      </c>
      <c r="O387" s="87" t="s">
        <v>6570</v>
      </c>
      <c r="P387" s="9" t="s">
        <v>6243</v>
      </c>
      <c r="Q387" s="87" t="s">
        <v>6573</v>
      </c>
      <c r="R387" s="87" t="s">
        <v>6334</v>
      </c>
      <c r="S387" s="87" t="s">
        <v>6333</v>
      </c>
      <c r="T387" s="87" t="s">
        <v>6341</v>
      </c>
    </row>
    <row r="388" spans="1:20" ht="15.75" customHeight="1">
      <c r="A388" s="9" t="s">
        <v>3030</v>
      </c>
      <c r="B388" s="9" t="s">
        <v>7553</v>
      </c>
      <c r="C388" s="9" t="s">
        <v>6236</v>
      </c>
      <c r="D388" s="87" t="s">
        <v>6393</v>
      </c>
      <c r="E388" s="9" t="s">
        <v>431</v>
      </c>
      <c r="F388" s="9" t="s">
        <v>368</v>
      </c>
      <c r="G388" s="9" t="s">
        <v>436</v>
      </c>
      <c r="H388" s="9" t="s">
        <v>434</v>
      </c>
      <c r="I388" s="87" t="s">
        <v>6237</v>
      </c>
      <c r="J388" s="87" t="s">
        <v>6401</v>
      </c>
      <c r="K388" s="87" t="s">
        <v>6401</v>
      </c>
      <c r="L388" s="87" t="s">
        <v>6240</v>
      </c>
      <c r="M388" s="87" t="s">
        <v>6475</v>
      </c>
      <c r="N388" s="9" t="s">
        <v>7554</v>
      </c>
      <c r="O388" s="87" t="s">
        <v>6401</v>
      </c>
      <c r="P388" s="9" t="s">
        <v>6243</v>
      </c>
      <c r="Q388" s="87" t="s">
        <v>6403</v>
      </c>
      <c r="R388" s="87" t="s">
        <v>6401</v>
      </c>
      <c r="S388" s="87" t="s">
        <v>6273</v>
      </c>
      <c r="T388" s="87" t="s">
        <v>6474</v>
      </c>
    </row>
    <row r="389" spans="1:20" ht="15.75" customHeight="1">
      <c r="A389" s="9" t="s">
        <v>3030</v>
      </c>
      <c r="B389" s="9" t="s">
        <v>7555</v>
      </c>
      <c r="C389" s="9" t="s">
        <v>6671</v>
      </c>
      <c r="D389" s="87" t="s">
        <v>6296</v>
      </c>
      <c r="E389" s="9" t="s">
        <v>6672</v>
      </c>
      <c r="F389" s="9" t="s">
        <v>439</v>
      </c>
      <c r="G389" s="9" t="s">
        <v>436</v>
      </c>
      <c r="H389" s="9" t="s">
        <v>440</v>
      </c>
      <c r="I389" s="87" t="s">
        <v>6405</v>
      </c>
      <c r="J389" s="87" t="s">
        <v>6323</v>
      </c>
      <c r="K389" s="87" t="s">
        <v>6323</v>
      </c>
      <c r="L389" s="87" t="s">
        <v>6240</v>
      </c>
      <c r="M389" s="87" t="s">
        <v>6490</v>
      </c>
      <c r="N389" s="9" t="s">
        <v>7556</v>
      </c>
      <c r="O389" s="87" t="s">
        <v>6323</v>
      </c>
      <c r="P389" s="9" t="s">
        <v>6243</v>
      </c>
      <c r="Q389" s="87" t="s">
        <v>5374</v>
      </c>
      <c r="R389" s="87" t="s">
        <v>6323</v>
      </c>
      <c r="S389" s="87" t="s">
        <v>6323</v>
      </c>
      <c r="T389" s="87" t="s">
        <v>6326</v>
      </c>
    </row>
    <row r="390" spans="1:20" ht="15.75" customHeight="1">
      <c r="A390" s="9" t="s">
        <v>3030</v>
      </c>
      <c r="B390" s="9" t="s">
        <v>7557</v>
      </c>
      <c r="C390" s="9" t="s">
        <v>6923</v>
      </c>
      <c r="D390" s="87" t="s">
        <v>6264</v>
      </c>
      <c r="E390" s="9" t="s">
        <v>6924</v>
      </c>
      <c r="F390" s="9" t="s">
        <v>6925</v>
      </c>
      <c r="G390" s="9" t="s">
        <v>383</v>
      </c>
      <c r="H390" s="9" t="s">
        <v>449</v>
      </c>
      <c r="I390" s="87" t="s">
        <v>6405</v>
      </c>
      <c r="J390" s="87" t="s">
        <v>6334</v>
      </c>
      <c r="K390" s="87" t="s">
        <v>6926</v>
      </c>
      <c r="L390" s="87" t="s">
        <v>5063</v>
      </c>
      <c r="M390" s="87" t="s">
        <v>6495</v>
      </c>
      <c r="N390" s="9" t="s">
        <v>7558</v>
      </c>
      <c r="O390" s="87" t="s">
        <v>6440</v>
      </c>
      <c r="P390" s="9" t="s">
        <v>6243</v>
      </c>
      <c r="Q390" s="87" t="s">
        <v>5063</v>
      </c>
      <c r="R390" s="87" t="s">
        <v>6334</v>
      </c>
      <c r="S390" s="87" t="s">
        <v>6433</v>
      </c>
      <c r="T390" s="87" t="s">
        <v>6287</v>
      </c>
    </row>
    <row r="391" spans="1:20" ht="15.75" customHeight="1">
      <c r="A391" s="9" t="s">
        <v>3030</v>
      </c>
      <c r="B391" s="9" t="s">
        <v>7557</v>
      </c>
      <c r="C391" s="9" t="s">
        <v>6923</v>
      </c>
      <c r="D391" s="87" t="s">
        <v>6264</v>
      </c>
      <c r="E391" s="9" t="s">
        <v>6924</v>
      </c>
      <c r="F391" s="9" t="s">
        <v>6925</v>
      </c>
      <c r="G391" s="9" t="s">
        <v>383</v>
      </c>
      <c r="H391" s="9" t="s">
        <v>449</v>
      </c>
      <c r="I391" s="87" t="s">
        <v>6405</v>
      </c>
      <c r="J391" s="87" t="s">
        <v>6334</v>
      </c>
      <c r="K391" s="87" t="s">
        <v>6926</v>
      </c>
      <c r="L391" s="87" t="s">
        <v>5063</v>
      </c>
      <c r="M391" s="87" t="s">
        <v>6508</v>
      </c>
      <c r="N391" s="9" t="s">
        <v>7559</v>
      </c>
      <c r="O391" s="87" t="s">
        <v>6440</v>
      </c>
      <c r="P391" s="9" t="s">
        <v>6243</v>
      </c>
      <c r="Q391" s="87" t="s">
        <v>5063</v>
      </c>
      <c r="R391" s="87" t="s">
        <v>6334</v>
      </c>
      <c r="S391" s="87" t="s">
        <v>6327</v>
      </c>
      <c r="T391" s="87" t="s">
        <v>6316</v>
      </c>
    </row>
    <row r="392" spans="1:20" ht="15.75" customHeight="1">
      <c r="A392" s="9" t="s">
        <v>3009</v>
      </c>
      <c r="B392" s="9" t="s">
        <v>7560</v>
      </c>
      <c r="C392" s="9" t="s">
        <v>6236</v>
      </c>
      <c r="D392" s="87" t="s">
        <v>6393</v>
      </c>
      <c r="E392" s="9" t="s">
        <v>431</v>
      </c>
      <c r="F392" s="9" t="s">
        <v>368</v>
      </c>
      <c r="G392" s="9" t="s">
        <v>436</v>
      </c>
      <c r="H392" s="9" t="s">
        <v>434</v>
      </c>
      <c r="I392" s="87" t="s">
        <v>6237</v>
      </c>
      <c r="J392" s="87" t="s">
        <v>6321</v>
      </c>
      <c r="K392" s="87" t="s">
        <v>6361</v>
      </c>
      <c r="L392" s="87" t="s">
        <v>6240</v>
      </c>
      <c r="M392" s="87" t="s">
        <v>6491</v>
      </c>
      <c r="N392" s="9" t="s">
        <v>6935</v>
      </c>
      <c r="O392" s="87" t="s">
        <v>6361</v>
      </c>
      <c r="P392" s="9" t="s">
        <v>6243</v>
      </c>
      <c r="Q392" s="87" t="s">
        <v>6363</v>
      </c>
      <c r="R392" s="87" t="s">
        <v>6321</v>
      </c>
      <c r="S392" s="87" t="s">
        <v>6327</v>
      </c>
      <c r="T392" s="87" t="s">
        <v>6526</v>
      </c>
    </row>
    <row r="393" spans="1:20" ht="15.75" customHeight="1">
      <c r="A393" s="9" t="s">
        <v>3009</v>
      </c>
      <c r="B393" s="9" t="s">
        <v>7560</v>
      </c>
      <c r="C393" s="9" t="s">
        <v>6236</v>
      </c>
      <c r="D393" s="87" t="s">
        <v>6393</v>
      </c>
      <c r="E393" s="9" t="s">
        <v>431</v>
      </c>
      <c r="F393" s="9" t="s">
        <v>368</v>
      </c>
      <c r="G393" s="9" t="s">
        <v>436</v>
      </c>
      <c r="H393" s="9" t="s">
        <v>434</v>
      </c>
      <c r="I393" s="87" t="s">
        <v>6237</v>
      </c>
      <c r="J393" s="87" t="s">
        <v>6321</v>
      </c>
      <c r="K393" s="87" t="s">
        <v>6428</v>
      </c>
      <c r="L393" s="87" t="s">
        <v>6240</v>
      </c>
      <c r="M393" s="87" t="s">
        <v>6492</v>
      </c>
      <c r="N393" s="9" t="s">
        <v>7032</v>
      </c>
      <c r="O393" s="87" t="s">
        <v>6428</v>
      </c>
      <c r="P393" s="9" t="s">
        <v>6243</v>
      </c>
      <c r="Q393" s="87" t="s">
        <v>3210</v>
      </c>
      <c r="R393" s="87" t="s">
        <v>6321</v>
      </c>
      <c r="S393" s="87" t="s">
        <v>6413</v>
      </c>
      <c r="T393" s="87" t="s">
        <v>6645</v>
      </c>
    </row>
    <row r="394" spans="1:20" ht="15.75" customHeight="1">
      <c r="A394" s="9" t="s">
        <v>3009</v>
      </c>
      <c r="B394" s="9" t="s">
        <v>7561</v>
      </c>
      <c r="C394" s="9" t="s">
        <v>6923</v>
      </c>
      <c r="D394" s="87" t="s">
        <v>6327</v>
      </c>
      <c r="E394" s="9" t="s">
        <v>6924</v>
      </c>
      <c r="F394" s="9" t="s">
        <v>6925</v>
      </c>
      <c r="G394" s="9" t="s">
        <v>383</v>
      </c>
      <c r="H394" s="9" t="s">
        <v>444</v>
      </c>
      <c r="I394" s="87" t="s">
        <v>6405</v>
      </c>
      <c r="J394" s="87" t="s">
        <v>6405</v>
      </c>
      <c r="K394" s="87" t="s">
        <v>6926</v>
      </c>
      <c r="L394" s="87" t="s">
        <v>6270</v>
      </c>
      <c r="M394" s="87" t="s">
        <v>6510</v>
      </c>
      <c r="N394" s="9" t="s">
        <v>7562</v>
      </c>
      <c r="O394" s="87" t="s">
        <v>6268</v>
      </c>
      <c r="P394" s="9" t="s">
        <v>6243</v>
      </c>
      <c r="Q394" s="87" t="s">
        <v>6270</v>
      </c>
      <c r="R394" s="87" t="s">
        <v>6405</v>
      </c>
      <c r="S394" s="87" t="s">
        <v>6461</v>
      </c>
      <c r="T394" s="87" t="s">
        <v>6259</v>
      </c>
    </row>
    <row r="395" spans="1:20" ht="15.75" customHeight="1">
      <c r="A395" s="9" t="s">
        <v>3009</v>
      </c>
      <c r="B395" s="9" t="s">
        <v>7561</v>
      </c>
      <c r="C395" s="9" t="s">
        <v>7228</v>
      </c>
      <c r="D395" s="87" t="s">
        <v>6290</v>
      </c>
      <c r="E395" s="9" t="s">
        <v>6924</v>
      </c>
      <c r="F395" s="9" t="s">
        <v>11</v>
      </c>
      <c r="G395" s="9" t="s">
        <v>383</v>
      </c>
      <c r="H395" s="9" t="s">
        <v>426</v>
      </c>
      <c r="I395" s="87" t="s">
        <v>6405</v>
      </c>
      <c r="J395" s="87" t="s">
        <v>6405</v>
      </c>
      <c r="K395" s="87" t="s">
        <v>6405</v>
      </c>
      <c r="L395" s="87" t="s">
        <v>4953</v>
      </c>
      <c r="M395" s="87" t="s">
        <v>6511</v>
      </c>
      <c r="N395" s="9" t="s">
        <v>7563</v>
      </c>
      <c r="O395" s="87" t="s">
        <v>6237</v>
      </c>
      <c r="P395" s="9" t="s">
        <v>6243</v>
      </c>
      <c r="Q395" s="87" t="s">
        <v>4953</v>
      </c>
      <c r="R395" s="87" t="s">
        <v>6405</v>
      </c>
      <c r="S395" s="87" t="s">
        <v>6330</v>
      </c>
      <c r="T395" s="87" t="s">
        <v>6250</v>
      </c>
    </row>
    <row r="396" spans="1:20" ht="15.75" customHeight="1">
      <c r="A396" s="9" t="s">
        <v>2834</v>
      </c>
      <c r="B396" s="9" t="s">
        <v>7564</v>
      </c>
      <c r="C396" s="9" t="s">
        <v>6236</v>
      </c>
      <c r="D396" s="87" t="s">
        <v>6393</v>
      </c>
      <c r="E396" s="9" t="s">
        <v>431</v>
      </c>
      <c r="F396" s="9" t="s">
        <v>368</v>
      </c>
      <c r="G396" s="9" t="s">
        <v>436</v>
      </c>
      <c r="H396" s="9" t="s">
        <v>434</v>
      </c>
      <c r="I396" s="87" t="s">
        <v>6237</v>
      </c>
      <c r="J396" s="87" t="s">
        <v>6316</v>
      </c>
      <c r="K396" s="87" t="s">
        <v>6323</v>
      </c>
      <c r="L396" s="87" t="s">
        <v>6240</v>
      </c>
      <c r="M396" s="87" t="s">
        <v>6492</v>
      </c>
      <c r="N396" s="9" t="s">
        <v>7532</v>
      </c>
      <c r="O396" s="87" t="s">
        <v>6323</v>
      </c>
      <c r="P396" s="9" t="s">
        <v>6243</v>
      </c>
      <c r="Q396" s="87" t="s">
        <v>5374</v>
      </c>
      <c r="R396" s="87" t="s">
        <v>6316</v>
      </c>
      <c r="S396" s="87" t="s">
        <v>6327</v>
      </c>
      <c r="T396" s="87" t="s">
        <v>6484</v>
      </c>
    </row>
    <row r="397" spans="1:20" ht="15.75" customHeight="1">
      <c r="A397" s="9" t="s">
        <v>2834</v>
      </c>
      <c r="B397" s="9" t="s">
        <v>7564</v>
      </c>
      <c r="C397" s="9" t="s">
        <v>6236</v>
      </c>
      <c r="D397" s="87" t="s">
        <v>6393</v>
      </c>
      <c r="E397" s="9" t="s">
        <v>431</v>
      </c>
      <c r="F397" s="9" t="s">
        <v>368</v>
      </c>
      <c r="G397" s="9" t="s">
        <v>436</v>
      </c>
      <c r="H397" s="9" t="s">
        <v>434</v>
      </c>
      <c r="I397" s="87" t="s">
        <v>6237</v>
      </c>
      <c r="J397" s="87" t="s">
        <v>6316</v>
      </c>
      <c r="K397" s="87" t="s">
        <v>6413</v>
      </c>
      <c r="L397" s="87" t="s">
        <v>6240</v>
      </c>
      <c r="M397" s="87" t="s">
        <v>6495</v>
      </c>
      <c r="N397" s="9" t="s">
        <v>7565</v>
      </c>
      <c r="O397" s="87" t="s">
        <v>6413</v>
      </c>
      <c r="P397" s="9" t="s">
        <v>6243</v>
      </c>
      <c r="Q397" s="87" t="s">
        <v>7484</v>
      </c>
      <c r="R397" s="87" t="s">
        <v>6316</v>
      </c>
      <c r="S397" s="87" t="s">
        <v>6428</v>
      </c>
      <c r="T397" s="87" t="s">
        <v>6645</v>
      </c>
    </row>
    <row r="398" spans="1:20" ht="15.75" customHeight="1">
      <c r="A398" s="9" t="s">
        <v>2834</v>
      </c>
      <c r="B398" s="9" t="s">
        <v>7566</v>
      </c>
      <c r="C398" s="9" t="s">
        <v>6671</v>
      </c>
      <c r="D398" s="87" t="s">
        <v>6296</v>
      </c>
      <c r="E398" s="9" t="s">
        <v>6672</v>
      </c>
      <c r="F398" s="9" t="s">
        <v>439</v>
      </c>
      <c r="G398" s="9" t="s">
        <v>436</v>
      </c>
      <c r="H398" s="9" t="s">
        <v>440</v>
      </c>
      <c r="I398" s="87" t="s">
        <v>6405</v>
      </c>
      <c r="J398" s="87" t="s">
        <v>6445</v>
      </c>
      <c r="K398" s="87" t="s">
        <v>6445</v>
      </c>
      <c r="L398" s="87" t="s">
        <v>6240</v>
      </c>
      <c r="M398" s="87" t="s">
        <v>6508</v>
      </c>
      <c r="N398" s="9" t="s">
        <v>7567</v>
      </c>
      <c r="O398" s="87" t="s">
        <v>6445</v>
      </c>
      <c r="P398" s="9" t="s">
        <v>6243</v>
      </c>
      <c r="Q398" s="87" t="s">
        <v>6796</v>
      </c>
      <c r="R398" s="87" t="s">
        <v>6445</v>
      </c>
      <c r="S398" s="87" t="s">
        <v>6273</v>
      </c>
      <c r="T398" s="87" t="s">
        <v>6645</v>
      </c>
    </row>
    <row r="399" spans="1:20" ht="15.75" customHeight="1">
      <c r="A399" s="9" t="s">
        <v>2834</v>
      </c>
      <c r="B399" s="9" t="s">
        <v>7568</v>
      </c>
      <c r="C399" s="9" t="s">
        <v>6923</v>
      </c>
      <c r="D399" s="87" t="s">
        <v>6327</v>
      </c>
      <c r="E399" s="9" t="s">
        <v>6924</v>
      </c>
      <c r="F399" s="9" t="s">
        <v>6925</v>
      </c>
      <c r="G399" s="9" t="s">
        <v>383</v>
      </c>
      <c r="H399" s="9" t="s">
        <v>444</v>
      </c>
      <c r="I399" s="87" t="s">
        <v>6405</v>
      </c>
      <c r="J399" s="87" t="s">
        <v>6405</v>
      </c>
      <c r="K399" s="87" t="s">
        <v>6926</v>
      </c>
      <c r="L399" s="87" t="s">
        <v>6238</v>
      </c>
      <c r="M399" s="87" t="s">
        <v>6511</v>
      </c>
      <c r="N399" s="9" t="s">
        <v>7440</v>
      </c>
      <c r="O399" s="87" t="s">
        <v>6245</v>
      </c>
      <c r="P399" s="9" t="s">
        <v>6243</v>
      </c>
      <c r="Q399" s="87" t="s">
        <v>6238</v>
      </c>
      <c r="R399" s="87" t="s">
        <v>6405</v>
      </c>
      <c r="S399" s="87" t="s">
        <v>6570</v>
      </c>
      <c r="T399" s="87" t="s">
        <v>6455</v>
      </c>
    </row>
    <row r="400" spans="1:20" ht="15.75" customHeight="1">
      <c r="A400" s="9" t="s">
        <v>2834</v>
      </c>
      <c r="B400" s="9" t="s">
        <v>7568</v>
      </c>
      <c r="C400" s="9" t="s">
        <v>7228</v>
      </c>
      <c r="D400" s="87" t="s">
        <v>6290</v>
      </c>
      <c r="E400" s="9" t="s">
        <v>6924</v>
      </c>
      <c r="F400" s="9" t="s">
        <v>11</v>
      </c>
      <c r="G400" s="9" t="s">
        <v>383</v>
      </c>
      <c r="H400" s="9" t="s">
        <v>426</v>
      </c>
      <c r="I400" s="87" t="s">
        <v>6405</v>
      </c>
      <c r="J400" s="87" t="s">
        <v>6405</v>
      </c>
      <c r="K400" s="87" t="s">
        <v>6405</v>
      </c>
      <c r="L400" s="87" t="s">
        <v>4953</v>
      </c>
      <c r="M400" s="87" t="s">
        <v>6513</v>
      </c>
      <c r="N400" s="9" t="s">
        <v>7569</v>
      </c>
      <c r="O400" s="87" t="s">
        <v>6237</v>
      </c>
      <c r="P400" s="9" t="s">
        <v>6243</v>
      </c>
      <c r="Q400" s="87" t="s">
        <v>4953</v>
      </c>
      <c r="R400" s="87" t="s">
        <v>6405</v>
      </c>
      <c r="S400" s="87" t="s">
        <v>6428</v>
      </c>
      <c r="T400" s="87" t="s">
        <v>6445</v>
      </c>
    </row>
    <row r="401" spans="1:20" ht="15.75" customHeight="1">
      <c r="A401" s="9" t="s">
        <v>2957</v>
      </c>
      <c r="B401" s="9" t="s">
        <v>7570</v>
      </c>
      <c r="C401" s="9" t="s">
        <v>6236</v>
      </c>
      <c r="D401" s="87" t="s">
        <v>6393</v>
      </c>
      <c r="E401" s="9" t="s">
        <v>431</v>
      </c>
      <c r="F401" s="9" t="s">
        <v>368</v>
      </c>
      <c r="G401" s="9" t="s">
        <v>436</v>
      </c>
      <c r="H401" s="9" t="s">
        <v>434</v>
      </c>
      <c r="I401" s="87" t="s">
        <v>6237</v>
      </c>
      <c r="J401" s="87" t="s">
        <v>6306</v>
      </c>
      <c r="K401" s="87" t="s">
        <v>6293</v>
      </c>
      <c r="L401" s="87" t="s">
        <v>6240</v>
      </c>
      <c r="M401" s="87" t="s">
        <v>6495</v>
      </c>
      <c r="N401" s="9" t="s">
        <v>7571</v>
      </c>
      <c r="O401" s="87" t="s">
        <v>6293</v>
      </c>
      <c r="P401" s="9" t="s">
        <v>6243</v>
      </c>
      <c r="Q401" s="87" t="s">
        <v>4828</v>
      </c>
      <c r="R401" s="87" t="s">
        <v>6306</v>
      </c>
      <c r="S401" s="87" t="s">
        <v>6327</v>
      </c>
      <c r="T401" s="87" t="s">
        <v>6322</v>
      </c>
    </row>
    <row r="402" spans="1:20" ht="15.75" customHeight="1">
      <c r="A402" s="9" t="s">
        <v>2957</v>
      </c>
      <c r="B402" s="9" t="s">
        <v>7570</v>
      </c>
      <c r="C402" s="9" t="s">
        <v>6236</v>
      </c>
      <c r="D402" s="87" t="s">
        <v>6393</v>
      </c>
      <c r="E402" s="9" t="s">
        <v>431</v>
      </c>
      <c r="F402" s="9" t="s">
        <v>368</v>
      </c>
      <c r="G402" s="9" t="s">
        <v>436</v>
      </c>
      <c r="H402" s="9" t="s">
        <v>434</v>
      </c>
      <c r="I402" s="87" t="s">
        <v>6237</v>
      </c>
      <c r="J402" s="87" t="s">
        <v>6306</v>
      </c>
      <c r="K402" s="87" t="s">
        <v>6293</v>
      </c>
      <c r="L402" s="87" t="s">
        <v>6240</v>
      </c>
      <c r="M402" s="87" t="s">
        <v>6508</v>
      </c>
      <c r="N402" s="9" t="s">
        <v>7101</v>
      </c>
      <c r="O402" s="87" t="s">
        <v>6293</v>
      </c>
      <c r="P402" s="9" t="s">
        <v>6243</v>
      </c>
      <c r="Q402" s="87" t="s">
        <v>4828</v>
      </c>
      <c r="R402" s="87" t="s">
        <v>6306</v>
      </c>
      <c r="S402" s="87" t="s">
        <v>6430</v>
      </c>
      <c r="T402" s="87" t="s">
        <v>6645</v>
      </c>
    </row>
    <row r="403" spans="1:20" ht="15.75" customHeight="1">
      <c r="A403" s="9" t="s">
        <v>2957</v>
      </c>
      <c r="B403" s="9" t="s">
        <v>7572</v>
      </c>
      <c r="C403" s="9" t="s">
        <v>6671</v>
      </c>
      <c r="D403" s="87" t="s">
        <v>6296</v>
      </c>
      <c r="E403" s="9" t="s">
        <v>6672</v>
      </c>
      <c r="F403" s="9" t="s">
        <v>439</v>
      </c>
      <c r="G403" s="9" t="s">
        <v>436</v>
      </c>
      <c r="H403" s="9" t="s">
        <v>440</v>
      </c>
      <c r="I403" s="87" t="s">
        <v>6405</v>
      </c>
      <c r="J403" s="87" t="s">
        <v>3231</v>
      </c>
      <c r="K403" s="87" t="s">
        <v>6239</v>
      </c>
      <c r="L403" s="87" t="s">
        <v>6240</v>
      </c>
      <c r="M403" s="87" t="s">
        <v>6510</v>
      </c>
      <c r="N403" s="9" t="s">
        <v>6928</v>
      </c>
      <c r="O403" s="87" t="s">
        <v>6239</v>
      </c>
      <c r="P403" s="9" t="s">
        <v>6243</v>
      </c>
      <c r="Q403" s="87" t="s">
        <v>3764</v>
      </c>
      <c r="R403" s="87" t="s">
        <v>3231</v>
      </c>
      <c r="S403" s="87" t="s">
        <v>6327</v>
      </c>
      <c r="T403" s="87" t="s">
        <v>6645</v>
      </c>
    </row>
    <row r="404" spans="1:20" ht="15.75" customHeight="1">
      <c r="A404" s="9" t="s">
        <v>2957</v>
      </c>
      <c r="B404" s="9" t="s">
        <v>7572</v>
      </c>
      <c r="C404" s="9" t="s">
        <v>6671</v>
      </c>
      <c r="D404" s="87" t="s">
        <v>6296</v>
      </c>
      <c r="E404" s="9" t="s">
        <v>6672</v>
      </c>
      <c r="F404" s="9" t="s">
        <v>439</v>
      </c>
      <c r="G404" s="9" t="s">
        <v>436</v>
      </c>
      <c r="H404" s="9" t="s">
        <v>440</v>
      </c>
      <c r="I404" s="87" t="s">
        <v>6405</v>
      </c>
      <c r="J404" s="87" t="s">
        <v>3231</v>
      </c>
      <c r="K404" s="87" t="s">
        <v>6239</v>
      </c>
      <c r="L404" s="87" t="s">
        <v>6240</v>
      </c>
      <c r="M404" s="87" t="s">
        <v>6511</v>
      </c>
      <c r="N404" s="9" t="s">
        <v>6928</v>
      </c>
      <c r="O404" s="87" t="s">
        <v>6239</v>
      </c>
      <c r="P404" s="9" t="s">
        <v>6243</v>
      </c>
      <c r="Q404" s="87" t="s">
        <v>3764</v>
      </c>
      <c r="R404" s="87" t="s">
        <v>3231</v>
      </c>
      <c r="S404" s="87" t="s">
        <v>6327</v>
      </c>
      <c r="T404" s="87" t="s">
        <v>6645</v>
      </c>
    </row>
    <row r="405" spans="1:20" ht="15.75" customHeight="1">
      <c r="A405" s="9" t="s">
        <v>2957</v>
      </c>
      <c r="B405" s="9" t="s">
        <v>7572</v>
      </c>
      <c r="C405" s="9" t="s">
        <v>6671</v>
      </c>
      <c r="D405" s="87" t="s">
        <v>6296</v>
      </c>
      <c r="E405" s="9" t="s">
        <v>6672</v>
      </c>
      <c r="F405" s="9" t="s">
        <v>439</v>
      </c>
      <c r="G405" s="9" t="s">
        <v>436</v>
      </c>
      <c r="H405" s="9" t="s">
        <v>440</v>
      </c>
      <c r="I405" s="87" t="s">
        <v>6405</v>
      </c>
      <c r="J405" s="87" t="s">
        <v>3231</v>
      </c>
      <c r="K405" s="87" t="s">
        <v>6297</v>
      </c>
      <c r="L405" s="87" t="s">
        <v>6240</v>
      </c>
      <c r="M405" s="87" t="s">
        <v>6513</v>
      </c>
      <c r="N405" s="9" t="s">
        <v>6980</v>
      </c>
      <c r="O405" s="87" t="s">
        <v>6297</v>
      </c>
      <c r="P405" s="9" t="s">
        <v>6243</v>
      </c>
      <c r="Q405" s="87" t="s">
        <v>6299</v>
      </c>
      <c r="R405" s="87" t="s">
        <v>3231</v>
      </c>
      <c r="S405" s="87" t="s">
        <v>6306</v>
      </c>
      <c r="T405" s="87" t="s">
        <v>6645</v>
      </c>
    </row>
    <row r="406" spans="1:20" ht="15.75" customHeight="1">
      <c r="A406" s="9" t="s">
        <v>2957</v>
      </c>
      <c r="B406" s="9" t="s">
        <v>7573</v>
      </c>
      <c r="C406" s="9" t="s">
        <v>6923</v>
      </c>
      <c r="D406" s="87" t="s">
        <v>6327</v>
      </c>
      <c r="E406" s="9" t="s">
        <v>6924</v>
      </c>
      <c r="F406" s="9" t="s">
        <v>6925</v>
      </c>
      <c r="G406" s="9" t="s">
        <v>383</v>
      </c>
      <c r="H406" s="9" t="s">
        <v>444</v>
      </c>
      <c r="I406" s="87" t="s">
        <v>6405</v>
      </c>
      <c r="J406" s="87" t="s">
        <v>6264</v>
      </c>
      <c r="K406" s="87" t="s">
        <v>6931</v>
      </c>
      <c r="L406" s="87" t="s">
        <v>6270</v>
      </c>
      <c r="M406" s="87" t="s">
        <v>6517</v>
      </c>
      <c r="N406" s="9" t="s">
        <v>6981</v>
      </c>
      <c r="O406" s="87" t="s">
        <v>6300</v>
      </c>
      <c r="P406" s="9" t="s">
        <v>6243</v>
      </c>
      <c r="Q406" s="87" t="s">
        <v>3861</v>
      </c>
      <c r="R406" s="87" t="s">
        <v>6264</v>
      </c>
      <c r="S406" s="87" t="s">
        <v>6296</v>
      </c>
      <c r="T406" s="87" t="s">
        <v>6341</v>
      </c>
    </row>
    <row r="407" spans="1:20" ht="15.75" customHeight="1">
      <c r="A407" s="9" t="s">
        <v>2957</v>
      </c>
      <c r="B407" s="9" t="s">
        <v>7573</v>
      </c>
      <c r="C407" s="9" t="s">
        <v>7228</v>
      </c>
      <c r="D407" s="87" t="s">
        <v>6290</v>
      </c>
      <c r="E407" s="9" t="s">
        <v>6924</v>
      </c>
      <c r="F407" s="9" t="s">
        <v>11</v>
      </c>
      <c r="G407" s="9" t="s">
        <v>383</v>
      </c>
      <c r="H407" s="9" t="s">
        <v>426</v>
      </c>
      <c r="I407" s="87" t="s">
        <v>6405</v>
      </c>
      <c r="J407" s="87" t="s">
        <v>6264</v>
      </c>
      <c r="K407" s="87" t="s">
        <v>6264</v>
      </c>
      <c r="L407" s="87" t="s">
        <v>4953</v>
      </c>
      <c r="M407" s="87" t="s">
        <v>6530</v>
      </c>
      <c r="N407" s="9" t="s">
        <v>7245</v>
      </c>
      <c r="O407" s="87" t="s">
        <v>6327</v>
      </c>
      <c r="P407" s="9" t="s">
        <v>6243</v>
      </c>
      <c r="Q407" s="87" t="s">
        <v>6392</v>
      </c>
      <c r="R407" s="87" t="s">
        <v>6264</v>
      </c>
      <c r="S407" s="87" t="s">
        <v>6500</v>
      </c>
      <c r="T407" s="87" t="s">
        <v>6341</v>
      </c>
    </row>
    <row r="408" spans="1:20" ht="15.75" customHeight="1">
      <c r="A408" s="9" t="s">
        <v>2955</v>
      </c>
      <c r="B408" s="9" t="s">
        <v>7574</v>
      </c>
      <c r="C408" s="9" t="s">
        <v>6236</v>
      </c>
      <c r="D408" s="87" t="s">
        <v>6393</v>
      </c>
      <c r="E408" s="9" t="s">
        <v>431</v>
      </c>
      <c r="F408" s="9" t="s">
        <v>368</v>
      </c>
      <c r="G408" s="9" t="s">
        <v>436</v>
      </c>
      <c r="H408" s="9" t="s">
        <v>434</v>
      </c>
      <c r="I408" s="87" t="s">
        <v>6237</v>
      </c>
      <c r="J408" s="87" t="s">
        <v>4014</v>
      </c>
      <c r="K408" s="87" t="s">
        <v>6416</v>
      </c>
      <c r="L408" s="87" t="s">
        <v>6240</v>
      </c>
      <c r="M408" s="87" t="s">
        <v>6530</v>
      </c>
      <c r="N408" s="9" t="s">
        <v>7147</v>
      </c>
      <c r="O408" s="87" t="s">
        <v>6416</v>
      </c>
      <c r="P408" s="9" t="s">
        <v>6243</v>
      </c>
      <c r="Q408" s="87" t="s">
        <v>6758</v>
      </c>
      <c r="R408" s="87" t="s">
        <v>4014</v>
      </c>
      <c r="S408" s="87" t="s">
        <v>6327</v>
      </c>
      <c r="T408" s="87" t="s">
        <v>6239</v>
      </c>
    </row>
    <row r="409" spans="1:20" ht="15.75" customHeight="1">
      <c r="A409" s="9" t="s">
        <v>2955</v>
      </c>
      <c r="B409" s="9" t="s">
        <v>7574</v>
      </c>
      <c r="C409" s="9" t="s">
        <v>6236</v>
      </c>
      <c r="D409" s="87" t="s">
        <v>6393</v>
      </c>
      <c r="E409" s="9" t="s">
        <v>431</v>
      </c>
      <c r="F409" s="9" t="s">
        <v>368</v>
      </c>
      <c r="G409" s="9" t="s">
        <v>436</v>
      </c>
      <c r="H409" s="9" t="s">
        <v>434</v>
      </c>
      <c r="I409" s="87" t="s">
        <v>6237</v>
      </c>
      <c r="J409" s="87" t="s">
        <v>4014</v>
      </c>
      <c r="K409" s="87" t="s">
        <v>6239</v>
      </c>
      <c r="L409" s="87" t="s">
        <v>6240</v>
      </c>
      <c r="M409" s="87" t="s">
        <v>6537</v>
      </c>
      <c r="N409" s="9" t="s">
        <v>6928</v>
      </c>
      <c r="O409" s="87" t="s">
        <v>6239</v>
      </c>
      <c r="P409" s="9" t="s">
        <v>6243</v>
      </c>
      <c r="Q409" s="87" t="s">
        <v>3764</v>
      </c>
      <c r="R409" s="87" t="s">
        <v>4014</v>
      </c>
      <c r="S409" s="87" t="s">
        <v>6327</v>
      </c>
      <c r="T409" s="87" t="s">
        <v>6645</v>
      </c>
    </row>
    <row r="410" spans="1:20" ht="15.75" customHeight="1">
      <c r="A410" s="9" t="s">
        <v>2955</v>
      </c>
      <c r="B410" s="9" t="s">
        <v>7574</v>
      </c>
      <c r="C410" s="9" t="s">
        <v>6236</v>
      </c>
      <c r="D410" s="87" t="s">
        <v>6393</v>
      </c>
      <c r="E410" s="9" t="s">
        <v>431</v>
      </c>
      <c r="F410" s="9" t="s">
        <v>368</v>
      </c>
      <c r="G410" s="9" t="s">
        <v>436</v>
      </c>
      <c r="H410" s="9" t="s">
        <v>434</v>
      </c>
      <c r="I410" s="87" t="s">
        <v>6237</v>
      </c>
      <c r="J410" s="87" t="s">
        <v>4014</v>
      </c>
      <c r="K410" s="87" t="s">
        <v>6606</v>
      </c>
      <c r="L410" s="87" t="s">
        <v>6240</v>
      </c>
      <c r="M410" s="87" t="s">
        <v>6538</v>
      </c>
      <c r="N410" s="9" t="s">
        <v>7575</v>
      </c>
      <c r="O410" s="87" t="s">
        <v>6606</v>
      </c>
      <c r="P410" s="9" t="s">
        <v>6243</v>
      </c>
      <c r="Q410" s="87" t="s">
        <v>6608</v>
      </c>
      <c r="R410" s="87" t="s">
        <v>4014</v>
      </c>
      <c r="S410" s="87" t="s">
        <v>6370</v>
      </c>
      <c r="T410" s="87" t="s">
        <v>6645</v>
      </c>
    </row>
    <row r="411" spans="1:20" ht="15.75" customHeight="1">
      <c r="A411" s="9" t="s">
        <v>2955</v>
      </c>
      <c r="B411" s="9" t="s">
        <v>7576</v>
      </c>
      <c r="C411" s="9" t="s">
        <v>6923</v>
      </c>
      <c r="D411" s="87" t="s">
        <v>6810</v>
      </c>
      <c r="E411" s="9" t="s">
        <v>6924</v>
      </c>
      <c r="F411" s="9" t="s">
        <v>6925</v>
      </c>
      <c r="G411" s="9" t="s">
        <v>383</v>
      </c>
      <c r="H411" s="9" t="s">
        <v>430</v>
      </c>
      <c r="I411" s="87" t="s">
        <v>6405</v>
      </c>
      <c r="J411" s="87" t="s">
        <v>6334</v>
      </c>
      <c r="K411" s="87" t="s">
        <v>6926</v>
      </c>
      <c r="L411" s="87" t="s">
        <v>5079</v>
      </c>
      <c r="M411" s="87" t="s">
        <v>6539</v>
      </c>
      <c r="N411" s="9" t="s">
        <v>7577</v>
      </c>
      <c r="O411" s="87" t="s">
        <v>6486</v>
      </c>
      <c r="P411" s="9" t="s">
        <v>6243</v>
      </c>
      <c r="Q411" s="87" t="s">
        <v>5079</v>
      </c>
      <c r="R411" s="87" t="s">
        <v>6334</v>
      </c>
      <c r="S411" s="87" t="s">
        <v>6299</v>
      </c>
      <c r="T411" s="87" t="s">
        <v>6497</v>
      </c>
    </row>
    <row r="412" spans="1:20" ht="15.75" customHeight="1">
      <c r="A412" s="9" t="s">
        <v>2955</v>
      </c>
      <c r="B412" s="9" t="s">
        <v>7576</v>
      </c>
      <c r="C412" s="9" t="s">
        <v>7228</v>
      </c>
      <c r="D412" s="87" t="s">
        <v>6237</v>
      </c>
      <c r="E412" s="9" t="s">
        <v>6924</v>
      </c>
      <c r="F412" s="9" t="s">
        <v>11</v>
      </c>
      <c r="G412" s="9" t="s">
        <v>383</v>
      </c>
      <c r="H412" s="9" t="s">
        <v>426</v>
      </c>
      <c r="I412" s="87" t="s">
        <v>6405</v>
      </c>
      <c r="J412" s="87" t="s">
        <v>6405</v>
      </c>
      <c r="K412" s="87" t="s">
        <v>6405</v>
      </c>
      <c r="L412" s="87" t="s">
        <v>6397</v>
      </c>
      <c r="M412" s="87" t="s">
        <v>6540</v>
      </c>
      <c r="N412" s="9" t="s">
        <v>7578</v>
      </c>
      <c r="O412" s="87" t="s">
        <v>6240</v>
      </c>
      <c r="P412" s="9" t="s">
        <v>6243</v>
      </c>
      <c r="Q412" s="87" t="s">
        <v>6397</v>
      </c>
      <c r="R412" s="87" t="s">
        <v>6405</v>
      </c>
      <c r="S412" s="87" t="s">
        <v>6435</v>
      </c>
      <c r="T412" s="87" t="s">
        <v>6313</v>
      </c>
    </row>
    <row r="413" spans="1:20" ht="15.75" customHeight="1">
      <c r="A413" s="9" t="s">
        <v>2955</v>
      </c>
      <c r="B413" s="9" t="s">
        <v>7579</v>
      </c>
      <c r="C413" s="9" t="s">
        <v>6923</v>
      </c>
      <c r="D413" s="87" t="s">
        <v>6810</v>
      </c>
      <c r="E413" s="9" t="s">
        <v>6924</v>
      </c>
      <c r="F413" s="9" t="s">
        <v>6925</v>
      </c>
      <c r="G413" s="9" t="s">
        <v>383</v>
      </c>
      <c r="H413" s="9" t="s">
        <v>430</v>
      </c>
      <c r="I413" s="87" t="s">
        <v>6405</v>
      </c>
      <c r="J413" s="87" t="s">
        <v>6334</v>
      </c>
      <c r="K413" s="87" t="s">
        <v>6926</v>
      </c>
      <c r="L413" s="87" t="s">
        <v>5079</v>
      </c>
      <c r="M413" s="87" t="s">
        <v>6540</v>
      </c>
      <c r="N413" s="9" t="s">
        <v>7580</v>
      </c>
      <c r="O413" s="87" t="s">
        <v>6486</v>
      </c>
      <c r="P413" s="9" t="s">
        <v>6243</v>
      </c>
      <c r="Q413" s="87" t="s">
        <v>5079</v>
      </c>
      <c r="R413" s="87" t="s">
        <v>6334</v>
      </c>
      <c r="S413" s="87" t="s">
        <v>6421</v>
      </c>
      <c r="T413" s="87" t="s">
        <v>6606</v>
      </c>
    </row>
    <row r="414" spans="1:20" ht="15.75" customHeight="1">
      <c r="A414" s="9" t="s">
        <v>2955</v>
      </c>
      <c r="B414" s="9" t="s">
        <v>7579</v>
      </c>
      <c r="C414" s="9" t="s">
        <v>7228</v>
      </c>
      <c r="D414" s="87" t="s">
        <v>6237</v>
      </c>
      <c r="E414" s="9" t="s">
        <v>6924</v>
      </c>
      <c r="F414" s="9" t="s">
        <v>11</v>
      </c>
      <c r="G414" s="9" t="s">
        <v>383</v>
      </c>
      <c r="H414" s="9" t="s">
        <v>426</v>
      </c>
      <c r="I414" s="87" t="s">
        <v>6405</v>
      </c>
      <c r="J414" s="87" t="s">
        <v>6405</v>
      </c>
      <c r="K414" s="87" t="s">
        <v>6405</v>
      </c>
      <c r="L414" s="87" t="s">
        <v>6397</v>
      </c>
      <c r="M414" s="87" t="s">
        <v>6556</v>
      </c>
      <c r="N414" s="9" t="s">
        <v>7581</v>
      </c>
      <c r="O414" s="87" t="s">
        <v>6240</v>
      </c>
      <c r="P414" s="9" t="s">
        <v>6243</v>
      </c>
      <c r="Q414" s="87" t="s">
        <v>6397</v>
      </c>
      <c r="R414" s="87" t="s">
        <v>6405</v>
      </c>
      <c r="S414" s="87" t="s">
        <v>6543</v>
      </c>
      <c r="T414" s="87" t="s">
        <v>6316</v>
      </c>
    </row>
    <row r="415" spans="1:20" ht="15.75" customHeight="1">
      <c r="A415" s="9" t="s">
        <v>2955</v>
      </c>
      <c r="B415" s="9" t="s">
        <v>7582</v>
      </c>
      <c r="C415" s="9" t="s">
        <v>6923</v>
      </c>
      <c r="D415" s="87" t="s">
        <v>6461</v>
      </c>
      <c r="E415" s="9" t="s">
        <v>6924</v>
      </c>
      <c r="F415" s="9" t="s">
        <v>6925</v>
      </c>
      <c r="G415" s="9" t="s">
        <v>383</v>
      </c>
      <c r="H415" s="9" t="s">
        <v>427</v>
      </c>
      <c r="I415" s="87" t="s">
        <v>6405</v>
      </c>
      <c r="J415" s="87" t="s">
        <v>6237</v>
      </c>
      <c r="K415" s="87" t="s">
        <v>6926</v>
      </c>
      <c r="L415" s="87" t="s">
        <v>5374</v>
      </c>
      <c r="M415" s="87" t="s">
        <v>6556</v>
      </c>
      <c r="N415" s="9" t="s">
        <v>6951</v>
      </c>
      <c r="O415" s="87" t="s">
        <v>6323</v>
      </c>
      <c r="P415" s="9" t="s">
        <v>6243</v>
      </c>
      <c r="Q415" s="87" t="s">
        <v>5374</v>
      </c>
      <c r="R415" s="87" t="s">
        <v>6237</v>
      </c>
      <c r="S415" s="87" t="s">
        <v>6259</v>
      </c>
      <c r="T415" s="87" t="s">
        <v>6526</v>
      </c>
    </row>
    <row r="416" spans="1:20" ht="15.75" customHeight="1">
      <c r="A416" s="9" t="s">
        <v>2955</v>
      </c>
      <c r="B416" s="9" t="s">
        <v>7582</v>
      </c>
      <c r="C416" s="9" t="s">
        <v>7228</v>
      </c>
      <c r="D416" s="87" t="s">
        <v>6237</v>
      </c>
      <c r="E416" s="9" t="s">
        <v>6924</v>
      </c>
      <c r="F416" s="9" t="s">
        <v>11</v>
      </c>
      <c r="G416" s="9" t="s">
        <v>383</v>
      </c>
      <c r="H416" s="9" t="s">
        <v>426</v>
      </c>
      <c r="I416" s="87" t="s">
        <v>6405</v>
      </c>
      <c r="J416" s="87" t="s">
        <v>6405</v>
      </c>
      <c r="K416" s="87" t="s">
        <v>6405</v>
      </c>
      <c r="L416" s="87" t="s">
        <v>6397</v>
      </c>
      <c r="M416" s="87" t="s">
        <v>6557</v>
      </c>
      <c r="N416" s="9" t="s">
        <v>7583</v>
      </c>
      <c r="O416" s="87" t="s">
        <v>6240</v>
      </c>
      <c r="P416" s="9" t="s">
        <v>6243</v>
      </c>
      <c r="Q416" s="87" t="s">
        <v>6397</v>
      </c>
      <c r="R416" s="87" t="s">
        <v>6405</v>
      </c>
      <c r="S416" s="87" t="s">
        <v>6479</v>
      </c>
      <c r="T416" s="87" t="s">
        <v>6287</v>
      </c>
    </row>
    <row r="417" spans="1:20" ht="15.75" customHeight="1">
      <c r="A417" s="9" t="s">
        <v>2955</v>
      </c>
      <c r="B417" s="9" t="s">
        <v>7584</v>
      </c>
      <c r="C417" s="9" t="s">
        <v>6923</v>
      </c>
      <c r="D417" s="87" t="s">
        <v>6461</v>
      </c>
      <c r="E417" s="9" t="s">
        <v>6924</v>
      </c>
      <c r="F417" s="9" t="s">
        <v>6925</v>
      </c>
      <c r="G417" s="9" t="s">
        <v>383</v>
      </c>
      <c r="H417" s="9" t="s">
        <v>427</v>
      </c>
      <c r="I417" s="87" t="s">
        <v>6405</v>
      </c>
      <c r="J417" s="87" t="s">
        <v>6237</v>
      </c>
      <c r="K417" s="87" t="s">
        <v>6939</v>
      </c>
      <c r="L417" s="87" t="s">
        <v>5374</v>
      </c>
      <c r="M417" s="87" t="s">
        <v>6557</v>
      </c>
      <c r="N417" s="9" t="s">
        <v>6940</v>
      </c>
      <c r="O417" s="87" t="s">
        <v>6333</v>
      </c>
      <c r="P417" s="9" t="s">
        <v>6243</v>
      </c>
      <c r="Q417" s="87" t="s">
        <v>6575</v>
      </c>
      <c r="R417" s="87" t="s">
        <v>6237</v>
      </c>
      <c r="S417" s="87" t="s">
        <v>6570</v>
      </c>
      <c r="T417" s="87" t="s">
        <v>6341</v>
      </c>
    </row>
    <row r="418" spans="1:20" ht="15.75" customHeight="1">
      <c r="A418" s="9" t="s">
        <v>2955</v>
      </c>
      <c r="B418" s="9" t="s">
        <v>7584</v>
      </c>
      <c r="C418" s="9" t="s">
        <v>7228</v>
      </c>
      <c r="D418" s="87" t="s">
        <v>6237</v>
      </c>
      <c r="E418" s="9" t="s">
        <v>6924</v>
      </c>
      <c r="F418" s="9" t="s">
        <v>11</v>
      </c>
      <c r="G418" s="9" t="s">
        <v>383</v>
      </c>
      <c r="H418" s="9" t="s">
        <v>426</v>
      </c>
      <c r="I418" s="87" t="s">
        <v>6405</v>
      </c>
      <c r="J418" s="87" t="s">
        <v>6334</v>
      </c>
      <c r="K418" s="87" t="s">
        <v>6334</v>
      </c>
      <c r="L418" s="87" t="s">
        <v>6397</v>
      </c>
      <c r="M418" s="87" t="s">
        <v>6563</v>
      </c>
      <c r="N418" s="9" t="s">
        <v>7268</v>
      </c>
      <c r="O418" s="87" t="s">
        <v>6290</v>
      </c>
      <c r="P418" s="9" t="s">
        <v>6243</v>
      </c>
      <c r="Q418" s="87" t="s">
        <v>6293</v>
      </c>
      <c r="R418" s="87" t="s">
        <v>6334</v>
      </c>
      <c r="S418" s="87" t="s">
        <v>6479</v>
      </c>
      <c r="T418" s="87" t="s">
        <v>6341</v>
      </c>
    </row>
    <row r="419" spans="1:20" ht="15.75" customHeight="1">
      <c r="A419" s="9" t="s">
        <v>2955</v>
      </c>
      <c r="B419" s="9" t="s">
        <v>7585</v>
      </c>
      <c r="C419" s="9" t="s">
        <v>6923</v>
      </c>
      <c r="D419" s="87" t="s">
        <v>6461</v>
      </c>
      <c r="E419" s="9" t="s">
        <v>6924</v>
      </c>
      <c r="F419" s="9" t="s">
        <v>6925</v>
      </c>
      <c r="G419" s="9" t="s">
        <v>383</v>
      </c>
      <c r="H419" s="9" t="s">
        <v>427</v>
      </c>
      <c r="I419" s="87" t="s">
        <v>6405</v>
      </c>
      <c r="J419" s="87" t="s">
        <v>6237</v>
      </c>
      <c r="K419" s="87" t="s">
        <v>6926</v>
      </c>
      <c r="L419" s="87" t="s">
        <v>5374</v>
      </c>
      <c r="M419" s="87" t="s">
        <v>6563</v>
      </c>
      <c r="N419" s="9" t="s">
        <v>7004</v>
      </c>
      <c r="O419" s="87" t="s">
        <v>6323</v>
      </c>
      <c r="P419" s="9" t="s">
        <v>6243</v>
      </c>
      <c r="Q419" s="87" t="s">
        <v>5374</v>
      </c>
      <c r="R419" s="87" t="s">
        <v>6237</v>
      </c>
      <c r="S419" s="87" t="s">
        <v>6428</v>
      </c>
      <c r="T419" s="87" t="s">
        <v>6341</v>
      </c>
    </row>
    <row r="420" spans="1:20" ht="15.75" customHeight="1">
      <c r="A420" s="9" t="s">
        <v>2955</v>
      </c>
      <c r="B420" s="9" t="s">
        <v>7585</v>
      </c>
      <c r="C420" s="9" t="s">
        <v>7228</v>
      </c>
      <c r="D420" s="87" t="s">
        <v>6237</v>
      </c>
      <c r="E420" s="9" t="s">
        <v>6924</v>
      </c>
      <c r="F420" s="9" t="s">
        <v>11</v>
      </c>
      <c r="G420" s="9" t="s">
        <v>383</v>
      </c>
      <c r="H420" s="9" t="s">
        <v>426</v>
      </c>
      <c r="I420" s="87" t="s">
        <v>6405</v>
      </c>
      <c r="J420" s="87" t="s">
        <v>6405</v>
      </c>
      <c r="K420" s="87" t="s">
        <v>6405</v>
      </c>
      <c r="L420" s="87" t="s">
        <v>6397</v>
      </c>
      <c r="M420" s="87" t="s">
        <v>6566</v>
      </c>
      <c r="N420" s="9" t="s">
        <v>7289</v>
      </c>
      <c r="O420" s="87" t="s">
        <v>6240</v>
      </c>
      <c r="P420" s="9" t="s">
        <v>6243</v>
      </c>
      <c r="Q420" s="87" t="s">
        <v>6397</v>
      </c>
      <c r="R420" s="87" t="s">
        <v>6405</v>
      </c>
      <c r="S420" s="87" t="s">
        <v>6284</v>
      </c>
      <c r="T420" s="87" t="s">
        <v>6341</v>
      </c>
    </row>
    <row r="421" spans="1:20" ht="15.75" customHeight="1">
      <c r="A421" s="9" t="s">
        <v>2896</v>
      </c>
      <c r="B421" s="9" t="s">
        <v>7586</v>
      </c>
      <c r="C421" s="9" t="s">
        <v>6236</v>
      </c>
      <c r="D421" s="87" t="s">
        <v>6393</v>
      </c>
      <c r="E421" s="9" t="s">
        <v>431</v>
      </c>
      <c r="F421" s="9" t="s">
        <v>368</v>
      </c>
      <c r="G421" s="9" t="s">
        <v>436</v>
      </c>
      <c r="H421" s="9" t="s">
        <v>434</v>
      </c>
      <c r="I421" s="87" t="s">
        <v>6237</v>
      </c>
      <c r="J421" s="87" t="s">
        <v>6433</v>
      </c>
      <c r="K421" s="87" t="s">
        <v>6433</v>
      </c>
      <c r="L421" s="87" t="s">
        <v>6240</v>
      </c>
      <c r="M421" s="87" t="s">
        <v>6508</v>
      </c>
      <c r="N421" s="9" t="s">
        <v>7587</v>
      </c>
      <c r="O421" s="87" t="s">
        <v>6433</v>
      </c>
      <c r="P421" s="9" t="s">
        <v>6243</v>
      </c>
      <c r="Q421" s="87" t="s">
        <v>6305</v>
      </c>
      <c r="R421" s="87" t="s">
        <v>6433</v>
      </c>
      <c r="S421" s="87" t="s">
        <v>6498</v>
      </c>
      <c r="T421" s="87" t="s">
        <v>6404</v>
      </c>
    </row>
    <row r="422" spans="1:20" ht="15.75" customHeight="1">
      <c r="A422" s="9" t="s">
        <v>2896</v>
      </c>
      <c r="B422" s="9" t="s">
        <v>7588</v>
      </c>
      <c r="C422" s="9" t="s">
        <v>6671</v>
      </c>
      <c r="D422" s="87" t="s">
        <v>6296</v>
      </c>
      <c r="E422" s="9" t="s">
        <v>6672</v>
      </c>
      <c r="F422" s="9" t="s">
        <v>439</v>
      </c>
      <c r="G422" s="9" t="s">
        <v>436</v>
      </c>
      <c r="H422" s="9" t="s">
        <v>440</v>
      </c>
      <c r="I422" s="87" t="s">
        <v>6405</v>
      </c>
      <c r="J422" s="87" t="s">
        <v>6290</v>
      </c>
      <c r="K422" s="87" t="s">
        <v>6290</v>
      </c>
      <c r="L422" s="87" t="s">
        <v>6240</v>
      </c>
      <c r="M422" s="87" t="s">
        <v>6513</v>
      </c>
      <c r="N422" s="9" t="s">
        <v>7589</v>
      </c>
      <c r="O422" s="87" t="s">
        <v>6290</v>
      </c>
      <c r="P422" s="9" t="s">
        <v>6243</v>
      </c>
      <c r="Q422" s="87" t="s">
        <v>6293</v>
      </c>
      <c r="R422" s="87" t="s">
        <v>6290</v>
      </c>
      <c r="S422" s="87" t="s">
        <v>6287</v>
      </c>
      <c r="T422" s="87" t="s">
        <v>6443</v>
      </c>
    </row>
    <row r="423" spans="1:20" ht="15.75" customHeight="1">
      <c r="A423" s="9" t="s">
        <v>2896</v>
      </c>
      <c r="B423" s="9" t="s">
        <v>7590</v>
      </c>
      <c r="C423" s="9" t="s">
        <v>6923</v>
      </c>
      <c r="D423" s="87" t="s">
        <v>6327</v>
      </c>
      <c r="E423" s="9" t="s">
        <v>6924</v>
      </c>
      <c r="F423" s="9" t="s">
        <v>6925</v>
      </c>
      <c r="G423" s="9" t="s">
        <v>383</v>
      </c>
      <c r="H423" s="9" t="s">
        <v>444</v>
      </c>
      <c r="I423" s="87" t="s">
        <v>6405</v>
      </c>
      <c r="J423" s="87" t="s">
        <v>6405</v>
      </c>
      <c r="K423" s="87" t="s">
        <v>7119</v>
      </c>
      <c r="L423" s="87" t="s">
        <v>3231</v>
      </c>
      <c r="M423" s="87" t="s">
        <v>6517</v>
      </c>
      <c r="N423" s="9" t="s">
        <v>7120</v>
      </c>
      <c r="O423" s="87" t="s">
        <v>6435</v>
      </c>
      <c r="P423" s="9" t="s">
        <v>6243</v>
      </c>
      <c r="Q423" s="87" t="s">
        <v>6250</v>
      </c>
      <c r="R423" s="87" t="s">
        <v>6405</v>
      </c>
      <c r="S423" s="87" t="s">
        <v>6251</v>
      </c>
      <c r="T423" s="87" t="s">
        <v>6414</v>
      </c>
    </row>
    <row r="424" spans="1:20" ht="15.75" customHeight="1">
      <c r="A424" s="9" t="s">
        <v>2896</v>
      </c>
      <c r="B424" s="9" t="s">
        <v>7591</v>
      </c>
      <c r="C424" s="9" t="s">
        <v>6923</v>
      </c>
      <c r="D424" s="87" t="s">
        <v>6327</v>
      </c>
      <c r="E424" s="9" t="s">
        <v>6924</v>
      </c>
      <c r="F424" s="9" t="s">
        <v>6925</v>
      </c>
      <c r="G424" s="9" t="s">
        <v>383</v>
      </c>
      <c r="H424" s="9" t="s">
        <v>444</v>
      </c>
      <c r="I424" s="87" t="s">
        <v>6405</v>
      </c>
      <c r="J424" s="87" t="s">
        <v>6405</v>
      </c>
      <c r="K424" s="87" t="s">
        <v>6926</v>
      </c>
      <c r="L424" s="87" t="s">
        <v>3231</v>
      </c>
      <c r="M424" s="87" t="s">
        <v>6530</v>
      </c>
      <c r="N424" s="9" t="s">
        <v>7121</v>
      </c>
      <c r="O424" s="87" t="s">
        <v>6299</v>
      </c>
      <c r="P424" s="9" t="s">
        <v>6243</v>
      </c>
      <c r="Q424" s="87" t="s">
        <v>3231</v>
      </c>
      <c r="R424" s="87" t="s">
        <v>6405</v>
      </c>
      <c r="S424" s="87" t="s">
        <v>6400</v>
      </c>
      <c r="T424" s="87" t="s">
        <v>6341</v>
      </c>
    </row>
    <row r="425" spans="1:20" ht="15.75" customHeight="1">
      <c r="A425" s="9" t="s">
        <v>2983</v>
      </c>
      <c r="B425" s="9" t="s">
        <v>7592</v>
      </c>
      <c r="C425" s="9" t="s">
        <v>6236</v>
      </c>
      <c r="D425" s="87" t="s">
        <v>6393</v>
      </c>
      <c r="E425" s="9" t="s">
        <v>431</v>
      </c>
      <c r="F425" s="9" t="s">
        <v>368</v>
      </c>
      <c r="G425" s="9" t="s">
        <v>436</v>
      </c>
      <c r="H425" s="9" t="s">
        <v>434</v>
      </c>
      <c r="I425" s="87" t="s">
        <v>6237</v>
      </c>
      <c r="J425" s="87" t="s">
        <v>6515</v>
      </c>
      <c r="K425" s="87" t="s">
        <v>6245</v>
      </c>
      <c r="L425" s="87" t="s">
        <v>6240</v>
      </c>
      <c r="M425" s="87" t="s">
        <v>6508</v>
      </c>
      <c r="N425" s="9" t="s">
        <v>7593</v>
      </c>
      <c r="O425" s="87" t="s">
        <v>6245</v>
      </c>
      <c r="P425" s="9" t="s">
        <v>6243</v>
      </c>
      <c r="Q425" s="87" t="s">
        <v>6238</v>
      </c>
      <c r="R425" s="87" t="s">
        <v>6515</v>
      </c>
      <c r="S425" s="87" t="s">
        <v>6327</v>
      </c>
      <c r="T425" s="87" t="s">
        <v>6254</v>
      </c>
    </row>
    <row r="426" spans="1:20" ht="15.75" customHeight="1">
      <c r="A426" s="9" t="s">
        <v>2983</v>
      </c>
      <c r="B426" s="9" t="s">
        <v>7592</v>
      </c>
      <c r="C426" s="9" t="s">
        <v>6236</v>
      </c>
      <c r="D426" s="87" t="s">
        <v>6393</v>
      </c>
      <c r="E426" s="9" t="s">
        <v>431</v>
      </c>
      <c r="F426" s="9" t="s">
        <v>368</v>
      </c>
      <c r="G426" s="9" t="s">
        <v>436</v>
      </c>
      <c r="H426" s="9" t="s">
        <v>434</v>
      </c>
      <c r="I426" s="87" t="s">
        <v>6237</v>
      </c>
      <c r="J426" s="87" t="s">
        <v>6515</v>
      </c>
      <c r="K426" s="87" t="s">
        <v>6239</v>
      </c>
      <c r="L426" s="87" t="s">
        <v>6240</v>
      </c>
      <c r="M426" s="87" t="s">
        <v>6510</v>
      </c>
      <c r="N426" s="9" t="s">
        <v>6928</v>
      </c>
      <c r="O426" s="87" t="s">
        <v>6239</v>
      </c>
      <c r="P426" s="9" t="s">
        <v>6243</v>
      </c>
      <c r="Q426" s="87" t="s">
        <v>3764</v>
      </c>
      <c r="R426" s="87" t="s">
        <v>6515</v>
      </c>
      <c r="S426" s="87" t="s">
        <v>6327</v>
      </c>
      <c r="T426" s="87" t="s">
        <v>6645</v>
      </c>
    </row>
    <row r="427" spans="1:20" ht="15.75" customHeight="1">
      <c r="A427" s="9" t="s">
        <v>2983</v>
      </c>
      <c r="B427" s="9" t="s">
        <v>7592</v>
      </c>
      <c r="C427" s="9" t="s">
        <v>6236</v>
      </c>
      <c r="D427" s="87" t="s">
        <v>6393</v>
      </c>
      <c r="E427" s="9" t="s">
        <v>431</v>
      </c>
      <c r="F427" s="9" t="s">
        <v>368</v>
      </c>
      <c r="G427" s="9" t="s">
        <v>436</v>
      </c>
      <c r="H427" s="9" t="s">
        <v>434</v>
      </c>
      <c r="I427" s="87" t="s">
        <v>6237</v>
      </c>
      <c r="J427" s="87" t="s">
        <v>6515</v>
      </c>
      <c r="K427" s="87" t="s">
        <v>6451</v>
      </c>
      <c r="L427" s="87" t="s">
        <v>6240</v>
      </c>
      <c r="M427" s="87" t="s">
        <v>6511</v>
      </c>
      <c r="N427" s="9" t="s">
        <v>7220</v>
      </c>
      <c r="O427" s="87" t="s">
        <v>6451</v>
      </c>
      <c r="P427" s="9" t="s">
        <v>6243</v>
      </c>
      <c r="Q427" s="87" t="s">
        <v>6410</v>
      </c>
      <c r="R427" s="87" t="s">
        <v>6515</v>
      </c>
      <c r="S427" s="87" t="s">
        <v>6651</v>
      </c>
      <c r="T427" s="87" t="s">
        <v>6645</v>
      </c>
    </row>
    <row r="428" spans="1:20" ht="15.75" customHeight="1">
      <c r="A428" s="9" t="s">
        <v>2983</v>
      </c>
      <c r="B428" s="9" t="s">
        <v>7594</v>
      </c>
      <c r="C428" s="9" t="s">
        <v>6671</v>
      </c>
      <c r="D428" s="87" t="s">
        <v>6296</v>
      </c>
      <c r="E428" s="9" t="s">
        <v>6672</v>
      </c>
      <c r="F428" s="9" t="s">
        <v>439</v>
      </c>
      <c r="G428" s="9" t="s">
        <v>436</v>
      </c>
      <c r="H428" s="9" t="s">
        <v>440</v>
      </c>
      <c r="I428" s="87" t="s">
        <v>6405</v>
      </c>
      <c r="J428" s="87" t="s">
        <v>6305</v>
      </c>
      <c r="K428" s="87" t="s">
        <v>6300</v>
      </c>
      <c r="L428" s="87" t="s">
        <v>6240</v>
      </c>
      <c r="M428" s="87" t="s">
        <v>6513</v>
      </c>
      <c r="N428" s="9" t="s">
        <v>7193</v>
      </c>
      <c r="O428" s="87" t="s">
        <v>6300</v>
      </c>
      <c r="P428" s="9" t="s">
        <v>6243</v>
      </c>
      <c r="Q428" s="87" t="s">
        <v>3861</v>
      </c>
      <c r="R428" s="87" t="s">
        <v>6305</v>
      </c>
      <c r="S428" s="87" t="s">
        <v>6327</v>
      </c>
      <c r="T428" s="87" t="s">
        <v>6256</v>
      </c>
    </row>
    <row r="429" spans="1:20" ht="15.75" customHeight="1">
      <c r="A429" s="9" t="s">
        <v>2983</v>
      </c>
      <c r="B429" s="9" t="s">
        <v>7594</v>
      </c>
      <c r="C429" s="9" t="s">
        <v>6671</v>
      </c>
      <c r="D429" s="87" t="s">
        <v>6296</v>
      </c>
      <c r="E429" s="9" t="s">
        <v>6672</v>
      </c>
      <c r="F429" s="9" t="s">
        <v>439</v>
      </c>
      <c r="G429" s="9" t="s">
        <v>436</v>
      </c>
      <c r="H429" s="9" t="s">
        <v>440</v>
      </c>
      <c r="I429" s="87" t="s">
        <v>6405</v>
      </c>
      <c r="J429" s="87" t="s">
        <v>6305</v>
      </c>
      <c r="K429" s="87" t="s">
        <v>6295</v>
      </c>
      <c r="L429" s="87" t="s">
        <v>6240</v>
      </c>
      <c r="M429" s="87" t="s">
        <v>6517</v>
      </c>
      <c r="N429" s="9" t="s">
        <v>7595</v>
      </c>
      <c r="O429" s="87" t="s">
        <v>6295</v>
      </c>
      <c r="P429" s="9" t="s">
        <v>6243</v>
      </c>
      <c r="Q429" s="87" t="s">
        <v>6372</v>
      </c>
      <c r="R429" s="87" t="s">
        <v>6305</v>
      </c>
      <c r="S429" s="87" t="s">
        <v>6543</v>
      </c>
      <c r="T429" s="87" t="s">
        <v>6645</v>
      </c>
    </row>
    <row r="430" spans="1:20" ht="15.75" customHeight="1">
      <c r="A430" s="9" t="s">
        <v>2983</v>
      </c>
      <c r="B430" s="9" t="s">
        <v>7596</v>
      </c>
      <c r="C430" s="9" t="s">
        <v>6923</v>
      </c>
      <c r="D430" s="87" t="s">
        <v>6461</v>
      </c>
      <c r="E430" s="9" t="s">
        <v>6924</v>
      </c>
      <c r="F430" s="9" t="s">
        <v>6925</v>
      </c>
      <c r="G430" s="9" t="s">
        <v>383</v>
      </c>
      <c r="H430" s="9" t="s">
        <v>427</v>
      </c>
      <c r="I430" s="87" t="s">
        <v>6405</v>
      </c>
      <c r="J430" s="87" t="s">
        <v>6405</v>
      </c>
      <c r="K430" s="87" t="s">
        <v>6926</v>
      </c>
      <c r="L430" s="87" t="s">
        <v>6305</v>
      </c>
      <c r="M430" s="87" t="s">
        <v>6530</v>
      </c>
      <c r="N430" s="9" t="s">
        <v>7597</v>
      </c>
      <c r="O430" s="87" t="s">
        <v>6433</v>
      </c>
      <c r="P430" s="9" t="s">
        <v>6243</v>
      </c>
      <c r="Q430" s="87" t="s">
        <v>6305</v>
      </c>
      <c r="R430" s="87" t="s">
        <v>6405</v>
      </c>
      <c r="S430" s="87" t="s">
        <v>6428</v>
      </c>
      <c r="T430" s="87" t="s">
        <v>6497</v>
      </c>
    </row>
    <row r="431" spans="1:20" ht="15.75" customHeight="1">
      <c r="A431" s="9" t="s">
        <v>2983</v>
      </c>
      <c r="B431" s="9" t="s">
        <v>7596</v>
      </c>
      <c r="C431" s="9" t="s">
        <v>6923</v>
      </c>
      <c r="D431" s="87" t="s">
        <v>6264</v>
      </c>
      <c r="E431" s="9" t="s">
        <v>6924</v>
      </c>
      <c r="F431" s="9" t="s">
        <v>6925</v>
      </c>
      <c r="G431" s="9" t="s">
        <v>383</v>
      </c>
      <c r="H431" s="9" t="s">
        <v>449</v>
      </c>
      <c r="I431" s="87" t="s">
        <v>6405</v>
      </c>
      <c r="J431" s="87" t="s">
        <v>6405</v>
      </c>
      <c r="K431" s="87" t="s">
        <v>6926</v>
      </c>
      <c r="L431" s="87" t="s">
        <v>6306</v>
      </c>
      <c r="M431" s="87" t="s">
        <v>6530</v>
      </c>
      <c r="N431" s="9" t="s">
        <v>7598</v>
      </c>
      <c r="O431" s="87" t="s">
        <v>4953</v>
      </c>
      <c r="P431" s="9" t="s">
        <v>6243</v>
      </c>
      <c r="Q431" s="87" t="s">
        <v>6306</v>
      </c>
      <c r="R431" s="87" t="s">
        <v>6405</v>
      </c>
      <c r="S431" s="87" t="s">
        <v>6302</v>
      </c>
      <c r="T431" s="87" t="s">
        <v>6322</v>
      </c>
    </row>
    <row r="432" spans="1:20" ht="15.75" customHeight="1">
      <c r="A432" s="9" t="s">
        <v>2983</v>
      </c>
      <c r="B432" s="9" t="s">
        <v>7596</v>
      </c>
      <c r="C432" s="9" t="s">
        <v>7228</v>
      </c>
      <c r="D432" s="87" t="s">
        <v>6405</v>
      </c>
      <c r="E432" s="9" t="s">
        <v>6924</v>
      </c>
      <c r="F432" s="9" t="s">
        <v>11</v>
      </c>
      <c r="G432" s="9" t="s">
        <v>383</v>
      </c>
      <c r="H432" s="9" t="s">
        <v>426</v>
      </c>
      <c r="I432" s="87" t="s">
        <v>6405</v>
      </c>
      <c r="J432" s="87" t="s">
        <v>6405</v>
      </c>
      <c r="K432" s="87" t="s">
        <v>6405</v>
      </c>
      <c r="L432" s="87" t="s">
        <v>5381</v>
      </c>
      <c r="M432" s="87" t="s">
        <v>6537</v>
      </c>
      <c r="N432" s="9" t="s">
        <v>6966</v>
      </c>
      <c r="O432" s="87" t="s">
        <v>6348</v>
      </c>
      <c r="P432" s="9" t="s">
        <v>6243</v>
      </c>
      <c r="Q432" s="87" t="s">
        <v>5381</v>
      </c>
      <c r="R432" s="87" t="s">
        <v>6405</v>
      </c>
      <c r="S432" s="87" t="s">
        <v>6342</v>
      </c>
      <c r="T432" s="87" t="s">
        <v>6341</v>
      </c>
    </row>
    <row r="433" spans="1:20" ht="15.75" customHeight="1">
      <c r="A433" s="9" t="s">
        <v>2928</v>
      </c>
      <c r="B433" s="9" t="s">
        <v>7599</v>
      </c>
      <c r="C433" s="9" t="s">
        <v>6236</v>
      </c>
      <c r="D433" s="87" t="s">
        <v>6393</v>
      </c>
      <c r="E433" s="9" t="s">
        <v>431</v>
      </c>
      <c r="F433" s="9" t="s">
        <v>368</v>
      </c>
      <c r="G433" s="9" t="s">
        <v>436</v>
      </c>
      <c r="H433" s="9" t="s">
        <v>434</v>
      </c>
      <c r="I433" s="87" t="s">
        <v>6264</v>
      </c>
      <c r="J433" s="87" t="s">
        <v>6254</v>
      </c>
      <c r="K433" s="87" t="s">
        <v>6254</v>
      </c>
      <c r="L433" s="87" t="s">
        <v>6240</v>
      </c>
      <c r="M433" s="87" t="s">
        <v>6511</v>
      </c>
      <c r="N433" s="9" t="s">
        <v>7600</v>
      </c>
      <c r="O433" s="87" t="s">
        <v>6254</v>
      </c>
      <c r="P433" s="9" t="s">
        <v>6243</v>
      </c>
      <c r="Q433" s="87" t="s">
        <v>5968</v>
      </c>
      <c r="R433" s="87" t="s">
        <v>6254</v>
      </c>
      <c r="S433" s="87" t="s">
        <v>6413</v>
      </c>
      <c r="T433" s="87" t="s">
        <v>6316</v>
      </c>
    </row>
    <row r="434" spans="1:20" ht="15.75" customHeight="1">
      <c r="A434" s="9" t="s">
        <v>2928</v>
      </c>
      <c r="B434" s="9" t="s">
        <v>7601</v>
      </c>
      <c r="C434" s="9" t="s">
        <v>6671</v>
      </c>
      <c r="D434" s="87" t="s">
        <v>6296</v>
      </c>
      <c r="E434" s="9" t="s">
        <v>6672</v>
      </c>
      <c r="F434" s="9" t="s">
        <v>439</v>
      </c>
      <c r="G434" s="9" t="s">
        <v>436</v>
      </c>
      <c r="H434" s="9" t="s">
        <v>440</v>
      </c>
      <c r="I434" s="87" t="s">
        <v>6405</v>
      </c>
      <c r="J434" s="87" t="s">
        <v>4953</v>
      </c>
      <c r="K434" s="87" t="s">
        <v>4953</v>
      </c>
      <c r="L434" s="87" t="s">
        <v>6240</v>
      </c>
      <c r="M434" s="87" t="s">
        <v>6517</v>
      </c>
      <c r="N434" s="9" t="s">
        <v>7331</v>
      </c>
      <c r="O434" s="87" t="s">
        <v>4953</v>
      </c>
      <c r="P434" s="9" t="s">
        <v>6243</v>
      </c>
      <c r="Q434" s="87" t="s">
        <v>6306</v>
      </c>
      <c r="R434" s="87" t="s">
        <v>4953</v>
      </c>
      <c r="S434" s="87" t="s">
        <v>6400</v>
      </c>
      <c r="T434" s="87" t="s">
        <v>6357</v>
      </c>
    </row>
    <row r="435" spans="1:20" ht="15.75" customHeight="1">
      <c r="A435" s="9" t="s">
        <v>2928</v>
      </c>
      <c r="B435" s="9" t="s">
        <v>7602</v>
      </c>
      <c r="C435" s="9" t="s">
        <v>6923</v>
      </c>
      <c r="D435" s="87" t="s">
        <v>6327</v>
      </c>
      <c r="E435" s="9" t="s">
        <v>6924</v>
      </c>
      <c r="F435" s="9" t="s">
        <v>6925</v>
      </c>
      <c r="G435" s="9" t="s">
        <v>383</v>
      </c>
      <c r="H435" s="9" t="s">
        <v>444</v>
      </c>
      <c r="I435" s="87" t="s">
        <v>6405</v>
      </c>
      <c r="J435" s="87" t="s">
        <v>6405</v>
      </c>
      <c r="K435" s="87" t="s">
        <v>6926</v>
      </c>
      <c r="L435" s="87" t="s">
        <v>5968</v>
      </c>
      <c r="M435" s="87" t="s">
        <v>6530</v>
      </c>
      <c r="N435" s="9" t="s">
        <v>7603</v>
      </c>
      <c r="O435" s="87" t="s">
        <v>6254</v>
      </c>
      <c r="P435" s="9" t="s">
        <v>6243</v>
      </c>
      <c r="Q435" s="87" t="s">
        <v>5968</v>
      </c>
      <c r="R435" s="87" t="s">
        <v>6405</v>
      </c>
      <c r="S435" s="87" t="s">
        <v>6528</v>
      </c>
      <c r="T435" s="87" t="s">
        <v>6250</v>
      </c>
    </row>
    <row r="436" spans="1:20" ht="15.75" customHeight="1">
      <c r="A436" s="9" t="s">
        <v>2928</v>
      </c>
      <c r="B436" s="9" t="s">
        <v>7602</v>
      </c>
      <c r="C436" s="9" t="s">
        <v>7228</v>
      </c>
      <c r="D436" s="87" t="s">
        <v>6290</v>
      </c>
      <c r="E436" s="9" t="s">
        <v>6924</v>
      </c>
      <c r="F436" s="9" t="s">
        <v>11</v>
      </c>
      <c r="G436" s="9" t="s">
        <v>383</v>
      </c>
      <c r="H436" s="9" t="s">
        <v>426</v>
      </c>
      <c r="I436" s="87" t="s">
        <v>6405</v>
      </c>
      <c r="J436" s="87" t="s">
        <v>6405</v>
      </c>
      <c r="K436" s="87" t="s">
        <v>6405</v>
      </c>
      <c r="L436" s="87" t="s">
        <v>6306</v>
      </c>
      <c r="M436" s="87" t="s">
        <v>6537</v>
      </c>
      <c r="N436" s="9" t="s">
        <v>7604</v>
      </c>
      <c r="O436" s="87" t="s">
        <v>4953</v>
      </c>
      <c r="P436" s="9" t="s">
        <v>6243</v>
      </c>
      <c r="Q436" s="87" t="s">
        <v>6306</v>
      </c>
      <c r="R436" s="87" t="s">
        <v>6405</v>
      </c>
      <c r="S436" s="87" t="s">
        <v>6428</v>
      </c>
      <c r="T436" s="87" t="s">
        <v>6651</v>
      </c>
    </row>
    <row r="437" spans="1:20" ht="15.75" customHeight="1">
      <c r="A437" s="9" t="s">
        <v>3010</v>
      </c>
      <c r="B437" s="9" t="s">
        <v>7605</v>
      </c>
      <c r="C437" s="9" t="s">
        <v>6236</v>
      </c>
      <c r="D437" s="87" t="s">
        <v>6393</v>
      </c>
      <c r="E437" s="9" t="s">
        <v>431</v>
      </c>
      <c r="F437" s="9" t="s">
        <v>368</v>
      </c>
      <c r="G437" s="9" t="s">
        <v>436</v>
      </c>
      <c r="H437" s="9" t="s">
        <v>434</v>
      </c>
      <c r="I437" s="87" t="s">
        <v>6237</v>
      </c>
      <c r="J437" s="87" t="s">
        <v>6299</v>
      </c>
      <c r="K437" s="87" t="s">
        <v>6299</v>
      </c>
      <c r="L437" s="87" t="s">
        <v>6240</v>
      </c>
      <c r="M437" s="87" t="s">
        <v>6540</v>
      </c>
      <c r="N437" s="9" t="s">
        <v>7606</v>
      </c>
      <c r="O437" s="87" t="s">
        <v>6299</v>
      </c>
      <c r="P437" s="9" t="s">
        <v>6243</v>
      </c>
      <c r="Q437" s="87" t="s">
        <v>3231</v>
      </c>
      <c r="R437" s="87" t="s">
        <v>6299</v>
      </c>
      <c r="S437" s="87" t="s">
        <v>6260</v>
      </c>
      <c r="T437" s="87" t="s">
        <v>6367</v>
      </c>
    </row>
    <row r="438" spans="1:20" ht="15.75" customHeight="1">
      <c r="A438" s="9" t="s">
        <v>3010</v>
      </c>
      <c r="B438" s="9" t="s">
        <v>7607</v>
      </c>
      <c r="C438" s="9" t="s">
        <v>6923</v>
      </c>
      <c r="D438" s="87" t="s">
        <v>6461</v>
      </c>
      <c r="E438" s="9" t="s">
        <v>6924</v>
      </c>
      <c r="F438" s="9" t="s">
        <v>6925</v>
      </c>
      <c r="G438" s="9" t="s">
        <v>383</v>
      </c>
      <c r="H438" s="9" t="s">
        <v>427</v>
      </c>
      <c r="I438" s="87" t="s">
        <v>6405</v>
      </c>
      <c r="J438" s="87" t="s">
        <v>6334</v>
      </c>
      <c r="K438" s="87" t="s">
        <v>6926</v>
      </c>
      <c r="L438" s="87" t="s">
        <v>6464</v>
      </c>
      <c r="M438" s="87" t="s">
        <v>6563</v>
      </c>
      <c r="N438" s="9" t="s">
        <v>7608</v>
      </c>
      <c r="O438" s="87" t="s">
        <v>6302</v>
      </c>
      <c r="P438" s="9" t="s">
        <v>6243</v>
      </c>
      <c r="Q438" s="87" t="s">
        <v>6464</v>
      </c>
      <c r="R438" s="87" t="s">
        <v>6334</v>
      </c>
      <c r="S438" s="87" t="s">
        <v>6334</v>
      </c>
      <c r="T438" s="87" t="s">
        <v>6273</v>
      </c>
    </row>
    <row r="439" spans="1:20" ht="15.75" customHeight="1">
      <c r="A439" s="9" t="s">
        <v>3010</v>
      </c>
      <c r="B439" s="9" t="s">
        <v>7607</v>
      </c>
      <c r="C439" s="9" t="s">
        <v>7228</v>
      </c>
      <c r="D439" s="87" t="s">
        <v>6237</v>
      </c>
      <c r="E439" s="9" t="s">
        <v>6924</v>
      </c>
      <c r="F439" s="9" t="s">
        <v>11</v>
      </c>
      <c r="G439" s="9" t="s">
        <v>383</v>
      </c>
      <c r="H439" s="9" t="s">
        <v>426</v>
      </c>
      <c r="I439" s="87" t="s">
        <v>6405</v>
      </c>
      <c r="J439" s="87" t="s">
        <v>6405</v>
      </c>
      <c r="K439" s="87" t="s">
        <v>6405</v>
      </c>
      <c r="L439" s="87" t="s">
        <v>6474</v>
      </c>
      <c r="M439" s="87" t="s">
        <v>6566</v>
      </c>
      <c r="N439" s="9" t="s">
        <v>7609</v>
      </c>
      <c r="O439" s="87" t="s">
        <v>6528</v>
      </c>
      <c r="P439" s="9" t="s">
        <v>6243</v>
      </c>
      <c r="Q439" s="87" t="s">
        <v>6474</v>
      </c>
      <c r="R439" s="87" t="s">
        <v>6405</v>
      </c>
      <c r="S439" s="87" t="s">
        <v>6445</v>
      </c>
      <c r="T439" s="87" t="s">
        <v>6416</v>
      </c>
    </row>
    <row r="440" spans="1:20" ht="15.75" customHeight="1">
      <c r="A440" s="9" t="s">
        <v>3010</v>
      </c>
      <c r="B440" s="9" t="s">
        <v>7610</v>
      </c>
      <c r="C440" s="9" t="s">
        <v>6923</v>
      </c>
      <c r="D440" s="87" t="s">
        <v>6461</v>
      </c>
      <c r="E440" s="9" t="s">
        <v>6924</v>
      </c>
      <c r="F440" s="9" t="s">
        <v>6925</v>
      </c>
      <c r="G440" s="9" t="s">
        <v>383</v>
      </c>
      <c r="H440" s="9" t="s">
        <v>427</v>
      </c>
      <c r="I440" s="87" t="s">
        <v>6405</v>
      </c>
      <c r="J440" s="87" t="s">
        <v>6334</v>
      </c>
      <c r="K440" s="87" t="s">
        <v>6926</v>
      </c>
      <c r="L440" s="87" t="s">
        <v>6464</v>
      </c>
      <c r="M440" s="87" t="s">
        <v>6566</v>
      </c>
      <c r="N440" s="9" t="s">
        <v>6946</v>
      </c>
      <c r="O440" s="87" t="s">
        <v>6302</v>
      </c>
      <c r="P440" s="9" t="s">
        <v>6243</v>
      </c>
      <c r="Q440" s="87" t="s">
        <v>6464</v>
      </c>
      <c r="R440" s="87" t="s">
        <v>6334</v>
      </c>
      <c r="S440" s="87" t="s">
        <v>6409</v>
      </c>
      <c r="T440" s="87" t="s">
        <v>6341</v>
      </c>
    </row>
    <row r="441" spans="1:20" ht="15.75" customHeight="1">
      <c r="A441" s="9" t="s">
        <v>3010</v>
      </c>
      <c r="B441" s="9" t="s">
        <v>7610</v>
      </c>
      <c r="C441" s="9" t="s">
        <v>7228</v>
      </c>
      <c r="D441" s="87" t="s">
        <v>6237</v>
      </c>
      <c r="E441" s="9" t="s">
        <v>6924</v>
      </c>
      <c r="F441" s="9" t="s">
        <v>11</v>
      </c>
      <c r="G441" s="9" t="s">
        <v>383</v>
      </c>
      <c r="H441" s="9" t="s">
        <v>426</v>
      </c>
      <c r="I441" s="87" t="s">
        <v>6405</v>
      </c>
      <c r="J441" s="87" t="s">
        <v>6405</v>
      </c>
      <c r="K441" s="87" t="s">
        <v>6405</v>
      </c>
      <c r="L441" s="87" t="s">
        <v>6474</v>
      </c>
      <c r="M441" s="87" t="s">
        <v>6568</v>
      </c>
      <c r="N441" s="9" t="s">
        <v>7194</v>
      </c>
      <c r="O441" s="87" t="s">
        <v>6528</v>
      </c>
      <c r="P441" s="9" t="s">
        <v>6547</v>
      </c>
      <c r="Q441" s="87" t="s">
        <v>6474</v>
      </c>
      <c r="R441" s="87" t="s">
        <v>6405</v>
      </c>
      <c r="S441" s="87" t="s">
        <v>6357</v>
      </c>
      <c r="T441" s="87" t="s">
        <v>6341</v>
      </c>
    </row>
    <row r="442" spans="1:20" ht="15.75" customHeight="1">
      <c r="A442" s="9" t="s">
        <v>2973</v>
      </c>
      <c r="B442" s="9" t="s">
        <v>7611</v>
      </c>
      <c r="C442" s="9" t="s">
        <v>6236</v>
      </c>
      <c r="D442" s="87" t="s">
        <v>6393</v>
      </c>
      <c r="E442" s="9" t="s">
        <v>431</v>
      </c>
      <c r="F442" s="9" t="s">
        <v>368</v>
      </c>
      <c r="G442" s="9" t="s">
        <v>436</v>
      </c>
      <c r="H442" s="9" t="s">
        <v>434</v>
      </c>
      <c r="I442" s="87" t="s">
        <v>6237</v>
      </c>
      <c r="J442" s="87" t="s">
        <v>6306</v>
      </c>
      <c r="K442" s="87" t="s">
        <v>6387</v>
      </c>
      <c r="L442" s="87" t="s">
        <v>6240</v>
      </c>
      <c r="M442" s="87" t="s">
        <v>6538</v>
      </c>
      <c r="N442" s="9" t="s">
        <v>7546</v>
      </c>
      <c r="O442" s="87" t="s">
        <v>6387</v>
      </c>
      <c r="P442" s="9" t="s">
        <v>6243</v>
      </c>
      <c r="Q442" s="87" t="s">
        <v>6248</v>
      </c>
      <c r="R442" s="87" t="s">
        <v>6306</v>
      </c>
      <c r="S442" s="87" t="s">
        <v>6327</v>
      </c>
      <c r="T442" s="87" t="s">
        <v>6260</v>
      </c>
    </row>
    <row r="443" spans="1:20" ht="15.75" customHeight="1">
      <c r="A443" s="9" t="s">
        <v>2973</v>
      </c>
      <c r="B443" s="9" t="s">
        <v>7611</v>
      </c>
      <c r="C443" s="9" t="s">
        <v>6236</v>
      </c>
      <c r="D443" s="87" t="s">
        <v>6393</v>
      </c>
      <c r="E443" s="9" t="s">
        <v>431</v>
      </c>
      <c r="F443" s="9" t="s">
        <v>368</v>
      </c>
      <c r="G443" s="9" t="s">
        <v>436</v>
      </c>
      <c r="H443" s="9" t="s">
        <v>434</v>
      </c>
      <c r="I443" s="87" t="s">
        <v>6237</v>
      </c>
      <c r="J443" s="87" t="s">
        <v>6306</v>
      </c>
      <c r="K443" s="87" t="s">
        <v>6401</v>
      </c>
      <c r="L443" s="87" t="s">
        <v>6240</v>
      </c>
      <c r="M443" s="87" t="s">
        <v>6539</v>
      </c>
      <c r="N443" s="9" t="s">
        <v>7612</v>
      </c>
      <c r="O443" s="87" t="s">
        <v>6401</v>
      </c>
      <c r="P443" s="9" t="s">
        <v>6243</v>
      </c>
      <c r="Q443" s="87" t="s">
        <v>6403</v>
      </c>
      <c r="R443" s="87" t="s">
        <v>6306</v>
      </c>
      <c r="S443" s="87" t="s">
        <v>6484</v>
      </c>
      <c r="T443" s="87" t="s">
        <v>6645</v>
      </c>
    </row>
    <row r="444" spans="1:20" ht="15.75" customHeight="1">
      <c r="A444" s="9" t="s">
        <v>2973</v>
      </c>
      <c r="B444" s="9" t="s">
        <v>7613</v>
      </c>
      <c r="C444" s="9" t="s">
        <v>6671</v>
      </c>
      <c r="D444" s="87" t="s">
        <v>6296</v>
      </c>
      <c r="E444" s="9" t="s">
        <v>6672</v>
      </c>
      <c r="F444" s="9" t="s">
        <v>439</v>
      </c>
      <c r="G444" s="9" t="s">
        <v>436</v>
      </c>
      <c r="H444" s="9" t="s">
        <v>440</v>
      </c>
      <c r="I444" s="87" t="s">
        <v>6405</v>
      </c>
      <c r="J444" s="87" t="s">
        <v>6267</v>
      </c>
      <c r="K444" s="87" t="s">
        <v>6267</v>
      </c>
      <c r="L444" s="87" t="s">
        <v>6240</v>
      </c>
      <c r="M444" s="87" t="s">
        <v>6540</v>
      </c>
      <c r="N444" s="9" t="s">
        <v>7128</v>
      </c>
      <c r="O444" s="87" t="s">
        <v>6267</v>
      </c>
      <c r="P444" s="9" t="s">
        <v>6243</v>
      </c>
      <c r="Q444" s="87" t="s">
        <v>6506</v>
      </c>
      <c r="R444" s="87" t="s">
        <v>6267</v>
      </c>
      <c r="S444" s="87" t="s">
        <v>6313</v>
      </c>
      <c r="T444" s="87" t="s">
        <v>6645</v>
      </c>
    </row>
    <row r="445" spans="1:20" ht="15.75" customHeight="1">
      <c r="A445" s="9" t="s">
        <v>2973</v>
      </c>
      <c r="B445" s="9" t="s">
        <v>7614</v>
      </c>
      <c r="C445" s="9" t="s">
        <v>6923</v>
      </c>
      <c r="D445" s="87" t="s">
        <v>6264</v>
      </c>
      <c r="E445" s="9" t="s">
        <v>6924</v>
      </c>
      <c r="F445" s="9" t="s">
        <v>6925</v>
      </c>
      <c r="G445" s="9" t="s">
        <v>383</v>
      </c>
      <c r="H445" s="9" t="s">
        <v>449</v>
      </c>
      <c r="I445" s="87" t="s">
        <v>6405</v>
      </c>
      <c r="J445" s="87" t="s">
        <v>6405</v>
      </c>
      <c r="K445" s="87" t="s">
        <v>6926</v>
      </c>
      <c r="L445" s="87" t="s">
        <v>6573</v>
      </c>
      <c r="M445" s="87" t="s">
        <v>6556</v>
      </c>
      <c r="N445" s="9" t="s">
        <v>7615</v>
      </c>
      <c r="O445" s="87" t="s">
        <v>6570</v>
      </c>
      <c r="P445" s="9" t="s">
        <v>6243</v>
      </c>
      <c r="Q445" s="87" t="s">
        <v>6573</v>
      </c>
      <c r="R445" s="87" t="s">
        <v>6405</v>
      </c>
      <c r="S445" s="87" t="s">
        <v>6260</v>
      </c>
      <c r="T445" s="87" t="s">
        <v>6357</v>
      </c>
    </row>
    <row r="446" spans="1:20" ht="15.75" customHeight="1">
      <c r="A446" s="9" t="s">
        <v>2973</v>
      </c>
      <c r="B446" s="9" t="s">
        <v>7614</v>
      </c>
      <c r="C446" s="9" t="s">
        <v>7228</v>
      </c>
      <c r="D446" s="87" t="s">
        <v>6405</v>
      </c>
      <c r="E446" s="9" t="s">
        <v>6924</v>
      </c>
      <c r="F446" s="9" t="s">
        <v>11</v>
      </c>
      <c r="G446" s="9" t="s">
        <v>383</v>
      </c>
      <c r="H446" s="9" t="s">
        <v>426</v>
      </c>
      <c r="I446" s="87" t="s">
        <v>6405</v>
      </c>
      <c r="J446" s="87" t="s">
        <v>6405</v>
      </c>
      <c r="K446" s="87" t="s">
        <v>6405</v>
      </c>
      <c r="L446" s="87" t="s">
        <v>6392</v>
      </c>
      <c r="M446" s="87" t="s">
        <v>6557</v>
      </c>
      <c r="N446" s="9" t="s">
        <v>7616</v>
      </c>
      <c r="O446" s="87" t="s">
        <v>6327</v>
      </c>
      <c r="P446" s="9" t="s">
        <v>6243</v>
      </c>
      <c r="Q446" s="87" t="s">
        <v>6392</v>
      </c>
      <c r="R446" s="87" t="s">
        <v>6405</v>
      </c>
      <c r="S446" s="87" t="s">
        <v>6619</v>
      </c>
      <c r="T446" s="87" t="s">
        <v>6416</v>
      </c>
    </row>
    <row r="447" spans="1:20" ht="15.75" customHeight="1">
      <c r="A447" s="9" t="s">
        <v>2918</v>
      </c>
      <c r="B447" s="9" t="s">
        <v>7617</v>
      </c>
      <c r="C447" s="9" t="s">
        <v>6236</v>
      </c>
      <c r="D447" s="87" t="s">
        <v>6393</v>
      </c>
      <c r="E447" s="9" t="s">
        <v>431</v>
      </c>
      <c r="F447" s="9" t="s">
        <v>368</v>
      </c>
      <c r="G447" s="9" t="s">
        <v>436</v>
      </c>
      <c r="H447" s="9" t="s">
        <v>434</v>
      </c>
      <c r="I447" s="87" t="s">
        <v>6237</v>
      </c>
      <c r="J447" s="87" t="s">
        <v>6245</v>
      </c>
      <c r="K447" s="87" t="s">
        <v>6245</v>
      </c>
      <c r="L447" s="87" t="s">
        <v>6240</v>
      </c>
      <c r="M447" s="87" t="s">
        <v>6517</v>
      </c>
      <c r="N447" s="9" t="s">
        <v>7618</v>
      </c>
      <c r="O447" s="87" t="s">
        <v>6245</v>
      </c>
      <c r="P447" s="9" t="s">
        <v>6243</v>
      </c>
      <c r="Q447" s="87" t="s">
        <v>6238</v>
      </c>
      <c r="R447" s="87" t="s">
        <v>6245</v>
      </c>
      <c r="S447" s="87" t="s">
        <v>6409</v>
      </c>
      <c r="T447" s="87" t="s">
        <v>6277</v>
      </c>
    </row>
    <row r="448" spans="1:20" ht="15.75" customHeight="1">
      <c r="A448" s="9" t="s">
        <v>2918</v>
      </c>
      <c r="B448" s="9" t="s">
        <v>7619</v>
      </c>
      <c r="C448" s="9" t="s">
        <v>6923</v>
      </c>
      <c r="D448" s="87" t="s">
        <v>6461</v>
      </c>
      <c r="E448" s="9" t="s">
        <v>6924</v>
      </c>
      <c r="F448" s="9" t="s">
        <v>6925</v>
      </c>
      <c r="G448" s="9" t="s">
        <v>383</v>
      </c>
      <c r="H448" s="9" t="s">
        <v>427</v>
      </c>
      <c r="I448" s="87" t="s">
        <v>6405</v>
      </c>
      <c r="J448" s="87" t="s">
        <v>6334</v>
      </c>
      <c r="K448" s="87" t="s">
        <v>6939</v>
      </c>
      <c r="L448" s="87" t="s">
        <v>4014</v>
      </c>
      <c r="M448" s="87" t="s">
        <v>6539</v>
      </c>
      <c r="N448" s="9" t="s">
        <v>7034</v>
      </c>
      <c r="O448" s="87" t="s">
        <v>6239</v>
      </c>
      <c r="P448" s="9" t="s">
        <v>6243</v>
      </c>
      <c r="Q448" s="87" t="s">
        <v>3764</v>
      </c>
      <c r="R448" s="87" t="s">
        <v>6334</v>
      </c>
      <c r="S448" s="87" t="s">
        <v>7035</v>
      </c>
      <c r="T448" s="87" t="s">
        <v>6341</v>
      </c>
    </row>
    <row r="449" spans="1:20" ht="15.75" customHeight="1">
      <c r="A449" s="9" t="s">
        <v>2918</v>
      </c>
      <c r="B449" s="9" t="s">
        <v>7619</v>
      </c>
      <c r="C449" s="9" t="s">
        <v>7228</v>
      </c>
      <c r="D449" s="87" t="s">
        <v>6237</v>
      </c>
      <c r="E449" s="9" t="s">
        <v>6924</v>
      </c>
      <c r="F449" s="9" t="s">
        <v>11</v>
      </c>
      <c r="G449" s="9" t="s">
        <v>383</v>
      </c>
      <c r="H449" s="9" t="s">
        <v>426</v>
      </c>
      <c r="I449" s="87" t="s">
        <v>6405</v>
      </c>
      <c r="J449" s="87" t="s">
        <v>6334</v>
      </c>
      <c r="K449" s="87" t="s">
        <v>6334</v>
      </c>
      <c r="L449" s="87" t="s">
        <v>6287</v>
      </c>
      <c r="M449" s="87" t="s">
        <v>6540</v>
      </c>
      <c r="N449" s="9" t="s">
        <v>6979</v>
      </c>
      <c r="O449" s="87" t="s">
        <v>6498</v>
      </c>
      <c r="P449" s="9" t="s">
        <v>6243</v>
      </c>
      <c r="Q449" s="87" t="s">
        <v>4019</v>
      </c>
      <c r="R449" s="87" t="s">
        <v>6334</v>
      </c>
      <c r="S449" s="87" t="s">
        <v>6392</v>
      </c>
      <c r="T449" s="87" t="s">
        <v>6341</v>
      </c>
    </row>
    <row r="450" spans="1:20" ht="15.75" customHeight="1">
      <c r="A450" s="9" t="s">
        <v>2900</v>
      </c>
      <c r="B450" s="9" t="s">
        <v>7620</v>
      </c>
      <c r="C450" s="9" t="s">
        <v>6236</v>
      </c>
      <c r="D450" s="87" t="s">
        <v>6393</v>
      </c>
      <c r="E450" s="9" t="s">
        <v>431</v>
      </c>
      <c r="F450" s="9" t="s">
        <v>368</v>
      </c>
      <c r="G450" s="9" t="s">
        <v>436</v>
      </c>
      <c r="H450" s="9" t="s">
        <v>434</v>
      </c>
      <c r="I450" s="87" t="s">
        <v>6237</v>
      </c>
      <c r="J450" s="87" t="s">
        <v>6305</v>
      </c>
      <c r="K450" s="87" t="s">
        <v>6498</v>
      </c>
      <c r="L450" s="87" t="s">
        <v>6240</v>
      </c>
      <c r="M450" s="87" t="s">
        <v>6540</v>
      </c>
      <c r="N450" s="9" t="s">
        <v>7155</v>
      </c>
      <c r="O450" s="87" t="s">
        <v>6498</v>
      </c>
      <c r="P450" s="9" t="s">
        <v>6243</v>
      </c>
      <c r="Q450" s="87" t="s">
        <v>4019</v>
      </c>
      <c r="R450" s="87" t="s">
        <v>6305</v>
      </c>
      <c r="S450" s="87" t="s">
        <v>6327</v>
      </c>
      <c r="T450" s="87" t="s">
        <v>6376</v>
      </c>
    </row>
    <row r="451" spans="1:20" ht="15.75" customHeight="1">
      <c r="A451" s="9" t="s">
        <v>2900</v>
      </c>
      <c r="B451" s="9" t="s">
        <v>7620</v>
      </c>
      <c r="C451" s="9" t="s">
        <v>6236</v>
      </c>
      <c r="D451" s="87" t="s">
        <v>6393</v>
      </c>
      <c r="E451" s="9" t="s">
        <v>431</v>
      </c>
      <c r="F451" s="9" t="s">
        <v>368</v>
      </c>
      <c r="G451" s="9" t="s">
        <v>436</v>
      </c>
      <c r="H451" s="9" t="s">
        <v>434</v>
      </c>
      <c r="I451" s="87" t="s">
        <v>6237</v>
      </c>
      <c r="J451" s="87" t="s">
        <v>6305</v>
      </c>
      <c r="K451" s="87" t="s">
        <v>6619</v>
      </c>
      <c r="L451" s="87" t="s">
        <v>6240</v>
      </c>
      <c r="M451" s="87" t="s">
        <v>6556</v>
      </c>
      <c r="N451" s="9" t="s">
        <v>6942</v>
      </c>
      <c r="O451" s="87" t="s">
        <v>6619</v>
      </c>
      <c r="P451" s="9" t="s">
        <v>6243</v>
      </c>
      <c r="Q451" s="87" t="s">
        <v>6852</v>
      </c>
      <c r="R451" s="87" t="s">
        <v>6305</v>
      </c>
      <c r="S451" s="87" t="s">
        <v>6323</v>
      </c>
      <c r="T451" s="87" t="s">
        <v>6645</v>
      </c>
    </row>
    <row r="452" spans="1:20" ht="15.75" customHeight="1">
      <c r="A452" s="9" t="s">
        <v>2900</v>
      </c>
      <c r="B452" s="9" t="s">
        <v>7621</v>
      </c>
      <c r="C452" s="9" t="s">
        <v>6671</v>
      </c>
      <c r="D452" s="87" t="s">
        <v>6296</v>
      </c>
      <c r="E452" s="9" t="s">
        <v>6672</v>
      </c>
      <c r="F452" s="9" t="s">
        <v>439</v>
      </c>
      <c r="G452" s="9" t="s">
        <v>436</v>
      </c>
      <c r="H452" s="9" t="s">
        <v>440</v>
      </c>
      <c r="I452" s="87" t="s">
        <v>6405</v>
      </c>
      <c r="J452" s="87" t="s">
        <v>6479</v>
      </c>
      <c r="K452" s="87" t="s">
        <v>6479</v>
      </c>
      <c r="L452" s="87" t="s">
        <v>6240</v>
      </c>
      <c r="M452" s="87" t="s">
        <v>6557</v>
      </c>
      <c r="N452" s="9" t="s">
        <v>7134</v>
      </c>
      <c r="O452" s="87" t="s">
        <v>6479</v>
      </c>
      <c r="P452" s="9" t="s">
        <v>6243</v>
      </c>
      <c r="Q452" s="87" t="s">
        <v>5417</v>
      </c>
      <c r="R452" s="87" t="s">
        <v>6479</v>
      </c>
      <c r="S452" s="87" t="s">
        <v>6433</v>
      </c>
      <c r="T452" s="87" t="s">
        <v>6645</v>
      </c>
    </row>
    <row r="453" spans="1:20" ht="15.75" customHeight="1">
      <c r="A453" s="9" t="s">
        <v>2900</v>
      </c>
      <c r="B453" s="9" t="s">
        <v>7622</v>
      </c>
      <c r="C453" s="9" t="s">
        <v>6923</v>
      </c>
      <c r="D453" s="87" t="s">
        <v>6461</v>
      </c>
      <c r="E453" s="9" t="s">
        <v>6924</v>
      </c>
      <c r="F453" s="9" t="s">
        <v>6925</v>
      </c>
      <c r="G453" s="9" t="s">
        <v>383</v>
      </c>
      <c r="H453" s="9" t="s">
        <v>427</v>
      </c>
      <c r="I453" s="87" t="s">
        <v>6405</v>
      </c>
      <c r="J453" s="87" t="s">
        <v>6461</v>
      </c>
      <c r="K453" s="87" t="s">
        <v>6926</v>
      </c>
      <c r="L453" s="87" t="s">
        <v>5374</v>
      </c>
      <c r="M453" s="87" t="s">
        <v>6566</v>
      </c>
      <c r="N453" s="9" t="s">
        <v>7623</v>
      </c>
      <c r="O453" s="87" t="s">
        <v>6323</v>
      </c>
      <c r="P453" s="9" t="s">
        <v>6243</v>
      </c>
      <c r="Q453" s="87" t="s">
        <v>5374</v>
      </c>
      <c r="R453" s="87" t="s">
        <v>6461</v>
      </c>
      <c r="S453" s="87" t="s">
        <v>4953</v>
      </c>
      <c r="T453" s="87" t="s">
        <v>6361</v>
      </c>
    </row>
    <row r="454" spans="1:20" ht="15.75" customHeight="1">
      <c r="A454" s="9" t="s">
        <v>2900</v>
      </c>
      <c r="B454" s="9" t="s">
        <v>7622</v>
      </c>
      <c r="C454" s="9" t="s">
        <v>7228</v>
      </c>
      <c r="D454" s="87" t="s">
        <v>6237</v>
      </c>
      <c r="E454" s="9" t="s">
        <v>6924</v>
      </c>
      <c r="F454" s="9" t="s">
        <v>11</v>
      </c>
      <c r="G454" s="9" t="s">
        <v>383</v>
      </c>
      <c r="H454" s="9" t="s">
        <v>426</v>
      </c>
      <c r="I454" s="87" t="s">
        <v>6405</v>
      </c>
      <c r="J454" s="87" t="s">
        <v>6405</v>
      </c>
      <c r="K454" s="87" t="s">
        <v>6405</v>
      </c>
      <c r="L454" s="87" t="s">
        <v>6397</v>
      </c>
      <c r="M454" s="87" t="s">
        <v>6568</v>
      </c>
      <c r="N454" s="9" t="s">
        <v>7289</v>
      </c>
      <c r="O454" s="87" t="s">
        <v>6240</v>
      </c>
      <c r="P454" s="9" t="s">
        <v>6243</v>
      </c>
      <c r="Q454" s="87" t="s">
        <v>6397</v>
      </c>
      <c r="R454" s="87" t="s">
        <v>6405</v>
      </c>
      <c r="S454" s="87" t="s">
        <v>6284</v>
      </c>
      <c r="T454" s="87" t="s">
        <v>6341</v>
      </c>
    </row>
    <row r="455" spans="1:20" ht="15.75" customHeight="1">
      <c r="A455" s="9" t="s">
        <v>2900</v>
      </c>
      <c r="B455" s="9" t="s">
        <v>7624</v>
      </c>
      <c r="C455" s="9" t="s">
        <v>6923</v>
      </c>
      <c r="D455" s="87" t="s">
        <v>6461</v>
      </c>
      <c r="E455" s="9" t="s">
        <v>6924</v>
      </c>
      <c r="F455" s="9" t="s">
        <v>6925</v>
      </c>
      <c r="G455" s="9" t="s">
        <v>383</v>
      </c>
      <c r="H455" s="9" t="s">
        <v>427</v>
      </c>
      <c r="I455" s="87" t="s">
        <v>6405</v>
      </c>
      <c r="J455" s="87" t="s">
        <v>6461</v>
      </c>
      <c r="K455" s="87" t="s">
        <v>6939</v>
      </c>
      <c r="L455" s="87" t="s">
        <v>5374</v>
      </c>
      <c r="M455" s="87" t="s">
        <v>6568</v>
      </c>
      <c r="N455" s="9" t="s">
        <v>6940</v>
      </c>
      <c r="O455" s="87" t="s">
        <v>6333</v>
      </c>
      <c r="P455" s="9" t="s">
        <v>6243</v>
      </c>
      <c r="Q455" s="87" t="s">
        <v>6575</v>
      </c>
      <c r="R455" s="87" t="s">
        <v>6461</v>
      </c>
      <c r="S455" s="87" t="s">
        <v>6570</v>
      </c>
      <c r="T455" s="87" t="s">
        <v>6341</v>
      </c>
    </row>
    <row r="456" spans="1:20" ht="15.75" customHeight="1">
      <c r="A456" s="9" t="s">
        <v>2900</v>
      </c>
      <c r="B456" s="9" t="s">
        <v>7624</v>
      </c>
      <c r="C456" s="9" t="s">
        <v>7228</v>
      </c>
      <c r="D456" s="87" t="s">
        <v>6237</v>
      </c>
      <c r="E456" s="9" t="s">
        <v>6924</v>
      </c>
      <c r="F456" s="9" t="s">
        <v>11</v>
      </c>
      <c r="G456" s="9" t="s">
        <v>383</v>
      </c>
      <c r="H456" s="9" t="s">
        <v>426</v>
      </c>
      <c r="I456" s="87" t="s">
        <v>6405</v>
      </c>
      <c r="J456" s="87" t="s">
        <v>6334</v>
      </c>
      <c r="K456" s="87" t="s">
        <v>6334</v>
      </c>
      <c r="L456" s="87" t="s">
        <v>6397</v>
      </c>
      <c r="M456" s="87" t="s">
        <v>6581</v>
      </c>
      <c r="N456" s="9" t="s">
        <v>7268</v>
      </c>
      <c r="O456" s="87" t="s">
        <v>6290</v>
      </c>
      <c r="P456" s="9" t="s">
        <v>6243</v>
      </c>
      <c r="Q456" s="87" t="s">
        <v>6293</v>
      </c>
      <c r="R456" s="87" t="s">
        <v>6334</v>
      </c>
      <c r="S456" s="87" t="s">
        <v>6479</v>
      </c>
      <c r="T456" s="87" t="s">
        <v>6341</v>
      </c>
    </row>
    <row r="457" spans="1:20" ht="15.75" customHeight="1">
      <c r="A457" s="9" t="s">
        <v>2900</v>
      </c>
      <c r="B457" s="9" t="s">
        <v>7625</v>
      </c>
      <c r="C457" s="9" t="s">
        <v>6923</v>
      </c>
      <c r="D457" s="87" t="s">
        <v>6461</v>
      </c>
      <c r="E457" s="9" t="s">
        <v>6924</v>
      </c>
      <c r="F457" s="9" t="s">
        <v>6925</v>
      </c>
      <c r="G457" s="9" t="s">
        <v>383</v>
      </c>
      <c r="H457" s="9" t="s">
        <v>427</v>
      </c>
      <c r="I457" s="87" t="s">
        <v>6405</v>
      </c>
      <c r="J457" s="87" t="s">
        <v>6461</v>
      </c>
      <c r="K457" s="87" t="s">
        <v>6939</v>
      </c>
      <c r="L457" s="87" t="s">
        <v>5374</v>
      </c>
      <c r="M457" s="87" t="s">
        <v>6581</v>
      </c>
      <c r="N457" s="9" t="s">
        <v>6940</v>
      </c>
      <c r="O457" s="87" t="s">
        <v>6333</v>
      </c>
      <c r="P457" s="9" t="s">
        <v>6243</v>
      </c>
      <c r="Q457" s="87" t="s">
        <v>6575</v>
      </c>
      <c r="R457" s="87" t="s">
        <v>6461</v>
      </c>
      <c r="S457" s="87" t="s">
        <v>6570</v>
      </c>
      <c r="T457" s="87" t="s">
        <v>6341</v>
      </c>
    </row>
    <row r="458" spans="1:20" ht="15.75" customHeight="1">
      <c r="A458" s="9" t="s">
        <v>2900</v>
      </c>
      <c r="B458" s="9" t="s">
        <v>7625</v>
      </c>
      <c r="C458" s="9" t="s">
        <v>7228</v>
      </c>
      <c r="D458" s="87" t="s">
        <v>6237</v>
      </c>
      <c r="E458" s="9" t="s">
        <v>6924</v>
      </c>
      <c r="F458" s="9" t="s">
        <v>11</v>
      </c>
      <c r="G458" s="9" t="s">
        <v>383</v>
      </c>
      <c r="H458" s="9" t="s">
        <v>426</v>
      </c>
      <c r="I458" s="87" t="s">
        <v>6405</v>
      </c>
      <c r="J458" s="87" t="s">
        <v>6334</v>
      </c>
      <c r="K458" s="87" t="s">
        <v>6334</v>
      </c>
      <c r="L458" s="87" t="s">
        <v>6397</v>
      </c>
      <c r="M458" s="87" t="s">
        <v>6582</v>
      </c>
      <c r="N458" s="9" t="s">
        <v>7268</v>
      </c>
      <c r="O458" s="87" t="s">
        <v>6290</v>
      </c>
      <c r="P458" s="9" t="s">
        <v>6243</v>
      </c>
      <c r="Q458" s="87" t="s">
        <v>6293</v>
      </c>
      <c r="R458" s="87" t="s">
        <v>6334</v>
      </c>
      <c r="S458" s="87" t="s">
        <v>6479</v>
      </c>
      <c r="T458" s="87" t="s">
        <v>6341</v>
      </c>
    </row>
    <row r="459" spans="1:20" ht="15.75" customHeight="1">
      <c r="A459" s="9" t="s">
        <v>2900</v>
      </c>
      <c r="B459" s="9" t="s">
        <v>7626</v>
      </c>
      <c r="C459" s="9" t="s">
        <v>6923</v>
      </c>
      <c r="D459" s="87" t="s">
        <v>6461</v>
      </c>
      <c r="E459" s="9" t="s">
        <v>6924</v>
      </c>
      <c r="F459" s="9" t="s">
        <v>6925</v>
      </c>
      <c r="G459" s="9" t="s">
        <v>383</v>
      </c>
      <c r="H459" s="9" t="s">
        <v>427</v>
      </c>
      <c r="I459" s="87" t="s">
        <v>6405</v>
      </c>
      <c r="J459" s="87" t="s">
        <v>6461</v>
      </c>
      <c r="K459" s="87" t="s">
        <v>6926</v>
      </c>
      <c r="L459" s="87" t="s">
        <v>5374</v>
      </c>
      <c r="M459" s="87" t="s">
        <v>6582</v>
      </c>
      <c r="N459" s="9" t="s">
        <v>7004</v>
      </c>
      <c r="O459" s="87" t="s">
        <v>6323</v>
      </c>
      <c r="P459" s="9" t="s">
        <v>6243</v>
      </c>
      <c r="Q459" s="87" t="s">
        <v>5374</v>
      </c>
      <c r="R459" s="87" t="s">
        <v>6461</v>
      </c>
      <c r="S459" s="87" t="s">
        <v>6428</v>
      </c>
      <c r="T459" s="87" t="s">
        <v>6341</v>
      </c>
    </row>
    <row r="460" spans="1:20" ht="15.75" customHeight="1">
      <c r="A460" s="9" t="s">
        <v>2900</v>
      </c>
      <c r="B460" s="9" t="s">
        <v>7626</v>
      </c>
      <c r="C460" s="9" t="s">
        <v>7228</v>
      </c>
      <c r="D460" s="87" t="s">
        <v>6237</v>
      </c>
      <c r="E460" s="9" t="s">
        <v>6924</v>
      </c>
      <c r="F460" s="9" t="s">
        <v>11</v>
      </c>
      <c r="G460" s="9" t="s">
        <v>383</v>
      </c>
      <c r="H460" s="9" t="s">
        <v>426</v>
      </c>
      <c r="I460" s="87" t="s">
        <v>6405</v>
      </c>
      <c r="J460" s="87" t="s">
        <v>6405</v>
      </c>
      <c r="K460" s="87" t="s">
        <v>6405</v>
      </c>
      <c r="L460" s="87" t="s">
        <v>6397</v>
      </c>
      <c r="M460" s="87" t="s">
        <v>6583</v>
      </c>
      <c r="N460" s="9" t="s">
        <v>7289</v>
      </c>
      <c r="O460" s="87" t="s">
        <v>6240</v>
      </c>
      <c r="P460" s="9" t="s">
        <v>6243</v>
      </c>
      <c r="Q460" s="87" t="s">
        <v>6397</v>
      </c>
      <c r="R460" s="87" t="s">
        <v>6405</v>
      </c>
      <c r="S460" s="87" t="s">
        <v>6284</v>
      </c>
      <c r="T460" s="87" t="s">
        <v>6341</v>
      </c>
    </row>
    <row r="461" spans="1:20" ht="15.75" customHeight="1">
      <c r="A461" s="9" t="s">
        <v>2879</v>
      </c>
      <c r="B461" s="9" t="s">
        <v>7627</v>
      </c>
      <c r="C461" s="9" t="s">
        <v>6236</v>
      </c>
      <c r="D461" s="87" t="s">
        <v>6393</v>
      </c>
      <c r="E461" s="9" t="s">
        <v>431</v>
      </c>
      <c r="F461" s="9" t="s">
        <v>368</v>
      </c>
      <c r="G461" s="9" t="s">
        <v>436</v>
      </c>
      <c r="H461" s="9" t="s">
        <v>434</v>
      </c>
      <c r="I461" s="87" t="s">
        <v>6264</v>
      </c>
      <c r="J461" s="87" t="s">
        <v>6254</v>
      </c>
      <c r="K461" s="87" t="s">
        <v>6254</v>
      </c>
      <c r="L461" s="87" t="s">
        <v>6240</v>
      </c>
      <c r="M461" s="87" t="s">
        <v>6517</v>
      </c>
      <c r="N461" s="9" t="s">
        <v>7628</v>
      </c>
      <c r="O461" s="87" t="s">
        <v>6254</v>
      </c>
      <c r="P461" s="9" t="s">
        <v>6243</v>
      </c>
      <c r="Q461" s="87" t="s">
        <v>5968</v>
      </c>
      <c r="R461" s="87" t="s">
        <v>6254</v>
      </c>
      <c r="S461" s="87" t="s">
        <v>6393</v>
      </c>
      <c r="T461" s="87" t="s">
        <v>6361</v>
      </c>
    </row>
    <row r="462" spans="1:20" ht="15.75" customHeight="1">
      <c r="A462" s="9" t="s">
        <v>2879</v>
      </c>
      <c r="B462" s="9" t="s">
        <v>7629</v>
      </c>
      <c r="C462" s="9" t="s">
        <v>6671</v>
      </c>
      <c r="D462" s="87" t="s">
        <v>6296</v>
      </c>
      <c r="E462" s="9" t="s">
        <v>6672</v>
      </c>
      <c r="F462" s="9" t="s">
        <v>439</v>
      </c>
      <c r="G462" s="9" t="s">
        <v>436</v>
      </c>
      <c r="H462" s="9" t="s">
        <v>440</v>
      </c>
      <c r="I462" s="87" t="s">
        <v>6405</v>
      </c>
      <c r="J462" s="87" t="s">
        <v>6433</v>
      </c>
      <c r="K462" s="87" t="s">
        <v>6433</v>
      </c>
      <c r="L462" s="87" t="s">
        <v>6240</v>
      </c>
      <c r="M462" s="87" t="s">
        <v>6530</v>
      </c>
      <c r="N462" s="9" t="s">
        <v>7082</v>
      </c>
      <c r="O462" s="87" t="s">
        <v>6433</v>
      </c>
      <c r="P462" s="9" t="s">
        <v>6243</v>
      </c>
      <c r="Q462" s="87" t="s">
        <v>6305</v>
      </c>
      <c r="R462" s="87" t="s">
        <v>6433</v>
      </c>
      <c r="S462" s="87" t="s">
        <v>6479</v>
      </c>
      <c r="T462" s="87" t="s">
        <v>6645</v>
      </c>
    </row>
    <row r="463" spans="1:20" ht="15.75" customHeight="1">
      <c r="A463" s="9" t="s">
        <v>2879</v>
      </c>
      <c r="B463" s="9" t="s">
        <v>7630</v>
      </c>
      <c r="C463" s="9" t="s">
        <v>6923</v>
      </c>
      <c r="D463" s="87" t="s">
        <v>6461</v>
      </c>
      <c r="E463" s="9" t="s">
        <v>6924</v>
      </c>
      <c r="F463" s="9" t="s">
        <v>6925</v>
      </c>
      <c r="G463" s="9" t="s">
        <v>383</v>
      </c>
      <c r="H463" s="9" t="s">
        <v>427</v>
      </c>
      <c r="I463" s="87" t="s">
        <v>6405</v>
      </c>
      <c r="J463" s="87" t="s">
        <v>6264</v>
      </c>
      <c r="K463" s="87" t="s">
        <v>6931</v>
      </c>
      <c r="L463" s="87" t="s">
        <v>6932</v>
      </c>
      <c r="M463" s="87" t="s">
        <v>6540</v>
      </c>
      <c r="N463" s="9" t="s">
        <v>6933</v>
      </c>
      <c r="O463" s="87" t="s">
        <v>6267</v>
      </c>
      <c r="P463" s="9" t="s">
        <v>6243</v>
      </c>
      <c r="Q463" s="87" t="s">
        <v>6506</v>
      </c>
      <c r="R463" s="87" t="s">
        <v>6264</v>
      </c>
      <c r="S463" s="87" t="s">
        <v>6264</v>
      </c>
      <c r="T463" s="87" t="s">
        <v>6341</v>
      </c>
    </row>
    <row r="464" spans="1:20" ht="15.75" customHeight="1">
      <c r="A464" s="9" t="s">
        <v>2879</v>
      </c>
      <c r="B464" s="9" t="s">
        <v>7630</v>
      </c>
      <c r="C464" s="9" t="s">
        <v>7228</v>
      </c>
      <c r="D464" s="87" t="s">
        <v>6237</v>
      </c>
      <c r="E464" s="9" t="s">
        <v>6924</v>
      </c>
      <c r="F464" s="9" t="s">
        <v>11</v>
      </c>
      <c r="G464" s="9" t="s">
        <v>383</v>
      </c>
      <c r="H464" s="9" t="s">
        <v>426</v>
      </c>
      <c r="I464" s="87" t="s">
        <v>6405</v>
      </c>
      <c r="J464" s="87" t="s">
        <v>6264</v>
      </c>
      <c r="K464" s="87" t="s">
        <v>6264</v>
      </c>
      <c r="L464" s="87" t="s">
        <v>6397</v>
      </c>
      <c r="M464" s="87" t="s">
        <v>6556</v>
      </c>
      <c r="N464" s="9" t="s">
        <v>7300</v>
      </c>
      <c r="O464" s="87" t="s">
        <v>6313</v>
      </c>
      <c r="P464" s="9" t="s">
        <v>6243</v>
      </c>
      <c r="Q464" s="87" t="s">
        <v>6357</v>
      </c>
      <c r="R464" s="87" t="s">
        <v>6264</v>
      </c>
      <c r="S464" s="87" t="s">
        <v>6651</v>
      </c>
      <c r="T464" s="87" t="s">
        <v>6341</v>
      </c>
    </row>
    <row r="465" spans="1:20" ht="15.75" customHeight="1">
      <c r="A465" s="9" t="s">
        <v>2890</v>
      </c>
      <c r="B465" s="9" t="s">
        <v>7631</v>
      </c>
      <c r="C465" s="9" t="s">
        <v>6236</v>
      </c>
      <c r="D465" s="87" t="s">
        <v>6393</v>
      </c>
      <c r="E465" s="9" t="s">
        <v>431</v>
      </c>
      <c r="F465" s="9" t="s">
        <v>368</v>
      </c>
      <c r="G465" s="9" t="s">
        <v>436</v>
      </c>
      <c r="H465" s="9" t="s">
        <v>434</v>
      </c>
      <c r="I465" s="87" t="s">
        <v>6237</v>
      </c>
      <c r="J465" s="87" t="s">
        <v>6296</v>
      </c>
      <c r="K465" s="87" t="s">
        <v>6251</v>
      </c>
      <c r="L465" s="87" t="s">
        <v>6240</v>
      </c>
      <c r="M465" s="87" t="s">
        <v>6517</v>
      </c>
      <c r="N465" s="9" t="s">
        <v>6947</v>
      </c>
      <c r="O465" s="87" t="s">
        <v>6251</v>
      </c>
      <c r="P465" s="9" t="s">
        <v>6243</v>
      </c>
      <c r="Q465" s="87" t="s">
        <v>6254</v>
      </c>
      <c r="R465" s="87" t="s">
        <v>6296</v>
      </c>
      <c r="S465" s="87" t="s">
        <v>6327</v>
      </c>
      <c r="T465" s="87" t="s">
        <v>6296</v>
      </c>
    </row>
    <row r="466" spans="1:20" ht="15.75" customHeight="1">
      <c r="A466" s="9" t="s">
        <v>2890</v>
      </c>
      <c r="B466" s="9" t="s">
        <v>7631</v>
      </c>
      <c r="C466" s="9" t="s">
        <v>6236</v>
      </c>
      <c r="D466" s="87" t="s">
        <v>6393</v>
      </c>
      <c r="E466" s="9" t="s">
        <v>431</v>
      </c>
      <c r="F466" s="9" t="s">
        <v>368</v>
      </c>
      <c r="G466" s="9" t="s">
        <v>436</v>
      </c>
      <c r="H466" s="9" t="s">
        <v>434</v>
      </c>
      <c r="I466" s="87" t="s">
        <v>6237</v>
      </c>
      <c r="J466" s="87" t="s">
        <v>6296</v>
      </c>
      <c r="K466" s="87" t="s">
        <v>6435</v>
      </c>
      <c r="L466" s="87" t="s">
        <v>6240</v>
      </c>
      <c r="M466" s="87" t="s">
        <v>6530</v>
      </c>
      <c r="N466" s="9" t="s">
        <v>7007</v>
      </c>
      <c r="O466" s="87" t="s">
        <v>6435</v>
      </c>
      <c r="P466" s="9" t="s">
        <v>6243</v>
      </c>
      <c r="Q466" s="87" t="s">
        <v>6250</v>
      </c>
      <c r="R466" s="87" t="s">
        <v>6296</v>
      </c>
      <c r="S466" s="87" t="s">
        <v>6733</v>
      </c>
      <c r="T466" s="87" t="s">
        <v>6645</v>
      </c>
    </row>
    <row r="467" spans="1:20" ht="15.75" customHeight="1">
      <c r="A467" s="9" t="s">
        <v>2890</v>
      </c>
      <c r="B467" s="9" t="s">
        <v>7632</v>
      </c>
      <c r="C467" s="9" t="s">
        <v>6671</v>
      </c>
      <c r="D467" s="87" t="s">
        <v>6296</v>
      </c>
      <c r="E467" s="9" t="s">
        <v>6672</v>
      </c>
      <c r="F467" s="9" t="s">
        <v>439</v>
      </c>
      <c r="G467" s="9" t="s">
        <v>436</v>
      </c>
      <c r="H467" s="9" t="s">
        <v>440</v>
      </c>
      <c r="I467" s="87" t="s">
        <v>6405</v>
      </c>
      <c r="J467" s="87" t="s">
        <v>6642</v>
      </c>
      <c r="K467" s="87" t="s">
        <v>6642</v>
      </c>
      <c r="L467" s="87" t="s">
        <v>6240</v>
      </c>
      <c r="M467" s="87" t="s">
        <v>6537</v>
      </c>
      <c r="N467" s="9" t="s">
        <v>7062</v>
      </c>
      <c r="O467" s="87" t="s">
        <v>6642</v>
      </c>
      <c r="P467" s="9" t="s">
        <v>6243</v>
      </c>
      <c r="Q467" s="87" t="s">
        <v>6445</v>
      </c>
      <c r="R467" s="87" t="s">
        <v>6642</v>
      </c>
      <c r="S467" s="87" t="s">
        <v>6341</v>
      </c>
      <c r="T467" s="87" t="s">
        <v>6645</v>
      </c>
    </row>
    <row r="468" spans="1:20" ht="15.75" customHeight="1">
      <c r="A468" s="9" t="s">
        <v>2890</v>
      </c>
      <c r="B468" s="9" t="s">
        <v>7633</v>
      </c>
      <c r="C468" s="9" t="s">
        <v>6923</v>
      </c>
      <c r="D468" s="87" t="s">
        <v>6461</v>
      </c>
      <c r="E468" s="9" t="s">
        <v>6924</v>
      </c>
      <c r="F468" s="9" t="s">
        <v>6925</v>
      </c>
      <c r="G468" s="9" t="s">
        <v>383</v>
      </c>
      <c r="H468" s="9" t="s">
        <v>427</v>
      </c>
      <c r="I468" s="87" t="s">
        <v>6405</v>
      </c>
      <c r="J468" s="87" t="s">
        <v>6405</v>
      </c>
      <c r="K468" s="87" t="s">
        <v>6926</v>
      </c>
      <c r="L468" s="87" t="s">
        <v>6932</v>
      </c>
      <c r="M468" s="87" t="s">
        <v>6556</v>
      </c>
      <c r="N468" s="9" t="s">
        <v>6934</v>
      </c>
      <c r="O468" s="87" t="s">
        <v>6259</v>
      </c>
      <c r="P468" s="9" t="s">
        <v>6243</v>
      </c>
      <c r="Q468" s="87" t="s">
        <v>6932</v>
      </c>
      <c r="R468" s="87" t="s">
        <v>6405</v>
      </c>
      <c r="S468" s="87" t="s">
        <v>6445</v>
      </c>
      <c r="T468" s="87" t="s">
        <v>6341</v>
      </c>
    </row>
    <row r="469" spans="1:20" ht="15.75" customHeight="1">
      <c r="A469" s="9" t="s">
        <v>2890</v>
      </c>
      <c r="B469" s="9" t="s">
        <v>7633</v>
      </c>
      <c r="C469" s="9" t="s">
        <v>7228</v>
      </c>
      <c r="D469" s="87" t="s">
        <v>6237</v>
      </c>
      <c r="E469" s="9" t="s">
        <v>6924</v>
      </c>
      <c r="F469" s="9" t="s">
        <v>11</v>
      </c>
      <c r="G469" s="9" t="s">
        <v>383</v>
      </c>
      <c r="H469" s="9" t="s">
        <v>426</v>
      </c>
      <c r="I469" s="87" t="s">
        <v>6405</v>
      </c>
      <c r="J469" s="87" t="s">
        <v>6405</v>
      </c>
      <c r="K469" s="87" t="s">
        <v>6405</v>
      </c>
      <c r="L469" s="87" t="s">
        <v>6397</v>
      </c>
      <c r="M469" s="87" t="s">
        <v>6557</v>
      </c>
      <c r="N469" s="9" t="s">
        <v>7289</v>
      </c>
      <c r="O469" s="87" t="s">
        <v>6240</v>
      </c>
      <c r="P469" s="9" t="s">
        <v>6243</v>
      </c>
      <c r="Q469" s="87" t="s">
        <v>6397</v>
      </c>
      <c r="R469" s="87" t="s">
        <v>6405</v>
      </c>
      <c r="S469" s="87" t="s">
        <v>6284</v>
      </c>
      <c r="T469" s="87" t="s">
        <v>6341</v>
      </c>
    </row>
    <row r="470" spans="1:20" ht="15.75" customHeight="1">
      <c r="A470" s="9" t="s">
        <v>2872</v>
      </c>
      <c r="B470" s="9" t="s">
        <v>7634</v>
      </c>
      <c r="C470" s="9" t="s">
        <v>6236</v>
      </c>
      <c r="D470" s="87" t="s">
        <v>6393</v>
      </c>
      <c r="E470" s="9" t="s">
        <v>431</v>
      </c>
      <c r="F470" s="9" t="s">
        <v>368</v>
      </c>
      <c r="G470" s="9" t="s">
        <v>436</v>
      </c>
      <c r="H470" s="9" t="s">
        <v>434</v>
      </c>
      <c r="I470" s="87" t="s">
        <v>6237</v>
      </c>
      <c r="J470" s="87" t="s">
        <v>6251</v>
      </c>
      <c r="K470" s="87" t="s">
        <v>6251</v>
      </c>
      <c r="L470" s="87" t="s">
        <v>6240</v>
      </c>
      <c r="M470" s="87" t="s">
        <v>6539</v>
      </c>
      <c r="N470" s="9" t="s">
        <v>7635</v>
      </c>
      <c r="O470" s="87" t="s">
        <v>6251</v>
      </c>
      <c r="P470" s="9" t="s">
        <v>6243</v>
      </c>
      <c r="Q470" s="87" t="s">
        <v>6254</v>
      </c>
      <c r="R470" s="87" t="s">
        <v>6251</v>
      </c>
      <c r="S470" s="87" t="s">
        <v>6346</v>
      </c>
      <c r="T470" s="87" t="s">
        <v>6486</v>
      </c>
    </row>
    <row r="471" spans="1:20" ht="15.75" customHeight="1">
      <c r="A471" s="9" t="s">
        <v>2872</v>
      </c>
      <c r="B471" s="9" t="s">
        <v>7636</v>
      </c>
      <c r="C471" s="9" t="s">
        <v>6671</v>
      </c>
      <c r="D471" s="87" t="s">
        <v>6296</v>
      </c>
      <c r="E471" s="9" t="s">
        <v>6672</v>
      </c>
      <c r="F471" s="9" t="s">
        <v>439</v>
      </c>
      <c r="G471" s="9" t="s">
        <v>436</v>
      </c>
      <c r="H471" s="9" t="s">
        <v>440</v>
      </c>
      <c r="I471" s="87" t="s">
        <v>6405</v>
      </c>
      <c r="J471" s="87" t="s">
        <v>6237</v>
      </c>
      <c r="K471" s="87" t="s">
        <v>6264</v>
      </c>
      <c r="L471" s="87" t="s">
        <v>6240</v>
      </c>
      <c r="M471" s="87" t="s">
        <v>6540</v>
      </c>
      <c r="N471" s="9" t="s">
        <v>7123</v>
      </c>
      <c r="O471" s="87" t="s">
        <v>6264</v>
      </c>
      <c r="P471" s="9" t="s">
        <v>6243</v>
      </c>
      <c r="Q471" s="87" t="s">
        <v>6313</v>
      </c>
      <c r="R471" s="87" t="s">
        <v>6237</v>
      </c>
      <c r="S471" s="87" t="s">
        <v>6327</v>
      </c>
      <c r="T471" s="87" t="s">
        <v>6348</v>
      </c>
    </row>
    <row r="472" spans="1:20" ht="15.75" customHeight="1">
      <c r="A472" s="9" t="s">
        <v>2872</v>
      </c>
      <c r="B472" s="9" t="s">
        <v>7636</v>
      </c>
      <c r="C472" s="9" t="s">
        <v>6671</v>
      </c>
      <c r="D472" s="87" t="s">
        <v>6296</v>
      </c>
      <c r="E472" s="9" t="s">
        <v>6672</v>
      </c>
      <c r="F472" s="9" t="s">
        <v>439</v>
      </c>
      <c r="G472" s="9" t="s">
        <v>436</v>
      </c>
      <c r="H472" s="9" t="s">
        <v>440</v>
      </c>
      <c r="I472" s="87" t="s">
        <v>6405</v>
      </c>
      <c r="J472" s="87" t="s">
        <v>6237</v>
      </c>
      <c r="K472" s="87" t="s">
        <v>6405</v>
      </c>
      <c r="L472" s="87" t="s">
        <v>6240</v>
      </c>
      <c r="M472" s="87" t="s">
        <v>6556</v>
      </c>
      <c r="N472" s="9" t="s">
        <v>7036</v>
      </c>
      <c r="O472" s="87" t="s">
        <v>6405</v>
      </c>
      <c r="P472" s="9" t="s">
        <v>6243</v>
      </c>
      <c r="Q472" s="87" t="s">
        <v>6240</v>
      </c>
      <c r="R472" s="87" t="s">
        <v>6237</v>
      </c>
      <c r="S472" s="87" t="s">
        <v>6645</v>
      </c>
      <c r="T472" s="87" t="s">
        <v>6645</v>
      </c>
    </row>
    <row r="473" spans="1:20" ht="15.75" customHeight="1">
      <c r="A473" s="9" t="s">
        <v>2872</v>
      </c>
      <c r="B473" s="9" t="s">
        <v>7637</v>
      </c>
      <c r="C473" s="9" t="s">
        <v>6923</v>
      </c>
      <c r="D473" s="87" t="s">
        <v>6264</v>
      </c>
      <c r="E473" s="9" t="s">
        <v>6924</v>
      </c>
      <c r="F473" s="9" t="s">
        <v>6925</v>
      </c>
      <c r="G473" s="9" t="s">
        <v>383</v>
      </c>
      <c r="H473" s="9" t="s">
        <v>449</v>
      </c>
      <c r="I473" s="87" t="s">
        <v>6405</v>
      </c>
      <c r="J473" s="87" t="s">
        <v>6405</v>
      </c>
      <c r="K473" s="87" t="s">
        <v>6926</v>
      </c>
      <c r="L473" s="87" t="s">
        <v>6464</v>
      </c>
      <c r="M473" s="87" t="s">
        <v>6557</v>
      </c>
      <c r="N473" s="9" t="s">
        <v>7638</v>
      </c>
      <c r="O473" s="87" t="s">
        <v>6302</v>
      </c>
      <c r="P473" s="9" t="s">
        <v>6243</v>
      </c>
      <c r="Q473" s="87" t="s">
        <v>6464</v>
      </c>
      <c r="R473" s="87" t="s">
        <v>6405</v>
      </c>
      <c r="S473" s="87" t="s">
        <v>6295</v>
      </c>
      <c r="T473" s="87" t="s">
        <v>6555</v>
      </c>
    </row>
    <row r="474" spans="1:20" ht="15.75" customHeight="1">
      <c r="A474" s="9" t="s">
        <v>2872</v>
      </c>
      <c r="B474" s="9" t="s">
        <v>7637</v>
      </c>
      <c r="C474" s="9" t="s">
        <v>7228</v>
      </c>
      <c r="D474" s="87" t="s">
        <v>6405</v>
      </c>
      <c r="E474" s="9" t="s">
        <v>6924</v>
      </c>
      <c r="F474" s="9" t="s">
        <v>11</v>
      </c>
      <c r="G474" s="9" t="s">
        <v>383</v>
      </c>
      <c r="H474" s="9" t="s">
        <v>426</v>
      </c>
      <c r="I474" s="87" t="s">
        <v>6405</v>
      </c>
      <c r="J474" s="87" t="s">
        <v>6405</v>
      </c>
      <c r="K474" s="87" t="s">
        <v>6405</v>
      </c>
      <c r="L474" s="87" t="s">
        <v>6397</v>
      </c>
      <c r="M474" s="87" t="s">
        <v>6563</v>
      </c>
      <c r="N474" s="9" t="s">
        <v>7262</v>
      </c>
      <c r="O474" s="87" t="s">
        <v>6240</v>
      </c>
      <c r="P474" s="9" t="s">
        <v>6243</v>
      </c>
      <c r="Q474" s="87" t="s">
        <v>6397</v>
      </c>
      <c r="R474" s="87" t="s">
        <v>6405</v>
      </c>
      <c r="S474" s="87" t="s">
        <v>6651</v>
      </c>
      <c r="T474" s="87" t="s">
        <v>6416</v>
      </c>
    </row>
    <row r="475" spans="1:20" ht="15.75" customHeight="1">
      <c r="A475" s="9" t="s">
        <v>2855</v>
      </c>
      <c r="B475" s="9" t="s">
        <v>7639</v>
      </c>
      <c r="C475" s="9" t="s">
        <v>6236</v>
      </c>
      <c r="D475" s="87" t="s">
        <v>6393</v>
      </c>
      <c r="E475" s="9" t="s">
        <v>431</v>
      </c>
      <c r="F475" s="9" t="s">
        <v>368</v>
      </c>
      <c r="G475" s="9" t="s">
        <v>436</v>
      </c>
      <c r="H475" s="9" t="s">
        <v>434</v>
      </c>
      <c r="I475" s="87" t="s">
        <v>6264</v>
      </c>
      <c r="J475" s="87" t="s">
        <v>6421</v>
      </c>
      <c r="K475" s="87" t="s">
        <v>6421</v>
      </c>
      <c r="L475" s="87" t="s">
        <v>6240</v>
      </c>
      <c r="M475" s="87" t="s">
        <v>6539</v>
      </c>
      <c r="N475" s="9" t="s">
        <v>7640</v>
      </c>
      <c r="O475" s="87" t="s">
        <v>6421</v>
      </c>
      <c r="P475" s="9" t="s">
        <v>6243</v>
      </c>
      <c r="Q475" s="87" t="s">
        <v>6316</v>
      </c>
      <c r="R475" s="87" t="s">
        <v>6421</v>
      </c>
      <c r="S475" s="87" t="s">
        <v>6433</v>
      </c>
      <c r="T475" s="87" t="s">
        <v>6387</v>
      </c>
    </row>
    <row r="476" spans="1:20" ht="15.75" customHeight="1">
      <c r="A476" s="9" t="s">
        <v>2855</v>
      </c>
      <c r="B476" s="9" t="s">
        <v>7641</v>
      </c>
      <c r="C476" s="9" t="s">
        <v>6671</v>
      </c>
      <c r="D476" s="87" t="s">
        <v>6296</v>
      </c>
      <c r="E476" s="9" t="s">
        <v>6672</v>
      </c>
      <c r="F476" s="9" t="s">
        <v>439</v>
      </c>
      <c r="G476" s="9" t="s">
        <v>436</v>
      </c>
      <c r="H476" s="9" t="s">
        <v>440</v>
      </c>
      <c r="I476" s="87" t="s">
        <v>6405</v>
      </c>
      <c r="J476" s="87" t="s">
        <v>6297</v>
      </c>
      <c r="K476" s="87" t="s">
        <v>6297</v>
      </c>
      <c r="L476" s="87" t="s">
        <v>6240</v>
      </c>
      <c r="M476" s="87" t="s">
        <v>6556</v>
      </c>
      <c r="N476" s="9" t="s">
        <v>7038</v>
      </c>
      <c r="O476" s="87" t="s">
        <v>6297</v>
      </c>
      <c r="P476" s="9" t="s">
        <v>6243</v>
      </c>
      <c r="Q476" s="87" t="s">
        <v>6299</v>
      </c>
      <c r="R476" s="87" t="s">
        <v>6297</v>
      </c>
      <c r="S476" s="87" t="s">
        <v>6443</v>
      </c>
      <c r="T476" s="87" t="s">
        <v>6351</v>
      </c>
    </row>
    <row r="477" spans="1:20" ht="15.75" customHeight="1">
      <c r="A477" s="9" t="s">
        <v>2855</v>
      </c>
      <c r="B477" s="9" t="s">
        <v>7642</v>
      </c>
      <c r="C477" s="9" t="s">
        <v>6923</v>
      </c>
      <c r="D477" s="87" t="s">
        <v>6264</v>
      </c>
      <c r="E477" s="9" t="s">
        <v>6924</v>
      </c>
      <c r="F477" s="9" t="s">
        <v>6925</v>
      </c>
      <c r="G477" s="9" t="s">
        <v>383</v>
      </c>
      <c r="H477" s="9" t="s">
        <v>449</v>
      </c>
      <c r="I477" s="87" t="s">
        <v>6405</v>
      </c>
      <c r="J477" s="87" t="s">
        <v>6405</v>
      </c>
      <c r="K477" s="87" t="s">
        <v>6926</v>
      </c>
      <c r="L477" s="87" t="s">
        <v>6464</v>
      </c>
      <c r="M477" s="87" t="s">
        <v>6563</v>
      </c>
      <c r="N477" s="9" t="s">
        <v>7643</v>
      </c>
      <c r="O477" s="87" t="s">
        <v>6302</v>
      </c>
      <c r="P477" s="9" t="s">
        <v>6243</v>
      </c>
      <c r="Q477" s="87" t="s">
        <v>6464</v>
      </c>
      <c r="R477" s="87" t="s">
        <v>6405</v>
      </c>
      <c r="S477" s="87" t="s">
        <v>6535</v>
      </c>
      <c r="T477" s="87" t="s">
        <v>6316</v>
      </c>
    </row>
    <row r="478" spans="1:20" ht="15.75" customHeight="1">
      <c r="A478" s="9" t="s">
        <v>2855</v>
      </c>
      <c r="B478" s="9" t="s">
        <v>7642</v>
      </c>
      <c r="C478" s="9" t="s">
        <v>7228</v>
      </c>
      <c r="D478" s="87" t="s">
        <v>6405</v>
      </c>
      <c r="E478" s="9" t="s">
        <v>6924</v>
      </c>
      <c r="F478" s="9" t="s">
        <v>11</v>
      </c>
      <c r="G478" s="9" t="s">
        <v>383</v>
      </c>
      <c r="H478" s="9" t="s">
        <v>426</v>
      </c>
      <c r="I478" s="87" t="s">
        <v>6405</v>
      </c>
      <c r="J478" s="87" t="s">
        <v>6405</v>
      </c>
      <c r="K478" s="87" t="s">
        <v>6405</v>
      </c>
      <c r="L478" s="87" t="s">
        <v>6397</v>
      </c>
      <c r="M478" s="87" t="s">
        <v>6566</v>
      </c>
      <c r="N478" s="9" t="s">
        <v>7583</v>
      </c>
      <c r="O478" s="87" t="s">
        <v>6240</v>
      </c>
      <c r="P478" s="9" t="s">
        <v>6243</v>
      </c>
      <c r="Q478" s="87" t="s">
        <v>6397</v>
      </c>
      <c r="R478" s="87" t="s">
        <v>6405</v>
      </c>
      <c r="S478" s="87" t="s">
        <v>6479</v>
      </c>
      <c r="T478" s="87" t="s">
        <v>6287</v>
      </c>
    </row>
    <row r="479" spans="1:20" ht="15.75" customHeight="1">
      <c r="A479" s="9" t="s">
        <v>2953</v>
      </c>
      <c r="B479" s="9" t="s">
        <v>7644</v>
      </c>
      <c r="C479" s="9" t="s">
        <v>6236</v>
      </c>
      <c r="D479" s="87" t="s">
        <v>6393</v>
      </c>
      <c r="E479" s="9" t="s">
        <v>431</v>
      </c>
      <c r="F479" s="9" t="s">
        <v>368</v>
      </c>
      <c r="G479" s="9" t="s">
        <v>436</v>
      </c>
      <c r="H479" s="9" t="s">
        <v>434</v>
      </c>
      <c r="I479" s="87" t="s">
        <v>6237</v>
      </c>
      <c r="J479" s="87" t="s">
        <v>6295</v>
      </c>
      <c r="K479" s="87" t="s">
        <v>6433</v>
      </c>
      <c r="L479" s="87" t="s">
        <v>6240</v>
      </c>
      <c r="M479" s="87" t="s">
        <v>6556</v>
      </c>
      <c r="N479" s="9" t="s">
        <v>6941</v>
      </c>
      <c r="O479" s="87" t="s">
        <v>6433</v>
      </c>
      <c r="P479" s="9" t="s">
        <v>6243</v>
      </c>
      <c r="Q479" s="87" t="s">
        <v>6305</v>
      </c>
      <c r="R479" s="87" t="s">
        <v>6295</v>
      </c>
      <c r="S479" s="87" t="s">
        <v>6327</v>
      </c>
      <c r="T479" s="87" t="s">
        <v>6329</v>
      </c>
    </row>
    <row r="480" spans="1:20" ht="15.75" customHeight="1">
      <c r="A480" s="9" t="s">
        <v>2953</v>
      </c>
      <c r="B480" s="9" t="s">
        <v>7644</v>
      </c>
      <c r="C480" s="9" t="s">
        <v>6236</v>
      </c>
      <c r="D480" s="87" t="s">
        <v>6393</v>
      </c>
      <c r="E480" s="9" t="s">
        <v>431</v>
      </c>
      <c r="F480" s="9" t="s">
        <v>368</v>
      </c>
      <c r="G480" s="9" t="s">
        <v>436</v>
      </c>
      <c r="H480" s="9" t="s">
        <v>434</v>
      </c>
      <c r="I480" s="87" t="s">
        <v>6237</v>
      </c>
      <c r="J480" s="87" t="s">
        <v>6295</v>
      </c>
      <c r="K480" s="87" t="s">
        <v>6290</v>
      </c>
      <c r="L480" s="87" t="s">
        <v>6240</v>
      </c>
      <c r="M480" s="87" t="s">
        <v>6557</v>
      </c>
      <c r="N480" s="9" t="s">
        <v>6964</v>
      </c>
      <c r="O480" s="87" t="s">
        <v>6290</v>
      </c>
      <c r="P480" s="9" t="s">
        <v>6243</v>
      </c>
      <c r="Q480" s="87" t="s">
        <v>6293</v>
      </c>
      <c r="R480" s="87" t="s">
        <v>6295</v>
      </c>
      <c r="S480" s="87" t="s">
        <v>6525</v>
      </c>
      <c r="T480" s="87" t="s">
        <v>6645</v>
      </c>
    </row>
    <row r="481" spans="1:20" ht="15.75" customHeight="1">
      <c r="A481" s="9" t="s">
        <v>2953</v>
      </c>
      <c r="B481" s="9" t="s">
        <v>7645</v>
      </c>
      <c r="C481" s="9" t="s">
        <v>6671</v>
      </c>
      <c r="D481" s="87" t="s">
        <v>6296</v>
      </c>
      <c r="E481" s="9" t="s">
        <v>6672</v>
      </c>
      <c r="F481" s="9" t="s">
        <v>439</v>
      </c>
      <c r="G481" s="9" t="s">
        <v>436</v>
      </c>
      <c r="H481" s="9" t="s">
        <v>440</v>
      </c>
      <c r="I481" s="87" t="s">
        <v>6405</v>
      </c>
      <c r="J481" s="87" t="s">
        <v>6411</v>
      </c>
      <c r="K481" s="87" t="s">
        <v>6411</v>
      </c>
      <c r="L481" s="87" t="s">
        <v>6240</v>
      </c>
      <c r="M481" s="87" t="s">
        <v>6563</v>
      </c>
      <c r="N481" s="9" t="s">
        <v>7146</v>
      </c>
      <c r="O481" s="87" t="s">
        <v>6411</v>
      </c>
      <c r="P481" s="9" t="s">
        <v>6243</v>
      </c>
      <c r="Q481" s="87" t="s">
        <v>6321</v>
      </c>
      <c r="R481" s="87" t="s">
        <v>6411</v>
      </c>
      <c r="S481" s="87" t="s">
        <v>6416</v>
      </c>
      <c r="T481" s="87" t="s">
        <v>6645</v>
      </c>
    </row>
    <row r="482" spans="1:20" ht="15.75" customHeight="1">
      <c r="A482" s="9" t="s">
        <v>2953</v>
      </c>
      <c r="B482" s="9" t="s">
        <v>7646</v>
      </c>
      <c r="C482" s="9" t="s">
        <v>6923</v>
      </c>
      <c r="D482" s="87" t="s">
        <v>6264</v>
      </c>
      <c r="E482" s="9" t="s">
        <v>6924</v>
      </c>
      <c r="F482" s="9" t="s">
        <v>6925</v>
      </c>
      <c r="G482" s="9" t="s">
        <v>383</v>
      </c>
      <c r="H482" s="9" t="s">
        <v>449</v>
      </c>
      <c r="I482" s="87" t="s">
        <v>6405</v>
      </c>
      <c r="J482" s="87" t="s">
        <v>6405</v>
      </c>
      <c r="K482" s="87" t="s">
        <v>6926</v>
      </c>
      <c r="L482" s="87" t="s">
        <v>6238</v>
      </c>
      <c r="M482" s="87" t="s">
        <v>6566</v>
      </c>
      <c r="N482" s="9" t="s">
        <v>7647</v>
      </c>
      <c r="O482" s="87" t="s">
        <v>6245</v>
      </c>
      <c r="P482" s="9" t="s">
        <v>6243</v>
      </c>
      <c r="Q482" s="87" t="s">
        <v>6238</v>
      </c>
      <c r="R482" s="87" t="s">
        <v>6405</v>
      </c>
      <c r="S482" s="87" t="s">
        <v>6294</v>
      </c>
      <c r="T482" s="87" t="s">
        <v>6526</v>
      </c>
    </row>
    <row r="483" spans="1:20" ht="15.75" customHeight="1">
      <c r="A483" s="9" t="s">
        <v>2953</v>
      </c>
      <c r="B483" s="9" t="s">
        <v>7646</v>
      </c>
      <c r="C483" s="9" t="s">
        <v>7228</v>
      </c>
      <c r="D483" s="87" t="s">
        <v>6405</v>
      </c>
      <c r="E483" s="9" t="s">
        <v>6924</v>
      </c>
      <c r="F483" s="9" t="s">
        <v>11</v>
      </c>
      <c r="G483" s="9" t="s">
        <v>383</v>
      </c>
      <c r="H483" s="9" t="s">
        <v>426</v>
      </c>
      <c r="I483" s="87" t="s">
        <v>6405</v>
      </c>
      <c r="J483" s="87" t="s">
        <v>6405</v>
      </c>
      <c r="K483" s="87" t="s">
        <v>6405</v>
      </c>
      <c r="L483" s="87" t="s">
        <v>6293</v>
      </c>
      <c r="M483" s="87" t="s">
        <v>6568</v>
      </c>
      <c r="N483" s="9" t="s">
        <v>7648</v>
      </c>
      <c r="O483" s="87" t="s">
        <v>6290</v>
      </c>
      <c r="P483" s="9" t="s">
        <v>6243</v>
      </c>
      <c r="Q483" s="87" t="s">
        <v>6293</v>
      </c>
      <c r="R483" s="87" t="s">
        <v>6405</v>
      </c>
      <c r="S483" s="87" t="s">
        <v>6651</v>
      </c>
      <c r="T483" s="87" t="s">
        <v>6287</v>
      </c>
    </row>
    <row r="484" spans="1:20" ht="15.75" customHeight="1">
      <c r="A484" s="9" t="s">
        <v>2932</v>
      </c>
      <c r="B484" s="9" t="s">
        <v>7649</v>
      </c>
      <c r="C484" s="9" t="s">
        <v>6236</v>
      </c>
      <c r="D484" s="87" t="s">
        <v>6393</v>
      </c>
      <c r="E484" s="9" t="s">
        <v>431</v>
      </c>
      <c r="F484" s="9" t="s">
        <v>368</v>
      </c>
      <c r="G484" s="9" t="s">
        <v>436</v>
      </c>
      <c r="H484" s="9" t="s">
        <v>434</v>
      </c>
      <c r="I484" s="87" t="s">
        <v>6237</v>
      </c>
      <c r="J484" s="87" t="s">
        <v>6636</v>
      </c>
      <c r="K484" s="87" t="s">
        <v>6360</v>
      </c>
      <c r="L484" s="87" t="s">
        <v>6240</v>
      </c>
      <c r="M484" s="87" t="s">
        <v>6647</v>
      </c>
      <c r="N484" s="9" t="s">
        <v>7150</v>
      </c>
      <c r="O484" s="87" t="s">
        <v>6360</v>
      </c>
      <c r="P484" s="9" t="s">
        <v>6243</v>
      </c>
      <c r="Q484" s="87" t="s">
        <v>6776</v>
      </c>
      <c r="R484" s="87" t="s">
        <v>6636</v>
      </c>
      <c r="S484" s="87" t="s">
        <v>6327</v>
      </c>
      <c r="T484" s="87" t="s">
        <v>6277</v>
      </c>
    </row>
    <row r="485" spans="1:20" ht="15.75" customHeight="1">
      <c r="A485" s="9" t="s">
        <v>2932</v>
      </c>
      <c r="B485" s="9" t="s">
        <v>7649</v>
      </c>
      <c r="C485" s="9" t="s">
        <v>6236</v>
      </c>
      <c r="D485" s="87" t="s">
        <v>6393</v>
      </c>
      <c r="E485" s="9" t="s">
        <v>431</v>
      </c>
      <c r="F485" s="9" t="s">
        <v>368</v>
      </c>
      <c r="G485" s="9" t="s">
        <v>436</v>
      </c>
      <c r="H485" s="9" t="s">
        <v>434</v>
      </c>
      <c r="I485" s="87" t="s">
        <v>6237</v>
      </c>
      <c r="J485" s="87" t="s">
        <v>6636</v>
      </c>
      <c r="K485" s="87" t="s">
        <v>6239</v>
      </c>
      <c r="L485" s="87" t="s">
        <v>6240</v>
      </c>
      <c r="M485" s="87" t="s">
        <v>6648</v>
      </c>
      <c r="N485" s="9" t="s">
        <v>6928</v>
      </c>
      <c r="O485" s="87" t="s">
        <v>6239</v>
      </c>
      <c r="P485" s="9" t="s">
        <v>6243</v>
      </c>
      <c r="Q485" s="87" t="s">
        <v>3764</v>
      </c>
      <c r="R485" s="87" t="s">
        <v>6636</v>
      </c>
      <c r="S485" s="87" t="s">
        <v>6327</v>
      </c>
      <c r="T485" s="87" t="s">
        <v>6645</v>
      </c>
    </row>
    <row r="486" spans="1:20" ht="15.75" customHeight="1">
      <c r="A486" s="9" t="s">
        <v>2932</v>
      </c>
      <c r="B486" s="9" t="s">
        <v>7649</v>
      </c>
      <c r="C486" s="9" t="s">
        <v>6236</v>
      </c>
      <c r="D486" s="87" t="s">
        <v>6393</v>
      </c>
      <c r="E486" s="9" t="s">
        <v>431</v>
      </c>
      <c r="F486" s="9" t="s">
        <v>368</v>
      </c>
      <c r="G486" s="9" t="s">
        <v>436</v>
      </c>
      <c r="H486" s="9" t="s">
        <v>434</v>
      </c>
      <c r="I486" s="87" t="s">
        <v>6237</v>
      </c>
      <c r="J486" s="87" t="s">
        <v>6636</v>
      </c>
      <c r="K486" s="87" t="s">
        <v>6251</v>
      </c>
      <c r="L486" s="87" t="s">
        <v>6240</v>
      </c>
      <c r="M486" s="87" t="s">
        <v>6649</v>
      </c>
      <c r="N486" s="9" t="s">
        <v>7435</v>
      </c>
      <c r="O486" s="87" t="s">
        <v>6251</v>
      </c>
      <c r="P486" s="9" t="s">
        <v>6243</v>
      </c>
      <c r="Q486" s="87" t="s">
        <v>6254</v>
      </c>
      <c r="R486" s="87" t="s">
        <v>6636</v>
      </c>
      <c r="S486" s="87" t="s">
        <v>6395</v>
      </c>
      <c r="T486" s="87" t="s">
        <v>6645</v>
      </c>
    </row>
    <row r="487" spans="1:20" ht="15.75" customHeight="1">
      <c r="A487" s="9" t="s">
        <v>2932</v>
      </c>
      <c r="B487" s="9" t="s">
        <v>7650</v>
      </c>
      <c r="C487" s="9" t="s">
        <v>6923</v>
      </c>
      <c r="D487" s="87" t="s">
        <v>6461</v>
      </c>
      <c r="E487" s="9" t="s">
        <v>6924</v>
      </c>
      <c r="F487" s="9" t="s">
        <v>6925</v>
      </c>
      <c r="G487" s="9" t="s">
        <v>383</v>
      </c>
      <c r="H487" s="9" t="s">
        <v>427</v>
      </c>
      <c r="I487" s="87" t="s">
        <v>6405</v>
      </c>
      <c r="J487" s="87" t="s">
        <v>6290</v>
      </c>
      <c r="K487" s="87" t="s">
        <v>6931</v>
      </c>
      <c r="L487" s="87" t="s">
        <v>6932</v>
      </c>
      <c r="M487" s="87" t="s">
        <v>6650</v>
      </c>
      <c r="N487" s="9" t="s">
        <v>6933</v>
      </c>
      <c r="O487" s="87" t="s">
        <v>6267</v>
      </c>
      <c r="P487" s="9" t="s">
        <v>6243</v>
      </c>
      <c r="Q487" s="87" t="s">
        <v>6506</v>
      </c>
      <c r="R487" s="87" t="s">
        <v>6290</v>
      </c>
      <c r="S487" s="87" t="s">
        <v>6264</v>
      </c>
      <c r="T487" s="87" t="s">
        <v>6341</v>
      </c>
    </row>
    <row r="488" spans="1:20" ht="15.75" customHeight="1">
      <c r="A488" s="9" t="s">
        <v>2932</v>
      </c>
      <c r="B488" s="9" t="s">
        <v>7650</v>
      </c>
      <c r="C488" s="9" t="s">
        <v>7228</v>
      </c>
      <c r="D488" s="87" t="s">
        <v>6237</v>
      </c>
      <c r="E488" s="9" t="s">
        <v>6924</v>
      </c>
      <c r="F488" s="9" t="s">
        <v>11</v>
      </c>
      <c r="G488" s="9" t="s">
        <v>383</v>
      </c>
      <c r="H488" s="9" t="s">
        <v>426</v>
      </c>
      <c r="I488" s="87" t="s">
        <v>6405</v>
      </c>
      <c r="J488" s="87" t="s">
        <v>6264</v>
      </c>
      <c r="K488" s="87" t="s">
        <v>6264</v>
      </c>
      <c r="L488" s="87" t="s">
        <v>6255</v>
      </c>
      <c r="M488" s="87" t="s">
        <v>6700</v>
      </c>
      <c r="N488" s="9" t="s">
        <v>7651</v>
      </c>
      <c r="O488" s="87" t="s">
        <v>6296</v>
      </c>
      <c r="P488" s="9" t="s">
        <v>6243</v>
      </c>
      <c r="Q488" s="87" t="s">
        <v>6287</v>
      </c>
      <c r="R488" s="87" t="s">
        <v>6264</v>
      </c>
      <c r="S488" s="87" t="s">
        <v>6300</v>
      </c>
      <c r="T488" s="87" t="s">
        <v>6341</v>
      </c>
    </row>
    <row r="489" spans="1:20" ht="15.75" customHeight="1">
      <c r="A489" s="9" t="s">
        <v>2932</v>
      </c>
      <c r="B489" s="9" t="s">
        <v>7652</v>
      </c>
      <c r="C489" s="9" t="s">
        <v>6923</v>
      </c>
      <c r="D489" s="87" t="s">
        <v>6461</v>
      </c>
      <c r="E489" s="9" t="s">
        <v>6924</v>
      </c>
      <c r="F489" s="9" t="s">
        <v>6925</v>
      </c>
      <c r="G489" s="9" t="s">
        <v>383</v>
      </c>
      <c r="H489" s="9" t="s">
        <v>427</v>
      </c>
      <c r="I489" s="87" t="s">
        <v>6405</v>
      </c>
      <c r="J489" s="87" t="s">
        <v>6290</v>
      </c>
      <c r="K489" s="87" t="s">
        <v>6931</v>
      </c>
      <c r="L489" s="87" t="s">
        <v>6932</v>
      </c>
      <c r="M489" s="87" t="s">
        <v>6700</v>
      </c>
      <c r="N489" s="9" t="s">
        <v>6933</v>
      </c>
      <c r="O489" s="87" t="s">
        <v>6267</v>
      </c>
      <c r="P489" s="9" t="s">
        <v>6243</v>
      </c>
      <c r="Q489" s="87" t="s">
        <v>6506</v>
      </c>
      <c r="R489" s="87" t="s">
        <v>6290</v>
      </c>
      <c r="S489" s="87" t="s">
        <v>6264</v>
      </c>
      <c r="T489" s="87" t="s">
        <v>6341</v>
      </c>
    </row>
    <row r="490" spans="1:20" ht="15.75" customHeight="1">
      <c r="A490" s="9" t="s">
        <v>2932</v>
      </c>
      <c r="B490" s="9" t="s">
        <v>7652</v>
      </c>
      <c r="C490" s="9" t="s">
        <v>7228</v>
      </c>
      <c r="D490" s="87" t="s">
        <v>6237</v>
      </c>
      <c r="E490" s="9" t="s">
        <v>6924</v>
      </c>
      <c r="F490" s="9" t="s">
        <v>11</v>
      </c>
      <c r="G490" s="9" t="s">
        <v>383</v>
      </c>
      <c r="H490" s="9" t="s">
        <v>426</v>
      </c>
      <c r="I490" s="87" t="s">
        <v>6405</v>
      </c>
      <c r="J490" s="87" t="s">
        <v>6264</v>
      </c>
      <c r="K490" s="87" t="s">
        <v>6264</v>
      </c>
      <c r="L490" s="87" t="s">
        <v>6255</v>
      </c>
      <c r="M490" s="87" t="s">
        <v>6699</v>
      </c>
      <c r="N490" s="9" t="s">
        <v>7653</v>
      </c>
      <c r="O490" s="87" t="s">
        <v>6296</v>
      </c>
      <c r="P490" s="9" t="s">
        <v>6243</v>
      </c>
      <c r="Q490" s="87" t="s">
        <v>6287</v>
      </c>
      <c r="R490" s="87" t="s">
        <v>6264</v>
      </c>
      <c r="S490" s="87" t="s">
        <v>6327</v>
      </c>
      <c r="T490" s="87" t="s">
        <v>6280</v>
      </c>
    </row>
    <row r="491" spans="1:20" ht="15.75" customHeight="1">
      <c r="A491" s="9" t="s">
        <v>2932</v>
      </c>
      <c r="B491" s="9" t="s">
        <v>7654</v>
      </c>
      <c r="C491" s="9" t="s">
        <v>6923</v>
      </c>
      <c r="D491" s="87" t="s">
        <v>6461</v>
      </c>
      <c r="E491" s="9" t="s">
        <v>6924</v>
      </c>
      <c r="F491" s="9" t="s">
        <v>6925</v>
      </c>
      <c r="G491" s="9" t="s">
        <v>383</v>
      </c>
      <c r="H491" s="9" t="s">
        <v>427</v>
      </c>
      <c r="I491" s="87" t="s">
        <v>6405</v>
      </c>
      <c r="J491" s="87" t="s">
        <v>6290</v>
      </c>
      <c r="K491" s="87" t="s">
        <v>6931</v>
      </c>
      <c r="L491" s="87" t="s">
        <v>6932</v>
      </c>
      <c r="M491" s="87" t="s">
        <v>6699</v>
      </c>
      <c r="N491" s="9" t="s">
        <v>6933</v>
      </c>
      <c r="O491" s="87" t="s">
        <v>6267</v>
      </c>
      <c r="P491" s="9" t="s">
        <v>6243</v>
      </c>
      <c r="Q491" s="87" t="s">
        <v>6506</v>
      </c>
      <c r="R491" s="87" t="s">
        <v>6290</v>
      </c>
      <c r="S491" s="87" t="s">
        <v>6264</v>
      </c>
      <c r="T491" s="87" t="s">
        <v>6341</v>
      </c>
    </row>
    <row r="492" spans="1:20" ht="15.75" customHeight="1">
      <c r="A492" s="9" t="s">
        <v>2932</v>
      </c>
      <c r="B492" s="9" t="s">
        <v>7654</v>
      </c>
      <c r="C492" s="9" t="s">
        <v>7228</v>
      </c>
      <c r="D492" s="87" t="s">
        <v>6237</v>
      </c>
      <c r="E492" s="9" t="s">
        <v>6924</v>
      </c>
      <c r="F492" s="9" t="s">
        <v>11</v>
      </c>
      <c r="G492" s="9" t="s">
        <v>383</v>
      </c>
      <c r="H492" s="9" t="s">
        <v>426</v>
      </c>
      <c r="I492" s="87" t="s">
        <v>6405</v>
      </c>
      <c r="J492" s="87" t="s">
        <v>6264</v>
      </c>
      <c r="K492" s="87" t="s">
        <v>6264</v>
      </c>
      <c r="L492" s="87" t="s">
        <v>6255</v>
      </c>
      <c r="M492" s="87" t="s">
        <v>6696</v>
      </c>
      <c r="N492" s="9" t="s">
        <v>7653</v>
      </c>
      <c r="O492" s="87" t="s">
        <v>6296</v>
      </c>
      <c r="P492" s="9" t="s">
        <v>6243</v>
      </c>
      <c r="Q492" s="87" t="s">
        <v>6287</v>
      </c>
      <c r="R492" s="87" t="s">
        <v>6264</v>
      </c>
      <c r="S492" s="87" t="s">
        <v>6327</v>
      </c>
      <c r="T492" s="87" t="s">
        <v>6280</v>
      </c>
    </row>
    <row r="493" spans="1:20" ht="15.75" customHeight="1">
      <c r="A493" s="9" t="s">
        <v>2932</v>
      </c>
      <c r="B493" s="9" t="s">
        <v>7655</v>
      </c>
      <c r="C493" s="9" t="s">
        <v>6923</v>
      </c>
      <c r="D493" s="87" t="s">
        <v>6461</v>
      </c>
      <c r="E493" s="9" t="s">
        <v>6924</v>
      </c>
      <c r="F493" s="9" t="s">
        <v>6925</v>
      </c>
      <c r="G493" s="9" t="s">
        <v>383</v>
      </c>
      <c r="H493" s="9" t="s">
        <v>427</v>
      </c>
      <c r="I493" s="87" t="s">
        <v>6405</v>
      </c>
      <c r="J493" s="87" t="s">
        <v>6290</v>
      </c>
      <c r="K493" s="87" t="s">
        <v>6926</v>
      </c>
      <c r="L493" s="87" t="s">
        <v>6932</v>
      </c>
      <c r="M493" s="87" t="s">
        <v>6694</v>
      </c>
      <c r="N493" s="9" t="s">
        <v>7656</v>
      </c>
      <c r="O493" s="87" t="s">
        <v>6259</v>
      </c>
      <c r="P493" s="9" t="s">
        <v>6243</v>
      </c>
      <c r="Q493" s="87" t="s">
        <v>6932</v>
      </c>
      <c r="R493" s="87" t="s">
        <v>6290</v>
      </c>
      <c r="S493" s="87" t="s">
        <v>6295</v>
      </c>
      <c r="T493" s="87" t="s">
        <v>6428</v>
      </c>
    </row>
    <row r="494" spans="1:20" ht="15.75" customHeight="1">
      <c r="A494" s="9" t="s">
        <v>2932</v>
      </c>
      <c r="B494" s="9" t="s">
        <v>7655</v>
      </c>
      <c r="C494" s="9" t="s">
        <v>7228</v>
      </c>
      <c r="D494" s="87" t="s">
        <v>6237</v>
      </c>
      <c r="E494" s="9" t="s">
        <v>6924</v>
      </c>
      <c r="F494" s="9" t="s">
        <v>11</v>
      </c>
      <c r="G494" s="9" t="s">
        <v>383</v>
      </c>
      <c r="H494" s="9" t="s">
        <v>426</v>
      </c>
      <c r="I494" s="87" t="s">
        <v>6405</v>
      </c>
      <c r="J494" s="87" t="s">
        <v>6405</v>
      </c>
      <c r="K494" s="87" t="s">
        <v>6405</v>
      </c>
      <c r="L494" s="87" t="s">
        <v>6255</v>
      </c>
      <c r="M494" s="87" t="s">
        <v>7063</v>
      </c>
      <c r="N494" s="9" t="s">
        <v>7657</v>
      </c>
      <c r="O494" s="87" t="s">
        <v>6461</v>
      </c>
      <c r="P494" s="9" t="s">
        <v>6243</v>
      </c>
      <c r="Q494" s="87" t="s">
        <v>6255</v>
      </c>
      <c r="R494" s="87" t="s">
        <v>6405</v>
      </c>
      <c r="S494" s="87" t="s">
        <v>5381</v>
      </c>
      <c r="T494" s="87" t="s">
        <v>6357</v>
      </c>
    </row>
    <row r="495" spans="1:20" ht="15.75" customHeight="1">
      <c r="A495" s="9" t="s">
        <v>2951</v>
      </c>
      <c r="B495" s="9" t="s">
        <v>7658</v>
      </c>
      <c r="C495" s="9" t="s">
        <v>6236</v>
      </c>
      <c r="D495" s="87" t="s">
        <v>6393</v>
      </c>
      <c r="E495" s="9" t="s">
        <v>431</v>
      </c>
      <c r="F495" s="9" t="s">
        <v>368</v>
      </c>
      <c r="G495" s="9" t="s">
        <v>436</v>
      </c>
      <c r="H495" s="9" t="s">
        <v>434</v>
      </c>
      <c r="I495" s="87" t="s">
        <v>6237</v>
      </c>
      <c r="J495" s="87" t="s">
        <v>6238</v>
      </c>
      <c r="K495" s="87" t="s">
        <v>6479</v>
      </c>
      <c r="L495" s="87" t="s">
        <v>6240</v>
      </c>
      <c r="M495" s="87" t="s">
        <v>6557</v>
      </c>
      <c r="N495" s="9" t="s">
        <v>6937</v>
      </c>
      <c r="O495" s="87" t="s">
        <v>6479</v>
      </c>
      <c r="P495" s="9" t="s">
        <v>6243</v>
      </c>
      <c r="Q495" s="87" t="s">
        <v>5417</v>
      </c>
      <c r="R495" s="87" t="s">
        <v>6238</v>
      </c>
      <c r="S495" s="87" t="s">
        <v>6327</v>
      </c>
      <c r="T495" s="87" t="s">
        <v>6733</v>
      </c>
    </row>
    <row r="496" spans="1:20" ht="15.75" customHeight="1">
      <c r="A496" s="9" t="s">
        <v>2951</v>
      </c>
      <c r="B496" s="9" t="s">
        <v>7658</v>
      </c>
      <c r="C496" s="9" t="s">
        <v>6236</v>
      </c>
      <c r="D496" s="87" t="s">
        <v>6393</v>
      </c>
      <c r="E496" s="9" t="s">
        <v>431</v>
      </c>
      <c r="F496" s="9" t="s">
        <v>368</v>
      </c>
      <c r="G496" s="9" t="s">
        <v>436</v>
      </c>
      <c r="H496" s="9" t="s">
        <v>434</v>
      </c>
      <c r="I496" s="87" t="s">
        <v>6237</v>
      </c>
      <c r="J496" s="87" t="s">
        <v>6238</v>
      </c>
      <c r="K496" s="87" t="s">
        <v>6323</v>
      </c>
      <c r="L496" s="87" t="s">
        <v>6240</v>
      </c>
      <c r="M496" s="87" t="s">
        <v>6563</v>
      </c>
      <c r="N496" s="9" t="s">
        <v>7659</v>
      </c>
      <c r="O496" s="87" t="s">
        <v>6323</v>
      </c>
      <c r="P496" s="9" t="s">
        <v>6243</v>
      </c>
      <c r="Q496" s="87" t="s">
        <v>5374</v>
      </c>
      <c r="R496" s="87" t="s">
        <v>6238</v>
      </c>
      <c r="S496" s="87" t="s">
        <v>6619</v>
      </c>
      <c r="T496" s="87" t="s">
        <v>6645</v>
      </c>
    </row>
    <row r="497" spans="1:20" ht="15.75" customHeight="1">
      <c r="A497" s="9" t="s">
        <v>2951</v>
      </c>
      <c r="B497" s="9" t="s">
        <v>7660</v>
      </c>
      <c r="C497" s="9" t="s">
        <v>6923</v>
      </c>
      <c r="D497" s="87" t="s">
        <v>6327</v>
      </c>
      <c r="E497" s="9" t="s">
        <v>6924</v>
      </c>
      <c r="F497" s="9" t="s">
        <v>6925</v>
      </c>
      <c r="G497" s="9" t="s">
        <v>383</v>
      </c>
      <c r="H497" s="9" t="s">
        <v>444</v>
      </c>
      <c r="I497" s="87" t="s">
        <v>6405</v>
      </c>
      <c r="J497" s="87" t="s">
        <v>6405</v>
      </c>
      <c r="K497" s="87" t="s">
        <v>6926</v>
      </c>
      <c r="L497" s="87" t="s">
        <v>6270</v>
      </c>
      <c r="M497" s="87" t="s">
        <v>6566</v>
      </c>
      <c r="N497" s="9" t="s">
        <v>7661</v>
      </c>
      <c r="O497" s="87" t="s">
        <v>6268</v>
      </c>
      <c r="P497" s="9" t="s">
        <v>6243</v>
      </c>
      <c r="Q497" s="87" t="s">
        <v>6270</v>
      </c>
      <c r="R497" s="87" t="s">
        <v>6405</v>
      </c>
      <c r="S497" s="87" t="s">
        <v>6313</v>
      </c>
      <c r="T497" s="87" t="s">
        <v>6299</v>
      </c>
    </row>
    <row r="498" spans="1:20" ht="15.75" customHeight="1">
      <c r="A498" s="9" t="s">
        <v>2951</v>
      </c>
      <c r="B498" s="9" t="s">
        <v>7660</v>
      </c>
      <c r="C498" s="9" t="s">
        <v>7228</v>
      </c>
      <c r="D498" s="87" t="s">
        <v>6290</v>
      </c>
      <c r="E498" s="9" t="s">
        <v>6924</v>
      </c>
      <c r="F498" s="9" t="s">
        <v>11</v>
      </c>
      <c r="G498" s="9" t="s">
        <v>383</v>
      </c>
      <c r="H498" s="9" t="s">
        <v>426</v>
      </c>
      <c r="I498" s="87" t="s">
        <v>6405</v>
      </c>
      <c r="J498" s="87" t="s">
        <v>6405</v>
      </c>
      <c r="K498" s="87" t="s">
        <v>6405</v>
      </c>
      <c r="L498" s="87" t="s">
        <v>6397</v>
      </c>
      <c r="M498" s="87" t="s">
        <v>6568</v>
      </c>
      <c r="N498" s="9" t="s">
        <v>7581</v>
      </c>
      <c r="O498" s="87" t="s">
        <v>6240</v>
      </c>
      <c r="P498" s="9" t="s">
        <v>6243</v>
      </c>
      <c r="Q498" s="87" t="s">
        <v>6397</v>
      </c>
      <c r="R498" s="87" t="s">
        <v>6405</v>
      </c>
      <c r="S498" s="87" t="s">
        <v>6543</v>
      </c>
      <c r="T498" s="87" t="s">
        <v>6316</v>
      </c>
    </row>
    <row r="499" spans="1:20" ht="15.75" customHeight="1">
      <c r="A499" s="9" t="s">
        <v>2999</v>
      </c>
      <c r="B499" s="9" t="s">
        <v>7662</v>
      </c>
      <c r="C499" s="9" t="s">
        <v>6236</v>
      </c>
      <c r="D499" s="87" t="s">
        <v>6393</v>
      </c>
      <c r="E499" s="9" t="s">
        <v>431</v>
      </c>
      <c r="F499" s="9" t="s">
        <v>368</v>
      </c>
      <c r="G499" s="9" t="s">
        <v>436</v>
      </c>
      <c r="H499" s="9" t="s">
        <v>434</v>
      </c>
      <c r="I499" s="87" t="s">
        <v>6237</v>
      </c>
      <c r="J499" s="87" t="s">
        <v>6238</v>
      </c>
      <c r="K499" s="87" t="s">
        <v>6435</v>
      </c>
      <c r="L499" s="87" t="s">
        <v>6240</v>
      </c>
      <c r="M499" s="87" t="s">
        <v>6583</v>
      </c>
      <c r="N499" s="9" t="s">
        <v>7052</v>
      </c>
      <c r="O499" s="87" t="s">
        <v>6435</v>
      </c>
      <c r="P499" s="9" t="s">
        <v>6243</v>
      </c>
      <c r="Q499" s="87" t="s">
        <v>6250</v>
      </c>
      <c r="R499" s="87" t="s">
        <v>6238</v>
      </c>
      <c r="S499" s="87" t="s">
        <v>6327</v>
      </c>
      <c r="T499" s="87" t="s">
        <v>6433</v>
      </c>
    </row>
    <row r="500" spans="1:20" ht="15.75" customHeight="1">
      <c r="A500" s="9" t="s">
        <v>2999</v>
      </c>
      <c r="B500" s="9" t="s">
        <v>7662</v>
      </c>
      <c r="C500" s="9" t="s">
        <v>6236</v>
      </c>
      <c r="D500" s="87" t="s">
        <v>6393</v>
      </c>
      <c r="E500" s="9" t="s">
        <v>431</v>
      </c>
      <c r="F500" s="9" t="s">
        <v>368</v>
      </c>
      <c r="G500" s="9" t="s">
        <v>436</v>
      </c>
      <c r="H500" s="9" t="s">
        <v>434</v>
      </c>
      <c r="I500" s="87" t="s">
        <v>6237</v>
      </c>
      <c r="J500" s="87" t="s">
        <v>6238</v>
      </c>
      <c r="K500" s="87" t="s">
        <v>6239</v>
      </c>
      <c r="L500" s="87" t="s">
        <v>6240</v>
      </c>
      <c r="M500" s="87" t="s">
        <v>6584</v>
      </c>
      <c r="N500" s="9" t="s">
        <v>6928</v>
      </c>
      <c r="O500" s="87" t="s">
        <v>6239</v>
      </c>
      <c r="P500" s="9" t="s">
        <v>6243</v>
      </c>
      <c r="Q500" s="87" t="s">
        <v>3764</v>
      </c>
      <c r="R500" s="87" t="s">
        <v>6238</v>
      </c>
      <c r="S500" s="87" t="s">
        <v>6327</v>
      </c>
      <c r="T500" s="87" t="s">
        <v>6645</v>
      </c>
    </row>
    <row r="501" spans="1:20" ht="15.75" customHeight="1">
      <c r="A501" s="9" t="s">
        <v>2999</v>
      </c>
      <c r="B501" s="9" t="s">
        <v>7662</v>
      </c>
      <c r="C501" s="9" t="s">
        <v>6236</v>
      </c>
      <c r="D501" s="87" t="s">
        <v>6393</v>
      </c>
      <c r="E501" s="9" t="s">
        <v>431</v>
      </c>
      <c r="F501" s="9" t="s">
        <v>368</v>
      </c>
      <c r="G501" s="9" t="s">
        <v>436</v>
      </c>
      <c r="H501" s="9" t="s">
        <v>434</v>
      </c>
      <c r="I501" s="87" t="s">
        <v>6237</v>
      </c>
      <c r="J501" s="87" t="s">
        <v>6238</v>
      </c>
      <c r="K501" s="87" t="s">
        <v>6642</v>
      </c>
      <c r="L501" s="87" t="s">
        <v>6240</v>
      </c>
      <c r="M501" s="87" t="s">
        <v>6585</v>
      </c>
      <c r="N501" s="9" t="s">
        <v>7062</v>
      </c>
      <c r="O501" s="87" t="s">
        <v>6642</v>
      </c>
      <c r="P501" s="9" t="s">
        <v>6243</v>
      </c>
      <c r="Q501" s="87" t="s">
        <v>6445</v>
      </c>
      <c r="R501" s="87" t="s">
        <v>6238</v>
      </c>
      <c r="S501" s="87" t="s">
        <v>6341</v>
      </c>
      <c r="T501" s="87" t="s">
        <v>6645</v>
      </c>
    </row>
    <row r="502" spans="1:20" ht="15.75" customHeight="1">
      <c r="A502" s="9" t="s">
        <v>2999</v>
      </c>
      <c r="B502" s="9" t="s">
        <v>7663</v>
      </c>
      <c r="C502" s="9" t="s">
        <v>6923</v>
      </c>
      <c r="D502" s="87" t="s">
        <v>6461</v>
      </c>
      <c r="E502" s="9" t="s">
        <v>6924</v>
      </c>
      <c r="F502" s="9" t="s">
        <v>6925</v>
      </c>
      <c r="G502" s="9" t="s">
        <v>383</v>
      </c>
      <c r="H502" s="9" t="s">
        <v>427</v>
      </c>
      <c r="I502" s="87" t="s">
        <v>6405</v>
      </c>
      <c r="J502" s="87" t="s">
        <v>6334</v>
      </c>
      <c r="K502" s="87" t="s">
        <v>6926</v>
      </c>
      <c r="L502" s="87" t="s">
        <v>4019</v>
      </c>
      <c r="M502" s="87" t="s">
        <v>6592</v>
      </c>
      <c r="N502" s="9" t="s">
        <v>7161</v>
      </c>
      <c r="O502" s="87" t="s">
        <v>6498</v>
      </c>
      <c r="P502" s="9" t="s">
        <v>6243</v>
      </c>
      <c r="Q502" s="87" t="s">
        <v>4019</v>
      </c>
      <c r="R502" s="87" t="s">
        <v>6334</v>
      </c>
      <c r="S502" s="87" t="s">
        <v>6313</v>
      </c>
      <c r="T502" s="87" t="s">
        <v>6293</v>
      </c>
    </row>
    <row r="503" spans="1:20" ht="15.75" customHeight="1">
      <c r="A503" s="9" t="s">
        <v>2999</v>
      </c>
      <c r="B503" s="9" t="s">
        <v>7664</v>
      </c>
      <c r="C503" s="9" t="s">
        <v>6923</v>
      </c>
      <c r="D503" s="87" t="s">
        <v>6810</v>
      </c>
      <c r="E503" s="9" t="s">
        <v>6924</v>
      </c>
      <c r="F503" s="9" t="s">
        <v>6925</v>
      </c>
      <c r="G503" s="9" t="s">
        <v>383</v>
      </c>
      <c r="H503" s="9" t="s">
        <v>430</v>
      </c>
      <c r="I503" s="87" t="s">
        <v>6405</v>
      </c>
      <c r="J503" s="87" t="s">
        <v>6405</v>
      </c>
      <c r="K503" s="87" t="s">
        <v>6926</v>
      </c>
      <c r="L503" s="87" t="s">
        <v>4014</v>
      </c>
      <c r="M503" s="87" t="s">
        <v>6592</v>
      </c>
      <c r="N503" s="9" t="s">
        <v>7665</v>
      </c>
      <c r="O503" s="87" t="s">
        <v>6260</v>
      </c>
      <c r="P503" s="9" t="s">
        <v>6243</v>
      </c>
      <c r="Q503" s="87" t="s">
        <v>4014</v>
      </c>
      <c r="R503" s="87" t="s">
        <v>6405</v>
      </c>
      <c r="S503" s="87" t="s">
        <v>6327</v>
      </c>
      <c r="T503" s="87" t="s">
        <v>6606</v>
      </c>
    </row>
    <row r="504" spans="1:20" ht="15.75" customHeight="1">
      <c r="A504" s="9" t="s">
        <v>2999</v>
      </c>
      <c r="B504" s="9" t="s">
        <v>7666</v>
      </c>
      <c r="C504" s="9" t="s">
        <v>6923</v>
      </c>
      <c r="D504" s="87" t="s">
        <v>6461</v>
      </c>
      <c r="E504" s="9" t="s">
        <v>6924</v>
      </c>
      <c r="F504" s="9" t="s">
        <v>6925</v>
      </c>
      <c r="G504" s="9" t="s">
        <v>383</v>
      </c>
      <c r="H504" s="9" t="s">
        <v>427</v>
      </c>
      <c r="I504" s="87" t="s">
        <v>6405</v>
      </c>
      <c r="J504" s="87" t="s">
        <v>6334</v>
      </c>
      <c r="K504" s="87" t="s">
        <v>6926</v>
      </c>
      <c r="L504" s="87" t="s">
        <v>4019</v>
      </c>
      <c r="M504" s="87" t="s">
        <v>6597</v>
      </c>
      <c r="N504" s="9" t="s">
        <v>6979</v>
      </c>
      <c r="O504" s="87" t="s">
        <v>6498</v>
      </c>
      <c r="P504" s="9" t="s">
        <v>6243</v>
      </c>
      <c r="Q504" s="87" t="s">
        <v>4019</v>
      </c>
      <c r="R504" s="87" t="s">
        <v>6334</v>
      </c>
      <c r="S504" s="87" t="s">
        <v>6392</v>
      </c>
      <c r="T504" s="87" t="s">
        <v>6341</v>
      </c>
    </row>
    <row r="505" spans="1:20" ht="15.75" customHeight="1">
      <c r="A505" s="9" t="s">
        <v>2999</v>
      </c>
      <c r="B505" s="9" t="s">
        <v>7666</v>
      </c>
      <c r="C505" s="9" t="s">
        <v>7228</v>
      </c>
      <c r="D505" s="87" t="s">
        <v>6237</v>
      </c>
      <c r="E505" s="9" t="s">
        <v>6924</v>
      </c>
      <c r="F505" s="9" t="s">
        <v>11</v>
      </c>
      <c r="G505" s="9" t="s">
        <v>383</v>
      </c>
      <c r="H505" s="9" t="s">
        <v>426</v>
      </c>
      <c r="I505" s="87" t="s">
        <v>6405</v>
      </c>
      <c r="J505" s="87" t="s">
        <v>6405</v>
      </c>
      <c r="K505" s="87" t="s">
        <v>6405</v>
      </c>
      <c r="L505" s="87" t="s">
        <v>6474</v>
      </c>
      <c r="M505" s="87" t="s">
        <v>6601</v>
      </c>
      <c r="N505" s="9" t="s">
        <v>7667</v>
      </c>
      <c r="O505" s="87" t="s">
        <v>6528</v>
      </c>
      <c r="P505" s="9" t="s">
        <v>6243</v>
      </c>
      <c r="Q505" s="87" t="s">
        <v>6474</v>
      </c>
      <c r="R505" s="87" t="s">
        <v>6405</v>
      </c>
      <c r="S505" s="87" t="s">
        <v>6329</v>
      </c>
      <c r="T505" s="87" t="s">
        <v>6361</v>
      </c>
    </row>
    <row r="506" spans="1:20" ht="15.75" customHeight="1">
      <c r="A506" s="9" t="s">
        <v>2999</v>
      </c>
      <c r="B506" s="9" t="s">
        <v>7663</v>
      </c>
      <c r="C506" s="9" t="s">
        <v>7228</v>
      </c>
      <c r="D506" s="87" t="s">
        <v>6237</v>
      </c>
      <c r="E506" s="9" t="s">
        <v>6924</v>
      </c>
      <c r="F506" s="9" t="s">
        <v>11</v>
      </c>
      <c r="G506" s="9" t="s">
        <v>383</v>
      </c>
      <c r="H506" s="9" t="s">
        <v>426</v>
      </c>
      <c r="I506" s="87" t="s">
        <v>6405</v>
      </c>
      <c r="J506" s="87" t="s">
        <v>6405</v>
      </c>
      <c r="K506" s="87" t="s">
        <v>6405</v>
      </c>
      <c r="L506" s="87" t="s">
        <v>6474</v>
      </c>
      <c r="M506" s="87" t="s">
        <v>6601</v>
      </c>
      <c r="N506" s="9" t="s">
        <v>7668</v>
      </c>
      <c r="O506" s="87" t="s">
        <v>6528</v>
      </c>
      <c r="P506" s="9" t="s">
        <v>6243</v>
      </c>
      <c r="Q506" s="87" t="s">
        <v>6474</v>
      </c>
      <c r="R506" s="87" t="s">
        <v>6405</v>
      </c>
      <c r="S506" s="87" t="s">
        <v>6409</v>
      </c>
      <c r="T506" s="87" t="s">
        <v>6619</v>
      </c>
    </row>
    <row r="507" spans="1:20" ht="15.75" customHeight="1">
      <c r="A507" s="9" t="s">
        <v>2999</v>
      </c>
      <c r="B507" s="9" t="s">
        <v>7664</v>
      </c>
      <c r="C507" s="9" t="s">
        <v>7228</v>
      </c>
      <c r="D507" s="87" t="s">
        <v>6237</v>
      </c>
      <c r="E507" s="9" t="s">
        <v>6924</v>
      </c>
      <c r="F507" s="9" t="s">
        <v>11</v>
      </c>
      <c r="G507" s="9" t="s">
        <v>383</v>
      </c>
      <c r="H507" s="9" t="s">
        <v>426</v>
      </c>
      <c r="I507" s="87" t="s">
        <v>6405</v>
      </c>
      <c r="J507" s="87" t="s">
        <v>6405</v>
      </c>
      <c r="K507" s="87" t="s">
        <v>6405</v>
      </c>
      <c r="L507" s="87" t="s">
        <v>6474</v>
      </c>
      <c r="M507" s="87" t="s">
        <v>6601</v>
      </c>
      <c r="N507" s="9" t="s">
        <v>7194</v>
      </c>
      <c r="O507" s="87" t="s">
        <v>6528</v>
      </c>
      <c r="P507" s="9" t="s">
        <v>6243</v>
      </c>
      <c r="Q507" s="87" t="s">
        <v>6474</v>
      </c>
      <c r="R507" s="87" t="s">
        <v>6405</v>
      </c>
      <c r="S507" s="87" t="s">
        <v>6357</v>
      </c>
      <c r="T507" s="87" t="s">
        <v>6341</v>
      </c>
    </row>
    <row r="508" spans="1:20" ht="15.75" customHeight="1">
      <c r="A508" s="9" t="s">
        <v>3011</v>
      </c>
      <c r="B508" s="9" t="s">
        <v>7669</v>
      </c>
      <c r="C508" s="9" t="s">
        <v>6236</v>
      </c>
      <c r="D508" s="87" t="s">
        <v>6393</v>
      </c>
      <c r="E508" s="9" t="s">
        <v>431</v>
      </c>
      <c r="F508" s="9" t="s">
        <v>368</v>
      </c>
      <c r="G508" s="9" t="s">
        <v>436</v>
      </c>
      <c r="H508" s="9" t="s">
        <v>434</v>
      </c>
      <c r="I508" s="87" t="s">
        <v>6237</v>
      </c>
      <c r="J508" s="87" t="s">
        <v>6567</v>
      </c>
      <c r="K508" s="87" t="s">
        <v>6250</v>
      </c>
      <c r="L508" s="87" t="s">
        <v>6240</v>
      </c>
      <c r="M508" s="87" t="s">
        <v>6568</v>
      </c>
      <c r="N508" s="9" t="s">
        <v>7670</v>
      </c>
      <c r="O508" s="87" t="s">
        <v>6250</v>
      </c>
      <c r="P508" s="9" t="s">
        <v>6243</v>
      </c>
      <c r="Q508" s="87" t="s">
        <v>6320</v>
      </c>
      <c r="R508" s="87" t="s">
        <v>6567</v>
      </c>
      <c r="S508" s="87" t="s">
        <v>6327</v>
      </c>
      <c r="T508" s="87" t="s">
        <v>6360</v>
      </c>
    </row>
    <row r="509" spans="1:20" ht="15.75" customHeight="1">
      <c r="A509" s="9" t="s">
        <v>3011</v>
      </c>
      <c r="B509" s="9" t="s">
        <v>7669</v>
      </c>
      <c r="C509" s="9" t="s">
        <v>6236</v>
      </c>
      <c r="D509" s="87" t="s">
        <v>6393</v>
      </c>
      <c r="E509" s="9" t="s">
        <v>431</v>
      </c>
      <c r="F509" s="9" t="s">
        <v>368</v>
      </c>
      <c r="G509" s="9" t="s">
        <v>436</v>
      </c>
      <c r="H509" s="9" t="s">
        <v>434</v>
      </c>
      <c r="I509" s="87" t="s">
        <v>6237</v>
      </c>
      <c r="J509" s="87" t="s">
        <v>6567</v>
      </c>
      <c r="K509" s="87" t="s">
        <v>6314</v>
      </c>
      <c r="L509" s="87" t="s">
        <v>6240</v>
      </c>
      <c r="M509" s="87" t="s">
        <v>6581</v>
      </c>
      <c r="N509" s="9" t="s">
        <v>7115</v>
      </c>
      <c r="O509" s="87" t="s">
        <v>6314</v>
      </c>
      <c r="P509" s="9" t="s">
        <v>6243</v>
      </c>
      <c r="Q509" s="87" t="s">
        <v>6748</v>
      </c>
      <c r="R509" s="87" t="s">
        <v>6567</v>
      </c>
      <c r="S509" s="87" t="s">
        <v>6280</v>
      </c>
      <c r="T509" s="87" t="s">
        <v>6645</v>
      </c>
    </row>
    <row r="510" spans="1:20" ht="15.75" customHeight="1">
      <c r="A510" s="9" t="s">
        <v>3011</v>
      </c>
      <c r="B510" s="9" t="s">
        <v>7671</v>
      </c>
      <c r="C510" s="9" t="s">
        <v>6671</v>
      </c>
      <c r="D510" s="87" t="s">
        <v>6296</v>
      </c>
      <c r="E510" s="9" t="s">
        <v>6672</v>
      </c>
      <c r="F510" s="9" t="s">
        <v>439</v>
      </c>
      <c r="G510" s="9" t="s">
        <v>436</v>
      </c>
      <c r="H510" s="9" t="s">
        <v>440</v>
      </c>
      <c r="I510" s="87" t="s">
        <v>6405</v>
      </c>
      <c r="J510" s="87" t="s">
        <v>6305</v>
      </c>
      <c r="K510" s="87" t="s">
        <v>6239</v>
      </c>
      <c r="L510" s="87" t="s">
        <v>6240</v>
      </c>
      <c r="M510" s="87" t="s">
        <v>6582</v>
      </c>
      <c r="N510" s="9" t="s">
        <v>6928</v>
      </c>
      <c r="O510" s="87" t="s">
        <v>6239</v>
      </c>
      <c r="P510" s="9" t="s">
        <v>6243</v>
      </c>
      <c r="Q510" s="87" t="s">
        <v>3764</v>
      </c>
      <c r="R510" s="87" t="s">
        <v>6305</v>
      </c>
      <c r="S510" s="87" t="s">
        <v>6327</v>
      </c>
      <c r="T510" s="87" t="s">
        <v>6645</v>
      </c>
    </row>
    <row r="511" spans="1:20" ht="15.75" customHeight="1">
      <c r="A511" s="9" t="s">
        <v>3011</v>
      </c>
      <c r="B511" s="9" t="s">
        <v>7671</v>
      </c>
      <c r="C511" s="9" t="s">
        <v>6671</v>
      </c>
      <c r="D511" s="87" t="s">
        <v>6296</v>
      </c>
      <c r="E511" s="9" t="s">
        <v>6672</v>
      </c>
      <c r="F511" s="9" t="s">
        <v>439</v>
      </c>
      <c r="G511" s="9" t="s">
        <v>436</v>
      </c>
      <c r="H511" s="9" t="s">
        <v>440</v>
      </c>
      <c r="I511" s="87" t="s">
        <v>6405</v>
      </c>
      <c r="J511" s="87" t="s">
        <v>6305</v>
      </c>
      <c r="K511" s="87" t="s">
        <v>6348</v>
      </c>
      <c r="L511" s="87" t="s">
        <v>6240</v>
      </c>
      <c r="M511" s="87" t="s">
        <v>6583</v>
      </c>
      <c r="N511" s="9" t="s">
        <v>7026</v>
      </c>
      <c r="O511" s="87" t="s">
        <v>6348</v>
      </c>
      <c r="P511" s="9" t="s">
        <v>6243</v>
      </c>
      <c r="Q511" s="87" t="s">
        <v>5381</v>
      </c>
      <c r="R511" s="87" t="s">
        <v>6305</v>
      </c>
      <c r="S511" s="87" t="s">
        <v>6271</v>
      </c>
      <c r="T511" s="87" t="s">
        <v>6645</v>
      </c>
    </row>
    <row r="512" spans="1:20" ht="15.75" customHeight="1">
      <c r="A512" s="9" t="s">
        <v>3011</v>
      </c>
      <c r="B512" s="9" t="s">
        <v>7672</v>
      </c>
      <c r="C512" s="9" t="s">
        <v>6923</v>
      </c>
      <c r="D512" s="87" t="s">
        <v>6327</v>
      </c>
      <c r="E512" s="9" t="s">
        <v>6924</v>
      </c>
      <c r="F512" s="9" t="s">
        <v>6925</v>
      </c>
      <c r="G512" s="9" t="s">
        <v>383</v>
      </c>
      <c r="H512" s="9" t="s">
        <v>444</v>
      </c>
      <c r="I512" s="87" t="s">
        <v>6405</v>
      </c>
      <c r="J512" s="87" t="s">
        <v>6251</v>
      </c>
      <c r="K512" s="87" t="s">
        <v>6931</v>
      </c>
      <c r="L512" s="87" t="s">
        <v>6305</v>
      </c>
      <c r="M512" s="87" t="s">
        <v>6584</v>
      </c>
      <c r="N512" s="9" t="s">
        <v>7673</v>
      </c>
      <c r="O512" s="87" t="s">
        <v>6360</v>
      </c>
      <c r="P512" s="9" t="s">
        <v>6243</v>
      </c>
      <c r="Q512" s="87" t="s">
        <v>6776</v>
      </c>
      <c r="R512" s="87" t="s">
        <v>6251</v>
      </c>
      <c r="S512" s="87" t="s">
        <v>6313</v>
      </c>
      <c r="T512" s="87" t="s">
        <v>6316</v>
      </c>
    </row>
    <row r="513" spans="1:20" ht="15.75" customHeight="1">
      <c r="A513" s="9" t="s">
        <v>3011</v>
      </c>
      <c r="B513" s="9" t="s">
        <v>7674</v>
      </c>
      <c r="C513" s="9" t="s">
        <v>6923</v>
      </c>
      <c r="D513" s="87" t="s">
        <v>6327</v>
      </c>
      <c r="E513" s="9" t="s">
        <v>6924</v>
      </c>
      <c r="F513" s="9" t="s">
        <v>6925</v>
      </c>
      <c r="G513" s="9" t="s">
        <v>383</v>
      </c>
      <c r="H513" s="9" t="s">
        <v>444</v>
      </c>
      <c r="I513" s="87" t="s">
        <v>6405</v>
      </c>
      <c r="J513" s="87" t="s">
        <v>6251</v>
      </c>
      <c r="K513" s="87" t="s">
        <v>6931</v>
      </c>
      <c r="L513" s="87" t="s">
        <v>6305</v>
      </c>
      <c r="M513" s="87" t="s">
        <v>6585</v>
      </c>
      <c r="N513" s="9" t="s">
        <v>7673</v>
      </c>
      <c r="O513" s="87" t="s">
        <v>6360</v>
      </c>
      <c r="P513" s="9" t="s">
        <v>6243</v>
      </c>
      <c r="Q513" s="87" t="s">
        <v>6776</v>
      </c>
      <c r="R513" s="87" t="s">
        <v>6251</v>
      </c>
      <c r="S513" s="87" t="s">
        <v>6313</v>
      </c>
      <c r="T513" s="87" t="s">
        <v>6316</v>
      </c>
    </row>
    <row r="514" spans="1:20" ht="15.75" customHeight="1">
      <c r="A514" s="9" t="s">
        <v>3011</v>
      </c>
      <c r="B514" s="9" t="s">
        <v>7672</v>
      </c>
      <c r="C514" s="9" t="s">
        <v>7228</v>
      </c>
      <c r="D514" s="87" t="s">
        <v>6290</v>
      </c>
      <c r="E514" s="9" t="s">
        <v>6924</v>
      </c>
      <c r="F514" s="9" t="s">
        <v>11</v>
      </c>
      <c r="G514" s="9" t="s">
        <v>383</v>
      </c>
      <c r="H514" s="9" t="s">
        <v>426</v>
      </c>
      <c r="I514" s="87" t="s">
        <v>6405</v>
      </c>
      <c r="J514" s="87" t="s">
        <v>6264</v>
      </c>
      <c r="K514" s="87" t="s">
        <v>6264</v>
      </c>
      <c r="L514" s="87" t="s">
        <v>6341</v>
      </c>
      <c r="M514" s="87" t="s">
        <v>6590</v>
      </c>
      <c r="N514" s="9" t="s">
        <v>7675</v>
      </c>
      <c r="O514" s="87" t="s">
        <v>6404</v>
      </c>
      <c r="P514" s="9" t="s">
        <v>6243</v>
      </c>
      <c r="Q514" s="87" t="s">
        <v>6596</v>
      </c>
      <c r="R514" s="87" t="s">
        <v>6264</v>
      </c>
      <c r="S514" s="87" t="s">
        <v>6251</v>
      </c>
      <c r="T514" s="87" t="s">
        <v>6401</v>
      </c>
    </row>
    <row r="515" spans="1:20" ht="15.75" customHeight="1">
      <c r="A515" s="9" t="s">
        <v>3011</v>
      </c>
      <c r="B515" s="9" t="s">
        <v>7676</v>
      </c>
      <c r="C515" s="9" t="s">
        <v>6923</v>
      </c>
      <c r="D515" s="87" t="s">
        <v>6327</v>
      </c>
      <c r="E515" s="9" t="s">
        <v>6924</v>
      </c>
      <c r="F515" s="9" t="s">
        <v>6925</v>
      </c>
      <c r="G515" s="9" t="s">
        <v>383</v>
      </c>
      <c r="H515" s="9" t="s">
        <v>444</v>
      </c>
      <c r="I515" s="87" t="s">
        <v>6405</v>
      </c>
      <c r="J515" s="87" t="s">
        <v>6251</v>
      </c>
      <c r="K515" s="87" t="s">
        <v>6926</v>
      </c>
      <c r="L515" s="87" t="s">
        <v>6305</v>
      </c>
      <c r="M515" s="87" t="s">
        <v>6590</v>
      </c>
      <c r="N515" s="9" t="s">
        <v>7677</v>
      </c>
      <c r="O515" s="87" t="s">
        <v>6433</v>
      </c>
      <c r="P515" s="9" t="s">
        <v>6243</v>
      </c>
      <c r="Q515" s="87" t="s">
        <v>6305</v>
      </c>
      <c r="R515" s="87" t="s">
        <v>6251</v>
      </c>
      <c r="S515" s="87" t="s">
        <v>6526</v>
      </c>
      <c r="T515" s="87" t="s">
        <v>6416</v>
      </c>
    </row>
    <row r="516" spans="1:20" ht="15.75" customHeight="1">
      <c r="A516" s="9" t="s">
        <v>3011</v>
      </c>
      <c r="B516" s="9" t="s">
        <v>7676</v>
      </c>
      <c r="C516" s="9" t="s">
        <v>7228</v>
      </c>
      <c r="D516" s="87" t="s">
        <v>6290</v>
      </c>
      <c r="E516" s="9" t="s">
        <v>6924</v>
      </c>
      <c r="F516" s="9" t="s">
        <v>11</v>
      </c>
      <c r="G516" s="9" t="s">
        <v>383</v>
      </c>
      <c r="H516" s="9" t="s">
        <v>426</v>
      </c>
      <c r="I516" s="87" t="s">
        <v>6405</v>
      </c>
      <c r="J516" s="87" t="s">
        <v>6405</v>
      </c>
      <c r="K516" s="87" t="s">
        <v>6405</v>
      </c>
      <c r="L516" s="87" t="s">
        <v>6341</v>
      </c>
      <c r="M516" s="87" t="s">
        <v>6591</v>
      </c>
      <c r="N516" s="9" t="s">
        <v>7678</v>
      </c>
      <c r="O516" s="87" t="s">
        <v>6393</v>
      </c>
      <c r="P516" s="9" t="s">
        <v>6243</v>
      </c>
      <c r="Q516" s="87" t="s">
        <v>6341</v>
      </c>
      <c r="R516" s="87" t="s">
        <v>6405</v>
      </c>
      <c r="S516" s="87" t="s">
        <v>6461</v>
      </c>
      <c r="T516" s="87" t="s">
        <v>6245</v>
      </c>
    </row>
    <row r="517" spans="1:20" ht="15.75" customHeight="1">
      <c r="A517" s="9" t="s">
        <v>3011</v>
      </c>
      <c r="B517" s="9" t="s">
        <v>7674</v>
      </c>
      <c r="C517" s="9" t="s">
        <v>7228</v>
      </c>
      <c r="D517" s="87" t="s">
        <v>6290</v>
      </c>
      <c r="E517" s="9" t="s">
        <v>6924</v>
      </c>
      <c r="F517" s="9" t="s">
        <v>11</v>
      </c>
      <c r="G517" s="9" t="s">
        <v>383</v>
      </c>
      <c r="H517" s="9" t="s">
        <v>426</v>
      </c>
      <c r="I517" s="87" t="s">
        <v>6405</v>
      </c>
      <c r="J517" s="87" t="s">
        <v>6264</v>
      </c>
      <c r="K517" s="87" t="s">
        <v>6264</v>
      </c>
      <c r="L517" s="87" t="s">
        <v>6341</v>
      </c>
      <c r="M517" s="87" t="s">
        <v>6591</v>
      </c>
      <c r="N517" s="9" t="s">
        <v>7679</v>
      </c>
      <c r="O517" s="87" t="s">
        <v>6404</v>
      </c>
      <c r="P517" s="9" t="s">
        <v>6243</v>
      </c>
      <c r="Q517" s="87" t="s">
        <v>6596</v>
      </c>
      <c r="R517" s="87" t="s">
        <v>6264</v>
      </c>
      <c r="S517" s="87" t="s">
        <v>6397</v>
      </c>
      <c r="T517" s="87" t="s">
        <v>6651</v>
      </c>
    </row>
    <row r="518" spans="1:20" ht="15.75" customHeight="1">
      <c r="A518" s="9" t="s">
        <v>3028</v>
      </c>
      <c r="B518" s="9" t="s">
        <v>7680</v>
      </c>
      <c r="C518" s="9" t="s">
        <v>6236</v>
      </c>
      <c r="D518" s="87" t="s">
        <v>6393</v>
      </c>
      <c r="E518" s="9" t="s">
        <v>431</v>
      </c>
      <c r="F518" s="9" t="s">
        <v>368</v>
      </c>
      <c r="G518" s="9" t="s">
        <v>436</v>
      </c>
      <c r="H518" s="9" t="s">
        <v>434</v>
      </c>
      <c r="I518" s="87" t="s">
        <v>6237</v>
      </c>
      <c r="J518" s="87" t="s">
        <v>6357</v>
      </c>
      <c r="K518" s="87" t="s">
        <v>6430</v>
      </c>
      <c r="L518" s="87" t="s">
        <v>6240</v>
      </c>
      <c r="M518" s="87" t="s">
        <v>6566</v>
      </c>
      <c r="N518" s="9" t="s">
        <v>7504</v>
      </c>
      <c r="O518" s="87" t="s">
        <v>6430</v>
      </c>
      <c r="P518" s="9" t="s">
        <v>6243</v>
      </c>
      <c r="Q518" s="87" t="s">
        <v>6579</v>
      </c>
      <c r="R518" s="87" t="s">
        <v>6357</v>
      </c>
      <c r="S518" s="87" t="s">
        <v>6327</v>
      </c>
      <c r="T518" s="87" t="s">
        <v>6440</v>
      </c>
    </row>
    <row r="519" spans="1:20" ht="15.75" customHeight="1">
      <c r="A519" s="9" t="s">
        <v>3028</v>
      </c>
      <c r="B519" s="9" t="s">
        <v>7680</v>
      </c>
      <c r="C519" s="9" t="s">
        <v>6236</v>
      </c>
      <c r="D519" s="87" t="s">
        <v>6393</v>
      </c>
      <c r="E519" s="9" t="s">
        <v>431</v>
      </c>
      <c r="F519" s="9" t="s">
        <v>368</v>
      </c>
      <c r="G519" s="9" t="s">
        <v>436</v>
      </c>
      <c r="H519" s="9" t="s">
        <v>434</v>
      </c>
      <c r="I519" s="87" t="s">
        <v>6237</v>
      </c>
      <c r="J519" s="87" t="s">
        <v>6357</v>
      </c>
      <c r="K519" s="87" t="s">
        <v>6414</v>
      </c>
      <c r="L519" s="87" t="s">
        <v>6240</v>
      </c>
      <c r="M519" s="87" t="s">
        <v>6568</v>
      </c>
      <c r="N519" s="9" t="s">
        <v>7166</v>
      </c>
      <c r="O519" s="87" t="s">
        <v>6414</v>
      </c>
      <c r="P519" s="9" t="s">
        <v>6243</v>
      </c>
      <c r="Q519" s="87" t="s">
        <v>6416</v>
      </c>
      <c r="R519" s="87" t="s">
        <v>6357</v>
      </c>
      <c r="S519" s="87" t="s">
        <v>6284</v>
      </c>
      <c r="T519" s="87" t="s">
        <v>6645</v>
      </c>
    </row>
    <row r="520" spans="1:20" ht="15.75" customHeight="1">
      <c r="A520" s="9" t="s">
        <v>3028</v>
      </c>
      <c r="B520" s="9" t="s">
        <v>7681</v>
      </c>
      <c r="C520" s="9" t="s">
        <v>6671</v>
      </c>
      <c r="D520" s="87" t="s">
        <v>6296</v>
      </c>
      <c r="E520" s="9" t="s">
        <v>6672</v>
      </c>
      <c r="F520" s="9" t="s">
        <v>439</v>
      </c>
      <c r="G520" s="9" t="s">
        <v>436</v>
      </c>
      <c r="H520" s="9" t="s">
        <v>440</v>
      </c>
      <c r="I520" s="87" t="s">
        <v>6405</v>
      </c>
      <c r="J520" s="87" t="s">
        <v>6498</v>
      </c>
      <c r="K520" s="87" t="s">
        <v>6498</v>
      </c>
      <c r="L520" s="87" t="s">
        <v>6240</v>
      </c>
      <c r="M520" s="87" t="s">
        <v>6581</v>
      </c>
      <c r="N520" s="9" t="s">
        <v>7158</v>
      </c>
      <c r="O520" s="87" t="s">
        <v>6498</v>
      </c>
      <c r="P520" s="9" t="s">
        <v>6243</v>
      </c>
      <c r="Q520" s="87" t="s">
        <v>4019</v>
      </c>
      <c r="R520" s="87" t="s">
        <v>6498</v>
      </c>
      <c r="S520" s="87" t="s">
        <v>6263</v>
      </c>
      <c r="T520" s="87" t="s">
        <v>6645</v>
      </c>
    </row>
    <row r="521" spans="1:20" ht="15.75" customHeight="1">
      <c r="A521" s="9" t="s">
        <v>3028</v>
      </c>
      <c r="B521" s="9" t="s">
        <v>7682</v>
      </c>
      <c r="C521" s="9" t="s">
        <v>6923</v>
      </c>
      <c r="D521" s="87" t="s">
        <v>6461</v>
      </c>
      <c r="E521" s="9" t="s">
        <v>6924</v>
      </c>
      <c r="F521" s="9" t="s">
        <v>6925</v>
      </c>
      <c r="G521" s="9" t="s">
        <v>383</v>
      </c>
      <c r="H521" s="9" t="s">
        <v>427</v>
      </c>
      <c r="I521" s="87" t="s">
        <v>6405</v>
      </c>
      <c r="J521" s="87" t="s">
        <v>6240</v>
      </c>
      <c r="K521" s="87" t="s">
        <v>6939</v>
      </c>
      <c r="L521" s="87" t="s">
        <v>4019</v>
      </c>
      <c r="M521" s="87" t="s">
        <v>6590</v>
      </c>
      <c r="N521" s="9" t="s">
        <v>7159</v>
      </c>
      <c r="O521" s="87" t="s">
        <v>6263</v>
      </c>
      <c r="P521" s="9" t="s">
        <v>6243</v>
      </c>
      <c r="Q521" s="87" t="s">
        <v>3699</v>
      </c>
      <c r="R521" s="87" t="s">
        <v>6240</v>
      </c>
      <c r="S521" s="87" t="s">
        <v>6245</v>
      </c>
      <c r="T521" s="87" t="s">
        <v>6341</v>
      </c>
    </row>
    <row r="522" spans="1:20" ht="15.75" customHeight="1">
      <c r="A522" s="9" t="s">
        <v>3028</v>
      </c>
      <c r="B522" s="9" t="s">
        <v>7682</v>
      </c>
      <c r="C522" s="9" t="s">
        <v>7228</v>
      </c>
      <c r="D522" s="87" t="s">
        <v>6237</v>
      </c>
      <c r="E522" s="9" t="s">
        <v>6924</v>
      </c>
      <c r="F522" s="9" t="s">
        <v>11</v>
      </c>
      <c r="G522" s="9" t="s">
        <v>383</v>
      </c>
      <c r="H522" s="9" t="s">
        <v>426</v>
      </c>
      <c r="I522" s="87" t="s">
        <v>6405</v>
      </c>
      <c r="J522" s="87" t="s">
        <v>6334</v>
      </c>
      <c r="K522" s="87" t="s">
        <v>6334</v>
      </c>
      <c r="L522" s="87" t="s">
        <v>6254</v>
      </c>
      <c r="M522" s="87" t="s">
        <v>6591</v>
      </c>
      <c r="N522" s="9" t="s">
        <v>6966</v>
      </c>
      <c r="O522" s="87" t="s">
        <v>6348</v>
      </c>
      <c r="P522" s="9" t="s">
        <v>6243</v>
      </c>
      <c r="Q522" s="87" t="s">
        <v>5381</v>
      </c>
      <c r="R522" s="87" t="s">
        <v>6334</v>
      </c>
      <c r="S522" s="87" t="s">
        <v>6342</v>
      </c>
      <c r="T522" s="87" t="s">
        <v>6341</v>
      </c>
    </row>
    <row r="523" spans="1:20" ht="15.75" customHeight="1">
      <c r="A523" s="9" t="s">
        <v>3028</v>
      </c>
      <c r="B523" s="9" t="s">
        <v>7683</v>
      </c>
      <c r="C523" s="9" t="s">
        <v>6923</v>
      </c>
      <c r="D523" s="87" t="s">
        <v>6461</v>
      </c>
      <c r="E523" s="9" t="s">
        <v>6924</v>
      </c>
      <c r="F523" s="9" t="s">
        <v>6925</v>
      </c>
      <c r="G523" s="9" t="s">
        <v>383</v>
      </c>
      <c r="H523" s="9" t="s">
        <v>427</v>
      </c>
      <c r="I523" s="87" t="s">
        <v>6405</v>
      </c>
      <c r="J523" s="87" t="s">
        <v>6240</v>
      </c>
      <c r="K523" s="87" t="s">
        <v>6939</v>
      </c>
      <c r="L523" s="87" t="s">
        <v>4019</v>
      </c>
      <c r="M523" s="87" t="s">
        <v>6591</v>
      </c>
      <c r="N523" s="9" t="s">
        <v>7159</v>
      </c>
      <c r="O523" s="87" t="s">
        <v>6263</v>
      </c>
      <c r="P523" s="9" t="s">
        <v>6243</v>
      </c>
      <c r="Q523" s="87" t="s">
        <v>3699</v>
      </c>
      <c r="R523" s="87" t="s">
        <v>6240</v>
      </c>
      <c r="S523" s="87" t="s">
        <v>6245</v>
      </c>
      <c r="T523" s="87" t="s">
        <v>6341</v>
      </c>
    </row>
    <row r="524" spans="1:20" ht="15.75" customHeight="1">
      <c r="A524" s="9" t="s">
        <v>3028</v>
      </c>
      <c r="B524" s="9" t="s">
        <v>7683</v>
      </c>
      <c r="C524" s="9" t="s">
        <v>7228</v>
      </c>
      <c r="D524" s="87" t="s">
        <v>6237</v>
      </c>
      <c r="E524" s="9" t="s">
        <v>6924</v>
      </c>
      <c r="F524" s="9" t="s">
        <v>11</v>
      </c>
      <c r="G524" s="9" t="s">
        <v>383</v>
      </c>
      <c r="H524" s="9" t="s">
        <v>426</v>
      </c>
      <c r="I524" s="87" t="s">
        <v>6405</v>
      </c>
      <c r="J524" s="87" t="s">
        <v>6334</v>
      </c>
      <c r="K524" s="87" t="s">
        <v>6334</v>
      </c>
      <c r="L524" s="87" t="s">
        <v>6254</v>
      </c>
      <c r="M524" s="87" t="s">
        <v>6592</v>
      </c>
      <c r="N524" s="9" t="s">
        <v>6966</v>
      </c>
      <c r="O524" s="87" t="s">
        <v>6348</v>
      </c>
      <c r="P524" s="9" t="s">
        <v>6547</v>
      </c>
      <c r="Q524" s="87" t="s">
        <v>5381</v>
      </c>
      <c r="R524" s="87" t="s">
        <v>6334</v>
      </c>
      <c r="S524" s="87" t="s">
        <v>6342</v>
      </c>
      <c r="T524" s="87" t="s">
        <v>6341</v>
      </c>
    </row>
    <row r="525" spans="1:20" ht="15.75" customHeight="1">
      <c r="A525" s="9" t="s">
        <v>3028</v>
      </c>
      <c r="B525" s="9" t="s">
        <v>7684</v>
      </c>
      <c r="C525" s="9" t="s">
        <v>6923</v>
      </c>
      <c r="D525" s="87" t="s">
        <v>6461</v>
      </c>
      <c r="E525" s="9" t="s">
        <v>6924</v>
      </c>
      <c r="F525" s="9" t="s">
        <v>6925</v>
      </c>
      <c r="G525" s="9" t="s">
        <v>383</v>
      </c>
      <c r="H525" s="9" t="s">
        <v>427</v>
      </c>
      <c r="I525" s="87" t="s">
        <v>6405</v>
      </c>
      <c r="J525" s="87" t="s">
        <v>6240</v>
      </c>
      <c r="K525" s="87" t="s">
        <v>6926</v>
      </c>
      <c r="L525" s="87" t="s">
        <v>4019</v>
      </c>
      <c r="M525" s="87" t="s">
        <v>6592</v>
      </c>
      <c r="N525" s="9" t="s">
        <v>6979</v>
      </c>
      <c r="O525" s="87" t="s">
        <v>6498</v>
      </c>
      <c r="P525" s="9" t="s">
        <v>6547</v>
      </c>
      <c r="Q525" s="87" t="s">
        <v>4019</v>
      </c>
      <c r="R525" s="87" t="s">
        <v>6240</v>
      </c>
      <c r="S525" s="87" t="s">
        <v>6392</v>
      </c>
      <c r="T525" s="87" t="s">
        <v>6341</v>
      </c>
    </row>
    <row r="526" spans="1:20" ht="15.75" customHeight="1">
      <c r="A526" s="9" t="s">
        <v>3028</v>
      </c>
      <c r="B526" s="9" t="s">
        <v>7684</v>
      </c>
      <c r="C526" s="9" t="s">
        <v>7228</v>
      </c>
      <c r="D526" s="87" t="s">
        <v>6237</v>
      </c>
      <c r="E526" s="9" t="s">
        <v>6924</v>
      </c>
      <c r="F526" s="9" t="s">
        <v>11</v>
      </c>
      <c r="G526" s="9" t="s">
        <v>383</v>
      </c>
      <c r="H526" s="9" t="s">
        <v>426</v>
      </c>
      <c r="I526" s="87" t="s">
        <v>6405</v>
      </c>
      <c r="J526" s="87" t="s">
        <v>6405</v>
      </c>
      <c r="K526" s="87" t="s">
        <v>6405</v>
      </c>
      <c r="L526" s="87" t="s">
        <v>6254</v>
      </c>
      <c r="M526" s="87" t="s">
        <v>6597</v>
      </c>
      <c r="N526" s="9" t="s">
        <v>7236</v>
      </c>
      <c r="O526" s="87" t="s">
        <v>6251</v>
      </c>
      <c r="P526" s="9" t="s">
        <v>6547</v>
      </c>
      <c r="Q526" s="87" t="s">
        <v>6254</v>
      </c>
      <c r="R526" s="87" t="s">
        <v>6405</v>
      </c>
      <c r="S526" s="87" t="s">
        <v>6256</v>
      </c>
      <c r="T526" s="87" t="s">
        <v>6341</v>
      </c>
    </row>
    <row r="527" spans="1:20" ht="15.75" customHeight="1">
      <c r="A527" s="9" t="s">
        <v>2893</v>
      </c>
      <c r="B527" s="9" t="s">
        <v>7685</v>
      </c>
      <c r="C527" s="9" t="s">
        <v>6236</v>
      </c>
      <c r="D527" s="87" t="s">
        <v>6393</v>
      </c>
      <c r="E527" s="9" t="s">
        <v>431</v>
      </c>
      <c r="F527" s="9" t="s">
        <v>368</v>
      </c>
      <c r="G527" s="9" t="s">
        <v>436</v>
      </c>
      <c r="H527" s="9" t="s">
        <v>434</v>
      </c>
      <c r="I527" s="87" t="s">
        <v>6264</v>
      </c>
      <c r="J527" s="87" t="s">
        <v>6392</v>
      </c>
      <c r="K527" s="87" t="s">
        <v>6392</v>
      </c>
      <c r="L527" s="87" t="s">
        <v>6240</v>
      </c>
      <c r="M527" s="87" t="s">
        <v>6563</v>
      </c>
      <c r="N527" s="9" t="s">
        <v>7686</v>
      </c>
      <c r="O527" s="87" t="s">
        <v>6392</v>
      </c>
      <c r="P527" s="9" t="s">
        <v>6243</v>
      </c>
      <c r="Q527" s="87" t="s">
        <v>3236</v>
      </c>
      <c r="R527" s="87" t="s">
        <v>6392</v>
      </c>
      <c r="S527" s="87" t="s">
        <v>6348</v>
      </c>
      <c r="T527" s="87" t="s">
        <v>6555</v>
      </c>
    </row>
    <row r="528" spans="1:20" ht="15.75" customHeight="1">
      <c r="A528" s="9" t="s">
        <v>2893</v>
      </c>
      <c r="B528" s="9" t="s">
        <v>7687</v>
      </c>
      <c r="C528" s="9" t="s">
        <v>6671</v>
      </c>
      <c r="D528" s="87" t="s">
        <v>6296</v>
      </c>
      <c r="E528" s="9" t="s">
        <v>6672</v>
      </c>
      <c r="F528" s="9" t="s">
        <v>439</v>
      </c>
      <c r="G528" s="9" t="s">
        <v>436</v>
      </c>
      <c r="H528" s="9" t="s">
        <v>440</v>
      </c>
      <c r="I528" s="87" t="s">
        <v>6405</v>
      </c>
      <c r="J528" s="87" t="s">
        <v>6346</v>
      </c>
      <c r="K528" s="87" t="s">
        <v>6346</v>
      </c>
      <c r="L528" s="87" t="s">
        <v>6240</v>
      </c>
      <c r="M528" s="87" t="s">
        <v>6566</v>
      </c>
      <c r="N528" s="9" t="s">
        <v>6972</v>
      </c>
      <c r="O528" s="87" t="s">
        <v>6346</v>
      </c>
      <c r="P528" s="9" t="s">
        <v>6243</v>
      </c>
      <c r="Q528" s="87" t="s">
        <v>6366</v>
      </c>
      <c r="R528" s="87" t="s">
        <v>6346</v>
      </c>
      <c r="S528" s="87" t="s">
        <v>5381</v>
      </c>
      <c r="T528" s="87" t="s">
        <v>6645</v>
      </c>
    </row>
    <row r="529" spans="1:20" ht="15.75" customHeight="1">
      <c r="A529" s="9" t="s">
        <v>2893</v>
      </c>
      <c r="B529" s="9" t="s">
        <v>7688</v>
      </c>
      <c r="C529" s="9" t="s">
        <v>6923</v>
      </c>
      <c r="D529" s="87" t="s">
        <v>6461</v>
      </c>
      <c r="E529" s="9" t="s">
        <v>6924</v>
      </c>
      <c r="F529" s="9" t="s">
        <v>6925</v>
      </c>
      <c r="G529" s="9" t="s">
        <v>383</v>
      </c>
      <c r="H529" s="9" t="s">
        <v>427</v>
      </c>
      <c r="I529" s="87" t="s">
        <v>6405</v>
      </c>
      <c r="J529" s="87" t="s">
        <v>6810</v>
      </c>
      <c r="K529" s="87" t="s">
        <v>6926</v>
      </c>
      <c r="L529" s="87" t="s">
        <v>6372</v>
      </c>
      <c r="M529" s="87" t="s">
        <v>6582</v>
      </c>
      <c r="N529" s="9" t="s">
        <v>7160</v>
      </c>
      <c r="O529" s="87" t="s">
        <v>6295</v>
      </c>
      <c r="P529" s="9" t="s">
        <v>6243</v>
      </c>
      <c r="Q529" s="87" t="s">
        <v>6372</v>
      </c>
      <c r="R529" s="87" t="s">
        <v>6810</v>
      </c>
      <c r="S529" s="87" t="s">
        <v>6255</v>
      </c>
      <c r="T529" s="87" t="s">
        <v>6322</v>
      </c>
    </row>
    <row r="530" spans="1:20" ht="15.75" customHeight="1">
      <c r="A530" s="9" t="s">
        <v>2893</v>
      </c>
      <c r="B530" s="9" t="s">
        <v>7688</v>
      </c>
      <c r="C530" s="9" t="s">
        <v>7228</v>
      </c>
      <c r="D530" s="87" t="s">
        <v>6237</v>
      </c>
      <c r="E530" s="9" t="s">
        <v>6924</v>
      </c>
      <c r="F530" s="9" t="s">
        <v>11</v>
      </c>
      <c r="G530" s="9" t="s">
        <v>383</v>
      </c>
      <c r="H530" s="9" t="s">
        <v>426</v>
      </c>
      <c r="I530" s="87" t="s">
        <v>6405</v>
      </c>
      <c r="J530" s="87" t="s">
        <v>6405</v>
      </c>
      <c r="K530" s="87" t="s">
        <v>6405</v>
      </c>
      <c r="L530" s="87" t="s">
        <v>6397</v>
      </c>
      <c r="M530" s="87" t="s">
        <v>6583</v>
      </c>
      <c r="N530" s="9" t="s">
        <v>7583</v>
      </c>
      <c r="O530" s="87" t="s">
        <v>6240</v>
      </c>
      <c r="P530" s="9" t="s">
        <v>6243</v>
      </c>
      <c r="Q530" s="87" t="s">
        <v>6397</v>
      </c>
      <c r="R530" s="87" t="s">
        <v>6405</v>
      </c>
      <c r="S530" s="87" t="s">
        <v>6479</v>
      </c>
      <c r="T530" s="87" t="s">
        <v>6287</v>
      </c>
    </row>
    <row r="531" spans="1:20" ht="15.75" customHeight="1">
      <c r="A531" s="9" t="s">
        <v>2893</v>
      </c>
      <c r="B531" s="9" t="s">
        <v>7689</v>
      </c>
      <c r="C531" s="9" t="s">
        <v>6923</v>
      </c>
      <c r="D531" s="87" t="s">
        <v>6461</v>
      </c>
      <c r="E531" s="9" t="s">
        <v>6924</v>
      </c>
      <c r="F531" s="9" t="s">
        <v>6925</v>
      </c>
      <c r="G531" s="9" t="s">
        <v>383</v>
      </c>
      <c r="H531" s="9" t="s">
        <v>427</v>
      </c>
      <c r="I531" s="87" t="s">
        <v>6405</v>
      </c>
      <c r="J531" s="87" t="s">
        <v>6810</v>
      </c>
      <c r="K531" s="87" t="s">
        <v>6931</v>
      </c>
      <c r="L531" s="87" t="s">
        <v>6372</v>
      </c>
      <c r="M531" s="87" t="s">
        <v>6583</v>
      </c>
      <c r="N531" s="9" t="s">
        <v>7034</v>
      </c>
      <c r="O531" s="87" t="s">
        <v>6239</v>
      </c>
      <c r="P531" s="9" t="s">
        <v>6243</v>
      </c>
      <c r="Q531" s="87" t="s">
        <v>3764</v>
      </c>
      <c r="R531" s="87" t="s">
        <v>6810</v>
      </c>
      <c r="S531" s="87" t="s">
        <v>7035</v>
      </c>
      <c r="T531" s="87" t="s">
        <v>6341</v>
      </c>
    </row>
    <row r="532" spans="1:20" ht="15.75" customHeight="1">
      <c r="A532" s="9" t="s">
        <v>2893</v>
      </c>
      <c r="B532" s="9" t="s">
        <v>7689</v>
      </c>
      <c r="C532" s="9" t="s">
        <v>7228</v>
      </c>
      <c r="D532" s="87" t="s">
        <v>6237</v>
      </c>
      <c r="E532" s="9" t="s">
        <v>6924</v>
      </c>
      <c r="F532" s="9" t="s">
        <v>11</v>
      </c>
      <c r="G532" s="9" t="s">
        <v>383</v>
      </c>
      <c r="H532" s="9" t="s">
        <v>426</v>
      </c>
      <c r="I532" s="87" t="s">
        <v>6405</v>
      </c>
      <c r="J532" s="87" t="s">
        <v>6264</v>
      </c>
      <c r="K532" s="87" t="s">
        <v>6264</v>
      </c>
      <c r="L532" s="87" t="s">
        <v>6397</v>
      </c>
      <c r="M532" s="87" t="s">
        <v>6584</v>
      </c>
      <c r="N532" s="9" t="s">
        <v>7300</v>
      </c>
      <c r="O532" s="87" t="s">
        <v>6313</v>
      </c>
      <c r="P532" s="9" t="s">
        <v>6243</v>
      </c>
      <c r="Q532" s="87" t="s">
        <v>6357</v>
      </c>
      <c r="R532" s="87" t="s">
        <v>6264</v>
      </c>
      <c r="S532" s="87" t="s">
        <v>6651</v>
      </c>
      <c r="T532" s="87" t="s">
        <v>6341</v>
      </c>
    </row>
    <row r="533" spans="1:20" ht="15.75" customHeight="1">
      <c r="A533" s="9" t="s">
        <v>2893</v>
      </c>
      <c r="B533" s="9" t="s">
        <v>7690</v>
      </c>
      <c r="C533" s="9" t="s">
        <v>6923</v>
      </c>
      <c r="D533" s="87" t="s">
        <v>6461</v>
      </c>
      <c r="E533" s="9" t="s">
        <v>6924</v>
      </c>
      <c r="F533" s="9" t="s">
        <v>6925</v>
      </c>
      <c r="G533" s="9" t="s">
        <v>383</v>
      </c>
      <c r="H533" s="9" t="s">
        <v>427</v>
      </c>
      <c r="I533" s="87" t="s">
        <v>6405</v>
      </c>
      <c r="J533" s="87" t="s">
        <v>6810</v>
      </c>
      <c r="K533" s="87" t="s">
        <v>6931</v>
      </c>
      <c r="L533" s="87" t="s">
        <v>6372</v>
      </c>
      <c r="M533" s="87" t="s">
        <v>6584</v>
      </c>
      <c r="N533" s="9" t="s">
        <v>7034</v>
      </c>
      <c r="O533" s="87" t="s">
        <v>6239</v>
      </c>
      <c r="P533" s="9" t="s">
        <v>6243</v>
      </c>
      <c r="Q533" s="87" t="s">
        <v>3764</v>
      </c>
      <c r="R533" s="87" t="s">
        <v>6810</v>
      </c>
      <c r="S533" s="87" t="s">
        <v>7035</v>
      </c>
      <c r="T533" s="87" t="s">
        <v>6341</v>
      </c>
    </row>
    <row r="534" spans="1:20" ht="15.75" customHeight="1">
      <c r="A534" s="9" t="s">
        <v>2893</v>
      </c>
      <c r="B534" s="9" t="s">
        <v>7690</v>
      </c>
      <c r="C534" s="9" t="s">
        <v>7228</v>
      </c>
      <c r="D534" s="87" t="s">
        <v>6237</v>
      </c>
      <c r="E534" s="9" t="s">
        <v>6924</v>
      </c>
      <c r="F534" s="9" t="s">
        <v>11</v>
      </c>
      <c r="G534" s="9" t="s">
        <v>383</v>
      </c>
      <c r="H534" s="9" t="s">
        <v>426</v>
      </c>
      <c r="I534" s="87" t="s">
        <v>6405</v>
      </c>
      <c r="J534" s="87" t="s">
        <v>6264</v>
      </c>
      <c r="K534" s="87" t="s">
        <v>6264</v>
      </c>
      <c r="L534" s="87" t="s">
        <v>6397</v>
      </c>
      <c r="M534" s="87" t="s">
        <v>6585</v>
      </c>
      <c r="N534" s="9" t="s">
        <v>7300</v>
      </c>
      <c r="O534" s="87" t="s">
        <v>6313</v>
      </c>
      <c r="P534" s="9" t="s">
        <v>6243</v>
      </c>
      <c r="Q534" s="87" t="s">
        <v>6357</v>
      </c>
      <c r="R534" s="87" t="s">
        <v>6264</v>
      </c>
      <c r="S534" s="87" t="s">
        <v>6651</v>
      </c>
      <c r="T534" s="87" t="s">
        <v>6341</v>
      </c>
    </row>
    <row r="535" spans="1:20" ht="15.75" customHeight="1">
      <c r="A535" s="9" t="s">
        <v>2893</v>
      </c>
      <c r="B535" s="9" t="s">
        <v>7691</v>
      </c>
      <c r="C535" s="9" t="s">
        <v>6923</v>
      </c>
      <c r="D535" s="87" t="s">
        <v>6461</v>
      </c>
      <c r="E535" s="9" t="s">
        <v>6924</v>
      </c>
      <c r="F535" s="9" t="s">
        <v>6925</v>
      </c>
      <c r="G535" s="9" t="s">
        <v>383</v>
      </c>
      <c r="H535" s="9" t="s">
        <v>427</v>
      </c>
      <c r="I535" s="87" t="s">
        <v>6405</v>
      </c>
      <c r="J535" s="87" t="s">
        <v>6810</v>
      </c>
      <c r="K535" s="87" t="s">
        <v>6939</v>
      </c>
      <c r="L535" s="87" t="s">
        <v>6372</v>
      </c>
      <c r="M535" s="87" t="s">
        <v>6585</v>
      </c>
      <c r="N535" s="9" t="s">
        <v>7031</v>
      </c>
      <c r="O535" s="87" t="s">
        <v>6526</v>
      </c>
      <c r="P535" s="9" t="s">
        <v>6243</v>
      </c>
      <c r="Q535" s="87" t="s">
        <v>4023</v>
      </c>
      <c r="R535" s="87" t="s">
        <v>6810</v>
      </c>
      <c r="S535" s="87" t="s">
        <v>6295</v>
      </c>
      <c r="T535" s="87" t="s">
        <v>6341</v>
      </c>
    </row>
    <row r="536" spans="1:20" ht="15.75" customHeight="1">
      <c r="A536" s="9" t="s">
        <v>2893</v>
      </c>
      <c r="B536" s="9" t="s">
        <v>7691</v>
      </c>
      <c r="C536" s="9" t="s">
        <v>7228</v>
      </c>
      <c r="D536" s="87" t="s">
        <v>6237</v>
      </c>
      <c r="E536" s="9" t="s">
        <v>6924</v>
      </c>
      <c r="F536" s="9" t="s">
        <v>11</v>
      </c>
      <c r="G536" s="9" t="s">
        <v>383</v>
      </c>
      <c r="H536" s="9" t="s">
        <v>426</v>
      </c>
      <c r="I536" s="87" t="s">
        <v>6405</v>
      </c>
      <c r="J536" s="87" t="s">
        <v>6334</v>
      </c>
      <c r="K536" s="87" t="s">
        <v>6334</v>
      </c>
      <c r="L536" s="87" t="s">
        <v>6397</v>
      </c>
      <c r="M536" s="87" t="s">
        <v>6590</v>
      </c>
      <c r="N536" s="9" t="s">
        <v>7268</v>
      </c>
      <c r="O536" s="87" t="s">
        <v>6290</v>
      </c>
      <c r="P536" s="9" t="s">
        <v>6243</v>
      </c>
      <c r="Q536" s="87" t="s">
        <v>6293</v>
      </c>
      <c r="R536" s="87" t="s">
        <v>6334</v>
      </c>
      <c r="S536" s="87" t="s">
        <v>6479</v>
      </c>
      <c r="T536" s="87" t="s">
        <v>6341</v>
      </c>
    </row>
    <row r="537" spans="1:20" ht="15.75" customHeight="1">
      <c r="A537" s="9" t="s">
        <v>2852</v>
      </c>
      <c r="B537" s="9" t="s">
        <v>7692</v>
      </c>
      <c r="C537" s="9" t="s">
        <v>6236</v>
      </c>
      <c r="D537" s="87" t="s">
        <v>6393</v>
      </c>
      <c r="E537" s="9" t="s">
        <v>431</v>
      </c>
      <c r="F537" s="9" t="s">
        <v>368</v>
      </c>
      <c r="G537" s="9" t="s">
        <v>436</v>
      </c>
      <c r="H537" s="9" t="s">
        <v>434</v>
      </c>
      <c r="I537" s="87" t="s">
        <v>6237</v>
      </c>
      <c r="J537" s="87" t="s">
        <v>6498</v>
      </c>
      <c r="K537" s="87" t="s">
        <v>6348</v>
      </c>
      <c r="L537" s="87" t="s">
        <v>6240</v>
      </c>
      <c r="M537" s="87" t="s">
        <v>6634</v>
      </c>
      <c r="N537" s="9" t="s">
        <v>7109</v>
      </c>
      <c r="O537" s="87" t="s">
        <v>6348</v>
      </c>
      <c r="P537" s="9" t="s">
        <v>6243</v>
      </c>
      <c r="Q537" s="87" t="s">
        <v>5381</v>
      </c>
      <c r="R537" s="87" t="s">
        <v>6498</v>
      </c>
      <c r="S537" s="87" t="s">
        <v>6327</v>
      </c>
      <c r="T537" s="87" t="s">
        <v>6397</v>
      </c>
    </row>
    <row r="538" spans="1:20" ht="15.75" customHeight="1">
      <c r="A538" s="9" t="s">
        <v>2852</v>
      </c>
      <c r="B538" s="9" t="s">
        <v>7692</v>
      </c>
      <c r="C538" s="9" t="s">
        <v>6236</v>
      </c>
      <c r="D538" s="87" t="s">
        <v>6393</v>
      </c>
      <c r="E538" s="9" t="s">
        <v>431</v>
      </c>
      <c r="F538" s="9" t="s">
        <v>368</v>
      </c>
      <c r="G538" s="9" t="s">
        <v>436</v>
      </c>
      <c r="H538" s="9" t="s">
        <v>434</v>
      </c>
      <c r="I538" s="87" t="s">
        <v>6237</v>
      </c>
      <c r="J538" s="87" t="s">
        <v>6498</v>
      </c>
      <c r="K538" s="87" t="s">
        <v>6433</v>
      </c>
      <c r="L538" s="87" t="s">
        <v>6240</v>
      </c>
      <c r="M538" s="87" t="s">
        <v>6721</v>
      </c>
      <c r="N538" s="9" t="s">
        <v>7082</v>
      </c>
      <c r="O538" s="87" t="s">
        <v>6433</v>
      </c>
      <c r="P538" s="9" t="s">
        <v>6243</v>
      </c>
      <c r="Q538" s="87" t="s">
        <v>6305</v>
      </c>
      <c r="R538" s="87" t="s">
        <v>6498</v>
      </c>
      <c r="S538" s="87" t="s">
        <v>6479</v>
      </c>
      <c r="T538" s="87" t="s">
        <v>6645</v>
      </c>
    </row>
    <row r="539" spans="1:20" ht="15.75" customHeight="1">
      <c r="A539" s="9" t="s">
        <v>2852</v>
      </c>
      <c r="B539" s="9" t="s">
        <v>7693</v>
      </c>
      <c r="C539" s="9" t="s">
        <v>6671</v>
      </c>
      <c r="D539" s="87" t="s">
        <v>6296</v>
      </c>
      <c r="E539" s="9" t="s">
        <v>6672</v>
      </c>
      <c r="F539" s="9" t="s">
        <v>439</v>
      </c>
      <c r="G539" s="9" t="s">
        <v>436</v>
      </c>
      <c r="H539" s="9" t="s">
        <v>440</v>
      </c>
      <c r="I539" s="87" t="s">
        <v>6405</v>
      </c>
      <c r="J539" s="87" t="s">
        <v>6498</v>
      </c>
      <c r="K539" s="87" t="s">
        <v>6498</v>
      </c>
      <c r="L539" s="87" t="s">
        <v>6240</v>
      </c>
      <c r="M539" s="87" t="s">
        <v>6718</v>
      </c>
      <c r="N539" s="9" t="s">
        <v>7158</v>
      </c>
      <c r="O539" s="87" t="s">
        <v>6498</v>
      </c>
      <c r="P539" s="9" t="s">
        <v>6243</v>
      </c>
      <c r="Q539" s="87" t="s">
        <v>4019</v>
      </c>
      <c r="R539" s="87" t="s">
        <v>6498</v>
      </c>
      <c r="S539" s="87" t="s">
        <v>6263</v>
      </c>
      <c r="T539" s="87" t="s">
        <v>6645</v>
      </c>
    </row>
    <row r="540" spans="1:20" ht="15.75" customHeight="1">
      <c r="A540" s="9" t="s">
        <v>2852</v>
      </c>
      <c r="B540" s="9" t="s">
        <v>7694</v>
      </c>
      <c r="C540" s="9" t="s">
        <v>6923</v>
      </c>
      <c r="D540" s="87" t="s">
        <v>6327</v>
      </c>
      <c r="E540" s="9" t="s">
        <v>6924</v>
      </c>
      <c r="F540" s="9" t="s">
        <v>6925</v>
      </c>
      <c r="G540" s="9" t="s">
        <v>383</v>
      </c>
      <c r="H540" s="9" t="s">
        <v>444</v>
      </c>
      <c r="I540" s="87" t="s">
        <v>6405</v>
      </c>
      <c r="J540" s="87" t="s">
        <v>6405</v>
      </c>
      <c r="K540" s="87" t="s">
        <v>6926</v>
      </c>
      <c r="L540" s="87" t="s">
        <v>6341</v>
      </c>
      <c r="M540" s="87" t="s">
        <v>6635</v>
      </c>
      <c r="N540" s="9" t="s">
        <v>7173</v>
      </c>
      <c r="O540" s="87" t="s">
        <v>6393</v>
      </c>
      <c r="P540" s="9" t="s">
        <v>6243</v>
      </c>
      <c r="Q540" s="87" t="s">
        <v>6341</v>
      </c>
      <c r="R540" s="87" t="s">
        <v>6405</v>
      </c>
      <c r="S540" s="87" t="s">
        <v>6277</v>
      </c>
      <c r="T540" s="87" t="s">
        <v>6341</v>
      </c>
    </row>
    <row r="541" spans="1:20" ht="15.75" customHeight="1">
      <c r="A541" s="9" t="s">
        <v>2852</v>
      </c>
      <c r="B541" s="9" t="s">
        <v>7694</v>
      </c>
      <c r="C541" s="9" t="s">
        <v>7228</v>
      </c>
      <c r="D541" s="87" t="s">
        <v>6290</v>
      </c>
      <c r="E541" s="9" t="s">
        <v>6924</v>
      </c>
      <c r="F541" s="9" t="s">
        <v>11</v>
      </c>
      <c r="G541" s="9" t="s">
        <v>383</v>
      </c>
      <c r="H541" s="9" t="s">
        <v>426</v>
      </c>
      <c r="I541" s="87" t="s">
        <v>6405</v>
      </c>
      <c r="J541" s="87" t="s">
        <v>6405</v>
      </c>
      <c r="K541" s="87" t="s">
        <v>6405</v>
      </c>
      <c r="L541" s="87" t="s">
        <v>6397</v>
      </c>
      <c r="M541" s="87" t="s">
        <v>6710</v>
      </c>
      <c r="N541" s="9" t="s">
        <v>7289</v>
      </c>
      <c r="O541" s="87" t="s">
        <v>6240</v>
      </c>
      <c r="P541" s="9" t="s">
        <v>6243</v>
      </c>
      <c r="Q541" s="87" t="s">
        <v>6397</v>
      </c>
      <c r="R541" s="87" t="s">
        <v>6405</v>
      </c>
      <c r="S541" s="87" t="s">
        <v>6284</v>
      </c>
      <c r="T541" s="87" t="s">
        <v>6341</v>
      </c>
    </row>
    <row r="542" spans="1:20" ht="15.75" customHeight="1">
      <c r="A542" s="9" t="s">
        <v>2894</v>
      </c>
      <c r="B542" s="9" t="s">
        <v>7695</v>
      </c>
      <c r="C542" s="9" t="s">
        <v>6236</v>
      </c>
      <c r="D542" s="87" t="s">
        <v>6393</v>
      </c>
      <c r="E542" s="9" t="s">
        <v>431</v>
      </c>
      <c r="F542" s="9" t="s">
        <v>368</v>
      </c>
      <c r="G542" s="9" t="s">
        <v>436</v>
      </c>
      <c r="H542" s="9" t="s">
        <v>434</v>
      </c>
      <c r="I542" s="87" t="s">
        <v>6237</v>
      </c>
      <c r="J542" s="87" t="s">
        <v>6479</v>
      </c>
      <c r="K542" s="87" t="s">
        <v>6405</v>
      </c>
      <c r="L542" s="87" t="s">
        <v>6240</v>
      </c>
      <c r="M542" s="87" t="s">
        <v>6582</v>
      </c>
      <c r="N542" s="9" t="s">
        <v>7696</v>
      </c>
      <c r="O542" s="87" t="s">
        <v>6405</v>
      </c>
      <c r="P542" s="9" t="s">
        <v>6243</v>
      </c>
      <c r="Q542" s="87" t="s">
        <v>6240</v>
      </c>
      <c r="R542" s="87" t="s">
        <v>6479</v>
      </c>
      <c r="S542" s="87" t="s">
        <v>6327</v>
      </c>
      <c r="T542" s="87" t="s">
        <v>6327</v>
      </c>
    </row>
    <row r="543" spans="1:20" ht="15.75" customHeight="1">
      <c r="A543" s="9" t="s">
        <v>2894</v>
      </c>
      <c r="B543" s="9" t="s">
        <v>7695</v>
      </c>
      <c r="C543" s="9" t="s">
        <v>6236</v>
      </c>
      <c r="D543" s="87" t="s">
        <v>6393</v>
      </c>
      <c r="E543" s="9" t="s">
        <v>431</v>
      </c>
      <c r="F543" s="9" t="s">
        <v>368</v>
      </c>
      <c r="G543" s="9" t="s">
        <v>436</v>
      </c>
      <c r="H543" s="9" t="s">
        <v>434</v>
      </c>
      <c r="I543" s="87" t="s">
        <v>6237</v>
      </c>
      <c r="J543" s="87" t="s">
        <v>6479</v>
      </c>
      <c r="K543" s="87" t="s">
        <v>6416</v>
      </c>
      <c r="L543" s="87" t="s">
        <v>6240</v>
      </c>
      <c r="M543" s="87" t="s">
        <v>6583</v>
      </c>
      <c r="N543" s="9" t="s">
        <v>7411</v>
      </c>
      <c r="O543" s="87" t="s">
        <v>6416</v>
      </c>
      <c r="P543" s="9" t="s">
        <v>6243</v>
      </c>
      <c r="Q543" s="87" t="s">
        <v>6758</v>
      </c>
      <c r="R543" s="87" t="s">
        <v>6479</v>
      </c>
      <c r="S543" s="87" t="s">
        <v>6411</v>
      </c>
      <c r="T543" s="87" t="s">
        <v>6645</v>
      </c>
    </row>
    <row r="544" spans="1:20" ht="15.75" customHeight="1">
      <c r="A544" s="9" t="s">
        <v>2894</v>
      </c>
      <c r="B544" s="9" t="s">
        <v>7697</v>
      </c>
      <c r="C544" s="9" t="s">
        <v>6671</v>
      </c>
      <c r="D544" s="87" t="s">
        <v>6296</v>
      </c>
      <c r="E544" s="9" t="s">
        <v>6672</v>
      </c>
      <c r="F544" s="9" t="s">
        <v>439</v>
      </c>
      <c r="G544" s="9" t="s">
        <v>436</v>
      </c>
      <c r="H544" s="9" t="s">
        <v>440</v>
      </c>
      <c r="I544" s="87" t="s">
        <v>6405</v>
      </c>
      <c r="J544" s="87" t="s">
        <v>6306</v>
      </c>
      <c r="K544" s="87" t="s">
        <v>6497</v>
      </c>
      <c r="L544" s="87" t="s">
        <v>6240</v>
      </c>
      <c r="M544" s="87" t="s">
        <v>6584</v>
      </c>
      <c r="N544" s="9" t="s">
        <v>7165</v>
      </c>
      <c r="O544" s="87" t="s">
        <v>6497</v>
      </c>
      <c r="P544" s="9" t="s">
        <v>6243</v>
      </c>
      <c r="Q544" s="87" t="s">
        <v>6714</v>
      </c>
      <c r="R544" s="87" t="s">
        <v>6306</v>
      </c>
      <c r="S544" s="87" t="s">
        <v>6327</v>
      </c>
      <c r="T544" s="87" t="s">
        <v>6271</v>
      </c>
    </row>
    <row r="545" spans="1:20" ht="15.75" customHeight="1">
      <c r="A545" s="9" t="s">
        <v>2894</v>
      </c>
      <c r="B545" s="9" t="s">
        <v>7697</v>
      </c>
      <c r="C545" s="9" t="s">
        <v>6671</v>
      </c>
      <c r="D545" s="87" t="s">
        <v>6296</v>
      </c>
      <c r="E545" s="9" t="s">
        <v>6672</v>
      </c>
      <c r="F545" s="9" t="s">
        <v>439</v>
      </c>
      <c r="G545" s="9" t="s">
        <v>436</v>
      </c>
      <c r="H545" s="9" t="s">
        <v>440</v>
      </c>
      <c r="I545" s="87" t="s">
        <v>6405</v>
      </c>
      <c r="J545" s="87" t="s">
        <v>6306</v>
      </c>
      <c r="K545" s="87" t="s">
        <v>6414</v>
      </c>
      <c r="L545" s="87" t="s">
        <v>6240</v>
      </c>
      <c r="M545" s="87" t="s">
        <v>6585</v>
      </c>
      <c r="N545" s="9" t="s">
        <v>7166</v>
      </c>
      <c r="O545" s="87" t="s">
        <v>6414</v>
      </c>
      <c r="P545" s="9" t="s">
        <v>6243</v>
      </c>
      <c r="Q545" s="87" t="s">
        <v>6416</v>
      </c>
      <c r="R545" s="87" t="s">
        <v>6306</v>
      </c>
      <c r="S545" s="87" t="s">
        <v>6284</v>
      </c>
      <c r="T545" s="87" t="s">
        <v>6645</v>
      </c>
    </row>
    <row r="546" spans="1:20" ht="15.75" customHeight="1">
      <c r="A546" s="9" t="s">
        <v>2894</v>
      </c>
      <c r="B546" s="9" t="s">
        <v>7698</v>
      </c>
      <c r="C546" s="9" t="s">
        <v>6923</v>
      </c>
      <c r="D546" s="87" t="s">
        <v>6327</v>
      </c>
      <c r="E546" s="9" t="s">
        <v>6924</v>
      </c>
      <c r="F546" s="9" t="s">
        <v>6925</v>
      </c>
      <c r="G546" s="9" t="s">
        <v>383</v>
      </c>
      <c r="H546" s="9" t="s">
        <v>444</v>
      </c>
      <c r="I546" s="87" t="s">
        <v>6405</v>
      </c>
      <c r="J546" s="87" t="s">
        <v>6251</v>
      </c>
      <c r="K546" s="87" t="s">
        <v>6926</v>
      </c>
      <c r="L546" s="87" t="s">
        <v>6484</v>
      </c>
      <c r="M546" s="87" t="s">
        <v>6590</v>
      </c>
      <c r="N546" s="9" t="s">
        <v>7699</v>
      </c>
      <c r="O546" s="87" t="s">
        <v>6810</v>
      </c>
      <c r="P546" s="9" t="s">
        <v>6243</v>
      </c>
      <c r="Q546" s="87" t="s">
        <v>6484</v>
      </c>
      <c r="R546" s="87" t="s">
        <v>6251</v>
      </c>
      <c r="S546" s="87" t="s">
        <v>6405</v>
      </c>
      <c r="T546" s="87" t="s">
        <v>6810</v>
      </c>
    </row>
    <row r="547" spans="1:20" ht="15.75" customHeight="1">
      <c r="A547" s="9" t="s">
        <v>2894</v>
      </c>
      <c r="B547" s="9" t="s">
        <v>7700</v>
      </c>
      <c r="C547" s="9" t="s">
        <v>6923</v>
      </c>
      <c r="D547" s="87" t="s">
        <v>6327</v>
      </c>
      <c r="E547" s="9" t="s">
        <v>6924</v>
      </c>
      <c r="F547" s="9" t="s">
        <v>6925</v>
      </c>
      <c r="G547" s="9" t="s">
        <v>383</v>
      </c>
      <c r="H547" s="9" t="s">
        <v>444</v>
      </c>
      <c r="I547" s="87" t="s">
        <v>6405</v>
      </c>
      <c r="J547" s="87" t="s">
        <v>6251</v>
      </c>
      <c r="K547" s="87" t="s">
        <v>6926</v>
      </c>
      <c r="L547" s="87" t="s">
        <v>6484</v>
      </c>
      <c r="M547" s="87" t="s">
        <v>6591</v>
      </c>
      <c r="N547" s="9" t="s">
        <v>7699</v>
      </c>
      <c r="O547" s="87" t="s">
        <v>6810</v>
      </c>
      <c r="P547" s="9" t="s">
        <v>6243</v>
      </c>
      <c r="Q547" s="87" t="s">
        <v>6484</v>
      </c>
      <c r="R547" s="87" t="s">
        <v>6251</v>
      </c>
      <c r="S547" s="87" t="s">
        <v>6405</v>
      </c>
      <c r="T547" s="87" t="s">
        <v>6810</v>
      </c>
    </row>
    <row r="548" spans="1:20" ht="15.75" customHeight="1">
      <c r="A548" s="9" t="s">
        <v>2894</v>
      </c>
      <c r="B548" s="9" t="s">
        <v>7700</v>
      </c>
      <c r="C548" s="9" t="s">
        <v>7228</v>
      </c>
      <c r="D548" s="87" t="s">
        <v>6290</v>
      </c>
      <c r="E548" s="9" t="s">
        <v>6924</v>
      </c>
      <c r="F548" s="9" t="s">
        <v>11</v>
      </c>
      <c r="G548" s="9" t="s">
        <v>383</v>
      </c>
      <c r="H548" s="9" t="s">
        <v>426</v>
      </c>
      <c r="I548" s="87" t="s">
        <v>6405</v>
      </c>
      <c r="J548" s="87" t="s">
        <v>6405</v>
      </c>
      <c r="K548" s="87" t="s">
        <v>6405</v>
      </c>
      <c r="L548" s="87" t="s">
        <v>6287</v>
      </c>
      <c r="M548" s="87" t="s">
        <v>6592</v>
      </c>
      <c r="N548" s="9" t="s">
        <v>7701</v>
      </c>
      <c r="O548" s="87" t="s">
        <v>6296</v>
      </c>
      <c r="P548" s="9" t="s">
        <v>6243</v>
      </c>
      <c r="Q548" s="87" t="s">
        <v>6287</v>
      </c>
      <c r="R548" s="87" t="s">
        <v>6405</v>
      </c>
      <c r="S548" s="87" t="s">
        <v>6392</v>
      </c>
      <c r="T548" s="87" t="s">
        <v>6277</v>
      </c>
    </row>
    <row r="549" spans="1:20" ht="15.75" customHeight="1">
      <c r="A549" s="9" t="s">
        <v>2894</v>
      </c>
      <c r="B549" s="9" t="s">
        <v>7698</v>
      </c>
      <c r="C549" s="9" t="s">
        <v>7228</v>
      </c>
      <c r="D549" s="87" t="s">
        <v>6290</v>
      </c>
      <c r="E549" s="9" t="s">
        <v>6924</v>
      </c>
      <c r="F549" s="9" t="s">
        <v>11</v>
      </c>
      <c r="G549" s="9" t="s">
        <v>383</v>
      </c>
      <c r="H549" s="9" t="s">
        <v>426</v>
      </c>
      <c r="I549" s="87" t="s">
        <v>6405</v>
      </c>
      <c r="J549" s="87" t="s">
        <v>6405</v>
      </c>
      <c r="K549" s="87" t="s">
        <v>6405</v>
      </c>
      <c r="L549" s="87" t="s">
        <v>6287</v>
      </c>
      <c r="M549" s="87" t="s">
        <v>6592</v>
      </c>
      <c r="N549" s="9" t="s">
        <v>7651</v>
      </c>
      <c r="O549" s="87" t="s">
        <v>6296</v>
      </c>
      <c r="P549" s="9" t="s">
        <v>6243</v>
      </c>
      <c r="Q549" s="87" t="s">
        <v>6287</v>
      </c>
      <c r="R549" s="87" t="s">
        <v>6405</v>
      </c>
      <c r="S549" s="87" t="s">
        <v>6300</v>
      </c>
      <c r="T549" s="87" t="s">
        <v>6341</v>
      </c>
    </row>
    <row r="550" spans="1:20" ht="15.75" customHeight="1">
      <c r="A550" s="9" t="s">
        <v>2894</v>
      </c>
      <c r="B550" s="9" t="s">
        <v>7702</v>
      </c>
      <c r="C550" s="9" t="s">
        <v>6923</v>
      </c>
      <c r="D550" s="87" t="s">
        <v>6327</v>
      </c>
      <c r="E550" s="9" t="s">
        <v>6924</v>
      </c>
      <c r="F550" s="9" t="s">
        <v>6925</v>
      </c>
      <c r="G550" s="9" t="s">
        <v>383</v>
      </c>
      <c r="H550" s="9" t="s">
        <v>444</v>
      </c>
      <c r="I550" s="87" t="s">
        <v>6405</v>
      </c>
      <c r="J550" s="87" t="s">
        <v>6251</v>
      </c>
      <c r="K550" s="87" t="s">
        <v>7703</v>
      </c>
      <c r="L550" s="87" t="s">
        <v>6484</v>
      </c>
      <c r="M550" s="87" t="s">
        <v>6592</v>
      </c>
      <c r="N550" s="9" t="s">
        <v>7025</v>
      </c>
      <c r="O550" s="87" t="s">
        <v>6484</v>
      </c>
      <c r="P550" s="9" t="s">
        <v>6243</v>
      </c>
      <c r="Q550" s="87" t="s">
        <v>6375</v>
      </c>
      <c r="R550" s="87" t="s">
        <v>6251</v>
      </c>
      <c r="S550" s="87" t="s">
        <v>6455</v>
      </c>
      <c r="T550" s="87" t="s">
        <v>6341</v>
      </c>
    </row>
    <row r="551" spans="1:20" ht="15.75" customHeight="1">
      <c r="A551" s="9" t="s">
        <v>2894</v>
      </c>
      <c r="B551" s="9" t="s">
        <v>7702</v>
      </c>
      <c r="C551" s="9" t="s">
        <v>7228</v>
      </c>
      <c r="D551" s="87" t="s">
        <v>6290</v>
      </c>
      <c r="E551" s="9" t="s">
        <v>6924</v>
      </c>
      <c r="F551" s="9" t="s">
        <v>11</v>
      </c>
      <c r="G551" s="9" t="s">
        <v>383</v>
      </c>
      <c r="H551" s="9" t="s">
        <v>426</v>
      </c>
      <c r="I551" s="87" t="s">
        <v>6405</v>
      </c>
      <c r="J551" s="87" t="s">
        <v>6240</v>
      </c>
      <c r="K551" s="87" t="s">
        <v>6240</v>
      </c>
      <c r="L551" s="87" t="s">
        <v>6287</v>
      </c>
      <c r="M551" s="87" t="s">
        <v>6597</v>
      </c>
      <c r="N551" s="9" t="s">
        <v>7024</v>
      </c>
      <c r="O551" s="87" t="s">
        <v>6287</v>
      </c>
      <c r="P551" s="9" t="s">
        <v>6243</v>
      </c>
      <c r="Q551" s="87" t="s">
        <v>3734</v>
      </c>
      <c r="R551" s="87" t="s">
        <v>6240</v>
      </c>
      <c r="S551" s="87" t="s">
        <v>6461</v>
      </c>
      <c r="T551" s="87" t="s">
        <v>6341</v>
      </c>
    </row>
    <row r="552" spans="1:20" ht="15.75" customHeight="1">
      <c r="A552" s="9" t="s">
        <v>3007</v>
      </c>
      <c r="B552" s="9" t="s">
        <v>7704</v>
      </c>
      <c r="C552" s="9" t="s">
        <v>6236</v>
      </c>
      <c r="D552" s="87" t="s">
        <v>6393</v>
      </c>
      <c r="E552" s="9" t="s">
        <v>431</v>
      </c>
      <c r="F552" s="9" t="s">
        <v>368</v>
      </c>
      <c r="G552" s="9" t="s">
        <v>436</v>
      </c>
      <c r="H552" s="9" t="s">
        <v>434</v>
      </c>
      <c r="I552" s="87" t="s">
        <v>6237</v>
      </c>
      <c r="J552" s="87" t="s">
        <v>6238</v>
      </c>
      <c r="K552" s="87" t="s">
        <v>6619</v>
      </c>
      <c r="L552" s="87" t="s">
        <v>6240</v>
      </c>
      <c r="M552" s="87" t="s">
        <v>6721</v>
      </c>
      <c r="N552" s="9" t="s">
        <v>7705</v>
      </c>
      <c r="O552" s="87" t="s">
        <v>6619</v>
      </c>
      <c r="P552" s="9" t="s">
        <v>6243</v>
      </c>
      <c r="Q552" s="87" t="s">
        <v>6852</v>
      </c>
      <c r="R552" s="87" t="s">
        <v>6238</v>
      </c>
      <c r="S552" s="87" t="s">
        <v>6327</v>
      </c>
      <c r="T552" s="87" t="s">
        <v>6416</v>
      </c>
    </row>
    <row r="553" spans="1:20" ht="15.75" customHeight="1">
      <c r="A553" s="9" t="s">
        <v>3007</v>
      </c>
      <c r="B553" s="9" t="s">
        <v>7704</v>
      </c>
      <c r="C553" s="9" t="s">
        <v>6236</v>
      </c>
      <c r="D553" s="87" t="s">
        <v>6393</v>
      </c>
      <c r="E553" s="9" t="s">
        <v>431</v>
      </c>
      <c r="F553" s="9" t="s">
        <v>368</v>
      </c>
      <c r="G553" s="9" t="s">
        <v>436</v>
      </c>
      <c r="H553" s="9" t="s">
        <v>434</v>
      </c>
      <c r="I553" s="87" t="s">
        <v>6237</v>
      </c>
      <c r="J553" s="87" t="s">
        <v>6238</v>
      </c>
      <c r="K553" s="87" t="s">
        <v>6413</v>
      </c>
      <c r="L553" s="87" t="s">
        <v>6240</v>
      </c>
      <c r="M553" s="87" t="s">
        <v>6718</v>
      </c>
      <c r="N553" s="9" t="s">
        <v>7565</v>
      </c>
      <c r="O553" s="87" t="s">
        <v>6413</v>
      </c>
      <c r="P553" s="9" t="s">
        <v>6243</v>
      </c>
      <c r="Q553" s="87" t="s">
        <v>7484</v>
      </c>
      <c r="R553" s="87" t="s">
        <v>6238</v>
      </c>
      <c r="S553" s="87" t="s">
        <v>6428</v>
      </c>
      <c r="T553" s="87" t="s">
        <v>6645</v>
      </c>
    </row>
    <row r="554" spans="1:20" ht="15.75" customHeight="1">
      <c r="A554" s="9" t="s">
        <v>3007</v>
      </c>
      <c r="B554" s="9" t="s">
        <v>7706</v>
      </c>
      <c r="C554" s="9" t="s">
        <v>6671</v>
      </c>
      <c r="D554" s="87" t="s">
        <v>6296</v>
      </c>
      <c r="E554" s="9" t="s">
        <v>6672</v>
      </c>
      <c r="F554" s="9" t="s">
        <v>439</v>
      </c>
      <c r="G554" s="9" t="s">
        <v>436</v>
      </c>
      <c r="H554" s="9" t="s">
        <v>440</v>
      </c>
      <c r="I554" s="87" t="s">
        <v>6405</v>
      </c>
      <c r="J554" s="87" t="s">
        <v>6497</v>
      </c>
      <c r="K554" s="87" t="s">
        <v>6497</v>
      </c>
      <c r="L554" s="87" t="s">
        <v>6240</v>
      </c>
      <c r="M554" s="87" t="s">
        <v>6635</v>
      </c>
      <c r="N554" s="9" t="s">
        <v>7113</v>
      </c>
      <c r="O554" s="87" t="s">
        <v>6497</v>
      </c>
      <c r="P554" s="9" t="s">
        <v>6243</v>
      </c>
      <c r="Q554" s="87" t="s">
        <v>6714</v>
      </c>
      <c r="R554" s="87" t="s">
        <v>6497</v>
      </c>
      <c r="S554" s="87" t="s">
        <v>6397</v>
      </c>
      <c r="T554" s="87" t="s">
        <v>6645</v>
      </c>
    </row>
    <row r="555" spans="1:20" ht="15.75" customHeight="1">
      <c r="A555" s="9" t="s">
        <v>3007</v>
      </c>
      <c r="B555" s="9" t="s">
        <v>7707</v>
      </c>
      <c r="C555" s="9" t="s">
        <v>6923</v>
      </c>
      <c r="D555" s="87" t="s">
        <v>6264</v>
      </c>
      <c r="E555" s="9" t="s">
        <v>6924</v>
      </c>
      <c r="F555" s="9" t="s">
        <v>6925</v>
      </c>
      <c r="G555" s="9" t="s">
        <v>383</v>
      </c>
      <c r="H555" s="9" t="s">
        <v>449</v>
      </c>
      <c r="I555" s="87" t="s">
        <v>6405</v>
      </c>
      <c r="J555" s="87" t="s">
        <v>6264</v>
      </c>
      <c r="K555" s="87" t="s">
        <v>6931</v>
      </c>
      <c r="L555" s="87" t="s">
        <v>6278</v>
      </c>
      <c r="M555" s="87" t="s">
        <v>6710</v>
      </c>
      <c r="N555" s="9" t="s">
        <v>7170</v>
      </c>
      <c r="O555" s="87" t="s">
        <v>6357</v>
      </c>
      <c r="P555" s="9" t="s">
        <v>6243</v>
      </c>
      <c r="Q555" s="87" t="s">
        <v>6565</v>
      </c>
      <c r="R555" s="87" t="s">
        <v>6264</v>
      </c>
      <c r="S555" s="87" t="s">
        <v>6528</v>
      </c>
      <c r="T555" s="87" t="s">
        <v>6341</v>
      </c>
    </row>
    <row r="556" spans="1:20" ht="15.75" customHeight="1">
      <c r="A556" s="9" t="s">
        <v>3007</v>
      </c>
      <c r="B556" s="9" t="s">
        <v>7707</v>
      </c>
      <c r="C556" s="9" t="s">
        <v>7228</v>
      </c>
      <c r="D556" s="87" t="s">
        <v>6405</v>
      </c>
      <c r="E556" s="9" t="s">
        <v>6924</v>
      </c>
      <c r="F556" s="9" t="s">
        <v>11</v>
      </c>
      <c r="G556" s="9" t="s">
        <v>383</v>
      </c>
      <c r="H556" s="9" t="s">
        <v>426</v>
      </c>
      <c r="I556" s="87" t="s">
        <v>6405</v>
      </c>
      <c r="J556" s="87" t="s">
        <v>6264</v>
      </c>
      <c r="K556" s="87" t="s">
        <v>6264</v>
      </c>
      <c r="L556" s="87" t="s">
        <v>6255</v>
      </c>
      <c r="M556" s="87" t="s">
        <v>6637</v>
      </c>
      <c r="N556" s="9" t="s">
        <v>7651</v>
      </c>
      <c r="O556" s="87" t="s">
        <v>6296</v>
      </c>
      <c r="P556" s="9" t="s">
        <v>6243</v>
      </c>
      <c r="Q556" s="87" t="s">
        <v>6287</v>
      </c>
      <c r="R556" s="87" t="s">
        <v>6264</v>
      </c>
      <c r="S556" s="87" t="s">
        <v>6300</v>
      </c>
      <c r="T556" s="87" t="s">
        <v>6341</v>
      </c>
    </row>
    <row r="557" spans="1:20" ht="15.75" customHeight="1">
      <c r="A557" s="9" t="s">
        <v>2891</v>
      </c>
      <c r="B557" s="9" t="s">
        <v>7708</v>
      </c>
      <c r="C557" s="9" t="s">
        <v>6236</v>
      </c>
      <c r="D557" s="87" t="s">
        <v>6393</v>
      </c>
      <c r="E557" s="9" t="s">
        <v>431</v>
      </c>
      <c r="F557" s="9" t="s">
        <v>368</v>
      </c>
      <c r="G557" s="9" t="s">
        <v>436</v>
      </c>
      <c r="H557" s="9" t="s">
        <v>434</v>
      </c>
      <c r="I557" s="87" t="s">
        <v>6237</v>
      </c>
      <c r="J557" s="87" t="s">
        <v>6245</v>
      </c>
      <c r="K557" s="87" t="s">
        <v>6245</v>
      </c>
      <c r="L557" s="87" t="s">
        <v>6240</v>
      </c>
      <c r="M557" s="87" t="s">
        <v>6568</v>
      </c>
      <c r="N557" s="9" t="s">
        <v>7709</v>
      </c>
      <c r="O557" s="87" t="s">
        <v>6245</v>
      </c>
      <c r="P557" s="9" t="s">
        <v>6243</v>
      </c>
      <c r="Q557" s="87" t="s">
        <v>6238</v>
      </c>
      <c r="R557" s="87" t="s">
        <v>6245</v>
      </c>
      <c r="S557" s="87" t="s">
        <v>6326</v>
      </c>
      <c r="T557" s="87" t="s">
        <v>6287</v>
      </c>
    </row>
    <row r="558" spans="1:20" ht="15.75" customHeight="1">
      <c r="A558" s="9" t="s">
        <v>2891</v>
      </c>
      <c r="B558" s="9" t="s">
        <v>7710</v>
      </c>
      <c r="C558" s="9" t="s">
        <v>6671</v>
      </c>
      <c r="D558" s="87" t="s">
        <v>6296</v>
      </c>
      <c r="E558" s="9" t="s">
        <v>6672</v>
      </c>
      <c r="F558" s="9" t="s">
        <v>439</v>
      </c>
      <c r="G558" s="9" t="s">
        <v>436</v>
      </c>
      <c r="H558" s="9" t="s">
        <v>440</v>
      </c>
      <c r="I558" s="87" t="s">
        <v>6405</v>
      </c>
      <c r="J558" s="87" t="s">
        <v>6273</v>
      </c>
      <c r="K558" s="87" t="s">
        <v>6273</v>
      </c>
      <c r="L558" s="87" t="s">
        <v>6240</v>
      </c>
      <c r="M558" s="87" t="s">
        <v>6581</v>
      </c>
      <c r="N558" s="9" t="s">
        <v>7172</v>
      </c>
      <c r="O558" s="87" t="s">
        <v>6273</v>
      </c>
      <c r="P558" s="9" t="s">
        <v>6243</v>
      </c>
      <c r="Q558" s="87" t="s">
        <v>6276</v>
      </c>
      <c r="R558" s="87" t="s">
        <v>6273</v>
      </c>
      <c r="S558" s="87" t="s">
        <v>6280</v>
      </c>
      <c r="T558" s="87" t="s">
        <v>6382</v>
      </c>
    </row>
    <row r="559" spans="1:20" ht="15.75" customHeight="1">
      <c r="A559" s="9" t="s">
        <v>2891</v>
      </c>
      <c r="B559" s="9" t="s">
        <v>7711</v>
      </c>
      <c r="C559" s="9" t="s">
        <v>6923</v>
      </c>
      <c r="D559" s="87" t="s">
        <v>6327</v>
      </c>
      <c r="E559" s="9" t="s">
        <v>6924</v>
      </c>
      <c r="F559" s="9" t="s">
        <v>6925</v>
      </c>
      <c r="G559" s="9" t="s">
        <v>383</v>
      </c>
      <c r="H559" s="9" t="s">
        <v>444</v>
      </c>
      <c r="I559" s="87" t="s">
        <v>6405</v>
      </c>
      <c r="J559" s="87" t="s">
        <v>6405</v>
      </c>
      <c r="K559" s="87" t="s">
        <v>6926</v>
      </c>
      <c r="L559" s="87" t="s">
        <v>6341</v>
      </c>
      <c r="M559" s="87" t="s">
        <v>6582</v>
      </c>
      <c r="N559" s="9" t="s">
        <v>7712</v>
      </c>
      <c r="O559" s="87" t="s">
        <v>6393</v>
      </c>
      <c r="P559" s="9" t="s">
        <v>6243</v>
      </c>
      <c r="Q559" s="87" t="s">
        <v>6341</v>
      </c>
      <c r="R559" s="87" t="s">
        <v>6405</v>
      </c>
      <c r="S559" s="87" t="s">
        <v>6322</v>
      </c>
      <c r="T559" s="87" t="s">
        <v>6314</v>
      </c>
    </row>
    <row r="560" spans="1:20" ht="15.75" customHeight="1">
      <c r="A560" s="9" t="s">
        <v>2891</v>
      </c>
      <c r="B560" s="9" t="s">
        <v>7711</v>
      </c>
      <c r="C560" s="9" t="s">
        <v>7228</v>
      </c>
      <c r="D560" s="87" t="s">
        <v>6290</v>
      </c>
      <c r="E560" s="9" t="s">
        <v>6924</v>
      </c>
      <c r="F560" s="9" t="s">
        <v>11</v>
      </c>
      <c r="G560" s="9" t="s">
        <v>383</v>
      </c>
      <c r="H560" s="9" t="s">
        <v>426</v>
      </c>
      <c r="I560" s="87" t="s">
        <v>6405</v>
      </c>
      <c r="J560" s="87" t="s">
        <v>6405</v>
      </c>
      <c r="K560" s="87" t="s">
        <v>6405</v>
      </c>
      <c r="L560" s="87" t="s">
        <v>6397</v>
      </c>
      <c r="M560" s="87" t="s">
        <v>6583</v>
      </c>
      <c r="N560" s="9" t="s">
        <v>7262</v>
      </c>
      <c r="O560" s="87" t="s">
        <v>6240</v>
      </c>
      <c r="P560" s="9" t="s">
        <v>6243</v>
      </c>
      <c r="Q560" s="87" t="s">
        <v>6397</v>
      </c>
      <c r="R560" s="87" t="s">
        <v>6405</v>
      </c>
      <c r="S560" s="87" t="s">
        <v>6651</v>
      </c>
      <c r="T560" s="87" t="s">
        <v>6416</v>
      </c>
    </row>
    <row r="561" spans="1:20" ht="15.75" customHeight="1">
      <c r="A561" s="9" t="s">
        <v>2911</v>
      </c>
      <c r="B561" s="9" t="s">
        <v>7713</v>
      </c>
      <c r="C561" s="9" t="s">
        <v>6236</v>
      </c>
      <c r="D561" s="87" t="s">
        <v>6393</v>
      </c>
      <c r="E561" s="9" t="s">
        <v>431</v>
      </c>
      <c r="F561" s="9" t="s">
        <v>368</v>
      </c>
      <c r="G561" s="9" t="s">
        <v>436</v>
      </c>
      <c r="H561" s="9" t="s">
        <v>434</v>
      </c>
      <c r="I561" s="87" t="s">
        <v>6237</v>
      </c>
      <c r="J561" s="87" t="s">
        <v>6562</v>
      </c>
      <c r="K561" s="87" t="s">
        <v>6414</v>
      </c>
      <c r="L561" s="87" t="s">
        <v>6240</v>
      </c>
      <c r="M561" s="87" t="s">
        <v>6581</v>
      </c>
      <c r="N561" s="9" t="s">
        <v>7100</v>
      </c>
      <c r="O561" s="87" t="s">
        <v>6414</v>
      </c>
      <c r="P561" s="9" t="s">
        <v>6243</v>
      </c>
      <c r="Q561" s="87" t="s">
        <v>6416</v>
      </c>
      <c r="R561" s="87" t="s">
        <v>6562</v>
      </c>
      <c r="S561" s="87" t="s">
        <v>6327</v>
      </c>
      <c r="T561" s="87" t="s">
        <v>6570</v>
      </c>
    </row>
    <row r="562" spans="1:20" ht="15.75" customHeight="1">
      <c r="A562" s="9" t="s">
        <v>2911</v>
      </c>
      <c r="B562" s="9" t="s">
        <v>7713</v>
      </c>
      <c r="C562" s="9" t="s">
        <v>6236</v>
      </c>
      <c r="D562" s="87" t="s">
        <v>6393</v>
      </c>
      <c r="E562" s="9" t="s">
        <v>431</v>
      </c>
      <c r="F562" s="9" t="s">
        <v>368</v>
      </c>
      <c r="G562" s="9" t="s">
        <v>436</v>
      </c>
      <c r="H562" s="9" t="s">
        <v>434</v>
      </c>
      <c r="I562" s="87" t="s">
        <v>6237</v>
      </c>
      <c r="J562" s="87" t="s">
        <v>6562</v>
      </c>
      <c r="K562" s="87" t="s">
        <v>6341</v>
      </c>
      <c r="L562" s="87" t="s">
        <v>6240</v>
      </c>
      <c r="M562" s="87" t="s">
        <v>6582</v>
      </c>
      <c r="N562" s="9" t="s">
        <v>7714</v>
      </c>
      <c r="O562" s="87" t="s">
        <v>6341</v>
      </c>
      <c r="P562" s="9" t="s">
        <v>6243</v>
      </c>
      <c r="Q562" s="87" t="s">
        <v>6703</v>
      </c>
      <c r="R562" s="87" t="s">
        <v>6562</v>
      </c>
      <c r="S562" s="87" t="s">
        <v>6642</v>
      </c>
      <c r="T562" s="87" t="s">
        <v>6645</v>
      </c>
    </row>
    <row r="563" spans="1:20" ht="15.75" customHeight="1">
      <c r="A563" s="9" t="s">
        <v>2911</v>
      </c>
      <c r="B563" s="9" t="s">
        <v>7715</v>
      </c>
      <c r="C563" s="9" t="s">
        <v>6671</v>
      </c>
      <c r="D563" s="87" t="s">
        <v>6296</v>
      </c>
      <c r="E563" s="9" t="s">
        <v>6672</v>
      </c>
      <c r="F563" s="9" t="s">
        <v>439</v>
      </c>
      <c r="G563" s="9" t="s">
        <v>436</v>
      </c>
      <c r="H563" s="9" t="s">
        <v>440</v>
      </c>
      <c r="I563" s="87" t="s">
        <v>6405</v>
      </c>
      <c r="J563" s="87" t="s">
        <v>6341</v>
      </c>
      <c r="K563" s="87" t="s">
        <v>6342</v>
      </c>
      <c r="L563" s="87" t="s">
        <v>6240</v>
      </c>
      <c r="M563" s="87" t="s">
        <v>6583</v>
      </c>
      <c r="N563" s="9" t="s">
        <v>7028</v>
      </c>
      <c r="O563" s="87" t="s">
        <v>6342</v>
      </c>
      <c r="P563" s="9" t="s">
        <v>6243</v>
      </c>
      <c r="Q563" s="87" t="s">
        <v>6345</v>
      </c>
      <c r="R563" s="87" t="s">
        <v>6341</v>
      </c>
      <c r="S563" s="87" t="s">
        <v>6327</v>
      </c>
      <c r="T563" s="87" t="s">
        <v>6267</v>
      </c>
    </row>
    <row r="564" spans="1:20" ht="15.75" customHeight="1">
      <c r="A564" s="9" t="s">
        <v>2911</v>
      </c>
      <c r="B564" s="9" t="s">
        <v>7715</v>
      </c>
      <c r="C564" s="9" t="s">
        <v>6671</v>
      </c>
      <c r="D564" s="87" t="s">
        <v>6296</v>
      </c>
      <c r="E564" s="9" t="s">
        <v>6672</v>
      </c>
      <c r="F564" s="9" t="s">
        <v>439</v>
      </c>
      <c r="G564" s="9" t="s">
        <v>436</v>
      </c>
      <c r="H564" s="9" t="s">
        <v>440</v>
      </c>
      <c r="I564" s="87" t="s">
        <v>6405</v>
      </c>
      <c r="J564" s="87" t="s">
        <v>6341</v>
      </c>
      <c r="K564" s="87" t="s">
        <v>6642</v>
      </c>
      <c r="L564" s="87" t="s">
        <v>6240</v>
      </c>
      <c r="M564" s="87" t="s">
        <v>6584</v>
      </c>
      <c r="N564" s="9" t="s">
        <v>7062</v>
      </c>
      <c r="O564" s="87" t="s">
        <v>6642</v>
      </c>
      <c r="P564" s="9" t="s">
        <v>6243</v>
      </c>
      <c r="Q564" s="87" t="s">
        <v>6445</v>
      </c>
      <c r="R564" s="87" t="s">
        <v>6341</v>
      </c>
      <c r="S564" s="87" t="s">
        <v>6341</v>
      </c>
      <c r="T564" s="87" t="s">
        <v>6645</v>
      </c>
    </row>
    <row r="565" spans="1:20" ht="15.75" customHeight="1">
      <c r="A565" s="9" t="s">
        <v>2911</v>
      </c>
      <c r="B565" s="9" t="s">
        <v>7716</v>
      </c>
      <c r="C565" s="9" t="s">
        <v>6923</v>
      </c>
      <c r="D565" s="87" t="s">
        <v>6327</v>
      </c>
      <c r="E565" s="9" t="s">
        <v>6924</v>
      </c>
      <c r="F565" s="9" t="s">
        <v>6925</v>
      </c>
      <c r="G565" s="9" t="s">
        <v>383</v>
      </c>
      <c r="H565" s="9" t="s">
        <v>444</v>
      </c>
      <c r="I565" s="87" t="s">
        <v>6405</v>
      </c>
      <c r="J565" s="87" t="s">
        <v>6414</v>
      </c>
      <c r="K565" s="87" t="s">
        <v>6926</v>
      </c>
      <c r="L565" s="87" t="s">
        <v>5381</v>
      </c>
      <c r="M565" s="87" t="s">
        <v>6585</v>
      </c>
      <c r="N565" s="9" t="s">
        <v>7717</v>
      </c>
      <c r="O565" s="87" t="s">
        <v>6348</v>
      </c>
      <c r="P565" s="9" t="s">
        <v>6243</v>
      </c>
      <c r="Q565" s="87" t="s">
        <v>5381</v>
      </c>
      <c r="R565" s="87" t="s">
        <v>6414</v>
      </c>
      <c r="S565" s="87" t="s">
        <v>6405</v>
      </c>
      <c r="T565" s="87" t="s">
        <v>6348</v>
      </c>
    </row>
    <row r="566" spans="1:20" ht="15.75" customHeight="1">
      <c r="A566" s="9" t="s">
        <v>2911</v>
      </c>
      <c r="B566" s="9" t="s">
        <v>7718</v>
      </c>
      <c r="C566" s="9" t="s">
        <v>6923</v>
      </c>
      <c r="D566" s="87" t="s">
        <v>6327</v>
      </c>
      <c r="E566" s="9" t="s">
        <v>6924</v>
      </c>
      <c r="F566" s="9" t="s">
        <v>6925</v>
      </c>
      <c r="G566" s="9" t="s">
        <v>383</v>
      </c>
      <c r="H566" s="9" t="s">
        <v>444</v>
      </c>
      <c r="I566" s="87" t="s">
        <v>6405</v>
      </c>
      <c r="J566" s="87" t="s">
        <v>6414</v>
      </c>
      <c r="K566" s="87" t="s">
        <v>6926</v>
      </c>
      <c r="L566" s="87" t="s">
        <v>5381</v>
      </c>
      <c r="M566" s="87" t="s">
        <v>6590</v>
      </c>
      <c r="N566" s="9" t="s">
        <v>7464</v>
      </c>
      <c r="O566" s="87" t="s">
        <v>6348</v>
      </c>
      <c r="P566" s="9" t="s">
        <v>6243</v>
      </c>
      <c r="Q566" s="87" t="s">
        <v>5381</v>
      </c>
      <c r="R566" s="87" t="s">
        <v>6414</v>
      </c>
      <c r="S566" s="87" t="s">
        <v>6290</v>
      </c>
      <c r="T566" s="87" t="s">
        <v>6411</v>
      </c>
    </row>
    <row r="567" spans="1:20" ht="15.75" customHeight="1">
      <c r="A567" s="9" t="s">
        <v>2911</v>
      </c>
      <c r="B567" s="9" t="s">
        <v>7719</v>
      </c>
      <c r="C567" s="9" t="s">
        <v>6923</v>
      </c>
      <c r="D567" s="87" t="s">
        <v>6327</v>
      </c>
      <c r="E567" s="9" t="s">
        <v>6924</v>
      </c>
      <c r="F567" s="9" t="s">
        <v>6925</v>
      </c>
      <c r="G567" s="9" t="s">
        <v>383</v>
      </c>
      <c r="H567" s="9" t="s">
        <v>444</v>
      </c>
      <c r="I567" s="87" t="s">
        <v>6405</v>
      </c>
      <c r="J567" s="87" t="s">
        <v>6414</v>
      </c>
      <c r="K567" s="87" t="s">
        <v>6926</v>
      </c>
      <c r="L567" s="87" t="s">
        <v>5381</v>
      </c>
      <c r="M567" s="87" t="s">
        <v>6591</v>
      </c>
      <c r="N567" s="9" t="s">
        <v>7464</v>
      </c>
      <c r="O567" s="87" t="s">
        <v>6348</v>
      </c>
      <c r="P567" s="9" t="s">
        <v>6243</v>
      </c>
      <c r="Q567" s="87" t="s">
        <v>5381</v>
      </c>
      <c r="R567" s="87" t="s">
        <v>6414</v>
      </c>
      <c r="S567" s="87" t="s">
        <v>6290</v>
      </c>
      <c r="T567" s="87" t="s">
        <v>6411</v>
      </c>
    </row>
    <row r="568" spans="1:20" ht="15.75" customHeight="1">
      <c r="A568" s="9" t="s">
        <v>2911</v>
      </c>
      <c r="B568" s="9" t="s">
        <v>7719</v>
      </c>
      <c r="C568" s="9" t="s">
        <v>7228</v>
      </c>
      <c r="D568" s="87" t="s">
        <v>6290</v>
      </c>
      <c r="E568" s="9" t="s">
        <v>6924</v>
      </c>
      <c r="F568" s="9" t="s">
        <v>11</v>
      </c>
      <c r="G568" s="9" t="s">
        <v>383</v>
      </c>
      <c r="H568" s="9" t="s">
        <v>426</v>
      </c>
      <c r="I568" s="87" t="s">
        <v>6405</v>
      </c>
      <c r="J568" s="87" t="s">
        <v>6405</v>
      </c>
      <c r="K568" s="87" t="s">
        <v>6405</v>
      </c>
      <c r="L568" s="87" t="s">
        <v>6357</v>
      </c>
      <c r="M568" s="87" t="s">
        <v>6592</v>
      </c>
      <c r="N568" s="9" t="s">
        <v>7720</v>
      </c>
      <c r="O568" s="87" t="s">
        <v>6313</v>
      </c>
      <c r="P568" s="9" t="s">
        <v>6547</v>
      </c>
      <c r="Q568" s="87" t="s">
        <v>6357</v>
      </c>
      <c r="R568" s="87" t="s">
        <v>6405</v>
      </c>
      <c r="S568" s="87" t="s">
        <v>6313</v>
      </c>
      <c r="T568" s="87" t="s">
        <v>6280</v>
      </c>
    </row>
    <row r="569" spans="1:20" ht="15.75" customHeight="1">
      <c r="A569" s="9" t="s">
        <v>2911</v>
      </c>
      <c r="B569" s="9" t="s">
        <v>7718</v>
      </c>
      <c r="C569" s="9" t="s">
        <v>7228</v>
      </c>
      <c r="D569" s="87" t="s">
        <v>6290</v>
      </c>
      <c r="E569" s="9" t="s">
        <v>6924</v>
      </c>
      <c r="F569" s="9" t="s">
        <v>11</v>
      </c>
      <c r="G569" s="9" t="s">
        <v>383</v>
      </c>
      <c r="H569" s="9" t="s">
        <v>426</v>
      </c>
      <c r="I569" s="87" t="s">
        <v>6405</v>
      </c>
      <c r="J569" s="87" t="s">
        <v>6405</v>
      </c>
      <c r="K569" s="87" t="s">
        <v>6405</v>
      </c>
      <c r="L569" s="87" t="s">
        <v>6357</v>
      </c>
      <c r="M569" s="87" t="s">
        <v>6592</v>
      </c>
      <c r="N569" s="9" t="s">
        <v>7721</v>
      </c>
      <c r="O569" s="87" t="s">
        <v>6313</v>
      </c>
      <c r="P569" s="9" t="s">
        <v>6547</v>
      </c>
      <c r="Q569" s="87" t="s">
        <v>6357</v>
      </c>
      <c r="R569" s="87" t="s">
        <v>6405</v>
      </c>
      <c r="S569" s="87" t="s">
        <v>6255</v>
      </c>
      <c r="T569" s="87" t="s">
        <v>6486</v>
      </c>
    </row>
    <row r="570" spans="1:20" ht="15.75" customHeight="1">
      <c r="A570" s="9" t="s">
        <v>2911</v>
      </c>
      <c r="B570" s="9" t="s">
        <v>7716</v>
      </c>
      <c r="C570" s="9" t="s">
        <v>7228</v>
      </c>
      <c r="D570" s="87" t="s">
        <v>6290</v>
      </c>
      <c r="E570" s="9" t="s">
        <v>6924</v>
      </c>
      <c r="F570" s="9" t="s">
        <v>11</v>
      </c>
      <c r="G570" s="9" t="s">
        <v>383</v>
      </c>
      <c r="H570" s="9" t="s">
        <v>426</v>
      </c>
      <c r="I570" s="87" t="s">
        <v>6405</v>
      </c>
      <c r="J570" s="87" t="s">
        <v>6405</v>
      </c>
      <c r="K570" s="87" t="s">
        <v>6405</v>
      </c>
      <c r="L570" s="87" t="s">
        <v>6357</v>
      </c>
      <c r="M570" s="87" t="s">
        <v>6592</v>
      </c>
      <c r="N570" s="9" t="s">
        <v>7722</v>
      </c>
      <c r="O570" s="87" t="s">
        <v>6313</v>
      </c>
      <c r="P570" s="9" t="s">
        <v>6547</v>
      </c>
      <c r="Q570" s="87" t="s">
        <v>6357</v>
      </c>
      <c r="R570" s="87" t="s">
        <v>6405</v>
      </c>
      <c r="S570" s="87" t="s">
        <v>6484</v>
      </c>
      <c r="T570" s="87" t="s">
        <v>6606</v>
      </c>
    </row>
    <row r="571" spans="1:20" ht="15.75" customHeight="1">
      <c r="A571" s="9" t="s">
        <v>2911</v>
      </c>
      <c r="B571" s="9" t="s">
        <v>7723</v>
      </c>
      <c r="C571" s="9" t="s">
        <v>6923</v>
      </c>
      <c r="D571" s="87" t="s">
        <v>6327</v>
      </c>
      <c r="E571" s="9" t="s">
        <v>6924</v>
      </c>
      <c r="F571" s="9" t="s">
        <v>6925</v>
      </c>
      <c r="G571" s="9" t="s">
        <v>383</v>
      </c>
      <c r="H571" s="9" t="s">
        <v>444</v>
      </c>
      <c r="I571" s="87" t="s">
        <v>6405</v>
      </c>
      <c r="J571" s="87" t="s">
        <v>6414</v>
      </c>
      <c r="K571" s="87" t="s">
        <v>7703</v>
      </c>
      <c r="L571" s="87" t="s">
        <v>5381</v>
      </c>
      <c r="M571" s="87" t="s">
        <v>6592</v>
      </c>
      <c r="N571" s="9" t="s">
        <v>7724</v>
      </c>
      <c r="O571" s="87" t="s">
        <v>5381</v>
      </c>
      <c r="P571" s="9" t="s">
        <v>6547</v>
      </c>
      <c r="Q571" s="87" t="s">
        <v>4081</v>
      </c>
      <c r="R571" s="87" t="s">
        <v>6414</v>
      </c>
      <c r="S571" s="87" t="s">
        <v>6327</v>
      </c>
      <c r="T571" s="87" t="s">
        <v>6651</v>
      </c>
    </row>
    <row r="572" spans="1:20" ht="15.75" customHeight="1">
      <c r="A572" s="9" t="s">
        <v>2911</v>
      </c>
      <c r="B572" s="9" t="s">
        <v>7723</v>
      </c>
      <c r="C572" s="9" t="s">
        <v>7228</v>
      </c>
      <c r="D572" s="87" t="s">
        <v>6290</v>
      </c>
      <c r="E572" s="9" t="s">
        <v>6924</v>
      </c>
      <c r="F572" s="9" t="s">
        <v>11</v>
      </c>
      <c r="G572" s="9" t="s">
        <v>383</v>
      </c>
      <c r="H572" s="9" t="s">
        <v>426</v>
      </c>
      <c r="I572" s="87" t="s">
        <v>6405</v>
      </c>
      <c r="J572" s="87" t="s">
        <v>6240</v>
      </c>
      <c r="K572" s="87" t="s">
        <v>6240</v>
      </c>
      <c r="L572" s="87" t="s">
        <v>6357</v>
      </c>
      <c r="M572" s="87" t="s">
        <v>6597</v>
      </c>
      <c r="N572" s="9" t="s">
        <v>7725</v>
      </c>
      <c r="O572" s="87" t="s">
        <v>6357</v>
      </c>
      <c r="P572" s="9" t="s">
        <v>6547</v>
      </c>
      <c r="Q572" s="87" t="s">
        <v>6565</v>
      </c>
      <c r="R572" s="87" t="s">
        <v>6240</v>
      </c>
      <c r="S572" s="87" t="s">
        <v>6348</v>
      </c>
      <c r="T572" s="87" t="s">
        <v>6373</v>
      </c>
    </row>
    <row r="573" spans="1:20" ht="15.75" customHeight="1">
      <c r="A573" s="9" t="s">
        <v>2911</v>
      </c>
      <c r="B573" s="9" t="s">
        <v>7726</v>
      </c>
      <c r="C573" s="9" t="s">
        <v>6923</v>
      </c>
      <c r="D573" s="87" t="s">
        <v>6327</v>
      </c>
      <c r="E573" s="9" t="s">
        <v>6924</v>
      </c>
      <c r="F573" s="9" t="s">
        <v>6925</v>
      </c>
      <c r="G573" s="9" t="s">
        <v>383</v>
      </c>
      <c r="H573" s="9" t="s">
        <v>444</v>
      </c>
      <c r="I573" s="87" t="s">
        <v>6405</v>
      </c>
      <c r="J573" s="87" t="s">
        <v>6414</v>
      </c>
      <c r="K573" s="87" t="s">
        <v>6965</v>
      </c>
      <c r="L573" s="87" t="s">
        <v>5381</v>
      </c>
      <c r="M573" s="87" t="s">
        <v>6597</v>
      </c>
      <c r="N573" s="9" t="s">
        <v>6945</v>
      </c>
      <c r="O573" s="87" t="s">
        <v>6500</v>
      </c>
      <c r="P573" s="9" t="s">
        <v>6547</v>
      </c>
      <c r="Q573" s="87" t="s">
        <v>3749</v>
      </c>
      <c r="R573" s="87" t="s">
        <v>6414</v>
      </c>
      <c r="S573" s="87" t="s">
        <v>6327</v>
      </c>
      <c r="T573" s="87" t="s">
        <v>6341</v>
      </c>
    </row>
    <row r="574" spans="1:20" ht="15.75" customHeight="1">
      <c r="A574" s="9" t="s">
        <v>2911</v>
      </c>
      <c r="B574" s="9" t="s">
        <v>7726</v>
      </c>
      <c r="C574" s="9" t="s">
        <v>7228</v>
      </c>
      <c r="D574" s="87" t="s">
        <v>6290</v>
      </c>
      <c r="E574" s="9" t="s">
        <v>6924</v>
      </c>
      <c r="F574" s="9" t="s">
        <v>11</v>
      </c>
      <c r="G574" s="9" t="s">
        <v>383</v>
      </c>
      <c r="H574" s="9" t="s">
        <v>426</v>
      </c>
      <c r="I574" s="87" t="s">
        <v>6405</v>
      </c>
      <c r="J574" s="87" t="s">
        <v>6461</v>
      </c>
      <c r="K574" s="87" t="s">
        <v>6461</v>
      </c>
      <c r="L574" s="87" t="s">
        <v>6357</v>
      </c>
      <c r="M574" s="87" t="s">
        <v>6601</v>
      </c>
      <c r="N574" s="9" t="s">
        <v>7024</v>
      </c>
      <c r="O574" s="87" t="s">
        <v>6287</v>
      </c>
      <c r="P574" s="9" t="s">
        <v>6547</v>
      </c>
      <c r="Q574" s="87" t="s">
        <v>3734</v>
      </c>
      <c r="R574" s="87" t="s">
        <v>6461</v>
      </c>
      <c r="S574" s="87" t="s">
        <v>6461</v>
      </c>
      <c r="T574" s="87" t="s">
        <v>6341</v>
      </c>
    </row>
    <row r="575" spans="1:20" ht="15.75" customHeight="1">
      <c r="A575" s="9" t="s">
        <v>2911</v>
      </c>
      <c r="B575" s="9" t="s">
        <v>7727</v>
      </c>
      <c r="C575" s="9" t="s">
        <v>6923</v>
      </c>
      <c r="D575" s="87" t="s">
        <v>6327</v>
      </c>
      <c r="E575" s="9" t="s">
        <v>6924</v>
      </c>
      <c r="F575" s="9" t="s">
        <v>6925</v>
      </c>
      <c r="G575" s="9" t="s">
        <v>383</v>
      </c>
      <c r="H575" s="9" t="s">
        <v>444</v>
      </c>
      <c r="I575" s="87" t="s">
        <v>6405</v>
      </c>
      <c r="J575" s="87" t="s">
        <v>6414</v>
      </c>
      <c r="K575" s="87" t="s">
        <v>6931</v>
      </c>
      <c r="L575" s="87" t="s">
        <v>5381</v>
      </c>
      <c r="M575" s="87" t="s">
        <v>6601</v>
      </c>
      <c r="N575" s="9" t="s">
        <v>6946</v>
      </c>
      <c r="O575" s="87" t="s">
        <v>6302</v>
      </c>
      <c r="P575" s="9" t="s">
        <v>6547</v>
      </c>
      <c r="Q575" s="87" t="s">
        <v>6464</v>
      </c>
      <c r="R575" s="87" t="s">
        <v>6414</v>
      </c>
      <c r="S575" s="87" t="s">
        <v>6409</v>
      </c>
      <c r="T575" s="87" t="s">
        <v>6341</v>
      </c>
    </row>
    <row r="576" spans="1:20" ht="15.75" customHeight="1">
      <c r="A576" s="9" t="s">
        <v>2911</v>
      </c>
      <c r="B576" s="9" t="s">
        <v>7727</v>
      </c>
      <c r="C576" s="9" t="s">
        <v>7228</v>
      </c>
      <c r="D576" s="87" t="s">
        <v>6290</v>
      </c>
      <c r="E576" s="9" t="s">
        <v>6924</v>
      </c>
      <c r="F576" s="9" t="s">
        <v>11</v>
      </c>
      <c r="G576" s="9" t="s">
        <v>383</v>
      </c>
      <c r="H576" s="9" t="s">
        <v>426</v>
      </c>
      <c r="I576" s="87" t="s">
        <v>6405</v>
      </c>
      <c r="J576" s="87" t="s">
        <v>6264</v>
      </c>
      <c r="K576" s="87" t="s">
        <v>6264</v>
      </c>
      <c r="L576" s="87" t="s">
        <v>6357</v>
      </c>
      <c r="M576" s="87" t="s">
        <v>6613</v>
      </c>
      <c r="N576" s="9" t="s">
        <v>7025</v>
      </c>
      <c r="O576" s="87" t="s">
        <v>6484</v>
      </c>
      <c r="P576" s="9" t="s">
        <v>6547</v>
      </c>
      <c r="Q576" s="87" t="s">
        <v>6375</v>
      </c>
      <c r="R576" s="87" t="s">
        <v>6264</v>
      </c>
      <c r="S576" s="87" t="s">
        <v>6455</v>
      </c>
      <c r="T576" s="87" t="s">
        <v>6341</v>
      </c>
    </row>
    <row r="577" spans="1:20" ht="15.75" customHeight="1">
      <c r="A577" s="9" t="s">
        <v>2899</v>
      </c>
      <c r="B577" s="9" t="s">
        <v>7728</v>
      </c>
      <c r="C577" s="9" t="s">
        <v>6236</v>
      </c>
      <c r="D577" s="87" t="s">
        <v>6393</v>
      </c>
      <c r="E577" s="9" t="s">
        <v>431</v>
      </c>
      <c r="F577" s="9" t="s">
        <v>368</v>
      </c>
      <c r="G577" s="9" t="s">
        <v>436</v>
      </c>
      <c r="H577" s="9" t="s">
        <v>434</v>
      </c>
      <c r="I577" s="87" t="s">
        <v>6237</v>
      </c>
      <c r="J577" s="87" t="s">
        <v>6299</v>
      </c>
      <c r="K577" s="87" t="s">
        <v>6299</v>
      </c>
      <c r="L577" s="87" t="s">
        <v>6240</v>
      </c>
      <c r="M577" s="87" t="s">
        <v>6597</v>
      </c>
      <c r="N577" s="9" t="s">
        <v>7729</v>
      </c>
      <c r="O577" s="87" t="s">
        <v>6299</v>
      </c>
      <c r="P577" s="9" t="s">
        <v>6243</v>
      </c>
      <c r="Q577" s="87" t="s">
        <v>3231</v>
      </c>
      <c r="R577" s="87" t="s">
        <v>6299</v>
      </c>
      <c r="S577" s="87" t="s">
        <v>6313</v>
      </c>
      <c r="T577" s="87" t="s">
        <v>6409</v>
      </c>
    </row>
    <row r="578" spans="1:20" ht="15.75" customHeight="1">
      <c r="A578" s="9" t="s">
        <v>2899</v>
      </c>
      <c r="B578" s="9" t="s">
        <v>7730</v>
      </c>
      <c r="C578" s="9" t="s">
        <v>6671</v>
      </c>
      <c r="D578" s="87" t="s">
        <v>6296</v>
      </c>
      <c r="E578" s="9" t="s">
        <v>6672</v>
      </c>
      <c r="F578" s="9" t="s">
        <v>439</v>
      </c>
      <c r="G578" s="9" t="s">
        <v>436</v>
      </c>
      <c r="H578" s="9" t="s">
        <v>440</v>
      </c>
      <c r="I578" s="87" t="s">
        <v>6405</v>
      </c>
      <c r="J578" s="87" t="s">
        <v>6329</v>
      </c>
      <c r="K578" s="87" t="s">
        <v>6329</v>
      </c>
      <c r="L578" s="87" t="s">
        <v>6240</v>
      </c>
      <c r="M578" s="87" t="s">
        <v>6601</v>
      </c>
      <c r="N578" s="9" t="s">
        <v>7731</v>
      </c>
      <c r="O578" s="87" t="s">
        <v>6329</v>
      </c>
      <c r="P578" s="9" t="s">
        <v>6243</v>
      </c>
      <c r="Q578" s="87" t="s">
        <v>6448</v>
      </c>
      <c r="R578" s="87" t="s">
        <v>6329</v>
      </c>
      <c r="S578" s="87" t="s">
        <v>6387</v>
      </c>
      <c r="T578" s="87" t="s">
        <v>6440</v>
      </c>
    </row>
    <row r="579" spans="1:20" ht="15.75" customHeight="1">
      <c r="A579" s="9" t="s">
        <v>2899</v>
      </c>
      <c r="B579" s="9" t="s">
        <v>7732</v>
      </c>
      <c r="C579" s="9" t="s">
        <v>6923</v>
      </c>
      <c r="D579" s="87" t="s">
        <v>6461</v>
      </c>
      <c r="E579" s="9" t="s">
        <v>6924</v>
      </c>
      <c r="F579" s="9" t="s">
        <v>6925</v>
      </c>
      <c r="G579" s="9" t="s">
        <v>383</v>
      </c>
      <c r="H579" s="9" t="s">
        <v>427</v>
      </c>
      <c r="I579" s="87" t="s">
        <v>6405</v>
      </c>
      <c r="J579" s="87" t="s">
        <v>6405</v>
      </c>
      <c r="K579" s="87" t="s">
        <v>6926</v>
      </c>
      <c r="L579" s="87" t="s">
        <v>3231</v>
      </c>
      <c r="M579" s="87" t="s">
        <v>6730</v>
      </c>
      <c r="N579" s="9" t="s">
        <v>7121</v>
      </c>
      <c r="O579" s="87" t="s">
        <v>6299</v>
      </c>
      <c r="P579" s="9" t="s">
        <v>6243</v>
      </c>
      <c r="Q579" s="87" t="s">
        <v>3231</v>
      </c>
      <c r="R579" s="87" t="s">
        <v>6405</v>
      </c>
      <c r="S579" s="87" t="s">
        <v>6400</v>
      </c>
      <c r="T579" s="87" t="s">
        <v>6341</v>
      </c>
    </row>
    <row r="580" spans="1:20" ht="15.75" customHeight="1">
      <c r="A580" s="9" t="s">
        <v>2899</v>
      </c>
      <c r="B580" s="9" t="s">
        <v>7732</v>
      </c>
      <c r="C580" s="9" t="s">
        <v>7228</v>
      </c>
      <c r="D580" s="87" t="s">
        <v>6237</v>
      </c>
      <c r="E580" s="9" t="s">
        <v>6924</v>
      </c>
      <c r="F580" s="9" t="s">
        <v>11</v>
      </c>
      <c r="G580" s="9" t="s">
        <v>383</v>
      </c>
      <c r="H580" s="9" t="s">
        <v>426</v>
      </c>
      <c r="I580" s="87" t="s">
        <v>6405</v>
      </c>
      <c r="J580" s="87" t="s">
        <v>6405</v>
      </c>
      <c r="K580" s="87" t="s">
        <v>6405</v>
      </c>
      <c r="L580" s="87" t="s">
        <v>6397</v>
      </c>
      <c r="M580" s="87" t="s">
        <v>6634</v>
      </c>
      <c r="N580" s="9" t="s">
        <v>7289</v>
      </c>
      <c r="O580" s="87" t="s">
        <v>6240</v>
      </c>
      <c r="P580" s="9" t="s">
        <v>6243</v>
      </c>
      <c r="Q580" s="87" t="s">
        <v>6397</v>
      </c>
      <c r="R580" s="87" t="s">
        <v>6405</v>
      </c>
      <c r="S580" s="87" t="s">
        <v>6284</v>
      </c>
      <c r="T580" s="87" t="s">
        <v>6341</v>
      </c>
    </row>
    <row r="581" spans="1:20" ht="15.75" customHeight="1">
      <c r="A581" s="9" t="s">
        <v>2902</v>
      </c>
      <c r="B581" s="9" t="s">
        <v>7733</v>
      </c>
      <c r="C581" s="9" t="s">
        <v>6236</v>
      </c>
      <c r="D581" s="87" t="s">
        <v>6393</v>
      </c>
      <c r="E581" s="9" t="s">
        <v>431</v>
      </c>
      <c r="F581" s="9" t="s">
        <v>368</v>
      </c>
      <c r="G581" s="9" t="s">
        <v>436</v>
      </c>
      <c r="H581" s="9" t="s">
        <v>434</v>
      </c>
      <c r="I581" s="87" t="s">
        <v>6264</v>
      </c>
      <c r="J581" s="87" t="s">
        <v>6239</v>
      </c>
      <c r="K581" s="87" t="s">
        <v>6273</v>
      </c>
      <c r="L581" s="87" t="s">
        <v>6240</v>
      </c>
      <c r="M581" s="87" t="s">
        <v>6592</v>
      </c>
      <c r="N581" s="9" t="s">
        <v>7184</v>
      </c>
      <c r="O581" s="87" t="s">
        <v>6273</v>
      </c>
      <c r="P581" s="9" t="s">
        <v>6243</v>
      </c>
      <c r="Q581" s="87" t="s">
        <v>6276</v>
      </c>
      <c r="R581" s="87" t="s">
        <v>6239</v>
      </c>
      <c r="S581" s="87" t="s">
        <v>6327</v>
      </c>
      <c r="T581" s="87" t="s">
        <v>6409</v>
      </c>
    </row>
    <row r="582" spans="1:20" ht="15.75" customHeight="1">
      <c r="A582" s="9" t="s">
        <v>2902</v>
      </c>
      <c r="B582" s="9" t="s">
        <v>7733</v>
      </c>
      <c r="C582" s="9" t="s">
        <v>6236</v>
      </c>
      <c r="D582" s="87" t="s">
        <v>6393</v>
      </c>
      <c r="E582" s="9" t="s">
        <v>431</v>
      </c>
      <c r="F582" s="9" t="s">
        <v>368</v>
      </c>
      <c r="G582" s="9" t="s">
        <v>436</v>
      </c>
      <c r="H582" s="9" t="s">
        <v>434</v>
      </c>
      <c r="I582" s="87" t="s">
        <v>6264</v>
      </c>
      <c r="J582" s="87" t="s">
        <v>6239</v>
      </c>
      <c r="K582" s="87" t="s">
        <v>6361</v>
      </c>
      <c r="L582" s="87" t="s">
        <v>6240</v>
      </c>
      <c r="M582" s="87" t="s">
        <v>6597</v>
      </c>
      <c r="N582" s="9" t="s">
        <v>7734</v>
      </c>
      <c r="O582" s="87" t="s">
        <v>6361</v>
      </c>
      <c r="P582" s="9" t="s">
        <v>6243</v>
      </c>
      <c r="Q582" s="87" t="s">
        <v>6363</v>
      </c>
      <c r="R582" s="87" t="s">
        <v>6239</v>
      </c>
      <c r="S582" s="87" t="s">
        <v>6250</v>
      </c>
      <c r="T582" s="87" t="s">
        <v>6645</v>
      </c>
    </row>
    <row r="583" spans="1:20" ht="15.75" customHeight="1">
      <c r="A583" s="9" t="s">
        <v>2902</v>
      </c>
      <c r="B583" s="9" t="s">
        <v>7735</v>
      </c>
      <c r="C583" s="9" t="s">
        <v>6923</v>
      </c>
      <c r="D583" s="87" t="s">
        <v>6461</v>
      </c>
      <c r="E583" s="9" t="s">
        <v>6924</v>
      </c>
      <c r="F583" s="9" t="s">
        <v>6925</v>
      </c>
      <c r="G583" s="9" t="s">
        <v>383</v>
      </c>
      <c r="H583" s="9" t="s">
        <v>427</v>
      </c>
      <c r="I583" s="87" t="s">
        <v>6405</v>
      </c>
      <c r="J583" s="87" t="s">
        <v>6421</v>
      </c>
      <c r="K583" s="87" t="s">
        <v>6939</v>
      </c>
      <c r="L583" s="87" t="s">
        <v>6594</v>
      </c>
      <c r="M583" s="87" t="s">
        <v>6601</v>
      </c>
      <c r="N583" s="9" t="s">
        <v>6981</v>
      </c>
      <c r="O583" s="87" t="s">
        <v>6300</v>
      </c>
      <c r="P583" s="9" t="s">
        <v>6243</v>
      </c>
      <c r="Q583" s="87" t="s">
        <v>3861</v>
      </c>
      <c r="R583" s="87" t="s">
        <v>6421</v>
      </c>
      <c r="S583" s="87" t="s">
        <v>6296</v>
      </c>
      <c r="T583" s="87" t="s">
        <v>6341</v>
      </c>
    </row>
    <row r="584" spans="1:20" ht="15.75" customHeight="1">
      <c r="A584" s="9" t="s">
        <v>2902</v>
      </c>
      <c r="B584" s="9" t="s">
        <v>7735</v>
      </c>
      <c r="C584" s="9" t="s">
        <v>7228</v>
      </c>
      <c r="D584" s="87" t="s">
        <v>6237</v>
      </c>
      <c r="E584" s="9" t="s">
        <v>6924</v>
      </c>
      <c r="F584" s="9" t="s">
        <v>11</v>
      </c>
      <c r="G584" s="9" t="s">
        <v>383</v>
      </c>
      <c r="H584" s="9" t="s">
        <v>426</v>
      </c>
      <c r="I584" s="87" t="s">
        <v>6405</v>
      </c>
      <c r="J584" s="87" t="s">
        <v>6334</v>
      </c>
      <c r="K584" s="87" t="s">
        <v>6334</v>
      </c>
      <c r="L584" s="87" t="s">
        <v>6397</v>
      </c>
      <c r="M584" s="87" t="s">
        <v>6613</v>
      </c>
      <c r="N584" s="9" t="s">
        <v>7736</v>
      </c>
      <c r="O584" s="87" t="s">
        <v>6290</v>
      </c>
      <c r="P584" s="9" t="s">
        <v>6243</v>
      </c>
      <c r="Q584" s="87" t="s">
        <v>6293</v>
      </c>
      <c r="R584" s="87" t="s">
        <v>6334</v>
      </c>
      <c r="S584" s="87" t="s">
        <v>6297</v>
      </c>
      <c r="T584" s="87" t="s">
        <v>6414</v>
      </c>
    </row>
    <row r="585" spans="1:20" ht="15.75" customHeight="1">
      <c r="A585" s="9" t="s">
        <v>2902</v>
      </c>
      <c r="B585" s="9" t="s">
        <v>7737</v>
      </c>
      <c r="C585" s="9" t="s">
        <v>6923</v>
      </c>
      <c r="D585" s="87" t="s">
        <v>6461</v>
      </c>
      <c r="E585" s="9" t="s">
        <v>6924</v>
      </c>
      <c r="F585" s="9" t="s">
        <v>6925</v>
      </c>
      <c r="G585" s="9" t="s">
        <v>383</v>
      </c>
      <c r="H585" s="9" t="s">
        <v>427</v>
      </c>
      <c r="I585" s="87" t="s">
        <v>6405</v>
      </c>
      <c r="J585" s="87" t="s">
        <v>6421</v>
      </c>
      <c r="K585" s="87" t="s">
        <v>6939</v>
      </c>
      <c r="L585" s="87" t="s">
        <v>6594</v>
      </c>
      <c r="M585" s="87" t="s">
        <v>6613</v>
      </c>
      <c r="N585" s="9" t="s">
        <v>6981</v>
      </c>
      <c r="O585" s="87" t="s">
        <v>6300</v>
      </c>
      <c r="P585" s="9" t="s">
        <v>6243</v>
      </c>
      <c r="Q585" s="87" t="s">
        <v>3861</v>
      </c>
      <c r="R585" s="87" t="s">
        <v>6421</v>
      </c>
      <c r="S585" s="87" t="s">
        <v>6296</v>
      </c>
      <c r="T585" s="87" t="s">
        <v>6341</v>
      </c>
    </row>
    <row r="586" spans="1:20" ht="15.75" customHeight="1">
      <c r="A586" s="9" t="s">
        <v>2902</v>
      </c>
      <c r="B586" s="9" t="s">
        <v>7737</v>
      </c>
      <c r="C586" s="9" t="s">
        <v>7228</v>
      </c>
      <c r="D586" s="87" t="s">
        <v>6237</v>
      </c>
      <c r="E586" s="9" t="s">
        <v>6924</v>
      </c>
      <c r="F586" s="9" t="s">
        <v>11</v>
      </c>
      <c r="G586" s="9" t="s">
        <v>383</v>
      </c>
      <c r="H586" s="9" t="s">
        <v>426</v>
      </c>
      <c r="I586" s="87" t="s">
        <v>6405</v>
      </c>
      <c r="J586" s="87" t="s">
        <v>6334</v>
      </c>
      <c r="K586" s="87" t="s">
        <v>6334</v>
      </c>
      <c r="L586" s="87" t="s">
        <v>6397</v>
      </c>
      <c r="M586" s="87" t="s">
        <v>6616</v>
      </c>
      <c r="N586" s="9" t="s">
        <v>7738</v>
      </c>
      <c r="O586" s="87" t="s">
        <v>6290</v>
      </c>
      <c r="P586" s="9" t="s">
        <v>6243</v>
      </c>
      <c r="Q586" s="87" t="s">
        <v>6293</v>
      </c>
      <c r="R586" s="87" t="s">
        <v>6334</v>
      </c>
      <c r="S586" s="87" t="s">
        <v>6382</v>
      </c>
      <c r="T586" s="87" t="s">
        <v>6316</v>
      </c>
    </row>
    <row r="587" spans="1:20" ht="15.75" customHeight="1">
      <c r="A587" s="9" t="s">
        <v>2902</v>
      </c>
      <c r="B587" s="9" t="s">
        <v>7739</v>
      </c>
      <c r="C587" s="9" t="s">
        <v>6923</v>
      </c>
      <c r="D587" s="87" t="s">
        <v>6461</v>
      </c>
      <c r="E587" s="9" t="s">
        <v>6924</v>
      </c>
      <c r="F587" s="9" t="s">
        <v>6925</v>
      </c>
      <c r="G587" s="9" t="s">
        <v>383</v>
      </c>
      <c r="H587" s="9" t="s">
        <v>427</v>
      </c>
      <c r="I587" s="87" t="s">
        <v>6405</v>
      </c>
      <c r="J587" s="87" t="s">
        <v>6421</v>
      </c>
      <c r="K587" s="87" t="s">
        <v>6939</v>
      </c>
      <c r="L587" s="87" t="s">
        <v>6594</v>
      </c>
      <c r="M587" s="87" t="s">
        <v>6616</v>
      </c>
      <c r="N587" s="9" t="s">
        <v>6981</v>
      </c>
      <c r="O587" s="87" t="s">
        <v>6300</v>
      </c>
      <c r="P587" s="9" t="s">
        <v>6243</v>
      </c>
      <c r="Q587" s="87" t="s">
        <v>3861</v>
      </c>
      <c r="R587" s="87" t="s">
        <v>6421</v>
      </c>
      <c r="S587" s="87" t="s">
        <v>6296</v>
      </c>
      <c r="T587" s="87" t="s">
        <v>6341</v>
      </c>
    </row>
    <row r="588" spans="1:20" ht="15.75" customHeight="1">
      <c r="A588" s="9" t="s">
        <v>2902</v>
      </c>
      <c r="B588" s="9" t="s">
        <v>7739</v>
      </c>
      <c r="C588" s="9" t="s">
        <v>7228</v>
      </c>
      <c r="D588" s="87" t="s">
        <v>6237</v>
      </c>
      <c r="E588" s="9" t="s">
        <v>6924</v>
      </c>
      <c r="F588" s="9" t="s">
        <v>11</v>
      </c>
      <c r="G588" s="9" t="s">
        <v>383</v>
      </c>
      <c r="H588" s="9" t="s">
        <v>426</v>
      </c>
      <c r="I588" s="87" t="s">
        <v>6405</v>
      </c>
      <c r="J588" s="87" t="s">
        <v>6334</v>
      </c>
      <c r="K588" s="87" t="s">
        <v>6334</v>
      </c>
      <c r="L588" s="87" t="s">
        <v>6397</v>
      </c>
      <c r="M588" s="87" t="s">
        <v>6620</v>
      </c>
      <c r="N588" s="9" t="s">
        <v>7268</v>
      </c>
      <c r="O588" s="87" t="s">
        <v>6290</v>
      </c>
      <c r="P588" s="9" t="s">
        <v>6243</v>
      </c>
      <c r="Q588" s="87" t="s">
        <v>6293</v>
      </c>
      <c r="R588" s="87" t="s">
        <v>6334</v>
      </c>
      <c r="S588" s="87" t="s">
        <v>6479</v>
      </c>
      <c r="T588" s="87" t="s">
        <v>6341</v>
      </c>
    </row>
    <row r="589" spans="1:20" ht="15.75" customHeight="1">
      <c r="A589" s="9" t="s">
        <v>2902</v>
      </c>
      <c r="B589" s="9" t="s">
        <v>7740</v>
      </c>
      <c r="C589" s="9" t="s">
        <v>6923</v>
      </c>
      <c r="D589" s="87" t="s">
        <v>6461</v>
      </c>
      <c r="E589" s="9" t="s">
        <v>6924</v>
      </c>
      <c r="F589" s="9" t="s">
        <v>6925</v>
      </c>
      <c r="G589" s="9" t="s">
        <v>383</v>
      </c>
      <c r="H589" s="9" t="s">
        <v>427</v>
      </c>
      <c r="I589" s="87" t="s">
        <v>6405</v>
      </c>
      <c r="J589" s="87" t="s">
        <v>6421</v>
      </c>
      <c r="K589" s="87" t="s">
        <v>6939</v>
      </c>
      <c r="L589" s="87" t="s">
        <v>6594</v>
      </c>
      <c r="M589" s="87" t="s">
        <v>6620</v>
      </c>
      <c r="N589" s="9" t="s">
        <v>6981</v>
      </c>
      <c r="O589" s="87" t="s">
        <v>6300</v>
      </c>
      <c r="P589" s="9" t="s">
        <v>6243</v>
      </c>
      <c r="Q589" s="87" t="s">
        <v>3861</v>
      </c>
      <c r="R589" s="87" t="s">
        <v>6421</v>
      </c>
      <c r="S589" s="87" t="s">
        <v>6296</v>
      </c>
      <c r="T589" s="87" t="s">
        <v>6341</v>
      </c>
    </row>
    <row r="590" spans="1:20" ht="15.75" customHeight="1">
      <c r="A590" s="9" t="s">
        <v>2902</v>
      </c>
      <c r="B590" s="9" t="s">
        <v>7740</v>
      </c>
      <c r="C590" s="9" t="s">
        <v>7228</v>
      </c>
      <c r="D590" s="87" t="s">
        <v>6237</v>
      </c>
      <c r="E590" s="9" t="s">
        <v>6924</v>
      </c>
      <c r="F590" s="9" t="s">
        <v>11</v>
      </c>
      <c r="G590" s="9" t="s">
        <v>383</v>
      </c>
      <c r="H590" s="9" t="s">
        <v>426</v>
      </c>
      <c r="I590" s="87" t="s">
        <v>6405</v>
      </c>
      <c r="J590" s="87" t="s">
        <v>6334</v>
      </c>
      <c r="K590" s="87" t="s">
        <v>6334</v>
      </c>
      <c r="L590" s="87" t="s">
        <v>6397</v>
      </c>
      <c r="M590" s="87" t="s">
        <v>6624</v>
      </c>
      <c r="N590" s="9" t="s">
        <v>7268</v>
      </c>
      <c r="O590" s="87" t="s">
        <v>6290</v>
      </c>
      <c r="P590" s="9" t="s">
        <v>6243</v>
      </c>
      <c r="Q590" s="87" t="s">
        <v>6293</v>
      </c>
      <c r="R590" s="87" t="s">
        <v>6334</v>
      </c>
      <c r="S590" s="87" t="s">
        <v>6479</v>
      </c>
      <c r="T590" s="87" t="s">
        <v>6341</v>
      </c>
    </row>
    <row r="591" spans="1:20" ht="15.75" customHeight="1">
      <c r="A591" s="9" t="s">
        <v>2902</v>
      </c>
      <c r="B591" s="9" t="s">
        <v>7741</v>
      </c>
      <c r="C591" s="9" t="s">
        <v>6923</v>
      </c>
      <c r="D591" s="87" t="s">
        <v>6461</v>
      </c>
      <c r="E591" s="9" t="s">
        <v>6924</v>
      </c>
      <c r="F591" s="9" t="s">
        <v>6925</v>
      </c>
      <c r="G591" s="9" t="s">
        <v>383</v>
      </c>
      <c r="H591" s="9" t="s">
        <v>427</v>
      </c>
      <c r="I591" s="87" t="s">
        <v>6405</v>
      </c>
      <c r="J591" s="87" t="s">
        <v>6421</v>
      </c>
      <c r="K591" s="87" t="s">
        <v>6939</v>
      </c>
      <c r="L591" s="87" t="s">
        <v>6594</v>
      </c>
      <c r="M591" s="87" t="s">
        <v>6624</v>
      </c>
      <c r="N591" s="9" t="s">
        <v>6981</v>
      </c>
      <c r="O591" s="87" t="s">
        <v>6300</v>
      </c>
      <c r="P591" s="9" t="s">
        <v>6243</v>
      </c>
      <c r="Q591" s="87" t="s">
        <v>3861</v>
      </c>
      <c r="R591" s="87" t="s">
        <v>6421</v>
      </c>
      <c r="S591" s="87" t="s">
        <v>6296</v>
      </c>
      <c r="T591" s="87" t="s">
        <v>6341</v>
      </c>
    </row>
    <row r="592" spans="1:20" ht="15.75" customHeight="1">
      <c r="A592" s="9" t="s">
        <v>2902</v>
      </c>
      <c r="B592" s="9" t="s">
        <v>7741</v>
      </c>
      <c r="C592" s="9" t="s">
        <v>7228</v>
      </c>
      <c r="D592" s="87" t="s">
        <v>6237</v>
      </c>
      <c r="E592" s="9" t="s">
        <v>6924</v>
      </c>
      <c r="F592" s="9" t="s">
        <v>11</v>
      </c>
      <c r="G592" s="9" t="s">
        <v>383</v>
      </c>
      <c r="H592" s="9" t="s">
        <v>426</v>
      </c>
      <c r="I592" s="87" t="s">
        <v>6405</v>
      </c>
      <c r="J592" s="87" t="s">
        <v>6334</v>
      </c>
      <c r="K592" s="87" t="s">
        <v>6334</v>
      </c>
      <c r="L592" s="87" t="s">
        <v>6397</v>
      </c>
      <c r="M592" s="87" t="s">
        <v>6628</v>
      </c>
      <c r="N592" s="9" t="s">
        <v>7268</v>
      </c>
      <c r="O592" s="87" t="s">
        <v>6290</v>
      </c>
      <c r="P592" s="9" t="s">
        <v>6243</v>
      </c>
      <c r="Q592" s="87" t="s">
        <v>6293</v>
      </c>
      <c r="R592" s="87" t="s">
        <v>6334</v>
      </c>
      <c r="S592" s="87" t="s">
        <v>6479</v>
      </c>
      <c r="T592" s="87" t="s">
        <v>6341</v>
      </c>
    </row>
    <row r="593" spans="1:20" ht="15.75" customHeight="1">
      <c r="A593" s="9" t="s">
        <v>2902</v>
      </c>
      <c r="B593" s="9" t="s">
        <v>7742</v>
      </c>
      <c r="C593" s="9" t="s">
        <v>6923</v>
      </c>
      <c r="D593" s="87" t="s">
        <v>6461</v>
      </c>
      <c r="E593" s="9" t="s">
        <v>6924</v>
      </c>
      <c r="F593" s="9" t="s">
        <v>6925</v>
      </c>
      <c r="G593" s="9" t="s">
        <v>383</v>
      </c>
      <c r="H593" s="9" t="s">
        <v>427</v>
      </c>
      <c r="I593" s="87" t="s">
        <v>6405</v>
      </c>
      <c r="J593" s="87" t="s">
        <v>6421</v>
      </c>
      <c r="K593" s="87" t="s">
        <v>6939</v>
      </c>
      <c r="L593" s="87" t="s">
        <v>6594</v>
      </c>
      <c r="M593" s="87" t="s">
        <v>6628</v>
      </c>
      <c r="N593" s="9" t="s">
        <v>6981</v>
      </c>
      <c r="O593" s="87" t="s">
        <v>6300</v>
      </c>
      <c r="P593" s="9" t="s">
        <v>6243</v>
      </c>
      <c r="Q593" s="87" t="s">
        <v>3861</v>
      </c>
      <c r="R593" s="87" t="s">
        <v>6421</v>
      </c>
      <c r="S593" s="87" t="s">
        <v>6296</v>
      </c>
      <c r="T593" s="87" t="s">
        <v>6341</v>
      </c>
    </row>
    <row r="594" spans="1:20" ht="15.75" customHeight="1">
      <c r="A594" s="9" t="s">
        <v>2902</v>
      </c>
      <c r="B594" s="9" t="s">
        <v>7742</v>
      </c>
      <c r="C594" s="9" t="s">
        <v>7228</v>
      </c>
      <c r="D594" s="87" t="s">
        <v>6237</v>
      </c>
      <c r="E594" s="9" t="s">
        <v>6924</v>
      </c>
      <c r="F594" s="9" t="s">
        <v>11</v>
      </c>
      <c r="G594" s="9" t="s">
        <v>383</v>
      </c>
      <c r="H594" s="9" t="s">
        <v>426</v>
      </c>
      <c r="I594" s="87" t="s">
        <v>6405</v>
      </c>
      <c r="J594" s="87" t="s">
        <v>6334</v>
      </c>
      <c r="K594" s="87" t="s">
        <v>6334</v>
      </c>
      <c r="L594" s="87" t="s">
        <v>6397</v>
      </c>
      <c r="M594" s="87" t="s">
        <v>6633</v>
      </c>
      <c r="N594" s="9" t="s">
        <v>7268</v>
      </c>
      <c r="O594" s="87" t="s">
        <v>6290</v>
      </c>
      <c r="P594" s="9" t="s">
        <v>6243</v>
      </c>
      <c r="Q594" s="87" t="s">
        <v>6293</v>
      </c>
      <c r="R594" s="87" t="s">
        <v>6334</v>
      </c>
      <c r="S594" s="87" t="s">
        <v>6479</v>
      </c>
      <c r="T594" s="87" t="s">
        <v>6341</v>
      </c>
    </row>
    <row r="595" spans="1:20" ht="15.75" customHeight="1">
      <c r="A595" s="9" t="s">
        <v>2902</v>
      </c>
      <c r="B595" s="9" t="s">
        <v>7743</v>
      </c>
      <c r="C595" s="9" t="s">
        <v>6923</v>
      </c>
      <c r="D595" s="87" t="s">
        <v>6461</v>
      </c>
      <c r="E595" s="9" t="s">
        <v>6924</v>
      </c>
      <c r="F595" s="9" t="s">
        <v>6925</v>
      </c>
      <c r="G595" s="9" t="s">
        <v>383</v>
      </c>
      <c r="H595" s="9" t="s">
        <v>427</v>
      </c>
      <c r="I595" s="87" t="s">
        <v>6405</v>
      </c>
      <c r="J595" s="87" t="s">
        <v>6421</v>
      </c>
      <c r="K595" s="87" t="s">
        <v>6939</v>
      </c>
      <c r="L595" s="87" t="s">
        <v>6594</v>
      </c>
      <c r="M595" s="87" t="s">
        <v>6633</v>
      </c>
      <c r="N595" s="9" t="s">
        <v>6981</v>
      </c>
      <c r="O595" s="87" t="s">
        <v>6300</v>
      </c>
      <c r="P595" s="9" t="s">
        <v>6243</v>
      </c>
      <c r="Q595" s="87" t="s">
        <v>3861</v>
      </c>
      <c r="R595" s="87" t="s">
        <v>6421</v>
      </c>
      <c r="S595" s="87" t="s">
        <v>6296</v>
      </c>
      <c r="T595" s="87" t="s">
        <v>6341</v>
      </c>
    </row>
    <row r="596" spans="1:20" ht="15.75" customHeight="1">
      <c r="A596" s="9" t="s">
        <v>2902</v>
      </c>
      <c r="B596" s="9" t="s">
        <v>7743</v>
      </c>
      <c r="C596" s="9" t="s">
        <v>7228</v>
      </c>
      <c r="D596" s="87" t="s">
        <v>6237</v>
      </c>
      <c r="E596" s="9" t="s">
        <v>6924</v>
      </c>
      <c r="F596" s="9" t="s">
        <v>11</v>
      </c>
      <c r="G596" s="9" t="s">
        <v>383</v>
      </c>
      <c r="H596" s="9" t="s">
        <v>426</v>
      </c>
      <c r="I596" s="87" t="s">
        <v>6405</v>
      </c>
      <c r="J596" s="87" t="s">
        <v>6334</v>
      </c>
      <c r="K596" s="87" t="s">
        <v>6334</v>
      </c>
      <c r="L596" s="87" t="s">
        <v>6397</v>
      </c>
      <c r="M596" s="87" t="s">
        <v>6737</v>
      </c>
      <c r="N596" s="9" t="s">
        <v>7268</v>
      </c>
      <c r="O596" s="87" t="s">
        <v>6290</v>
      </c>
      <c r="P596" s="9" t="s">
        <v>6243</v>
      </c>
      <c r="Q596" s="87" t="s">
        <v>6293</v>
      </c>
      <c r="R596" s="87" t="s">
        <v>6334</v>
      </c>
      <c r="S596" s="87" t="s">
        <v>6479</v>
      </c>
      <c r="T596" s="87" t="s">
        <v>6341</v>
      </c>
    </row>
    <row r="597" spans="1:20" ht="15.75" customHeight="1">
      <c r="A597" s="9" t="s">
        <v>2902</v>
      </c>
      <c r="B597" s="9" t="s">
        <v>7744</v>
      </c>
      <c r="C597" s="9" t="s">
        <v>6923</v>
      </c>
      <c r="D597" s="87" t="s">
        <v>6461</v>
      </c>
      <c r="E597" s="9" t="s">
        <v>6924</v>
      </c>
      <c r="F597" s="9" t="s">
        <v>6925</v>
      </c>
      <c r="G597" s="9" t="s">
        <v>383</v>
      </c>
      <c r="H597" s="9" t="s">
        <v>427</v>
      </c>
      <c r="I597" s="87" t="s">
        <v>6405</v>
      </c>
      <c r="J597" s="87" t="s">
        <v>6421</v>
      </c>
      <c r="K597" s="87" t="s">
        <v>6939</v>
      </c>
      <c r="L597" s="87" t="s">
        <v>6594</v>
      </c>
      <c r="M597" s="87" t="s">
        <v>6737</v>
      </c>
      <c r="N597" s="9" t="s">
        <v>6981</v>
      </c>
      <c r="O597" s="87" t="s">
        <v>6300</v>
      </c>
      <c r="P597" s="9" t="s">
        <v>6243</v>
      </c>
      <c r="Q597" s="87" t="s">
        <v>3861</v>
      </c>
      <c r="R597" s="87" t="s">
        <v>6421</v>
      </c>
      <c r="S597" s="87" t="s">
        <v>6296</v>
      </c>
      <c r="T597" s="87" t="s">
        <v>6341</v>
      </c>
    </row>
    <row r="598" spans="1:20" ht="15.75" customHeight="1">
      <c r="A598" s="9" t="s">
        <v>2902</v>
      </c>
      <c r="B598" s="9" t="s">
        <v>7744</v>
      </c>
      <c r="C598" s="9" t="s">
        <v>7228</v>
      </c>
      <c r="D598" s="87" t="s">
        <v>6237</v>
      </c>
      <c r="E598" s="9" t="s">
        <v>6924</v>
      </c>
      <c r="F598" s="9" t="s">
        <v>11</v>
      </c>
      <c r="G598" s="9" t="s">
        <v>383</v>
      </c>
      <c r="H598" s="9" t="s">
        <v>426</v>
      </c>
      <c r="I598" s="87" t="s">
        <v>6405</v>
      </c>
      <c r="J598" s="87" t="s">
        <v>6334</v>
      </c>
      <c r="K598" s="87" t="s">
        <v>6334</v>
      </c>
      <c r="L598" s="87" t="s">
        <v>6397</v>
      </c>
      <c r="M598" s="87" t="s">
        <v>6730</v>
      </c>
      <c r="N598" s="9" t="s">
        <v>7268</v>
      </c>
      <c r="O598" s="87" t="s">
        <v>6290</v>
      </c>
      <c r="P598" s="9" t="s">
        <v>6243</v>
      </c>
      <c r="Q598" s="87" t="s">
        <v>6293</v>
      </c>
      <c r="R598" s="87" t="s">
        <v>6334</v>
      </c>
      <c r="S598" s="87" t="s">
        <v>6479</v>
      </c>
      <c r="T598" s="87" t="s">
        <v>6341</v>
      </c>
    </row>
    <row r="599" spans="1:20" ht="15.75" customHeight="1">
      <c r="A599" s="9" t="s">
        <v>2926</v>
      </c>
      <c r="B599" s="9" t="s">
        <v>7745</v>
      </c>
      <c r="C599" s="9" t="s">
        <v>6236</v>
      </c>
      <c r="D599" s="87" t="s">
        <v>6393</v>
      </c>
      <c r="E599" s="9" t="s">
        <v>431</v>
      </c>
      <c r="F599" s="9" t="s">
        <v>368</v>
      </c>
      <c r="G599" s="9" t="s">
        <v>436</v>
      </c>
      <c r="H599" s="9" t="s">
        <v>434</v>
      </c>
      <c r="I599" s="87" t="s">
        <v>6237</v>
      </c>
      <c r="J599" s="87" t="s">
        <v>6255</v>
      </c>
      <c r="K599" s="87" t="s">
        <v>6255</v>
      </c>
      <c r="L599" s="87" t="s">
        <v>6240</v>
      </c>
      <c r="M599" s="87" t="s">
        <v>6692</v>
      </c>
      <c r="N599" s="9" t="s">
        <v>7145</v>
      </c>
      <c r="O599" s="87" t="s">
        <v>6255</v>
      </c>
      <c r="P599" s="9" t="s">
        <v>6243</v>
      </c>
      <c r="Q599" s="87" t="s">
        <v>4947</v>
      </c>
      <c r="R599" s="87" t="s">
        <v>6255</v>
      </c>
      <c r="S599" s="87" t="s">
        <v>6300</v>
      </c>
      <c r="T599" s="87" t="s">
        <v>6645</v>
      </c>
    </row>
    <row r="600" spans="1:20" ht="15.75" customHeight="1">
      <c r="A600" s="9" t="s">
        <v>2926</v>
      </c>
      <c r="B600" s="9" t="s">
        <v>7746</v>
      </c>
      <c r="C600" s="9" t="s">
        <v>6671</v>
      </c>
      <c r="D600" s="87" t="s">
        <v>6296</v>
      </c>
      <c r="E600" s="9" t="s">
        <v>6672</v>
      </c>
      <c r="F600" s="9" t="s">
        <v>439</v>
      </c>
      <c r="G600" s="9" t="s">
        <v>436</v>
      </c>
      <c r="H600" s="9" t="s">
        <v>440</v>
      </c>
      <c r="I600" s="87" t="s">
        <v>6405</v>
      </c>
      <c r="J600" s="87" t="s">
        <v>6245</v>
      </c>
      <c r="K600" s="87" t="s">
        <v>6245</v>
      </c>
      <c r="L600" s="87" t="s">
        <v>6240</v>
      </c>
      <c r="M600" s="87" t="s">
        <v>6691</v>
      </c>
      <c r="N600" s="9" t="s">
        <v>7000</v>
      </c>
      <c r="O600" s="87" t="s">
        <v>6245</v>
      </c>
      <c r="P600" s="9" t="s">
        <v>6243</v>
      </c>
      <c r="Q600" s="87" t="s">
        <v>6238</v>
      </c>
      <c r="R600" s="87" t="s">
        <v>6245</v>
      </c>
      <c r="S600" s="87" t="s">
        <v>6500</v>
      </c>
      <c r="T600" s="87" t="s">
        <v>6645</v>
      </c>
    </row>
    <row r="601" spans="1:20" ht="15.75" customHeight="1">
      <c r="A601" s="9" t="s">
        <v>2926</v>
      </c>
      <c r="B601" s="9" t="s">
        <v>7747</v>
      </c>
      <c r="C601" s="9" t="s">
        <v>6923</v>
      </c>
      <c r="D601" s="87" t="s">
        <v>6327</v>
      </c>
      <c r="E601" s="9" t="s">
        <v>6924</v>
      </c>
      <c r="F601" s="9" t="s">
        <v>6925</v>
      </c>
      <c r="G601" s="9" t="s">
        <v>383</v>
      </c>
      <c r="H601" s="9" t="s">
        <v>444</v>
      </c>
      <c r="I601" s="87" t="s">
        <v>6405</v>
      </c>
      <c r="J601" s="87" t="s">
        <v>6405</v>
      </c>
      <c r="K601" s="87" t="s">
        <v>6926</v>
      </c>
      <c r="L601" s="87" t="s">
        <v>5381</v>
      </c>
      <c r="M601" s="87" t="s">
        <v>6657</v>
      </c>
      <c r="N601" s="9" t="s">
        <v>7076</v>
      </c>
      <c r="O601" s="87" t="s">
        <v>6348</v>
      </c>
      <c r="P601" s="9" t="s">
        <v>6243</v>
      </c>
      <c r="Q601" s="87" t="s">
        <v>5381</v>
      </c>
      <c r="R601" s="87" t="s">
        <v>6405</v>
      </c>
      <c r="S601" s="87" t="s">
        <v>6409</v>
      </c>
      <c r="T601" s="87" t="s">
        <v>6326</v>
      </c>
    </row>
    <row r="602" spans="1:20" ht="15.75" customHeight="1">
      <c r="A602" s="9" t="s">
        <v>2926</v>
      </c>
      <c r="B602" s="9" t="s">
        <v>7747</v>
      </c>
      <c r="C602" s="9" t="s">
        <v>7228</v>
      </c>
      <c r="D602" s="87" t="s">
        <v>6290</v>
      </c>
      <c r="E602" s="9" t="s">
        <v>6924</v>
      </c>
      <c r="F602" s="9" t="s">
        <v>11</v>
      </c>
      <c r="G602" s="9" t="s">
        <v>383</v>
      </c>
      <c r="H602" s="9" t="s">
        <v>426</v>
      </c>
      <c r="I602" s="87" t="s">
        <v>6405</v>
      </c>
      <c r="J602" s="87" t="s">
        <v>6405</v>
      </c>
      <c r="K602" s="87" t="s">
        <v>6405</v>
      </c>
      <c r="L602" s="87" t="s">
        <v>6293</v>
      </c>
      <c r="M602" s="87" t="s">
        <v>6689</v>
      </c>
      <c r="N602" s="9" t="s">
        <v>7748</v>
      </c>
      <c r="O602" s="87" t="s">
        <v>6290</v>
      </c>
      <c r="P602" s="9" t="s">
        <v>6243</v>
      </c>
      <c r="Q602" s="87" t="s">
        <v>6293</v>
      </c>
      <c r="R602" s="87" t="s">
        <v>6405</v>
      </c>
      <c r="S602" s="87" t="s">
        <v>6314</v>
      </c>
      <c r="T602" s="87" t="s">
        <v>6373</v>
      </c>
    </row>
    <row r="603" spans="1:20" ht="15.75" customHeight="1">
      <c r="A603" s="9" t="s">
        <v>2920</v>
      </c>
      <c r="B603" s="9" t="s">
        <v>7749</v>
      </c>
      <c r="C603" s="9" t="s">
        <v>6236</v>
      </c>
      <c r="D603" s="87" t="s">
        <v>6393</v>
      </c>
      <c r="E603" s="9" t="s">
        <v>431</v>
      </c>
      <c r="F603" s="9" t="s">
        <v>368</v>
      </c>
      <c r="G603" s="9" t="s">
        <v>436</v>
      </c>
      <c r="H603" s="9" t="s">
        <v>434</v>
      </c>
      <c r="I603" s="87" t="s">
        <v>6237</v>
      </c>
      <c r="J603" s="87" t="s">
        <v>6299</v>
      </c>
      <c r="K603" s="87" t="s">
        <v>6334</v>
      </c>
      <c r="L603" s="87" t="s">
        <v>6240</v>
      </c>
      <c r="M603" s="87" t="s">
        <v>6563</v>
      </c>
      <c r="N603" s="9" t="s">
        <v>7056</v>
      </c>
      <c r="O603" s="87" t="s">
        <v>6334</v>
      </c>
      <c r="P603" s="9" t="s">
        <v>6243</v>
      </c>
      <c r="Q603" s="87" t="s">
        <v>6290</v>
      </c>
      <c r="R603" s="87" t="s">
        <v>6299</v>
      </c>
      <c r="S603" s="87" t="s">
        <v>6327</v>
      </c>
      <c r="T603" s="87" t="s">
        <v>6642</v>
      </c>
    </row>
    <row r="604" spans="1:20" ht="15.75" customHeight="1">
      <c r="A604" s="9" t="s">
        <v>2920</v>
      </c>
      <c r="B604" s="9" t="s">
        <v>7749</v>
      </c>
      <c r="C604" s="9" t="s">
        <v>6236</v>
      </c>
      <c r="D604" s="87" t="s">
        <v>6393</v>
      </c>
      <c r="E604" s="9" t="s">
        <v>431</v>
      </c>
      <c r="F604" s="9" t="s">
        <v>368</v>
      </c>
      <c r="G604" s="9" t="s">
        <v>436</v>
      </c>
      <c r="H604" s="9" t="s">
        <v>434</v>
      </c>
      <c r="I604" s="87" t="s">
        <v>6237</v>
      </c>
      <c r="J604" s="87" t="s">
        <v>6299</v>
      </c>
      <c r="K604" s="87" t="s">
        <v>6346</v>
      </c>
      <c r="L604" s="87" t="s">
        <v>6240</v>
      </c>
      <c r="M604" s="87" t="s">
        <v>6566</v>
      </c>
      <c r="N604" s="9" t="s">
        <v>6972</v>
      </c>
      <c r="O604" s="87" t="s">
        <v>6346</v>
      </c>
      <c r="P604" s="9" t="s">
        <v>6243</v>
      </c>
      <c r="Q604" s="87" t="s">
        <v>6366</v>
      </c>
      <c r="R604" s="87" t="s">
        <v>6299</v>
      </c>
      <c r="S604" s="87" t="s">
        <v>5381</v>
      </c>
      <c r="T604" s="87" t="s">
        <v>6645</v>
      </c>
    </row>
    <row r="605" spans="1:20" ht="15.75" customHeight="1">
      <c r="A605" s="9" t="s">
        <v>2920</v>
      </c>
      <c r="B605" s="9" t="s">
        <v>7750</v>
      </c>
      <c r="C605" s="9" t="s">
        <v>6671</v>
      </c>
      <c r="D605" s="87" t="s">
        <v>6296</v>
      </c>
      <c r="E605" s="9" t="s">
        <v>6672</v>
      </c>
      <c r="F605" s="9" t="s">
        <v>439</v>
      </c>
      <c r="G605" s="9" t="s">
        <v>436</v>
      </c>
      <c r="H605" s="9" t="s">
        <v>440</v>
      </c>
      <c r="I605" s="87" t="s">
        <v>6405</v>
      </c>
      <c r="J605" s="87" t="s">
        <v>6250</v>
      </c>
      <c r="K605" s="87" t="s">
        <v>6250</v>
      </c>
      <c r="L605" s="87" t="s">
        <v>6240</v>
      </c>
      <c r="M605" s="87" t="s">
        <v>6568</v>
      </c>
      <c r="N605" s="9" t="s">
        <v>7182</v>
      </c>
      <c r="O605" s="87" t="s">
        <v>6250</v>
      </c>
      <c r="P605" s="9" t="s">
        <v>6243</v>
      </c>
      <c r="Q605" s="87" t="s">
        <v>6320</v>
      </c>
      <c r="R605" s="87" t="s">
        <v>6250</v>
      </c>
      <c r="S605" s="87" t="s">
        <v>6361</v>
      </c>
      <c r="T605" s="87" t="s">
        <v>6645</v>
      </c>
    </row>
    <row r="606" spans="1:20" ht="15.75" customHeight="1">
      <c r="A606" s="9" t="s">
        <v>2920</v>
      </c>
      <c r="B606" s="9" t="s">
        <v>7751</v>
      </c>
      <c r="C606" s="9" t="s">
        <v>6923</v>
      </c>
      <c r="D606" s="87" t="s">
        <v>6264</v>
      </c>
      <c r="E606" s="9" t="s">
        <v>6924</v>
      </c>
      <c r="F606" s="9" t="s">
        <v>6925</v>
      </c>
      <c r="G606" s="9" t="s">
        <v>383</v>
      </c>
      <c r="H606" s="9" t="s">
        <v>449</v>
      </c>
      <c r="I606" s="87" t="s">
        <v>6405</v>
      </c>
      <c r="J606" s="87" t="s">
        <v>6405</v>
      </c>
      <c r="K606" s="87" t="s">
        <v>6926</v>
      </c>
      <c r="L606" s="87" t="s">
        <v>4947</v>
      </c>
      <c r="M606" s="87" t="s">
        <v>6581</v>
      </c>
      <c r="N606" s="9" t="s">
        <v>7451</v>
      </c>
      <c r="O606" s="87" t="s">
        <v>6255</v>
      </c>
      <c r="P606" s="9" t="s">
        <v>6243</v>
      </c>
      <c r="Q606" s="87" t="s">
        <v>4947</v>
      </c>
      <c r="R606" s="87" t="s">
        <v>6405</v>
      </c>
      <c r="S606" s="87" t="s">
        <v>6400</v>
      </c>
      <c r="T606" s="87" t="s">
        <v>6416</v>
      </c>
    </row>
    <row r="607" spans="1:20" ht="15.75" customHeight="1">
      <c r="A607" s="9" t="s">
        <v>2920</v>
      </c>
      <c r="B607" s="9" t="s">
        <v>7751</v>
      </c>
      <c r="C607" s="9" t="s">
        <v>7228</v>
      </c>
      <c r="D607" s="87" t="s">
        <v>6405</v>
      </c>
      <c r="E607" s="9" t="s">
        <v>6924</v>
      </c>
      <c r="F607" s="9" t="s">
        <v>11</v>
      </c>
      <c r="G607" s="9" t="s">
        <v>383</v>
      </c>
      <c r="H607" s="9" t="s">
        <v>426</v>
      </c>
      <c r="I607" s="87" t="s">
        <v>6405</v>
      </c>
      <c r="J607" s="87" t="s">
        <v>6405</v>
      </c>
      <c r="K607" s="87" t="s">
        <v>6405</v>
      </c>
      <c r="L607" s="87" t="s">
        <v>6255</v>
      </c>
      <c r="M607" s="87" t="s">
        <v>6582</v>
      </c>
      <c r="N607" s="9" t="s">
        <v>7752</v>
      </c>
      <c r="O607" s="87" t="s">
        <v>6461</v>
      </c>
      <c r="P607" s="9" t="s">
        <v>6243</v>
      </c>
      <c r="Q607" s="87" t="s">
        <v>6255</v>
      </c>
      <c r="R607" s="87" t="s">
        <v>6405</v>
      </c>
      <c r="S607" s="87" t="s">
        <v>6316</v>
      </c>
      <c r="T607" s="87" t="s">
        <v>6416</v>
      </c>
    </row>
    <row r="608" spans="1:20" ht="15.75" customHeight="1">
      <c r="A608" s="9" t="s">
        <v>3025</v>
      </c>
      <c r="B608" s="9" t="s">
        <v>7753</v>
      </c>
      <c r="C608" s="9" t="s">
        <v>6236</v>
      </c>
      <c r="D608" s="87" t="s">
        <v>6393</v>
      </c>
      <c r="E608" s="9" t="s">
        <v>431</v>
      </c>
      <c r="F608" s="9" t="s">
        <v>368</v>
      </c>
      <c r="G608" s="9" t="s">
        <v>436</v>
      </c>
      <c r="H608" s="9" t="s">
        <v>434</v>
      </c>
      <c r="I608" s="87" t="s">
        <v>6237</v>
      </c>
      <c r="J608" s="87" t="s">
        <v>6484</v>
      </c>
      <c r="K608" s="87" t="s">
        <v>6327</v>
      </c>
      <c r="L608" s="87" t="s">
        <v>6240</v>
      </c>
      <c r="M608" s="87" t="s">
        <v>6620</v>
      </c>
      <c r="N608" s="9" t="s">
        <v>7196</v>
      </c>
      <c r="O608" s="87" t="s">
        <v>6327</v>
      </c>
      <c r="P608" s="9" t="s">
        <v>6243</v>
      </c>
      <c r="Q608" s="87" t="s">
        <v>6392</v>
      </c>
      <c r="R608" s="87" t="s">
        <v>6484</v>
      </c>
      <c r="S608" s="87" t="s">
        <v>6327</v>
      </c>
      <c r="T608" s="87" t="s">
        <v>6411</v>
      </c>
    </row>
    <row r="609" spans="1:20" ht="15.75" customHeight="1">
      <c r="A609" s="9" t="s">
        <v>3025</v>
      </c>
      <c r="B609" s="9" t="s">
        <v>7753</v>
      </c>
      <c r="C609" s="9" t="s">
        <v>6236</v>
      </c>
      <c r="D609" s="87" t="s">
        <v>6393</v>
      </c>
      <c r="E609" s="9" t="s">
        <v>431</v>
      </c>
      <c r="F609" s="9" t="s">
        <v>368</v>
      </c>
      <c r="G609" s="9" t="s">
        <v>436</v>
      </c>
      <c r="H609" s="9" t="s">
        <v>434</v>
      </c>
      <c r="I609" s="87" t="s">
        <v>6237</v>
      </c>
      <c r="J609" s="87" t="s">
        <v>6484</v>
      </c>
      <c r="K609" s="87" t="s">
        <v>6329</v>
      </c>
      <c r="L609" s="87" t="s">
        <v>6240</v>
      </c>
      <c r="M609" s="87" t="s">
        <v>6624</v>
      </c>
      <c r="N609" s="9" t="s">
        <v>7154</v>
      </c>
      <c r="O609" s="87" t="s">
        <v>6329</v>
      </c>
      <c r="P609" s="9" t="s">
        <v>6243</v>
      </c>
      <c r="Q609" s="87" t="s">
        <v>6448</v>
      </c>
      <c r="R609" s="87" t="s">
        <v>6484</v>
      </c>
      <c r="S609" s="87" t="s">
        <v>6357</v>
      </c>
      <c r="T609" s="87" t="s">
        <v>6645</v>
      </c>
    </row>
    <row r="610" spans="1:20" ht="15.75" customHeight="1">
      <c r="A610" s="9" t="s">
        <v>3025</v>
      </c>
      <c r="B610" s="9" t="s">
        <v>7754</v>
      </c>
      <c r="C610" s="9" t="s">
        <v>6671</v>
      </c>
      <c r="D610" s="87" t="s">
        <v>6296</v>
      </c>
      <c r="E610" s="9" t="s">
        <v>6672</v>
      </c>
      <c r="F610" s="9" t="s">
        <v>439</v>
      </c>
      <c r="G610" s="9" t="s">
        <v>436</v>
      </c>
      <c r="H610" s="9" t="s">
        <v>440</v>
      </c>
      <c r="I610" s="87" t="s">
        <v>6405</v>
      </c>
      <c r="J610" s="87" t="s">
        <v>6250</v>
      </c>
      <c r="K610" s="87" t="s">
        <v>6250</v>
      </c>
      <c r="L610" s="87" t="s">
        <v>6240</v>
      </c>
      <c r="M610" s="87" t="s">
        <v>6628</v>
      </c>
      <c r="N610" s="9" t="s">
        <v>7182</v>
      </c>
      <c r="O610" s="87" t="s">
        <v>6250</v>
      </c>
      <c r="P610" s="9" t="s">
        <v>6243</v>
      </c>
      <c r="Q610" s="87" t="s">
        <v>6320</v>
      </c>
      <c r="R610" s="87" t="s">
        <v>6250</v>
      </c>
      <c r="S610" s="87" t="s">
        <v>6361</v>
      </c>
      <c r="T610" s="87" t="s">
        <v>6645</v>
      </c>
    </row>
    <row r="611" spans="1:20" ht="15.75" customHeight="1">
      <c r="A611" s="9" t="s">
        <v>3025</v>
      </c>
      <c r="B611" s="9" t="s">
        <v>7755</v>
      </c>
      <c r="C611" s="9" t="s">
        <v>6923</v>
      </c>
      <c r="D611" s="87" t="s">
        <v>6327</v>
      </c>
      <c r="E611" s="9" t="s">
        <v>6924</v>
      </c>
      <c r="F611" s="9" t="s">
        <v>6925</v>
      </c>
      <c r="G611" s="9" t="s">
        <v>383</v>
      </c>
      <c r="H611" s="9" t="s">
        <v>444</v>
      </c>
      <c r="I611" s="87" t="s">
        <v>6405</v>
      </c>
      <c r="J611" s="87" t="s">
        <v>6405</v>
      </c>
      <c r="K611" s="87" t="s">
        <v>6926</v>
      </c>
      <c r="L611" s="87" t="s">
        <v>6366</v>
      </c>
      <c r="M611" s="87" t="s">
        <v>6633</v>
      </c>
      <c r="N611" s="9" t="s">
        <v>7756</v>
      </c>
      <c r="O611" s="87" t="s">
        <v>6346</v>
      </c>
      <c r="P611" s="9" t="s">
        <v>6243</v>
      </c>
      <c r="Q611" s="87" t="s">
        <v>6366</v>
      </c>
      <c r="R611" s="87" t="s">
        <v>6405</v>
      </c>
      <c r="S611" s="87" t="s">
        <v>6260</v>
      </c>
      <c r="T611" s="87" t="s">
        <v>6416</v>
      </c>
    </row>
    <row r="612" spans="1:20" ht="15.75" customHeight="1">
      <c r="A612" s="9" t="s">
        <v>2934</v>
      </c>
      <c r="B612" s="9" t="s">
        <v>7757</v>
      </c>
      <c r="C612" s="9" t="s">
        <v>6236</v>
      </c>
      <c r="D612" s="87" t="s">
        <v>6393</v>
      </c>
      <c r="E612" s="9" t="s">
        <v>431</v>
      </c>
      <c r="F612" s="9" t="s">
        <v>368</v>
      </c>
      <c r="G612" s="9" t="s">
        <v>436</v>
      </c>
      <c r="H612" s="9" t="s">
        <v>434</v>
      </c>
      <c r="I612" s="87" t="s">
        <v>6237</v>
      </c>
      <c r="J612" s="87" t="s">
        <v>6305</v>
      </c>
      <c r="K612" s="87" t="s">
        <v>6401</v>
      </c>
      <c r="L612" s="87" t="s">
        <v>6240</v>
      </c>
      <c r="M612" s="87" t="s">
        <v>6624</v>
      </c>
      <c r="N612" s="9" t="s">
        <v>7188</v>
      </c>
      <c r="O612" s="87" t="s">
        <v>6401</v>
      </c>
      <c r="P612" s="9" t="s">
        <v>6243</v>
      </c>
      <c r="Q612" s="87" t="s">
        <v>6403</v>
      </c>
      <c r="R612" s="87" t="s">
        <v>6305</v>
      </c>
      <c r="S612" s="87" t="s">
        <v>6327</v>
      </c>
      <c r="T612" s="87" t="s">
        <v>6619</v>
      </c>
    </row>
    <row r="613" spans="1:20" ht="15.75" customHeight="1">
      <c r="A613" s="9" t="s">
        <v>2934</v>
      </c>
      <c r="B613" s="9" t="s">
        <v>7757</v>
      </c>
      <c r="C613" s="9" t="s">
        <v>6236</v>
      </c>
      <c r="D613" s="87" t="s">
        <v>6393</v>
      </c>
      <c r="E613" s="9" t="s">
        <v>431</v>
      </c>
      <c r="F613" s="9" t="s">
        <v>368</v>
      </c>
      <c r="G613" s="9" t="s">
        <v>436</v>
      </c>
      <c r="H613" s="9" t="s">
        <v>434</v>
      </c>
      <c r="I613" s="87" t="s">
        <v>6237</v>
      </c>
      <c r="J613" s="87" t="s">
        <v>6305</v>
      </c>
      <c r="K613" s="87" t="s">
        <v>6376</v>
      </c>
      <c r="L613" s="87" t="s">
        <v>6240</v>
      </c>
      <c r="M613" s="87" t="s">
        <v>6628</v>
      </c>
      <c r="N613" s="9" t="s">
        <v>6960</v>
      </c>
      <c r="O613" s="87" t="s">
        <v>6376</v>
      </c>
      <c r="P613" s="9" t="s">
        <v>6243</v>
      </c>
      <c r="Q613" s="87" t="s">
        <v>6379</v>
      </c>
      <c r="R613" s="87" t="s">
        <v>6305</v>
      </c>
      <c r="S613" s="87" t="s">
        <v>6322</v>
      </c>
      <c r="T613" s="87" t="s">
        <v>6645</v>
      </c>
    </row>
    <row r="614" spans="1:20" ht="15.75" customHeight="1">
      <c r="A614" s="9" t="s">
        <v>2934</v>
      </c>
      <c r="B614" s="9" t="s">
        <v>7758</v>
      </c>
      <c r="C614" s="9" t="s">
        <v>6671</v>
      </c>
      <c r="D614" s="87" t="s">
        <v>6296</v>
      </c>
      <c r="E614" s="9" t="s">
        <v>6672</v>
      </c>
      <c r="F614" s="9" t="s">
        <v>439</v>
      </c>
      <c r="G614" s="9" t="s">
        <v>436</v>
      </c>
      <c r="H614" s="9" t="s">
        <v>440</v>
      </c>
      <c r="I614" s="87" t="s">
        <v>6405</v>
      </c>
      <c r="J614" s="87" t="s">
        <v>6357</v>
      </c>
      <c r="K614" s="87" t="s">
        <v>6357</v>
      </c>
      <c r="L614" s="87" t="s">
        <v>6240</v>
      </c>
      <c r="M614" s="87" t="s">
        <v>6633</v>
      </c>
      <c r="N614" s="9" t="s">
        <v>7027</v>
      </c>
      <c r="O614" s="87" t="s">
        <v>6357</v>
      </c>
      <c r="P614" s="9" t="s">
        <v>6243</v>
      </c>
      <c r="Q614" s="87" t="s">
        <v>6565</v>
      </c>
      <c r="R614" s="87" t="s">
        <v>6357</v>
      </c>
      <c r="S614" s="87" t="s">
        <v>6329</v>
      </c>
      <c r="T614" s="87" t="s">
        <v>6645</v>
      </c>
    </row>
    <row r="615" spans="1:20" ht="15.75" customHeight="1">
      <c r="A615" s="9" t="s">
        <v>2934</v>
      </c>
      <c r="B615" s="9" t="s">
        <v>7759</v>
      </c>
      <c r="C615" s="9" t="s">
        <v>6923</v>
      </c>
      <c r="D615" s="87" t="s">
        <v>6327</v>
      </c>
      <c r="E615" s="9" t="s">
        <v>6924</v>
      </c>
      <c r="F615" s="9" t="s">
        <v>6925</v>
      </c>
      <c r="G615" s="9" t="s">
        <v>383</v>
      </c>
      <c r="H615" s="9" t="s">
        <v>444</v>
      </c>
      <c r="I615" s="87" t="s">
        <v>6405</v>
      </c>
      <c r="J615" s="87" t="s">
        <v>6264</v>
      </c>
      <c r="K615" s="87" t="s">
        <v>6931</v>
      </c>
      <c r="L615" s="87" t="s">
        <v>6270</v>
      </c>
      <c r="M615" s="87" t="s">
        <v>6737</v>
      </c>
      <c r="N615" s="9" t="s">
        <v>7760</v>
      </c>
      <c r="O615" s="87" t="s">
        <v>6300</v>
      </c>
      <c r="P615" s="9" t="s">
        <v>6243</v>
      </c>
      <c r="Q615" s="87" t="s">
        <v>3861</v>
      </c>
      <c r="R615" s="87" t="s">
        <v>6264</v>
      </c>
      <c r="S615" s="87" t="s">
        <v>6297</v>
      </c>
      <c r="T615" s="87" t="s">
        <v>6416</v>
      </c>
    </row>
    <row r="616" spans="1:20" ht="15.75" customHeight="1">
      <c r="A616" s="9" t="s">
        <v>2934</v>
      </c>
      <c r="B616" s="9" t="s">
        <v>7759</v>
      </c>
      <c r="C616" s="9" t="s">
        <v>7228</v>
      </c>
      <c r="D616" s="87" t="s">
        <v>6290</v>
      </c>
      <c r="E616" s="9" t="s">
        <v>6924</v>
      </c>
      <c r="F616" s="9" t="s">
        <v>11</v>
      </c>
      <c r="G616" s="9" t="s">
        <v>383</v>
      </c>
      <c r="H616" s="9" t="s">
        <v>426</v>
      </c>
      <c r="I616" s="87" t="s">
        <v>6405</v>
      </c>
      <c r="J616" s="87" t="s">
        <v>6264</v>
      </c>
      <c r="K616" s="87" t="s">
        <v>6264</v>
      </c>
      <c r="L616" s="87" t="s">
        <v>6397</v>
      </c>
      <c r="M616" s="87" t="s">
        <v>6730</v>
      </c>
      <c r="N616" s="9" t="s">
        <v>7761</v>
      </c>
      <c r="O616" s="87" t="s">
        <v>6313</v>
      </c>
      <c r="P616" s="9" t="s">
        <v>6243</v>
      </c>
      <c r="Q616" s="87" t="s">
        <v>6357</v>
      </c>
      <c r="R616" s="87" t="s">
        <v>6264</v>
      </c>
      <c r="S616" s="87" t="s">
        <v>6382</v>
      </c>
      <c r="T616" s="87" t="s">
        <v>6416</v>
      </c>
    </row>
    <row r="617" spans="1:20" ht="15.75" customHeight="1">
      <c r="A617" s="9" t="s">
        <v>2846</v>
      </c>
      <c r="B617" s="9" t="s">
        <v>7762</v>
      </c>
      <c r="C617" s="9" t="s">
        <v>6236</v>
      </c>
      <c r="D617" s="87" t="s">
        <v>6393</v>
      </c>
      <c r="E617" s="9" t="s">
        <v>431</v>
      </c>
      <c r="F617" s="9" t="s">
        <v>368</v>
      </c>
      <c r="G617" s="9" t="s">
        <v>436</v>
      </c>
      <c r="H617" s="9" t="s">
        <v>434</v>
      </c>
      <c r="I617" s="87" t="s">
        <v>6264</v>
      </c>
      <c r="J617" s="87" t="s">
        <v>6299</v>
      </c>
      <c r="K617" s="87" t="s">
        <v>4953</v>
      </c>
      <c r="L617" s="87" t="s">
        <v>6240</v>
      </c>
      <c r="M617" s="87" t="s">
        <v>6737</v>
      </c>
      <c r="N617" s="9" t="s">
        <v>7186</v>
      </c>
      <c r="O617" s="87" t="s">
        <v>4953</v>
      </c>
      <c r="P617" s="9" t="s">
        <v>6243</v>
      </c>
      <c r="Q617" s="87" t="s">
        <v>6306</v>
      </c>
      <c r="R617" s="87" t="s">
        <v>6299</v>
      </c>
      <c r="S617" s="87" t="s">
        <v>6327</v>
      </c>
      <c r="T617" s="87" t="s">
        <v>6259</v>
      </c>
    </row>
    <row r="618" spans="1:20" ht="15.75" customHeight="1">
      <c r="A618" s="9" t="s">
        <v>2846</v>
      </c>
      <c r="B618" s="9" t="s">
        <v>7762</v>
      </c>
      <c r="C618" s="9" t="s">
        <v>6236</v>
      </c>
      <c r="D618" s="87" t="s">
        <v>6393</v>
      </c>
      <c r="E618" s="9" t="s">
        <v>431</v>
      </c>
      <c r="F618" s="9" t="s">
        <v>368</v>
      </c>
      <c r="G618" s="9" t="s">
        <v>436</v>
      </c>
      <c r="H618" s="9" t="s">
        <v>434</v>
      </c>
      <c r="I618" s="87" t="s">
        <v>6264</v>
      </c>
      <c r="J618" s="87" t="s">
        <v>6299</v>
      </c>
      <c r="K618" s="87" t="s">
        <v>4953</v>
      </c>
      <c r="L618" s="87" t="s">
        <v>6240</v>
      </c>
      <c r="M618" s="87" t="s">
        <v>6730</v>
      </c>
      <c r="N618" s="9" t="s">
        <v>7080</v>
      </c>
      <c r="O618" s="87" t="s">
        <v>4953</v>
      </c>
      <c r="P618" s="9" t="s">
        <v>6243</v>
      </c>
      <c r="Q618" s="87" t="s">
        <v>6306</v>
      </c>
      <c r="R618" s="87" t="s">
        <v>6299</v>
      </c>
      <c r="S618" s="87" t="s">
        <v>6373</v>
      </c>
      <c r="T618" s="87" t="s">
        <v>6645</v>
      </c>
    </row>
    <row r="619" spans="1:20" ht="15.75" customHeight="1">
      <c r="A619" s="9" t="s">
        <v>2846</v>
      </c>
      <c r="B619" s="9" t="s">
        <v>7763</v>
      </c>
      <c r="C619" s="9" t="s">
        <v>6671</v>
      </c>
      <c r="D619" s="87" t="s">
        <v>6296</v>
      </c>
      <c r="E619" s="9" t="s">
        <v>6672</v>
      </c>
      <c r="F619" s="9" t="s">
        <v>439</v>
      </c>
      <c r="G619" s="9" t="s">
        <v>436</v>
      </c>
      <c r="H619" s="9" t="s">
        <v>440</v>
      </c>
      <c r="I619" s="87" t="s">
        <v>6405</v>
      </c>
      <c r="J619" s="87" t="s">
        <v>6346</v>
      </c>
      <c r="K619" s="87" t="s">
        <v>6346</v>
      </c>
      <c r="L619" s="87" t="s">
        <v>6240</v>
      </c>
      <c r="M619" s="87" t="s">
        <v>6634</v>
      </c>
      <c r="N619" s="9" t="s">
        <v>6972</v>
      </c>
      <c r="O619" s="87" t="s">
        <v>6346</v>
      </c>
      <c r="P619" s="9" t="s">
        <v>6243</v>
      </c>
      <c r="Q619" s="87" t="s">
        <v>6366</v>
      </c>
      <c r="R619" s="87" t="s">
        <v>6346</v>
      </c>
      <c r="S619" s="87" t="s">
        <v>5381</v>
      </c>
      <c r="T619" s="87" t="s">
        <v>6645</v>
      </c>
    </row>
    <row r="620" spans="1:20" ht="15.75" customHeight="1">
      <c r="A620" s="9" t="s">
        <v>2846</v>
      </c>
      <c r="B620" s="9" t="s">
        <v>7764</v>
      </c>
      <c r="C620" s="9" t="s">
        <v>6923</v>
      </c>
      <c r="D620" s="87" t="s">
        <v>6264</v>
      </c>
      <c r="E620" s="9" t="s">
        <v>6924</v>
      </c>
      <c r="F620" s="9" t="s">
        <v>6925</v>
      </c>
      <c r="G620" s="9" t="s">
        <v>383</v>
      </c>
      <c r="H620" s="9" t="s">
        <v>449</v>
      </c>
      <c r="I620" s="87" t="s">
        <v>6405</v>
      </c>
      <c r="J620" s="87" t="s">
        <v>6405</v>
      </c>
      <c r="K620" s="87" t="s">
        <v>6926</v>
      </c>
      <c r="L620" s="87" t="s">
        <v>6306</v>
      </c>
      <c r="M620" s="87" t="s">
        <v>6721</v>
      </c>
      <c r="N620" s="9" t="s">
        <v>7765</v>
      </c>
      <c r="O620" s="87" t="s">
        <v>4953</v>
      </c>
      <c r="P620" s="9" t="s">
        <v>6243</v>
      </c>
      <c r="Q620" s="87" t="s">
        <v>6306</v>
      </c>
      <c r="R620" s="87" t="s">
        <v>6405</v>
      </c>
      <c r="S620" s="87" t="s">
        <v>6273</v>
      </c>
      <c r="T620" s="87" t="s">
        <v>6428</v>
      </c>
    </row>
    <row r="621" spans="1:20" ht="15.75" customHeight="1">
      <c r="A621" s="9" t="s">
        <v>2846</v>
      </c>
      <c r="B621" s="9" t="s">
        <v>7764</v>
      </c>
      <c r="C621" s="9" t="s">
        <v>7228</v>
      </c>
      <c r="D621" s="87" t="s">
        <v>6405</v>
      </c>
      <c r="E621" s="9" t="s">
        <v>6924</v>
      </c>
      <c r="F621" s="9" t="s">
        <v>11</v>
      </c>
      <c r="G621" s="9" t="s">
        <v>383</v>
      </c>
      <c r="H621" s="9" t="s">
        <v>426</v>
      </c>
      <c r="I621" s="87" t="s">
        <v>6405</v>
      </c>
      <c r="J621" s="87" t="s">
        <v>6405</v>
      </c>
      <c r="K621" s="87" t="s">
        <v>6405</v>
      </c>
      <c r="L621" s="87" t="s">
        <v>6397</v>
      </c>
      <c r="M621" s="87" t="s">
        <v>6718</v>
      </c>
      <c r="N621" s="9" t="s">
        <v>7581</v>
      </c>
      <c r="O621" s="87" t="s">
        <v>6240</v>
      </c>
      <c r="P621" s="9" t="s">
        <v>6243</v>
      </c>
      <c r="Q621" s="87" t="s">
        <v>6397</v>
      </c>
      <c r="R621" s="87" t="s">
        <v>6405</v>
      </c>
      <c r="S621" s="87" t="s">
        <v>6543</v>
      </c>
      <c r="T621" s="87" t="s">
        <v>6316</v>
      </c>
    </row>
    <row r="622" spans="1:20" ht="15.75" customHeight="1">
      <c r="A622" s="9" t="s">
        <v>3014</v>
      </c>
      <c r="B622" s="9" t="s">
        <v>7766</v>
      </c>
      <c r="C622" s="9" t="s">
        <v>6236</v>
      </c>
      <c r="D622" s="87" t="s">
        <v>6393</v>
      </c>
      <c r="E622" s="9" t="s">
        <v>431</v>
      </c>
      <c r="F622" s="9" t="s">
        <v>368</v>
      </c>
      <c r="G622" s="9" t="s">
        <v>436</v>
      </c>
      <c r="H622" s="9" t="s">
        <v>434</v>
      </c>
      <c r="I622" s="87" t="s">
        <v>6237</v>
      </c>
      <c r="J622" s="87" t="s">
        <v>6238</v>
      </c>
      <c r="K622" s="87" t="s">
        <v>6416</v>
      </c>
      <c r="L622" s="87" t="s">
        <v>6240</v>
      </c>
      <c r="M622" s="87" t="s">
        <v>6633</v>
      </c>
      <c r="N622" s="9" t="s">
        <v>7147</v>
      </c>
      <c r="O622" s="87" t="s">
        <v>6416</v>
      </c>
      <c r="P622" s="9" t="s">
        <v>6243</v>
      </c>
      <c r="Q622" s="87" t="s">
        <v>6758</v>
      </c>
      <c r="R622" s="87" t="s">
        <v>6238</v>
      </c>
      <c r="S622" s="87" t="s">
        <v>6327</v>
      </c>
      <c r="T622" s="87" t="s">
        <v>6239</v>
      </c>
    </row>
    <row r="623" spans="1:20" ht="15.75" customHeight="1">
      <c r="A623" s="9" t="s">
        <v>3014</v>
      </c>
      <c r="B623" s="9" t="s">
        <v>7766</v>
      </c>
      <c r="C623" s="9" t="s">
        <v>6236</v>
      </c>
      <c r="D623" s="87" t="s">
        <v>6393</v>
      </c>
      <c r="E623" s="9" t="s">
        <v>431</v>
      </c>
      <c r="F623" s="9" t="s">
        <v>368</v>
      </c>
      <c r="G623" s="9" t="s">
        <v>436</v>
      </c>
      <c r="H623" s="9" t="s">
        <v>434</v>
      </c>
      <c r="I623" s="87" t="s">
        <v>6237</v>
      </c>
      <c r="J623" s="87" t="s">
        <v>6238</v>
      </c>
      <c r="K623" s="87" t="s">
        <v>6254</v>
      </c>
      <c r="L623" s="87" t="s">
        <v>6240</v>
      </c>
      <c r="M623" s="87" t="s">
        <v>6737</v>
      </c>
      <c r="N623" s="9" t="s">
        <v>7767</v>
      </c>
      <c r="O623" s="87" t="s">
        <v>6254</v>
      </c>
      <c r="P623" s="9" t="s">
        <v>6243</v>
      </c>
      <c r="Q623" s="87" t="s">
        <v>5968</v>
      </c>
      <c r="R623" s="87" t="s">
        <v>6238</v>
      </c>
      <c r="S623" s="87" t="s">
        <v>6555</v>
      </c>
      <c r="T623" s="87" t="s">
        <v>6645</v>
      </c>
    </row>
    <row r="624" spans="1:20" ht="15.75" customHeight="1">
      <c r="A624" s="9" t="s">
        <v>3014</v>
      </c>
      <c r="B624" s="9" t="s">
        <v>7768</v>
      </c>
      <c r="C624" s="9" t="s">
        <v>6671</v>
      </c>
      <c r="D624" s="87" t="s">
        <v>6296</v>
      </c>
      <c r="E624" s="9" t="s">
        <v>6672</v>
      </c>
      <c r="F624" s="9" t="s">
        <v>439</v>
      </c>
      <c r="G624" s="9" t="s">
        <v>436</v>
      </c>
      <c r="H624" s="9" t="s">
        <v>440</v>
      </c>
      <c r="I624" s="87" t="s">
        <v>6405</v>
      </c>
      <c r="J624" s="87" t="s">
        <v>6357</v>
      </c>
      <c r="K624" s="87" t="s">
        <v>6357</v>
      </c>
      <c r="L624" s="87" t="s">
        <v>6240</v>
      </c>
      <c r="M624" s="87" t="s">
        <v>6730</v>
      </c>
      <c r="N624" s="9" t="s">
        <v>7027</v>
      </c>
      <c r="O624" s="87" t="s">
        <v>6357</v>
      </c>
      <c r="P624" s="9" t="s">
        <v>6243</v>
      </c>
      <c r="Q624" s="87" t="s">
        <v>6565</v>
      </c>
      <c r="R624" s="87" t="s">
        <v>6357</v>
      </c>
      <c r="S624" s="87" t="s">
        <v>6329</v>
      </c>
      <c r="T624" s="87" t="s">
        <v>6645</v>
      </c>
    </row>
    <row r="625" spans="1:20" ht="15.75" customHeight="1">
      <c r="A625" s="9" t="s">
        <v>3014</v>
      </c>
      <c r="B625" s="9" t="s">
        <v>7769</v>
      </c>
      <c r="C625" s="9" t="s">
        <v>6923</v>
      </c>
      <c r="D625" s="87" t="s">
        <v>6327</v>
      </c>
      <c r="E625" s="9" t="s">
        <v>6924</v>
      </c>
      <c r="F625" s="9" t="s">
        <v>6925</v>
      </c>
      <c r="G625" s="9" t="s">
        <v>383</v>
      </c>
      <c r="H625" s="9" t="s">
        <v>444</v>
      </c>
      <c r="I625" s="87" t="s">
        <v>6405</v>
      </c>
      <c r="J625" s="87" t="s">
        <v>6405</v>
      </c>
      <c r="K625" s="87" t="s">
        <v>6926</v>
      </c>
      <c r="L625" s="87" t="s">
        <v>6416</v>
      </c>
      <c r="M625" s="87" t="s">
        <v>6634</v>
      </c>
      <c r="N625" s="9" t="s">
        <v>7770</v>
      </c>
      <c r="O625" s="87" t="s">
        <v>6414</v>
      </c>
      <c r="P625" s="9" t="s">
        <v>6243</v>
      </c>
      <c r="Q625" s="87" t="s">
        <v>6416</v>
      </c>
      <c r="R625" s="87" t="s">
        <v>6405</v>
      </c>
      <c r="S625" s="87" t="s">
        <v>6526</v>
      </c>
      <c r="T625" s="87" t="s">
        <v>6316</v>
      </c>
    </row>
    <row r="626" spans="1:20" ht="15.75" customHeight="1">
      <c r="A626" s="9" t="s">
        <v>3014</v>
      </c>
      <c r="B626" s="9" t="s">
        <v>7769</v>
      </c>
      <c r="C626" s="9" t="s">
        <v>7228</v>
      </c>
      <c r="D626" s="87" t="s">
        <v>6290</v>
      </c>
      <c r="E626" s="9" t="s">
        <v>6924</v>
      </c>
      <c r="F626" s="9" t="s">
        <v>11</v>
      </c>
      <c r="G626" s="9" t="s">
        <v>383</v>
      </c>
      <c r="H626" s="9" t="s">
        <v>426</v>
      </c>
      <c r="I626" s="87" t="s">
        <v>6405</v>
      </c>
      <c r="J626" s="87" t="s">
        <v>6405</v>
      </c>
      <c r="K626" s="87" t="s">
        <v>6405</v>
      </c>
      <c r="L626" s="87" t="s">
        <v>6397</v>
      </c>
      <c r="M626" s="87" t="s">
        <v>6721</v>
      </c>
      <c r="N626" s="9" t="s">
        <v>7581</v>
      </c>
      <c r="O626" s="87" t="s">
        <v>6240</v>
      </c>
      <c r="P626" s="9" t="s">
        <v>6243</v>
      </c>
      <c r="Q626" s="87" t="s">
        <v>6397</v>
      </c>
      <c r="R626" s="87" t="s">
        <v>6405</v>
      </c>
      <c r="S626" s="87" t="s">
        <v>6543</v>
      </c>
      <c r="T626" s="87" t="s">
        <v>6316</v>
      </c>
    </row>
    <row r="627" spans="1:20" ht="15.75" customHeight="1">
      <c r="A627" s="9" t="s">
        <v>2847</v>
      </c>
      <c r="B627" s="9" t="s">
        <v>7771</v>
      </c>
      <c r="C627" s="9" t="s">
        <v>6236</v>
      </c>
      <c r="D627" s="87" t="s">
        <v>6393</v>
      </c>
      <c r="E627" s="9" t="s">
        <v>431</v>
      </c>
      <c r="F627" s="9" t="s">
        <v>368</v>
      </c>
      <c r="G627" s="9" t="s">
        <v>436</v>
      </c>
      <c r="H627" s="9" t="s">
        <v>434</v>
      </c>
      <c r="I627" s="87" t="s">
        <v>6334</v>
      </c>
      <c r="J627" s="87" t="s">
        <v>6580</v>
      </c>
      <c r="K627" s="87" t="s">
        <v>6497</v>
      </c>
      <c r="L627" s="87" t="s">
        <v>6240</v>
      </c>
      <c r="M627" s="87" t="s">
        <v>6585</v>
      </c>
      <c r="N627" s="9" t="s">
        <v>7165</v>
      </c>
      <c r="O627" s="87" t="s">
        <v>6497</v>
      </c>
      <c r="P627" s="9" t="s">
        <v>6243</v>
      </c>
      <c r="Q627" s="87" t="s">
        <v>6714</v>
      </c>
      <c r="R627" s="87" t="s">
        <v>6580</v>
      </c>
      <c r="S627" s="87" t="s">
        <v>6327</v>
      </c>
      <c r="T627" s="87" t="s">
        <v>6271</v>
      </c>
    </row>
    <row r="628" spans="1:20" ht="15.75" customHeight="1">
      <c r="A628" s="9" t="s">
        <v>2847</v>
      </c>
      <c r="B628" s="9" t="s">
        <v>7771</v>
      </c>
      <c r="C628" s="9" t="s">
        <v>6236</v>
      </c>
      <c r="D628" s="87" t="s">
        <v>6393</v>
      </c>
      <c r="E628" s="9" t="s">
        <v>431</v>
      </c>
      <c r="F628" s="9" t="s">
        <v>368</v>
      </c>
      <c r="G628" s="9" t="s">
        <v>436</v>
      </c>
      <c r="H628" s="9" t="s">
        <v>434</v>
      </c>
      <c r="I628" s="87" t="s">
        <v>6334</v>
      </c>
      <c r="J628" s="87" t="s">
        <v>6580</v>
      </c>
      <c r="K628" s="87" t="s">
        <v>6239</v>
      </c>
      <c r="L628" s="87" t="s">
        <v>6240</v>
      </c>
      <c r="M628" s="87" t="s">
        <v>6590</v>
      </c>
      <c r="N628" s="9" t="s">
        <v>6928</v>
      </c>
      <c r="O628" s="87" t="s">
        <v>6239</v>
      </c>
      <c r="P628" s="9" t="s">
        <v>6243</v>
      </c>
      <c r="Q628" s="87" t="s">
        <v>3764</v>
      </c>
      <c r="R628" s="87" t="s">
        <v>6580</v>
      </c>
      <c r="S628" s="87" t="s">
        <v>6327</v>
      </c>
      <c r="T628" s="87" t="s">
        <v>6645</v>
      </c>
    </row>
    <row r="629" spans="1:20" ht="15.75" customHeight="1">
      <c r="A629" s="9" t="s">
        <v>2847</v>
      </c>
      <c r="B629" s="9" t="s">
        <v>7771</v>
      </c>
      <c r="C629" s="9" t="s">
        <v>6236</v>
      </c>
      <c r="D629" s="87" t="s">
        <v>6393</v>
      </c>
      <c r="E629" s="9" t="s">
        <v>431</v>
      </c>
      <c r="F629" s="9" t="s">
        <v>368</v>
      </c>
      <c r="G629" s="9" t="s">
        <v>436</v>
      </c>
      <c r="H629" s="9" t="s">
        <v>434</v>
      </c>
      <c r="I629" s="87" t="s">
        <v>6334</v>
      </c>
      <c r="J629" s="87" t="s">
        <v>6580</v>
      </c>
      <c r="K629" s="87" t="s">
        <v>6239</v>
      </c>
      <c r="L629" s="87" t="s">
        <v>6240</v>
      </c>
      <c r="M629" s="87" t="s">
        <v>6591</v>
      </c>
      <c r="N629" s="9" t="s">
        <v>6928</v>
      </c>
      <c r="O629" s="87" t="s">
        <v>6239</v>
      </c>
      <c r="P629" s="9" t="s">
        <v>6243</v>
      </c>
      <c r="Q629" s="87" t="s">
        <v>3764</v>
      </c>
      <c r="R629" s="87" t="s">
        <v>6580</v>
      </c>
      <c r="S629" s="87" t="s">
        <v>6327</v>
      </c>
      <c r="T629" s="87" t="s">
        <v>6645</v>
      </c>
    </row>
    <row r="630" spans="1:20" ht="15.75" customHeight="1">
      <c r="A630" s="9" t="s">
        <v>2847</v>
      </c>
      <c r="B630" s="9" t="s">
        <v>7771</v>
      </c>
      <c r="C630" s="9" t="s">
        <v>6236</v>
      </c>
      <c r="D630" s="87" t="s">
        <v>6393</v>
      </c>
      <c r="E630" s="9" t="s">
        <v>431</v>
      </c>
      <c r="F630" s="9" t="s">
        <v>368</v>
      </c>
      <c r="G630" s="9" t="s">
        <v>436</v>
      </c>
      <c r="H630" s="9" t="s">
        <v>434</v>
      </c>
      <c r="I630" s="87" t="s">
        <v>6334</v>
      </c>
      <c r="J630" s="87" t="s">
        <v>6580</v>
      </c>
      <c r="K630" s="87" t="s">
        <v>6361</v>
      </c>
      <c r="L630" s="87" t="s">
        <v>6240</v>
      </c>
      <c r="M630" s="87" t="s">
        <v>6592</v>
      </c>
      <c r="N630" s="9" t="s">
        <v>7734</v>
      </c>
      <c r="O630" s="87" t="s">
        <v>6361</v>
      </c>
      <c r="P630" s="9" t="s">
        <v>6243</v>
      </c>
      <c r="Q630" s="87" t="s">
        <v>6363</v>
      </c>
      <c r="R630" s="87" t="s">
        <v>6580</v>
      </c>
      <c r="S630" s="87" t="s">
        <v>6250</v>
      </c>
      <c r="T630" s="87" t="s">
        <v>6645</v>
      </c>
    </row>
    <row r="631" spans="1:20" ht="15.75" customHeight="1">
      <c r="A631" s="9" t="s">
        <v>2847</v>
      </c>
      <c r="B631" s="9" t="s">
        <v>7772</v>
      </c>
      <c r="C631" s="9" t="s">
        <v>6671</v>
      </c>
      <c r="D631" s="87" t="s">
        <v>6296</v>
      </c>
      <c r="E631" s="9" t="s">
        <v>6672</v>
      </c>
      <c r="F631" s="9" t="s">
        <v>439</v>
      </c>
      <c r="G631" s="9" t="s">
        <v>436</v>
      </c>
      <c r="H631" s="9" t="s">
        <v>440</v>
      </c>
      <c r="I631" s="87" t="s">
        <v>6405</v>
      </c>
      <c r="J631" s="87" t="s">
        <v>6567</v>
      </c>
      <c r="K631" s="87" t="s">
        <v>6239</v>
      </c>
      <c r="L631" s="87" t="s">
        <v>6240</v>
      </c>
      <c r="M631" s="87" t="s">
        <v>6597</v>
      </c>
      <c r="N631" s="9" t="s">
        <v>6928</v>
      </c>
      <c r="O631" s="87" t="s">
        <v>6239</v>
      </c>
      <c r="P631" s="9" t="s">
        <v>6243</v>
      </c>
      <c r="Q631" s="87" t="s">
        <v>3764</v>
      </c>
      <c r="R631" s="87" t="s">
        <v>6567</v>
      </c>
      <c r="S631" s="87" t="s">
        <v>6327</v>
      </c>
      <c r="T631" s="87" t="s">
        <v>6645</v>
      </c>
    </row>
    <row r="632" spans="1:20" ht="15.75" customHeight="1">
      <c r="A632" s="9" t="s">
        <v>2847</v>
      </c>
      <c r="B632" s="9" t="s">
        <v>7772</v>
      </c>
      <c r="C632" s="9" t="s">
        <v>6671</v>
      </c>
      <c r="D632" s="87" t="s">
        <v>6296</v>
      </c>
      <c r="E632" s="9" t="s">
        <v>6672</v>
      </c>
      <c r="F632" s="9" t="s">
        <v>439</v>
      </c>
      <c r="G632" s="9" t="s">
        <v>436</v>
      </c>
      <c r="H632" s="9" t="s">
        <v>440</v>
      </c>
      <c r="I632" s="87" t="s">
        <v>6405</v>
      </c>
      <c r="J632" s="87" t="s">
        <v>6567</v>
      </c>
      <c r="K632" s="87" t="s">
        <v>6346</v>
      </c>
      <c r="L632" s="87" t="s">
        <v>6240</v>
      </c>
      <c r="M632" s="87" t="s">
        <v>6601</v>
      </c>
      <c r="N632" s="9" t="s">
        <v>6972</v>
      </c>
      <c r="O632" s="87" t="s">
        <v>6346</v>
      </c>
      <c r="P632" s="9" t="s">
        <v>6243</v>
      </c>
      <c r="Q632" s="87" t="s">
        <v>6366</v>
      </c>
      <c r="R632" s="87" t="s">
        <v>6567</v>
      </c>
      <c r="S632" s="87" t="s">
        <v>5381</v>
      </c>
      <c r="T632" s="87" t="s">
        <v>6645</v>
      </c>
    </row>
    <row r="633" spans="1:20" ht="15.75" customHeight="1">
      <c r="A633" s="9" t="s">
        <v>2847</v>
      </c>
      <c r="B633" s="9" t="s">
        <v>7773</v>
      </c>
      <c r="C633" s="9" t="s">
        <v>6923</v>
      </c>
      <c r="D633" s="87" t="s">
        <v>6264</v>
      </c>
      <c r="E633" s="9" t="s">
        <v>6924</v>
      </c>
      <c r="F633" s="9" t="s">
        <v>6925</v>
      </c>
      <c r="G633" s="9" t="s">
        <v>383</v>
      </c>
      <c r="H633" s="9" t="s">
        <v>449</v>
      </c>
      <c r="I633" s="87" t="s">
        <v>6405</v>
      </c>
      <c r="J633" s="87" t="s">
        <v>6264</v>
      </c>
      <c r="K633" s="87" t="s">
        <v>6931</v>
      </c>
      <c r="L633" s="87" t="s">
        <v>4947</v>
      </c>
      <c r="M633" s="87" t="s">
        <v>6613</v>
      </c>
      <c r="N633" s="9" t="s">
        <v>7024</v>
      </c>
      <c r="O633" s="87" t="s">
        <v>6287</v>
      </c>
      <c r="P633" s="9" t="s">
        <v>6243</v>
      </c>
      <c r="Q633" s="87" t="s">
        <v>3734</v>
      </c>
      <c r="R633" s="87" t="s">
        <v>6264</v>
      </c>
      <c r="S633" s="87" t="s">
        <v>6461</v>
      </c>
      <c r="T633" s="87" t="s">
        <v>6341</v>
      </c>
    </row>
    <row r="634" spans="1:20" ht="15.75" customHeight="1">
      <c r="A634" s="9" t="s">
        <v>2847</v>
      </c>
      <c r="B634" s="9" t="s">
        <v>7773</v>
      </c>
      <c r="C634" s="9" t="s">
        <v>7228</v>
      </c>
      <c r="D634" s="87" t="s">
        <v>6405</v>
      </c>
      <c r="E634" s="9" t="s">
        <v>6924</v>
      </c>
      <c r="F634" s="9" t="s">
        <v>11</v>
      </c>
      <c r="G634" s="9" t="s">
        <v>383</v>
      </c>
      <c r="H634" s="9" t="s">
        <v>426</v>
      </c>
      <c r="I634" s="87" t="s">
        <v>6405</v>
      </c>
      <c r="J634" s="87" t="s">
        <v>6264</v>
      </c>
      <c r="K634" s="87" t="s">
        <v>6264</v>
      </c>
      <c r="L634" s="87" t="s">
        <v>6397</v>
      </c>
      <c r="M634" s="87" t="s">
        <v>6616</v>
      </c>
      <c r="N634" s="9" t="s">
        <v>7300</v>
      </c>
      <c r="O634" s="87" t="s">
        <v>6313</v>
      </c>
      <c r="P634" s="9" t="s">
        <v>6243</v>
      </c>
      <c r="Q634" s="87" t="s">
        <v>6357</v>
      </c>
      <c r="R634" s="87" t="s">
        <v>6264</v>
      </c>
      <c r="S634" s="87" t="s">
        <v>6651</v>
      </c>
      <c r="T634" s="87" t="s">
        <v>6341</v>
      </c>
    </row>
    <row r="635" spans="1:20" ht="15.75" customHeight="1">
      <c r="A635" s="9" t="s">
        <v>2922</v>
      </c>
      <c r="B635" s="9" t="s">
        <v>7774</v>
      </c>
      <c r="C635" s="9" t="s">
        <v>6236</v>
      </c>
      <c r="D635" s="87" t="s">
        <v>6393</v>
      </c>
      <c r="E635" s="9" t="s">
        <v>431</v>
      </c>
      <c r="F635" s="9" t="s">
        <v>368</v>
      </c>
      <c r="G635" s="9" t="s">
        <v>436</v>
      </c>
      <c r="H635" s="9" t="s">
        <v>434</v>
      </c>
      <c r="I635" s="87" t="s">
        <v>6237</v>
      </c>
      <c r="J635" s="87" t="s">
        <v>6323</v>
      </c>
      <c r="K635" s="87" t="s">
        <v>6323</v>
      </c>
      <c r="L635" s="87" t="s">
        <v>6240</v>
      </c>
      <c r="M635" s="87" t="s">
        <v>6763</v>
      </c>
      <c r="N635" s="9" t="s">
        <v>7775</v>
      </c>
      <c r="O635" s="87" t="s">
        <v>6323</v>
      </c>
      <c r="P635" s="9" t="s">
        <v>6243</v>
      </c>
      <c r="Q635" s="87" t="s">
        <v>5374</v>
      </c>
      <c r="R635" s="87" t="s">
        <v>6323</v>
      </c>
      <c r="S635" s="87" t="s">
        <v>6413</v>
      </c>
      <c r="T635" s="87" t="s">
        <v>6314</v>
      </c>
    </row>
    <row r="636" spans="1:20" ht="15.75" customHeight="1">
      <c r="A636" s="9" t="s">
        <v>2922</v>
      </c>
      <c r="B636" s="9" t="s">
        <v>7776</v>
      </c>
      <c r="C636" s="9" t="s">
        <v>6671</v>
      </c>
      <c r="D636" s="87" t="s">
        <v>6296</v>
      </c>
      <c r="E636" s="9" t="s">
        <v>6672</v>
      </c>
      <c r="F636" s="9" t="s">
        <v>439</v>
      </c>
      <c r="G636" s="9" t="s">
        <v>436</v>
      </c>
      <c r="H636" s="9" t="s">
        <v>440</v>
      </c>
      <c r="I636" s="87" t="s">
        <v>6405</v>
      </c>
      <c r="J636" s="87" t="s">
        <v>6245</v>
      </c>
      <c r="K636" s="87" t="s">
        <v>6245</v>
      </c>
      <c r="L636" s="87" t="s">
        <v>6240</v>
      </c>
      <c r="M636" s="87" t="s">
        <v>6648</v>
      </c>
      <c r="N636" s="9" t="s">
        <v>7000</v>
      </c>
      <c r="O636" s="87" t="s">
        <v>6245</v>
      </c>
      <c r="P636" s="9" t="s">
        <v>6547</v>
      </c>
      <c r="Q636" s="87" t="s">
        <v>6238</v>
      </c>
      <c r="R636" s="87" t="s">
        <v>6245</v>
      </c>
      <c r="S636" s="87" t="s">
        <v>6500</v>
      </c>
      <c r="T636" s="87" t="s">
        <v>6645</v>
      </c>
    </row>
    <row r="637" spans="1:20" ht="15.75" customHeight="1">
      <c r="A637" s="9" t="s">
        <v>2922</v>
      </c>
      <c r="B637" s="9" t="s">
        <v>7777</v>
      </c>
      <c r="C637" s="9" t="s">
        <v>6923</v>
      </c>
      <c r="D637" s="87" t="s">
        <v>6264</v>
      </c>
      <c r="E637" s="9" t="s">
        <v>6924</v>
      </c>
      <c r="F637" s="9" t="s">
        <v>6925</v>
      </c>
      <c r="G637" s="9" t="s">
        <v>383</v>
      </c>
      <c r="H637" s="9" t="s">
        <v>449</v>
      </c>
      <c r="I637" s="87" t="s">
        <v>6405</v>
      </c>
      <c r="J637" s="87" t="s">
        <v>6405</v>
      </c>
      <c r="K637" s="87" t="s">
        <v>6926</v>
      </c>
      <c r="L637" s="87" t="s">
        <v>6238</v>
      </c>
      <c r="M637" s="87" t="s">
        <v>6649</v>
      </c>
      <c r="N637" s="9" t="s">
        <v>7001</v>
      </c>
      <c r="O637" s="87" t="s">
        <v>6245</v>
      </c>
      <c r="P637" s="9" t="s">
        <v>6547</v>
      </c>
      <c r="Q637" s="87" t="s">
        <v>6238</v>
      </c>
      <c r="R637" s="87" t="s">
        <v>6405</v>
      </c>
      <c r="S637" s="87" t="s">
        <v>6263</v>
      </c>
      <c r="T637" s="87" t="s">
        <v>6341</v>
      </c>
    </row>
    <row r="638" spans="1:20" ht="15.75" customHeight="1">
      <c r="A638" s="9" t="s">
        <v>2922</v>
      </c>
      <c r="B638" s="9" t="s">
        <v>7777</v>
      </c>
      <c r="C638" s="9" t="s">
        <v>7228</v>
      </c>
      <c r="D638" s="87" t="s">
        <v>6405</v>
      </c>
      <c r="E638" s="9" t="s">
        <v>6924</v>
      </c>
      <c r="F638" s="9" t="s">
        <v>11</v>
      </c>
      <c r="G638" s="9" t="s">
        <v>383</v>
      </c>
      <c r="H638" s="9" t="s">
        <v>426</v>
      </c>
      <c r="I638" s="87" t="s">
        <v>6405</v>
      </c>
      <c r="J638" s="87" t="s">
        <v>6405</v>
      </c>
      <c r="K638" s="87" t="s">
        <v>6405</v>
      </c>
      <c r="L638" s="87" t="s">
        <v>6293</v>
      </c>
      <c r="M638" s="87" t="s">
        <v>6650</v>
      </c>
      <c r="N638" s="9" t="s">
        <v>7268</v>
      </c>
      <c r="O638" s="87" t="s">
        <v>6290</v>
      </c>
      <c r="P638" s="9" t="s">
        <v>6547</v>
      </c>
      <c r="Q638" s="87" t="s">
        <v>6293</v>
      </c>
      <c r="R638" s="87" t="s">
        <v>6405</v>
      </c>
      <c r="S638" s="87" t="s">
        <v>6479</v>
      </c>
      <c r="T638" s="87" t="s">
        <v>6341</v>
      </c>
    </row>
    <row r="639" spans="1:20" ht="15.75" customHeight="1">
      <c r="A639" s="9" t="s">
        <v>2840</v>
      </c>
      <c r="B639" s="9" t="s">
        <v>7778</v>
      </c>
      <c r="C639" s="9" t="s">
        <v>6236</v>
      </c>
      <c r="D639" s="87" t="s">
        <v>6393</v>
      </c>
      <c r="E639" s="9" t="s">
        <v>431</v>
      </c>
      <c r="F639" s="9" t="s">
        <v>368</v>
      </c>
      <c r="G639" s="9" t="s">
        <v>436</v>
      </c>
      <c r="H639" s="9" t="s">
        <v>434</v>
      </c>
      <c r="I639" s="87" t="s">
        <v>6264</v>
      </c>
      <c r="J639" s="87" t="s">
        <v>6392</v>
      </c>
      <c r="K639" s="87" t="s">
        <v>6370</v>
      </c>
      <c r="L639" s="87" t="s">
        <v>6240</v>
      </c>
      <c r="M639" s="87" t="s">
        <v>6628</v>
      </c>
      <c r="N639" s="9" t="s">
        <v>6968</v>
      </c>
      <c r="O639" s="87" t="s">
        <v>6370</v>
      </c>
      <c r="P639" s="9" t="s">
        <v>6243</v>
      </c>
      <c r="Q639" s="87" t="s">
        <v>6381</v>
      </c>
      <c r="R639" s="87" t="s">
        <v>6392</v>
      </c>
      <c r="S639" s="87" t="s">
        <v>6327</v>
      </c>
      <c r="T639" s="87" t="s">
        <v>6392</v>
      </c>
    </row>
    <row r="640" spans="1:20" ht="15.75" customHeight="1">
      <c r="A640" s="9" t="s">
        <v>2840</v>
      </c>
      <c r="B640" s="9" t="s">
        <v>7778</v>
      </c>
      <c r="C640" s="9" t="s">
        <v>6236</v>
      </c>
      <c r="D640" s="87" t="s">
        <v>6393</v>
      </c>
      <c r="E640" s="9" t="s">
        <v>431</v>
      </c>
      <c r="F640" s="9" t="s">
        <v>368</v>
      </c>
      <c r="G640" s="9" t="s">
        <v>436</v>
      </c>
      <c r="H640" s="9" t="s">
        <v>434</v>
      </c>
      <c r="I640" s="87" t="s">
        <v>6264</v>
      </c>
      <c r="J640" s="87" t="s">
        <v>6392</v>
      </c>
      <c r="K640" s="87" t="s">
        <v>6435</v>
      </c>
      <c r="L640" s="87" t="s">
        <v>6240</v>
      </c>
      <c r="M640" s="87" t="s">
        <v>6633</v>
      </c>
      <c r="N640" s="9" t="s">
        <v>7007</v>
      </c>
      <c r="O640" s="87" t="s">
        <v>6435</v>
      </c>
      <c r="P640" s="9" t="s">
        <v>6243</v>
      </c>
      <c r="Q640" s="87" t="s">
        <v>6250</v>
      </c>
      <c r="R640" s="87" t="s">
        <v>6392</v>
      </c>
      <c r="S640" s="87" t="s">
        <v>6733</v>
      </c>
      <c r="T640" s="87" t="s">
        <v>6645</v>
      </c>
    </row>
    <row r="641" spans="1:26" ht="15.75" customHeight="1">
      <c r="A641" s="9" t="s">
        <v>2840</v>
      </c>
      <c r="B641" s="9" t="s">
        <v>7779</v>
      </c>
      <c r="C641" s="9" t="s">
        <v>6923</v>
      </c>
      <c r="D641" s="87" t="s">
        <v>6264</v>
      </c>
      <c r="E641" s="9" t="s">
        <v>6924</v>
      </c>
      <c r="F641" s="9" t="s">
        <v>6925</v>
      </c>
      <c r="G641" s="9" t="s">
        <v>383</v>
      </c>
      <c r="H641" s="9" t="s">
        <v>449</v>
      </c>
      <c r="I641" s="87" t="s">
        <v>6405</v>
      </c>
      <c r="J641" s="87" t="s">
        <v>6405</v>
      </c>
      <c r="K641" s="87" t="s">
        <v>6926</v>
      </c>
      <c r="L641" s="87" t="s">
        <v>4947</v>
      </c>
      <c r="M641" s="87" t="s">
        <v>6730</v>
      </c>
      <c r="N641" s="9" t="s">
        <v>7780</v>
      </c>
      <c r="O641" s="87" t="s">
        <v>6255</v>
      </c>
      <c r="P641" s="9" t="s">
        <v>6243</v>
      </c>
      <c r="Q641" s="87" t="s">
        <v>4947</v>
      </c>
      <c r="R641" s="87" t="s">
        <v>6405</v>
      </c>
      <c r="S641" s="87" t="s">
        <v>6294</v>
      </c>
      <c r="T641" s="87" t="s">
        <v>5381</v>
      </c>
    </row>
    <row r="642" spans="1:26" ht="15.75" customHeight="1">
      <c r="A642" s="9" t="s">
        <v>2840</v>
      </c>
      <c r="B642" s="9" t="s">
        <v>7779</v>
      </c>
      <c r="C642" s="9" t="s">
        <v>7228</v>
      </c>
      <c r="D642" s="87" t="s">
        <v>6405</v>
      </c>
      <c r="E642" s="9" t="s">
        <v>6924</v>
      </c>
      <c r="F642" s="9" t="s">
        <v>11</v>
      </c>
      <c r="G642" s="9" t="s">
        <v>383</v>
      </c>
      <c r="H642" s="9" t="s">
        <v>426</v>
      </c>
      <c r="I642" s="87" t="s">
        <v>6405</v>
      </c>
      <c r="J642" s="87" t="s">
        <v>6405</v>
      </c>
      <c r="K642" s="87" t="s">
        <v>6405</v>
      </c>
      <c r="L642" s="87" t="s">
        <v>6397</v>
      </c>
      <c r="M642" s="87" t="s">
        <v>6634</v>
      </c>
      <c r="N642" s="9" t="s">
        <v>7262</v>
      </c>
      <c r="O642" s="87" t="s">
        <v>6240</v>
      </c>
      <c r="P642" s="9" t="s">
        <v>6243</v>
      </c>
      <c r="Q642" s="87" t="s">
        <v>6397</v>
      </c>
      <c r="R642" s="87" t="s">
        <v>6405</v>
      </c>
      <c r="S642" s="87" t="s">
        <v>6651</v>
      </c>
      <c r="T642" s="87" t="s">
        <v>6416</v>
      </c>
    </row>
    <row r="643" spans="1:26" ht="15.75" customHeight="1">
      <c r="A643" s="9" t="s">
        <v>2876</v>
      </c>
      <c r="B643" s="9" t="s">
        <v>7781</v>
      </c>
      <c r="C643" s="9" t="s">
        <v>6236</v>
      </c>
      <c r="D643" s="87" t="s">
        <v>6393</v>
      </c>
      <c r="E643" s="9" t="s">
        <v>431</v>
      </c>
      <c r="F643" s="9" t="s">
        <v>368</v>
      </c>
      <c r="G643" s="9" t="s">
        <v>436</v>
      </c>
      <c r="H643" s="9" t="s">
        <v>434</v>
      </c>
      <c r="I643" s="87" t="s">
        <v>6237</v>
      </c>
      <c r="J643" s="87" t="s">
        <v>6316</v>
      </c>
      <c r="K643" s="87" t="s">
        <v>6543</v>
      </c>
      <c r="L643" s="87" t="s">
        <v>6240</v>
      </c>
      <c r="M643" s="87" t="s">
        <v>6730</v>
      </c>
      <c r="N643" s="9" t="s">
        <v>7457</v>
      </c>
      <c r="O643" s="87" t="s">
        <v>6543</v>
      </c>
      <c r="P643" s="9" t="s">
        <v>6243</v>
      </c>
      <c r="Q643" s="87" t="s">
        <v>7458</v>
      </c>
      <c r="R643" s="87" t="s">
        <v>6316</v>
      </c>
      <c r="S643" s="87" t="s">
        <v>6327</v>
      </c>
      <c r="T643" s="87" t="s">
        <v>6367</v>
      </c>
    </row>
    <row r="644" spans="1:26" ht="15.75" customHeight="1">
      <c r="A644" s="9" t="s">
        <v>2876</v>
      </c>
      <c r="B644" s="9" t="s">
        <v>7781</v>
      </c>
      <c r="C644" s="9" t="s">
        <v>6236</v>
      </c>
      <c r="D644" s="87" t="s">
        <v>6393</v>
      </c>
      <c r="E644" s="9" t="s">
        <v>431</v>
      </c>
      <c r="F644" s="9" t="s">
        <v>368</v>
      </c>
      <c r="G644" s="9" t="s">
        <v>436</v>
      </c>
      <c r="H644" s="9" t="s">
        <v>434</v>
      </c>
      <c r="I644" s="87" t="s">
        <v>6237</v>
      </c>
      <c r="J644" s="87" t="s">
        <v>6316</v>
      </c>
      <c r="K644" s="87" t="s">
        <v>6237</v>
      </c>
      <c r="L644" s="87" t="s">
        <v>6240</v>
      </c>
      <c r="M644" s="87" t="s">
        <v>6634</v>
      </c>
      <c r="N644" s="9" t="s">
        <v>6967</v>
      </c>
      <c r="O644" s="87" t="s">
        <v>6237</v>
      </c>
      <c r="P644" s="9" t="s">
        <v>6243</v>
      </c>
      <c r="Q644" s="87" t="s">
        <v>4953</v>
      </c>
      <c r="R644" s="87" t="s">
        <v>6316</v>
      </c>
      <c r="S644" s="87" t="s">
        <v>6424</v>
      </c>
      <c r="T644" s="87" t="s">
        <v>6645</v>
      </c>
    </row>
    <row r="645" spans="1:26" ht="15.75" customHeight="1">
      <c r="A645" s="9" t="s">
        <v>2876</v>
      </c>
      <c r="B645" s="9" t="s">
        <v>7782</v>
      </c>
      <c r="C645" s="9" t="s">
        <v>6671</v>
      </c>
      <c r="D645" s="87" t="s">
        <v>6296</v>
      </c>
      <c r="E645" s="9" t="s">
        <v>6672</v>
      </c>
      <c r="F645" s="9" t="s">
        <v>439</v>
      </c>
      <c r="G645" s="9" t="s">
        <v>436</v>
      </c>
      <c r="H645" s="9" t="s">
        <v>440</v>
      </c>
      <c r="I645" s="87" t="s">
        <v>6405</v>
      </c>
      <c r="J645" s="87" t="s">
        <v>6479</v>
      </c>
      <c r="K645" s="87" t="s">
        <v>6479</v>
      </c>
      <c r="L645" s="87" t="s">
        <v>6240</v>
      </c>
      <c r="M645" s="87" t="s">
        <v>6721</v>
      </c>
      <c r="N645" s="9" t="s">
        <v>7134</v>
      </c>
      <c r="O645" s="87" t="s">
        <v>6479</v>
      </c>
      <c r="P645" s="9" t="s">
        <v>6243</v>
      </c>
      <c r="Q645" s="87" t="s">
        <v>5417</v>
      </c>
      <c r="R645" s="87" t="s">
        <v>6479</v>
      </c>
      <c r="S645" s="87" t="s">
        <v>6433</v>
      </c>
      <c r="T645" s="87" t="s">
        <v>6645</v>
      </c>
    </row>
    <row r="646" spans="1:26" ht="15.75" customHeight="1">
      <c r="A646" s="9" t="s">
        <v>2876</v>
      </c>
      <c r="B646" s="9" t="s">
        <v>7783</v>
      </c>
      <c r="C646" s="9" t="s">
        <v>6923</v>
      </c>
      <c r="D646" s="87" t="s">
        <v>6327</v>
      </c>
      <c r="E646" s="9" t="s">
        <v>6924</v>
      </c>
      <c r="F646" s="9" t="s">
        <v>6925</v>
      </c>
      <c r="G646" s="9" t="s">
        <v>383</v>
      </c>
      <c r="H646" s="9" t="s">
        <v>444</v>
      </c>
      <c r="I646" s="87" t="s">
        <v>6405</v>
      </c>
      <c r="J646" s="87" t="s">
        <v>6405</v>
      </c>
      <c r="K646" s="87" t="s">
        <v>6926</v>
      </c>
      <c r="L646" s="87" t="s">
        <v>6474</v>
      </c>
      <c r="M646" s="87" t="s">
        <v>6718</v>
      </c>
      <c r="N646" s="9" t="s">
        <v>7784</v>
      </c>
      <c r="O646" s="87" t="s">
        <v>6528</v>
      </c>
      <c r="P646" s="9" t="s">
        <v>6243</v>
      </c>
      <c r="Q646" s="87" t="s">
        <v>6474</v>
      </c>
      <c r="R646" s="87" t="s">
        <v>6405</v>
      </c>
      <c r="S646" s="87" t="s">
        <v>6250</v>
      </c>
      <c r="T646" s="87" t="s">
        <v>6357</v>
      </c>
    </row>
    <row r="647" spans="1:26" ht="15.75" customHeight="1">
      <c r="A647" s="9" t="s">
        <v>2876</v>
      </c>
      <c r="B647" s="9" t="s">
        <v>7783</v>
      </c>
      <c r="C647" s="9" t="s">
        <v>7228</v>
      </c>
      <c r="D647" s="87" t="s">
        <v>6290</v>
      </c>
      <c r="E647" s="9" t="s">
        <v>6924</v>
      </c>
      <c r="F647" s="9" t="s">
        <v>11</v>
      </c>
      <c r="G647" s="9" t="s">
        <v>383</v>
      </c>
      <c r="H647" s="9" t="s">
        <v>426</v>
      </c>
      <c r="I647" s="87" t="s">
        <v>6405</v>
      </c>
      <c r="J647" s="87" t="s">
        <v>6405</v>
      </c>
      <c r="K647" s="87" t="s">
        <v>6405</v>
      </c>
      <c r="L647" s="87" t="s">
        <v>4953</v>
      </c>
      <c r="M647" s="87" t="s">
        <v>6635</v>
      </c>
      <c r="N647" s="9" t="s">
        <v>7785</v>
      </c>
      <c r="O647" s="87" t="s">
        <v>6237</v>
      </c>
      <c r="P647" s="9" t="s">
        <v>6243</v>
      </c>
      <c r="Q647" s="87" t="s">
        <v>4953</v>
      </c>
      <c r="R647" s="87" t="s">
        <v>6405</v>
      </c>
      <c r="S647" s="87" t="s">
        <v>6277</v>
      </c>
      <c r="T647" s="87" t="s">
        <v>6316</v>
      </c>
    </row>
    <row r="648" spans="1:26" ht="15.75" customHeight="1">
      <c r="A648" s="9" t="s">
        <v>2912</v>
      </c>
      <c r="B648" s="9" t="s">
        <v>7786</v>
      </c>
      <c r="C648" s="9" t="s">
        <v>6236</v>
      </c>
      <c r="D648" s="87" t="s">
        <v>6393</v>
      </c>
      <c r="E648" s="9" t="s">
        <v>431</v>
      </c>
      <c r="F648" s="9" t="s">
        <v>368</v>
      </c>
      <c r="G648" s="9" t="s">
        <v>436</v>
      </c>
      <c r="H648" s="9" t="s">
        <v>434</v>
      </c>
      <c r="I648" s="87" t="s">
        <v>6237</v>
      </c>
      <c r="J648" s="87" t="s">
        <v>6346</v>
      </c>
      <c r="K648" s="87" t="s">
        <v>6346</v>
      </c>
      <c r="L648" s="87" t="s">
        <v>6240</v>
      </c>
      <c r="M648" s="87" t="s">
        <v>6737</v>
      </c>
      <c r="N648" s="9" t="s">
        <v>7787</v>
      </c>
      <c r="O648" s="87" t="s">
        <v>6346</v>
      </c>
      <c r="P648" s="9" t="s">
        <v>6243</v>
      </c>
      <c r="Q648" s="87" t="s">
        <v>6366</v>
      </c>
      <c r="R648" s="87" t="s">
        <v>6346</v>
      </c>
      <c r="S648" s="87" t="s">
        <v>6254</v>
      </c>
      <c r="T648" s="87" t="s">
        <v>6263</v>
      </c>
    </row>
    <row r="649" spans="1:26" ht="15.75" customHeight="1">
      <c r="A649" s="9" t="s">
        <v>2912</v>
      </c>
      <c r="B649" s="9" t="s">
        <v>7788</v>
      </c>
      <c r="C649" s="9" t="s">
        <v>6923</v>
      </c>
      <c r="D649" s="87" t="s">
        <v>6327</v>
      </c>
      <c r="E649" s="9" t="s">
        <v>6924</v>
      </c>
      <c r="F649" s="9" t="s">
        <v>6925</v>
      </c>
      <c r="G649" s="9" t="s">
        <v>383</v>
      </c>
      <c r="H649" s="9" t="s">
        <v>444</v>
      </c>
      <c r="I649" s="87" t="s">
        <v>6405</v>
      </c>
      <c r="J649" s="87" t="s">
        <v>6405</v>
      </c>
      <c r="K649" s="87" t="s">
        <v>6926</v>
      </c>
      <c r="L649" s="87" t="s">
        <v>6474</v>
      </c>
      <c r="M649" s="87" t="s">
        <v>6730</v>
      </c>
      <c r="N649" s="9" t="s">
        <v>7789</v>
      </c>
      <c r="O649" s="87" t="s">
        <v>6528</v>
      </c>
      <c r="P649" s="9" t="s">
        <v>6243</v>
      </c>
      <c r="Q649" s="87" t="s">
        <v>6474</v>
      </c>
      <c r="R649" s="87" t="s">
        <v>6405</v>
      </c>
      <c r="S649" s="87" t="s">
        <v>4953</v>
      </c>
      <c r="T649" s="87" t="s">
        <v>6299</v>
      </c>
      <c r="U649" s="84"/>
      <c r="V649" s="84"/>
      <c r="W649" s="84"/>
      <c r="X649" s="84"/>
      <c r="Y649" s="84"/>
      <c r="Z649" s="84"/>
    </row>
    <row r="650" spans="1:26" ht="15.75" customHeight="1">
      <c r="A650" s="9" t="s">
        <v>2989</v>
      </c>
      <c r="B650" s="9" t="s">
        <v>7790</v>
      </c>
      <c r="C650" s="9" t="s">
        <v>6236</v>
      </c>
      <c r="D650" s="87" t="s">
        <v>6393</v>
      </c>
      <c r="E650" s="9" t="s">
        <v>431</v>
      </c>
      <c r="F650" s="9" t="s">
        <v>368</v>
      </c>
      <c r="G650" s="9" t="s">
        <v>436</v>
      </c>
      <c r="H650" s="9" t="s">
        <v>434</v>
      </c>
      <c r="I650" s="87" t="s">
        <v>6264</v>
      </c>
      <c r="J650" s="87" t="s">
        <v>6437</v>
      </c>
      <c r="K650" s="87" t="s">
        <v>6256</v>
      </c>
      <c r="L650" s="87" t="s">
        <v>6240</v>
      </c>
      <c r="M650" s="87" t="s">
        <v>6649</v>
      </c>
      <c r="N650" s="9" t="s">
        <v>7791</v>
      </c>
      <c r="O650" s="87" t="s">
        <v>6256</v>
      </c>
      <c r="P650" s="9" t="s">
        <v>6243</v>
      </c>
      <c r="Q650" s="87" t="s">
        <v>6258</v>
      </c>
      <c r="R650" s="87" t="s">
        <v>6437</v>
      </c>
      <c r="S650" s="87" t="s">
        <v>6327</v>
      </c>
      <c r="T650" s="87" t="s">
        <v>6306</v>
      </c>
      <c r="U650" s="84"/>
      <c r="V650" s="84"/>
      <c r="W650" s="84"/>
      <c r="X650" s="84"/>
      <c r="Y650" s="84"/>
      <c r="Z650" s="84"/>
    </row>
    <row r="651" spans="1:26" ht="15.75" customHeight="1">
      <c r="A651" s="9" t="s">
        <v>2989</v>
      </c>
      <c r="B651" s="9" t="s">
        <v>7790</v>
      </c>
      <c r="C651" s="9" t="s">
        <v>6236</v>
      </c>
      <c r="D651" s="87" t="s">
        <v>6393</v>
      </c>
      <c r="E651" s="9" t="s">
        <v>431</v>
      </c>
      <c r="F651" s="9" t="s">
        <v>368</v>
      </c>
      <c r="G651" s="9" t="s">
        <v>436</v>
      </c>
      <c r="H651" s="9" t="s">
        <v>434</v>
      </c>
      <c r="I651" s="87" t="s">
        <v>6264</v>
      </c>
      <c r="J651" s="87" t="s">
        <v>6437</v>
      </c>
      <c r="K651" s="87" t="s">
        <v>4953</v>
      </c>
      <c r="L651" s="87" t="s">
        <v>6240</v>
      </c>
      <c r="M651" s="87" t="s">
        <v>6650</v>
      </c>
      <c r="N651" s="9" t="s">
        <v>7080</v>
      </c>
      <c r="O651" s="87" t="s">
        <v>4953</v>
      </c>
      <c r="P651" s="9" t="s">
        <v>6243</v>
      </c>
      <c r="Q651" s="87" t="s">
        <v>6306</v>
      </c>
      <c r="R651" s="87" t="s">
        <v>6437</v>
      </c>
      <c r="S651" s="87" t="s">
        <v>6373</v>
      </c>
      <c r="T651" s="87" t="s">
        <v>6645</v>
      </c>
      <c r="U651" s="84"/>
      <c r="V651" s="84"/>
      <c r="W651" s="84"/>
      <c r="X651" s="84"/>
      <c r="Y651" s="84"/>
      <c r="Z651" s="84"/>
    </row>
    <row r="652" spans="1:26" ht="15.75" customHeight="1">
      <c r="A652" s="9" t="s">
        <v>2989</v>
      </c>
      <c r="B652" s="9" t="s">
        <v>7792</v>
      </c>
      <c r="C652" s="9" t="s">
        <v>6923</v>
      </c>
      <c r="D652" s="87" t="s">
        <v>6461</v>
      </c>
      <c r="E652" s="9" t="s">
        <v>6924</v>
      </c>
      <c r="F652" s="9" t="s">
        <v>6925</v>
      </c>
      <c r="G652" s="9" t="s">
        <v>383</v>
      </c>
      <c r="H652" s="9" t="s">
        <v>427</v>
      </c>
      <c r="I652" s="87" t="s">
        <v>6405</v>
      </c>
      <c r="J652" s="87" t="s">
        <v>6237</v>
      </c>
      <c r="K652" s="87" t="s">
        <v>6939</v>
      </c>
      <c r="L652" s="87" t="s">
        <v>3231</v>
      </c>
      <c r="M652" s="87" t="s">
        <v>7063</v>
      </c>
      <c r="N652" s="9" t="s">
        <v>7198</v>
      </c>
      <c r="O652" s="87" t="s">
        <v>6316</v>
      </c>
      <c r="P652" s="9" t="s">
        <v>6243</v>
      </c>
      <c r="Q652" s="87" t="s">
        <v>3240</v>
      </c>
      <c r="R652" s="87" t="s">
        <v>6237</v>
      </c>
      <c r="S652" s="87" t="s">
        <v>6421</v>
      </c>
      <c r="T652" s="87" t="s">
        <v>6341</v>
      </c>
      <c r="U652" s="84"/>
      <c r="V652" s="84"/>
      <c r="W652" s="84"/>
      <c r="X652" s="84"/>
      <c r="Y652" s="84"/>
      <c r="Z652" s="84"/>
    </row>
    <row r="653" spans="1:26" ht="15.75" customHeight="1">
      <c r="A653" s="9" t="s">
        <v>2989</v>
      </c>
      <c r="B653" s="9" t="s">
        <v>7792</v>
      </c>
      <c r="C653" s="9" t="s">
        <v>7228</v>
      </c>
      <c r="D653" s="87" t="s">
        <v>6237</v>
      </c>
      <c r="E653" s="9" t="s">
        <v>6924</v>
      </c>
      <c r="F653" s="9" t="s">
        <v>11</v>
      </c>
      <c r="G653" s="9" t="s">
        <v>383</v>
      </c>
      <c r="H653" s="9" t="s">
        <v>426</v>
      </c>
      <c r="I653" s="87" t="s">
        <v>6405</v>
      </c>
      <c r="J653" s="87" t="s">
        <v>6334</v>
      </c>
      <c r="K653" s="87" t="s">
        <v>6334</v>
      </c>
      <c r="L653" s="87" t="s">
        <v>6299</v>
      </c>
      <c r="M653" s="87" t="s">
        <v>6692</v>
      </c>
      <c r="N653" s="9" t="s">
        <v>7357</v>
      </c>
      <c r="O653" s="87" t="s">
        <v>6421</v>
      </c>
      <c r="P653" s="9" t="s">
        <v>6243</v>
      </c>
      <c r="Q653" s="87" t="s">
        <v>6316</v>
      </c>
      <c r="R653" s="87" t="s">
        <v>6334</v>
      </c>
      <c r="S653" s="87" t="s">
        <v>6316</v>
      </c>
      <c r="T653" s="87" t="s">
        <v>6341</v>
      </c>
      <c r="U653" s="84"/>
      <c r="V653" s="84"/>
      <c r="W653" s="84"/>
      <c r="X653" s="84"/>
      <c r="Y653" s="84"/>
      <c r="Z653" s="84"/>
    </row>
    <row r="654" spans="1:26" ht="15.75" customHeight="1">
      <c r="A654" s="9" t="s">
        <v>2989</v>
      </c>
      <c r="B654" s="9" t="s">
        <v>7793</v>
      </c>
      <c r="C654" s="9" t="s">
        <v>6923</v>
      </c>
      <c r="D654" s="87" t="s">
        <v>6461</v>
      </c>
      <c r="E654" s="9" t="s">
        <v>6924</v>
      </c>
      <c r="F654" s="9" t="s">
        <v>6925</v>
      </c>
      <c r="G654" s="9" t="s">
        <v>383</v>
      </c>
      <c r="H654" s="9" t="s">
        <v>427</v>
      </c>
      <c r="I654" s="87" t="s">
        <v>6405</v>
      </c>
      <c r="J654" s="87" t="s">
        <v>6237</v>
      </c>
      <c r="K654" s="87" t="s">
        <v>6939</v>
      </c>
      <c r="L654" s="87" t="s">
        <v>3231</v>
      </c>
      <c r="M654" s="87" t="s">
        <v>6692</v>
      </c>
      <c r="N654" s="9" t="s">
        <v>7198</v>
      </c>
      <c r="O654" s="87" t="s">
        <v>6316</v>
      </c>
      <c r="P654" s="9" t="s">
        <v>6243</v>
      </c>
      <c r="Q654" s="87" t="s">
        <v>3240</v>
      </c>
      <c r="R654" s="87" t="s">
        <v>6237</v>
      </c>
      <c r="S654" s="87" t="s">
        <v>6421</v>
      </c>
      <c r="T654" s="87" t="s">
        <v>6341</v>
      </c>
      <c r="U654" s="84"/>
      <c r="V654" s="84"/>
      <c r="W654" s="84"/>
      <c r="X654" s="84"/>
      <c r="Y654" s="84"/>
      <c r="Z654" s="84"/>
    </row>
    <row r="655" spans="1:26" ht="15.75" customHeight="1">
      <c r="A655" s="9" t="s">
        <v>2989</v>
      </c>
      <c r="B655" s="9" t="s">
        <v>7793</v>
      </c>
      <c r="C655" s="9" t="s">
        <v>7228</v>
      </c>
      <c r="D655" s="87" t="s">
        <v>6237</v>
      </c>
      <c r="E655" s="9" t="s">
        <v>6924</v>
      </c>
      <c r="F655" s="9" t="s">
        <v>11</v>
      </c>
      <c r="G655" s="9" t="s">
        <v>383</v>
      </c>
      <c r="H655" s="9" t="s">
        <v>426</v>
      </c>
      <c r="I655" s="87" t="s">
        <v>6405</v>
      </c>
      <c r="J655" s="87" t="s">
        <v>6334</v>
      </c>
      <c r="K655" s="87" t="s">
        <v>6334</v>
      </c>
      <c r="L655" s="87" t="s">
        <v>6299</v>
      </c>
      <c r="M655" s="87" t="s">
        <v>6691</v>
      </c>
      <c r="N655" s="9" t="s">
        <v>7357</v>
      </c>
      <c r="O655" s="87" t="s">
        <v>6421</v>
      </c>
      <c r="P655" s="9" t="s">
        <v>6243</v>
      </c>
      <c r="Q655" s="87" t="s">
        <v>6316</v>
      </c>
      <c r="R655" s="87" t="s">
        <v>6334</v>
      </c>
      <c r="S655" s="87" t="s">
        <v>6316</v>
      </c>
      <c r="T655" s="87" t="s">
        <v>6341</v>
      </c>
      <c r="U655" s="84"/>
      <c r="V655" s="84"/>
      <c r="W655" s="84"/>
      <c r="X655" s="84"/>
      <c r="Y655" s="84"/>
      <c r="Z655" s="84"/>
    </row>
    <row r="656" spans="1:26" ht="15.75" customHeight="1">
      <c r="A656" s="9" t="s">
        <v>3008</v>
      </c>
      <c r="B656" s="9" t="s">
        <v>7794</v>
      </c>
      <c r="C656" s="9" t="s">
        <v>6236</v>
      </c>
      <c r="D656" s="87" t="s">
        <v>6393</v>
      </c>
      <c r="E656" s="9" t="s">
        <v>431</v>
      </c>
      <c r="F656" s="9" t="s">
        <v>368</v>
      </c>
      <c r="G656" s="9" t="s">
        <v>436</v>
      </c>
      <c r="H656" s="9" t="s">
        <v>434</v>
      </c>
      <c r="I656" s="87" t="s">
        <v>6237</v>
      </c>
      <c r="J656" s="87" t="s">
        <v>6300</v>
      </c>
      <c r="K656" s="87" t="s">
        <v>6300</v>
      </c>
      <c r="L656" s="87" t="s">
        <v>6240</v>
      </c>
      <c r="M656" s="87" t="s">
        <v>6634</v>
      </c>
      <c r="N656" s="9" t="s">
        <v>7795</v>
      </c>
      <c r="O656" s="87" t="s">
        <v>6300</v>
      </c>
      <c r="P656" s="9" t="s">
        <v>6243</v>
      </c>
      <c r="Q656" s="87" t="s">
        <v>3861</v>
      </c>
      <c r="R656" s="87" t="s">
        <v>6300</v>
      </c>
      <c r="S656" s="87" t="s">
        <v>6268</v>
      </c>
      <c r="T656" s="87" t="s">
        <v>6417</v>
      </c>
      <c r="U656" s="84"/>
      <c r="V656" s="84"/>
      <c r="W656" s="84"/>
      <c r="X656" s="84"/>
      <c r="Y656" s="84"/>
      <c r="Z656" s="84"/>
    </row>
    <row r="657" spans="1:26" ht="15.75" customHeight="1">
      <c r="A657" s="9" t="s">
        <v>3008</v>
      </c>
      <c r="B657" s="9" t="s">
        <v>7796</v>
      </c>
      <c r="C657" s="9" t="s">
        <v>6923</v>
      </c>
      <c r="D657" s="87" t="s">
        <v>6327</v>
      </c>
      <c r="E657" s="9" t="s">
        <v>6924</v>
      </c>
      <c r="F657" s="9" t="s">
        <v>6925</v>
      </c>
      <c r="G657" s="9" t="s">
        <v>383</v>
      </c>
      <c r="H657" s="9" t="s">
        <v>444</v>
      </c>
      <c r="I657" s="87" t="s">
        <v>6405</v>
      </c>
      <c r="J657" s="87" t="s">
        <v>6334</v>
      </c>
      <c r="K657" s="87" t="s">
        <v>6939</v>
      </c>
      <c r="L657" s="87" t="s">
        <v>6474</v>
      </c>
      <c r="M657" s="87" t="s">
        <v>6721</v>
      </c>
      <c r="N657" s="9" t="s">
        <v>7797</v>
      </c>
      <c r="O657" s="87" t="s">
        <v>6302</v>
      </c>
      <c r="P657" s="9" t="s">
        <v>6243</v>
      </c>
      <c r="Q657" s="87" t="s">
        <v>6464</v>
      </c>
      <c r="R657" s="87" t="s">
        <v>6334</v>
      </c>
      <c r="S657" s="87" t="s">
        <v>6405</v>
      </c>
      <c r="T657" s="87" t="s">
        <v>6302</v>
      </c>
      <c r="U657" s="84"/>
      <c r="V657" s="84"/>
      <c r="W657" s="84"/>
      <c r="X657" s="84"/>
      <c r="Y657" s="84"/>
      <c r="Z657" s="84"/>
    </row>
    <row r="658" spans="1:26" ht="15.75" customHeight="1">
      <c r="A658" s="9" t="s">
        <v>3027</v>
      </c>
      <c r="B658" s="9" t="s">
        <v>7798</v>
      </c>
      <c r="C658" s="9" t="s">
        <v>6236</v>
      </c>
      <c r="D658" s="87" t="s">
        <v>6393</v>
      </c>
      <c r="E658" s="9" t="s">
        <v>431</v>
      </c>
      <c r="F658" s="9" t="s">
        <v>368</v>
      </c>
      <c r="G658" s="9" t="s">
        <v>436</v>
      </c>
      <c r="H658" s="9" t="s">
        <v>434</v>
      </c>
      <c r="I658" s="87" t="s">
        <v>6237</v>
      </c>
      <c r="J658" s="87" t="s">
        <v>6239</v>
      </c>
      <c r="K658" s="87" t="s">
        <v>6330</v>
      </c>
      <c r="L658" s="87" t="s">
        <v>6240</v>
      </c>
      <c r="M658" s="87" t="s">
        <v>6635</v>
      </c>
      <c r="N658" s="9" t="s">
        <v>7799</v>
      </c>
      <c r="O658" s="87" t="s">
        <v>6330</v>
      </c>
      <c r="P658" s="9" t="s">
        <v>6243</v>
      </c>
      <c r="Q658" s="87" t="s">
        <v>6332</v>
      </c>
      <c r="R658" s="87" t="s">
        <v>6239</v>
      </c>
      <c r="S658" s="87" t="s">
        <v>6327</v>
      </c>
      <c r="T658" s="87" t="s">
        <v>6401</v>
      </c>
    </row>
    <row r="659" spans="1:26" ht="15.75" customHeight="1">
      <c r="A659" s="9" t="s">
        <v>3027</v>
      </c>
      <c r="B659" s="9" t="s">
        <v>7798</v>
      </c>
      <c r="C659" s="9" t="s">
        <v>6236</v>
      </c>
      <c r="D659" s="87" t="s">
        <v>6393</v>
      </c>
      <c r="E659" s="9" t="s">
        <v>431</v>
      </c>
      <c r="F659" s="9" t="s">
        <v>368</v>
      </c>
      <c r="G659" s="9" t="s">
        <v>436</v>
      </c>
      <c r="H659" s="9" t="s">
        <v>434</v>
      </c>
      <c r="I659" s="87" t="s">
        <v>6237</v>
      </c>
      <c r="J659" s="87" t="s">
        <v>6239</v>
      </c>
      <c r="K659" s="87" t="s">
        <v>6486</v>
      </c>
      <c r="L659" s="87" t="s">
        <v>6240</v>
      </c>
      <c r="M659" s="87" t="s">
        <v>6710</v>
      </c>
      <c r="N659" s="9" t="s">
        <v>6969</v>
      </c>
      <c r="O659" s="87" t="s">
        <v>6486</v>
      </c>
      <c r="P659" s="9" t="s">
        <v>6243</v>
      </c>
      <c r="Q659" s="87" t="s">
        <v>5079</v>
      </c>
      <c r="R659" s="87" t="s">
        <v>6239</v>
      </c>
      <c r="S659" s="87" t="s">
        <v>6526</v>
      </c>
      <c r="T659" s="87" t="s">
        <v>6645</v>
      </c>
    </row>
    <row r="660" spans="1:26" ht="15.75" customHeight="1">
      <c r="A660" s="9" t="s">
        <v>3027</v>
      </c>
      <c r="B660" s="9" t="s">
        <v>7800</v>
      </c>
      <c r="C660" s="9" t="s">
        <v>6923</v>
      </c>
      <c r="D660" s="87" t="s">
        <v>6327</v>
      </c>
      <c r="E660" s="9" t="s">
        <v>6924</v>
      </c>
      <c r="F660" s="9" t="s">
        <v>6925</v>
      </c>
      <c r="G660" s="9" t="s">
        <v>383</v>
      </c>
      <c r="H660" s="9" t="s">
        <v>444</v>
      </c>
      <c r="I660" s="87" t="s">
        <v>6405</v>
      </c>
      <c r="J660" s="87" t="s">
        <v>6264</v>
      </c>
      <c r="K660" s="87" t="s">
        <v>6939</v>
      </c>
      <c r="L660" s="87" t="s">
        <v>6573</v>
      </c>
      <c r="M660" s="87" t="s">
        <v>6637</v>
      </c>
      <c r="N660" s="9" t="s">
        <v>7801</v>
      </c>
      <c r="O660" s="87" t="s">
        <v>6400</v>
      </c>
      <c r="P660" s="9" t="s">
        <v>6243</v>
      </c>
      <c r="Q660" s="87" t="s">
        <v>3870</v>
      </c>
      <c r="R660" s="87" t="s">
        <v>6264</v>
      </c>
      <c r="S660" s="87" t="s">
        <v>6393</v>
      </c>
      <c r="T660" s="87" t="s">
        <v>6619</v>
      </c>
    </row>
    <row r="661" spans="1:26" ht="15.75" customHeight="1">
      <c r="A661" s="9" t="s">
        <v>3027</v>
      </c>
      <c r="B661" s="9" t="s">
        <v>7800</v>
      </c>
      <c r="C661" s="9" t="s">
        <v>7228</v>
      </c>
      <c r="D661" s="87" t="s">
        <v>6290</v>
      </c>
      <c r="E661" s="9" t="s">
        <v>6924</v>
      </c>
      <c r="F661" s="9" t="s">
        <v>11</v>
      </c>
      <c r="G661" s="9" t="s">
        <v>383</v>
      </c>
      <c r="H661" s="9" t="s">
        <v>426</v>
      </c>
      <c r="I661" s="87" t="s">
        <v>6405</v>
      </c>
      <c r="J661" s="87" t="s">
        <v>6334</v>
      </c>
      <c r="K661" s="87" t="s">
        <v>6334</v>
      </c>
      <c r="L661" s="87" t="s">
        <v>6254</v>
      </c>
      <c r="M661" s="87" t="s">
        <v>6638</v>
      </c>
      <c r="N661" s="9" t="s">
        <v>6966</v>
      </c>
      <c r="O661" s="87" t="s">
        <v>6348</v>
      </c>
      <c r="P661" s="9" t="s">
        <v>6547</v>
      </c>
      <c r="Q661" s="87" t="s">
        <v>5381</v>
      </c>
      <c r="R661" s="87" t="s">
        <v>6334</v>
      </c>
      <c r="S661" s="87" t="s">
        <v>6342</v>
      </c>
      <c r="T661" s="87" t="s">
        <v>6341</v>
      </c>
    </row>
    <row r="662" spans="1:26" ht="15.75" customHeight="1">
      <c r="A662" s="9" t="s">
        <v>3027</v>
      </c>
      <c r="B662" s="9" t="s">
        <v>7802</v>
      </c>
      <c r="C662" s="9" t="s">
        <v>6923</v>
      </c>
      <c r="D662" s="87" t="s">
        <v>6327</v>
      </c>
      <c r="E662" s="9" t="s">
        <v>6924</v>
      </c>
      <c r="F662" s="9" t="s">
        <v>6925</v>
      </c>
      <c r="G662" s="9" t="s">
        <v>383</v>
      </c>
      <c r="H662" s="9" t="s">
        <v>444</v>
      </c>
      <c r="I662" s="87" t="s">
        <v>6405</v>
      </c>
      <c r="J662" s="87" t="s">
        <v>6264</v>
      </c>
      <c r="K662" s="87" t="s">
        <v>6926</v>
      </c>
      <c r="L662" s="87" t="s">
        <v>6573</v>
      </c>
      <c r="M662" s="87" t="s">
        <v>6638</v>
      </c>
      <c r="N662" s="9" t="s">
        <v>6970</v>
      </c>
      <c r="O662" s="87" t="s">
        <v>6570</v>
      </c>
      <c r="P662" s="9" t="s">
        <v>6547</v>
      </c>
      <c r="Q662" s="87" t="s">
        <v>6573</v>
      </c>
      <c r="R662" s="87" t="s">
        <v>6264</v>
      </c>
      <c r="S662" s="87" t="s">
        <v>6333</v>
      </c>
      <c r="T662" s="87" t="s">
        <v>6341</v>
      </c>
    </row>
    <row r="663" spans="1:26" ht="15.75" customHeight="1">
      <c r="A663" s="9" t="s">
        <v>3027</v>
      </c>
      <c r="B663" s="9" t="s">
        <v>7802</v>
      </c>
      <c r="C663" s="9" t="s">
        <v>7228</v>
      </c>
      <c r="D663" s="87" t="s">
        <v>6290</v>
      </c>
      <c r="E663" s="9" t="s">
        <v>6924</v>
      </c>
      <c r="F663" s="9" t="s">
        <v>11</v>
      </c>
      <c r="G663" s="9" t="s">
        <v>383</v>
      </c>
      <c r="H663" s="9" t="s">
        <v>426</v>
      </c>
      <c r="I663" s="87" t="s">
        <v>6405</v>
      </c>
      <c r="J663" s="87" t="s">
        <v>6405</v>
      </c>
      <c r="K663" s="87" t="s">
        <v>6405</v>
      </c>
      <c r="L663" s="87" t="s">
        <v>6254</v>
      </c>
      <c r="M663" s="87" t="s">
        <v>6763</v>
      </c>
      <c r="N663" s="9" t="s">
        <v>7236</v>
      </c>
      <c r="O663" s="87" t="s">
        <v>6251</v>
      </c>
      <c r="P663" s="9" t="s">
        <v>6547</v>
      </c>
      <c r="Q663" s="87" t="s">
        <v>6254</v>
      </c>
      <c r="R663" s="87" t="s">
        <v>6405</v>
      </c>
      <c r="S663" s="87" t="s">
        <v>6256</v>
      </c>
      <c r="T663" s="87" t="s">
        <v>6341</v>
      </c>
    </row>
    <row r="664" spans="1:26" ht="15.75" customHeight="1">
      <c r="A664" s="9" t="s">
        <v>2971</v>
      </c>
      <c r="B664" s="9" t="s">
        <v>7803</v>
      </c>
      <c r="C664" s="9" t="s">
        <v>6236</v>
      </c>
      <c r="D664" s="87" t="s">
        <v>6393</v>
      </c>
      <c r="E664" s="9" t="s">
        <v>431</v>
      </c>
      <c r="F664" s="9" t="s">
        <v>368</v>
      </c>
      <c r="G664" s="9" t="s">
        <v>436</v>
      </c>
      <c r="H664" s="9" t="s">
        <v>434</v>
      </c>
      <c r="I664" s="87" t="s">
        <v>6237</v>
      </c>
      <c r="J664" s="87" t="s">
        <v>6306</v>
      </c>
      <c r="K664" s="87" t="s">
        <v>6239</v>
      </c>
      <c r="L664" s="87" t="s">
        <v>6240</v>
      </c>
      <c r="M664" s="87" t="s">
        <v>6628</v>
      </c>
      <c r="N664" s="9" t="s">
        <v>6928</v>
      </c>
      <c r="O664" s="87" t="s">
        <v>6239</v>
      </c>
      <c r="P664" s="9" t="s">
        <v>6547</v>
      </c>
      <c r="Q664" s="87" t="s">
        <v>3764</v>
      </c>
      <c r="R664" s="87" t="s">
        <v>6306</v>
      </c>
      <c r="S664" s="87" t="s">
        <v>6327</v>
      </c>
      <c r="T664" s="87" t="s">
        <v>6645</v>
      </c>
    </row>
    <row r="665" spans="1:26" ht="15.75" customHeight="1">
      <c r="A665" s="9" t="s">
        <v>2971</v>
      </c>
      <c r="B665" s="9" t="s">
        <v>7803</v>
      </c>
      <c r="C665" s="9" t="s">
        <v>6236</v>
      </c>
      <c r="D665" s="87" t="s">
        <v>6393</v>
      </c>
      <c r="E665" s="9" t="s">
        <v>431</v>
      </c>
      <c r="F665" s="9" t="s">
        <v>368</v>
      </c>
      <c r="G665" s="9" t="s">
        <v>436</v>
      </c>
      <c r="H665" s="9" t="s">
        <v>434</v>
      </c>
      <c r="I665" s="87" t="s">
        <v>6237</v>
      </c>
      <c r="J665" s="87" t="s">
        <v>6306</v>
      </c>
      <c r="K665" s="87" t="s">
        <v>6237</v>
      </c>
      <c r="L665" s="87" t="s">
        <v>6240</v>
      </c>
      <c r="M665" s="87" t="s">
        <v>6633</v>
      </c>
      <c r="N665" s="9" t="s">
        <v>6967</v>
      </c>
      <c r="O665" s="87" t="s">
        <v>6237</v>
      </c>
      <c r="P665" s="9" t="s">
        <v>6547</v>
      </c>
      <c r="Q665" s="87" t="s">
        <v>4953</v>
      </c>
      <c r="R665" s="87" t="s">
        <v>6306</v>
      </c>
      <c r="S665" s="87" t="s">
        <v>6424</v>
      </c>
      <c r="T665" s="87" t="s">
        <v>6645</v>
      </c>
    </row>
    <row r="666" spans="1:26" ht="15.75" customHeight="1">
      <c r="A666" s="9" t="s">
        <v>2971</v>
      </c>
      <c r="B666" s="9" t="s">
        <v>7804</v>
      </c>
      <c r="C666" s="9" t="s">
        <v>6671</v>
      </c>
      <c r="D666" s="87" t="s">
        <v>6296</v>
      </c>
      <c r="E666" s="9" t="s">
        <v>6672</v>
      </c>
      <c r="F666" s="9" t="s">
        <v>439</v>
      </c>
      <c r="G666" s="9" t="s">
        <v>436</v>
      </c>
      <c r="H666" s="9" t="s">
        <v>440</v>
      </c>
      <c r="I666" s="87" t="s">
        <v>6405</v>
      </c>
      <c r="J666" s="87" t="s">
        <v>6267</v>
      </c>
      <c r="K666" s="87" t="s">
        <v>6267</v>
      </c>
      <c r="L666" s="87" t="s">
        <v>6240</v>
      </c>
      <c r="M666" s="87" t="s">
        <v>6737</v>
      </c>
      <c r="N666" s="9" t="s">
        <v>7128</v>
      </c>
      <c r="O666" s="87" t="s">
        <v>6267</v>
      </c>
      <c r="P666" s="9" t="s">
        <v>6547</v>
      </c>
      <c r="Q666" s="87" t="s">
        <v>6506</v>
      </c>
      <c r="R666" s="87" t="s">
        <v>6267</v>
      </c>
      <c r="S666" s="87" t="s">
        <v>6313</v>
      </c>
      <c r="T666" s="87" t="s">
        <v>6645</v>
      </c>
    </row>
    <row r="667" spans="1:26" ht="15.75" customHeight="1">
      <c r="A667" s="9" t="s">
        <v>2971</v>
      </c>
      <c r="B667" s="9" t="s">
        <v>7805</v>
      </c>
      <c r="C667" s="9" t="s">
        <v>6923</v>
      </c>
      <c r="D667" s="87" t="s">
        <v>6264</v>
      </c>
      <c r="E667" s="9" t="s">
        <v>6924</v>
      </c>
      <c r="F667" s="9" t="s">
        <v>6925</v>
      </c>
      <c r="G667" s="9" t="s">
        <v>383</v>
      </c>
      <c r="H667" s="9" t="s">
        <v>449</v>
      </c>
      <c r="I667" s="87" t="s">
        <v>6405</v>
      </c>
      <c r="J667" s="87" t="s">
        <v>6405</v>
      </c>
      <c r="K667" s="87" t="s">
        <v>6926</v>
      </c>
      <c r="L667" s="87" t="s">
        <v>6573</v>
      </c>
      <c r="M667" s="87" t="s">
        <v>6730</v>
      </c>
      <c r="N667" s="9" t="s">
        <v>6970</v>
      </c>
      <c r="O667" s="87" t="s">
        <v>6570</v>
      </c>
      <c r="P667" s="9" t="s">
        <v>6547</v>
      </c>
      <c r="Q667" s="87" t="s">
        <v>6573</v>
      </c>
      <c r="R667" s="87" t="s">
        <v>6405</v>
      </c>
      <c r="S667" s="87" t="s">
        <v>6333</v>
      </c>
      <c r="T667" s="87" t="s">
        <v>6341</v>
      </c>
    </row>
    <row r="668" spans="1:26" ht="15.75" customHeight="1">
      <c r="A668" s="9" t="s">
        <v>2971</v>
      </c>
      <c r="B668" s="9" t="s">
        <v>7805</v>
      </c>
      <c r="C668" s="9" t="s">
        <v>7228</v>
      </c>
      <c r="D668" s="87" t="s">
        <v>6405</v>
      </c>
      <c r="E668" s="9" t="s">
        <v>6924</v>
      </c>
      <c r="F668" s="9" t="s">
        <v>11</v>
      </c>
      <c r="G668" s="9" t="s">
        <v>383</v>
      </c>
      <c r="H668" s="9" t="s">
        <v>426</v>
      </c>
      <c r="I668" s="87" t="s">
        <v>6405</v>
      </c>
      <c r="J668" s="87" t="s">
        <v>6405</v>
      </c>
      <c r="K668" s="87" t="s">
        <v>6405</v>
      </c>
      <c r="L668" s="87" t="s">
        <v>6392</v>
      </c>
      <c r="M668" s="87" t="s">
        <v>6634</v>
      </c>
      <c r="N668" s="9" t="s">
        <v>7245</v>
      </c>
      <c r="O668" s="87" t="s">
        <v>6327</v>
      </c>
      <c r="P668" s="9" t="s">
        <v>6547</v>
      </c>
      <c r="Q668" s="87" t="s">
        <v>6392</v>
      </c>
      <c r="R668" s="87" t="s">
        <v>6405</v>
      </c>
      <c r="S668" s="87" t="s">
        <v>6500</v>
      </c>
      <c r="T668" s="87" t="s">
        <v>6341</v>
      </c>
    </row>
    <row r="669" spans="1:26" ht="15.75" customHeight="1">
      <c r="A669" s="9" t="s">
        <v>2977</v>
      </c>
      <c r="B669" s="9" t="s">
        <v>7806</v>
      </c>
      <c r="C669" s="9" t="s">
        <v>6236</v>
      </c>
      <c r="D669" s="87" t="s">
        <v>6393</v>
      </c>
      <c r="E669" s="9" t="s">
        <v>431</v>
      </c>
      <c r="F669" s="9" t="s">
        <v>368</v>
      </c>
      <c r="G669" s="9" t="s">
        <v>436</v>
      </c>
      <c r="H669" s="9" t="s">
        <v>434</v>
      </c>
      <c r="I669" s="87" t="s">
        <v>6237</v>
      </c>
      <c r="J669" s="87" t="s">
        <v>6348</v>
      </c>
      <c r="K669" s="87" t="s">
        <v>6348</v>
      </c>
      <c r="L669" s="87" t="s">
        <v>6240</v>
      </c>
      <c r="M669" s="87" t="s">
        <v>6718</v>
      </c>
      <c r="N669" s="9" t="s">
        <v>7807</v>
      </c>
      <c r="O669" s="87" t="s">
        <v>6348</v>
      </c>
      <c r="P669" s="9" t="s">
        <v>6243</v>
      </c>
      <c r="Q669" s="87" t="s">
        <v>5381</v>
      </c>
      <c r="R669" s="87" t="s">
        <v>6348</v>
      </c>
      <c r="S669" s="87" t="s">
        <v>6260</v>
      </c>
      <c r="T669" s="87" t="s">
        <v>6322</v>
      </c>
    </row>
    <row r="670" spans="1:26" ht="15.75" customHeight="1">
      <c r="A670" s="9" t="s">
        <v>2977</v>
      </c>
      <c r="B670" s="9" t="s">
        <v>7808</v>
      </c>
      <c r="C670" s="9" t="s">
        <v>6671</v>
      </c>
      <c r="D670" s="87" t="s">
        <v>6296</v>
      </c>
      <c r="E670" s="9" t="s">
        <v>6672</v>
      </c>
      <c r="F670" s="9" t="s">
        <v>439</v>
      </c>
      <c r="G670" s="9" t="s">
        <v>436</v>
      </c>
      <c r="H670" s="9" t="s">
        <v>440</v>
      </c>
      <c r="I670" s="87" t="s">
        <v>6405</v>
      </c>
      <c r="J670" s="87" t="s">
        <v>6297</v>
      </c>
      <c r="K670" s="87" t="s">
        <v>6297</v>
      </c>
      <c r="L670" s="87" t="s">
        <v>6240</v>
      </c>
      <c r="M670" s="87" t="s">
        <v>6635</v>
      </c>
      <c r="N670" s="9" t="s">
        <v>7202</v>
      </c>
      <c r="O670" s="87" t="s">
        <v>6297</v>
      </c>
      <c r="P670" s="9" t="s">
        <v>6243</v>
      </c>
      <c r="Q670" s="87" t="s">
        <v>6299</v>
      </c>
      <c r="R670" s="87" t="s">
        <v>6297</v>
      </c>
      <c r="S670" s="87" t="s">
        <v>6414</v>
      </c>
      <c r="T670" s="87" t="s">
        <v>6245</v>
      </c>
    </row>
    <row r="671" spans="1:26" ht="15.75" customHeight="1">
      <c r="A671" s="9" t="s">
        <v>2977</v>
      </c>
      <c r="B671" s="9" t="s">
        <v>7809</v>
      </c>
      <c r="C671" s="9" t="s">
        <v>6923</v>
      </c>
      <c r="D671" s="87" t="s">
        <v>6461</v>
      </c>
      <c r="E671" s="9" t="s">
        <v>6924</v>
      </c>
      <c r="F671" s="9" t="s">
        <v>6925</v>
      </c>
      <c r="G671" s="9" t="s">
        <v>383</v>
      </c>
      <c r="H671" s="9" t="s">
        <v>427</v>
      </c>
      <c r="I671" s="87" t="s">
        <v>6405</v>
      </c>
      <c r="J671" s="87" t="s">
        <v>6405</v>
      </c>
      <c r="K671" s="87" t="s">
        <v>6926</v>
      </c>
      <c r="L671" s="87" t="s">
        <v>6248</v>
      </c>
      <c r="M671" s="87" t="s">
        <v>6710</v>
      </c>
      <c r="N671" s="9" t="s">
        <v>7810</v>
      </c>
      <c r="O671" s="87" t="s">
        <v>6387</v>
      </c>
      <c r="P671" s="9" t="s">
        <v>6243</v>
      </c>
      <c r="Q671" s="87" t="s">
        <v>6248</v>
      </c>
      <c r="R671" s="87" t="s">
        <v>6405</v>
      </c>
      <c r="S671" s="87" t="s">
        <v>6409</v>
      </c>
      <c r="T671" s="87" t="s">
        <v>6287</v>
      </c>
    </row>
    <row r="672" spans="1:26" ht="15.75" customHeight="1">
      <c r="A672" s="9" t="s">
        <v>2977</v>
      </c>
      <c r="B672" s="9" t="s">
        <v>7809</v>
      </c>
      <c r="C672" s="9" t="s">
        <v>7228</v>
      </c>
      <c r="D672" s="87" t="s">
        <v>6237</v>
      </c>
      <c r="E672" s="9" t="s">
        <v>6924</v>
      </c>
      <c r="F672" s="9" t="s">
        <v>11</v>
      </c>
      <c r="G672" s="9" t="s">
        <v>383</v>
      </c>
      <c r="H672" s="9" t="s">
        <v>426</v>
      </c>
      <c r="I672" s="87" t="s">
        <v>6405</v>
      </c>
      <c r="J672" s="87" t="s">
        <v>6405</v>
      </c>
      <c r="K672" s="87" t="s">
        <v>6405</v>
      </c>
      <c r="L672" s="87" t="s">
        <v>6316</v>
      </c>
      <c r="M672" s="87" t="s">
        <v>6637</v>
      </c>
      <c r="N672" s="9" t="s">
        <v>7811</v>
      </c>
      <c r="O672" s="87" t="s">
        <v>6421</v>
      </c>
      <c r="P672" s="9" t="s">
        <v>6243</v>
      </c>
      <c r="Q672" s="87" t="s">
        <v>6316</v>
      </c>
      <c r="R672" s="87" t="s">
        <v>6405</v>
      </c>
      <c r="S672" s="87" t="s">
        <v>6428</v>
      </c>
      <c r="T672" s="87" t="s">
        <v>6277</v>
      </c>
    </row>
    <row r="673" spans="1:20" ht="15.75" customHeight="1">
      <c r="A673" s="9" t="s">
        <v>2874</v>
      </c>
      <c r="B673" s="9" t="s">
        <v>7812</v>
      </c>
      <c r="C673" s="9" t="s">
        <v>6236</v>
      </c>
      <c r="D673" s="87" t="s">
        <v>6393</v>
      </c>
      <c r="E673" s="9" t="s">
        <v>431</v>
      </c>
      <c r="F673" s="9" t="s">
        <v>368</v>
      </c>
      <c r="G673" s="9" t="s">
        <v>436</v>
      </c>
      <c r="H673" s="9" t="s">
        <v>434</v>
      </c>
      <c r="I673" s="87" t="s">
        <v>6237</v>
      </c>
      <c r="J673" s="87" t="s">
        <v>6316</v>
      </c>
      <c r="K673" s="87" t="s">
        <v>6498</v>
      </c>
      <c r="L673" s="87" t="s">
        <v>6240</v>
      </c>
      <c r="M673" s="87" t="s">
        <v>6718</v>
      </c>
      <c r="N673" s="9" t="s">
        <v>7155</v>
      </c>
      <c r="O673" s="87" t="s">
        <v>6498</v>
      </c>
      <c r="P673" s="9" t="s">
        <v>6243</v>
      </c>
      <c r="Q673" s="87" t="s">
        <v>4019</v>
      </c>
      <c r="R673" s="87" t="s">
        <v>6316</v>
      </c>
      <c r="S673" s="87" t="s">
        <v>6327</v>
      </c>
      <c r="T673" s="87" t="s">
        <v>6376</v>
      </c>
    </row>
    <row r="674" spans="1:20" ht="15.75" customHeight="1">
      <c r="A674" s="9" t="s">
        <v>2874</v>
      </c>
      <c r="B674" s="9" t="s">
        <v>7812</v>
      </c>
      <c r="C674" s="9" t="s">
        <v>6236</v>
      </c>
      <c r="D674" s="87" t="s">
        <v>6393</v>
      </c>
      <c r="E674" s="9" t="s">
        <v>431</v>
      </c>
      <c r="F674" s="9" t="s">
        <v>368</v>
      </c>
      <c r="G674" s="9" t="s">
        <v>436</v>
      </c>
      <c r="H674" s="9" t="s">
        <v>434</v>
      </c>
      <c r="I674" s="87" t="s">
        <v>6237</v>
      </c>
      <c r="J674" s="87" t="s">
        <v>6316</v>
      </c>
      <c r="K674" s="87" t="s">
        <v>6486</v>
      </c>
      <c r="L674" s="87" t="s">
        <v>6240</v>
      </c>
      <c r="M674" s="87" t="s">
        <v>6635</v>
      </c>
      <c r="N674" s="9" t="s">
        <v>6969</v>
      </c>
      <c r="O674" s="87" t="s">
        <v>6486</v>
      </c>
      <c r="P674" s="9" t="s">
        <v>6243</v>
      </c>
      <c r="Q674" s="87" t="s">
        <v>5079</v>
      </c>
      <c r="R674" s="87" t="s">
        <v>6316</v>
      </c>
      <c r="S674" s="87" t="s">
        <v>6526</v>
      </c>
      <c r="T674" s="87" t="s">
        <v>6645</v>
      </c>
    </row>
    <row r="675" spans="1:20" ht="15.75" customHeight="1">
      <c r="A675" s="9" t="s">
        <v>2874</v>
      </c>
      <c r="B675" s="9" t="s">
        <v>7813</v>
      </c>
      <c r="C675" s="9" t="s">
        <v>6671</v>
      </c>
      <c r="D675" s="87" t="s">
        <v>6296</v>
      </c>
      <c r="E675" s="9" t="s">
        <v>6672</v>
      </c>
      <c r="F675" s="9" t="s">
        <v>439</v>
      </c>
      <c r="G675" s="9" t="s">
        <v>436</v>
      </c>
      <c r="H675" s="9" t="s">
        <v>440</v>
      </c>
      <c r="I675" s="87" t="s">
        <v>6405</v>
      </c>
      <c r="J675" s="87" t="s">
        <v>6479</v>
      </c>
      <c r="K675" s="87" t="s">
        <v>6479</v>
      </c>
      <c r="L675" s="87" t="s">
        <v>6240</v>
      </c>
      <c r="M675" s="87" t="s">
        <v>6710</v>
      </c>
      <c r="N675" s="9" t="s">
        <v>7134</v>
      </c>
      <c r="O675" s="87" t="s">
        <v>6479</v>
      </c>
      <c r="P675" s="9" t="s">
        <v>6243</v>
      </c>
      <c r="Q675" s="87" t="s">
        <v>5417</v>
      </c>
      <c r="R675" s="87" t="s">
        <v>6479</v>
      </c>
      <c r="S675" s="87" t="s">
        <v>6433</v>
      </c>
      <c r="T675" s="87" t="s">
        <v>6645</v>
      </c>
    </row>
    <row r="676" spans="1:20" ht="15.75" customHeight="1">
      <c r="A676" s="9" t="s">
        <v>2874</v>
      </c>
      <c r="B676" s="9" t="s">
        <v>7814</v>
      </c>
      <c r="C676" s="9" t="s">
        <v>6923</v>
      </c>
      <c r="D676" s="87" t="s">
        <v>6327</v>
      </c>
      <c r="E676" s="9" t="s">
        <v>6924</v>
      </c>
      <c r="F676" s="9" t="s">
        <v>6925</v>
      </c>
      <c r="G676" s="9" t="s">
        <v>383</v>
      </c>
      <c r="H676" s="9" t="s">
        <v>444</v>
      </c>
      <c r="I676" s="87" t="s">
        <v>6405</v>
      </c>
      <c r="J676" s="87" t="s">
        <v>6405</v>
      </c>
      <c r="K676" s="87" t="s">
        <v>6926</v>
      </c>
      <c r="L676" s="87" t="s">
        <v>6474</v>
      </c>
      <c r="M676" s="87" t="s">
        <v>6637</v>
      </c>
      <c r="N676" s="9" t="s">
        <v>7194</v>
      </c>
      <c r="O676" s="87" t="s">
        <v>6528</v>
      </c>
      <c r="P676" s="9" t="s">
        <v>6243</v>
      </c>
      <c r="Q676" s="87" t="s">
        <v>6474</v>
      </c>
      <c r="R676" s="87" t="s">
        <v>6405</v>
      </c>
      <c r="S676" s="87" t="s">
        <v>6357</v>
      </c>
      <c r="T676" s="87" t="s">
        <v>6341</v>
      </c>
    </row>
    <row r="677" spans="1:20" ht="15.75" customHeight="1">
      <c r="A677" s="9" t="s">
        <v>2874</v>
      </c>
      <c r="B677" s="9" t="s">
        <v>7814</v>
      </c>
      <c r="C677" s="9" t="s">
        <v>7228</v>
      </c>
      <c r="D677" s="87" t="s">
        <v>6290</v>
      </c>
      <c r="E677" s="9" t="s">
        <v>6924</v>
      </c>
      <c r="F677" s="9" t="s">
        <v>11</v>
      </c>
      <c r="G677" s="9" t="s">
        <v>383</v>
      </c>
      <c r="H677" s="9" t="s">
        <v>426</v>
      </c>
      <c r="I677" s="87" t="s">
        <v>6405</v>
      </c>
      <c r="J677" s="87" t="s">
        <v>6405</v>
      </c>
      <c r="K677" s="87" t="s">
        <v>6405</v>
      </c>
      <c r="L677" s="87" t="s">
        <v>4953</v>
      </c>
      <c r="M677" s="87" t="s">
        <v>6638</v>
      </c>
      <c r="N677" s="9" t="s">
        <v>7815</v>
      </c>
      <c r="O677" s="87" t="s">
        <v>6237</v>
      </c>
      <c r="P677" s="9" t="s">
        <v>6243</v>
      </c>
      <c r="Q677" s="87" t="s">
        <v>4953</v>
      </c>
      <c r="R677" s="87" t="s">
        <v>6405</v>
      </c>
      <c r="S677" s="87" t="s">
        <v>6532</v>
      </c>
      <c r="T677" s="87" t="s">
        <v>6341</v>
      </c>
    </row>
    <row r="678" spans="1:20" ht="15.75" customHeight="1">
      <c r="A678" s="9" t="s">
        <v>2913</v>
      </c>
      <c r="B678" s="9" t="s">
        <v>7816</v>
      </c>
      <c r="C678" s="9" t="s">
        <v>6236</v>
      </c>
      <c r="D678" s="87" t="s">
        <v>6393</v>
      </c>
      <c r="E678" s="9" t="s">
        <v>431</v>
      </c>
      <c r="F678" s="9" t="s">
        <v>368</v>
      </c>
      <c r="G678" s="9" t="s">
        <v>436</v>
      </c>
      <c r="H678" s="9" t="s">
        <v>434</v>
      </c>
      <c r="I678" s="87" t="s">
        <v>6264</v>
      </c>
      <c r="J678" s="87" t="s">
        <v>6255</v>
      </c>
      <c r="K678" s="87" t="s">
        <v>6255</v>
      </c>
      <c r="L678" s="87" t="s">
        <v>6240</v>
      </c>
      <c r="M678" s="87" t="s">
        <v>6647</v>
      </c>
      <c r="N678" s="9" t="s">
        <v>7145</v>
      </c>
      <c r="O678" s="87" t="s">
        <v>6255</v>
      </c>
      <c r="P678" s="9" t="s">
        <v>6243</v>
      </c>
      <c r="Q678" s="87" t="s">
        <v>4947</v>
      </c>
      <c r="R678" s="87" t="s">
        <v>6255</v>
      </c>
      <c r="S678" s="87" t="s">
        <v>6300</v>
      </c>
      <c r="T678" s="87" t="s">
        <v>6645</v>
      </c>
    </row>
    <row r="679" spans="1:20" ht="15.75" customHeight="1">
      <c r="A679" s="9" t="s">
        <v>2913</v>
      </c>
      <c r="B679" s="9" t="s">
        <v>7817</v>
      </c>
      <c r="C679" s="9" t="s">
        <v>6923</v>
      </c>
      <c r="D679" s="87" t="s">
        <v>6461</v>
      </c>
      <c r="E679" s="9" t="s">
        <v>6924</v>
      </c>
      <c r="F679" s="9" t="s">
        <v>6925</v>
      </c>
      <c r="G679" s="9" t="s">
        <v>383</v>
      </c>
      <c r="H679" s="9" t="s">
        <v>427</v>
      </c>
      <c r="I679" s="87" t="s">
        <v>6405</v>
      </c>
      <c r="J679" s="87" t="s">
        <v>6334</v>
      </c>
      <c r="K679" s="87" t="s">
        <v>6926</v>
      </c>
      <c r="L679" s="87" t="s">
        <v>6627</v>
      </c>
      <c r="M679" s="87" t="s">
        <v>6648</v>
      </c>
      <c r="N679" s="9" t="s">
        <v>7206</v>
      </c>
      <c r="O679" s="87" t="s">
        <v>6455</v>
      </c>
      <c r="P679" s="9" t="s">
        <v>6243</v>
      </c>
      <c r="Q679" s="87" t="s">
        <v>6627</v>
      </c>
      <c r="R679" s="87" t="s">
        <v>6334</v>
      </c>
      <c r="S679" s="87" t="s">
        <v>6484</v>
      </c>
      <c r="T679" s="87" t="s">
        <v>6341</v>
      </c>
    </row>
    <row r="680" spans="1:20" ht="15.75" customHeight="1">
      <c r="A680" s="9" t="s">
        <v>2913</v>
      </c>
      <c r="B680" s="9" t="s">
        <v>7817</v>
      </c>
      <c r="C680" s="9" t="s">
        <v>7228</v>
      </c>
      <c r="D680" s="87" t="s">
        <v>6237</v>
      </c>
      <c r="E680" s="9" t="s">
        <v>6924</v>
      </c>
      <c r="F680" s="9" t="s">
        <v>11</v>
      </c>
      <c r="G680" s="9" t="s">
        <v>383</v>
      </c>
      <c r="H680" s="9" t="s">
        <v>426</v>
      </c>
      <c r="I680" s="87" t="s">
        <v>6405</v>
      </c>
      <c r="J680" s="87" t="s">
        <v>6405</v>
      </c>
      <c r="K680" s="87" t="s">
        <v>6405</v>
      </c>
      <c r="L680" s="87" t="s">
        <v>6357</v>
      </c>
      <c r="M680" s="87" t="s">
        <v>6649</v>
      </c>
      <c r="N680" s="9" t="s">
        <v>7300</v>
      </c>
      <c r="O680" s="87" t="s">
        <v>6313</v>
      </c>
      <c r="P680" s="9" t="s">
        <v>6243</v>
      </c>
      <c r="Q680" s="87" t="s">
        <v>6357</v>
      </c>
      <c r="R680" s="87" t="s">
        <v>6405</v>
      </c>
      <c r="S680" s="87" t="s">
        <v>6651</v>
      </c>
      <c r="T680" s="87" t="s">
        <v>6341</v>
      </c>
    </row>
    <row r="681" spans="1:20" ht="15.75" customHeight="1">
      <c r="A681" s="9" t="s">
        <v>2913</v>
      </c>
      <c r="B681" s="9" t="s">
        <v>7818</v>
      </c>
      <c r="C681" s="9" t="s">
        <v>6923</v>
      </c>
      <c r="D681" s="87" t="s">
        <v>6461</v>
      </c>
      <c r="E681" s="9" t="s">
        <v>6924</v>
      </c>
      <c r="F681" s="9" t="s">
        <v>6925</v>
      </c>
      <c r="G681" s="9" t="s">
        <v>383</v>
      </c>
      <c r="H681" s="9" t="s">
        <v>427</v>
      </c>
      <c r="I681" s="87" t="s">
        <v>6405</v>
      </c>
      <c r="J681" s="87" t="s">
        <v>6334</v>
      </c>
      <c r="K681" s="87" t="s">
        <v>6926</v>
      </c>
      <c r="L681" s="87" t="s">
        <v>6627</v>
      </c>
      <c r="M681" s="87" t="s">
        <v>6649</v>
      </c>
      <c r="N681" s="9" t="s">
        <v>7206</v>
      </c>
      <c r="O681" s="87" t="s">
        <v>6455</v>
      </c>
      <c r="P681" s="9" t="s">
        <v>6243</v>
      </c>
      <c r="Q681" s="87" t="s">
        <v>6627</v>
      </c>
      <c r="R681" s="87" t="s">
        <v>6334</v>
      </c>
      <c r="S681" s="87" t="s">
        <v>6484</v>
      </c>
      <c r="T681" s="87" t="s">
        <v>6341</v>
      </c>
    </row>
    <row r="682" spans="1:20" ht="15.75" customHeight="1">
      <c r="A682" s="9" t="s">
        <v>2913</v>
      </c>
      <c r="B682" s="9" t="s">
        <v>7818</v>
      </c>
      <c r="C682" s="9" t="s">
        <v>7228</v>
      </c>
      <c r="D682" s="87" t="s">
        <v>6237</v>
      </c>
      <c r="E682" s="9" t="s">
        <v>6924</v>
      </c>
      <c r="F682" s="9" t="s">
        <v>11</v>
      </c>
      <c r="G682" s="9" t="s">
        <v>383</v>
      </c>
      <c r="H682" s="9" t="s">
        <v>426</v>
      </c>
      <c r="I682" s="87" t="s">
        <v>6405</v>
      </c>
      <c r="J682" s="87" t="s">
        <v>6405</v>
      </c>
      <c r="K682" s="87" t="s">
        <v>6405</v>
      </c>
      <c r="L682" s="87" t="s">
        <v>6357</v>
      </c>
      <c r="M682" s="87" t="s">
        <v>6650</v>
      </c>
      <c r="N682" s="9" t="s">
        <v>7300</v>
      </c>
      <c r="O682" s="87" t="s">
        <v>6313</v>
      </c>
      <c r="P682" s="9" t="s">
        <v>6243</v>
      </c>
      <c r="Q682" s="87" t="s">
        <v>6357</v>
      </c>
      <c r="R682" s="87" t="s">
        <v>6405</v>
      </c>
      <c r="S682" s="87" t="s">
        <v>6651</v>
      </c>
      <c r="T682" s="87" t="s">
        <v>6341</v>
      </c>
    </row>
    <row r="683" spans="1:20" ht="15.75" customHeight="1">
      <c r="A683" s="9" t="s">
        <v>2892</v>
      </c>
      <c r="B683" s="9" t="s">
        <v>7819</v>
      </c>
      <c r="C683" s="9" t="s">
        <v>6236</v>
      </c>
      <c r="D683" s="87" t="s">
        <v>6393</v>
      </c>
      <c r="E683" s="9" t="s">
        <v>431</v>
      </c>
      <c r="F683" s="9" t="s">
        <v>368</v>
      </c>
      <c r="G683" s="9" t="s">
        <v>436</v>
      </c>
      <c r="H683" s="9" t="s">
        <v>434</v>
      </c>
      <c r="I683" s="87" t="s">
        <v>6237</v>
      </c>
      <c r="J683" s="87" t="s">
        <v>6376</v>
      </c>
      <c r="K683" s="87" t="s">
        <v>6376</v>
      </c>
      <c r="L683" s="87" t="s">
        <v>6240</v>
      </c>
      <c r="M683" s="87" t="s">
        <v>6710</v>
      </c>
      <c r="N683" s="9" t="s">
        <v>7820</v>
      </c>
      <c r="O683" s="87" t="s">
        <v>6376</v>
      </c>
      <c r="P683" s="9" t="s">
        <v>6243</v>
      </c>
      <c r="Q683" s="87" t="s">
        <v>6379</v>
      </c>
      <c r="R683" s="87" t="s">
        <v>6376</v>
      </c>
      <c r="S683" s="87" t="s">
        <v>6414</v>
      </c>
      <c r="T683" s="87" t="s">
        <v>6401</v>
      </c>
    </row>
    <row r="684" spans="1:20" ht="15.75" customHeight="1">
      <c r="A684" s="9" t="s">
        <v>2892</v>
      </c>
      <c r="B684" s="9" t="s">
        <v>7821</v>
      </c>
      <c r="C684" s="9" t="s">
        <v>6671</v>
      </c>
      <c r="D684" s="87" t="s">
        <v>6296</v>
      </c>
      <c r="E684" s="9" t="s">
        <v>6672</v>
      </c>
      <c r="F684" s="9" t="s">
        <v>439</v>
      </c>
      <c r="G684" s="9" t="s">
        <v>436</v>
      </c>
      <c r="H684" s="9" t="s">
        <v>440</v>
      </c>
      <c r="I684" s="87" t="s">
        <v>6405</v>
      </c>
      <c r="J684" s="87" t="s">
        <v>6260</v>
      </c>
      <c r="K684" s="87" t="s">
        <v>6260</v>
      </c>
      <c r="L684" s="87" t="s">
        <v>6240</v>
      </c>
      <c r="M684" s="87" t="s">
        <v>6637</v>
      </c>
      <c r="N684" s="9" t="s">
        <v>6948</v>
      </c>
      <c r="O684" s="87" t="s">
        <v>6260</v>
      </c>
      <c r="P684" s="9" t="s">
        <v>6243</v>
      </c>
      <c r="Q684" s="87" t="s">
        <v>4014</v>
      </c>
      <c r="R684" s="87" t="s">
        <v>6260</v>
      </c>
      <c r="S684" s="87" t="s">
        <v>6392</v>
      </c>
      <c r="T684" s="87" t="s">
        <v>6645</v>
      </c>
    </row>
    <row r="685" spans="1:20" ht="15.75" customHeight="1">
      <c r="A685" s="9" t="s">
        <v>2892</v>
      </c>
      <c r="B685" s="9" t="s">
        <v>7822</v>
      </c>
      <c r="C685" s="9" t="s">
        <v>6923</v>
      </c>
      <c r="D685" s="87" t="s">
        <v>6461</v>
      </c>
      <c r="E685" s="9" t="s">
        <v>6924</v>
      </c>
      <c r="F685" s="9" t="s">
        <v>6925</v>
      </c>
      <c r="G685" s="9" t="s">
        <v>383</v>
      </c>
      <c r="H685" s="9" t="s">
        <v>427</v>
      </c>
      <c r="I685" s="87" t="s">
        <v>6405</v>
      </c>
      <c r="J685" s="87" t="s">
        <v>6334</v>
      </c>
      <c r="K685" s="87" t="s">
        <v>6939</v>
      </c>
      <c r="L685" s="87" t="s">
        <v>6372</v>
      </c>
      <c r="M685" s="87" t="s">
        <v>6638</v>
      </c>
      <c r="N685" s="9" t="s">
        <v>7031</v>
      </c>
      <c r="O685" s="87" t="s">
        <v>6526</v>
      </c>
      <c r="P685" s="9" t="s">
        <v>6243</v>
      </c>
      <c r="Q685" s="87" t="s">
        <v>4023</v>
      </c>
      <c r="R685" s="87" t="s">
        <v>6334</v>
      </c>
      <c r="S685" s="87" t="s">
        <v>6295</v>
      </c>
      <c r="T685" s="87" t="s">
        <v>6341</v>
      </c>
    </row>
    <row r="686" spans="1:20" ht="15.75" customHeight="1">
      <c r="A686" s="9" t="s">
        <v>2892</v>
      </c>
      <c r="B686" s="9" t="s">
        <v>7822</v>
      </c>
      <c r="C686" s="9" t="s">
        <v>7228</v>
      </c>
      <c r="D686" s="87" t="s">
        <v>6237</v>
      </c>
      <c r="E686" s="9" t="s">
        <v>6924</v>
      </c>
      <c r="F686" s="9" t="s">
        <v>11</v>
      </c>
      <c r="G686" s="9" t="s">
        <v>383</v>
      </c>
      <c r="H686" s="9" t="s">
        <v>426</v>
      </c>
      <c r="I686" s="87" t="s">
        <v>6405</v>
      </c>
      <c r="J686" s="87" t="s">
        <v>6334</v>
      </c>
      <c r="K686" s="87" t="s">
        <v>6334</v>
      </c>
      <c r="L686" s="87" t="s">
        <v>6484</v>
      </c>
      <c r="M686" s="87" t="s">
        <v>6763</v>
      </c>
      <c r="N686" s="9" t="s">
        <v>7651</v>
      </c>
      <c r="O686" s="87" t="s">
        <v>6296</v>
      </c>
      <c r="P686" s="9" t="s">
        <v>6243</v>
      </c>
      <c r="Q686" s="87" t="s">
        <v>6287</v>
      </c>
      <c r="R686" s="87" t="s">
        <v>6334</v>
      </c>
      <c r="S686" s="87" t="s">
        <v>6300</v>
      </c>
      <c r="T686" s="87" t="s">
        <v>6341</v>
      </c>
    </row>
    <row r="687" spans="1:20" ht="15.75" customHeight="1">
      <c r="A687" s="9" t="s">
        <v>2880</v>
      </c>
      <c r="B687" s="9" t="s">
        <v>7823</v>
      </c>
      <c r="C687" s="9" t="s">
        <v>6236</v>
      </c>
      <c r="D687" s="87" t="s">
        <v>6393</v>
      </c>
      <c r="E687" s="9" t="s">
        <v>431</v>
      </c>
      <c r="F687" s="9" t="s">
        <v>368</v>
      </c>
      <c r="G687" s="9" t="s">
        <v>436</v>
      </c>
      <c r="H687" s="9" t="s">
        <v>434</v>
      </c>
      <c r="I687" s="87" t="s">
        <v>6237</v>
      </c>
      <c r="J687" s="87" t="s">
        <v>6264</v>
      </c>
      <c r="K687" s="87" t="s">
        <v>6264</v>
      </c>
      <c r="L687" s="87" t="s">
        <v>6240</v>
      </c>
      <c r="M687" s="87" t="s">
        <v>6737</v>
      </c>
      <c r="N687" s="9" t="s">
        <v>7824</v>
      </c>
      <c r="O687" s="87" t="s">
        <v>6264</v>
      </c>
      <c r="P687" s="9" t="s">
        <v>6243</v>
      </c>
      <c r="Q687" s="87" t="s">
        <v>6313</v>
      </c>
      <c r="R687" s="87" t="s">
        <v>6264</v>
      </c>
      <c r="S687" s="87" t="s">
        <v>6295</v>
      </c>
      <c r="T687" s="87" t="s">
        <v>6323</v>
      </c>
    </row>
    <row r="688" spans="1:20" ht="15.75" customHeight="1">
      <c r="A688" s="9" t="s">
        <v>2880</v>
      </c>
      <c r="B688" s="9" t="s">
        <v>7825</v>
      </c>
      <c r="C688" s="9" t="s">
        <v>6671</v>
      </c>
      <c r="D688" s="87" t="s">
        <v>6296</v>
      </c>
      <c r="E688" s="9" t="s">
        <v>6672</v>
      </c>
      <c r="F688" s="9" t="s">
        <v>439</v>
      </c>
      <c r="G688" s="9" t="s">
        <v>436</v>
      </c>
      <c r="H688" s="9" t="s">
        <v>440</v>
      </c>
      <c r="I688" s="87" t="s">
        <v>6405</v>
      </c>
      <c r="J688" s="87" t="s">
        <v>6405</v>
      </c>
      <c r="K688" s="87" t="s">
        <v>6405</v>
      </c>
      <c r="L688" s="87" t="s">
        <v>6240</v>
      </c>
      <c r="M688" s="87" t="s">
        <v>6730</v>
      </c>
      <c r="N688" s="9" t="s">
        <v>7209</v>
      </c>
      <c r="O688" s="87" t="s">
        <v>6405</v>
      </c>
      <c r="P688" s="9" t="s">
        <v>6243</v>
      </c>
      <c r="Q688" s="87" t="s">
        <v>6240</v>
      </c>
      <c r="R688" s="87" t="s">
        <v>6405</v>
      </c>
      <c r="S688" s="87" t="s">
        <v>6295</v>
      </c>
      <c r="T688" s="87" t="s">
        <v>6295</v>
      </c>
    </row>
    <row r="689" spans="1:20" ht="15.75" customHeight="1">
      <c r="A689" s="9" t="s">
        <v>2880</v>
      </c>
      <c r="B689" s="9" t="s">
        <v>7826</v>
      </c>
      <c r="C689" s="9" t="s">
        <v>6923</v>
      </c>
      <c r="D689" s="87" t="s">
        <v>6327</v>
      </c>
      <c r="E689" s="9" t="s">
        <v>6924</v>
      </c>
      <c r="F689" s="9" t="s">
        <v>6925</v>
      </c>
      <c r="G689" s="9" t="s">
        <v>383</v>
      </c>
      <c r="H689" s="9" t="s">
        <v>444</v>
      </c>
      <c r="I689" s="87" t="s">
        <v>6405</v>
      </c>
      <c r="J689" s="87" t="s">
        <v>6405</v>
      </c>
      <c r="K689" s="87" t="s">
        <v>6926</v>
      </c>
      <c r="L689" s="87" t="s">
        <v>6416</v>
      </c>
      <c r="M689" s="87" t="s">
        <v>6634</v>
      </c>
      <c r="N689" s="9" t="s">
        <v>7827</v>
      </c>
      <c r="O689" s="87" t="s">
        <v>6414</v>
      </c>
      <c r="P689" s="9" t="s">
        <v>6243</v>
      </c>
      <c r="Q689" s="87" t="s">
        <v>6416</v>
      </c>
      <c r="R689" s="87" t="s">
        <v>6405</v>
      </c>
      <c r="S689" s="87" t="s">
        <v>6376</v>
      </c>
      <c r="T689" s="87" t="s">
        <v>6401</v>
      </c>
    </row>
    <row r="690" spans="1:20" ht="15.75" customHeight="1">
      <c r="A690" s="9" t="s">
        <v>2880</v>
      </c>
      <c r="B690" s="9" t="s">
        <v>7826</v>
      </c>
      <c r="C690" s="9" t="s">
        <v>7228</v>
      </c>
      <c r="D690" s="87" t="s">
        <v>6290</v>
      </c>
      <c r="E690" s="9" t="s">
        <v>6924</v>
      </c>
      <c r="F690" s="9" t="s">
        <v>11</v>
      </c>
      <c r="G690" s="9" t="s">
        <v>383</v>
      </c>
      <c r="H690" s="9" t="s">
        <v>426</v>
      </c>
      <c r="I690" s="87" t="s">
        <v>6405</v>
      </c>
      <c r="J690" s="87" t="s">
        <v>6405</v>
      </c>
      <c r="K690" s="87" t="s">
        <v>6405</v>
      </c>
      <c r="L690" s="87" t="s">
        <v>6445</v>
      </c>
      <c r="M690" s="87" t="s">
        <v>6721</v>
      </c>
      <c r="N690" s="9" t="s">
        <v>7828</v>
      </c>
      <c r="O690" s="87" t="s">
        <v>6642</v>
      </c>
      <c r="P690" s="9" t="s">
        <v>6243</v>
      </c>
      <c r="Q690" s="87" t="s">
        <v>6445</v>
      </c>
      <c r="R690" s="87" t="s">
        <v>6405</v>
      </c>
      <c r="S690" s="87" t="s">
        <v>6401</v>
      </c>
      <c r="T690" s="87" t="s">
        <v>6357</v>
      </c>
    </row>
    <row r="691" spans="1:20" ht="15.75" customHeight="1">
      <c r="A691" s="9" t="s">
        <v>2991</v>
      </c>
      <c r="B691" s="9" t="s">
        <v>7829</v>
      </c>
      <c r="C691" s="9" t="s">
        <v>6236</v>
      </c>
      <c r="D691" s="87" t="s">
        <v>6393</v>
      </c>
      <c r="E691" s="9" t="s">
        <v>431</v>
      </c>
      <c r="F691" s="9" t="s">
        <v>368</v>
      </c>
      <c r="G691" s="9" t="s">
        <v>436</v>
      </c>
      <c r="H691" s="9" t="s">
        <v>434</v>
      </c>
      <c r="I691" s="87" t="s">
        <v>6237</v>
      </c>
      <c r="J691" s="87" t="s">
        <v>6565</v>
      </c>
      <c r="K691" s="87" t="s">
        <v>6264</v>
      </c>
      <c r="L691" s="87" t="s">
        <v>6240</v>
      </c>
      <c r="M691" s="87" t="s">
        <v>6597</v>
      </c>
      <c r="N691" s="9" t="s">
        <v>7123</v>
      </c>
      <c r="O691" s="87" t="s">
        <v>6264</v>
      </c>
      <c r="P691" s="9" t="s">
        <v>6243</v>
      </c>
      <c r="Q691" s="87" t="s">
        <v>6313</v>
      </c>
      <c r="R691" s="87" t="s">
        <v>6565</v>
      </c>
      <c r="S691" s="87" t="s">
        <v>6327</v>
      </c>
      <c r="T691" s="87" t="s">
        <v>6348</v>
      </c>
    </row>
    <row r="692" spans="1:20" ht="15.75" customHeight="1">
      <c r="A692" s="9" t="s">
        <v>2991</v>
      </c>
      <c r="B692" s="9" t="s">
        <v>7829</v>
      </c>
      <c r="C692" s="9" t="s">
        <v>6236</v>
      </c>
      <c r="D692" s="87" t="s">
        <v>6393</v>
      </c>
      <c r="E692" s="9" t="s">
        <v>431</v>
      </c>
      <c r="F692" s="9" t="s">
        <v>368</v>
      </c>
      <c r="G692" s="9" t="s">
        <v>436</v>
      </c>
      <c r="H692" s="9" t="s">
        <v>434</v>
      </c>
      <c r="I692" s="87" t="s">
        <v>6237</v>
      </c>
      <c r="J692" s="87" t="s">
        <v>6565</v>
      </c>
      <c r="K692" s="87" t="s">
        <v>6239</v>
      </c>
      <c r="L692" s="87" t="s">
        <v>6240</v>
      </c>
      <c r="M692" s="87" t="s">
        <v>6601</v>
      </c>
      <c r="N692" s="9" t="s">
        <v>6928</v>
      </c>
      <c r="O692" s="87" t="s">
        <v>6239</v>
      </c>
      <c r="P692" s="9" t="s">
        <v>6243</v>
      </c>
      <c r="Q692" s="87" t="s">
        <v>3764</v>
      </c>
      <c r="R692" s="87" t="s">
        <v>6565</v>
      </c>
      <c r="S692" s="87" t="s">
        <v>6327</v>
      </c>
      <c r="T692" s="87" t="s">
        <v>6645</v>
      </c>
    </row>
    <row r="693" spans="1:20" ht="15.75" customHeight="1">
      <c r="A693" s="9" t="s">
        <v>2991</v>
      </c>
      <c r="B693" s="9" t="s">
        <v>7829</v>
      </c>
      <c r="C693" s="9" t="s">
        <v>6236</v>
      </c>
      <c r="D693" s="87" t="s">
        <v>6393</v>
      </c>
      <c r="E693" s="9" t="s">
        <v>431</v>
      </c>
      <c r="F693" s="9" t="s">
        <v>368</v>
      </c>
      <c r="G693" s="9" t="s">
        <v>436</v>
      </c>
      <c r="H693" s="9" t="s">
        <v>434</v>
      </c>
      <c r="I693" s="87" t="s">
        <v>6237</v>
      </c>
      <c r="J693" s="87" t="s">
        <v>6565</v>
      </c>
      <c r="K693" s="87" t="s">
        <v>6239</v>
      </c>
      <c r="L693" s="87" t="s">
        <v>6240</v>
      </c>
      <c r="M693" s="87" t="s">
        <v>6613</v>
      </c>
      <c r="N693" s="9" t="s">
        <v>6928</v>
      </c>
      <c r="O693" s="87" t="s">
        <v>6239</v>
      </c>
      <c r="P693" s="9" t="s">
        <v>6243</v>
      </c>
      <c r="Q693" s="87" t="s">
        <v>3764</v>
      </c>
      <c r="R693" s="87" t="s">
        <v>6565</v>
      </c>
      <c r="S693" s="87" t="s">
        <v>6327</v>
      </c>
      <c r="T693" s="87" t="s">
        <v>6645</v>
      </c>
    </row>
    <row r="694" spans="1:20" ht="15.75" customHeight="1">
      <c r="A694" s="9" t="s">
        <v>2991</v>
      </c>
      <c r="B694" s="9" t="s">
        <v>7829</v>
      </c>
      <c r="C694" s="9" t="s">
        <v>6236</v>
      </c>
      <c r="D694" s="87" t="s">
        <v>6393</v>
      </c>
      <c r="E694" s="9" t="s">
        <v>431</v>
      </c>
      <c r="F694" s="9" t="s">
        <v>368</v>
      </c>
      <c r="G694" s="9" t="s">
        <v>436</v>
      </c>
      <c r="H694" s="9" t="s">
        <v>434</v>
      </c>
      <c r="I694" s="87" t="s">
        <v>6237</v>
      </c>
      <c r="J694" s="87" t="s">
        <v>6565</v>
      </c>
      <c r="K694" s="87" t="s">
        <v>6239</v>
      </c>
      <c r="L694" s="87" t="s">
        <v>6240</v>
      </c>
      <c r="M694" s="87" t="s">
        <v>6616</v>
      </c>
      <c r="N694" s="9" t="s">
        <v>6928</v>
      </c>
      <c r="O694" s="87" t="s">
        <v>6239</v>
      </c>
      <c r="P694" s="9" t="s">
        <v>6243</v>
      </c>
      <c r="Q694" s="87" t="s">
        <v>3764</v>
      </c>
      <c r="R694" s="87" t="s">
        <v>6565</v>
      </c>
      <c r="S694" s="87" t="s">
        <v>6327</v>
      </c>
      <c r="T694" s="87" t="s">
        <v>6645</v>
      </c>
    </row>
    <row r="695" spans="1:20" ht="15.75" customHeight="1">
      <c r="A695" s="9" t="s">
        <v>2991</v>
      </c>
      <c r="B695" s="9" t="s">
        <v>7829</v>
      </c>
      <c r="C695" s="9" t="s">
        <v>6236</v>
      </c>
      <c r="D695" s="87" t="s">
        <v>6393</v>
      </c>
      <c r="E695" s="9" t="s">
        <v>431</v>
      </c>
      <c r="F695" s="9" t="s">
        <v>368</v>
      </c>
      <c r="G695" s="9" t="s">
        <v>436</v>
      </c>
      <c r="H695" s="9" t="s">
        <v>434</v>
      </c>
      <c r="I695" s="87" t="s">
        <v>6237</v>
      </c>
      <c r="J695" s="87" t="s">
        <v>6565</v>
      </c>
      <c r="K695" s="87" t="s">
        <v>6500</v>
      </c>
      <c r="L695" s="87" t="s">
        <v>6240</v>
      </c>
      <c r="M695" s="87" t="s">
        <v>6620</v>
      </c>
      <c r="N695" s="9" t="s">
        <v>7148</v>
      </c>
      <c r="O695" s="87" t="s">
        <v>6500</v>
      </c>
      <c r="P695" s="9" t="s">
        <v>6243</v>
      </c>
      <c r="Q695" s="87" t="s">
        <v>3749</v>
      </c>
      <c r="R695" s="87" t="s">
        <v>6565</v>
      </c>
      <c r="S695" s="87" t="s">
        <v>6245</v>
      </c>
      <c r="T695" s="87" t="s">
        <v>6645</v>
      </c>
    </row>
    <row r="696" spans="1:20" ht="15.75" customHeight="1">
      <c r="A696" s="9" t="s">
        <v>2991</v>
      </c>
      <c r="B696" s="9" t="s">
        <v>7830</v>
      </c>
      <c r="C696" s="9" t="s">
        <v>6923</v>
      </c>
      <c r="D696" s="87" t="s">
        <v>6461</v>
      </c>
      <c r="E696" s="9" t="s">
        <v>6924</v>
      </c>
      <c r="F696" s="9" t="s">
        <v>6925</v>
      </c>
      <c r="G696" s="9" t="s">
        <v>383</v>
      </c>
      <c r="H696" s="9" t="s">
        <v>427</v>
      </c>
      <c r="I696" s="87" t="s">
        <v>6405</v>
      </c>
      <c r="J696" s="87" t="s">
        <v>6290</v>
      </c>
      <c r="K696" s="87" t="s">
        <v>6926</v>
      </c>
      <c r="L696" s="87" t="s">
        <v>6372</v>
      </c>
      <c r="M696" s="87" t="s">
        <v>6730</v>
      </c>
      <c r="N696" s="9" t="s">
        <v>7212</v>
      </c>
      <c r="O696" s="87" t="s">
        <v>6295</v>
      </c>
      <c r="P696" s="9" t="s">
        <v>6243</v>
      </c>
      <c r="Q696" s="87" t="s">
        <v>6372</v>
      </c>
      <c r="R696" s="87" t="s">
        <v>6290</v>
      </c>
      <c r="S696" s="87" t="s">
        <v>6245</v>
      </c>
      <c r="T696" s="87" t="s">
        <v>6250</v>
      </c>
    </row>
    <row r="697" spans="1:20" ht="15.75" customHeight="1">
      <c r="A697" s="9" t="s">
        <v>2991</v>
      </c>
      <c r="B697" s="9" t="s">
        <v>7830</v>
      </c>
      <c r="C697" s="9" t="s">
        <v>7228</v>
      </c>
      <c r="D697" s="87" t="s">
        <v>6237</v>
      </c>
      <c r="E697" s="9" t="s">
        <v>6924</v>
      </c>
      <c r="F697" s="9" t="s">
        <v>11</v>
      </c>
      <c r="G697" s="9" t="s">
        <v>383</v>
      </c>
      <c r="H697" s="9" t="s">
        <v>426</v>
      </c>
      <c r="I697" s="87" t="s">
        <v>6405</v>
      </c>
      <c r="J697" s="87" t="s">
        <v>6405</v>
      </c>
      <c r="K697" s="87" t="s">
        <v>6405</v>
      </c>
      <c r="L697" s="87" t="s">
        <v>6397</v>
      </c>
      <c r="M697" s="87" t="s">
        <v>6634</v>
      </c>
      <c r="N697" s="9" t="s">
        <v>7583</v>
      </c>
      <c r="O697" s="87" t="s">
        <v>6240</v>
      </c>
      <c r="P697" s="9" t="s">
        <v>6243</v>
      </c>
      <c r="Q697" s="87" t="s">
        <v>6397</v>
      </c>
      <c r="R697" s="87" t="s">
        <v>6405</v>
      </c>
      <c r="S697" s="87" t="s">
        <v>6479</v>
      </c>
      <c r="T697" s="87" t="s">
        <v>6287</v>
      </c>
    </row>
    <row r="698" spans="1:20" ht="15.75" customHeight="1">
      <c r="A698" s="9" t="s">
        <v>2991</v>
      </c>
      <c r="B698" s="9" t="s">
        <v>7831</v>
      </c>
      <c r="C698" s="9" t="s">
        <v>6923</v>
      </c>
      <c r="D698" s="87" t="s">
        <v>6461</v>
      </c>
      <c r="E698" s="9" t="s">
        <v>6924</v>
      </c>
      <c r="F698" s="9" t="s">
        <v>6925</v>
      </c>
      <c r="G698" s="9" t="s">
        <v>383</v>
      </c>
      <c r="H698" s="9" t="s">
        <v>427</v>
      </c>
      <c r="I698" s="87" t="s">
        <v>6405</v>
      </c>
      <c r="J698" s="87" t="s">
        <v>6290</v>
      </c>
      <c r="K698" s="87" t="s">
        <v>6931</v>
      </c>
      <c r="L698" s="87" t="s">
        <v>6372</v>
      </c>
      <c r="M698" s="87" t="s">
        <v>6634</v>
      </c>
      <c r="N698" s="9" t="s">
        <v>7034</v>
      </c>
      <c r="O698" s="87" t="s">
        <v>6239</v>
      </c>
      <c r="P698" s="9" t="s">
        <v>6243</v>
      </c>
      <c r="Q698" s="87" t="s">
        <v>3764</v>
      </c>
      <c r="R698" s="87" t="s">
        <v>6290</v>
      </c>
      <c r="S698" s="87" t="s">
        <v>7035</v>
      </c>
      <c r="T698" s="87" t="s">
        <v>6341</v>
      </c>
    </row>
    <row r="699" spans="1:20" ht="15.75" customHeight="1">
      <c r="A699" s="9" t="s">
        <v>2991</v>
      </c>
      <c r="B699" s="9" t="s">
        <v>7831</v>
      </c>
      <c r="C699" s="9" t="s">
        <v>7228</v>
      </c>
      <c r="D699" s="87" t="s">
        <v>6237</v>
      </c>
      <c r="E699" s="9" t="s">
        <v>6924</v>
      </c>
      <c r="F699" s="9" t="s">
        <v>11</v>
      </c>
      <c r="G699" s="9" t="s">
        <v>383</v>
      </c>
      <c r="H699" s="9" t="s">
        <v>426</v>
      </c>
      <c r="I699" s="87" t="s">
        <v>6405</v>
      </c>
      <c r="J699" s="87" t="s">
        <v>6264</v>
      </c>
      <c r="K699" s="87" t="s">
        <v>6264</v>
      </c>
      <c r="L699" s="87" t="s">
        <v>6397</v>
      </c>
      <c r="M699" s="87" t="s">
        <v>6721</v>
      </c>
      <c r="N699" s="9" t="s">
        <v>7300</v>
      </c>
      <c r="O699" s="87" t="s">
        <v>6313</v>
      </c>
      <c r="P699" s="9" t="s">
        <v>6243</v>
      </c>
      <c r="Q699" s="87" t="s">
        <v>6357</v>
      </c>
      <c r="R699" s="87" t="s">
        <v>6264</v>
      </c>
      <c r="S699" s="87" t="s">
        <v>6651</v>
      </c>
      <c r="T699" s="87" t="s">
        <v>6341</v>
      </c>
    </row>
    <row r="700" spans="1:20" ht="15.75" customHeight="1">
      <c r="A700" s="9" t="s">
        <v>2991</v>
      </c>
      <c r="B700" s="9" t="s">
        <v>7832</v>
      </c>
      <c r="C700" s="9" t="s">
        <v>6923</v>
      </c>
      <c r="D700" s="87" t="s">
        <v>6461</v>
      </c>
      <c r="E700" s="9" t="s">
        <v>6924</v>
      </c>
      <c r="F700" s="9" t="s">
        <v>6925</v>
      </c>
      <c r="G700" s="9" t="s">
        <v>383</v>
      </c>
      <c r="H700" s="9" t="s">
        <v>427</v>
      </c>
      <c r="I700" s="87" t="s">
        <v>6405</v>
      </c>
      <c r="J700" s="87" t="s">
        <v>6290</v>
      </c>
      <c r="K700" s="87" t="s">
        <v>6931</v>
      </c>
      <c r="L700" s="87" t="s">
        <v>6372</v>
      </c>
      <c r="M700" s="87" t="s">
        <v>6721</v>
      </c>
      <c r="N700" s="9" t="s">
        <v>7034</v>
      </c>
      <c r="O700" s="87" t="s">
        <v>6239</v>
      </c>
      <c r="P700" s="9" t="s">
        <v>6243</v>
      </c>
      <c r="Q700" s="87" t="s">
        <v>3764</v>
      </c>
      <c r="R700" s="87" t="s">
        <v>6290</v>
      </c>
      <c r="S700" s="87" t="s">
        <v>7035</v>
      </c>
      <c r="T700" s="87" t="s">
        <v>6341</v>
      </c>
    </row>
    <row r="701" spans="1:20" ht="15.75" customHeight="1">
      <c r="A701" s="9" t="s">
        <v>2991</v>
      </c>
      <c r="B701" s="9" t="s">
        <v>7832</v>
      </c>
      <c r="C701" s="9" t="s">
        <v>7228</v>
      </c>
      <c r="D701" s="87" t="s">
        <v>6237</v>
      </c>
      <c r="E701" s="9" t="s">
        <v>6924</v>
      </c>
      <c r="F701" s="9" t="s">
        <v>11</v>
      </c>
      <c r="G701" s="9" t="s">
        <v>383</v>
      </c>
      <c r="H701" s="9" t="s">
        <v>426</v>
      </c>
      <c r="I701" s="87" t="s">
        <v>6405</v>
      </c>
      <c r="J701" s="87" t="s">
        <v>6264</v>
      </c>
      <c r="K701" s="87" t="s">
        <v>6264</v>
      </c>
      <c r="L701" s="87" t="s">
        <v>6397</v>
      </c>
      <c r="M701" s="87" t="s">
        <v>6718</v>
      </c>
      <c r="N701" s="9" t="s">
        <v>7300</v>
      </c>
      <c r="O701" s="87" t="s">
        <v>6313</v>
      </c>
      <c r="P701" s="9" t="s">
        <v>6243</v>
      </c>
      <c r="Q701" s="87" t="s">
        <v>6357</v>
      </c>
      <c r="R701" s="87" t="s">
        <v>6264</v>
      </c>
      <c r="S701" s="87" t="s">
        <v>6651</v>
      </c>
      <c r="T701" s="87" t="s">
        <v>6341</v>
      </c>
    </row>
    <row r="702" spans="1:20" ht="15.75" customHeight="1">
      <c r="A702" s="9" t="s">
        <v>2991</v>
      </c>
      <c r="B702" s="9" t="s">
        <v>7833</v>
      </c>
      <c r="C702" s="9" t="s">
        <v>6923</v>
      </c>
      <c r="D702" s="87" t="s">
        <v>6461</v>
      </c>
      <c r="E702" s="9" t="s">
        <v>6924</v>
      </c>
      <c r="F702" s="9" t="s">
        <v>6925</v>
      </c>
      <c r="G702" s="9" t="s">
        <v>383</v>
      </c>
      <c r="H702" s="9" t="s">
        <v>427</v>
      </c>
      <c r="I702" s="87" t="s">
        <v>6405</v>
      </c>
      <c r="J702" s="87" t="s">
        <v>6290</v>
      </c>
      <c r="K702" s="87" t="s">
        <v>6931</v>
      </c>
      <c r="L702" s="87" t="s">
        <v>6372</v>
      </c>
      <c r="M702" s="87" t="s">
        <v>6718</v>
      </c>
      <c r="N702" s="9" t="s">
        <v>7034</v>
      </c>
      <c r="O702" s="87" t="s">
        <v>6239</v>
      </c>
      <c r="P702" s="9" t="s">
        <v>6243</v>
      </c>
      <c r="Q702" s="87" t="s">
        <v>3764</v>
      </c>
      <c r="R702" s="87" t="s">
        <v>6290</v>
      </c>
      <c r="S702" s="87" t="s">
        <v>7035</v>
      </c>
      <c r="T702" s="87" t="s">
        <v>6341</v>
      </c>
    </row>
    <row r="703" spans="1:20" ht="15.75" customHeight="1">
      <c r="A703" s="9" t="s">
        <v>2991</v>
      </c>
      <c r="B703" s="9" t="s">
        <v>7833</v>
      </c>
      <c r="C703" s="9" t="s">
        <v>7228</v>
      </c>
      <c r="D703" s="87" t="s">
        <v>6237</v>
      </c>
      <c r="E703" s="9" t="s">
        <v>6924</v>
      </c>
      <c r="F703" s="9" t="s">
        <v>11</v>
      </c>
      <c r="G703" s="9" t="s">
        <v>383</v>
      </c>
      <c r="H703" s="9" t="s">
        <v>426</v>
      </c>
      <c r="I703" s="87" t="s">
        <v>6405</v>
      </c>
      <c r="J703" s="87" t="s">
        <v>6264</v>
      </c>
      <c r="K703" s="87" t="s">
        <v>6264</v>
      </c>
      <c r="L703" s="87" t="s">
        <v>6397</v>
      </c>
      <c r="M703" s="87" t="s">
        <v>6635</v>
      </c>
      <c r="N703" s="9" t="s">
        <v>7300</v>
      </c>
      <c r="O703" s="87" t="s">
        <v>6313</v>
      </c>
      <c r="P703" s="9" t="s">
        <v>6243</v>
      </c>
      <c r="Q703" s="87" t="s">
        <v>6357</v>
      </c>
      <c r="R703" s="87" t="s">
        <v>6264</v>
      </c>
      <c r="S703" s="87" t="s">
        <v>6651</v>
      </c>
      <c r="T703" s="87" t="s">
        <v>6341</v>
      </c>
    </row>
    <row r="704" spans="1:20" ht="15.75" customHeight="1">
      <c r="A704" s="9" t="s">
        <v>2972</v>
      </c>
      <c r="B704" s="9" t="s">
        <v>7834</v>
      </c>
      <c r="C704" s="9" t="s">
        <v>6236</v>
      </c>
      <c r="D704" s="87" t="s">
        <v>6393</v>
      </c>
      <c r="E704" s="9" t="s">
        <v>431</v>
      </c>
      <c r="F704" s="9" t="s">
        <v>368</v>
      </c>
      <c r="G704" s="9" t="s">
        <v>436</v>
      </c>
      <c r="H704" s="9" t="s">
        <v>434</v>
      </c>
      <c r="I704" s="87" t="s">
        <v>6240</v>
      </c>
      <c r="J704" s="87" t="s">
        <v>6299</v>
      </c>
      <c r="K704" s="87" t="s">
        <v>6323</v>
      </c>
      <c r="L704" s="87" t="s">
        <v>6240</v>
      </c>
      <c r="M704" s="87" t="s">
        <v>6763</v>
      </c>
      <c r="N704" s="9" t="s">
        <v>7532</v>
      </c>
      <c r="O704" s="87" t="s">
        <v>6323</v>
      </c>
      <c r="P704" s="9" t="s">
        <v>6243</v>
      </c>
      <c r="Q704" s="87" t="s">
        <v>5374</v>
      </c>
      <c r="R704" s="87" t="s">
        <v>6299</v>
      </c>
      <c r="S704" s="87" t="s">
        <v>6327</v>
      </c>
      <c r="T704" s="87" t="s">
        <v>6484</v>
      </c>
    </row>
    <row r="705" spans="1:20" ht="15.75" customHeight="1">
      <c r="A705" s="9" t="s">
        <v>2972</v>
      </c>
      <c r="B705" s="9" t="s">
        <v>7834</v>
      </c>
      <c r="C705" s="9" t="s">
        <v>6236</v>
      </c>
      <c r="D705" s="87" t="s">
        <v>6393</v>
      </c>
      <c r="E705" s="9" t="s">
        <v>431</v>
      </c>
      <c r="F705" s="9" t="s">
        <v>368</v>
      </c>
      <c r="G705" s="9" t="s">
        <v>436</v>
      </c>
      <c r="H705" s="9" t="s">
        <v>434</v>
      </c>
      <c r="I705" s="87" t="s">
        <v>6240</v>
      </c>
      <c r="J705" s="87" t="s">
        <v>6299</v>
      </c>
      <c r="K705" s="87" t="s">
        <v>6461</v>
      </c>
      <c r="L705" s="87" t="s">
        <v>6240</v>
      </c>
      <c r="M705" s="87" t="s">
        <v>6700</v>
      </c>
      <c r="N705" s="9" t="s">
        <v>7835</v>
      </c>
      <c r="O705" s="87" t="s">
        <v>6461</v>
      </c>
      <c r="P705" s="9" t="s">
        <v>6243</v>
      </c>
      <c r="Q705" s="87" t="s">
        <v>6255</v>
      </c>
      <c r="R705" s="87" t="s">
        <v>6299</v>
      </c>
      <c r="S705" s="87" t="s">
        <v>6313</v>
      </c>
      <c r="T705" s="87" t="s">
        <v>4953</v>
      </c>
    </row>
    <row r="706" spans="1:20" ht="15.75" customHeight="1">
      <c r="A706" s="9" t="s">
        <v>2972</v>
      </c>
      <c r="B706" s="9" t="s">
        <v>7836</v>
      </c>
      <c r="C706" s="9" t="s">
        <v>6671</v>
      </c>
      <c r="D706" s="87" t="s">
        <v>6296</v>
      </c>
      <c r="E706" s="9" t="s">
        <v>6672</v>
      </c>
      <c r="F706" s="9" t="s">
        <v>439</v>
      </c>
      <c r="G706" s="9" t="s">
        <v>436</v>
      </c>
      <c r="H706" s="9" t="s">
        <v>440</v>
      </c>
      <c r="I706" s="87" t="s">
        <v>6405</v>
      </c>
      <c r="J706" s="87" t="s">
        <v>6255</v>
      </c>
      <c r="K706" s="87" t="s">
        <v>6255</v>
      </c>
      <c r="L706" s="87" t="s">
        <v>6240</v>
      </c>
      <c r="M706" s="87" t="s">
        <v>6699</v>
      </c>
      <c r="N706" s="9" t="s">
        <v>7145</v>
      </c>
      <c r="O706" s="87" t="s">
        <v>6255</v>
      </c>
      <c r="P706" s="9" t="s">
        <v>6243</v>
      </c>
      <c r="Q706" s="87" t="s">
        <v>4947</v>
      </c>
      <c r="R706" s="87" t="s">
        <v>6255</v>
      </c>
      <c r="S706" s="87" t="s">
        <v>6300</v>
      </c>
      <c r="T706" s="87" t="s">
        <v>6645</v>
      </c>
    </row>
    <row r="707" spans="1:20" ht="15.75" customHeight="1">
      <c r="A707" s="9" t="s">
        <v>2972</v>
      </c>
      <c r="B707" s="9" t="s">
        <v>7837</v>
      </c>
      <c r="C707" s="9" t="s">
        <v>6923</v>
      </c>
      <c r="D707" s="87" t="s">
        <v>6264</v>
      </c>
      <c r="E707" s="9" t="s">
        <v>6924</v>
      </c>
      <c r="F707" s="9" t="s">
        <v>6925</v>
      </c>
      <c r="G707" s="9" t="s">
        <v>383</v>
      </c>
      <c r="H707" s="9" t="s">
        <v>449</v>
      </c>
      <c r="I707" s="87" t="s">
        <v>6405</v>
      </c>
      <c r="J707" s="87" t="s">
        <v>6405</v>
      </c>
      <c r="K707" s="87" t="s">
        <v>6926</v>
      </c>
      <c r="L707" s="87" t="s">
        <v>6372</v>
      </c>
      <c r="M707" s="87" t="s">
        <v>6696</v>
      </c>
      <c r="N707" s="9" t="s">
        <v>7212</v>
      </c>
      <c r="O707" s="87" t="s">
        <v>6295</v>
      </c>
      <c r="P707" s="9" t="s">
        <v>6243</v>
      </c>
      <c r="Q707" s="87" t="s">
        <v>6372</v>
      </c>
      <c r="R707" s="87" t="s">
        <v>6405</v>
      </c>
      <c r="S707" s="87" t="s">
        <v>6245</v>
      </c>
      <c r="T707" s="87" t="s">
        <v>6250</v>
      </c>
    </row>
    <row r="708" spans="1:20" ht="15.75" customHeight="1">
      <c r="A708" s="9" t="s">
        <v>2972</v>
      </c>
      <c r="B708" s="9" t="s">
        <v>7837</v>
      </c>
      <c r="C708" s="9" t="s">
        <v>7228</v>
      </c>
      <c r="D708" s="87" t="s">
        <v>6405</v>
      </c>
      <c r="E708" s="9" t="s">
        <v>6924</v>
      </c>
      <c r="F708" s="9" t="s">
        <v>11</v>
      </c>
      <c r="G708" s="9" t="s">
        <v>383</v>
      </c>
      <c r="H708" s="9" t="s">
        <v>426</v>
      </c>
      <c r="I708" s="87" t="s">
        <v>6405</v>
      </c>
      <c r="J708" s="87" t="s">
        <v>6405</v>
      </c>
      <c r="K708" s="87" t="s">
        <v>6405</v>
      </c>
      <c r="L708" s="87" t="s">
        <v>6250</v>
      </c>
      <c r="M708" s="87" t="s">
        <v>6694</v>
      </c>
      <c r="N708" s="9" t="s">
        <v>7838</v>
      </c>
      <c r="O708" s="87" t="s">
        <v>6435</v>
      </c>
      <c r="P708" s="9" t="s">
        <v>6243</v>
      </c>
      <c r="Q708" s="87" t="s">
        <v>6250</v>
      </c>
      <c r="R708" s="87" t="s">
        <v>6405</v>
      </c>
      <c r="S708" s="87" t="s">
        <v>6484</v>
      </c>
      <c r="T708" s="87" t="s">
        <v>6250</v>
      </c>
    </row>
    <row r="709" spans="1:20" ht="15.75" customHeight="1">
      <c r="A709" s="9" t="s">
        <v>2909</v>
      </c>
      <c r="B709" s="9" t="s">
        <v>7839</v>
      </c>
      <c r="C709" s="9" t="s">
        <v>6236</v>
      </c>
      <c r="D709" s="87" t="s">
        <v>6393</v>
      </c>
      <c r="E709" s="9" t="s">
        <v>431</v>
      </c>
      <c r="F709" s="9" t="s">
        <v>368</v>
      </c>
      <c r="G709" s="9" t="s">
        <v>436</v>
      </c>
      <c r="H709" s="9" t="s">
        <v>434</v>
      </c>
      <c r="I709" s="87" t="s">
        <v>6237</v>
      </c>
      <c r="J709" s="87" t="s">
        <v>4947</v>
      </c>
      <c r="K709" s="87" t="s">
        <v>6239</v>
      </c>
      <c r="L709" s="87" t="s">
        <v>6240</v>
      </c>
      <c r="M709" s="87" t="s">
        <v>6704</v>
      </c>
      <c r="N709" s="9" t="s">
        <v>6928</v>
      </c>
      <c r="O709" s="87" t="s">
        <v>6239</v>
      </c>
      <c r="P709" s="9" t="s">
        <v>6243</v>
      </c>
      <c r="Q709" s="87" t="s">
        <v>3764</v>
      </c>
      <c r="R709" s="87" t="s">
        <v>4947</v>
      </c>
      <c r="S709" s="87" t="s">
        <v>6327</v>
      </c>
      <c r="T709" s="87" t="s">
        <v>6645</v>
      </c>
    </row>
    <row r="710" spans="1:20" ht="15.75" customHeight="1">
      <c r="A710" s="9" t="s">
        <v>2909</v>
      </c>
      <c r="B710" s="9" t="s">
        <v>7839</v>
      </c>
      <c r="C710" s="9" t="s">
        <v>6236</v>
      </c>
      <c r="D710" s="87" t="s">
        <v>6393</v>
      </c>
      <c r="E710" s="9" t="s">
        <v>431</v>
      </c>
      <c r="F710" s="9" t="s">
        <v>368</v>
      </c>
      <c r="G710" s="9" t="s">
        <v>436</v>
      </c>
      <c r="H710" s="9" t="s">
        <v>434</v>
      </c>
      <c r="I710" s="87" t="s">
        <v>6237</v>
      </c>
      <c r="J710" s="87" t="s">
        <v>4947</v>
      </c>
      <c r="K710" s="87" t="s">
        <v>6409</v>
      </c>
      <c r="L710" s="87" t="s">
        <v>6240</v>
      </c>
      <c r="M710" s="87" t="s">
        <v>6697</v>
      </c>
      <c r="N710" s="9" t="s">
        <v>7151</v>
      </c>
      <c r="O710" s="87" t="s">
        <v>6409</v>
      </c>
      <c r="P710" s="9" t="s">
        <v>6243</v>
      </c>
      <c r="Q710" s="87" t="s">
        <v>6489</v>
      </c>
      <c r="R710" s="87" t="s">
        <v>4947</v>
      </c>
      <c r="S710" s="87" t="s">
        <v>6409</v>
      </c>
      <c r="T710" s="87" t="s">
        <v>6645</v>
      </c>
    </row>
    <row r="711" spans="1:20" ht="15.75" customHeight="1">
      <c r="A711" s="9" t="s">
        <v>2909</v>
      </c>
      <c r="B711" s="9" t="s">
        <v>7840</v>
      </c>
      <c r="C711" s="9" t="s">
        <v>6671</v>
      </c>
      <c r="D711" s="87" t="s">
        <v>6296</v>
      </c>
      <c r="E711" s="9" t="s">
        <v>6672</v>
      </c>
      <c r="F711" s="9" t="s">
        <v>439</v>
      </c>
      <c r="G711" s="9" t="s">
        <v>436</v>
      </c>
      <c r="H711" s="9" t="s">
        <v>440</v>
      </c>
      <c r="I711" s="87" t="s">
        <v>6405</v>
      </c>
      <c r="J711" s="87" t="s">
        <v>6562</v>
      </c>
      <c r="K711" s="87" t="s">
        <v>6239</v>
      </c>
      <c r="L711" s="87" t="s">
        <v>6240</v>
      </c>
      <c r="M711" s="87" t="s">
        <v>6690</v>
      </c>
      <c r="N711" s="9" t="s">
        <v>6928</v>
      </c>
      <c r="O711" s="87" t="s">
        <v>6239</v>
      </c>
      <c r="P711" s="9" t="s">
        <v>6243</v>
      </c>
      <c r="Q711" s="87" t="s">
        <v>3764</v>
      </c>
      <c r="R711" s="87" t="s">
        <v>6562</v>
      </c>
      <c r="S711" s="87" t="s">
        <v>6327</v>
      </c>
      <c r="T711" s="87" t="s">
        <v>6645</v>
      </c>
    </row>
    <row r="712" spans="1:20" ht="15.75" customHeight="1">
      <c r="A712" s="9" t="s">
        <v>2909</v>
      </c>
      <c r="B712" s="9" t="s">
        <v>7840</v>
      </c>
      <c r="C712" s="9" t="s">
        <v>6671</v>
      </c>
      <c r="D712" s="87" t="s">
        <v>6296</v>
      </c>
      <c r="E712" s="9" t="s">
        <v>6672</v>
      </c>
      <c r="F712" s="9" t="s">
        <v>439</v>
      </c>
      <c r="G712" s="9" t="s">
        <v>436</v>
      </c>
      <c r="H712" s="9" t="s">
        <v>440</v>
      </c>
      <c r="I712" s="87" t="s">
        <v>6405</v>
      </c>
      <c r="J712" s="87" t="s">
        <v>6562</v>
      </c>
      <c r="K712" s="87" t="s">
        <v>6421</v>
      </c>
      <c r="L712" s="87" t="s">
        <v>6240</v>
      </c>
      <c r="M712" s="87" t="s">
        <v>6686</v>
      </c>
      <c r="N712" s="9" t="s">
        <v>7214</v>
      </c>
      <c r="O712" s="87" t="s">
        <v>6421</v>
      </c>
      <c r="P712" s="9" t="s">
        <v>6243</v>
      </c>
      <c r="Q712" s="87" t="s">
        <v>6316</v>
      </c>
      <c r="R712" s="87" t="s">
        <v>6562</v>
      </c>
      <c r="S712" s="87" t="s">
        <v>6532</v>
      </c>
      <c r="T712" s="87" t="s">
        <v>6645</v>
      </c>
    </row>
    <row r="713" spans="1:20" ht="15.75" customHeight="1">
      <c r="A713" s="9" t="s">
        <v>2909</v>
      </c>
      <c r="B713" s="9" t="s">
        <v>7841</v>
      </c>
      <c r="C713" s="9" t="s">
        <v>6923</v>
      </c>
      <c r="D713" s="87" t="s">
        <v>6264</v>
      </c>
      <c r="E713" s="9" t="s">
        <v>6924</v>
      </c>
      <c r="F713" s="9" t="s">
        <v>6925</v>
      </c>
      <c r="G713" s="9" t="s">
        <v>383</v>
      </c>
      <c r="H713" s="9" t="s">
        <v>449</v>
      </c>
      <c r="I713" s="87" t="s">
        <v>6405</v>
      </c>
      <c r="J713" s="87" t="s">
        <v>6405</v>
      </c>
      <c r="K713" s="87" t="s">
        <v>6926</v>
      </c>
      <c r="L713" s="87" t="s">
        <v>6306</v>
      </c>
      <c r="M713" s="87" t="s">
        <v>7215</v>
      </c>
      <c r="N713" s="9" t="s">
        <v>6959</v>
      </c>
      <c r="O713" s="87" t="s">
        <v>4953</v>
      </c>
      <c r="P713" s="9" t="s">
        <v>6243</v>
      </c>
      <c r="Q713" s="87" t="s">
        <v>6306</v>
      </c>
      <c r="R713" s="87" t="s">
        <v>6405</v>
      </c>
      <c r="S713" s="87" t="s">
        <v>6543</v>
      </c>
      <c r="T713" s="87" t="s">
        <v>6341</v>
      </c>
    </row>
    <row r="714" spans="1:20" ht="15.75" customHeight="1">
      <c r="A714" s="9" t="s">
        <v>2909</v>
      </c>
      <c r="B714" s="9" t="s">
        <v>7842</v>
      </c>
      <c r="C714" s="9" t="s">
        <v>6923</v>
      </c>
      <c r="D714" s="87" t="s">
        <v>6461</v>
      </c>
      <c r="E714" s="9" t="s">
        <v>6924</v>
      </c>
      <c r="F714" s="9" t="s">
        <v>6925</v>
      </c>
      <c r="G714" s="9" t="s">
        <v>383</v>
      </c>
      <c r="H714" s="9" t="s">
        <v>427</v>
      </c>
      <c r="I714" s="87" t="s">
        <v>6405</v>
      </c>
      <c r="J714" s="87" t="s">
        <v>6405</v>
      </c>
      <c r="K714" s="87" t="s">
        <v>6926</v>
      </c>
      <c r="L714" s="87" t="s">
        <v>6305</v>
      </c>
      <c r="M714" s="87" t="s">
        <v>7215</v>
      </c>
      <c r="N714" s="9" t="s">
        <v>7124</v>
      </c>
      <c r="O714" s="87" t="s">
        <v>6433</v>
      </c>
      <c r="P714" s="9" t="s">
        <v>6243</v>
      </c>
      <c r="Q714" s="87" t="s">
        <v>6305</v>
      </c>
      <c r="R714" s="87" t="s">
        <v>6405</v>
      </c>
      <c r="S714" s="87" t="s">
        <v>6619</v>
      </c>
      <c r="T714" s="87" t="s">
        <v>6341</v>
      </c>
    </row>
    <row r="715" spans="1:20" ht="15.75" customHeight="1">
      <c r="A715" s="9" t="s">
        <v>2908</v>
      </c>
      <c r="B715" s="9" t="s">
        <v>7843</v>
      </c>
      <c r="C715" s="9" t="s">
        <v>6236</v>
      </c>
      <c r="D715" s="87" t="s">
        <v>6393</v>
      </c>
      <c r="E715" s="9" t="s">
        <v>431</v>
      </c>
      <c r="F715" s="9" t="s">
        <v>368</v>
      </c>
      <c r="G715" s="9" t="s">
        <v>436</v>
      </c>
      <c r="H715" s="9" t="s">
        <v>434</v>
      </c>
      <c r="I715" s="87" t="s">
        <v>6264</v>
      </c>
      <c r="J715" s="87" t="s">
        <v>6660</v>
      </c>
      <c r="K715" s="87" t="s">
        <v>6239</v>
      </c>
      <c r="L715" s="87" t="s">
        <v>6240</v>
      </c>
      <c r="M715" s="87" t="s">
        <v>6661</v>
      </c>
      <c r="N715" s="9" t="s">
        <v>6928</v>
      </c>
      <c r="O715" s="87" t="s">
        <v>6239</v>
      </c>
      <c r="P715" s="9" t="s">
        <v>6243</v>
      </c>
      <c r="Q715" s="87" t="s">
        <v>3764</v>
      </c>
      <c r="R715" s="87" t="s">
        <v>6660</v>
      </c>
      <c r="S715" s="87" t="s">
        <v>6327</v>
      </c>
      <c r="T715" s="87" t="s">
        <v>6645</v>
      </c>
    </row>
    <row r="716" spans="1:20" ht="15.75" customHeight="1">
      <c r="A716" s="9" t="s">
        <v>2908</v>
      </c>
      <c r="B716" s="9" t="s">
        <v>7843</v>
      </c>
      <c r="C716" s="9" t="s">
        <v>6236</v>
      </c>
      <c r="D716" s="87" t="s">
        <v>6393</v>
      </c>
      <c r="E716" s="9" t="s">
        <v>431</v>
      </c>
      <c r="F716" s="9" t="s">
        <v>368</v>
      </c>
      <c r="G716" s="9" t="s">
        <v>436</v>
      </c>
      <c r="H716" s="9" t="s">
        <v>434</v>
      </c>
      <c r="I716" s="87" t="s">
        <v>6264</v>
      </c>
      <c r="J716" s="87" t="s">
        <v>6660</v>
      </c>
      <c r="K716" s="87" t="s">
        <v>6239</v>
      </c>
      <c r="L716" s="87" t="s">
        <v>6240</v>
      </c>
      <c r="M716" s="87" t="s">
        <v>6662</v>
      </c>
      <c r="N716" s="9" t="s">
        <v>6928</v>
      </c>
      <c r="O716" s="87" t="s">
        <v>6239</v>
      </c>
      <c r="P716" s="9" t="s">
        <v>6243</v>
      </c>
      <c r="Q716" s="87" t="s">
        <v>3764</v>
      </c>
      <c r="R716" s="87" t="s">
        <v>6660</v>
      </c>
      <c r="S716" s="87" t="s">
        <v>6327</v>
      </c>
      <c r="T716" s="87" t="s">
        <v>6645</v>
      </c>
    </row>
    <row r="717" spans="1:20" ht="15.75" customHeight="1">
      <c r="A717" s="9" t="s">
        <v>2908</v>
      </c>
      <c r="B717" s="9" t="s">
        <v>7843</v>
      </c>
      <c r="C717" s="9" t="s">
        <v>6236</v>
      </c>
      <c r="D717" s="87" t="s">
        <v>6393</v>
      </c>
      <c r="E717" s="9" t="s">
        <v>431</v>
      </c>
      <c r="F717" s="9" t="s">
        <v>368</v>
      </c>
      <c r="G717" s="9" t="s">
        <v>436</v>
      </c>
      <c r="H717" s="9" t="s">
        <v>434</v>
      </c>
      <c r="I717" s="87" t="s">
        <v>6264</v>
      </c>
      <c r="J717" s="87" t="s">
        <v>6660</v>
      </c>
      <c r="K717" s="87" t="s">
        <v>6526</v>
      </c>
      <c r="L717" s="87" t="s">
        <v>6240</v>
      </c>
      <c r="M717" s="87" t="s">
        <v>6663</v>
      </c>
      <c r="N717" s="9" t="s">
        <v>6938</v>
      </c>
      <c r="O717" s="87" t="s">
        <v>6526</v>
      </c>
      <c r="P717" s="9" t="s">
        <v>6243</v>
      </c>
      <c r="Q717" s="87" t="s">
        <v>4023</v>
      </c>
      <c r="R717" s="87" t="s">
        <v>6660</v>
      </c>
      <c r="S717" s="87" t="s">
        <v>6486</v>
      </c>
      <c r="T717" s="87" t="s">
        <v>6645</v>
      </c>
    </row>
    <row r="718" spans="1:20" ht="15.75" customHeight="1">
      <c r="A718" s="9" t="s">
        <v>2908</v>
      </c>
      <c r="B718" s="9" t="s">
        <v>7844</v>
      </c>
      <c r="C718" s="9" t="s">
        <v>6671</v>
      </c>
      <c r="D718" s="87" t="s">
        <v>6296</v>
      </c>
      <c r="E718" s="9" t="s">
        <v>6672</v>
      </c>
      <c r="F718" s="9" t="s">
        <v>439</v>
      </c>
      <c r="G718" s="9" t="s">
        <v>436</v>
      </c>
      <c r="H718" s="9" t="s">
        <v>440</v>
      </c>
      <c r="I718" s="87" t="s">
        <v>6405</v>
      </c>
      <c r="J718" s="87" t="s">
        <v>6680</v>
      </c>
      <c r="K718" s="87" t="s">
        <v>6239</v>
      </c>
      <c r="L718" s="87" t="s">
        <v>6240</v>
      </c>
      <c r="M718" s="87" t="s">
        <v>6684</v>
      </c>
      <c r="N718" s="9" t="s">
        <v>6928</v>
      </c>
      <c r="O718" s="87" t="s">
        <v>6239</v>
      </c>
      <c r="P718" s="9" t="s">
        <v>6243</v>
      </c>
      <c r="Q718" s="87" t="s">
        <v>3764</v>
      </c>
      <c r="R718" s="87" t="s">
        <v>6680</v>
      </c>
      <c r="S718" s="87" t="s">
        <v>6327</v>
      </c>
      <c r="T718" s="87" t="s">
        <v>6645</v>
      </c>
    </row>
    <row r="719" spans="1:20" ht="15.75" customHeight="1">
      <c r="A719" s="9" t="s">
        <v>2908</v>
      </c>
      <c r="B719" s="9" t="s">
        <v>7844</v>
      </c>
      <c r="C719" s="9" t="s">
        <v>6671</v>
      </c>
      <c r="D719" s="87" t="s">
        <v>6296</v>
      </c>
      <c r="E719" s="9" t="s">
        <v>6672</v>
      </c>
      <c r="F719" s="9" t="s">
        <v>439</v>
      </c>
      <c r="G719" s="9" t="s">
        <v>436</v>
      </c>
      <c r="H719" s="9" t="s">
        <v>440</v>
      </c>
      <c r="I719" s="87" t="s">
        <v>6405</v>
      </c>
      <c r="J719" s="87" t="s">
        <v>6680</v>
      </c>
      <c r="K719" s="87" t="s">
        <v>6239</v>
      </c>
      <c r="L719" s="87" t="s">
        <v>6240</v>
      </c>
      <c r="M719" s="87" t="s">
        <v>6683</v>
      </c>
      <c r="N719" s="9" t="s">
        <v>6928</v>
      </c>
      <c r="O719" s="87" t="s">
        <v>6239</v>
      </c>
      <c r="P719" s="9" t="s">
        <v>6243</v>
      </c>
      <c r="Q719" s="87" t="s">
        <v>3764</v>
      </c>
      <c r="R719" s="87" t="s">
        <v>6680</v>
      </c>
      <c r="S719" s="87" t="s">
        <v>6327</v>
      </c>
      <c r="T719" s="87" t="s">
        <v>6645</v>
      </c>
    </row>
    <row r="720" spans="1:20" ht="15.75" customHeight="1">
      <c r="A720" s="9" t="s">
        <v>2908</v>
      </c>
      <c r="B720" s="9" t="s">
        <v>7844</v>
      </c>
      <c r="C720" s="9" t="s">
        <v>6671</v>
      </c>
      <c r="D720" s="87" t="s">
        <v>6296</v>
      </c>
      <c r="E720" s="9" t="s">
        <v>6672</v>
      </c>
      <c r="F720" s="9" t="s">
        <v>439</v>
      </c>
      <c r="G720" s="9" t="s">
        <v>436</v>
      </c>
      <c r="H720" s="9" t="s">
        <v>440</v>
      </c>
      <c r="I720" s="87" t="s">
        <v>6405</v>
      </c>
      <c r="J720" s="87" t="s">
        <v>6680</v>
      </c>
      <c r="K720" s="87" t="s">
        <v>6440</v>
      </c>
      <c r="L720" s="87" t="s">
        <v>6240</v>
      </c>
      <c r="M720" s="87" t="s">
        <v>6681</v>
      </c>
      <c r="N720" s="9" t="s">
        <v>7216</v>
      </c>
      <c r="O720" s="87" t="s">
        <v>6440</v>
      </c>
      <c r="P720" s="9" t="s">
        <v>6243</v>
      </c>
      <c r="Q720" s="87" t="s">
        <v>5063</v>
      </c>
      <c r="R720" s="87" t="s">
        <v>6680</v>
      </c>
      <c r="S720" s="87" t="s">
        <v>6535</v>
      </c>
      <c r="T720" s="87" t="s">
        <v>6645</v>
      </c>
    </row>
    <row r="721" spans="1:20" ht="15.75" customHeight="1">
      <c r="A721" s="9" t="s">
        <v>2908</v>
      </c>
      <c r="B721" s="9" t="s">
        <v>7845</v>
      </c>
      <c r="C721" s="9" t="s">
        <v>6923</v>
      </c>
      <c r="D721" s="87" t="s">
        <v>6264</v>
      </c>
      <c r="E721" s="9" t="s">
        <v>6924</v>
      </c>
      <c r="F721" s="9" t="s">
        <v>6925</v>
      </c>
      <c r="G721" s="9" t="s">
        <v>383</v>
      </c>
      <c r="H721" s="9" t="s">
        <v>449</v>
      </c>
      <c r="I721" s="87" t="s">
        <v>6405</v>
      </c>
      <c r="J721" s="87" t="s">
        <v>6264</v>
      </c>
      <c r="K721" s="87" t="s">
        <v>6926</v>
      </c>
      <c r="L721" s="87" t="s">
        <v>6852</v>
      </c>
      <c r="M721" s="87" t="s">
        <v>7217</v>
      </c>
      <c r="N721" s="9" t="s">
        <v>7218</v>
      </c>
      <c r="O721" s="87" t="s">
        <v>6619</v>
      </c>
      <c r="P721" s="9" t="s">
        <v>6243</v>
      </c>
      <c r="Q721" s="87" t="s">
        <v>6852</v>
      </c>
      <c r="R721" s="87" t="s">
        <v>6264</v>
      </c>
      <c r="S721" s="87" t="s">
        <v>6433</v>
      </c>
      <c r="T721" s="87" t="s">
        <v>6341</v>
      </c>
    </row>
    <row r="722" spans="1:20" ht="15.75" customHeight="1">
      <c r="A722" s="9" t="s">
        <v>2908</v>
      </c>
      <c r="B722" s="9" t="s">
        <v>7845</v>
      </c>
      <c r="C722" s="9" t="s">
        <v>7228</v>
      </c>
      <c r="D722" s="87" t="s">
        <v>6405</v>
      </c>
      <c r="E722" s="9" t="s">
        <v>6924</v>
      </c>
      <c r="F722" s="9" t="s">
        <v>11</v>
      </c>
      <c r="G722" s="9" t="s">
        <v>383</v>
      </c>
      <c r="H722" s="9" t="s">
        <v>426</v>
      </c>
      <c r="I722" s="87" t="s">
        <v>6405</v>
      </c>
      <c r="J722" s="87" t="s">
        <v>6405</v>
      </c>
      <c r="K722" s="87" t="s">
        <v>6405</v>
      </c>
      <c r="L722" s="87" t="s">
        <v>6397</v>
      </c>
      <c r="M722" s="87" t="s">
        <v>7219</v>
      </c>
      <c r="N722" s="9" t="s">
        <v>7289</v>
      </c>
      <c r="O722" s="87" t="s">
        <v>6240</v>
      </c>
      <c r="P722" s="9" t="s">
        <v>6243</v>
      </c>
      <c r="Q722" s="87" t="s">
        <v>6397</v>
      </c>
      <c r="R722" s="87" t="s">
        <v>6405</v>
      </c>
      <c r="S722" s="87" t="s">
        <v>6284</v>
      </c>
      <c r="T722" s="87" t="s">
        <v>6341</v>
      </c>
    </row>
    <row r="723" spans="1:20" ht="15.75" customHeight="1">
      <c r="A723" s="9" t="s">
        <v>2908</v>
      </c>
      <c r="B723" s="9" t="s">
        <v>7846</v>
      </c>
      <c r="C723" s="9" t="s">
        <v>6923</v>
      </c>
      <c r="D723" s="87" t="s">
        <v>6264</v>
      </c>
      <c r="E723" s="9" t="s">
        <v>6924</v>
      </c>
      <c r="F723" s="9" t="s">
        <v>6925</v>
      </c>
      <c r="G723" s="9" t="s">
        <v>383</v>
      </c>
      <c r="H723" s="9" t="s">
        <v>449</v>
      </c>
      <c r="I723" s="87" t="s">
        <v>6405</v>
      </c>
      <c r="J723" s="87" t="s">
        <v>6264</v>
      </c>
      <c r="K723" s="87" t="s">
        <v>6926</v>
      </c>
      <c r="L723" s="87" t="s">
        <v>6852</v>
      </c>
      <c r="M723" s="87" t="s">
        <v>7219</v>
      </c>
      <c r="N723" s="9" t="s">
        <v>7218</v>
      </c>
      <c r="O723" s="87" t="s">
        <v>6619</v>
      </c>
      <c r="P723" s="9" t="s">
        <v>6243</v>
      </c>
      <c r="Q723" s="87" t="s">
        <v>6852</v>
      </c>
      <c r="R723" s="87" t="s">
        <v>6264</v>
      </c>
      <c r="S723" s="87" t="s">
        <v>6433</v>
      </c>
      <c r="T723" s="87" t="s">
        <v>6341</v>
      </c>
    </row>
    <row r="724" spans="1:20" ht="15.75" customHeight="1">
      <c r="A724" s="9" t="s">
        <v>2908</v>
      </c>
      <c r="B724" s="9" t="s">
        <v>7846</v>
      </c>
      <c r="C724" s="9" t="s">
        <v>7228</v>
      </c>
      <c r="D724" s="87" t="s">
        <v>6405</v>
      </c>
      <c r="E724" s="9" t="s">
        <v>6924</v>
      </c>
      <c r="F724" s="9" t="s">
        <v>11</v>
      </c>
      <c r="G724" s="9" t="s">
        <v>383</v>
      </c>
      <c r="H724" s="9" t="s">
        <v>426</v>
      </c>
      <c r="I724" s="87" t="s">
        <v>6405</v>
      </c>
      <c r="J724" s="87" t="s">
        <v>6405</v>
      </c>
      <c r="K724" s="87" t="s">
        <v>6405</v>
      </c>
      <c r="L724" s="87" t="s">
        <v>6397</v>
      </c>
      <c r="M724" s="87" t="s">
        <v>6665</v>
      </c>
      <c r="N724" s="9" t="s">
        <v>7289</v>
      </c>
      <c r="O724" s="87" t="s">
        <v>6240</v>
      </c>
      <c r="P724" s="9" t="s">
        <v>6243</v>
      </c>
      <c r="Q724" s="87" t="s">
        <v>6397</v>
      </c>
      <c r="R724" s="87" t="s">
        <v>6405</v>
      </c>
      <c r="S724" s="87" t="s">
        <v>6284</v>
      </c>
      <c r="T724" s="87" t="s">
        <v>6341</v>
      </c>
    </row>
    <row r="725" spans="1:20" ht="15.75" customHeight="1">
      <c r="A725" s="9" t="s">
        <v>2908</v>
      </c>
      <c r="B725" s="9" t="s">
        <v>7847</v>
      </c>
      <c r="C725" s="9" t="s">
        <v>6923</v>
      </c>
      <c r="D725" s="87" t="s">
        <v>6264</v>
      </c>
      <c r="E725" s="9" t="s">
        <v>6924</v>
      </c>
      <c r="F725" s="9" t="s">
        <v>6925</v>
      </c>
      <c r="G725" s="9" t="s">
        <v>383</v>
      </c>
      <c r="H725" s="9" t="s">
        <v>449</v>
      </c>
      <c r="I725" s="87" t="s">
        <v>6405</v>
      </c>
      <c r="J725" s="87" t="s">
        <v>6264</v>
      </c>
      <c r="K725" s="87" t="s">
        <v>6926</v>
      </c>
      <c r="L725" s="87" t="s">
        <v>6852</v>
      </c>
      <c r="M725" s="87" t="s">
        <v>6665</v>
      </c>
      <c r="N725" s="9" t="s">
        <v>7218</v>
      </c>
      <c r="O725" s="87" t="s">
        <v>6619</v>
      </c>
      <c r="P725" s="9" t="s">
        <v>6243</v>
      </c>
      <c r="Q725" s="87" t="s">
        <v>6852</v>
      </c>
      <c r="R725" s="87" t="s">
        <v>6264</v>
      </c>
      <c r="S725" s="87" t="s">
        <v>6433</v>
      </c>
      <c r="T725" s="87" t="s">
        <v>6341</v>
      </c>
    </row>
    <row r="726" spans="1:20" ht="15.75" customHeight="1">
      <c r="A726" s="9" t="s">
        <v>2908</v>
      </c>
      <c r="B726" s="9" t="s">
        <v>7847</v>
      </c>
      <c r="C726" s="9" t="s">
        <v>7228</v>
      </c>
      <c r="D726" s="87" t="s">
        <v>6405</v>
      </c>
      <c r="E726" s="9" t="s">
        <v>6924</v>
      </c>
      <c r="F726" s="9" t="s">
        <v>11</v>
      </c>
      <c r="G726" s="9" t="s">
        <v>383</v>
      </c>
      <c r="H726" s="9" t="s">
        <v>426</v>
      </c>
      <c r="I726" s="87" t="s">
        <v>6405</v>
      </c>
      <c r="J726" s="87" t="s">
        <v>6405</v>
      </c>
      <c r="K726" s="87" t="s">
        <v>6405</v>
      </c>
      <c r="L726" s="87" t="s">
        <v>6397</v>
      </c>
      <c r="M726" s="87" t="s">
        <v>6677</v>
      </c>
      <c r="N726" s="9" t="s">
        <v>7289</v>
      </c>
      <c r="O726" s="87" t="s">
        <v>6240</v>
      </c>
      <c r="P726" s="9" t="s">
        <v>6243</v>
      </c>
      <c r="Q726" s="87" t="s">
        <v>6397</v>
      </c>
      <c r="R726" s="87" t="s">
        <v>6405</v>
      </c>
      <c r="S726" s="87" t="s">
        <v>6284</v>
      </c>
      <c r="T726" s="87" t="s">
        <v>6341</v>
      </c>
    </row>
    <row r="727" spans="1:20" ht="15.75" customHeight="1">
      <c r="A727" s="9" t="s">
        <v>2919</v>
      </c>
      <c r="B727" s="9" t="s">
        <v>7848</v>
      </c>
      <c r="C727" s="9" t="s">
        <v>6236</v>
      </c>
      <c r="D727" s="87" t="s">
        <v>6393</v>
      </c>
      <c r="E727" s="9" t="s">
        <v>431</v>
      </c>
      <c r="F727" s="9" t="s">
        <v>368</v>
      </c>
      <c r="G727" s="9" t="s">
        <v>436</v>
      </c>
      <c r="H727" s="9" t="s">
        <v>434</v>
      </c>
      <c r="I727" s="87" t="s">
        <v>6237</v>
      </c>
      <c r="J727" s="87" t="s">
        <v>6238</v>
      </c>
      <c r="K727" s="87" t="s">
        <v>6239</v>
      </c>
      <c r="L727" s="87" t="s">
        <v>6240</v>
      </c>
      <c r="M727" s="87" t="s">
        <v>6677</v>
      </c>
      <c r="N727" s="9" t="s">
        <v>6928</v>
      </c>
      <c r="O727" s="87" t="s">
        <v>6239</v>
      </c>
      <c r="P727" s="9" t="s">
        <v>6243</v>
      </c>
      <c r="Q727" s="87" t="s">
        <v>3764</v>
      </c>
      <c r="R727" s="87" t="s">
        <v>6238</v>
      </c>
      <c r="S727" s="87" t="s">
        <v>6327</v>
      </c>
      <c r="T727" s="87" t="s">
        <v>6645</v>
      </c>
    </row>
    <row r="728" spans="1:20" ht="15.75" customHeight="1">
      <c r="A728" s="9" t="s">
        <v>2919</v>
      </c>
      <c r="B728" s="9" t="s">
        <v>7848</v>
      </c>
      <c r="C728" s="9" t="s">
        <v>6236</v>
      </c>
      <c r="D728" s="87" t="s">
        <v>6393</v>
      </c>
      <c r="E728" s="9" t="s">
        <v>431</v>
      </c>
      <c r="F728" s="9" t="s">
        <v>368</v>
      </c>
      <c r="G728" s="9" t="s">
        <v>436</v>
      </c>
      <c r="H728" s="9" t="s">
        <v>434</v>
      </c>
      <c r="I728" s="87" t="s">
        <v>6237</v>
      </c>
      <c r="J728" s="87" t="s">
        <v>6238</v>
      </c>
      <c r="K728" s="87" t="s">
        <v>6245</v>
      </c>
      <c r="L728" s="87" t="s">
        <v>6240</v>
      </c>
      <c r="M728" s="87" t="s">
        <v>6688</v>
      </c>
      <c r="N728" s="9" t="s">
        <v>7000</v>
      </c>
      <c r="O728" s="87" t="s">
        <v>6245</v>
      </c>
      <c r="P728" s="9" t="s">
        <v>6243</v>
      </c>
      <c r="Q728" s="87" t="s">
        <v>6238</v>
      </c>
      <c r="R728" s="87" t="s">
        <v>6238</v>
      </c>
      <c r="S728" s="87" t="s">
        <v>6500</v>
      </c>
      <c r="T728" s="87" t="s">
        <v>6645</v>
      </c>
    </row>
    <row r="729" spans="1:20" ht="15.75" customHeight="1">
      <c r="A729" s="9" t="s">
        <v>2919</v>
      </c>
      <c r="B729" s="9" t="s">
        <v>7849</v>
      </c>
      <c r="C729" s="9" t="s">
        <v>6923</v>
      </c>
      <c r="D729" s="87" t="s">
        <v>6461</v>
      </c>
      <c r="E729" s="9" t="s">
        <v>6924</v>
      </c>
      <c r="F729" s="9" t="s">
        <v>6925</v>
      </c>
      <c r="G729" s="9" t="s">
        <v>383</v>
      </c>
      <c r="H729" s="9" t="s">
        <v>427</v>
      </c>
      <c r="I729" s="87" t="s">
        <v>6405</v>
      </c>
      <c r="J729" s="87" t="s">
        <v>6334</v>
      </c>
      <c r="K729" s="87" t="s">
        <v>6939</v>
      </c>
      <c r="L729" s="87" t="s">
        <v>4019</v>
      </c>
      <c r="M729" s="87" t="s">
        <v>6670</v>
      </c>
      <c r="N729" s="9" t="s">
        <v>7850</v>
      </c>
      <c r="O729" s="87" t="s">
        <v>6263</v>
      </c>
      <c r="P729" s="9" t="s">
        <v>6243</v>
      </c>
      <c r="Q729" s="87" t="s">
        <v>3699</v>
      </c>
      <c r="R729" s="87" t="s">
        <v>6334</v>
      </c>
      <c r="S729" s="87" t="s">
        <v>6313</v>
      </c>
      <c r="T729" s="87" t="s">
        <v>6479</v>
      </c>
    </row>
    <row r="730" spans="1:20" ht="15.75" customHeight="1">
      <c r="A730" s="9" t="s">
        <v>2919</v>
      </c>
      <c r="B730" s="9" t="s">
        <v>7851</v>
      </c>
      <c r="C730" s="9" t="s">
        <v>6923</v>
      </c>
      <c r="D730" s="87" t="s">
        <v>6810</v>
      </c>
      <c r="E730" s="9" t="s">
        <v>6924</v>
      </c>
      <c r="F730" s="9" t="s">
        <v>6925</v>
      </c>
      <c r="G730" s="9" t="s">
        <v>383</v>
      </c>
      <c r="H730" s="9" t="s">
        <v>430</v>
      </c>
      <c r="I730" s="87" t="s">
        <v>6405</v>
      </c>
      <c r="J730" s="87" t="s">
        <v>6405</v>
      </c>
      <c r="K730" s="87" t="s">
        <v>6926</v>
      </c>
      <c r="L730" s="87" t="s">
        <v>4014</v>
      </c>
      <c r="M730" s="87" t="s">
        <v>6670</v>
      </c>
      <c r="N730" s="9" t="s">
        <v>7131</v>
      </c>
      <c r="O730" s="87" t="s">
        <v>6260</v>
      </c>
      <c r="P730" s="9" t="s">
        <v>6243</v>
      </c>
      <c r="Q730" s="87" t="s">
        <v>4014</v>
      </c>
      <c r="R730" s="87" t="s">
        <v>6405</v>
      </c>
      <c r="S730" s="87" t="s">
        <v>6260</v>
      </c>
      <c r="T730" s="87" t="s">
        <v>6341</v>
      </c>
    </row>
    <row r="731" spans="1:20" ht="15.75" customHeight="1">
      <c r="A731" s="9" t="s">
        <v>2919</v>
      </c>
      <c r="B731" s="9" t="s">
        <v>7849</v>
      </c>
      <c r="C731" s="9" t="s">
        <v>7228</v>
      </c>
      <c r="D731" s="87" t="s">
        <v>6237</v>
      </c>
      <c r="E731" s="9" t="s">
        <v>6924</v>
      </c>
      <c r="F731" s="9" t="s">
        <v>11</v>
      </c>
      <c r="G731" s="9" t="s">
        <v>383</v>
      </c>
      <c r="H731" s="9" t="s">
        <v>426</v>
      </c>
      <c r="I731" s="87" t="s">
        <v>6405</v>
      </c>
      <c r="J731" s="87" t="s">
        <v>6334</v>
      </c>
      <c r="K731" s="87" t="s">
        <v>6334</v>
      </c>
      <c r="L731" s="87" t="s">
        <v>6474</v>
      </c>
      <c r="M731" s="87" t="s">
        <v>7852</v>
      </c>
      <c r="N731" s="9" t="s">
        <v>7258</v>
      </c>
      <c r="O731" s="87" t="s">
        <v>6302</v>
      </c>
      <c r="P731" s="9" t="s">
        <v>6243</v>
      </c>
      <c r="Q731" s="87" t="s">
        <v>6464</v>
      </c>
      <c r="R731" s="87" t="s">
        <v>6334</v>
      </c>
      <c r="S731" s="87" t="s">
        <v>6329</v>
      </c>
      <c r="T731" s="87" t="s">
        <v>6619</v>
      </c>
    </row>
    <row r="732" spans="1:20" ht="15.75" customHeight="1">
      <c r="A732" s="9" t="s">
        <v>2919</v>
      </c>
      <c r="B732" s="9" t="s">
        <v>7851</v>
      </c>
      <c r="C732" s="9" t="s">
        <v>7228</v>
      </c>
      <c r="D732" s="87" t="s">
        <v>6237</v>
      </c>
      <c r="E732" s="9" t="s">
        <v>6924</v>
      </c>
      <c r="F732" s="9" t="s">
        <v>11</v>
      </c>
      <c r="G732" s="9" t="s">
        <v>383</v>
      </c>
      <c r="H732" s="9" t="s">
        <v>426</v>
      </c>
      <c r="I732" s="87" t="s">
        <v>6405</v>
      </c>
      <c r="J732" s="87" t="s">
        <v>6405</v>
      </c>
      <c r="K732" s="87" t="s">
        <v>6405</v>
      </c>
      <c r="L732" s="87" t="s">
        <v>6474</v>
      </c>
      <c r="M732" s="87" t="s">
        <v>7852</v>
      </c>
      <c r="N732" s="9" t="s">
        <v>7194</v>
      </c>
      <c r="O732" s="87" t="s">
        <v>6528</v>
      </c>
      <c r="P732" s="9" t="s">
        <v>6243</v>
      </c>
      <c r="Q732" s="87" t="s">
        <v>6474</v>
      </c>
      <c r="R732" s="87" t="s">
        <v>6405</v>
      </c>
      <c r="S732" s="87" t="s">
        <v>6357</v>
      </c>
      <c r="T732" s="87" t="s">
        <v>6341</v>
      </c>
    </row>
    <row r="733" spans="1:20" ht="15.75" customHeight="1">
      <c r="A733" s="9" t="s">
        <v>2963</v>
      </c>
      <c r="B733" s="9" t="s">
        <v>7853</v>
      </c>
      <c r="C733" s="9" t="s">
        <v>6236</v>
      </c>
      <c r="D733" s="87" t="s">
        <v>6393</v>
      </c>
      <c r="E733" s="9" t="s">
        <v>431</v>
      </c>
      <c r="F733" s="9" t="s">
        <v>368</v>
      </c>
      <c r="G733" s="9" t="s">
        <v>436</v>
      </c>
      <c r="H733" s="9" t="s">
        <v>434</v>
      </c>
      <c r="I733" s="87" t="s">
        <v>6237</v>
      </c>
      <c r="J733" s="87" t="s">
        <v>6451</v>
      </c>
      <c r="K733" s="87" t="s">
        <v>6451</v>
      </c>
      <c r="L733" s="87" t="s">
        <v>6240</v>
      </c>
      <c r="M733" s="87" t="s">
        <v>6665</v>
      </c>
      <c r="N733" s="9" t="s">
        <v>7220</v>
      </c>
      <c r="O733" s="87" t="s">
        <v>6451</v>
      </c>
      <c r="P733" s="9" t="s">
        <v>6243</v>
      </c>
      <c r="Q733" s="87" t="s">
        <v>6410</v>
      </c>
      <c r="R733" s="87" t="s">
        <v>6451</v>
      </c>
      <c r="S733" s="87" t="s">
        <v>6651</v>
      </c>
      <c r="T733" s="87" t="s">
        <v>6645</v>
      </c>
    </row>
    <row r="734" spans="1:20" ht="15.75" customHeight="1">
      <c r="A734" s="9" t="s">
        <v>2963</v>
      </c>
      <c r="B734" s="9" t="s">
        <v>7854</v>
      </c>
      <c r="C734" s="9" t="s">
        <v>6671</v>
      </c>
      <c r="D734" s="87" t="s">
        <v>6296</v>
      </c>
      <c r="E734" s="9" t="s">
        <v>6672</v>
      </c>
      <c r="F734" s="9" t="s">
        <v>439</v>
      </c>
      <c r="G734" s="9" t="s">
        <v>436</v>
      </c>
      <c r="H734" s="9" t="s">
        <v>440</v>
      </c>
      <c r="I734" s="87" t="s">
        <v>6405</v>
      </c>
      <c r="J734" s="87" t="s">
        <v>6570</v>
      </c>
      <c r="K734" s="87" t="s">
        <v>6570</v>
      </c>
      <c r="L734" s="87" t="s">
        <v>6240</v>
      </c>
      <c r="M734" s="87" t="s">
        <v>6677</v>
      </c>
      <c r="N734" s="9" t="s">
        <v>7221</v>
      </c>
      <c r="O734" s="87" t="s">
        <v>6570</v>
      </c>
      <c r="P734" s="9" t="s">
        <v>6243</v>
      </c>
      <c r="Q734" s="87" t="s">
        <v>6573</v>
      </c>
      <c r="R734" s="87" t="s">
        <v>6570</v>
      </c>
      <c r="S734" s="87" t="s">
        <v>6316</v>
      </c>
      <c r="T734" s="87" t="s">
        <v>6645</v>
      </c>
    </row>
    <row r="735" spans="1:20" ht="15.75" customHeight="1">
      <c r="A735" s="9" t="s">
        <v>2963</v>
      </c>
      <c r="B735" s="9" t="s">
        <v>7855</v>
      </c>
      <c r="C735" s="9" t="s">
        <v>6923</v>
      </c>
      <c r="D735" s="87" t="s">
        <v>6461</v>
      </c>
      <c r="E735" s="9" t="s">
        <v>6924</v>
      </c>
      <c r="F735" s="9" t="s">
        <v>6925</v>
      </c>
      <c r="G735" s="9" t="s">
        <v>383</v>
      </c>
      <c r="H735" s="9" t="s">
        <v>427</v>
      </c>
      <c r="I735" s="87" t="s">
        <v>6405</v>
      </c>
      <c r="J735" s="87" t="s">
        <v>6405</v>
      </c>
      <c r="K735" s="87" t="s">
        <v>6926</v>
      </c>
      <c r="L735" s="87" t="s">
        <v>6372</v>
      </c>
      <c r="M735" s="87" t="s">
        <v>6688</v>
      </c>
      <c r="N735" s="9" t="s">
        <v>6984</v>
      </c>
      <c r="O735" s="87" t="s">
        <v>6295</v>
      </c>
      <c r="P735" s="9" t="s">
        <v>6243</v>
      </c>
      <c r="Q735" s="87" t="s">
        <v>6372</v>
      </c>
      <c r="R735" s="87" t="s">
        <v>6405</v>
      </c>
      <c r="S735" s="87" t="s">
        <v>6526</v>
      </c>
      <c r="T735" s="87" t="s">
        <v>6341</v>
      </c>
    </row>
    <row r="736" spans="1:20" ht="15.75" customHeight="1">
      <c r="A736" s="9" t="s">
        <v>2963</v>
      </c>
      <c r="B736" s="9" t="s">
        <v>7855</v>
      </c>
      <c r="C736" s="9" t="s">
        <v>7228</v>
      </c>
      <c r="D736" s="87" t="s">
        <v>6237</v>
      </c>
      <c r="E736" s="9" t="s">
        <v>6924</v>
      </c>
      <c r="F736" s="9" t="s">
        <v>11</v>
      </c>
      <c r="G736" s="9" t="s">
        <v>383</v>
      </c>
      <c r="H736" s="9" t="s">
        <v>426</v>
      </c>
      <c r="I736" s="87" t="s">
        <v>6405</v>
      </c>
      <c r="J736" s="87" t="s">
        <v>6405</v>
      </c>
      <c r="K736" s="87" t="s">
        <v>6405</v>
      </c>
      <c r="L736" s="87" t="s">
        <v>6484</v>
      </c>
      <c r="M736" s="87" t="s">
        <v>6670</v>
      </c>
      <c r="N736" s="9" t="s">
        <v>7046</v>
      </c>
      <c r="O736" s="87" t="s">
        <v>6810</v>
      </c>
      <c r="P736" s="9" t="s">
        <v>6243</v>
      </c>
      <c r="Q736" s="87" t="s">
        <v>6484</v>
      </c>
      <c r="R736" s="87" t="s">
        <v>6405</v>
      </c>
      <c r="S736" s="87" t="s">
        <v>6367</v>
      </c>
      <c r="T736" s="87" t="s">
        <v>6341</v>
      </c>
    </row>
    <row r="737" spans="1:26" ht="15.75" customHeight="1">
      <c r="A737" s="9" t="s">
        <v>2945</v>
      </c>
      <c r="B737" s="9" t="s">
        <v>7856</v>
      </c>
      <c r="C737" s="9" t="s">
        <v>6236</v>
      </c>
      <c r="D737" s="87" t="s">
        <v>6393</v>
      </c>
      <c r="E737" s="9" t="s">
        <v>431</v>
      </c>
      <c r="F737" s="9" t="s">
        <v>368</v>
      </c>
      <c r="G737" s="9" t="s">
        <v>436</v>
      </c>
      <c r="H737" s="9" t="s">
        <v>434</v>
      </c>
      <c r="I737" s="87" t="s">
        <v>6237</v>
      </c>
      <c r="J737" s="87" t="s">
        <v>6238</v>
      </c>
      <c r="K737" s="87" t="s">
        <v>6239</v>
      </c>
      <c r="L737" s="87" t="s">
        <v>6240</v>
      </c>
      <c r="M737" s="87" t="s">
        <v>6241</v>
      </c>
      <c r="N737" s="9" t="s">
        <v>6928</v>
      </c>
      <c r="O737" s="87" t="s">
        <v>6239</v>
      </c>
      <c r="P737" s="9" t="s">
        <v>6243</v>
      </c>
      <c r="Q737" s="87" t="s">
        <v>3764</v>
      </c>
      <c r="R737" s="87" t="s">
        <v>6238</v>
      </c>
      <c r="S737" s="87" t="s">
        <v>6327</v>
      </c>
      <c r="T737" s="87" t="s">
        <v>6645</v>
      </c>
    </row>
    <row r="738" spans="1:26" ht="15.75" customHeight="1">
      <c r="A738" s="9" t="s">
        <v>2945</v>
      </c>
      <c r="B738" s="9" t="s">
        <v>7856</v>
      </c>
      <c r="C738" s="9" t="s">
        <v>6236</v>
      </c>
      <c r="D738" s="87" t="s">
        <v>6393</v>
      </c>
      <c r="E738" s="9" t="s">
        <v>431</v>
      </c>
      <c r="F738" s="9" t="s">
        <v>368</v>
      </c>
      <c r="G738" s="9" t="s">
        <v>436</v>
      </c>
      <c r="H738" s="9" t="s">
        <v>434</v>
      </c>
      <c r="I738" s="87" t="s">
        <v>6237</v>
      </c>
      <c r="J738" s="87" t="s">
        <v>6238</v>
      </c>
      <c r="K738" s="87" t="s">
        <v>6245</v>
      </c>
      <c r="L738" s="87" t="s">
        <v>6240</v>
      </c>
      <c r="M738" s="87" t="s">
        <v>6246</v>
      </c>
      <c r="N738" s="9" t="s">
        <v>7000</v>
      </c>
      <c r="O738" s="87" t="s">
        <v>6245</v>
      </c>
      <c r="P738" s="9" t="s">
        <v>6243</v>
      </c>
      <c r="Q738" s="87" t="s">
        <v>6238</v>
      </c>
      <c r="R738" s="87" t="s">
        <v>6238</v>
      </c>
      <c r="S738" s="87" t="s">
        <v>6500</v>
      </c>
      <c r="T738" s="87" t="s">
        <v>6645</v>
      </c>
      <c r="U738" s="84"/>
      <c r="V738" s="84"/>
      <c r="W738" s="84"/>
      <c r="X738" s="84"/>
      <c r="Y738" s="84"/>
      <c r="Z738" s="84"/>
    </row>
    <row r="739" spans="1:26" ht="15.75" customHeight="1">
      <c r="A739" s="9" t="s">
        <v>2945</v>
      </c>
      <c r="B739" s="9" t="s">
        <v>7857</v>
      </c>
      <c r="C739" s="9" t="s">
        <v>6671</v>
      </c>
      <c r="D739" s="87" t="s">
        <v>6296</v>
      </c>
      <c r="E739" s="9" t="s">
        <v>6672</v>
      </c>
      <c r="F739" s="9" t="s">
        <v>439</v>
      </c>
      <c r="G739" s="9" t="s">
        <v>436</v>
      </c>
      <c r="H739" s="9" t="s">
        <v>440</v>
      </c>
      <c r="I739" s="87" t="s">
        <v>6405</v>
      </c>
      <c r="J739" s="87" t="s">
        <v>6357</v>
      </c>
      <c r="K739" s="87" t="s">
        <v>6357</v>
      </c>
      <c r="L739" s="87" t="s">
        <v>6240</v>
      </c>
      <c r="M739" s="87" t="s">
        <v>6673</v>
      </c>
      <c r="N739" s="9" t="s">
        <v>7027</v>
      </c>
      <c r="O739" s="87" t="s">
        <v>6357</v>
      </c>
      <c r="P739" s="9" t="s">
        <v>6243</v>
      </c>
      <c r="Q739" s="87" t="s">
        <v>6565</v>
      </c>
      <c r="R739" s="87" t="s">
        <v>6357</v>
      </c>
      <c r="S739" s="87" t="s">
        <v>6329</v>
      </c>
      <c r="T739" s="87" t="s">
        <v>6645</v>
      </c>
      <c r="U739" s="84"/>
      <c r="V739" s="84"/>
      <c r="W739" s="84"/>
      <c r="X739" s="84"/>
      <c r="Y739" s="84"/>
      <c r="Z739" s="84"/>
    </row>
    <row r="740" spans="1:26" ht="15.75" customHeight="1">
      <c r="A740" s="9" t="s">
        <v>2945</v>
      </c>
      <c r="B740" s="9" t="s">
        <v>7858</v>
      </c>
      <c r="C740" s="9" t="s">
        <v>6923</v>
      </c>
      <c r="D740" s="87" t="s">
        <v>6327</v>
      </c>
      <c r="E740" s="9" t="s">
        <v>6924</v>
      </c>
      <c r="F740" s="9" t="s">
        <v>6925</v>
      </c>
      <c r="G740" s="9" t="s">
        <v>383</v>
      </c>
      <c r="H740" s="9" t="s">
        <v>444</v>
      </c>
      <c r="I740" s="87" t="s">
        <v>6405</v>
      </c>
      <c r="J740" s="87" t="s">
        <v>6405</v>
      </c>
      <c r="K740" s="87" t="s">
        <v>6926</v>
      </c>
      <c r="L740" s="87" t="s">
        <v>6416</v>
      </c>
      <c r="M740" s="87" t="s">
        <v>7222</v>
      </c>
      <c r="N740" s="9" t="s">
        <v>7187</v>
      </c>
      <c r="O740" s="87" t="s">
        <v>6414</v>
      </c>
      <c r="P740" s="9" t="s">
        <v>6243</v>
      </c>
      <c r="Q740" s="87" t="s">
        <v>6416</v>
      </c>
      <c r="R740" s="87" t="s">
        <v>6405</v>
      </c>
      <c r="S740" s="87" t="s">
        <v>6314</v>
      </c>
      <c r="T740" s="87" t="s">
        <v>6341</v>
      </c>
      <c r="U740" s="84"/>
      <c r="V740" s="84"/>
      <c r="W740" s="84"/>
      <c r="X740" s="84"/>
      <c r="Y740" s="84"/>
      <c r="Z740" s="84"/>
    </row>
    <row r="741" spans="1:26" ht="15.75" customHeight="1">
      <c r="A741" s="9" t="s">
        <v>2945</v>
      </c>
      <c r="B741" s="9" t="s">
        <v>7858</v>
      </c>
      <c r="C741" s="9" t="s">
        <v>7228</v>
      </c>
      <c r="D741" s="87" t="s">
        <v>6290</v>
      </c>
      <c r="E741" s="9" t="s">
        <v>6924</v>
      </c>
      <c r="F741" s="9" t="s">
        <v>11</v>
      </c>
      <c r="G741" s="9" t="s">
        <v>383</v>
      </c>
      <c r="H741" s="9" t="s">
        <v>426</v>
      </c>
      <c r="I741" s="87" t="s">
        <v>6405</v>
      </c>
      <c r="J741" s="87" t="s">
        <v>6405</v>
      </c>
      <c r="K741" s="87" t="s">
        <v>6405</v>
      </c>
      <c r="L741" s="87" t="s">
        <v>6397</v>
      </c>
      <c r="M741" s="87" t="s">
        <v>7859</v>
      </c>
      <c r="N741" s="9" t="s">
        <v>7289</v>
      </c>
      <c r="O741" s="87" t="s">
        <v>6240</v>
      </c>
      <c r="P741" s="9" t="s">
        <v>6243</v>
      </c>
      <c r="Q741" s="87" t="s">
        <v>6397</v>
      </c>
      <c r="R741" s="87" t="s">
        <v>6405</v>
      </c>
      <c r="S741" s="87" t="s">
        <v>6284</v>
      </c>
      <c r="T741" s="87" t="s">
        <v>6341</v>
      </c>
      <c r="U741" s="84"/>
      <c r="V741" s="84"/>
      <c r="W741" s="84"/>
      <c r="X741" s="84"/>
      <c r="Y741" s="84"/>
      <c r="Z741" s="84"/>
    </row>
    <row r="742" spans="1:26" ht="15.75" customHeight="1">
      <c r="A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spans="1:26" ht="15.75" customHeight="1"/>
    <row r="744" spans="1:26" ht="15.75" customHeight="1"/>
    <row r="745" spans="1:26" ht="15.75" customHeight="1"/>
    <row r="746" spans="1:26" ht="15.75" customHeight="1"/>
    <row r="747" spans="1:26" ht="15.75" customHeight="1"/>
    <row r="748" spans="1:26" ht="15.75" customHeight="1"/>
    <row r="749" spans="1:26" ht="15.75" customHeight="1"/>
    <row r="750" spans="1:26" ht="15.75" customHeight="1"/>
    <row r="751" spans="1:26" ht="15.75" customHeight="1"/>
    <row r="752" spans="1:26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406" xr:uid="{00000000-0009-0000-0000-00000E000000}"/>
  <phoneticPr fontId="42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T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20" ht="15.75" customHeight="1">
      <c r="A1" s="9" t="s">
        <v>2817</v>
      </c>
      <c r="B1" s="9" t="s">
        <v>7223</v>
      </c>
      <c r="C1" s="9" t="s">
        <v>6224</v>
      </c>
      <c r="D1" s="9" t="s">
        <v>6913</v>
      </c>
      <c r="E1" s="9" t="s">
        <v>6225</v>
      </c>
      <c r="F1" s="9" t="s">
        <v>360</v>
      </c>
      <c r="G1" s="9" t="s">
        <v>421</v>
      </c>
      <c r="H1" s="9" t="s">
        <v>415</v>
      </c>
      <c r="I1" s="9" t="s">
        <v>420</v>
      </c>
      <c r="J1" s="9" t="s">
        <v>6914</v>
      </c>
      <c r="K1" s="9" t="s">
        <v>6915</v>
      </c>
      <c r="L1" s="9" t="s">
        <v>6916</v>
      </c>
      <c r="M1" s="9" t="s">
        <v>358</v>
      </c>
      <c r="N1" s="9" t="s">
        <v>6229</v>
      </c>
      <c r="O1" s="9" t="s">
        <v>6230</v>
      </c>
      <c r="P1" s="9" t="s">
        <v>6231</v>
      </c>
      <c r="Q1" s="9" t="s">
        <v>6917</v>
      </c>
      <c r="R1" s="9" t="s">
        <v>6918</v>
      </c>
      <c r="S1" s="9" t="s">
        <v>6919</v>
      </c>
      <c r="T1" s="9" t="s">
        <v>6920</v>
      </c>
    </row>
    <row r="2" spans="1:20" ht="15.75" customHeight="1">
      <c r="A2" s="9" t="s">
        <v>2944</v>
      </c>
      <c r="B2" s="9" t="s">
        <v>7224</v>
      </c>
      <c r="C2" s="9" t="s">
        <v>6236</v>
      </c>
      <c r="D2" s="87" t="s">
        <v>6393</v>
      </c>
      <c r="E2" s="9" t="s">
        <v>431</v>
      </c>
      <c r="F2" s="9" t="s">
        <v>368</v>
      </c>
      <c r="G2" s="9" t="s">
        <v>436</v>
      </c>
      <c r="H2" s="9" t="s">
        <v>434</v>
      </c>
      <c r="I2" s="87" t="s">
        <v>6237</v>
      </c>
      <c r="J2" s="87" t="s">
        <v>6268</v>
      </c>
      <c r="K2" s="87" t="s">
        <v>6268</v>
      </c>
      <c r="L2" s="87" t="s">
        <v>6240</v>
      </c>
      <c r="M2" s="87" t="s">
        <v>6265</v>
      </c>
      <c r="N2" s="9" t="s">
        <v>6921</v>
      </c>
      <c r="O2" s="87" t="s">
        <v>6268</v>
      </c>
      <c r="P2" s="9" t="s">
        <v>6243</v>
      </c>
      <c r="Q2" s="87" t="s">
        <v>6270</v>
      </c>
      <c r="R2" s="87" t="s">
        <v>6268</v>
      </c>
      <c r="S2" s="87" t="s">
        <v>6323</v>
      </c>
      <c r="T2" s="87" t="s">
        <v>6606</v>
      </c>
    </row>
    <row r="3" spans="1:20" ht="15.75" customHeight="1">
      <c r="A3" s="9" t="s">
        <v>2944</v>
      </c>
      <c r="B3" s="9" t="s">
        <v>7226</v>
      </c>
      <c r="C3" s="9" t="s">
        <v>6923</v>
      </c>
      <c r="D3" s="87" t="s">
        <v>6327</v>
      </c>
      <c r="E3" s="9" t="s">
        <v>6924</v>
      </c>
      <c r="F3" s="9" t="s">
        <v>6925</v>
      </c>
      <c r="G3" s="9" t="s">
        <v>383</v>
      </c>
      <c r="H3" s="9" t="s">
        <v>444</v>
      </c>
      <c r="I3" s="87" t="s">
        <v>6405</v>
      </c>
      <c r="J3" s="87" t="s">
        <v>6405</v>
      </c>
      <c r="K3" s="87" t="s">
        <v>6926</v>
      </c>
      <c r="L3" s="87" t="s">
        <v>6278</v>
      </c>
      <c r="M3" s="87" t="s">
        <v>6274</v>
      </c>
      <c r="N3" s="9" t="s">
        <v>7860</v>
      </c>
      <c r="O3" s="87" t="s">
        <v>6397</v>
      </c>
      <c r="P3" s="9" t="s">
        <v>6243</v>
      </c>
      <c r="Q3" s="87" t="s">
        <v>6278</v>
      </c>
      <c r="R3" s="87" t="s">
        <v>6405</v>
      </c>
      <c r="S3" s="87" t="s">
        <v>6401</v>
      </c>
      <c r="T3" s="87" t="s">
        <v>6367</v>
      </c>
    </row>
    <row r="4" spans="1:20" ht="15.75" customHeight="1">
      <c r="A4" s="9" t="s">
        <v>2944</v>
      </c>
      <c r="B4" s="9" t="s">
        <v>7225</v>
      </c>
      <c r="C4" s="9" t="s">
        <v>6671</v>
      </c>
      <c r="D4" s="87" t="s">
        <v>6296</v>
      </c>
      <c r="E4" s="9" t="s">
        <v>6672</v>
      </c>
      <c r="F4" s="9" t="s">
        <v>439</v>
      </c>
      <c r="G4" s="9" t="s">
        <v>436</v>
      </c>
      <c r="H4" s="9" t="s">
        <v>440</v>
      </c>
      <c r="I4" s="87" t="s">
        <v>6405</v>
      </c>
      <c r="J4" s="87" t="s">
        <v>6313</v>
      </c>
      <c r="K4" s="87" t="s">
        <v>6313</v>
      </c>
      <c r="L4" s="87" t="s">
        <v>6240</v>
      </c>
      <c r="M4" s="87" t="s">
        <v>6274</v>
      </c>
      <c r="N4" s="9" t="s">
        <v>6922</v>
      </c>
      <c r="O4" s="87" t="s">
        <v>6313</v>
      </c>
      <c r="P4" s="9" t="s">
        <v>6243</v>
      </c>
      <c r="Q4" s="87" t="s">
        <v>6357</v>
      </c>
      <c r="R4" s="87" t="s">
        <v>6313</v>
      </c>
      <c r="S4" s="87" t="s">
        <v>6373</v>
      </c>
      <c r="T4" s="87" t="s">
        <v>6419</v>
      </c>
    </row>
    <row r="5" spans="1:20" ht="15.75" customHeight="1">
      <c r="A5" s="9" t="s">
        <v>2944</v>
      </c>
      <c r="B5" s="9" t="s">
        <v>7226</v>
      </c>
      <c r="C5" s="9" t="s">
        <v>7228</v>
      </c>
      <c r="D5" s="87" t="s">
        <v>6290</v>
      </c>
      <c r="E5" s="9" t="s">
        <v>6924</v>
      </c>
      <c r="F5" s="9" t="s">
        <v>11</v>
      </c>
      <c r="G5" s="9" t="s">
        <v>383</v>
      </c>
      <c r="H5" s="9" t="s">
        <v>426</v>
      </c>
      <c r="I5" s="87" t="s">
        <v>6405</v>
      </c>
      <c r="J5" s="87" t="s">
        <v>6405</v>
      </c>
      <c r="K5" s="87" t="s">
        <v>6405</v>
      </c>
      <c r="L5" s="87" t="s">
        <v>6397</v>
      </c>
      <c r="M5" s="87" t="s">
        <v>6891</v>
      </c>
      <c r="N5" s="9" t="s">
        <v>7229</v>
      </c>
      <c r="O5" s="87" t="s">
        <v>6240</v>
      </c>
      <c r="P5" s="9" t="s">
        <v>6243</v>
      </c>
      <c r="Q5" s="87" t="s">
        <v>6397</v>
      </c>
      <c r="R5" s="87" t="s">
        <v>6405</v>
      </c>
      <c r="S5" s="87" t="s">
        <v>5381</v>
      </c>
      <c r="T5" s="87" t="s">
        <v>6619</v>
      </c>
    </row>
    <row r="6" spans="1:20" ht="15.75" customHeight="1">
      <c r="A6" s="9" t="s">
        <v>2966</v>
      </c>
      <c r="B6" s="9" t="s">
        <v>7230</v>
      </c>
      <c r="C6" s="9" t="s">
        <v>6236</v>
      </c>
      <c r="D6" s="87" t="s">
        <v>6393</v>
      </c>
      <c r="E6" s="9" t="s">
        <v>431</v>
      </c>
      <c r="F6" s="9" t="s">
        <v>368</v>
      </c>
      <c r="G6" s="9" t="s">
        <v>436</v>
      </c>
      <c r="H6" s="9" t="s">
        <v>434</v>
      </c>
      <c r="I6" s="87" t="s">
        <v>6237</v>
      </c>
      <c r="J6" s="87" t="s">
        <v>6248</v>
      </c>
      <c r="K6" s="87" t="s">
        <v>6239</v>
      </c>
      <c r="L6" s="87" t="s">
        <v>6240</v>
      </c>
      <c r="M6" s="87" t="s">
        <v>6249</v>
      </c>
      <c r="N6" s="9" t="s">
        <v>6928</v>
      </c>
      <c r="O6" s="87" t="s">
        <v>6239</v>
      </c>
      <c r="P6" s="9" t="s">
        <v>6243</v>
      </c>
      <c r="Q6" s="87" t="s">
        <v>3764</v>
      </c>
      <c r="R6" s="87" t="s">
        <v>6248</v>
      </c>
      <c r="S6" s="87" t="s">
        <v>6327</v>
      </c>
      <c r="T6" s="87" t="s">
        <v>6645</v>
      </c>
    </row>
    <row r="7" spans="1:20" ht="15.75" customHeight="1">
      <c r="A7" s="9" t="s">
        <v>2966</v>
      </c>
      <c r="B7" s="9" t="s">
        <v>7230</v>
      </c>
      <c r="C7" s="9" t="s">
        <v>6236</v>
      </c>
      <c r="D7" s="87" t="s">
        <v>6393</v>
      </c>
      <c r="E7" s="9" t="s">
        <v>431</v>
      </c>
      <c r="F7" s="9" t="s">
        <v>368</v>
      </c>
      <c r="G7" s="9" t="s">
        <v>436</v>
      </c>
      <c r="H7" s="9" t="s">
        <v>434</v>
      </c>
      <c r="I7" s="87" t="s">
        <v>6237</v>
      </c>
      <c r="J7" s="87" t="s">
        <v>6248</v>
      </c>
      <c r="K7" s="87" t="s">
        <v>6256</v>
      </c>
      <c r="L7" s="87" t="s">
        <v>6240</v>
      </c>
      <c r="M7" s="87" t="s">
        <v>6899</v>
      </c>
      <c r="N7" s="9" t="s">
        <v>6929</v>
      </c>
      <c r="O7" s="87" t="s">
        <v>6256</v>
      </c>
      <c r="P7" s="9" t="s">
        <v>6243</v>
      </c>
      <c r="Q7" s="87" t="s">
        <v>6258</v>
      </c>
      <c r="R7" s="87" t="s">
        <v>6248</v>
      </c>
      <c r="S7" s="87" t="s">
        <v>6393</v>
      </c>
      <c r="T7" s="87" t="s">
        <v>6645</v>
      </c>
    </row>
    <row r="8" spans="1:20" ht="15.75" customHeight="1">
      <c r="A8" s="9" t="s">
        <v>2966</v>
      </c>
      <c r="B8" s="9" t="s">
        <v>7231</v>
      </c>
      <c r="C8" s="9" t="s">
        <v>6671</v>
      </c>
      <c r="D8" s="87" t="s">
        <v>6296</v>
      </c>
      <c r="E8" s="9" t="s">
        <v>6672</v>
      </c>
      <c r="F8" s="9" t="s">
        <v>439</v>
      </c>
      <c r="G8" s="9" t="s">
        <v>436</v>
      </c>
      <c r="H8" s="9" t="s">
        <v>440</v>
      </c>
      <c r="I8" s="87" t="s">
        <v>6405</v>
      </c>
      <c r="J8" s="87" t="s">
        <v>6896</v>
      </c>
      <c r="K8" s="87" t="s">
        <v>6239</v>
      </c>
      <c r="L8" s="87" t="s">
        <v>6240</v>
      </c>
      <c r="M8" s="87" t="s">
        <v>6265</v>
      </c>
      <c r="N8" s="9" t="s">
        <v>6928</v>
      </c>
      <c r="O8" s="87" t="s">
        <v>6239</v>
      </c>
      <c r="P8" s="9" t="s">
        <v>6243</v>
      </c>
      <c r="Q8" s="87" t="s">
        <v>3764</v>
      </c>
      <c r="R8" s="87" t="s">
        <v>6896</v>
      </c>
      <c r="S8" s="87" t="s">
        <v>6327</v>
      </c>
      <c r="T8" s="87" t="s">
        <v>6645</v>
      </c>
    </row>
    <row r="9" spans="1:20" ht="15.75" customHeight="1">
      <c r="A9" s="9" t="s">
        <v>2966</v>
      </c>
      <c r="B9" s="9" t="s">
        <v>7232</v>
      </c>
      <c r="C9" s="9" t="s">
        <v>6923</v>
      </c>
      <c r="D9" s="87" t="s">
        <v>6461</v>
      </c>
      <c r="E9" s="9" t="s">
        <v>6924</v>
      </c>
      <c r="F9" s="9" t="s">
        <v>6925</v>
      </c>
      <c r="G9" s="9" t="s">
        <v>383</v>
      </c>
      <c r="H9" s="9" t="s">
        <v>427</v>
      </c>
      <c r="I9" s="87" t="s">
        <v>6405</v>
      </c>
      <c r="J9" s="87" t="s">
        <v>6290</v>
      </c>
      <c r="K9" s="87" t="s">
        <v>6926</v>
      </c>
      <c r="L9" s="87" t="s">
        <v>6932</v>
      </c>
      <c r="M9" s="87" t="s">
        <v>6272</v>
      </c>
      <c r="N9" s="9" t="s">
        <v>7861</v>
      </c>
      <c r="O9" s="87" t="s">
        <v>6259</v>
      </c>
      <c r="P9" s="9" t="s">
        <v>6243</v>
      </c>
      <c r="Q9" s="87" t="s">
        <v>6932</v>
      </c>
      <c r="R9" s="87" t="s">
        <v>6290</v>
      </c>
      <c r="S9" s="87" t="s">
        <v>6393</v>
      </c>
      <c r="T9" s="87" t="s">
        <v>6370</v>
      </c>
    </row>
    <row r="10" spans="1:20" ht="15.75" customHeight="1">
      <c r="A10" s="9" t="s">
        <v>2966</v>
      </c>
      <c r="B10" s="9" t="s">
        <v>7231</v>
      </c>
      <c r="C10" s="9" t="s">
        <v>6671</v>
      </c>
      <c r="D10" s="87" t="s">
        <v>6296</v>
      </c>
      <c r="E10" s="9" t="s">
        <v>6672</v>
      </c>
      <c r="F10" s="9" t="s">
        <v>439</v>
      </c>
      <c r="G10" s="9" t="s">
        <v>436</v>
      </c>
      <c r="H10" s="9" t="s">
        <v>440</v>
      </c>
      <c r="I10" s="87" t="s">
        <v>6405</v>
      </c>
      <c r="J10" s="87" t="s">
        <v>6896</v>
      </c>
      <c r="K10" s="87" t="s">
        <v>6430</v>
      </c>
      <c r="L10" s="87" t="s">
        <v>6240</v>
      </c>
      <c r="M10" s="87" t="s">
        <v>6272</v>
      </c>
      <c r="N10" s="9" t="s">
        <v>6930</v>
      </c>
      <c r="O10" s="87" t="s">
        <v>6430</v>
      </c>
      <c r="P10" s="9" t="s">
        <v>6243</v>
      </c>
      <c r="Q10" s="87" t="s">
        <v>6579</v>
      </c>
      <c r="R10" s="87" t="s">
        <v>6896</v>
      </c>
      <c r="S10" s="87" t="s">
        <v>6293</v>
      </c>
      <c r="T10" s="87" t="s">
        <v>6645</v>
      </c>
    </row>
    <row r="11" spans="1:20" ht="15.75" customHeight="1">
      <c r="A11" s="9" t="s">
        <v>2966</v>
      </c>
      <c r="B11" s="9" t="s">
        <v>7232</v>
      </c>
      <c r="C11" s="9" t="s">
        <v>7228</v>
      </c>
      <c r="D11" s="87" t="s">
        <v>6237</v>
      </c>
      <c r="E11" s="9" t="s">
        <v>6924</v>
      </c>
      <c r="F11" s="9" t="s">
        <v>11</v>
      </c>
      <c r="G11" s="9" t="s">
        <v>383</v>
      </c>
      <c r="H11" s="9" t="s">
        <v>426</v>
      </c>
      <c r="I11" s="87" t="s">
        <v>6405</v>
      </c>
      <c r="J11" s="87" t="s">
        <v>6405</v>
      </c>
      <c r="K11" s="87" t="s">
        <v>6405</v>
      </c>
      <c r="L11" s="87" t="s">
        <v>6254</v>
      </c>
      <c r="M11" s="87" t="s">
        <v>6274</v>
      </c>
      <c r="N11" s="9" t="s">
        <v>7236</v>
      </c>
      <c r="O11" s="87" t="s">
        <v>6251</v>
      </c>
      <c r="P11" s="9" t="s">
        <v>6243</v>
      </c>
      <c r="Q11" s="87" t="s">
        <v>6254</v>
      </c>
      <c r="R11" s="87" t="s">
        <v>6405</v>
      </c>
      <c r="S11" s="87" t="s">
        <v>6256</v>
      </c>
      <c r="T11" s="87" t="s">
        <v>6341</v>
      </c>
    </row>
    <row r="12" spans="1:20" ht="15.75" customHeight="1">
      <c r="A12" s="9" t="s">
        <v>2966</v>
      </c>
      <c r="B12" s="9" t="s">
        <v>7233</v>
      </c>
      <c r="C12" s="9" t="s">
        <v>6923</v>
      </c>
      <c r="D12" s="87" t="s">
        <v>6461</v>
      </c>
      <c r="E12" s="9" t="s">
        <v>6924</v>
      </c>
      <c r="F12" s="9" t="s">
        <v>6925</v>
      </c>
      <c r="G12" s="9" t="s">
        <v>383</v>
      </c>
      <c r="H12" s="9" t="s">
        <v>427</v>
      </c>
      <c r="I12" s="87" t="s">
        <v>6405</v>
      </c>
      <c r="J12" s="87" t="s">
        <v>6290</v>
      </c>
      <c r="K12" s="87" t="s">
        <v>6931</v>
      </c>
      <c r="L12" s="87" t="s">
        <v>6932</v>
      </c>
      <c r="M12" s="87" t="s">
        <v>6274</v>
      </c>
      <c r="N12" s="9" t="s">
        <v>6933</v>
      </c>
      <c r="O12" s="87" t="s">
        <v>6267</v>
      </c>
      <c r="P12" s="9" t="s">
        <v>6243</v>
      </c>
      <c r="Q12" s="87" t="s">
        <v>6506</v>
      </c>
      <c r="R12" s="87" t="s">
        <v>6290</v>
      </c>
      <c r="S12" s="87" t="s">
        <v>6264</v>
      </c>
      <c r="T12" s="87" t="s">
        <v>6341</v>
      </c>
    </row>
    <row r="13" spans="1:20" ht="15.75" customHeight="1">
      <c r="A13" s="9" t="s">
        <v>2966</v>
      </c>
      <c r="B13" s="9" t="s">
        <v>7233</v>
      </c>
      <c r="C13" s="9" t="s">
        <v>7228</v>
      </c>
      <c r="D13" s="87" t="s">
        <v>6237</v>
      </c>
      <c r="E13" s="9" t="s">
        <v>6924</v>
      </c>
      <c r="F13" s="9" t="s">
        <v>11</v>
      </c>
      <c r="G13" s="9" t="s">
        <v>383</v>
      </c>
      <c r="H13" s="9" t="s">
        <v>426</v>
      </c>
      <c r="I13" s="87" t="s">
        <v>6405</v>
      </c>
      <c r="J13" s="87" t="s">
        <v>6264</v>
      </c>
      <c r="K13" s="87" t="s">
        <v>6264</v>
      </c>
      <c r="L13" s="87" t="s">
        <v>6254</v>
      </c>
      <c r="M13" s="87" t="s">
        <v>6891</v>
      </c>
      <c r="N13" s="9" t="s">
        <v>7194</v>
      </c>
      <c r="O13" s="87" t="s">
        <v>6528</v>
      </c>
      <c r="P13" s="9" t="s">
        <v>6243</v>
      </c>
      <c r="Q13" s="87" t="s">
        <v>6474</v>
      </c>
      <c r="R13" s="87" t="s">
        <v>6264</v>
      </c>
      <c r="S13" s="87" t="s">
        <v>6357</v>
      </c>
      <c r="T13" s="87" t="s">
        <v>6341</v>
      </c>
    </row>
    <row r="14" spans="1:20" ht="15.75" customHeight="1">
      <c r="A14" s="9" t="s">
        <v>2966</v>
      </c>
      <c r="B14" s="9" t="s">
        <v>7234</v>
      </c>
      <c r="C14" s="9" t="s">
        <v>6923</v>
      </c>
      <c r="D14" s="87" t="s">
        <v>6461</v>
      </c>
      <c r="E14" s="9" t="s">
        <v>6924</v>
      </c>
      <c r="F14" s="9" t="s">
        <v>6925</v>
      </c>
      <c r="G14" s="9" t="s">
        <v>383</v>
      </c>
      <c r="H14" s="9" t="s">
        <v>427</v>
      </c>
      <c r="I14" s="87" t="s">
        <v>6405</v>
      </c>
      <c r="J14" s="87" t="s">
        <v>6290</v>
      </c>
      <c r="K14" s="87" t="s">
        <v>6931</v>
      </c>
      <c r="L14" s="87" t="s">
        <v>6932</v>
      </c>
      <c r="M14" s="87" t="s">
        <v>6891</v>
      </c>
      <c r="N14" s="9" t="s">
        <v>6933</v>
      </c>
      <c r="O14" s="87" t="s">
        <v>6267</v>
      </c>
      <c r="P14" s="9" t="s">
        <v>6243</v>
      </c>
      <c r="Q14" s="87" t="s">
        <v>6506</v>
      </c>
      <c r="R14" s="87" t="s">
        <v>6290</v>
      </c>
      <c r="S14" s="87" t="s">
        <v>6264</v>
      </c>
      <c r="T14" s="87" t="s">
        <v>6341</v>
      </c>
    </row>
    <row r="15" spans="1:20" ht="15.75" customHeight="1">
      <c r="A15" s="9" t="s">
        <v>2966</v>
      </c>
      <c r="B15" s="9" t="s">
        <v>7234</v>
      </c>
      <c r="C15" s="9" t="s">
        <v>7228</v>
      </c>
      <c r="D15" s="87" t="s">
        <v>6237</v>
      </c>
      <c r="E15" s="9" t="s">
        <v>6924</v>
      </c>
      <c r="F15" s="9" t="s">
        <v>11</v>
      </c>
      <c r="G15" s="9" t="s">
        <v>383</v>
      </c>
      <c r="H15" s="9" t="s">
        <v>426</v>
      </c>
      <c r="I15" s="87" t="s">
        <v>6405</v>
      </c>
      <c r="J15" s="87" t="s">
        <v>6264</v>
      </c>
      <c r="K15" s="87" t="s">
        <v>6264</v>
      </c>
      <c r="L15" s="87" t="s">
        <v>6254</v>
      </c>
      <c r="M15" s="87" t="s">
        <v>6890</v>
      </c>
      <c r="N15" s="9" t="s">
        <v>7194</v>
      </c>
      <c r="O15" s="87" t="s">
        <v>6528</v>
      </c>
      <c r="P15" s="9" t="s">
        <v>6243</v>
      </c>
      <c r="Q15" s="87" t="s">
        <v>6474</v>
      </c>
      <c r="R15" s="87" t="s">
        <v>6264</v>
      </c>
      <c r="S15" s="87" t="s">
        <v>6357</v>
      </c>
      <c r="T15" s="87" t="s">
        <v>6341</v>
      </c>
    </row>
    <row r="16" spans="1:20" ht="15.75" customHeight="1">
      <c r="A16" s="9" t="s">
        <v>2966</v>
      </c>
      <c r="B16" s="9" t="s">
        <v>7235</v>
      </c>
      <c r="C16" s="9" t="s">
        <v>6923</v>
      </c>
      <c r="D16" s="87" t="s">
        <v>6461</v>
      </c>
      <c r="E16" s="9" t="s">
        <v>6924</v>
      </c>
      <c r="F16" s="9" t="s">
        <v>6925</v>
      </c>
      <c r="G16" s="9" t="s">
        <v>383</v>
      </c>
      <c r="H16" s="9" t="s">
        <v>427</v>
      </c>
      <c r="I16" s="87" t="s">
        <v>6405</v>
      </c>
      <c r="J16" s="87" t="s">
        <v>6290</v>
      </c>
      <c r="K16" s="87" t="s">
        <v>6931</v>
      </c>
      <c r="L16" s="87" t="s">
        <v>6932</v>
      </c>
      <c r="M16" s="87" t="s">
        <v>6890</v>
      </c>
      <c r="N16" s="9" t="s">
        <v>6933</v>
      </c>
      <c r="O16" s="87" t="s">
        <v>6267</v>
      </c>
      <c r="P16" s="9" t="s">
        <v>6243</v>
      </c>
      <c r="Q16" s="87" t="s">
        <v>6506</v>
      </c>
      <c r="R16" s="87" t="s">
        <v>6290</v>
      </c>
      <c r="S16" s="87" t="s">
        <v>6264</v>
      </c>
      <c r="T16" s="87" t="s">
        <v>6341</v>
      </c>
    </row>
    <row r="17" spans="1:20" ht="15.75" customHeight="1">
      <c r="A17" s="9" t="s">
        <v>2966</v>
      </c>
      <c r="B17" s="9" t="s">
        <v>7235</v>
      </c>
      <c r="C17" s="9" t="s">
        <v>7228</v>
      </c>
      <c r="D17" s="87" t="s">
        <v>6237</v>
      </c>
      <c r="E17" s="9" t="s">
        <v>6924</v>
      </c>
      <c r="F17" s="9" t="s">
        <v>11</v>
      </c>
      <c r="G17" s="9" t="s">
        <v>383</v>
      </c>
      <c r="H17" s="9" t="s">
        <v>426</v>
      </c>
      <c r="I17" s="87" t="s">
        <v>6405</v>
      </c>
      <c r="J17" s="87" t="s">
        <v>6264</v>
      </c>
      <c r="K17" s="87" t="s">
        <v>6264</v>
      </c>
      <c r="L17" s="87" t="s">
        <v>6254</v>
      </c>
      <c r="M17" s="87" t="s">
        <v>6285</v>
      </c>
      <c r="N17" s="9" t="s">
        <v>7194</v>
      </c>
      <c r="O17" s="87" t="s">
        <v>6528</v>
      </c>
      <c r="P17" s="9" t="s">
        <v>6243</v>
      </c>
      <c r="Q17" s="87" t="s">
        <v>6474</v>
      </c>
      <c r="R17" s="87" t="s">
        <v>6264</v>
      </c>
      <c r="S17" s="87" t="s">
        <v>6357</v>
      </c>
      <c r="T17" s="87" t="s">
        <v>6341</v>
      </c>
    </row>
    <row r="18" spans="1:20" ht="15.75" customHeight="1">
      <c r="A18" s="9" t="s">
        <v>3001</v>
      </c>
      <c r="B18" s="9" t="s">
        <v>7237</v>
      </c>
      <c r="C18" s="9" t="s">
        <v>6236</v>
      </c>
      <c r="D18" s="87" t="s">
        <v>6393</v>
      </c>
      <c r="E18" s="9" t="s">
        <v>431</v>
      </c>
      <c r="F18" s="9" t="s">
        <v>368</v>
      </c>
      <c r="G18" s="9" t="s">
        <v>436</v>
      </c>
      <c r="H18" s="9" t="s">
        <v>434</v>
      </c>
      <c r="I18" s="87" t="s">
        <v>6237</v>
      </c>
      <c r="J18" s="87" t="s">
        <v>6238</v>
      </c>
      <c r="K18" s="87" t="s">
        <v>6361</v>
      </c>
      <c r="L18" s="87" t="s">
        <v>6240</v>
      </c>
      <c r="M18" s="87" t="s">
        <v>6353</v>
      </c>
      <c r="N18" s="9" t="s">
        <v>6935</v>
      </c>
      <c r="O18" s="87" t="s">
        <v>6361</v>
      </c>
      <c r="P18" s="9" t="s">
        <v>6243</v>
      </c>
      <c r="Q18" s="87" t="s">
        <v>6363</v>
      </c>
      <c r="R18" s="87" t="s">
        <v>6238</v>
      </c>
      <c r="S18" s="87" t="s">
        <v>6327</v>
      </c>
      <c r="T18" s="87" t="s">
        <v>6526</v>
      </c>
    </row>
    <row r="19" spans="1:20" ht="15.75" customHeight="1">
      <c r="A19" s="9" t="s">
        <v>3001</v>
      </c>
      <c r="B19" s="9" t="s">
        <v>7237</v>
      </c>
      <c r="C19" s="9" t="s">
        <v>6236</v>
      </c>
      <c r="D19" s="87" t="s">
        <v>6393</v>
      </c>
      <c r="E19" s="9" t="s">
        <v>431</v>
      </c>
      <c r="F19" s="9" t="s">
        <v>368</v>
      </c>
      <c r="G19" s="9" t="s">
        <v>436</v>
      </c>
      <c r="H19" s="9" t="s">
        <v>434</v>
      </c>
      <c r="I19" s="87" t="s">
        <v>6237</v>
      </c>
      <c r="J19" s="87" t="s">
        <v>6238</v>
      </c>
      <c r="K19" s="87" t="s">
        <v>6326</v>
      </c>
      <c r="L19" s="87" t="s">
        <v>6240</v>
      </c>
      <c r="M19" s="87" t="s">
        <v>6358</v>
      </c>
      <c r="N19" s="9" t="s">
        <v>6936</v>
      </c>
      <c r="O19" s="87" t="s">
        <v>6326</v>
      </c>
      <c r="P19" s="9" t="s">
        <v>6243</v>
      </c>
      <c r="Q19" s="87" t="s">
        <v>6355</v>
      </c>
      <c r="R19" s="87" t="s">
        <v>6238</v>
      </c>
      <c r="S19" s="87" t="s">
        <v>6294</v>
      </c>
      <c r="T19" s="87" t="s">
        <v>6645</v>
      </c>
    </row>
    <row r="20" spans="1:20" ht="15.75" customHeight="1">
      <c r="A20" s="9" t="s">
        <v>3001</v>
      </c>
      <c r="B20" s="9" t="s">
        <v>7238</v>
      </c>
      <c r="C20" s="9" t="s">
        <v>6671</v>
      </c>
      <c r="D20" s="87" t="s">
        <v>6296</v>
      </c>
      <c r="E20" s="9" t="s">
        <v>6672</v>
      </c>
      <c r="F20" s="9" t="s">
        <v>439</v>
      </c>
      <c r="G20" s="9" t="s">
        <v>436</v>
      </c>
      <c r="H20" s="9" t="s">
        <v>440</v>
      </c>
      <c r="I20" s="87" t="s">
        <v>6405</v>
      </c>
      <c r="J20" s="87" t="s">
        <v>6357</v>
      </c>
      <c r="K20" s="87" t="s">
        <v>6357</v>
      </c>
      <c r="L20" s="87" t="s">
        <v>6240</v>
      </c>
      <c r="M20" s="87" t="s">
        <v>6364</v>
      </c>
      <c r="N20" s="9" t="s">
        <v>7239</v>
      </c>
      <c r="O20" s="87" t="s">
        <v>6357</v>
      </c>
      <c r="P20" s="9" t="s">
        <v>6243</v>
      </c>
      <c r="Q20" s="87" t="s">
        <v>6565</v>
      </c>
      <c r="R20" s="87" t="s">
        <v>6357</v>
      </c>
      <c r="S20" s="87" t="s">
        <v>6411</v>
      </c>
      <c r="T20" s="87" t="s">
        <v>6733</v>
      </c>
    </row>
    <row r="21" spans="1:20" ht="15.75" customHeight="1">
      <c r="A21" s="9" t="s">
        <v>3001</v>
      </c>
      <c r="B21" s="9" t="s">
        <v>7240</v>
      </c>
      <c r="C21" s="9" t="s">
        <v>6671</v>
      </c>
      <c r="D21" s="87" t="s">
        <v>6421</v>
      </c>
      <c r="E21" s="9" t="s">
        <v>6672</v>
      </c>
      <c r="F21" s="9" t="s">
        <v>439</v>
      </c>
      <c r="G21" s="9" t="s">
        <v>436</v>
      </c>
      <c r="H21" s="9" t="s">
        <v>440</v>
      </c>
      <c r="I21" s="87" t="s">
        <v>6405</v>
      </c>
      <c r="J21" s="87" t="s">
        <v>6357</v>
      </c>
      <c r="K21" s="87" t="s">
        <v>6435</v>
      </c>
      <c r="L21" s="87" t="s">
        <v>6240</v>
      </c>
      <c r="M21" s="87" t="s">
        <v>6364</v>
      </c>
      <c r="N21" s="9" t="s">
        <v>7052</v>
      </c>
      <c r="O21" s="87" t="s">
        <v>6435</v>
      </c>
      <c r="P21" s="9" t="s">
        <v>6243</v>
      </c>
      <c r="Q21" s="87" t="s">
        <v>6250</v>
      </c>
      <c r="R21" s="87" t="s">
        <v>6357</v>
      </c>
      <c r="S21" s="87" t="s">
        <v>6327</v>
      </c>
      <c r="T21" s="87" t="s">
        <v>6433</v>
      </c>
    </row>
    <row r="22" spans="1:20" ht="15.75" customHeight="1">
      <c r="A22" s="9" t="s">
        <v>3001</v>
      </c>
      <c r="B22" s="9" t="s">
        <v>7241</v>
      </c>
      <c r="C22" s="9" t="s">
        <v>6923</v>
      </c>
      <c r="D22" s="87" t="s">
        <v>6461</v>
      </c>
      <c r="E22" s="9" t="s">
        <v>6924</v>
      </c>
      <c r="F22" s="9" t="s">
        <v>6925</v>
      </c>
      <c r="G22" s="9" t="s">
        <v>383</v>
      </c>
      <c r="H22" s="9" t="s">
        <v>427</v>
      </c>
      <c r="I22" s="87" t="s">
        <v>6405</v>
      </c>
      <c r="J22" s="87" t="s">
        <v>6290</v>
      </c>
      <c r="K22" s="87" t="s">
        <v>6926</v>
      </c>
      <c r="L22" s="87" t="s">
        <v>5374</v>
      </c>
      <c r="M22" s="87" t="s">
        <v>6385</v>
      </c>
      <c r="N22" s="9" t="s">
        <v>7862</v>
      </c>
      <c r="O22" s="87" t="s">
        <v>6323</v>
      </c>
      <c r="P22" s="9" t="s">
        <v>6243</v>
      </c>
      <c r="Q22" s="87" t="s">
        <v>5374</v>
      </c>
      <c r="R22" s="87" t="s">
        <v>6290</v>
      </c>
      <c r="S22" s="87" t="s">
        <v>6290</v>
      </c>
      <c r="T22" s="87" t="s">
        <v>6273</v>
      </c>
    </row>
    <row r="23" spans="1:20" ht="15.75" customHeight="1">
      <c r="A23" s="9" t="s">
        <v>3001</v>
      </c>
      <c r="B23" s="9" t="s">
        <v>7240</v>
      </c>
      <c r="C23" s="9" t="s">
        <v>6671</v>
      </c>
      <c r="D23" s="87" t="s">
        <v>6421</v>
      </c>
      <c r="E23" s="9" t="s">
        <v>6672</v>
      </c>
      <c r="F23" s="9" t="s">
        <v>439</v>
      </c>
      <c r="G23" s="9" t="s">
        <v>436</v>
      </c>
      <c r="H23" s="9" t="s">
        <v>440</v>
      </c>
      <c r="I23" s="87" t="s">
        <v>6405</v>
      </c>
      <c r="J23" s="87" t="s">
        <v>6357</v>
      </c>
      <c r="K23" s="87" t="s">
        <v>6526</v>
      </c>
      <c r="L23" s="87" t="s">
        <v>6240</v>
      </c>
      <c r="M23" s="87" t="s">
        <v>6385</v>
      </c>
      <c r="N23" s="9" t="s">
        <v>6938</v>
      </c>
      <c r="O23" s="87" t="s">
        <v>6526</v>
      </c>
      <c r="P23" s="9" t="s">
        <v>6243</v>
      </c>
      <c r="Q23" s="87" t="s">
        <v>4023</v>
      </c>
      <c r="R23" s="87" t="s">
        <v>6357</v>
      </c>
      <c r="S23" s="87" t="s">
        <v>6486</v>
      </c>
      <c r="T23" s="87" t="s">
        <v>6645</v>
      </c>
    </row>
    <row r="24" spans="1:20" ht="15.75" customHeight="1">
      <c r="A24" s="9" t="s">
        <v>3001</v>
      </c>
      <c r="B24" s="9" t="s">
        <v>7241</v>
      </c>
      <c r="C24" s="9" t="s">
        <v>7228</v>
      </c>
      <c r="D24" s="87" t="s">
        <v>6237</v>
      </c>
      <c r="E24" s="9" t="s">
        <v>6924</v>
      </c>
      <c r="F24" s="9" t="s">
        <v>11</v>
      </c>
      <c r="G24" s="9" t="s">
        <v>383</v>
      </c>
      <c r="H24" s="9" t="s">
        <v>426</v>
      </c>
      <c r="I24" s="87" t="s">
        <v>6405</v>
      </c>
      <c r="J24" s="87" t="s">
        <v>6405</v>
      </c>
      <c r="K24" s="87" t="s">
        <v>6405</v>
      </c>
      <c r="L24" s="87" t="s">
        <v>6255</v>
      </c>
      <c r="M24" s="87" t="s">
        <v>6388</v>
      </c>
      <c r="N24" s="9" t="s">
        <v>7863</v>
      </c>
      <c r="O24" s="87" t="s">
        <v>6461</v>
      </c>
      <c r="P24" s="9" t="s">
        <v>6243</v>
      </c>
      <c r="Q24" s="87" t="s">
        <v>6255</v>
      </c>
      <c r="R24" s="87" t="s">
        <v>6405</v>
      </c>
      <c r="S24" s="87" t="s">
        <v>7035</v>
      </c>
      <c r="T24" s="87" t="s">
        <v>6240</v>
      </c>
    </row>
    <row r="25" spans="1:20" ht="15.75" customHeight="1">
      <c r="A25" s="9" t="s">
        <v>3001</v>
      </c>
      <c r="B25" s="9" t="s">
        <v>7244</v>
      </c>
      <c r="C25" s="9" t="s">
        <v>6923</v>
      </c>
      <c r="D25" s="87" t="s">
        <v>6461</v>
      </c>
      <c r="E25" s="9" t="s">
        <v>6924</v>
      </c>
      <c r="F25" s="9" t="s">
        <v>6925</v>
      </c>
      <c r="G25" s="9" t="s">
        <v>383</v>
      </c>
      <c r="H25" s="9" t="s">
        <v>427</v>
      </c>
      <c r="I25" s="87" t="s">
        <v>6405</v>
      </c>
      <c r="J25" s="87" t="s">
        <v>6290</v>
      </c>
      <c r="K25" s="87" t="s">
        <v>6939</v>
      </c>
      <c r="L25" s="87" t="s">
        <v>5374</v>
      </c>
      <c r="M25" s="87" t="s">
        <v>6389</v>
      </c>
      <c r="N25" s="9" t="s">
        <v>6940</v>
      </c>
      <c r="O25" s="87" t="s">
        <v>6333</v>
      </c>
      <c r="P25" s="9" t="s">
        <v>6243</v>
      </c>
      <c r="Q25" s="87" t="s">
        <v>6575</v>
      </c>
      <c r="R25" s="87" t="s">
        <v>6290</v>
      </c>
      <c r="S25" s="87" t="s">
        <v>6570</v>
      </c>
      <c r="T25" s="87" t="s">
        <v>6341</v>
      </c>
    </row>
    <row r="26" spans="1:20" ht="15.75" customHeight="1">
      <c r="A26" s="9" t="s">
        <v>3001</v>
      </c>
      <c r="B26" s="9" t="s">
        <v>7244</v>
      </c>
      <c r="C26" s="9" t="s">
        <v>7228</v>
      </c>
      <c r="D26" s="87" t="s">
        <v>6237</v>
      </c>
      <c r="E26" s="9" t="s">
        <v>6924</v>
      </c>
      <c r="F26" s="9" t="s">
        <v>11</v>
      </c>
      <c r="G26" s="9" t="s">
        <v>383</v>
      </c>
      <c r="H26" s="9" t="s">
        <v>426</v>
      </c>
      <c r="I26" s="87" t="s">
        <v>6405</v>
      </c>
      <c r="J26" s="87" t="s">
        <v>6334</v>
      </c>
      <c r="K26" s="87" t="s">
        <v>6334</v>
      </c>
      <c r="L26" s="87" t="s">
        <v>6255</v>
      </c>
      <c r="M26" s="87" t="s">
        <v>6390</v>
      </c>
      <c r="N26" s="9" t="s">
        <v>7245</v>
      </c>
      <c r="O26" s="87" t="s">
        <v>6327</v>
      </c>
      <c r="P26" s="9" t="s">
        <v>6243</v>
      </c>
      <c r="Q26" s="87" t="s">
        <v>6392</v>
      </c>
      <c r="R26" s="87" t="s">
        <v>6334</v>
      </c>
      <c r="S26" s="87" t="s">
        <v>6500</v>
      </c>
      <c r="T26" s="87" t="s">
        <v>6341</v>
      </c>
    </row>
    <row r="27" spans="1:20" ht="15.75" customHeight="1">
      <c r="A27" s="9" t="s">
        <v>3001</v>
      </c>
      <c r="B27" s="9" t="s">
        <v>7246</v>
      </c>
      <c r="C27" s="9" t="s">
        <v>6923</v>
      </c>
      <c r="D27" s="87" t="s">
        <v>6461</v>
      </c>
      <c r="E27" s="9" t="s">
        <v>6924</v>
      </c>
      <c r="F27" s="9" t="s">
        <v>6925</v>
      </c>
      <c r="G27" s="9" t="s">
        <v>383</v>
      </c>
      <c r="H27" s="9" t="s">
        <v>427</v>
      </c>
      <c r="I27" s="87" t="s">
        <v>6405</v>
      </c>
      <c r="J27" s="87" t="s">
        <v>6290</v>
      </c>
      <c r="K27" s="87" t="s">
        <v>6939</v>
      </c>
      <c r="L27" s="87" t="s">
        <v>5374</v>
      </c>
      <c r="M27" s="87" t="s">
        <v>6390</v>
      </c>
      <c r="N27" s="9" t="s">
        <v>6940</v>
      </c>
      <c r="O27" s="87" t="s">
        <v>6333</v>
      </c>
      <c r="P27" s="9" t="s">
        <v>6243</v>
      </c>
      <c r="Q27" s="87" t="s">
        <v>6575</v>
      </c>
      <c r="R27" s="87" t="s">
        <v>6290</v>
      </c>
      <c r="S27" s="87" t="s">
        <v>6570</v>
      </c>
      <c r="T27" s="87" t="s">
        <v>6341</v>
      </c>
    </row>
    <row r="28" spans="1:20" ht="15.75" customHeight="1">
      <c r="A28" s="9" t="s">
        <v>3001</v>
      </c>
      <c r="B28" s="9" t="s">
        <v>7246</v>
      </c>
      <c r="C28" s="9" t="s">
        <v>7228</v>
      </c>
      <c r="D28" s="87" t="s">
        <v>6237</v>
      </c>
      <c r="E28" s="9" t="s">
        <v>6924</v>
      </c>
      <c r="F28" s="9" t="s">
        <v>11</v>
      </c>
      <c r="G28" s="9" t="s">
        <v>383</v>
      </c>
      <c r="H28" s="9" t="s">
        <v>426</v>
      </c>
      <c r="I28" s="87" t="s">
        <v>6405</v>
      </c>
      <c r="J28" s="87" t="s">
        <v>6334</v>
      </c>
      <c r="K28" s="87" t="s">
        <v>6334</v>
      </c>
      <c r="L28" s="87" t="s">
        <v>6255</v>
      </c>
      <c r="M28" s="87" t="s">
        <v>6398</v>
      </c>
      <c r="N28" s="9" t="s">
        <v>7245</v>
      </c>
      <c r="O28" s="87" t="s">
        <v>6327</v>
      </c>
      <c r="P28" s="9" t="s">
        <v>6243</v>
      </c>
      <c r="Q28" s="87" t="s">
        <v>6392</v>
      </c>
      <c r="R28" s="87" t="s">
        <v>6334</v>
      </c>
      <c r="S28" s="87" t="s">
        <v>6500</v>
      </c>
      <c r="T28" s="87" t="s">
        <v>6341</v>
      </c>
    </row>
    <row r="29" spans="1:20" ht="15.75" customHeight="1">
      <c r="A29" s="9" t="s">
        <v>3001</v>
      </c>
      <c r="B29" s="9" t="s">
        <v>7247</v>
      </c>
      <c r="C29" s="9" t="s">
        <v>6923</v>
      </c>
      <c r="D29" s="87" t="s">
        <v>6461</v>
      </c>
      <c r="E29" s="9" t="s">
        <v>6924</v>
      </c>
      <c r="F29" s="9" t="s">
        <v>6925</v>
      </c>
      <c r="G29" s="9" t="s">
        <v>383</v>
      </c>
      <c r="H29" s="9" t="s">
        <v>427</v>
      </c>
      <c r="I29" s="87" t="s">
        <v>6405</v>
      </c>
      <c r="J29" s="87" t="s">
        <v>6290</v>
      </c>
      <c r="K29" s="87" t="s">
        <v>6939</v>
      </c>
      <c r="L29" s="87" t="s">
        <v>5374</v>
      </c>
      <c r="M29" s="87" t="s">
        <v>6398</v>
      </c>
      <c r="N29" s="9" t="s">
        <v>6940</v>
      </c>
      <c r="O29" s="87" t="s">
        <v>6333</v>
      </c>
      <c r="P29" s="9" t="s">
        <v>6243</v>
      </c>
      <c r="Q29" s="87" t="s">
        <v>6575</v>
      </c>
      <c r="R29" s="87" t="s">
        <v>6290</v>
      </c>
      <c r="S29" s="87" t="s">
        <v>6570</v>
      </c>
      <c r="T29" s="87" t="s">
        <v>6341</v>
      </c>
    </row>
    <row r="30" spans="1:20" ht="15.75" customHeight="1">
      <c r="A30" s="9" t="s">
        <v>3001</v>
      </c>
      <c r="B30" s="9" t="s">
        <v>7247</v>
      </c>
      <c r="C30" s="9" t="s">
        <v>7228</v>
      </c>
      <c r="D30" s="87" t="s">
        <v>6237</v>
      </c>
      <c r="E30" s="9" t="s">
        <v>6924</v>
      </c>
      <c r="F30" s="9" t="s">
        <v>11</v>
      </c>
      <c r="G30" s="9" t="s">
        <v>383</v>
      </c>
      <c r="H30" s="9" t="s">
        <v>426</v>
      </c>
      <c r="I30" s="87" t="s">
        <v>6405</v>
      </c>
      <c r="J30" s="87" t="s">
        <v>6334</v>
      </c>
      <c r="K30" s="87" t="s">
        <v>6334</v>
      </c>
      <c r="L30" s="87" t="s">
        <v>6255</v>
      </c>
      <c r="M30" s="87" t="s">
        <v>6422</v>
      </c>
      <c r="N30" s="9" t="s">
        <v>7245</v>
      </c>
      <c r="O30" s="87" t="s">
        <v>6327</v>
      </c>
      <c r="P30" s="9" t="s">
        <v>6243</v>
      </c>
      <c r="Q30" s="87" t="s">
        <v>6392</v>
      </c>
      <c r="R30" s="87" t="s">
        <v>6334</v>
      </c>
      <c r="S30" s="87" t="s">
        <v>6500</v>
      </c>
      <c r="T30" s="87" t="s">
        <v>6341</v>
      </c>
    </row>
    <row r="31" spans="1:20" ht="15.75" customHeight="1">
      <c r="A31" s="9" t="s">
        <v>3001</v>
      </c>
      <c r="B31" s="9" t="s">
        <v>7248</v>
      </c>
      <c r="C31" s="9" t="s">
        <v>6923</v>
      </c>
      <c r="D31" s="87" t="s">
        <v>6461</v>
      </c>
      <c r="E31" s="9" t="s">
        <v>6924</v>
      </c>
      <c r="F31" s="9" t="s">
        <v>6925</v>
      </c>
      <c r="G31" s="9" t="s">
        <v>383</v>
      </c>
      <c r="H31" s="9" t="s">
        <v>427</v>
      </c>
      <c r="I31" s="87" t="s">
        <v>6405</v>
      </c>
      <c r="J31" s="87" t="s">
        <v>6290</v>
      </c>
      <c r="K31" s="87" t="s">
        <v>6939</v>
      </c>
      <c r="L31" s="87" t="s">
        <v>5374</v>
      </c>
      <c r="M31" s="87" t="s">
        <v>6422</v>
      </c>
      <c r="N31" s="9" t="s">
        <v>6940</v>
      </c>
      <c r="O31" s="87" t="s">
        <v>6333</v>
      </c>
      <c r="P31" s="9" t="s">
        <v>6243</v>
      </c>
      <c r="Q31" s="87" t="s">
        <v>6575</v>
      </c>
      <c r="R31" s="87" t="s">
        <v>6290</v>
      </c>
      <c r="S31" s="87" t="s">
        <v>6570</v>
      </c>
      <c r="T31" s="87" t="s">
        <v>6341</v>
      </c>
    </row>
    <row r="32" spans="1:20" ht="15.75" customHeight="1">
      <c r="A32" s="9" t="s">
        <v>3001</v>
      </c>
      <c r="B32" s="9" t="s">
        <v>7248</v>
      </c>
      <c r="C32" s="9" t="s">
        <v>7228</v>
      </c>
      <c r="D32" s="87" t="s">
        <v>6237</v>
      </c>
      <c r="E32" s="9" t="s">
        <v>6924</v>
      </c>
      <c r="F32" s="9" t="s">
        <v>11</v>
      </c>
      <c r="G32" s="9" t="s">
        <v>383</v>
      </c>
      <c r="H32" s="9" t="s">
        <v>426</v>
      </c>
      <c r="I32" s="87" t="s">
        <v>6405</v>
      </c>
      <c r="J32" s="87" t="s">
        <v>6334</v>
      </c>
      <c r="K32" s="87" t="s">
        <v>6334</v>
      </c>
      <c r="L32" s="87" t="s">
        <v>6255</v>
      </c>
      <c r="M32" s="87" t="s">
        <v>6840</v>
      </c>
      <c r="N32" s="9" t="s">
        <v>7245</v>
      </c>
      <c r="O32" s="87" t="s">
        <v>6327</v>
      </c>
      <c r="P32" s="9" t="s">
        <v>6243</v>
      </c>
      <c r="Q32" s="87" t="s">
        <v>6392</v>
      </c>
      <c r="R32" s="87" t="s">
        <v>6334</v>
      </c>
      <c r="S32" s="87" t="s">
        <v>6500</v>
      </c>
      <c r="T32" s="87" t="s">
        <v>6341</v>
      </c>
    </row>
    <row r="33" spans="1:20" ht="15.75" customHeight="1">
      <c r="A33" s="9" t="s">
        <v>3001</v>
      </c>
      <c r="B33" s="9" t="s">
        <v>7864</v>
      </c>
      <c r="C33" s="9" t="s">
        <v>6923</v>
      </c>
      <c r="D33" s="87" t="s">
        <v>6461</v>
      </c>
      <c r="E33" s="9" t="s">
        <v>6924</v>
      </c>
      <c r="F33" s="9" t="s">
        <v>6925</v>
      </c>
      <c r="G33" s="9" t="s">
        <v>383</v>
      </c>
      <c r="H33" s="9" t="s">
        <v>427</v>
      </c>
      <c r="I33" s="87" t="s">
        <v>6405</v>
      </c>
      <c r="J33" s="87" t="s">
        <v>6290</v>
      </c>
      <c r="K33" s="87" t="s">
        <v>6926</v>
      </c>
      <c r="L33" s="87" t="s">
        <v>5374</v>
      </c>
      <c r="M33" s="87" t="s">
        <v>6840</v>
      </c>
      <c r="N33" s="9" t="s">
        <v>7004</v>
      </c>
      <c r="O33" s="87" t="s">
        <v>6323</v>
      </c>
      <c r="P33" s="9" t="s">
        <v>6243</v>
      </c>
      <c r="Q33" s="87" t="s">
        <v>5374</v>
      </c>
      <c r="R33" s="87" t="s">
        <v>6290</v>
      </c>
      <c r="S33" s="87" t="s">
        <v>6428</v>
      </c>
      <c r="T33" s="87" t="s">
        <v>6341</v>
      </c>
    </row>
    <row r="34" spans="1:20" ht="15.75" customHeight="1">
      <c r="A34" s="9" t="s">
        <v>3001</v>
      </c>
      <c r="B34" s="9" t="s">
        <v>7864</v>
      </c>
      <c r="C34" s="9" t="s">
        <v>7228</v>
      </c>
      <c r="D34" s="87" t="s">
        <v>6237</v>
      </c>
      <c r="E34" s="9" t="s">
        <v>6924</v>
      </c>
      <c r="F34" s="9" t="s">
        <v>11</v>
      </c>
      <c r="G34" s="9" t="s">
        <v>383</v>
      </c>
      <c r="H34" s="9" t="s">
        <v>426</v>
      </c>
      <c r="I34" s="87" t="s">
        <v>6405</v>
      </c>
      <c r="J34" s="87" t="s">
        <v>6405</v>
      </c>
      <c r="K34" s="87" t="s">
        <v>6405</v>
      </c>
      <c r="L34" s="87" t="s">
        <v>6255</v>
      </c>
      <c r="M34" s="87" t="s">
        <v>6838</v>
      </c>
      <c r="N34" s="9" t="s">
        <v>7400</v>
      </c>
      <c r="O34" s="87" t="s">
        <v>6461</v>
      </c>
      <c r="P34" s="9" t="s">
        <v>6243</v>
      </c>
      <c r="Q34" s="87" t="s">
        <v>6255</v>
      </c>
      <c r="R34" s="87" t="s">
        <v>6405</v>
      </c>
      <c r="S34" s="87" t="s">
        <v>6287</v>
      </c>
      <c r="T34" s="87" t="s">
        <v>6341</v>
      </c>
    </row>
    <row r="35" spans="1:20" ht="15.75" customHeight="1">
      <c r="A35" s="9" t="s">
        <v>2916</v>
      </c>
      <c r="B35" s="9" t="s">
        <v>7249</v>
      </c>
      <c r="C35" s="9" t="s">
        <v>6236</v>
      </c>
      <c r="D35" s="87" t="s">
        <v>6393</v>
      </c>
      <c r="E35" s="9" t="s">
        <v>431</v>
      </c>
      <c r="F35" s="9" t="s">
        <v>368</v>
      </c>
      <c r="G35" s="9" t="s">
        <v>436</v>
      </c>
      <c r="H35" s="9" t="s">
        <v>434</v>
      </c>
      <c r="I35" s="87" t="s">
        <v>6264</v>
      </c>
      <c r="J35" s="87" t="s">
        <v>6239</v>
      </c>
      <c r="K35" s="87" t="s">
        <v>6433</v>
      </c>
      <c r="L35" s="87" t="s">
        <v>6240</v>
      </c>
      <c r="M35" s="87" t="s">
        <v>6265</v>
      </c>
      <c r="N35" s="9" t="s">
        <v>6941</v>
      </c>
      <c r="O35" s="87" t="s">
        <v>6433</v>
      </c>
      <c r="P35" s="9" t="s">
        <v>6243</v>
      </c>
      <c r="Q35" s="87" t="s">
        <v>6305</v>
      </c>
      <c r="R35" s="87" t="s">
        <v>6239</v>
      </c>
      <c r="S35" s="87" t="s">
        <v>6327</v>
      </c>
      <c r="T35" s="87" t="s">
        <v>6329</v>
      </c>
    </row>
    <row r="36" spans="1:20" ht="15.75" customHeight="1">
      <c r="A36" s="9" t="s">
        <v>2916</v>
      </c>
      <c r="B36" s="9" t="s">
        <v>7249</v>
      </c>
      <c r="C36" s="9" t="s">
        <v>6236</v>
      </c>
      <c r="D36" s="87" t="s">
        <v>6393</v>
      </c>
      <c r="E36" s="9" t="s">
        <v>431</v>
      </c>
      <c r="F36" s="9" t="s">
        <v>368</v>
      </c>
      <c r="G36" s="9" t="s">
        <v>436</v>
      </c>
      <c r="H36" s="9" t="s">
        <v>434</v>
      </c>
      <c r="I36" s="87" t="s">
        <v>6264</v>
      </c>
      <c r="J36" s="87" t="s">
        <v>6239</v>
      </c>
      <c r="K36" s="87" t="s">
        <v>6619</v>
      </c>
      <c r="L36" s="87" t="s">
        <v>6240</v>
      </c>
      <c r="M36" s="87" t="s">
        <v>6272</v>
      </c>
      <c r="N36" s="9" t="s">
        <v>6942</v>
      </c>
      <c r="O36" s="87" t="s">
        <v>6619</v>
      </c>
      <c r="P36" s="9" t="s">
        <v>6243</v>
      </c>
      <c r="Q36" s="87" t="s">
        <v>6852</v>
      </c>
      <c r="R36" s="87" t="s">
        <v>6239</v>
      </c>
      <c r="S36" s="87" t="s">
        <v>6323</v>
      </c>
      <c r="T36" s="87" t="s">
        <v>6645</v>
      </c>
    </row>
    <row r="37" spans="1:20" ht="15.75" customHeight="1">
      <c r="A37" s="9" t="s">
        <v>2916</v>
      </c>
      <c r="B37" s="9" t="s">
        <v>7250</v>
      </c>
      <c r="C37" s="9" t="s">
        <v>6671</v>
      </c>
      <c r="D37" s="87" t="s">
        <v>6296</v>
      </c>
      <c r="E37" s="9" t="s">
        <v>6672</v>
      </c>
      <c r="F37" s="9" t="s">
        <v>439</v>
      </c>
      <c r="G37" s="9" t="s">
        <v>436</v>
      </c>
      <c r="H37" s="9" t="s">
        <v>440</v>
      </c>
      <c r="I37" s="87" t="s">
        <v>6405</v>
      </c>
      <c r="J37" s="87" t="s">
        <v>6400</v>
      </c>
      <c r="K37" s="87" t="s">
        <v>6400</v>
      </c>
      <c r="L37" s="87" t="s">
        <v>6240</v>
      </c>
      <c r="M37" s="87" t="s">
        <v>6274</v>
      </c>
      <c r="N37" s="9" t="s">
        <v>6943</v>
      </c>
      <c r="O37" s="87" t="s">
        <v>6400</v>
      </c>
      <c r="P37" s="9" t="s">
        <v>6243</v>
      </c>
      <c r="Q37" s="87" t="s">
        <v>3870</v>
      </c>
      <c r="R37" s="87" t="s">
        <v>6400</v>
      </c>
      <c r="S37" s="87" t="s">
        <v>6295</v>
      </c>
      <c r="T37" s="87" t="s">
        <v>6367</v>
      </c>
    </row>
    <row r="38" spans="1:20" ht="15.75" customHeight="1">
      <c r="A38" s="9" t="s">
        <v>2916</v>
      </c>
      <c r="B38" s="9" t="s">
        <v>7251</v>
      </c>
      <c r="C38" s="9" t="s">
        <v>6923</v>
      </c>
      <c r="D38" s="87" t="s">
        <v>6264</v>
      </c>
      <c r="E38" s="9" t="s">
        <v>6924</v>
      </c>
      <c r="F38" s="9" t="s">
        <v>6925</v>
      </c>
      <c r="G38" s="9" t="s">
        <v>383</v>
      </c>
      <c r="H38" s="9" t="s">
        <v>449</v>
      </c>
      <c r="I38" s="87" t="s">
        <v>6405</v>
      </c>
      <c r="J38" s="87" t="s">
        <v>6237</v>
      </c>
      <c r="K38" s="87" t="s">
        <v>6926</v>
      </c>
      <c r="L38" s="87" t="s">
        <v>6464</v>
      </c>
      <c r="M38" s="87" t="s">
        <v>6891</v>
      </c>
      <c r="N38" s="9" t="s">
        <v>7255</v>
      </c>
      <c r="O38" s="87" t="s">
        <v>6302</v>
      </c>
      <c r="P38" s="9" t="s">
        <v>6243</v>
      </c>
      <c r="Q38" s="87" t="s">
        <v>6464</v>
      </c>
      <c r="R38" s="87" t="s">
        <v>6237</v>
      </c>
      <c r="S38" s="87" t="s">
        <v>6570</v>
      </c>
      <c r="T38" s="87" t="s">
        <v>6440</v>
      </c>
    </row>
    <row r="39" spans="1:20" ht="15.75" customHeight="1">
      <c r="A39" s="9" t="s">
        <v>2916</v>
      </c>
      <c r="B39" s="9" t="s">
        <v>7251</v>
      </c>
      <c r="C39" s="9" t="s">
        <v>7228</v>
      </c>
      <c r="D39" s="87" t="s">
        <v>6405</v>
      </c>
      <c r="E39" s="9" t="s">
        <v>6924</v>
      </c>
      <c r="F39" s="9" t="s">
        <v>11</v>
      </c>
      <c r="G39" s="9" t="s">
        <v>383</v>
      </c>
      <c r="H39" s="9" t="s">
        <v>426</v>
      </c>
      <c r="I39" s="87" t="s">
        <v>6405</v>
      </c>
      <c r="J39" s="87" t="s">
        <v>6405</v>
      </c>
      <c r="K39" s="87" t="s">
        <v>6405</v>
      </c>
      <c r="L39" s="87" t="s">
        <v>6397</v>
      </c>
      <c r="M39" s="87" t="s">
        <v>6890</v>
      </c>
      <c r="N39" s="9" t="s">
        <v>7256</v>
      </c>
      <c r="O39" s="87" t="s">
        <v>6240</v>
      </c>
      <c r="P39" s="9" t="s">
        <v>6243</v>
      </c>
      <c r="Q39" s="87" t="s">
        <v>6397</v>
      </c>
      <c r="R39" s="87" t="s">
        <v>6405</v>
      </c>
      <c r="S39" s="87" t="s">
        <v>6570</v>
      </c>
      <c r="T39" s="87" t="s">
        <v>6295</v>
      </c>
    </row>
    <row r="40" spans="1:20" ht="15.75" customHeight="1">
      <c r="A40" s="9" t="s">
        <v>2916</v>
      </c>
      <c r="B40" s="9" t="s">
        <v>7254</v>
      </c>
      <c r="C40" s="9" t="s">
        <v>6923</v>
      </c>
      <c r="D40" s="87" t="s">
        <v>6264</v>
      </c>
      <c r="E40" s="9" t="s">
        <v>6924</v>
      </c>
      <c r="F40" s="9" t="s">
        <v>6925</v>
      </c>
      <c r="G40" s="9" t="s">
        <v>383</v>
      </c>
      <c r="H40" s="9" t="s">
        <v>449</v>
      </c>
      <c r="I40" s="87" t="s">
        <v>6405</v>
      </c>
      <c r="J40" s="87" t="s">
        <v>6237</v>
      </c>
      <c r="K40" s="87" t="s">
        <v>6926</v>
      </c>
      <c r="L40" s="87" t="s">
        <v>6464</v>
      </c>
      <c r="M40" s="87" t="s">
        <v>6890</v>
      </c>
      <c r="N40" s="9" t="s">
        <v>7258</v>
      </c>
      <c r="O40" s="87" t="s">
        <v>6302</v>
      </c>
      <c r="P40" s="9" t="s">
        <v>6243</v>
      </c>
      <c r="Q40" s="87" t="s">
        <v>6464</v>
      </c>
      <c r="R40" s="87" t="s">
        <v>6237</v>
      </c>
      <c r="S40" s="87" t="s">
        <v>6329</v>
      </c>
      <c r="T40" s="87" t="s">
        <v>6619</v>
      </c>
    </row>
    <row r="41" spans="1:20" ht="15.75" customHeight="1">
      <c r="A41" s="9" t="s">
        <v>2916</v>
      </c>
      <c r="B41" s="9" t="s">
        <v>7254</v>
      </c>
      <c r="C41" s="9" t="s">
        <v>7228</v>
      </c>
      <c r="D41" s="87" t="s">
        <v>6405</v>
      </c>
      <c r="E41" s="9" t="s">
        <v>6924</v>
      </c>
      <c r="F41" s="9" t="s">
        <v>11</v>
      </c>
      <c r="G41" s="9" t="s">
        <v>383</v>
      </c>
      <c r="H41" s="9" t="s">
        <v>426</v>
      </c>
      <c r="I41" s="87" t="s">
        <v>6405</v>
      </c>
      <c r="J41" s="87" t="s">
        <v>6405</v>
      </c>
      <c r="K41" s="87" t="s">
        <v>6405</v>
      </c>
      <c r="L41" s="87" t="s">
        <v>6397</v>
      </c>
      <c r="M41" s="87" t="s">
        <v>6285</v>
      </c>
      <c r="N41" s="9" t="s">
        <v>7256</v>
      </c>
      <c r="O41" s="87" t="s">
        <v>6240</v>
      </c>
      <c r="P41" s="9" t="s">
        <v>6243</v>
      </c>
      <c r="Q41" s="87" t="s">
        <v>6397</v>
      </c>
      <c r="R41" s="87" t="s">
        <v>6405</v>
      </c>
      <c r="S41" s="87" t="s">
        <v>6570</v>
      </c>
      <c r="T41" s="87" t="s">
        <v>6295</v>
      </c>
    </row>
    <row r="42" spans="1:20" ht="15.75" customHeight="1">
      <c r="A42" s="9" t="s">
        <v>2916</v>
      </c>
      <c r="B42" s="9" t="s">
        <v>7257</v>
      </c>
      <c r="C42" s="9" t="s">
        <v>6923</v>
      </c>
      <c r="D42" s="87" t="s">
        <v>6264</v>
      </c>
      <c r="E42" s="9" t="s">
        <v>6924</v>
      </c>
      <c r="F42" s="9" t="s">
        <v>6925</v>
      </c>
      <c r="G42" s="9" t="s">
        <v>383</v>
      </c>
      <c r="H42" s="9" t="s">
        <v>449</v>
      </c>
      <c r="I42" s="87" t="s">
        <v>6405</v>
      </c>
      <c r="J42" s="87" t="s">
        <v>6237</v>
      </c>
      <c r="K42" s="87" t="s">
        <v>6926</v>
      </c>
      <c r="L42" s="87" t="s">
        <v>6464</v>
      </c>
      <c r="M42" s="87" t="s">
        <v>6285</v>
      </c>
      <c r="N42" s="9" t="s">
        <v>7258</v>
      </c>
      <c r="O42" s="87" t="s">
        <v>6302</v>
      </c>
      <c r="P42" s="9" t="s">
        <v>6243</v>
      </c>
      <c r="Q42" s="87" t="s">
        <v>6464</v>
      </c>
      <c r="R42" s="87" t="s">
        <v>6237</v>
      </c>
      <c r="S42" s="87" t="s">
        <v>6329</v>
      </c>
      <c r="T42" s="87" t="s">
        <v>6619</v>
      </c>
    </row>
    <row r="43" spans="1:20" ht="15.75" customHeight="1">
      <c r="A43" s="9" t="s">
        <v>2916</v>
      </c>
      <c r="B43" s="9" t="s">
        <v>7257</v>
      </c>
      <c r="C43" s="9" t="s">
        <v>7228</v>
      </c>
      <c r="D43" s="87" t="s">
        <v>6405</v>
      </c>
      <c r="E43" s="9" t="s">
        <v>6924</v>
      </c>
      <c r="F43" s="9" t="s">
        <v>11</v>
      </c>
      <c r="G43" s="9" t="s">
        <v>383</v>
      </c>
      <c r="H43" s="9" t="s">
        <v>426</v>
      </c>
      <c r="I43" s="87" t="s">
        <v>6405</v>
      </c>
      <c r="J43" s="87" t="s">
        <v>6405</v>
      </c>
      <c r="K43" s="87" t="s">
        <v>6405</v>
      </c>
      <c r="L43" s="87" t="s">
        <v>6397</v>
      </c>
      <c r="M43" s="87" t="s">
        <v>6912</v>
      </c>
      <c r="N43" s="9" t="s">
        <v>7865</v>
      </c>
      <c r="O43" s="87" t="s">
        <v>6240</v>
      </c>
      <c r="P43" s="9" t="s">
        <v>6243</v>
      </c>
      <c r="Q43" s="87" t="s">
        <v>6397</v>
      </c>
      <c r="R43" s="87" t="s">
        <v>6405</v>
      </c>
      <c r="S43" s="87" t="s">
        <v>6404</v>
      </c>
      <c r="T43" s="87" t="s">
        <v>6322</v>
      </c>
    </row>
    <row r="44" spans="1:20" ht="15.75" customHeight="1">
      <c r="A44" s="9" t="s">
        <v>2916</v>
      </c>
      <c r="B44" s="9" t="s">
        <v>7260</v>
      </c>
      <c r="C44" s="9" t="s">
        <v>6923</v>
      </c>
      <c r="D44" s="87" t="s">
        <v>6264</v>
      </c>
      <c r="E44" s="9" t="s">
        <v>6924</v>
      </c>
      <c r="F44" s="9" t="s">
        <v>6925</v>
      </c>
      <c r="G44" s="9" t="s">
        <v>383</v>
      </c>
      <c r="H44" s="9" t="s">
        <v>449</v>
      </c>
      <c r="I44" s="87" t="s">
        <v>6405</v>
      </c>
      <c r="J44" s="87" t="s">
        <v>6237</v>
      </c>
      <c r="K44" s="87" t="s">
        <v>6926</v>
      </c>
      <c r="L44" s="87" t="s">
        <v>6464</v>
      </c>
      <c r="M44" s="87" t="s">
        <v>6912</v>
      </c>
      <c r="N44" s="9" t="s">
        <v>7866</v>
      </c>
      <c r="O44" s="87" t="s">
        <v>6302</v>
      </c>
      <c r="P44" s="9" t="s">
        <v>6243</v>
      </c>
      <c r="Q44" s="87" t="s">
        <v>6464</v>
      </c>
      <c r="R44" s="87" t="s">
        <v>6237</v>
      </c>
      <c r="S44" s="87" t="s">
        <v>6486</v>
      </c>
      <c r="T44" s="87" t="s">
        <v>6416</v>
      </c>
    </row>
    <row r="45" spans="1:20" ht="15.75" customHeight="1">
      <c r="A45" s="9" t="s">
        <v>2916</v>
      </c>
      <c r="B45" s="9" t="s">
        <v>7260</v>
      </c>
      <c r="C45" s="9" t="s">
        <v>7228</v>
      </c>
      <c r="D45" s="87" t="s">
        <v>6405</v>
      </c>
      <c r="E45" s="9" t="s">
        <v>6924</v>
      </c>
      <c r="F45" s="9" t="s">
        <v>11</v>
      </c>
      <c r="G45" s="9" t="s">
        <v>383</v>
      </c>
      <c r="H45" s="9" t="s">
        <v>426</v>
      </c>
      <c r="I45" s="87" t="s">
        <v>6405</v>
      </c>
      <c r="J45" s="87" t="s">
        <v>6405</v>
      </c>
      <c r="K45" s="87" t="s">
        <v>6405</v>
      </c>
      <c r="L45" s="87" t="s">
        <v>6397</v>
      </c>
      <c r="M45" s="87" t="s">
        <v>6910</v>
      </c>
      <c r="N45" s="9" t="s">
        <v>7583</v>
      </c>
      <c r="O45" s="87" t="s">
        <v>6240</v>
      </c>
      <c r="P45" s="9" t="s">
        <v>6243</v>
      </c>
      <c r="Q45" s="87" t="s">
        <v>6397</v>
      </c>
      <c r="R45" s="87" t="s">
        <v>6405</v>
      </c>
      <c r="S45" s="87" t="s">
        <v>6479</v>
      </c>
      <c r="T45" s="87" t="s">
        <v>6287</v>
      </c>
    </row>
    <row r="46" spans="1:20" ht="15.75" customHeight="1">
      <c r="A46" s="9" t="s">
        <v>2924</v>
      </c>
      <c r="B46" s="9" t="s">
        <v>7263</v>
      </c>
      <c r="C46" s="9" t="s">
        <v>6236</v>
      </c>
      <c r="D46" s="87" t="s">
        <v>6393</v>
      </c>
      <c r="E46" s="9" t="s">
        <v>431</v>
      </c>
      <c r="F46" s="9" t="s">
        <v>368</v>
      </c>
      <c r="G46" s="9" t="s">
        <v>436</v>
      </c>
      <c r="H46" s="9" t="s">
        <v>434</v>
      </c>
      <c r="I46" s="87" t="s">
        <v>6237</v>
      </c>
      <c r="J46" s="87" t="s">
        <v>6250</v>
      </c>
      <c r="K46" s="87" t="s">
        <v>6251</v>
      </c>
      <c r="L46" s="87" t="s">
        <v>6240</v>
      </c>
      <c r="M46" s="87" t="s">
        <v>6899</v>
      </c>
      <c r="N46" s="9" t="s">
        <v>6947</v>
      </c>
      <c r="O46" s="87" t="s">
        <v>6251</v>
      </c>
      <c r="P46" s="9" t="s">
        <v>6243</v>
      </c>
      <c r="Q46" s="87" t="s">
        <v>6254</v>
      </c>
      <c r="R46" s="87" t="s">
        <v>6250</v>
      </c>
      <c r="S46" s="87" t="s">
        <v>6327</v>
      </c>
      <c r="T46" s="87" t="s">
        <v>6296</v>
      </c>
    </row>
    <row r="47" spans="1:20" ht="15.75" customHeight="1">
      <c r="A47" s="9" t="s">
        <v>2924</v>
      </c>
      <c r="B47" s="9" t="s">
        <v>7263</v>
      </c>
      <c r="C47" s="9" t="s">
        <v>6236</v>
      </c>
      <c r="D47" s="87" t="s">
        <v>6393</v>
      </c>
      <c r="E47" s="9" t="s">
        <v>431</v>
      </c>
      <c r="F47" s="9" t="s">
        <v>368</v>
      </c>
      <c r="G47" s="9" t="s">
        <v>436</v>
      </c>
      <c r="H47" s="9" t="s">
        <v>434</v>
      </c>
      <c r="I47" s="87" t="s">
        <v>6237</v>
      </c>
      <c r="J47" s="87" t="s">
        <v>6250</v>
      </c>
      <c r="K47" s="87" t="s">
        <v>6260</v>
      </c>
      <c r="L47" s="87" t="s">
        <v>6240</v>
      </c>
      <c r="M47" s="87" t="s">
        <v>6265</v>
      </c>
      <c r="N47" s="9" t="s">
        <v>6948</v>
      </c>
      <c r="O47" s="87" t="s">
        <v>6260</v>
      </c>
      <c r="P47" s="9" t="s">
        <v>6243</v>
      </c>
      <c r="Q47" s="87" t="s">
        <v>4014</v>
      </c>
      <c r="R47" s="87" t="s">
        <v>6250</v>
      </c>
      <c r="S47" s="87" t="s">
        <v>6392</v>
      </c>
      <c r="T47" s="87" t="s">
        <v>6645</v>
      </c>
    </row>
    <row r="48" spans="1:20" ht="15.75" customHeight="1">
      <c r="A48" s="9" t="s">
        <v>2924</v>
      </c>
      <c r="B48" s="9" t="s">
        <v>7264</v>
      </c>
      <c r="C48" s="9" t="s">
        <v>6671</v>
      </c>
      <c r="D48" s="87" t="s">
        <v>6296</v>
      </c>
      <c r="E48" s="9" t="s">
        <v>6672</v>
      </c>
      <c r="F48" s="9" t="s">
        <v>439</v>
      </c>
      <c r="G48" s="9" t="s">
        <v>436</v>
      </c>
      <c r="H48" s="9" t="s">
        <v>440</v>
      </c>
      <c r="I48" s="87" t="s">
        <v>6405</v>
      </c>
      <c r="J48" s="87" t="s">
        <v>6273</v>
      </c>
      <c r="K48" s="87" t="s">
        <v>6346</v>
      </c>
      <c r="L48" s="87" t="s">
        <v>6240</v>
      </c>
      <c r="M48" s="87" t="s">
        <v>6272</v>
      </c>
      <c r="N48" s="9" t="s">
        <v>6949</v>
      </c>
      <c r="O48" s="87" t="s">
        <v>6346</v>
      </c>
      <c r="P48" s="9" t="s">
        <v>6243</v>
      </c>
      <c r="Q48" s="87" t="s">
        <v>6366</v>
      </c>
      <c r="R48" s="87" t="s">
        <v>6273</v>
      </c>
      <c r="S48" s="87" t="s">
        <v>6327</v>
      </c>
      <c r="T48" s="87" t="s">
        <v>6370</v>
      </c>
    </row>
    <row r="49" spans="1:20" ht="15.75" customHeight="1">
      <c r="A49" s="9" t="s">
        <v>2924</v>
      </c>
      <c r="B49" s="9" t="s">
        <v>7264</v>
      </c>
      <c r="C49" s="9" t="s">
        <v>6671</v>
      </c>
      <c r="D49" s="87" t="s">
        <v>6296</v>
      </c>
      <c r="E49" s="9" t="s">
        <v>6672</v>
      </c>
      <c r="F49" s="9" t="s">
        <v>439</v>
      </c>
      <c r="G49" s="9" t="s">
        <v>436</v>
      </c>
      <c r="H49" s="9" t="s">
        <v>440</v>
      </c>
      <c r="I49" s="87" t="s">
        <v>6405</v>
      </c>
      <c r="J49" s="87" t="s">
        <v>6273</v>
      </c>
      <c r="K49" s="87" t="s">
        <v>6240</v>
      </c>
      <c r="L49" s="87" t="s">
        <v>6240</v>
      </c>
      <c r="M49" s="87" t="s">
        <v>6274</v>
      </c>
      <c r="N49" s="9" t="s">
        <v>6950</v>
      </c>
      <c r="O49" s="87" t="s">
        <v>6240</v>
      </c>
      <c r="P49" s="9" t="s">
        <v>6243</v>
      </c>
      <c r="Q49" s="87" t="s">
        <v>6397</v>
      </c>
      <c r="R49" s="87" t="s">
        <v>6273</v>
      </c>
      <c r="S49" s="87" t="s">
        <v>6417</v>
      </c>
      <c r="T49" s="87" t="s">
        <v>6645</v>
      </c>
    </row>
    <row r="50" spans="1:20" ht="15.75" customHeight="1">
      <c r="A50" s="9" t="s">
        <v>2924</v>
      </c>
      <c r="B50" s="9" t="s">
        <v>7265</v>
      </c>
      <c r="C50" s="9" t="s">
        <v>6923</v>
      </c>
      <c r="D50" s="87" t="s">
        <v>6461</v>
      </c>
      <c r="E50" s="9" t="s">
        <v>6924</v>
      </c>
      <c r="F50" s="9" t="s">
        <v>6925</v>
      </c>
      <c r="G50" s="9" t="s">
        <v>383</v>
      </c>
      <c r="H50" s="9" t="s">
        <v>427</v>
      </c>
      <c r="I50" s="87" t="s">
        <v>6405</v>
      </c>
      <c r="J50" s="87" t="s">
        <v>6264</v>
      </c>
      <c r="K50" s="87" t="s">
        <v>6939</v>
      </c>
      <c r="L50" s="87" t="s">
        <v>5374</v>
      </c>
      <c r="M50" s="87" t="s">
        <v>6285</v>
      </c>
      <c r="N50" s="9" t="s">
        <v>6940</v>
      </c>
      <c r="O50" s="87" t="s">
        <v>6333</v>
      </c>
      <c r="P50" s="9" t="s">
        <v>6243</v>
      </c>
      <c r="Q50" s="87" t="s">
        <v>6575</v>
      </c>
      <c r="R50" s="87" t="s">
        <v>6264</v>
      </c>
      <c r="S50" s="87" t="s">
        <v>6570</v>
      </c>
      <c r="T50" s="87" t="s">
        <v>6341</v>
      </c>
    </row>
    <row r="51" spans="1:20" ht="15.75" customHeight="1">
      <c r="A51" s="9" t="s">
        <v>2924</v>
      </c>
      <c r="B51" s="9" t="s">
        <v>7265</v>
      </c>
      <c r="C51" s="9" t="s">
        <v>7228</v>
      </c>
      <c r="D51" s="87" t="s">
        <v>6237</v>
      </c>
      <c r="E51" s="9" t="s">
        <v>6924</v>
      </c>
      <c r="F51" s="9" t="s">
        <v>11</v>
      </c>
      <c r="G51" s="9" t="s">
        <v>383</v>
      </c>
      <c r="H51" s="9" t="s">
        <v>426</v>
      </c>
      <c r="I51" s="87" t="s">
        <v>6405</v>
      </c>
      <c r="J51" s="87" t="s">
        <v>6334</v>
      </c>
      <c r="K51" s="87" t="s">
        <v>6334</v>
      </c>
      <c r="L51" s="87" t="s">
        <v>6397</v>
      </c>
      <c r="M51" s="87" t="s">
        <v>6912</v>
      </c>
      <c r="N51" s="9" t="s">
        <v>7268</v>
      </c>
      <c r="O51" s="87" t="s">
        <v>6290</v>
      </c>
      <c r="P51" s="9" t="s">
        <v>6243</v>
      </c>
      <c r="Q51" s="87" t="s">
        <v>6293</v>
      </c>
      <c r="R51" s="87" t="s">
        <v>6334</v>
      </c>
      <c r="S51" s="87" t="s">
        <v>6479</v>
      </c>
      <c r="T51" s="87" t="s">
        <v>6341</v>
      </c>
    </row>
    <row r="52" spans="1:20" ht="15.75" customHeight="1">
      <c r="A52" s="9" t="s">
        <v>2924</v>
      </c>
      <c r="B52" s="9" t="s">
        <v>7267</v>
      </c>
      <c r="C52" s="9" t="s">
        <v>6923</v>
      </c>
      <c r="D52" s="87" t="s">
        <v>6461</v>
      </c>
      <c r="E52" s="9" t="s">
        <v>6924</v>
      </c>
      <c r="F52" s="9" t="s">
        <v>6925</v>
      </c>
      <c r="G52" s="9" t="s">
        <v>383</v>
      </c>
      <c r="H52" s="9" t="s">
        <v>427</v>
      </c>
      <c r="I52" s="87" t="s">
        <v>6405</v>
      </c>
      <c r="J52" s="87" t="s">
        <v>6264</v>
      </c>
      <c r="K52" s="87" t="s">
        <v>6926</v>
      </c>
      <c r="L52" s="87" t="s">
        <v>5374</v>
      </c>
      <c r="M52" s="87" t="s">
        <v>6912</v>
      </c>
      <c r="N52" s="9" t="s">
        <v>7004</v>
      </c>
      <c r="O52" s="87" t="s">
        <v>6323</v>
      </c>
      <c r="P52" s="9" t="s">
        <v>6243</v>
      </c>
      <c r="Q52" s="87" t="s">
        <v>5374</v>
      </c>
      <c r="R52" s="87" t="s">
        <v>6264</v>
      </c>
      <c r="S52" s="87" t="s">
        <v>6428</v>
      </c>
      <c r="T52" s="87" t="s">
        <v>6341</v>
      </c>
    </row>
    <row r="53" spans="1:20" ht="15.75" customHeight="1">
      <c r="A53" s="9" t="s">
        <v>2924</v>
      </c>
      <c r="B53" s="9" t="s">
        <v>7267</v>
      </c>
      <c r="C53" s="9" t="s">
        <v>7228</v>
      </c>
      <c r="D53" s="87" t="s">
        <v>6237</v>
      </c>
      <c r="E53" s="9" t="s">
        <v>6924</v>
      </c>
      <c r="F53" s="9" t="s">
        <v>11</v>
      </c>
      <c r="G53" s="9" t="s">
        <v>383</v>
      </c>
      <c r="H53" s="9" t="s">
        <v>426</v>
      </c>
      <c r="I53" s="87" t="s">
        <v>6405</v>
      </c>
      <c r="J53" s="87" t="s">
        <v>6405</v>
      </c>
      <c r="K53" s="87" t="s">
        <v>6405</v>
      </c>
      <c r="L53" s="87" t="s">
        <v>6397</v>
      </c>
      <c r="M53" s="87" t="s">
        <v>6910</v>
      </c>
      <c r="N53" s="9" t="s">
        <v>7289</v>
      </c>
      <c r="O53" s="87" t="s">
        <v>6240</v>
      </c>
      <c r="P53" s="9" t="s">
        <v>6243</v>
      </c>
      <c r="Q53" s="87" t="s">
        <v>6397</v>
      </c>
      <c r="R53" s="87" t="s">
        <v>6405</v>
      </c>
      <c r="S53" s="87" t="s">
        <v>6284</v>
      </c>
      <c r="T53" s="87" t="s">
        <v>6341</v>
      </c>
    </row>
    <row r="54" spans="1:20" ht="15.75" customHeight="1">
      <c r="A54" s="9" t="s">
        <v>2946</v>
      </c>
      <c r="B54" s="9" t="s">
        <v>7269</v>
      </c>
      <c r="C54" s="9" t="s">
        <v>6236</v>
      </c>
      <c r="D54" s="87" t="s">
        <v>6393</v>
      </c>
      <c r="E54" s="9" t="s">
        <v>431</v>
      </c>
      <c r="F54" s="9" t="s">
        <v>368</v>
      </c>
      <c r="G54" s="9" t="s">
        <v>436</v>
      </c>
      <c r="H54" s="9" t="s">
        <v>434</v>
      </c>
      <c r="I54" s="87" t="s">
        <v>6264</v>
      </c>
      <c r="J54" s="87" t="s">
        <v>6273</v>
      </c>
      <c r="K54" s="87" t="s">
        <v>6273</v>
      </c>
      <c r="L54" s="87" t="s">
        <v>6240</v>
      </c>
      <c r="M54" s="87" t="s">
        <v>6274</v>
      </c>
      <c r="N54" s="9" t="s">
        <v>6952</v>
      </c>
      <c r="O54" s="87" t="s">
        <v>6273</v>
      </c>
      <c r="P54" s="9" t="s">
        <v>6243</v>
      </c>
      <c r="Q54" s="87" t="s">
        <v>6276</v>
      </c>
      <c r="R54" s="87" t="s">
        <v>6273</v>
      </c>
      <c r="S54" s="87" t="s">
        <v>6445</v>
      </c>
      <c r="T54" s="87" t="s">
        <v>6645</v>
      </c>
    </row>
    <row r="55" spans="1:20" ht="15.75" customHeight="1">
      <c r="A55" s="9" t="s">
        <v>2946</v>
      </c>
      <c r="B55" s="9" t="s">
        <v>7271</v>
      </c>
      <c r="C55" s="9" t="s">
        <v>6923</v>
      </c>
      <c r="D55" s="87" t="s">
        <v>6327</v>
      </c>
      <c r="E55" s="9" t="s">
        <v>6924</v>
      </c>
      <c r="F55" s="9" t="s">
        <v>6925</v>
      </c>
      <c r="G55" s="9" t="s">
        <v>383</v>
      </c>
      <c r="H55" s="9" t="s">
        <v>444</v>
      </c>
      <c r="I55" s="87" t="s">
        <v>6405</v>
      </c>
      <c r="J55" s="87" t="s">
        <v>6405</v>
      </c>
      <c r="K55" s="87" t="s">
        <v>6926</v>
      </c>
      <c r="L55" s="87" t="s">
        <v>6306</v>
      </c>
      <c r="M55" s="87" t="s">
        <v>6891</v>
      </c>
      <c r="N55" s="9" t="s">
        <v>7276</v>
      </c>
      <c r="O55" s="87" t="s">
        <v>4953</v>
      </c>
      <c r="P55" s="9" t="s">
        <v>6243</v>
      </c>
      <c r="Q55" s="87" t="s">
        <v>6306</v>
      </c>
      <c r="R55" s="87" t="s">
        <v>6405</v>
      </c>
      <c r="S55" s="87" t="s">
        <v>6297</v>
      </c>
      <c r="T55" s="87" t="s">
        <v>6451</v>
      </c>
    </row>
    <row r="56" spans="1:20" ht="15.75" customHeight="1">
      <c r="A56" s="9" t="s">
        <v>2946</v>
      </c>
      <c r="B56" s="9" t="s">
        <v>7270</v>
      </c>
      <c r="C56" s="9" t="s">
        <v>6671</v>
      </c>
      <c r="D56" s="87" t="s">
        <v>6296</v>
      </c>
      <c r="E56" s="9" t="s">
        <v>6672</v>
      </c>
      <c r="F56" s="9" t="s">
        <v>439</v>
      </c>
      <c r="G56" s="9" t="s">
        <v>436</v>
      </c>
      <c r="H56" s="9" t="s">
        <v>440</v>
      </c>
      <c r="I56" s="87" t="s">
        <v>6405</v>
      </c>
      <c r="J56" s="87" t="s">
        <v>6484</v>
      </c>
      <c r="K56" s="87" t="s">
        <v>6484</v>
      </c>
      <c r="L56" s="87" t="s">
        <v>6240</v>
      </c>
      <c r="M56" s="87" t="s">
        <v>6891</v>
      </c>
      <c r="N56" s="9" t="s">
        <v>6953</v>
      </c>
      <c r="O56" s="87" t="s">
        <v>6484</v>
      </c>
      <c r="P56" s="9" t="s">
        <v>6243</v>
      </c>
      <c r="Q56" s="87" t="s">
        <v>6375</v>
      </c>
      <c r="R56" s="87" t="s">
        <v>6484</v>
      </c>
      <c r="S56" s="87" t="s">
        <v>6401</v>
      </c>
      <c r="T56" s="87" t="s">
        <v>6645</v>
      </c>
    </row>
    <row r="57" spans="1:20" ht="15.75" customHeight="1">
      <c r="A57" s="9" t="s">
        <v>2946</v>
      </c>
      <c r="B57" s="9" t="s">
        <v>7271</v>
      </c>
      <c r="C57" s="9" t="s">
        <v>7228</v>
      </c>
      <c r="D57" s="87" t="s">
        <v>6290</v>
      </c>
      <c r="E57" s="9" t="s">
        <v>6924</v>
      </c>
      <c r="F57" s="9" t="s">
        <v>11</v>
      </c>
      <c r="G57" s="9" t="s">
        <v>383</v>
      </c>
      <c r="H57" s="9" t="s">
        <v>426</v>
      </c>
      <c r="I57" s="87" t="s">
        <v>6405</v>
      </c>
      <c r="J57" s="87" t="s">
        <v>6405</v>
      </c>
      <c r="K57" s="87" t="s">
        <v>6405</v>
      </c>
      <c r="L57" s="87" t="s">
        <v>4953</v>
      </c>
      <c r="M57" s="87" t="s">
        <v>6890</v>
      </c>
      <c r="N57" s="9" t="s">
        <v>7273</v>
      </c>
      <c r="O57" s="87" t="s">
        <v>6237</v>
      </c>
      <c r="P57" s="9" t="s">
        <v>6243</v>
      </c>
      <c r="Q57" s="87" t="s">
        <v>4953</v>
      </c>
      <c r="R57" s="87" t="s">
        <v>6405</v>
      </c>
      <c r="S57" s="87" t="s">
        <v>6245</v>
      </c>
      <c r="T57" s="87" t="s">
        <v>6451</v>
      </c>
    </row>
    <row r="58" spans="1:20" ht="15.75" customHeight="1">
      <c r="A58" s="9" t="s">
        <v>6384</v>
      </c>
      <c r="B58" s="9" t="s">
        <v>7274</v>
      </c>
      <c r="C58" s="9" t="s">
        <v>6923</v>
      </c>
      <c r="D58" s="87" t="s">
        <v>6327</v>
      </c>
      <c r="E58" s="9" t="s">
        <v>6924</v>
      </c>
      <c r="F58" s="9" t="s">
        <v>6925</v>
      </c>
      <c r="G58" s="9" t="s">
        <v>383</v>
      </c>
      <c r="H58" s="9" t="s">
        <v>444</v>
      </c>
      <c r="I58" s="87" t="s">
        <v>6405</v>
      </c>
      <c r="J58" s="87" t="s">
        <v>6290</v>
      </c>
      <c r="K58" s="87" t="s">
        <v>6939</v>
      </c>
      <c r="L58" s="87" t="s">
        <v>6448</v>
      </c>
      <c r="M58" s="87" t="s">
        <v>6390</v>
      </c>
      <c r="N58" s="9" t="s">
        <v>7278</v>
      </c>
      <c r="O58" s="87" t="s">
        <v>6360</v>
      </c>
      <c r="P58" s="9" t="s">
        <v>6243</v>
      </c>
      <c r="Q58" s="87" t="s">
        <v>6776</v>
      </c>
      <c r="R58" s="87" t="s">
        <v>6290</v>
      </c>
      <c r="S58" s="87" t="s">
        <v>6237</v>
      </c>
      <c r="T58" s="87" t="s">
        <v>6440</v>
      </c>
    </row>
    <row r="59" spans="1:20" ht="15.75" customHeight="1">
      <c r="A59" s="9" t="s">
        <v>6384</v>
      </c>
      <c r="B59" s="9" t="s">
        <v>7275</v>
      </c>
      <c r="C59" s="9" t="s">
        <v>6923</v>
      </c>
      <c r="D59" s="87" t="s">
        <v>6327</v>
      </c>
      <c r="E59" s="9" t="s">
        <v>6924</v>
      </c>
      <c r="F59" s="9" t="s">
        <v>6925</v>
      </c>
      <c r="G59" s="9" t="s">
        <v>383</v>
      </c>
      <c r="H59" s="9" t="s">
        <v>444</v>
      </c>
      <c r="I59" s="87" t="s">
        <v>6405</v>
      </c>
      <c r="J59" s="87" t="s">
        <v>6290</v>
      </c>
      <c r="K59" s="87" t="s">
        <v>6939</v>
      </c>
      <c r="L59" s="87" t="s">
        <v>6448</v>
      </c>
      <c r="M59" s="87" t="s">
        <v>6398</v>
      </c>
      <c r="N59" s="9" t="s">
        <v>7280</v>
      </c>
      <c r="O59" s="87" t="s">
        <v>6360</v>
      </c>
      <c r="P59" s="9" t="s">
        <v>6243</v>
      </c>
      <c r="Q59" s="87" t="s">
        <v>6776</v>
      </c>
      <c r="R59" s="87" t="s">
        <v>6290</v>
      </c>
      <c r="S59" s="87" t="s">
        <v>6296</v>
      </c>
      <c r="T59" s="87" t="s">
        <v>6497</v>
      </c>
    </row>
    <row r="60" spans="1:20" ht="15.75" customHeight="1">
      <c r="A60" s="9" t="s">
        <v>6384</v>
      </c>
      <c r="B60" s="9" t="s">
        <v>7277</v>
      </c>
      <c r="C60" s="9" t="s">
        <v>6923</v>
      </c>
      <c r="D60" s="87" t="s">
        <v>6327</v>
      </c>
      <c r="E60" s="9" t="s">
        <v>6924</v>
      </c>
      <c r="F60" s="9" t="s">
        <v>6925</v>
      </c>
      <c r="G60" s="9" t="s">
        <v>383</v>
      </c>
      <c r="H60" s="9" t="s">
        <v>444</v>
      </c>
      <c r="I60" s="87" t="s">
        <v>6405</v>
      </c>
      <c r="J60" s="87" t="s">
        <v>6290</v>
      </c>
      <c r="K60" s="87" t="s">
        <v>6939</v>
      </c>
      <c r="L60" s="87" t="s">
        <v>6448</v>
      </c>
      <c r="M60" s="87" t="s">
        <v>6422</v>
      </c>
      <c r="N60" s="9" t="s">
        <v>7280</v>
      </c>
      <c r="O60" s="87" t="s">
        <v>6360</v>
      </c>
      <c r="P60" s="9" t="s">
        <v>6243</v>
      </c>
      <c r="Q60" s="87" t="s">
        <v>6776</v>
      </c>
      <c r="R60" s="87" t="s">
        <v>6290</v>
      </c>
      <c r="S60" s="87" t="s">
        <v>6296</v>
      </c>
      <c r="T60" s="87" t="s">
        <v>6497</v>
      </c>
    </row>
    <row r="61" spans="1:20" ht="15.75" customHeight="1">
      <c r="A61" s="9" t="s">
        <v>6384</v>
      </c>
      <c r="B61" s="9" t="s">
        <v>7274</v>
      </c>
      <c r="C61" s="9" t="s">
        <v>7228</v>
      </c>
      <c r="D61" s="87" t="s">
        <v>6290</v>
      </c>
      <c r="E61" s="9" t="s">
        <v>6924</v>
      </c>
      <c r="F61" s="9" t="s">
        <v>11</v>
      </c>
      <c r="G61" s="9" t="s">
        <v>383</v>
      </c>
      <c r="H61" s="9" t="s">
        <v>426</v>
      </c>
      <c r="I61" s="87" t="s">
        <v>6405</v>
      </c>
      <c r="J61" s="87" t="s">
        <v>6334</v>
      </c>
      <c r="K61" s="87" t="s">
        <v>6334</v>
      </c>
      <c r="L61" s="87" t="s">
        <v>6306</v>
      </c>
      <c r="M61" s="87" t="s">
        <v>6840</v>
      </c>
      <c r="N61" s="9" t="s">
        <v>7867</v>
      </c>
      <c r="O61" s="87" t="s">
        <v>6299</v>
      </c>
      <c r="P61" s="9" t="s">
        <v>6243</v>
      </c>
      <c r="Q61" s="87" t="s">
        <v>3231</v>
      </c>
      <c r="R61" s="87" t="s">
        <v>6334</v>
      </c>
      <c r="S61" s="87" t="s">
        <v>6433</v>
      </c>
      <c r="T61" s="87" t="s">
        <v>6322</v>
      </c>
    </row>
    <row r="62" spans="1:20" ht="15.75" customHeight="1">
      <c r="A62" s="9" t="s">
        <v>6384</v>
      </c>
      <c r="B62" s="9" t="s">
        <v>7279</v>
      </c>
      <c r="C62" s="9" t="s">
        <v>6923</v>
      </c>
      <c r="D62" s="87" t="s">
        <v>6327</v>
      </c>
      <c r="E62" s="9" t="s">
        <v>6924</v>
      </c>
      <c r="F62" s="9" t="s">
        <v>6925</v>
      </c>
      <c r="G62" s="9" t="s">
        <v>383</v>
      </c>
      <c r="H62" s="9" t="s">
        <v>444</v>
      </c>
      <c r="I62" s="87" t="s">
        <v>6405</v>
      </c>
      <c r="J62" s="87" t="s">
        <v>6290</v>
      </c>
      <c r="K62" s="87" t="s">
        <v>6939</v>
      </c>
      <c r="L62" s="87" t="s">
        <v>6448</v>
      </c>
      <c r="M62" s="87" t="s">
        <v>6840</v>
      </c>
      <c r="N62" s="9" t="s">
        <v>7280</v>
      </c>
      <c r="O62" s="87" t="s">
        <v>6360</v>
      </c>
      <c r="P62" s="9" t="s">
        <v>6243</v>
      </c>
      <c r="Q62" s="87" t="s">
        <v>6776</v>
      </c>
      <c r="R62" s="87" t="s">
        <v>6290</v>
      </c>
      <c r="S62" s="87" t="s">
        <v>6296</v>
      </c>
      <c r="T62" s="87" t="s">
        <v>6497</v>
      </c>
    </row>
    <row r="63" spans="1:20" ht="15.75" customHeight="1">
      <c r="A63" s="9" t="s">
        <v>6384</v>
      </c>
      <c r="B63" s="9" t="s">
        <v>7277</v>
      </c>
      <c r="C63" s="9" t="s">
        <v>7228</v>
      </c>
      <c r="D63" s="87" t="s">
        <v>6290</v>
      </c>
      <c r="E63" s="9" t="s">
        <v>6924</v>
      </c>
      <c r="F63" s="9" t="s">
        <v>11</v>
      </c>
      <c r="G63" s="9" t="s">
        <v>383</v>
      </c>
      <c r="H63" s="9" t="s">
        <v>426</v>
      </c>
      <c r="I63" s="87" t="s">
        <v>6405</v>
      </c>
      <c r="J63" s="87" t="s">
        <v>6334</v>
      </c>
      <c r="K63" s="87" t="s">
        <v>6334</v>
      </c>
      <c r="L63" s="87" t="s">
        <v>6306</v>
      </c>
      <c r="M63" s="87" t="s">
        <v>6838</v>
      </c>
      <c r="N63" s="9" t="s">
        <v>7868</v>
      </c>
      <c r="O63" s="87" t="s">
        <v>6299</v>
      </c>
      <c r="P63" s="9" t="s">
        <v>6243</v>
      </c>
      <c r="Q63" s="87" t="s">
        <v>3231</v>
      </c>
      <c r="R63" s="87" t="s">
        <v>6334</v>
      </c>
      <c r="S63" s="87" t="s">
        <v>6290</v>
      </c>
      <c r="T63" s="87" t="s">
        <v>6370</v>
      </c>
    </row>
    <row r="64" spans="1:20" ht="15.75" customHeight="1">
      <c r="A64" s="9" t="s">
        <v>6384</v>
      </c>
      <c r="B64" s="9" t="s">
        <v>7275</v>
      </c>
      <c r="C64" s="9" t="s">
        <v>7228</v>
      </c>
      <c r="D64" s="87" t="s">
        <v>6290</v>
      </c>
      <c r="E64" s="9" t="s">
        <v>6924</v>
      </c>
      <c r="F64" s="9" t="s">
        <v>11</v>
      </c>
      <c r="G64" s="9" t="s">
        <v>383</v>
      </c>
      <c r="H64" s="9" t="s">
        <v>426</v>
      </c>
      <c r="I64" s="87" t="s">
        <v>6405</v>
      </c>
      <c r="J64" s="87" t="s">
        <v>6334</v>
      </c>
      <c r="K64" s="87" t="s">
        <v>6334</v>
      </c>
      <c r="L64" s="87" t="s">
        <v>6306</v>
      </c>
      <c r="M64" s="87" t="s">
        <v>6838</v>
      </c>
      <c r="N64" s="9" t="s">
        <v>7178</v>
      </c>
      <c r="O64" s="87" t="s">
        <v>6299</v>
      </c>
      <c r="P64" s="9" t="s">
        <v>6243</v>
      </c>
      <c r="Q64" s="87" t="s">
        <v>3231</v>
      </c>
      <c r="R64" s="87" t="s">
        <v>6334</v>
      </c>
      <c r="S64" s="87" t="s">
        <v>6293</v>
      </c>
      <c r="T64" s="87" t="s">
        <v>6256</v>
      </c>
    </row>
    <row r="65" spans="1:20" ht="15.75" customHeight="1">
      <c r="A65" s="9" t="s">
        <v>6384</v>
      </c>
      <c r="B65" s="9" t="s">
        <v>7281</v>
      </c>
      <c r="C65" s="9" t="s">
        <v>6923</v>
      </c>
      <c r="D65" s="87" t="s">
        <v>6327</v>
      </c>
      <c r="E65" s="9" t="s">
        <v>6924</v>
      </c>
      <c r="F65" s="9" t="s">
        <v>6925</v>
      </c>
      <c r="G65" s="9" t="s">
        <v>383</v>
      </c>
      <c r="H65" s="9" t="s">
        <v>444</v>
      </c>
      <c r="I65" s="87" t="s">
        <v>6405</v>
      </c>
      <c r="J65" s="87" t="s">
        <v>6290</v>
      </c>
      <c r="K65" s="87" t="s">
        <v>6939</v>
      </c>
      <c r="L65" s="87" t="s">
        <v>6448</v>
      </c>
      <c r="M65" s="87" t="s">
        <v>6838</v>
      </c>
      <c r="N65" s="9" t="s">
        <v>6955</v>
      </c>
      <c r="O65" s="87" t="s">
        <v>6360</v>
      </c>
      <c r="P65" s="9" t="s">
        <v>6243</v>
      </c>
      <c r="Q65" s="87" t="s">
        <v>6776</v>
      </c>
      <c r="R65" s="87" t="s">
        <v>6290</v>
      </c>
      <c r="S65" s="87" t="s">
        <v>6255</v>
      </c>
      <c r="T65" s="87" t="s">
        <v>6341</v>
      </c>
    </row>
    <row r="66" spans="1:20" ht="15.75" customHeight="1">
      <c r="A66" s="9" t="s">
        <v>6384</v>
      </c>
      <c r="B66" s="9" t="s">
        <v>7281</v>
      </c>
      <c r="C66" s="9" t="s">
        <v>7228</v>
      </c>
      <c r="D66" s="87" t="s">
        <v>6290</v>
      </c>
      <c r="E66" s="9" t="s">
        <v>6924</v>
      </c>
      <c r="F66" s="9" t="s">
        <v>11</v>
      </c>
      <c r="G66" s="9" t="s">
        <v>383</v>
      </c>
      <c r="H66" s="9" t="s">
        <v>426</v>
      </c>
      <c r="I66" s="87" t="s">
        <v>6405</v>
      </c>
      <c r="J66" s="87" t="s">
        <v>6334</v>
      </c>
      <c r="K66" s="87" t="s">
        <v>6334</v>
      </c>
      <c r="L66" s="87" t="s">
        <v>6306</v>
      </c>
      <c r="M66" s="87" t="s">
        <v>6426</v>
      </c>
      <c r="N66" s="9" t="s">
        <v>7869</v>
      </c>
      <c r="O66" s="87" t="s">
        <v>6299</v>
      </c>
      <c r="P66" s="9" t="s">
        <v>6243</v>
      </c>
      <c r="Q66" s="87" t="s">
        <v>3231</v>
      </c>
      <c r="R66" s="87" t="s">
        <v>6334</v>
      </c>
      <c r="S66" s="87" t="s">
        <v>6421</v>
      </c>
      <c r="T66" s="87" t="s">
        <v>6250</v>
      </c>
    </row>
    <row r="67" spans="1:20" ht="15.75" customHeight="1">
      <c r="A67" s="9" t="s">
        <v>6384</v>
      </c>
      <c r="B67" s="9" t="s">
        <v>7279</v>
      </c>
      <c r="C67" s="9" t="s">
        <v>7228</v>
      </c>
      <c r="D67" s="87" t="s">
        <v>6290</v>
      </c>
      <c r="E67" s="9" t="s">
        <v>6924</v>
      </c>
      <c r="F67" s="9" t="s">
        <v>11</v>
      </c>
      <c r="G67" s="9" t="s">
        <v>383</v>
      </c>
      <c r="H67" s="9" t="s">
        <v>426</v>
      </c>
      <c r="I67" s="87" t="s">
        <v>6405</v>
      </c>
      <c r="J67" s="87" t="s">
        <v>6334</v>
      </c>
      <c r="K67" s="87" t="s">
        <v>6334</v>
      </c>
      <c r="L67" s="87" t="s">
        <v>6306</v>
      </c>
      <c r="M67" s="87" t="s">
        <v>6426</v>
      </c>
      <c r="N67" s="9" t="s">
        <v>7121</v>
      </c>
      <c r="O67" s="87" t="s">
        <v>6299</v>
      </c>
      <c r="P67" s="9" t="s">
        <v>6243</v>
      </c>
      <c r="Q67" s="87" t="s">
        <v>3231</v>
      </c>
      <c r="R67" s="87" t="s">
        <v>6334</v>
      </c>
      <c r="S67" s="87" t="s">
        <v>6400</v>
      </c>
      <c r="T67" s="87" t="s">
        <v>6341</v>
      </c>
    </row>
    <row r="68" spans="1:20" ht="15.75" customHeight="1">
      <c r="A68" s="9" t="s">
        <v>2850</v>
      </c>
      <c r="B68" s="9" t="s">
        <v>7286</v>
      </c>
      <c r="C68" s="9" t="s">
        <v>6236</v>
      </c>
      <c r="D68" s="87" t="s">
        <v>6393</v>
      </c>
      <c r="E68" s="9" t="s">
        <v>431</v>
      </c>
      <c r="F68" s="9" t="s">
        <v>368</v>
      </c>
      <c r="G68" s="9" t="s">
        <v>436</v>
      </c>
      <c r="H68" s="9" t="s">
        <v>434</v>
      </c>
      <c r="I68" s="87" t="s">
        <v>6264</v>
      </c>
      <c r="J68" s="87" t="s">
        <v>6299</v>
      </c>
      <c r="K68" s="87" t="s">
        <v>6299</v>
      </c>
      <c r="L68" s="87" t="s">
        <v>6240</v>
      </c>
      <c r="M68" s="87" t="s">
        <v>6311</v>
      </c>
      <c r="N68" s="9" t="s">
        <v>6957</v>
      </c>
      <c r="O68" s="87" t="s">
        <v>6299</v>
      </c>
      <c r="P68" s="9" t="s">
        <v>6243</v>
      </c>
      <c r="Q68" s="87" t="s">
        <v>3231</v>
      </c>
      <c r="R68" s="87" t="s">
        <v>6299</v>
      </c>
      <c r="S68" s="87" t="s">
        <v>6526</v>
      </c>
      <c r="T68" s="87" t="s">
        <v>6417</v>
      </c>
    </row>
    <row r="69" spans="1:20" ht="15.75" customHeight="1">
      <c r="A69" s="9" t="s">
        <v>2850</v>
      </c>
      <c r="B69" s="9" t="s">
        <v>7288</v>
      </c>
      <c r="C69" s="9" t="s">
        <v>6923</v>
      </c>
      <c r="D69" s="87" t="s">
        <v>6264</v>
      </c>
      <c r="E69" s="9" t="s">
        <v>6924</v>
      </c>
      <c r="F69" s="9" t="s">
        <v>6925</v>
      </c>
      <c r="G69" s="9" t="s">
        <v>383</v>
      </c>
      <c r="H69" s="9" t="s">
        <v>449</v>
      </c>
      <c r="I69" s="87" t="s">
        <v>6405</v>
      </c>
      <c r="J69" s="87" t="s">
        <v>6405</v>
      </c>
      <c r="K69" s="87" t="s">
        <v>6926</v>
      </c>
      <c r="L69" s="87" t="s">
        <v>6306</v>
      </c>
      <c r="M69" s="87" t="s">
        <v>6875</v>
      </c>
      <c r="N69" s="9" t="s">
        <v>7598</v>
      </c>
      <c r="O69" s="87" t="s">
        <v>4953</v>
      </c>
      <c r="P69" s="9" t="s">
        <v>6243</v>
      </c>
      <c r="Q69" s="87" t="s">
        <v>6306</v>
      </c>
      <c r="R69" s="87" t="s">
        <v>6405</v>
      </c>
      <c r="S69" s="87" t="s">
        <v>6302</v>
      </c>
      <c r="T69" s="87" t="s">
        <v>6322</v>
      </c>
    </row>
    <row r="70" spans="1:20" ht="15.75" customHeight="1">
      <c r="A70" s="9" t="s">
        <v>2850</v>
      </c>
      <c r="B70" s="9" t="s">
        <v>7287</v>
      </c>
      <c r="C70" s="9" t="s">
        <v>6671</v>
      </c>
      <c r="D70" s="87" t="s">
        <v>6296</v>
      </c>
      <c r="E70" s="9" t="s">
        <v>6672</v>
      </c>
      <c r="F70" s="9" t="s">
        <v>439</v>
      </c>
      <c r="G70" s="9" t="s">
        <v>436</v>
      </c>
      <c r="H70" s="9" t="s">
        <v>440</v>
      </c>
      <c r="I70" s="87" t="s">
        <v>6405</v>
      </c>
      <c r="J70" s="87" t="s">
        <v>6346</v>
      </c>
      <c r="K70" s="87" t="s">
        <v>6346</v>
      </c>
      <c r="L70" s="87" t="s">
        <v>6240</v>
      </c>
      <c r="M70" s="87" t="s">
        <v>6875</v>
      </c>
      <c r="N70" s="9" t="s">
        <v>6958</v>
      </c>
      <c r="O70" s="87" t="s">
        <v>6346</v>
      </c>
      <c r="P70" s="9" t="s">
        <v>6243</v>
      </c>
      <c r="Q70" s="87" t="s">
        <v>6366</v>
      </c>
      <c r="R70" s="87" t="s">
        <v>6346</v>
      </c>
      <c r="S70" s="87" t="s">
        <v>6428</v>
      </c>
      <c r="T70" s="87" t="s">
        <v>6443</v>
      </c>
    </row>
    <row r="71" spans="1:20" ht="15.75" customHeight="1">
      <c r="A71" s="9" t="s">
        <v>2850</v>
      </c>
      <c r="B71" s="9" t="s">
        <v>7288</v>
      </c>
      <c r="C71" s="9" t="s">
        <v>7228</v>
      </c>
      <c r="D71" s="87" t="s">
        <v>6405</v>
      </c>
      <c r="E71" s="9" t="s">
        <v>6924</v>
      </c>
      <c r="F71" s="9" t="s">
        <v>11</v>
      </c>
      <c r="G71" s="9" t="s">
        <v>383</v>
      </c>
      <c r="H71" s="9" t="s">
        <v>426</v>
      </c>
      <c r="I71" s="87" t="s">
        <v>6405</v>
      </c>
      <c r="J71" s="87" t="s">
        <v>6405</v>
      </c>
      <c r="K71" s="87" t="s">
        <v>6405</v>
      </c>
      <c r="L71" s="87" t="s">
        <v>6397</v>
      </c>
      <c r="M71" s="87" t="s">
        <v>6869</v>
      </c>
      <c r="N71" s="9" t="s">
        <v>7870</v>
      </c>
      <c r="O71" s="87" t="s">
        <v>6240</v>
      </c>
      <c r="P71" s="9" t="s">
        <v>6243</v>
      </c>
      <c r="Q71" s="87" t="s">
        <v>6397</v>
      </c>
      <c r="R71" s="87" t="s">
        <v>6405</v>
      </c>
      <c r="S71" s="87" t="s">
        <v>6314</v>
      </c>
      <c r="T71" s="87" t="s">
        <v>6497</v>
      </c>
    </row>
    <row r="72" spans="1:20" ht="15.75" customHeight="1">
      <c r="A72" s="9" t="s">
        <v>3018</v>
      </c>
      <c r="B72" s="9" t="s">
        <v>7290</v>
      </c>
      <c r="C72" s="9" t="s">
        <v>6236</v>
      </c>
      <c r="D72" s="87" t="s">
        <v>6393</v>
      </c>
      <c r="E72" s="9" t="s">
        <v>431</v>
      </c>
      <c r="F72" s="9" t="s">
        <v>368</v>
      </c>
      <c r="G72" s="9" t="s">
        <v>436</v>
      </c>
      <c r="H72" s="9" t="s">
        <v>434</v>
      </c>
      <c r="I72" s="87" t="s">
        <v>6237</v>
      </c>
      <c r="J72" s="87" t="s">
        <v>6376</v>
      </c>
      <c r="K72" s="87" t="s">
        <v>6376</v>
      </c>
      <c r="L72" s="87" t="s">
        <v>6240</v>
      </c>
      <c r="M72" s="87" t="s">
        <v>6389</v>
      </c>
      <c r="N72" s="9" t="s">
        <v>6960</v>
      </c>
      <c r="O72" s="87" t="s">
        <v>6376</v>
      </c>
      <c r="P72" s="9" t="s">
        <v>6243</v>
      </c>
      <c r="Q72" s="87" t="s">
        <v>6379</v>
      </c>
      <c r="R72" s="87" t="s">
        <v>6376</v>
      </c>
      <c r="S72" s="87" t="s">
        <v>6322</v>
      </c>
      <c r="T72" s="87" t="s">
        <v>6645</v>
      </c>
    </row>
    <row r="73" spans="1:20" ht="15.75" customHeight="1">
      <c r="A73" s="9" t="s">
        <v>3018</v>
      </c>
      <c r="B73" s="9" t="s">
        <v>7291</v>
      </c>
      <c r="C73" s="9" t="s">
        <v>6671</v>
      </c>
      <c r="D73" s="87" t="s">
        <v>6296</v>
      </c>
      <c r="E73" s="9" t="s">
        <v>6672</v>
      </c>
      <c r="F73" s="9" t="s">
        <v>439</v>
      </c>
      <c r="G73" s="9" t="s">
        <v>436</v>
      </c>
      <c r="H73" s="9" t="s">
        <v>440</v>
      </c>
      <c r="I73" s="87" t="s">
        <v>6405</v>
      </c>
      <c r="J73" s="87" t="s">
        <v>6299</v>
      </c>
      <c r="K73" s="87" t="s">
        <v>6299</v>
      </c>
      <c r="L73" s="87" t="s">
        <v>6240</v>
      </c>
      <c r="M73" s="87" t="s">
        <v>6390</v>
      </c>
      <c r="N73" s="9" t="s">
        <v>6961</v>
      </c>
      <c r="O73" s="87" t="s">
        <v>6299</v>
      </c>
      <c r="P73" s="9" t="s">
        <v>6243</v>
      </c>
      <c r="Q73" s="87" t="s">
        <v>3231</v>
      </c>
      <c r="R73" s="87" t="s">
        <v>6299</v>
      </c>
      <c r="S73" s="87" t="s">
        <v>6333</v>
      </c>
      <c r="T73" s="87" t="s">
        <v>6645</v>
      </c>
    </row>
    <row r="74" spans="1:20" ht="15.75" customHeight="1">
      <c r="A74" s="9" t="s">
        <v>3018</v>
      </c>
      <c r="B74" s="9" t="s">
        <v>7292</v>
      </c>
      <c r="C74" s="9" t="s">
        <v>6923</v>
      </c>
      <c r="D74" s="87" t="s">
        <v>6264</v>
      </c>
      <c r="E74" s="9" t="s">
        <v>6924</v>
      </c>
      <c r="F74" s="9" t="s">
        <v>6925</v>
      </c>
      <c r="G74" s="9" t="s">
        <v>383</v>
      </c>
      <c r="H74" s="9" t="s">
        <v>449</v>
      </c>
      <c r="I74" s="87" t="s">
        <v>6405</v>
      </c>
      <c r="J74" s="87" t="s">
        <v>6405</v>
      </c>
      <c r="K74" s="87" t="s">
        <v>6926</v>
      </c>
      <c r="L74" s="87" t="s">
        <v>6270</v>
      </c>
      <c r="M74" s="87" t="s">
        <v>6422</v>
      </c>
      <c r="N74" s="9" t="s">
        <v>6962</v>
      </c>
      <c r="O74" s="87" t="s">
        <v>6268</v>
      </c>
      <c r="P74" s="9" t="s">
        <v>6243</v>
      </c>
      <c r="Q74" s="87" t="s">
        <v>6270</v>
      </c>
      <c r="R74" s="87" t="s">
        <v>6405</v>
      </c>
      <c r="S74" s="87" t="s">
        <v>6334</v>
      </c>
      <c r="T74" s="87" t="s">
        <v>6451</v>
      </c>
    </row>
    <row r="75" spans="1:20" ht="15.75" customHeight="1">
      <c r="A75" s="9" t="s">
        <v>3018</v>
      </c>
      <c r="B75" s="9" t="s">
        <v>7292</v>
      </c>
      <c r="C75" s="9" t="s">
        <v>7228</v>
      </c>
      <c r="D75" s="87" t="s">
        <v>6405</v>
      </c>
      <c r="E75" s="9" t="s">
        <v>6924</v>
      </c>
      <c r="F75" s="9" t="s">
        <v>11</v>
      </c>
      <c r="G75" s="9" t="s">
        <v>383</v>
      </c>
      <c r="H75" s="9" t="s">
        <v>426</v>
      </c>
      <c r="I75" s="87" t="s">
        <v>6405</v>
      </c>
      <c r="J75" s="87" t="s">
        <v>6405</v>
      </c>
      <c r="K75" s="87" t="s">
        <v>6405</v>
      </c>
      <c r="L75" s="87" t="s">
        <v>6250</v>
      </c>
      <c r="M75" s="87" t="s">
        <v>6840</v>
      </c>
      <c r="N75" s="9" t="s">
        <v>7871</v>
      </c>
      <c r="O75" s="87" t="s">
        <v>6435</v>
      </c>
      <c r="P75" s="9" t="s">
        <v>6243</v>
      </c>
      <c r="Q75" s="87" t="s">
        <v>6250</v>
      </c>
      <c r="R75" s="87" t="s">
        <v>6405</v>
      </c>
      <c r="S75" s="87" t="s">
        <v>6435</v>
      </c>
      <c r="T75" s="87" t="s">
        <v>6528</v>
      </c>
    </row>
    <row r="76" spans="1:20" ht="15.75" customHeight="1">
      <c r="A76" s="9" t="s">
        <v>3029</v>
      </c>
      <c r="B76" s="9" t="s">
        <v>7294</v>
      </c>
      <c r="C76" s="9" t="s">
        <v>6236</v>
      </c>
      <c r="D76" s="87" t="s">
        <v>6393</v>
      </c>
      <c r="E76" s="9" t="s">
        <v>431</v>
      </c>
      <c r="F76" s="9" t="s">
        <v>368</v>
      </c>
      <c r="G76" s="9" t="s">
        <v>436</v>
      </c>
      <c r="H76" s="9" t="s">
        <v>434</v>
      </c>
      <c r="I76" s="87" t="s">
        <v>6237</v>
      </c>
      <c r="J76" s="87" t="s">
        <v>6278</v>
      </c>
      <c r="K76" s="87" t="s">
        <v>6239</v>
      </c>
      <c r="L76" s="87" t="s">
        <v>6240</v>
      </c>
      <c r="M76" s="87" t="s">
        <v>6890</v>
      </c>
      <c r="N76" s="9" t="s">
        <v>6928</v>
      </c>
      <c r="O76" s="87" t="s">
        <v>6239</v>
      </c>
      <c r="P76" s="9" t="s">
        <v>6243</v>
      </c>
      <c r="Q76" s="87" t="s">
        <v>3764</v>
      </c>
      <c r="R76" s="87" t="s">
        <v>6278</v>
      </c>
      <c r="S76" s="87" t="s">
        <v>6327</v>
      </c>
      <c r="T76" s="87" t="s">
        <v>6645</v>
      </c>
    </row>
    <row r="77" spans="1:20" ht="15.75" customHeight="1">
      <c r="A77" s="9" t="s">
        <v>3029</v>
      </c>
      <c r="B77" s="9" t="s">
        <v>7294</v>
      </c>
      <c r="C77" s="9" t="s">
        <v>6236</v>
      </c>
      <c r="D77" s="87" t="s">
        <v>6393</v>
      </c>
      <c r="E77" s="9" t="s">
        <v>431</v>
      </c>
      <c r="F77" s="9" t="s">
        <v>368</v>
      </c>
      <c r="G77" s="9" t="s">
        <v>436</v>
      </c>
      <c r="H77" s="9" t="s">
        <v>434</v>
      </c>
      <c r="I77" s="87" t="s">
        <v>6237</v>
      </c>
      <c r="J77" s="87" t="s">
        <v>6278</v>
      </c>
      <c r="K77" s="87" t="s">
        <v>6280</v>
      </c>
      <c r="L77" s="87" t="s">
        <v>6240</v>
      </c>
      <c r="M77" s="87" t="s">
        <v>6285</v>
      </c>
      <c r="N77" s="9" t="s">
        <v>6963</v>
      </c>
      <c r="O77" s="87" t="s">
        <v>6280</v>
      </c>
      <c r="P77" s="9" t="s">
        <v>6243</v>
      </c>
      <c r="Q77" s="87" t="s">
        <v>6283</v>
      </c>
      <c r="R77" s="87" t="s">
        <v>6278</v>
      </c>
      <c r="S77" s="87" t="s">
        <v>6314</v>
      </c>
      <c r="T77" s="87" t="s">
        <v>6645</v>
      </c>
    </row>
    <row r="78" spans="1:20" ht="15.75" customHeight="1">
      <c r="A78" s="9" t="s">
        <v>3029</v>
      </c>
      <c r="B78" s="9" t="s">
        <v>7295</v>
      </c>
      <c r="C78" s="9" t="s">
        <v>6671</v>
      </c>
      <c r="D78" s="87" t="s">
        <v>6296</v>
      </c>
      <c r="E78" s="9" t="s">
        <v>6672</v>
      </c>
      <c r="F78" s="9" t="s">
        <v>439</v>
      </c>
      <c r="G78" s="9" t="s">
        <v>436</v>
      </c>
      <c r="H78" s="9" t="s">
        <v>440</v>
      </c>
      <c r="I78" s="87" t="s">
        <v>6405</v>
      </c>
      <c r="J78" s="87" t="s">
        <v>6351</v>
      </c>
      <c r="K78" s="87" t="s">
        <v>6239</v>
      </c>
      <c r="L78" s="87" t="s">
        <v>6240</v>
      </c>
      <c r="M78" s="87" t="s">
        <v>6912</v>
      </c>
      <c r="N78" s="9" t="s">
        <v>6928</v>
      </c>
      <c r="O78" s="87" t="s">
        <v>6239</v>
      </c>
      <c r="P78" s="9" t="s">
        <v>6243</v>
      </c>
      <c r="Q78" s="87" t="s">
        <v>3764</v>
      </c>
      <c r="R78" s="87" t="s">
        <v>6351</v>
      </c>
      <c r="S78" s="87" t="s">
        <v>6327</v>
      </c>
      <c r="T78" s="87" t="s">
        <v>6645</v>
      </c>
    </row>
    <row r="79" spans="1:20" ht="15.75" customHeight="1">
      <c r="A79" s="9" t="s">
        <v>3029</v>
      </c>
      <c r="B79" s="9" t="s">
        <v>7296</v>
      </c>
      <c r="C79" s="9" t="s">
        <v>6923</v>
      </c>
      <c r="D79" s="87" t="s">
        <v>6327</v>
      </c>
      <c r="E79" s="9" t="s">
        <v>6924</v>
      </c>
      <c r="F79" s="9" t="s">
        <v>6925</v>
      </c>
      <c r="G79" s="9" t="s">
        <v>383</v>
      </c>
      <c r="H79" s="9" t="s">
        <v>444</v>
      </c>
      <c r="I79" s="87" t="s">
        <v>6405</v>
      </c>
      <c r="J79" s="87" t="s">
        <v>6393</v>
      </c>
      <c r="K79" s="87" t="s">
        <v>7167</v>
      </c>
      <c r="L79" s="87" t="s">
        <v>5381</v>
      </c>
      <c r="M79" s="87" t="s">
        <v>6910</v>
      </c>
      <c r="N79" s="9" t="s">
        <v>7872</v>
      </c>
      <c r="O79" s="87" t="s">
        <v>6525</v>
      </c>
      <c r="P79" s="9" t="s">
        <v>6243</v>
      </c>
      <c r="Q79" s="87" t="s">
        <v>7873</v>
      </c>
      <c r="R79" s="87" t="s">
        <v>6393</v>
      </c>
      <c r="S79" s="87" t="s">
        <v>7035</v>
      </c>
      <c r="T79" s="87" t="s">
        <v>6733</v>
      </c>
    </row>
    <row r="80" spans="1:20" ht="15.75" customHeight="1">
      <c r="A80" s="9" t="s">
        <v>3029</v>
      </c>
      <c r="B80" s="9" t="s">
        <v>7295</v>
      </c>
      <c r="C80" s="9" t="s">
        <v>6671</v>
      </c>
      <c r="D80" s="87" t="s">
        <v>6296</v>
      </c>
      <c r="E80" s="9" t="s">
        <v>6672</v>
      </c>
      <c r="F80" s="9" t="s">
        <v>439</v>
      </c>
      <c r="G80" s="9" t="s">
        <v>436</v>
      </c>
      <c r="H80" s="9" t="s">
        <v>440</v>
      </c>
      <c r="I80" s="87" t="s">
        <v>6405</v>
      </c>
      <c r="J80" s="87" t="s">
        <v>6351</v>
      </c>
      <c r="K80" s="87" t="s">
        <v>6290</v>
      </c>
      <c r="L80" s="87" t="s">
        <v>6240</v>
      </c>
      <c r="M80" s="87" t="s">
        <v>6910</v>
      </c>
      <c r="N80" s="9" t="s">
        <v>6964</v>
      </c>
      <c r="O80" s="87" t="s">
        <v>6290</v>
      </c>
      <c r="P80" s="9" t="s">
        <v>6243</v>
      </c>
      <c r="Q80" s="87" t="s">
        <v>6293</v>
      </c>
      <c r="R80" s="87" t="s">
        <v>6351</v>
      </c>
      <c r="S80" s="87" t="s">
        <v>6525</v>
      </c>
      <c r="T80" s="87" t="s">
        <v>6645</v>
      </c>
    </row>
    <row r="81" spans="1:20" ht="15.75" customHeight="1">
      <c r="A81" s="9" t="s">
        <v>3029</v>
      </c>
      <c r="B81" s="9" t="s">
        <v>7297</v>
      </c>
      <c r="C81" s="9" t="s">
        <v>6923</v>
      </c>
      <c r="D81" s="87" t="s">
        <v>6327</v>
      </c>
      <c r="E81" s="9" t="s">
        <v>6924</v>
      </c>
      <c r="F81" s="9" t="s">
        <v>6925</v>
      </c>
      <c r="G81" s="9" t="s">
        <v>383</v>
      </c>
      <c r="H81" s="9" t="s">
        <v>444</v>
      </c>
      <c r="I81" s="87" t="s">
        <v>6405</v>
      </c>
      <c r="J81" s="87" t="s">
        <v>6393</v>
      </c>
      <c r="K81" s="87" t="s">
        <v>6965</v>
      </c>
      <c r="L81" s="87" t="s">
        <v>5381</v>
      </c>
      <c r="M81" s="87" t="s">
        <v>6289</v>
      </c>
      <c r="N81" s="9" t="s">
        <v>6945</v>
      </c>
      <c r="O81" s="87" t="s">
        <v>6500</v>
      </c>
      <c r="P81" s="9" t="s">
        <v>6243</v>
      </c>
      <c r="Q81" s="87" t="s">
        <v>3749</v>
      </c>
      <c r="R81" s="87" t="s">
        <v>6393</v>
      </c>
      <c r="S81" s="87" t="s">
        <v>6327</v>
      </c>
      <c r="T81" s="87" t="s">
        <v>6341</v>
      </c>
    </row>
    <row r="82" spans="1:20" ht="15.75" customHeight="1">
      <c r="A82" s="9" t="s">
        <v>3029</v>
      </c>
      <c r="B82" s="9" t="s">
        <v>7297</v>
      </c>
      <c r="C82" s="9" t="s">
        <v>7228</v>
      </c>
      <c r="D82" s="87" t="s">
        <v>6290</v>
      </c>
      <c r="E82" s="9" t="s">
        <v>6924</v>
      </c>
      <c r="F82" s="9" t="s">
        <v>11</v>
      </c>
      <c r="G82" s="9" t="s">
        <v>383</v>
      </c>
      <c r="H82" s="9" t="s">
        <v>426</v>
      </c>
      <c r="I82" s="87" t="s">
        <v>6405</v>
      </c>
      <c r="J82" s="87" t="s">
        <v>6461</v>
      </c>
      <c r="K82" s="87" t="s">
        <v>6461</v>
      </c>
      <c r="L82" s="87" t="s">
        <v>6357</v>
      </c>
      <c r="M82" s="87" t="s">
        <v>6906</v>
      </c>
      <c r="N82" s="9" t="s">
        <v>7024</v>
      </c>
      <c r="O82" s="87" t="s">
        <v>6287</v>
      </c>
      <c r="P82" s="9" t="s">
        <v>6243</v>
      </c>
      <c r="Q82" s="87" t="s">
        <v>3734</v>
      </c>
      <c r="R82" s="87" t="s">
        <v>6461</v>
      </c>
      <c r="S82" s="87" t="s">
        <v>6461</v>
      </c>
      <c r="T82" s="87" t="s">
        <v>6341</v>
      </c>
    </row>
    <row r="83" spans="1:20" ht="15.75" customHeight="1">
      <c r="A83" s="9" t="s">
        <v>3029</v>
      </c>
      <c r="B83" s="9" t="s">
        <v>7298</v>
      </c>
      <c r="C83" s="9" t="s">
        <v>6923</v>
      </c>
      <c r="D83" s="87" t="s">
        <v>6327</v>
      </c>
      <c r="E83" s="9" t="s">
        <v>6924</v>
      </c>
      <c r="F83" s="9" t="s">
        <v>6925</v>
      </c>
      <c r="G83" s="9" t="s">
        <v>383</v>
      </c>
      <c r="H83" s="9" t="s">
        <v>444</v>
      </c>
      <c r="I83" s="87" t="s">
        <v>6405</v>
      </c>
      <c r="J83" s="87" t="s">
        <v>6393</v>
      </c>
      <c r="K83" s="87" t="s">
        <v>6965</v>
      </c>
      <c r="L83" s="87" t="s">
        <v>5381</v>
      </c>
      <c r="M83" s="87" t="s">
        <v>6906</v>
      </c>
      <c r="N83" s="9" t="s">
        <v>6945</v>
      </c>
      <c r="O83" s="87" t="s">
        <v>6500</v>
      </c>
      <c r="P83" s="9" t="s">
        <v>6243</v>
      </c>
      <c r="Q83" s="87" t="s">
        <v>3749</v>
      </c>
      <c r="R83" s="87" t="s">
        <v>6393</v>
      </c>
      <c r="S83" s="87" t="s">
        <v>6327</v>
      </c>
      <c r="T83" s="87" t="s">
        <v>6341</v>
      </c>
    </row>
    <row r="84" spans="1:20" ht="15.75" customHeight="1">
      <c r="A84" s="9" t="s">
        <v>3029</v>
      </c>
      <c r="B84" s="9" t="s">
        <v>7298</v>
      </c>
      <c r="C84" s="9" t="s">
        <v>7228</v>
      </c>
      <c r="D84" s="87" t="s">
        <v>6290</v>
      </c>
      <c r="E84" s="9" t="s">
        <v>6924</v>
      </c>
      <c r="F84" s="9" t="s">
        <v>11</v>
      </c>
      <c r="G84" s="9" t="s">
        <v>383</v>
      </c>
      <c r="H84" s="9" t="s">
        <v>426</v>
      </c>
      <c r="I84" s="87" t="s">
        <v>6405</v>
      </c>
      <c r="J84" s="87" t="s">
        <v>6461</v>
      </c>
      <c r="K84" s="87" t="s">
        <v>6461</v>
      </c>
      <c r="L84" s="87" t="s">
        <v>6357</v>
      </c>
      <c r="M84" s="87" t="s">
        <v>6905</v>
      </c>
      <c r="N84" s="9" t="s">
        <v>7024</v>
      </c>
      <c r="O84" s="87" t="s">
        <v>6287</v>
      </c>
      <c r="P84" s="9" t="s">
        <v>6243</v>
      </c>
      <c r="Q84" s="87" t="s">
        <v>3734</v>
      </c>
      <c r="R84" s="87" t="s">
        <v>6461</v>
      </c>
      <c r="S84" s="87" t="s">
        <v>6461</v>
      </c>
      <c r="T84" s="87" t="s">
        <v>6341</v>
      </c>
    </row>
    <row r="85" spans="1:20" ht="15.75" customHeight="1">
      <c r="A85" s="9" t="s">
        <v>3026</v>
      </c>
      <c r="B85" s="9" t="s">
        <v>7301</v>
      </c>
      <c r="C85" s="9" t="s">
        <v>6236</v>
      </c>
      <c r="D85" s="87" t="s">
        <v>6393</v>
      </c>
      <c r="E85" s="9" t="s">
        <v>431</v>
      </c>
      <c r="F85" s="9" t="s">
        <v>368</v>
      </c>
      <c r="G85" s="9" t="s">
        <v>436</v>
      </c>
      <c r="H85" s="9" t="s">
        <v>434</v>
      </c>
      <c r="I85" s="87" t="s">
        <v>6237</v>
      </c>
      <c r="J85" s="87" t="s">
        <v>6306</v>
      </c>
      <c r="K85" s="87" t="s">
        <v>6239</v>
      </c>
      <c r="L85" s="87" t="s">
        <v>6240</v>
      </c>
      <c r="M85" s="87" t="s">
        <v>6317</v>
      </c>
      <c r="N85" s="9" t="s">
        <v>6928</v>
      </c>
      <c r="O85" s="87" t="s">
        <v>6239</v>
      </c>
      <c r="P85" s="9" t="s">
        <v>6243</v>
      </c>
      <c r="Q85" s="87" t="s">
        <v>3764</v>
      </c>
      <c r="R85" s="87" t="s">
        <v>6306</v>
      </c>
      <c r="S85" s="87" t="s">
        <v>6327</v>
      </c>
      <c r="T85" s="87" t="s">
        <v>6645</v>
      </c>
    </row>
    <row r="86" spans="1:20" ht="15.75" customHeight="1">
      <c r="A86" s="9" t="s">
        <v>3026</v>
      </c>
      <c r="B86" s="9" t="s">
        <v>7301</v>
      </c>
      <c r="C86" s="9" t="s">
        <v>6236</v>
      </c>
      <c r="D86" s="87" t="s">
        <v>6393</v>
      </c>
      <c r="E86" s="9" t="s">
        <v>431</v>
      </c>
      <c r="F86" s="9" t="s">
        <v>368</v>
      </c>
      <c r="G86" s="9" t="s">
        <v>436</v>
      </c>
      <c r="H86" s="9" t="s">
        <v>434</v>
      </c>
      <c r="I86" s="87" t="s">
        <v>6237</v>
      </c>
      <c r="J86" s="87" t="s">
        <v>6306</v>
      </c>
      <c r="K86" s="87" t="s">
        <v>6237</v>
      </c>
      <c r="L86" s="87" t="s">
        <v>6240</v>
      </c>
      <c r="M86" s="87" t="s">
        <v>6318</v>
      </c>
      <c r="N86" s="9" t="s">
        <v>6967</v>
      </c>
      <c r="O86" s="87" t="s">
        <v>6237</v>
      </c>
      <c r="P86" s="9" t="s">
        <v>6243</v>
      </c>
      <c r="Q86" s="87" t="s">
        <v>4953</v>
      </c>
      <c r="R86" s="87" t="s">
        <v>6306</v>
      </c>
      <c r="S86" s="87" t="s">
        <v>6424</v>
      </c>
      <c r="T86" s="87" t="s">
        <v>6645</v>
      </c>
    </row>
    <row r="87" spans="1:20" ht="15.75" customHeight="1">
      <c r="A87" s="9" t="s">
        <v>3026</v>
      </c>
      <c r="B87" s="9" t="s">
        <v>7302</v>
      </c>
      <c r="C87" s="9" t="s">
        <v>6671</v>
      </c>
      <c r="D87" s="87" t="s">
        <v>6296</v>
      </c>
      <c r="E87" s="9" t="s">
        <v>6672</v>
      </c>
      <c r="F87" s="9" t="s">
        <v>439</v>
      </c>
      <c r="G87" s="9" t="s">
        <v>436</v>
      </c>
      <c r="H87" s="9" t="s">
        <v>440</v>
      </c>
      <c r="I87" s="87" t="s">
        <v>6405</v>
      </c>
      <c r="J87" s="87" t="s">
        <v>6267</v>
      </c>
      <c r="K87" s="87" t="s">
        <v>6370</v>
      </c>
      <c r="L87" s="87" t="s">
        <v>6240</v>
      </c>
      <c r="M87" s="87" t="s">
        <v>6875</v>
      </c>
      <c r="N87" s="9" t="s">
        <v>6968</v>
      </c>
      <c r="O87" s="87" t="s">
        <v>6370</v>
      </c>
      <c r="P87" s="9" t="s">
        <v>6243</v>
      </c>
      <c r="Q87" s="87" t="s">
        <v>6381</v>
      </c>
      <c r="R87" s="87" t="s">
        <v>6267</v>
      </c>
      <c r="S87" s="87" t="s">
        <v>6327</v>
      </c>
      <c r="T87" s="87" t="s">
        <v>6392</v>
      </c>
    </row>
    <row r="88" spans="1:20" ht="15.75" customHeight="1">
      <c r="A88" s="9" t="s">
        <v>3026</v>
      </c>
      <c r="B88" s="9" t="s">
        <v>7303</v>
      </c>
      <c r="C88" s="9" t="s">
        <v>6923</v>
      </c>
      <c r="D88" s="87" t="s">
        <v>6264</v>
      </c>
      <c r="E88" s="9" t="s">
        <v>6924</v>
      </c>
      <c r="F88" s="9" t="s">
        <v>6925</v>
      </c>
      <c r="G88" s="9" t="s">
        <v>383</v>
      </c>
      <c r="H88" s="9" t="s">
        <v>449</v>
      </c>
      <c r="I88" s="87" t="s">
        <v>6405</v>
      </c>
      <c r="J88" s="87" t="s">
        <v>6405</v>
      </c>
      <c r="K88" s="87" t="s">
        <v>6926</v>
      </c>
      <c r="L88" s="87" t="s">
        <v>6573</v>
      </c>
      <c r="M88" s="87" t="s">
        <v>6869</v>
      </c>
      <c r="N88" s="9" t="s">
        <v>7874</v>
      </c>
      <c r="O88" s="87" t="s">
        <v>6570</v>
      </c>
      <c r="P88" s="9" t="s">
        <v>6243</v>
      </c>
      <c r="Q88" s="87" t="s">
        <v>6573</v>
      </c>
      <c r="R88" s="87" t="s">
        <v>6405</v>
      </c>
      <c r="S88" s="87" t="s">
        <v>6498</v>
      </c>
      <c r="T88" s="87" t="s">
        <v>6401</v>
      </c>
    </row>
    <row r="89" spans="1:20" ht="15.75" customHeight="1">
      <c r="A89" s="9" t="s">
        <v>3026</v>
      </c>
      <c r="B89" s="9" t="s">
        <v>7302</v>
      </c>
      <c r="C89" s="9" t="s">
        <v>6671</v>
      </c>
      <c r="D89" s="87" t="s">
        <v>6296</v>
      </c>
      <c r="E89" s="9" t="s">
        <v>6672</v>
      </c>
      <c r="F89" s="9" t="s">
        <v>439</v>
      </c>
      <c r="G89" s="9" t="s">
        <v>436</v>
      </c>
      <c r="H89" s="9" t="s">
        <v>440</v>
      </c>
      <c r="I89" s="87" t="s">
        <v>6405</v>
      </c>
      <c r="J89" s="87" t="s">
        <v>6267</v>
      </c>
      <c r="K89" s="87" t="s">
        <v>6486</v>
      </c>
      <c r="L89" s="87" t="s">
        <v>6240</v>
      </c>
      <c r="M89" s="87" t="s">
        <v>6869</v>
      </c>
      <c r="N89" s="9" t="s">
        <v>6969</v>
      </c>
      <c r="O89" s="87" t="s">
        <v>6486</v>
      </c>
      <c r="P89" s="9" t="s">
        <v>6243</v>
      </c>
      <c r="Q89" s="87" t="s">
        <v>5079</v>
      </c>
      <c r="R89" s="87" t="s">
        <v>6267</v>
      </c>
      <c r="S89" s="87" t="s">
        <v>6526</v>
      </c>
      <c r="T89" s="87" t="s">
        <v>6645</v>
      </c>
    </row>
    <row r="90" spans="1:20" ht="15.75" customHeight="1">
      <c r="A90" s="9" t="s">
        <v>3026</v>
      </c>
      <c r="B90" s="9" t="s">
        <v>7303</v>
      </c>
      <c r="C90" s="9" t="s">
        <v>7228</v>
      </c>
      <c r="D90" s="87" t="s">
        <v>6405</v>
      </c>
      <c r="E90" s="9" t="s">
        <v>6924</v>
      </c>
      <c r="F90" s="9" t="s">
        <v>11</v>
      </c>
      <c r="G90" s="9" t="s">
        <v>383</v>
      </c>
      <c r="H90" s="9" t="s">
        <v>426</v>
      </c>
      <c r="I90" s="87" t="s">
        <v>6405</v>
      </c>
      <c r="J90" s="87" t="s">
        <v>6405</v>
      </c>
      <c r="K90" s="87" t="s">
        <v>6405</v>
      </c>
      <c r="L90" s="87" t="s">
        <v>6392</v>
      </c>
      <c r="M90" s="87" t="s">
        <v>6338</v>
      </c>
      <c r="N90" s="9" t="s">
        <v>7245</v>
      </c>
      <c r="O90" s="87" t="s">
        <v>6327</v>
      </c>
      <c r="P90" s="9" t="s">
        <v>6243</v>
      </c>
      <c r="Q90" s="87" t="s">
        <v>6392</v>
      </c>
      <c r="R90" s="87" t="s">
        <v>6405</v>
      </c>
      <c r="S90" s="87" t="s">
        <v>6500</v>
      </c>
      <c r="T90" s="87" t="s">
        <v>6341</v>
      </c>
    </row>
    <row r="91" spans="1:20" ht="15.75" customHeight="1">
      <c r="A91" s="9" t="s">
        <v>2949</v>
      </c>
      <c r="B91" s="9" t="s">
        <v>7304</v>
      </c>
      <c r="C91" s="9" t="s">
        <v>6236</v>
      </c>
      <c r="D91" s="87" t="s">
        <v>6393</v>
      </c>
      <c r="E91" s="9" t="s">
        <v>431</v>
      </c>
      <c r="F91" s="9" t="s">
        <v>368</v>
      </c>
      <c r="G91" s="9" t="s">
        <v>436</v>
      </c>
      <c r="H91" s="9" t="s">
        <v>434</v>
      </c>
      <c r="I91" s="87" t="s">
        <v>6264</v>
      </c>
      <c r="J91" s="87" t="s">
        <v>6288</v>
      </c>
      <c r="K91" s="87" t="s">
        <v>6239</v>
      </c>
      <c r="L91" s="87" t="s">
        <v>6240</v>
      </c>
      <c r="M91" s="87" t="s">
        <v>6289</v>
      </c>
      <c r="N91" s="9" t="s">
        <v>6928</v>
      </c>
      <c r="O91" s="87" t="s">
        <v>6239</v>
      </c>
      <c r="P91" s="9" t="s">
        <v>6243</v>
      </c>
      <c r="Q91" s="87" t="s">
        <v>3764</v>
      </c>
      <c r="R91" s="87" t="s">
        <v>6288</v>
      </c>
      <c r="S91" s="87" t="s">
        <v>6327</v>
      </c>
      <c r="T91" s="87" t="s">
        <v>6645</v>
      </c>
    </row>
    <row r="92" spans="1:20" ht="15.75" customHeight="1">
      <c r="A92" s="9" t="s">
        <v>2949</v>
      </c>
      <c r="B92" s="9" t="s">
        <v>7304</v>
      </c>
      <c r="C92" s="9" t="s">
        <v>6236</v>
      </c>
      <c r="D92" s="87" t="s">
        <v>6393</v>
      </c>
      <c r="E92" s="9" t="s">
        <v>431</v>
      </c>
      <c r="F92" s="9" t="s">
        <v>368</v>
      </c>
      <c r="G92" s="9" t="s">
        <v>436</v>
      </c>
      <c r="H92" s="9" t="s">
        <v>434</v>
      </c>
      <c r="I92" s="87" t="s">
        <v>6264</v>
      </c>
      <c r="J92" s="87" t="s">
        <v>6288</v>
      </c>
      <c r="K92" s="87" t="s">
        <v>6300</v>
      </c>
      <c r="L92" s="87" t="s">
        <v>6240</v>
      </c>
      <c r="M92" s="87" t="s">
        <v>6906</v>
      </c>
      <c r="N92" s="9" t="s">
        <v>6971</v>
      </c>
      <c r="O92" s="87" t="s">
        <v>6300</v>
      </c>
      <c r="P92" s="9" t="s">
        <v>6243</v>
      </c>
      <c r="Q92" s="87" t="s">
        <v>3861</v>
      </c>
      <c r="R92" s="87" t="s">
        <v>6288</v>
      </c>
      <c r="S92" s="87" t="s">
        <v>6255</v>
      </c>
      <c r="T92" s="87" t="s">
        <v>6645</v>
      </c>
    </row>
    <row r="93" spans="1:20" ht="15.75" customHeight="1">
      <c r="A93" s="9" t="s">
        <v>2949</v>
      </c>
      <c r="B93" s="9" t="s">
        <v>7305</v>
      </c>
      <c r="C93" s="9" t="s">
        <v>6671</v>
      </c>
      <c r="D93" s="87" t="s">
        <v>6296</v>
      </c>
      <c r="E93" s="9" t="s">
        <v>6672</v>
      </c>
      <c r="F93" s="9" t="s">
        <v>439</v>
      </c>
      <c r="G93" s="9" t="s">
        <v>436</v>
      </c>
      <c r="H93" s="9" t="s">
        <v>440</v>
      </c>
      <c r="I93" s="87" t="s">
        <v>6405</v>
      </c>
      <c r="J93" s="87" t="s">
        <v>6567</v>
      </c>
      <c r="K93" s="87" t="s">
        <v>6239</v>
      </c>
      <c r="L93" s="87" t="s">
        <v>6240</v>
      </c>
      <c r="M93" s="87" t="s">
        <v>6905</v>
      </c>
      <c r="N93" s="9" t="s">
        <v>6928</v>
      </c>
      <c r="O93" s="87" t="s">
        <v>6239</v>
      </c>
      <c r="P93" s="9" t="s">
        <v>6243</v>
      </c>
      <c r="Q93" s="87" t="s">
        <v>3764</v>
      </c>
      <c r="R93" s="87" t="s">
        <v>6567</v>
      </c>
      <c r="S93" s="87" t="s">
        <v>6327</v>
      </c>
      <c r="T93" s="87" t="s">
        <v>6645</v>
      </c>
    </row>
    <row r="94" spans="1:20" ht="15.75" customHeight="1">
      <c r="A94" s="9" t="s">
        <v>2949</v>
      </c>
      <c r="B94" s="9" t="s">
        <v>7306</v>
      </c>
      <c r="C94" s="9" t="s">
        <v>6923</v>
      </c>
      <c r="D94" s="87" t="s">
        <v>6327</v>
      </c>
      <c r="E94" s="9" t="s">
        <v>6924</v>
      </c>
      <c r="F94" s="9" t="s">
        <v>6925</v>
      </c>
      <c r="G94" s="9" t="s">
        <v>383</v>
      </c>
      <c r="H94" s="9" t="s">
        <v>444</v>
      </c>
      <c r="I94" s="87" t="s">
        <v>6405</v>
      </c>
      <c r="J94" s="87" t="s">
        <v>6240</v>
      </c>
      <c r="K94" s="87" t="s">
        <v>6939</v>
      </c>
      <c r="L94" s="87" t="s">
        <v>5968</v>
      </c>
      <c r="M94" s="87" t="s">
        <v>6902</v>
      </c>
      <c r="N94" s="9" t="s">
        <v>7875</v>
      </c>
      <c r="O94" s="87" t="s">
        <v>5381</v>
      </c>
      <c r="P94" s="9" t="s">
        <v>6243</v>
      </c>
      <c r="Q94" s="87" t="s">
        <v>4081</v>
      </c>
      <c r="R94" s="87" t="s">
        <v>6240</v>
      </c>
      <c r="S94" s="87" t="s">
        <v>7035</v>
      </c>
      <c r="T94" s="87" t="s">
        <v>6440</v>
      </c>
    </row>
    <row r="95" spans="1:20" ht="15.75" customHeight="1">
      <c r="A95" s="9" t="s">
        <v>2949</v>
      </c>
      <c r="B95" s="9" t="s">
        <v>7305</v>
      </c>
      <c r="C95" s="9" t="s">
        <v>6671</v>
      </c>
      <c r="D95" s="87" t="s">
        <v>6296</v>
      </c>
      <c r="E95" s="9" t="s">
        <v>6672</v>
      </c>
      <c r="F95" s="9" t="s">
        <v>439</v>
      </c>
      <c r="G95" s="9" t="s">
        <v>436</v>
      </c>
      <c r="H95" s="9" t="s">
        <v>440</v>
      </c>
      <c r="I95" s="87" t="s">
        <v>6405</v>
      </c>
      <c r="J95" s="87" t="s">
        <v>6567</v>
      </c>
      <c r="K95" s="87" t="s">
        <v>6346</v>
      </c>
      <c r="L95" s="87" t="s">
        <v>6240</v>
      </c>
      <c r="M95" s="87" t="s">
        <v>6902</v>
      </c>
      <c r="N95" s="9" t="s">
        <v>6972</v>
      </c>
      <c r="O95" s="87" t="s">
        <v>6346</v>
      </c>
      <c r="P95" s="9" t="s">
        <v>6243</v>
      </c>
      <c r="Q95" s="87" t="s">
        <v>6366</v>
      </c>
      <c r="R95" s="87" t="s">
        <v>6567</v>
      </c>
      <c r="S95" s="87" t="s">
        <v>5381</v>
      </c>
      <c r="T95" s="87" t="s">
        <v>6645</v>
      </c>
    </row>
    <row r="96" spans="1:20" ht="15.75" customHeight="1">
      <c r="A96" s="9" t="s">
        <v>2949</v>
      </c>
      <c r="B96" s="9" t="s">
        <v>7306</v>
      </c>
      <c r="C96" s="9" t="s">
        <v>7228</v>
      </c>
      <c r="D96" s="87" t="s">
        <v>6290</v>
      </c>
      <c r="E96" s="9" t="s">
        <v>6924</v>
      </c>
      <c r="F96" s="9" t="s">
        <v>11</v>
      </c>
      <c r="G96" s="9" t="s">
        <v>383</v>
      </c>
      <c r="H96" s="9" t="s">
        <v>426</v>
      </c>
      <c r="I96" s="87" t="s">
        <v>6405</v>
      </c>
      <c r="J96" s="87" t="s">
        <v>6334</v>
      </c>
      <c r="K96" s="87" t="s">
        <v>6334</v>
      </c>
      <c r="L96" s="87" t="s">
        <v>6306</v>
      </c>
      <c r="M96" s="87" t="s">
        <v>6973</v>
      </c>
      <c r="N96" s="9" t="s">
        <v>7121</v>
      </c>
      <c r="O96" s="87" t="s">
        <v>6299</v>
      </c>
      <c r="P96" s="9" t="s">
        <v>6243</v>
      </c>
      <c r="Q96" s="87" t="s">
        <v>3231</v>
      </c>
      <c r="R96" s="87" t="s">
        <v>6334</v>
      </c>
      <c r="S96" s="87" t="s">
        <v>6400</v>
      </c>
      <c r="T96" s="87" t="s">
        <v>6341</v>
      </c>
    </row>
    <row r="97" spans="1:20" ht="15.75" customHeight="1">
      <c r="A97" s="9" t="s">
        <v>2949</v>
      </c>
      <c r="B97" s="9" t="s">
        <v>7307</v>
      </c>
      <c r="C97" s="9" t="s">
        <v>6923</v>
      </c>
      <c r="D97" s="87" t="s">
        <v>6327</v>
      </c>
      <c r="E97" s="9" t="s">
        <v>6924</v>
      </c>
      <c r="F97" s="9" t="s">
        <v>6925</v>
      </c>
      <c r="G97" s="9" t="s">
        <v>383</v>
      </c>
      <c r="H97" s="9" t="s">
        <v>444</v>
      </c>
      <c r="I97" s="87" t="s">
        <v>6405</v>
      </c>
      <c r="J97" s="87" t="s">
        <v>6240</v>
      </c>
      <c r="K97" s="87" t="s">
        <v>6939</v>
      </c>
      <c r="L97" s="87" t="s">
        <v>5968</v>
      </c>
      <c r="M97" s="87" t="s">
        <v>6973</v>
      </c>
      <c r="N97" s="9" t="s">
        <v>6974</v>
      </c>
      <c r="O97" s="87" t="s">
        <v>5381</v>
      </c>
      <c r="P97" s="9" t="s">
        <v>6243</v>
      </c>
      <c r="Q97" s="87" t="s">
        <v>4081</v>
      </c>
      <c r="R97" s="87" t="s">
        <v>6240</v>
      </c>
      <c r="S97" s="87" t="s">
        <v>6268</v>
      </c>
      <c r="T97" s="87" t="s">
        <v>6341</v>
      </c>
    </row>
    <row r="98" spans="1:20" ht="15.75" customHeight="1">
      <c r="A98" s="9" t="s">
        <v>2949</v>
      </c>
      <c r="B98" s="9" t="s">
        <v>7307</v>
      </c>
      <c r="C98" s="9" t="s">
        <v>7228</v>
      </c>
      <c r="D98" s="87" t="s">
        <v>6290</v>
      </c>
      <c r="E98" s="9" t="s">
        <v>6924</v>
      </c>
      <c r="F98" s="9" t="s">
        <v>11</v>
      </c>
      <c r="G98" s="9" t="s">
        <v>383</v>
      </c>
      <c r="H98" s="9" t="s">
        <v>426</v>
      </c>
      <c r="I98" s="87" t="s">
        <v>6405</v>
      </c>
      <c r="J98" s="87" t="s">
        <v>6334</v>
      </c>
      <c r="K98" s="87" t="s">
        <v>6334</v>
      </c>
      <c r="L98" s="87" t="s">
        <v>6306</v>
      </c>
      <c r="M98" s="87" t="s">
        <v>6975</v>
      </c>
      <c r="N98" s="9" t="s">
        <v>7121</v>
      </c>
      <c r="O98" s="87" t="s">
        <v>6299</v>
      </c>
      <c r="P98" s="9" t="s">
        <v>6243</v>
      </c>
      <c r="Q98" s="87" t="s">
        <v>3231</v>
      </c>
      <c r="R98" s="87" t="s">
        <v>6334</v>
      </c>
      <c r="S98" s="87" t="s">
        <v>6400</v>
      </c>
      <c r="T98" s="87" t="s">
        <v>6341</v>
      </c>
    </row>
    <row r="99" spans="1:20" ht="15.75" customHeight="1">
      <c r="A99" s="9" t="s">
        <v>2949</v>
      </c>
      <c r="B99" s="9" t="s">
        <v>7308</v>
      </c>
      <c r="C99" s="9" t="s">
        <v>6923</v>
      </c>
      <c r="D99" s="87" t="s">
        <v>6327</v>
      </c>
      <c r="E99" s="9" t="s">
        <v>6924</v>
      </c>
      <c r="F99" s="9" t="s">
        <v>6925</v>
      </c>
      <c r="G99" s="9" t="s">
        <v>383</v>
      </c>
      <c r="H99" s="9" t="s">
        <v>444</v>
      </c>
      <c r="I99" s="87" t="s">
        <v>6405</v>
      </c>
      <c r="J99" s="87" t="s">
        <v>6240</v>
      </c>
      <c r="K99" s="87" t="s">
        <v>6926</v>
      </c>
      <c r="L99" s="87" t="s">
        <v>5968</v>
      </c>
      <c r="M99" s="87" t="s">
        <v>6975</v>
      </c>
      <c r="N99" s="9" t="s">
        <v>6976</v>
      </c>
      <c r="O99" s="87" t="s">
        <v>6254</v>
      </c>
      <c r="P99" s="9" t="s">
        <v>6243</v>
      </c>
      <c r="Q99" s="87" t="s">
        <v>5968</v>
      </c>
      <c r="R99" s="87" t="s">
        <v>6240</v>
      </c>
      <c r="S99" s="87" t="s">
        <v>6322</v>
      </c>
      <c r="T99" s="87" t="s">
        <v>6341</v>
      </c>
    </row>
    <row r="100" spans="1:20" ht="15.75" customHeight="1">
      <c r="A100" s="9" t="s">
        <v>2949</v>
      </c>
      <c r="B100" s="9" t="s">
        <v>7308</v>
      </c>
      <c r="C100" s="9" t="s">
        <v>7228</v>
      </c>
      <c r="D100" s="87" t="s">
        <v>6290</v>
      </c>
      <c r="E100" s="9" t="s">
        <v>6924</v>
      </c>
      <c r="F100" s="9" t="s">
        <v>11</v>
      </c>
      <c r="G100" s="9" t="s">
        <v>383</v>
      </c>
      <c r="H100" s="9" t="s">
        <v>426</v>
      </c>
      <c r="I100" s="87" t="s">
        <v>6405</v>
      </c>
      <c r="J100" s="87" t="s">
        <v>6405</v>
      </c>
      <c r="K100" s="87" t="s">
        <v>6405</v>
      </c>
      <c r="L100" s="87" t="s">
        <v>6306</v>
      </c>
      <c r="M100" s="87" t="s">
        <v>6882</v>
      </c>
      <c r="N100" s="9" t="s">
        <v>6959</v>
      </c>
      <c r="O100" s="87" t="s">
        <v>4953</v>
      </c>
      <c r="P100" s="9" t="s">
        <v>6243</v>
      </c>
      <c r="Q100" s="87" t="s">
        <v>6306</v>
      </c>
      <c r="R100" s="87" t="s">
        <v>6405</v>
      </c>
      <c r="S100" s="87" t="s">
        <v>6543</v>
      </c>
      <c r="T100" s="87" t="s">
        <v>6341</v>
      </c>
    </row>
    <row r="101" spans="1:20" ht="15.75" customHeight="1">
      <c r="A101" s="9" t="s">
        <v>2849</v>
      </c>
      <c r="B101" s="9" t="s">
        <v>7309</v>
      </c>
      <c r="C101" s="9" t="s">
        <v>6236</v>
      </c>
      <c r="D101" s="87" t="s">
        <v>6393</v>
      </c>
      <c r="E101" s="9" t="s">
        <v>431</v>
      </c>
      <c r="F101" s="9" t="s">
        <v>368</v>
      </c>
      <c r="G101" s="9" t="s">
        <v>436</v>
      </c>
      <c r="H101" s="9" t="s">
        <v>434</v>
      </c>
      <c r="I101" s="87" t="s">
        <v>6264</v>
      </c>
      <c r="J101" s="87" t="s">
        <v>6397</v>
      </c>
      <c r="K101" s="87" t="s">
        <v>6397</v>
      </c>
      <c r="L101" s="87" t="s">
        <v>6240</v>
      </c>
      <c r="M101" s="87" t="s">
        <v>6388</v>
      </c>
      <c r="N101" s="9" t="s">
        <v>6977</v>
      </c>
      <c r="O101" s="87" t="s">
        <v>6397</v>
      </c>
      <c r="P101" s="9" t="s">
        <v>6243</v>
      </c>
      <c r="Q101" s="87" t="s">
        <v>6278</v>
      </c>
      <c r="R101" s="87" t="s">
        <v>6397</v>
      </c>
      <c r="S101" s="87" t="s">
        <v>6314</v>
      </c>
      <c r="T101" s="87" t="s">
        <v>6417</v>
      </c>
    </row>
    <row r="102" spans="1:20" ht="15.75" customHeight="1">
      <c r="A102" s="9" t="s">
        <v>2849</v>
      </c>
      <c r="B102" s="9" t="s">
        <v>7310</v>
      </c>
      <c r="C102" s="9" t="s">
        <v>6671</v>
      </c>
      <c r="D102" s="87" t="s">
        <v>6296</v>
      </c>
      <c r="E102" s="9" t="s">
        <v>6672</v>
      </c>
      <c r="F102" s="9" t="s">
        <v>439</v>
      </c>
      <c r="G102" s="9" t="s">
        <v>436</v>
      </c>
      <c r="H102" s="9" t="s">
        <v>440</v>
      </c>
      <c r="I102" s="87" t="s">
        <v>6405</v>
      </c>
      <c r="J102" s="87" t="s">
        <v>6290</v>
      </c>
      <c r="K102" s="87" t="s">
        <v>6290</v>
      </c>
      <c r="L102" s="87" t="s">
        <v>6240</v>
      </c>
      <c r="M102" s="87" t="s">
        <v>6389</v>
      </c>
      <c r="N102" s="9" t="s">
        <v>6978</v>
      </c>
      <c r="O102" s="87" t="s">
        <v>6290</v>
      </c>
      <c r="P102" s="9" t="s">
        <v>6243</v>
      </c>
      <c r="Q102" s="87" t="s">
        <v>6293</v>
      </c>
      <c r="R102" s="87" t="s">
        <v>6290</v>
      </c>
      <c r="S102" s="87" t="s">
        <v>6430</v>
      </c>
      <c r="T102" s="87" t="s">
        <v>6326</v>
      </c>
    </row>
    <row r="103" spans="1:20" ht="15.75" customHeight="1">
      <c r="A103" s="9" t="s">
        <v>2849</v>
      </c>
      <c r="B103" s="9" t="s">
        <v>7311</v>
      </c>
      <c r="C103" s="9" t="s">
        <v>6923</v>
      </c>
      <c r="D103" s="87" t="s">
        <v>6327</v>
      </c>
      <c r="E103" s="9" t="s">
        <v>6924</v>
      </c>
      <c r="F103" s="9" t="s">
        <v>6925</v>
      </c>
      <c r="G103" s="9" t="s">
        <v>383</v>
      </c>
      <c r="H103" s="9" t="s">
        <v>444</v>
      </c>
      <c r="I103" s="87" t="s">
        <v>6405</v>
      </c>
      <c r="J103" s="87" t="s">
        <v>6405</v>
      </c>
      <c r="K103" s="87" t="s">
        <v>6926</v>
      </c>
      <c r="L103" s="87" t="s">
        <v>4019</v>
      </c>
      <c r="M103" s="87" t="s">
        <v>6426</v>
      </c>
      <c r="N103" s="9" t="s">
        <v>6979</v>
      </c>
      <c r="O103" s="87" t="s">
        <v>6498</v>
      </c>
      <c r="P103" s="9" t="s">
        <v>6243</v>
      </c>
      <c r="Q103" s="87" t="s">
        <v>4019</v>
      </c>
      <c r="R103" s="87" t="s">
        <v>6405</v>
      </c>
      <c r="S103" s="87" t="s">
        <v>6392</v>
      </c>
      <c r="T103" s="87" t="s">
        <v>6341</v>
      </c>
    </row>
    <row r="104" spans="1:20" ht="15.75" customHeight="1">
      <c r="A104" s="9" t="s">
        <v>2943</v>
      </c>
      <c r="B104" s="9" t="s">
        <v>7313</v>
      </c>
      <c r="C104" s="9" t="s">
        <v>6236</v>
      </c>
      <c r="D104" s="87" t="s">
        <v>6393</v>
      </c>
      <c r="E104" s="9" t="s">
        <v>431</v>
      </c>
      <c r="F104" s="9" t="s">
        <v>368</v>
      </c>
      <c r="G104" s="9" t="s">
        <v>436</v>
      </c>
      <c r="H104" s="9" t="s">
        <v>434</v>
      </c>
      <c r="I104" s="87" t="s">
        <v>6237</v>
      </c>
      <c r="J104" s="87" t="s">
        <v>6306</v>
      </c>
      <c r="K104" s="87" t="s">
        <v>6239</v>
      </c>
      <c r="L104" s="87" t="s">
        <v>6240</v>
      </c>
      <c r="M104" s="87" t="s">
        <v>6882</v>
      </c>
      <c r="N104" s="9" t="s">
        <v>6928</v>
      </c>
      <c r="O104" s="87" t="s">
        <v>6239</v>
      </c>
      <c r="P104" s="9" t="s">
        <v>6243</v>
      </c>
      <c r="Q104" s="87" t="s">
        <v>3764</v>
      </c>
      <c r="R104" s="87" t="s">
        <v>6306</v>
      </c>
      <c r="S104" s="87" t="s">
        <v>6327</v>
      </c>
      <c r="T104" s="87" t="s">
        <v>6645</v>
      </c>
    </row>
    <row r="105" spans="1:20" ht="15.75" customHeight="1">
      <c r="A105" s="9" t="s">
        <v>2943</v>
      </c>
      <c r="B105" s="9" t="s">
        <v>7313</v>
      </c>
      <c r="C105" s="9" t="s">
        <v>6236</v>
      </c>
      <c r="D105" s="87" t="s">
        <v>6393</v>
      </c>
      <c r="E105" s="9" t="s">
        <v>431</v>
      </c>
      <c r="F105" s="9" t="s">
        <v>368</v>
      </c>
      <c r="G105" s="9" t="s">
        <v>436</v>
      </c>
      <c r="H105" s="9" t="s">
        <v>434</v>
      </c>
      <c r="I105" s="87" t="s">
        <v>6237</v>
      </c>
      <c r="J105" s="87" t="s">
        <v>6306</v>
      </c>
      <c r="K105" s="87" t="s">
        <v>6237</v>
      </c>
      <c r="L105" s="87" t="s">
        <v>6240</v>
      </c>
      <c r="M105" s="87" t="s">
        <v>6311</v>
      </c>
      <c r="N105" s="9" t="s">
        <v>6967</v>
      </c>
      <c r="O105" s="87" t="s">
        <v>6237</v>
      </c>
      <c r="P105" s="9" t="s">
        <v>6243</v>
      </c>
      <c r="Q105" s="87" t="s">
        <v>4953</v>
      </c>
      <c r="R105" s="87" t="s">
        <v>6306</v>
      </c>
      <c r="S105" s="87" t="s">
        <v>6424</v>
      </c>
      <c r="T105" s="87" t="s">
        <v>6645</v>
      </c>
    </row>
    <row r="106" spans="1:20" ht="15.75" customHeight="1">
      <c r="A106" s="9" t="s">
        <v>2943</v>
      </c>
      <c r="B106" s="9" t="s">
        <v>7314</v>
      </c>
      <c r="C106" s="9" t="s">
        <v>6671</v>
      </c>
      <c r="D106" s="87" t="s">
        <v>6296</v>
      </c>
      <c r="E106" s="9" t="s">
        <v>6672</v>
      </c>
      <c r="F106" s="9" t="s">
        <v>439</v>
      </c>
      <c r="G106" s="9" t="s">
        <v>436</v>
      </c>
      <c r="H106" s="9" t="s">
        <v>440</v>
      </c>
      <c r="I106" s="87" t="s">
        <v>6405</v>
      </c>
      <c r="J106" s="87" t="s">
        <v>3231</v>
      </c>
      <c r="K106" s="87" t="s">
        <v>6239</v>
      </c>
      <c r="L106" s="87" t="s">
        <v>6240</v>
      </c>
      <c r="M106" s="87" t="s">
        <v>6317</v>
      </c>
      <c r="N106" s="9" t="s">
        <v>6928</v>
      </c>
      <c r="O106" s="87" t="s">
        <v>6239</v>
      </c>
      <c r="P106" s="9" t="s">
        <v>6243</v>
      </c>
      <c r="Q106" s="87" t="s">
        <v>3764</v>
      </c>
      <c r="R106" s="87" t="s">
        <v>3231</v>
      </c>
      <c r="S106" s="87" t="s">
        <v>6327</v>
      </c>
      <c r="T106" s="87" t="s">
        <v>6645</v>
      </c>
    </row>
    <row r="107" spans="1:20" ht="15.75" customHeight="1">
      <c r="A107" s="9" t="s">
        <v>2943</v>
      </c>
      <c r="B107" s="9" t="s">
        <v>7314</v>
      </c>
      <c r="C107" s="9" t="s">
        <v>6671</v>
      </c>
      <c r="D107" s="87" t="s">
        <v>6296</v>
      </c>
      <c r="E107" s="9" t="s">
        <v>6672</v>
      </c>
      <c r="F107" s="9" t="s">
        <v>439</v>
      </c>
      <c r="G107" s="9" t="s">
        <v>436</v>
      </c>
      <c r="H107" s="9" t="s">
        <v>440</v>
      </c>
      <c r="I107" s="87" t="s">
        <v>6405</v>
      </c>
      <c r="J107" s="87" t="s">
        <v>3231</v>
      </c>
      <c r="K107" s="87" t="s">
        <v>6239</v>
      </c>
      <c r="L107" s="87" t="s">
        <v>6240</v>
      </c>
      <c r="M107" s="87" t="s">
        <v>6318</v>
      </c>
      <c r="N107" s="9" t="s">
        <v>6928</v>
      </c>
      <c r="O107" s="87" t="s">
        <v>6239</v>
      </c>
      <c r="P107" s="9" t="s">
        <v>6243</v>
      </c>
      <c r="Q107" s="87" t="s">
        <v>3764</v>
      </c>
      <c r="R107" s="87" t="s">
        <v>3231</v>
      </c>
      <c r="S107" s="87" t="s">
        <v>6327</v>
      </c>
      <c r="T107" s="87" t="s">
        <v>6645</v>
      </c>
    </row>
    <row r="108" spans="1:20" ht="15.75" customHeight="1">
      <c r="A108" s="9" t="s">
        <v>2943</v>
      </c>
      <c r="B108" s="9" t="s">
        <v>7315</v>
      </c>
      <c r="C108" s="9" t="s">
        <v>6923</v>
      </c>
      <c r="D108" s="87" t="s">
        <v>6327</v>
      </c>
      <c r="E108" s="9" t="s">
        <v>6924</v>
      </c>
      <c r="F108" s="9" t="s">
        <v>6925</v>
      </c>
      <c r="G108" s="9" t="s">
        <v>383</v>
      </c>
      <c r="H108" s="9" t="s">
        <v>444</v>
      </c>
      <c r="I108" s="87" t="s">
        <v>6405</v>
      </c>
      <c r="J108" s="87" t="s">
        <v>6264</v>
      </c>
      <c r="K108" s="87" t="s">
        <v>6931</v>
      </c>
      <c r="L108" s="87" t="s">
        <v>6270</v>
      </c>
      <c r="M108" s="87" t="s">
        <v>6875</v>
      </c>
      <c r="N108" s="9" t="s">
        <v>7876</v>
      </c>
      <c r="O108" s="87" t="s">
        <v>6300</v>
      </c>
      <c r="P108" s="9" t="s">
        <v>6243</v>
      </c>
      <c r="Q108" s="87" t="s">
        <v>3861</v>
      </c>
      <c r="R108" s="87" t="s">
        <v>6264</v>
      </c>
      <c r="S108" s="87" t="s">
        <v>6433</v>
      </c>
      <c r="T108" s="87" t="s">
        <v>6443</v>
      </c>
    </row>
    <row r="109" spans="1:20" ht="15.75" customHeight="1">
      <c r="A109" s="9" t="s">
        <v>2943</v>
      </c>
      <c r="B109" s="9" t="s">
        <v>7314</v>
      </c>
      <c r="C109" s="9" t="s">
        <v>6671</v>
      </c>
      <c r="D109" s="87" t="s">
        <v>6296</v>
      </c>
      <c r="E109" s="9" t="s">
        <v>6672</v>
      </c>
      <c r="F109" s="9" t="s">
        <v>439</v>
      </c>
      <c r="G109" s="9" t="s">
        <v>436</v>
      </c>
      <c r="H109" s="9" t="s">
        <v>440</v>
      </c>
      <c r="I109" s="87" t="s">
        <v>6405</v>
      </c>
      <c r="J109" s="87" t="s">
        <v>3231</v>
      </c>
      <c r="K109" s="87" t="s">
        <v>6297</v>
      </c>
      <c r="L109" s="87" t="s">
        <v>6240</v>
      </c>
      <c r="M109" s="87" t="s">
        <v>6875</v>
      </c>
      <c r="N109" s="9" t="s">
        <v>6980</v>
      </c>
      <c r="O109" s="87" t="s">
        <v>6297</v>
      </c>
      <c r="P109" s="9" t="s">
        <v>6243</v>
      </c>
      <c r="Q109" s="87" t="s">
        <v>6299</v>
      </c>
      <c r="R109" s="87" t="s">
        <v>3231</v>
      </c>
      <c r="S109" s="87" t="s">
        <v>6306</v>
      </c>
      <c r="T109" s="87" t="s">
        <v>6645</v>
      </c>
    </row>
    <row r="110" spans="1:20" ht="15.75" customHeight="1">
      <c r="A110" s="9" t="s">
        <v>2943</v>
      </c>
      <c r="B110" s="9" t="s">
        <v>7315</v>
      </c>
      <c r="C110" s="9" t="s">
        <v>7228</v>
      </c>
      <c r="D110" s="87" t="s">
        <v>6290</v>
      </c>
      <c r="E110" s="9" t="s">
        <v>6924</v>
      </c>
      <c r="F110" s="9" t="s">
        <v>11</v>
      </c>
      <c r="G110" s="9" t="s">
        <v>383</v>
      </c>
      <c r="H110" s="9" t="s">
        <v>426</v>
      </c>
      <c r="I110" s="87" t="s">
        <v>6405</v>
      </c>
      <c r="J110" s="87" t="s">
        <v>6264</v>
      </c>
      <c r="K110" s="87" t="s">
        <v>6264</v>
      </c>
      <c r="L110" s="87" t="s">
        <v>4953</v>
      </c>
      <c r="M110" s="87" t="s">
        <v>6869</v>
      </c>
      <c r="N110" s="9" t="s">
        <v>7245</v>
      </c>
      <c r="O110" s="87" t="s">
        <v>6327</v>
      </c>
      <c r="P110" s="9" t="s">
        <v>6243</v>
      </c>
      <c r="Q110" s="87" t="s">
        <v>6392</v>
      </c>
      <c r="R110" s="87" t="s">
        <v>6264</v>
      </c>
      <c r="S110" s="87" t="s">
        <v>6500</v>
      </c>
      <c r="T110" s="87" t="s">
        <v>6341</v>
      </c>
    </row>
    <row r="111" spans="1:20" ht="15.75" customHeight="1">
      <c r="A111" s="9" t="s">
        <v>2930</v>
      </c>
      <c r="B111" s="9" t="s">
        <v>7316</v>
      </c>
      <c r="C111" s="9" t="s">
        <v>6236</v>
      </c>
      <c r="D111" s="87" t="s">
        <v>6393</v>
      </c>
      <c r="E111" s="9" t="s">
        <v>431</v>
      </c>
      <c r="F111" s="9" t="s">
        <v>368</v>
      </c>
      <c r="G111" s="9" t="s">
        <v>436</v>
      </c>
      <c r="H111" s="9" t="s">
        <v>434</v>
      </c>
      <c r="I111" s="87" t="s">
        <v>6237</v>
      </c>
      <c r="J111" s="87" t="s">
        <v>6290</v>
      </c>
      <c r="K111" s="87" t="s">
        <v>6290</v>
      </c>
      <c r="L111" s="87" t="s">
        <v>6240</v>
      </c>
      <c r="M111" s="87" t="s">
        <v>6906</v>
      </c>
      <c r="N111" s="9" t="s">
        <v>6982</v>
      </c>
      <c r="O111" s="87" t="s">
        <v>6290</v>
      </c>
      <c r="P111" s="9" t="s">
        <v>6243</v>
      </c>
      <c r="Q111" s="87" t="s">
        <v>6293</v>
      </c>
      <c r="R111" s="87" t="s">
        <v>6290</v>
      </c>
      <c r="S111" s="87" t="s">
        <v>4953</v>
      </c>
      <c r="T111" s="87" t="s">
        <v>6280</v>
      </c>
    </row>
    <row r="112" spans="1:20" ht="15.75" customHeight="1">
      <c r="A112" s="9" t="s">
        <v>2930</v>
      </c>
      <c r="B112" s="9" t="s">
        <v>7318</v>
      </c>
      <c r="C112" s="9" t="s">
        <v>6923</v>
      </c>
      <c r="D112" s="87" t="s">
        <v>6461</v>
      </c>
      <c r="E112" s="9" t="s">
        <v>6924</v>
      </c>
      <c r="F112" s="9" t="s">
        <v>6925</v>
      </c>
      <c r="G112" s="9" t="s">
        <v>383</v>
      </c>
      <c r="H112" s="9" t="s">
        <v>427</v>
      </c>
      <c r="I112" s="87" t="s">
        <v>6405</v>
      </c>
      <c r="J112" s="87" t="s">
        <v>6405</v>
      </c>
      <c r="K112" s="87" t="s">
        <v>6926</v>
      </c>
      <c r="L112" s="87" t="s">
        <v>6372</v>
      </c>
      <c r="M112" s="87" t="s">
        <v>6902</v>
      </c>
      <c r="N112" s="9" t="s">
        <v>7877</v>
      </c>
      <c r="O112" s="87" t="s">
        <v>6295</v>
      </c>
      <c r="P112" s="9" t="s">
        <v>6243</v>
      </c>
      <c r="Q112" s="87" t="s">
        <v>6372</v>
      </c>
      <c r="R112" s="87" t="s">
        <v>6405</v>
      </c>
      <c r="S112" s="87" t="s">
        <v>6451</v>
      </c>
      <c r="T112" s="87" t="s">
        <v>6430</v>
      </c>
    </row>
    <row r="113" spans="1:20" ht="15.75" customHeight="1">
      <c r="A113" s="9" t="s">
        <v>2930</v>
      </c>
      <c r="B113" s="9" t="s">
        <v>7317</v>
      </c>
      <c r="C113" s="9" t="s">
        <v>6671</v>
      </c>
      <c r="D113" s="87" t="s">
        <v>6296</v>
      </c>
      <c r="E113" s="9" t="s">
        <v>6672</v>
      </c>
      <c r="F113" s="9" t="s">
        <v>439</v>
      </c>
      <c r="G113" s="9" t="s">
        <v>436</v>
      </c>
      <c r="H113" s="9" t="s">
        <v>440</v>
      </c>
      <c r="I113" s="87" t="s">
        <v>6405</v>
      </c>
      <c r="J113" s="87" t="s">
        <v>6435</v>
      </c>
      <c r="K113" s="87" t="s">
        <v>6435</v>
      </c>
      <c r="L113" s="87" t="s">
        <v>6240</v>
      </c>
      <c r="M113" s="87" t="s">
        <v>6902</v>
      </c>
      <c r="N113" s="9" t="s">
        <v>6983</v>
      </c>
      <c r="O113" s="87" t="s">
        <v>6435</v>
      </c>
      <c r="P113" s="9" t="s">
        <v>6243</v>
      </c>
      <c r="Q113" s="87" t="s">
        <v>6250</v>
      </c>
      <c r="R113" s="87" t="s">
        <v>6435</v>
      </c>
      <c r="S113" s="87" t="s">
        <v>6606</v>
      </c>
      <c r="T113" s="87" t="s">
        <v>6440</v>
      </c>
    </row>
    <row r="114" spans="1:20" ht="15.75" customHeight="1">
      <c r="A114" s="9" t="s">
        <v>2930</v>
      </c>
      <c r="B114" s="9" t="s">
        <v>7318</v>
      </c>
      <c r="C114" s="9" t="s">
        <v>7228</v>
      </c>
      <c r="D114" s="87" t="s">
        <v>6237</v>
      </c>
      <c r="E114" s="9" t="s">
        <v>6924</v>
      </c>
      <c r="F114" s="9" t="s">
        <v>11</v>
      </c>
      <c r="G114" s="9" t="s">
        <v>383</v>
      </c>
      <c r="H114" s="9" t="s">
        <v>426</v>
      </c>
      <c r="I114" s="87" t="s">
        <v>6405</v>
      </c>
      <c r="J114" s="87" t="s">
        <v>6405</v>
      </c>
      <c r="K114" s="87" t="s">
        <v>6405</v>
      </c>
      <c r="L114" s="87" t="s">
        <v>6397</v>
      </c>
      <c r="M114" s="87" t="s">
        <v>6973</v>
      </c>
      <c r="N114" s="9" t="s">
        <v>7320</v>
      </c>
      <c r="O114" s="87" t="s">
        <v>6240</v>
      </c>
      <c r="P114" s="9" t="s">
        <v>6243</v>
      </c>
      <c r="Q114" s="87" t="s">
        <v>6397</v>
      </c>
      <c r="R114" s="87" t="s">
        <v>6405</v>
      </c>
      <c r="S114" s="87" t="s">
        <v>6455</v>
      </c>
      <c r="T114" s="87" t="s">
        <v>6250</v>
      </c>
    </row>
    <row r="115" spans="1:20" ht="15.75" customHeight="1">
      <c r="A115" s="9" t="s">
        <v>3005</v>
      </c>
      <c r="B115" s="9" t="s">
        <v>7321</v>
      </c>
      <c r="C115" s="9" t="s">
        <v>6236</v>
      </c>
      <c r="D115" s="87" t="s">
        <v>6393</v>
      </c>
      <c r="E115" s="9" t="s">
        <v>431</v>
      </c>
      <c r="F115" s="9" t="s">
        <v>368</v>
      </c>
      <c r="G115" s="9" t="s">
        <v>436</v>
      </c>
      <c r="H115" s="9" t="s">
        <v>434</v>
      </c>
      <c r="I115" s="87" t="s">
        <v>6237</v>
      </c>
      <c r="J115" s="87" t="s">
        <v>6255</v>
      </c>
      <c r="K115" s="87" t="s">
        <v>6255</v>
      </c>
      <c r="L115" s="87" t="s">
        <v>6240</v>
      </c>
      <c r="M115" s="87" t="s">
        <v>6285</v>
      </c>
      <c r="N115" s="9" t="s">
        <v>6985</v>
      </c>
      <c r="O115" s="87" t="s">
        <v>6255</v>
      </c>
      <c r="P115" s="9" t="s">
        <v>6243</v>
      </c>
      <c r="Q115" s="87" t="s">
        <v>4947</v>
      </c>
      <c r="R115" s="87" t="s">
        <v>6255</v>
      </c>
      <c r="S115" s="87" t="s">
        <v>6370</v>
      </c>
      <c r="T115" s="87" t="s">
        <v>6300</v>
      </c>
    </row>
    <row r="116" spans="1:20" ht="15.75" customHeight="1">
      <c r="A116" s="9" t="s">
        <v>3005</v>
      </c>
      <c r="B116" s="9" t="s">
        <v>7322</v>
      </c>
      <c r="C116" s="9" t="s">
        <v>6671</v>
      </c>
      <c r="D116" s="87" t="s">
        <v>6296</v>
      </c>
      <c r="E116" s="9" t="s">
        <v>6672</v>
      </c>
      <c r="F116" s="9" t="s">
        <v>439</v>
      </c>
      <c r="G116" s="9" t="s">
        <v>436</v>
      </c>
      <c r="H116" s="9" t="s">
        <v>440</v>
      </c>
      <c r="I116" s="87" t="s">
        <v>6405</v>
      </c>
      <c r="J116" s="87" t="s">
        <v>6387</v>
      </c>
      <c r="K116" s="87" t="s">
        <v>6387</v>
      </c>
      <c r="L116" s="87" t="s">
        <v>6240</v>
      </c>
      <c r="M116" s="87" t="s">
        <v>6910</v>
      </c>
      <c r="N116" s="9" t="s">
        <v>6986</v>
      </c>
      <c r="O116" s="87" t="s">
        <v>6387</v>
      </c>
      <c r="P116" s="9" t="s">
        <v>6243</v>
      </c>
      <c r="Q116" s="87" t="s">
        <v>6248</v>
      </c>
      <c r="R116" s="87" t="s">
        <v>6387</v>
      </c>
      <c r="S116" s="87" t="s">
        <v>6322</v>
      </c>
      <c r="T116" s="87" t="s">
        <v>6733</v>
      </c>
    </row>
    <row r="117" spans="1:20" ht="15.75" customHeight="1">
      <c r="A117" s="9" t="s">
        <v>3005</v>
      </c>
      <c r="B117" s="9" t="s">
        <v>7323</v>
      </c>
      <c r="C117" s="9" t="s">
        <v>6923</v>
      </c>
      <c r="D117" s="87" t="s">
        <v>6327</v>
      </c>
      <c r="E117" s="9" t="s">
        <v>6924</v>
      </c>
      <c r="F117" s="9" t="s">
        <v>6925</v>
      </c>
      <c r="G117" s="9" t="s">
        <v>383</v>
      </c>
      <c r="H117" s="9" t="s">
        <v>444</v>
      </c>
      <c r="I117" s="87" t="s">
        <v>6405</v>
      </c>
      <c r="J117" s="87" t="s">
        <v>6405</v>
      </c>
      <c r="K117" s="87" t="s">
        <v>6926</v>
      </c>
      <c r="L117" s="87" t="s">
        <v>6366</v>
      </c>
      <c r="M117" s="87" t="s">
        <v>6905</v>
      </c>
      <c r="N117" s="9" t="s">
        <v>7183</v>
      </c>
      <c r="O117" s="87" t="s">
        <v>6346</v>
      </c>
      <c r="P117" s="9" t="s">
        <v>6243</v>
      </c>
      <c r="Q117" s="87" t="s">
        <v>6366</v>
      </c>
      <c r="R117" s="87" t="s">
        <v>6405</v>
      </c>
      <c r="S117" s="87" t="s">
        <v>6430</v>
      </c>
      <c r="T117" s="87" t="s">
        <v>6341</v>
      </c>
    </row>
    <row r="118" spans="1:20" ht="15.75" customHeight="1">
      <c r="A118" s="9" t="s">
        <v>2975</v>
      </c>
      <c r="B118" s="9" t="s">
        <v>7325</v>
      </c>
      <c r="C118" s="9" t="s">
        <v>6923</v>
      </c>
      <c r="D118" s="87" t="s">
        <v>6327</v>
      </c>
      <c r="E118" s="9" t="s">
        <v>6924</v>
      </c>
      <c r="F118" s="9" t="s">
        <v>6925</v>
      </c>
      <c r="G118" s="9" t="s">
        <v>383</v>
      </c>
      <c r="H118" s="9" t="s">
        <v>444</v>
      </c>
      <c r="I118" s="87" t="s">
        <v>6405</v>
      </c>
      <c r="J118" s="87" t="s">
        <v>6334</v>
      </c>
      <c r="K118" s="87" t="s">
        <v>6939</v>
      </c>
      <c r="L118" s="87" t="s">
        <v>6278</v>
      </c>
      <c r="M118" s="87" t="s">
        <v>6869</v>
      </c>
      <c r="N118" s="9" t="s">
        <v>7878</v>
      </c>
      <c r="O118" s="87" t="s">
        <v>6293</v>
      </c>
      <c r="P118" s="9" t="s">
        <v>6243</v>
      </c>
      <c r="Q118" s="87" t="s">
        <v>4828</v>
      </c>
      <c r="R118" s="87" t="s">
        <v>6334</v>
      </c>
      <c r="S118" s="87" t="s">
        <v>6461</v>
      </c>
      <c r="T118" s="87" t="s">
        <v>6250</v>
      </c>
    </row>
    <row r="119" spans="1:20" ht="15.75" customHeight="1">
      <c r="A119" s="9" t="s">
        <v>2975</v>
      </c>
      <c r="B119" s="9" t="s">
        <v>7324</v>
      </c>
      <c r="C119" s="9" t="s">
        <v>6236</v>
      </c>
      <c r="D119" s="87" t="s">
        <v>6393</v>
      </c>
      <c r="E119" s="9" t="s">
        <v>431</v>
      </c>
      <c r="F119" s="9" t="s">
        <v>368</v>
      </c>
      <c r="G119" s="9" t="s">
        <v>436</v>
      </c>
      <c r="H119" s="9" t="s">
        <v>434</v>
      </c>
      <c r="I119" s="87" t="s">
        <v>6264</v>
      </c>
      <c r="J119" s="87" t="s">
        <v>6330</v>
      </c>
      <c r="K119" s="87" t="s">
        <v>6330</v>
      </c>
      <c r="L119" s="87" t="s">
        <v>6240</v>
      </c>
      <c r="M119" s="87" t="s">
        <v>6869</v>
      </c>
      <c r="N119" s="9" t="s">
        <v>6988</v>
      </c>
      <c r="O119" s="87" t="s">
        <v>6330</v>
      </c>
      <c r="P119" s="9" t="s">
        <v>6243</v>
      </c>
      <c r="Q119" s="87" t="s">
        <v>6332</v>
      </c>
      <c r="R119" s="87" t="s">
        <v>6330</v>
      </c>
      <c r="S119" s="87" t="s">
        <v>6400</v>
      </c>
      <c r="T119" s="87" t="s">
        <v>6645</v>
      </c>
    </row>
    <row r="120" spans="1:20" ht="15.75" customHeight="1">
      <c r="A120" s="9" t="s">
        <v>2975</v>
      </c>
      <c r="B120" s="9" t="s">
        <v>7325</v>
      </c>
      <c r="C120" s="9" t="s">
        <v>7228</v>
      </c>
      <c r="D120" s="87" t="s">
        <v>6290</v>
      </c>
      <c r="E120" s="9" t="s">
        <v>6924</v>
      </c>
      <c r="F120" s="9" t="s">
        <v>11</v>
      </c>
      <c r="G120" s="9" t="s">
        <v>383</v>
      </c>
      <c r="H120" s="9" t="s">
        <v>426</v>
      </c>
      <c r="I120" s="87" t="s">
        <v>6405</v>
      </c>
      <c r="J120" s="87" t="s">
        <v>6334</v>
      </c>
      <c r="K120" s="87" t="s">
        <v>6334</v>
      </c>
      <c r="L120" s="87" t="s">
        <v>6484</v>
      </c>
      <c r="M120" s="87" t="s">
        <v>6338</v>
      </c>
      <c r="N120" s="9" t="s">
        <v>7327</v>
      </c>
      <c r="O120" s="87" t="s">
        <v>6296</v>
      </c>
      <c r="P120" s="9" t="s">
        <v>6243</v>
      </c>
      <c r="Q120" s="87" t="s">
        <v>6287</v>
      </c>
      <c r="R120" s="87" t="s">
        <v>6334</v>
      </c>
      <c r="S120" s="87" t="s">
        <v>6360</v>
      </c>
      <c r="T120" s="87" t="s">
        <v>6497</v>
      </c>
    </row>
    <row r="121" spans="1:20" ht="15.75" customHeight="1">
      <c r="A121" s="9" t="s">
        <v>2906</v>
      </c>
      <c r="B121" s="9" t="s">
        <v>7328</v>
      </c>
      <c r="C121" s="9" t="s">
        <v>6236</v>
      </c>
      <c r="D121" s="87" t="s">
        <v>6393</v>
      </c>
      <c r="E121" s="9" t="s">
        <v>431</v>
      </c>
      <c r="F121" s="9" t="s">
        <v>368</v>
      </c>
      <c r="G121" s="9" t="s">
        <v>436</v>
      </c>
      <c r="H121" s="9" t="s">
        <v>434</v>
      </c>
      <c r="I121" s="87" t="s">
        <v>6264</v>
      </c>
      <c r="J121" s="87" t="s">
        <v>6296</v>
      </c>
      <c r="K121" s="87" t="s">
        <v>6297</v>
      </c>
      <c r="L121" s="87" t="s">
        <v>6240</v>
      </c>
      <c r="M121" s="87" t="s">
        <v>6906</v>
      </c>
      <c r="N121" s="9" t="s">
        <v>6990</v>
      </c>
      <c r="O121" s="87" t="s">
        <v>6297</v>
      </c>
      <c r="P121" s="9" t="s">
        <v>6243</v>
      </c>
      <c r="Q121" s="87" t="s">
        <v>6299</v>
      </c>
      <c r="R121" s="87" t="s">
        <v>6296</v>
      </c>
      <c r="S121" s="87" t="s">
        <v>6327</v>
      </c>
      <c r="T121" s="87" t="s">
        <v>6393</v>
      </c>
    </row>
    <row r="122" spans="1:20" ht="15.75" customHeight="1">
      <c r="A122" s="9" t="s">
        <v>2906</v>
      </c>
      <c r="B122" s="9" t="s">
        <v>7328</v>
      </c>
      <c r="C122" s="9" t="s">
        <v>6236</v>
      </c>
      <c r="D122" s="87" t="s">
        <v>6393</v>
      </c>
      <c r="E122" s="9" t="s">
        <v>431</v>
      </c>
      <c r="F122" s="9" t="s">
        <v>368</v>
      </c>
      <c r="G122" s="9" t="s">
        <v>436</v>
      </c>
      <c r="H122" s="9" t="s">
        <v>434</v>
      </c>
      <c r="I122" s="87" t="s">
        <v>6264</v>
      </c>
      <c r="J122" s="87" t="s">
        <v>6296</v>
      </c>
      <c r="K122" s="87" t="s">
        <v>6290</v>
      </c>
      <c r="L122" s="87" t="s">
        <v>6240</v>
      </c>
      <c r="M122" s="87" t="s">
        <v>6905</v>
      </c>
      <c r="N122" s="9" t="s">
        <v>6964</v>
      </c>
      <c r="O122" s="87" t="s">
        <v>6290</v>
      </c>
      <c r="P122" s="9" t="s">
        <v>6243</v>
      </c>
      <c r="Q122" s="87" t="s">
        <v>6293</v>
      </c>
      <c r="R122" s="87" t="s">
        <v>6296</v>
      </c>
      <c r="S122" s="87" t="s">
        <v>6525</v>
      </c>
      <c r="T122" s="87" t="s">
        <v>6645</v>
      </c>
    </row>
    <row r="123" spans="1:20" ht="15.75" customHeight="1">
      <c r="A123" s="9" t="s">
        <v>2906</v>
      </c>
      <c r="B123" s="9" t="s">
        <v>7329</v>
      </c>
      <c r="C123" s="9" t="s">
        <v>6671</v>
      </c>
      <c r="D123" s="87" t="s">
        <v>6296</v>
      </c>
      <c r="E123" s="9" t="s">
        <v>6672</v>
      </c>
      <c r="F123" s="9" t="s">
        <v>439</v>
      </c>
      <c r="G123" s="9" t="s">
        <v>436</v>
      </c>
      <c r="H123" s="9" t="s">
        <v>440</v>
      </c>
      <c r="I123" s="87" t="s">
        <v>6405</v>
      </c>
      <c r="J123" s="87" t="s">
        <v>6290</v>
      </c>
      <c r="K123" s="87" t="s">
        <v>6290</v>
      </c>
      <c r="L123" s="87" t="s">
        <v>6240</v>
      </c>
      <c r="M123" s="87" t="s">
        <v>6902</v>
      </c>
      <c r="N123" s="9" t="s">
        <v>6991</v>
      </c>
      <c r="O123" s="87" t="s">
        <v>6290</v>
      </c>
      <c r="P123" s="9" t="s">
        <v>6243</v>
      </c>
      <c r="Q123" s="87" t="s">
        <v>6293</v>
      </c>
      <c r="R123" s="87" t="s">
        <v>6290</v>
      </c>
      <c r="S123" s="87" t="s">
        <v>6370</v>
      </c>
      <c r="T123" s="87" t="s">
        <v>6430</v>
      </c>
    </row>
    <row r="124" spans="1:20" ht="15.75" customHeight="1">
      <c r="A124" s="9" t="s">
        <v>2906</v>
      </c>
      <c r="B124" s="9" t="s">
        <v>7330</v>
      </c>
      <c r="C124" s="9" t="s">
        <v>6923</v>
      </c>
      <c r="D124" s="87" t="s">
        <v>6327</v>
      </c>
      <c r="E124" s="9" t="s">
        <v>6924</v>
      </c>
      <c r="F124" s="9" t="s">
        <v>6925</v>
      </c>
      <c r="G124" s="9" t="s">
        <v>383</v>
      </c>
      <c r="H124" s="9" t="s">
        <v>444</v>
      </c>
      <c r="I124" s="87" t="s">
        <v>6405</v>
      </c>
      <c r="J124" s="87" t="s">
        <v>6405</v>
      </c>
      <c r="K124" s="87" t="s">
        <v>6926</v>
      </c>
      <c r="L124" s="87" t="s">
        <v>5968</v>
      </c>
      <c r="M124" s="87" t="s">
        <v>6975</v>
      </c>
      <c r="N124" s="9" t="s">
        <v>6992</v>
      </c>
      <c r="O124" s="87" t="s">
        <v>6254</v>
      </c>
      <c r="P124" s="9" t="s">
        <v>6243</v>
      </c>
      <c r="Q124" s="87" t="s">
        <v>5968</v>
      </c>
      <c r="R124" s="87" t="s">
        <v>6405</v>
      </c>
      <c r="S124" s="87" t="s">
        <v>6268</v>
      </c>
      <c r="T124" s="87" t="s">
        <v>6392</v>
      </c>
    </row>
    <row r="125" spans="1:20" ht="15.75" customHeight="1">
      <c r="A125" s="9" t="s">
        <v>2906</v>
      </c>
      <c r="B125" s="9" t="s">
        <v>7330</v>
      </c>
      <c r="C125" s="9" t="s">
        <v>7228</v>
      </c>
      <c r="D125" s="87" t="s">
        <v>6290</v>
      </c>
      <c r="E125" s="9" t="s">
        <v>6924</v>
      </c>
      <c r="F125" s="9" t="s">
        <v>11</v>
      </c>
      <c r="G125" s="9" t="s">
        <v>383</v>
      </c>
      <c r="H125" s="9" t="s">
        <v>426</v>
      </c>
      <c r="I125" s="87" t="s">
        <v>6405</v>
      </c>
      <c r="J125" s="87" t="s">
        <v>6405</v>
      </c>
      <c r="K125" s="87" t="s">
        <v>6405</v>
      </c>
      <c r="L125" s="87" t="s">
        <v>6306</v>
      </c>
      <c r="M125" s="87" t="s">
        <v>6882</v>
      </c>
      <c r="N125" s="9" t="s">
        <v>7331</v>
      </c>
      <c r="O125" s="87" t="s">
        <v>4953</v>
      </c>
      <c r="P125" s="9" t="s">
        <v>6243</v>
      </c>
      <c r="Q125" s="87" t="s">
        <v>6306</v>
      </c>
      <c r="R125" s="87" t="s">
        <v>6405</v>
      </c>
      <c r="S125" s="87" t="s">
        <v>6400</v>
      </c>
      <c r="T125" s="87" t="s">
        <v>6357</v>
      </c>
    </row>
    <row r="126" spans="1:20" ht="15.75" customHeight="1">
      <c r="A126" s="9" t="s">
        <v>2866</v>
      </c>
      <c r="B126" s="9" t="s">
        <v>7332</v>
      </c>
      <c r="C126" s="9" t="s">
        <v>6236</v>
      </c>
      <c r="D126" s="87" t="s">
        <v>6393</v>
      </c>
      <c r="E126" s="9" t="s">
        <v>431</v>
      </c>
      <c r="F126" s="9" t="s">
        <v>368</v>
      </c>
      <c r="G126" s="9" t="s">
        <v>436</v>
      </c>
      <c r="H126" s="9" t="s">
        <v>434</v>
      </c>
      <c r="I126" s="87" t="s">
        <v>6264</v>
      </c>
      <c r="J126" s="87" t="s">
        <v>6346</v>
      </c>
      <c r="K126" s="87" t="s">
        <v>6280</v>
      </c>
      <c r="L126" s="87" t="s">
        <v>6240</v>
      </c>
      <c r="M126" s="87" t="s">
        <v>6358</v>
      </c>
      <c r="N126" s="9" t="s">
        <v>6993</v>
      </c>
      <c r="O126" s="87" t="s">
        <v>6280</v>
      </c>
      <c r="P126" s="9" t="s">
        <v>6243</v>
      </c>
      <c r="Q126" s="87" t="s">
        <v>6283</v>
      </c>
      <c r="R126" s="87" t="s">
        <v>6346</v>
      </c>
      <c r="S126" s="87" t="s">
        <v>6327</v>
      </c>
      <c r="T126" s="87" t="s">
        <v>6299</v>
      </c>
    </row>
    <row r="127" spans="1:20" ht="15.75" customHeight="1">
      <c r="A127" s="9" t="s">
        <v>2866</v>
      </c>
      <c r="B127" s="9" t="s">
        <v>7332</v>
      </c>
      <c r="C127" s="9" t="s">
        <v>6236</v>
      </c>
      <c r="D127" s="87" t="s">
        <v>6393</v>
      </c>
      <c r="E127" s="9" t="s">
        <v>431</v>
      </c>
      <c r="F127" s="9" t="s">
        <v>368</v>
      </c>
      <c r="G127" s="9" t="s">
        <v>436</v>
      </c>
      <c r="H127" s="9" t="s">
        <v>434</v>
      </c>
      <c r="I127" s="87" t="s">
        <v>6264</v>
      </c>
      <c r="J127" s="87" t="s">
        <v>6346</v>
      </c>
      <c r="K127" s="87" t="s">
        <v>6810</v>
      </c>
      <c r="L127" s="87" t="s">
        <v>6240</v>
      </c>
      <c r="M127" s="87" t="s">
        <v>6364</v>
      </c>
      <c r="N127" s="9" t="s">
        <v>6994</v>
      </c>
      <c r="O127" s="87" t="s">
        <v>6810</v>
      </c>
      <c r="P127" s="9" t="s">
        <v>6243</v>
      </c>
      <c r="Q127" s="87" t="s">
        <v>6484</v>
      </c>
      <c r="R127" s="87" t="s">
        <v>6346</v>
      </c>
      <c r="S127" s="87" t="s">
        <v>6443</v>
      </c>
      <c r="T127" s="87" t="s">
        <v>6645</v>
      </c>
    </row>
    <row r="128" spans="1:20" ht="15.75" customHeight="1">
      <c r="A128" s="9" t="s">
        <v>2866</v>
      </c>
      <c r="B128" s="9" t="s">
        <v>7333</v>
      </c>
      <c r="C128" s="9" t="s">
        <v>6671</v>
      </c>
      <c r="D128" s="87" t="s">
        <v>6296</v>
      </c>
      <c r="E128" s="9" t="s">
        <v>6672</v>
      </c>
      <c r="F128" s="9" t="s">
        <v>439</v>
      </c>
      <c r="G128" s="9" t="s">
        <v>436</v>
      </c>
      <c r="H128" s="9" t="s">
        <v>440</v>
      </c>
      <c r="I128" s="87" t="s">
        <v>6405</v>
      </c>
      <c r="J128" s="87" t="s">
        <v>6346</v>
      </c>
      <c r="K128" s="87" t="s">
        <v>6295</v>
      </c>
      <c r="L128" s="87" t="s">
        <v>6240</v>
      </c>
      <c r="M128" s="87" t="s">
        <v>6385</v>
      </c>
      <c r="N128" s="9" t="s">
        <v>6995</v>
      </c>
      <c r="O128" s="87" t="s">
        <v>6295</v>
      </c>
      <c r="P128" s="9" t="s">
        <v>6243</v>
      </c>
      <c r="Q128" s="87" t="s">
        <v>6372</v>
      </c>
      <c r="R128" s="87" t="s">
        <v>6346</v>
      </c>
      <c r="S128" s="87" t="s">
        <v>6327</v>
      </c>
      <c r="T128" s="87" t="s">
        <v>6273</v>
      </c>
    </row>
    <row r="129" spans="1:20" ht="15.75" customHeight="1">
      <c r="A129" s="9" t="s">
        <v>2866</v>
      </c>
      <c r="B129" s="9" t="s">
        <v>7333</v>
      </c>
      <c r="C129" s="9" t="s">
        <v>6671</v>
      </c>
      <c r="D129" s="87" t="s">
        <v>6296</v>
      </c>
      <c r="E129" s="9" t="s">
        <v>6672</v>
      </c>
      <c r="F129" s="9" t="s">
        <v>439</v>
      </c>
      <c r="G129" s="9" t="s">
        <v>436</v>
      </c>
      <c r="H129" s="9" t="s">
        <v>440</v>
      </c>
      <c r="I129" s="87" t="s">
        <v>6405</v>
      </c>
      <c r="J129" s="87" t="s">
        <v>6346</v>
      </c>
      <c r="K129" s="87" t="s">
        <v>6461</v>
      </c>
      <c r="L129" s="87" t="s">
        <v>6240</v>
      </c>
      <c r="M129" s="87" t="s">
        <v>6388</v>
      </c>
      <c r="N129" s="9" t="s">
        <v>6996</v>
      </c>
      <c r="O129" s="87" t="s">
        <v>6461</v>
      </c>
      <c r="P129" s="9" t="s">
        <v>6243</v>
      </c>
      <c r="Q129" s="87" t="s">
        <v>6255</v>
      </c>
      <c r="R129" s="87" t="s">
        <v>6346</v>
      </c>
      <c r="S129" s="87" t="s">
        <v>6419</v>
      </c>
      <c r="T129" s="87" t="s">
        <v>6645</v>
      </c>
    </row>
    <row r="130" spans="1:20" ht="15.75" customHeight="1">
      <c r="A130" s="9" t="s">
        <v>2866</v>
      </c>
      <c r="B130" s="9" t="s">
        <v>7334</v>
      </c>
      <c r="C130" s="9" t="s">
        <v>6923</v>
      </c>
      <c r="D130" s="87" t="s">
        <v>6264</v>
      </c>
      <c r="E130" s="9" t="s">
        <v>6924</v>
      </c>
      <c r="F130" s="9" t="s">
        <v>6925</v>
      </c>
      <c r="G130" s="9" t="s">
        <v>383</v>
      </c>
      <c r="H130" s="9" t="s">
        <v>449</v>
      </c>
      <c r="I130" s="87" t="s">
        <v>6405</v>
      </c>
      <c r="J130" s="87" t="s">
        <v>6405</v>
      </c>
      <c r="K130" s="87" t="s">
        <v>6926</v>
      </c>
      <c r="L130" s="87" t="s">
        <v>6238</v>
      </c>
      <c r="M130" s="87" t="s">
        <v>6389</v>
      </c>
      <c r="N130" s="9" t="s">
        <v>6997</v>
      </c>
      <c r="O130" s="87" t="s">
        <v>6245</v>
      </c>
      <c r="P130" s="9" t="s">
        <v>6243</v>
      </c>
      <c r="Q130" s="87" t="s">
        <v>6238</v>
      </c>
      <c r="R130" s="87" t="s">
        <v>6405</v>
      </c>
      <c r="S130" s="87" t="s">
        <v>6237</v>
      </c>
      <c r="T130" s="87" t="s">
        <v>6451</v>
      </c>
    </row>
    <row r="131" spans="1:20" ht="15.75" customHeight="1">
      <c r="A131" s="9" t="s">
        <v>2866</v>
      </c>
      <c r="B131" s="9" t="s">
        <v>7334</v>
      </c>
      <c r="C131" s="9" t="s">
        <v>7228</v>
      </c>
      <c r="D131" s="87" t="s">
        <v>6405</v>
      </c>
      <c r="E131" s="9" t="s">
        <v>6924</v>
      </c>
      <c r="F131" s="9" t="s">
        <v>11</v>
      </c>
      <c r="G131" s="9" t="s">
        <v>383</v>
      </c>
      <c r="H131" s="9" t="s">
        <v>426</v>
      </c>
      <c r="I131" s="87" t="s">
        <v>6405</v>
      </c>
      <c r="J131" s="87" t="s">
        <v>6405</v>
      </c>
      <c r="K131" s="87" t="s">
        <v>6405</v>
      </c>
      <c r="L131" s="87" t="s">
        <v>5381</v>
      </c>
      <c r="M131" s="87" t="s">
        <v>6390</v>
      </c>
      <c r="N131" s="9" t="s">
        <v>7335</v>
      </c>
      <c r="O131" s="87" t="s">
        <v>6348</v>
      </c>
      <c r="P131" s="9" t="s">
        <v>6243</v>
      </c>
      <c r="Q131" s="87" t="s">
        <v>5381</v>
      </c>
      <c r="R131" s="87" t="s">
        <v>6405</v>
      </c>
      <c r="S131" s="87" t="s">
        <v>5381</v>
      </c>
      <c r="T131" s="87" t="s">
        <v>6497</v>
      </c>
    </row>
    <row r="132" spans="1:20" ht="15.75" customHeight="1">
      <c r="A132" s="9" t="s">
        <v>2987</v>
      </c>
      <c r="B132" s="9" t="s">
        <v>7337</v>
      </c>
      <c r="C132" s="9" t="s">
        <v>6923</v>
      </c>
      <c r="D132" s="87" t="s">
        <v>6461</v>
      </c>
      <c r="E132" s="9" t="s">
        <v>6924</v>
      </c>
      <c r="F132" s="9" t="s">
        <v>6925</v>
      </c>
      <c r="G132" s="9" t="s">
        <v>383</v>
      </c>
      <c r="H132" s="9" t="s">
        <v>427</v>
      </c>
      <c r="I132" s="87" t="s">
        <v>6405</v>
      </c>
      <c r="J132" s="87" t="s">
        <v>6334</v>
      </c>
      <c r="K132" s="87" t="s">
        <v>6926</v>
      </c>
      <c r="L132" s="87" t="s">
        <v>6464</v>
      </c>
      <c r="M132" s="87" t="s">
        <v>6364</v>
      </c>
      <c r="N132" s="9" t="s">
        <v>7879</v>
      </c>
      <c r="O132" s="87" t="s">
        <v>6302</v>
      </c>
      <c r="P132" s="9" t="s">
        <v>6243</v>
      </c>
      <c r="Q132" s="87" t="s">
        <v>6464</v>
      </c>
      <c r="R132" s="87" t="s">
        <v>6334</v>
      </c>
      <c r="S132" s="87" t="s">
        <v>6414</v>
      </c>
      <c r="T132" s="87" t="s">
        <v>6430</v>
      </c>
    </row>
    <row r="133" spans="1:20" ht="15.75" customHeight="1">
      <c r="A133" s="9" t="s">
        <v>2987</v>
      </c>
      <c r="B133" s="9" t="s">
        <v>7336</v>
      </c>
      <c r="C133" s="9" t="s">
        <v>6236</v>
      </c>
      <c r="D133" s="87" t="s">
        <v>6393</v>
      </c>
      <c r="E133" s="9" t="s">
        <v>431</v>
      </c>
      <c r="F133" s="9" t="s">
        <v>368</v>
      </c>
      <c r="G133" s="9" t="s">
        <v>436</v>
      </c>
      <c r="H133" s="9" t="s">
        <v>434</v>
      </c>
      <c r="I133" s="87" t="s">
        <v>6237</v>
      </c>
      <c r="J133" s="87" t="s">
        <v>6299</v>
      </c>
      <c r="K133" s="87" t="s">
        <v>6299</v>
      </c>
      <c r="L133" s="87" t="s">
        <v>6240</v>
      </c>
      <c r="M133" s="87" t="s">
        <v>6364</v>
      </c>
      <c r="N133" s="9" t="s">
        <v>6998</v>
      </c>
      <c r="O133" s="87" t="s">
        <v>6299</v>
      </c>
      <c r="P133" s="9" t="s">
        <v>6243</v>
      </c>
      <c r="Q133" s="87" t="s">
        <v>3231</v>
      </c>
      <c r="R133" s="87" t="s">
        <v>6299</v>
      </c>
      <c r="S133" s="87" t="s">
        <v>6606</v>
      </c>
      <c r="T133" s="87" t="s">
        <v>6525</v>
      </c>
    </row>
    <row r="134" spans="1:20" ht="15.75" customHeight="1">
      <c r="A134" s="9" t="s">
        <v>2987</v>
      </c>
      <c r="B134" s="9" t="s">
        <v>7340</v>
      </c>
      <c r="C134" s="9" t="s">
        <v>6923</v>
      </c>
      <c r="D134" s="87" t="s">
        <v>6461</v>
      </c>
      <c r="E134" s="9" t="s">
        <v>6924</v>
      </c>
      <c r="F134" s="9" t="s">
        <v>6925</v>
      </c>
      <c r="G134" s="9" t="s">
        <v>383</v>
      </c>
      <c r="H134" s="9" t="s">
        <v>427</v>
      </c>
      <c r="I134" s="87" t="s">
        <v>6405</v>
      </c>
      <c r="J134" s="87" t="s">
        <v>6334</v>
      </c>
      <c r="K134" s="87" t="s">
        <v>6926</v>
      </c>
      <c r="L134" s="87" t="s">
        <v>6464</v>
      </c>
      <c r="M134" s="87" t="s">
        <v>6385</v>
      </c>
      <c r="N134" s="9" t="s">
        <v>6946</v>
      </c>
      <c r="O134" s="87" t="s">
        <v>6302</v>
      </c>
      <c r="P134" s="9" t="s">
        <v>6243</v>
      </c>
      <c r="Q134" s="87" t="s">
        <v>6464</v>
      </c>
      <c r="R134" s="87" t="s">
        <v>6334</v>
      </c>
      <c r="S134" s="87" t="s">
        <v>6409</v>
      </c>
      <c r="T134" s="87" t="s">
        <v>6341</v>
      </c>
    </row>
    <row r="135" spans="1:20" ht="15.75" customHeight="1">
      <c r="A135" s="9" t="s">
        <v>2987</v>
      </c>
      <c r="B135" s="9" t="s">
        <v>7337</v>
      </c>
      <c r="C135" s="9" t="s">
        <v>7228</v>
      </c>
      <c r="D135" s="87" t="s">
        <v>6237</v>
      </c>
      <c r="E135" s="9" t="s">
        <v>6924</v>
      </c>
      <c r="F135" s="9" t="s">
        <v>11</v>
      </c>
      <c r="G135" s="9" t="s">
        <v>383</v>
      </c>
      <c r="H135" s="9" t="s">
        <v>426</v>
      </c>
      <c r="I135" s="87" t="s">
        <v>6405</v>
      </c>
      <c r="J135" s="87" t="s">
        <v>6405</v>
      </c>
      <c r="K135" s="87" t="s">
        <v>6405</v>
      </c>
      <c r="L135" s="87" t="s">
        <v>6474</v>
      </c>
      <c r="M135" s="87" t="s">
        <v>6390</v>
      </c>
      <c r="N135" s="9" t="s">
        <v>7339</v>
      </c>
      <c r="O135" s="87" t="s">
        <v>6528</v>
      </c>
      <c r="P135" s="9" t="s">
        <v>6243</v>
      </c>
      <c r="Q135" s="87" t="s">
        <v>6474</v>
      </c>
      <c r="R135" s="87" t="s">
        <v>6405</v>
      </c>
      <c r="S135" s="87" t="s">
        <v>6251</v>
      </c>
      <c r="T135" s="87" t="s">
        <v>6451</v>
      </c>
    </row>
    <row r="136" spans="1:20" ht="15.75" customHeight="1">
      <c r="A136" s="9" t="s">
        <v>2987</v>
      </c>
      <c r="B136" s="9" t="s">
        <v>7340</v>
      </c>
      <c r="C136" s="9" t="s">
        <v>7228</v>
      </c>
      <c r="D136" s="87" t="s">
        <v>6237</v>
      </c>
      <c r="E136" s="9" t="s">
        <v>6924</v>
      </c>
      <c r="F136" s="9" t="s">
        <v>11</v>
      </c>
      <c r="G136" s="9" t="s">
        <v>383</v>
      </c>
      <c r="H136" s="9" t="s">
        <v>426</v>
      </c>
      <c r="I136" s="87" t="s">
        <v>6405</v>
      </c>
      <c r="J136" s="87" t="s">
        <v>6405</v>
      </c>
      <c r="K136" s="87" t="s">
        <v>6405</v>
      </c>
      <c r="L136" s="87" t="s">
        <v>6474</v>
      </c>
      <c r="M136" s="87" t="s">
        <v>6398</v>
      </c>
      <c r="N136" s="9" t="s">
        <v>7339</v>
      </c>
      <c r="O136" s="87" t="s">
        <v>6528</v>
      </c>
      <c r="P136" s="9" t="s">
        <v>6243</v>
      </c>
      <c r="Q136" s="87" t="s">
        <v>6474</v>
      </c>
      <c r="R136" s="87" t="s">
        <v>6405</v>
      </c>
      <c r="S136" s="87" t="s">
        <v>6251</v>
      </c>
      <c r="T136" s="87" t="s">
        <v>6451</v>
      </c>
    </row>
    <row r="137" spans="1:20" ht="15.75" customHeight="1">
      <c r="A137" s="9" t="s">
        <v>3012</v>
      </c>
      <c r="B137" s="9" t="s">
        <v>7343</v>
      </c>
      <c r="C137" s="9" t="s">
        <v>6236</v>
      </c>
      <c r="D137" s="87" t="s">
        <v>6393</v>
      </c>
      <c r="E137" s="9" t="s">
        <v>431</v>
      </c>
      <c r="F137" s="9" t="s">
        <v>368</v>
      </c>
      <c r="G137" s="9" t="s">
        <v>436</v>
      </c>
      <c r="H137" s="9" t="s">
        <v>434</v>
      </c>
      <c r="I137" s="87" t="s">
        <v>6237</v>
      </c>
      <c r="J137" s="87" t="s">
        <v>6323</v>
      </c>
      <c r="K137" s="87" t="s">
        <v>6323</v>
      </c>
      <c r="L137" s="87" t="s">
        <v>6240</v>
      </c>
      <c r="M137" s="87" t="s">
        <v>6869</v>
      </c>
      <c r="N137" s="9" t="s">
        <v>6999</v>
      </c>
      <c r="O137" s="87" t="s">
        <v>6323</v>
      </c>
      <c r="P137" s="9" t="s">
        <v>6243</v>
      </c>
      <c r="Q137" s="87" t="s">
        <v>5374</v>
      </c>
      <c r="R137" s="87" t="s">
        <v>6323</v>
      </c>
      <c r="S137" s="87" t="s">
        <v>6433</v>
      </c>
      <c r="T137" s="87" t="s">
        <v>6250</v>
      </c>
    </row>
    <row r="138" spans="1:20" ht="15.75" customHeight="1">
      <c r="A138" s="9" t="s">
        <v>3012</v>
      </c>
      <c r="B138" s="9" t="s">
        <v>7345</v>
      </c>
      <c r="C138" s="9" t="s">
        <v>6923</v>
      </c>
      <c r="D138" s="87" t="s">
        <v>6264</v>
      </c>
      <c r="E138" s="9" t="s">
        <v>6924</v>
      </c>
      <c r="F138" s="9" t="s">
        <v>6925</v>
      </c>
      <c r="G138" s="9" t="s">
        <v>383</v>
      </c>
      <c r="H138" s="9" t="s">
        <v>449</v>
      </c>
      <c r="I138" s="87" t="s">
        <v>6405</v>
      </c>
      <c r="J138" s="87" t="s">
        <v>6405</v>
      </c>
      <c r="K138" s="87" t="s">
        <v>6926</v>
      </c>
      <c r="L138" s="87" t="s">
        <v>6238</v>
      </c>
      <c r="M138" s="87" t="s">
        <v>6338</v>
      </c>
      <c r="N138" s="9" t="s">
        <v>7880</v>
      </c>
      <c r="O138" s="87" t="s">
        <v>6245</v>
      </c>
      <c r="P138" s="9" t="s">
        <v>6243</v>
      </c>
      <c r="Q138" s="87" t="s">
        <v>6238</v>
      </c>
      <c r="R138" s="87" t="s">
        <v>6405</v>
      </c>
      <c r="S138" s="87" t="s">
        <v>6392</v>
      </c>
      <c r="T138" s="87" t="s">
        <v>6497</v>
      </c>
    </row>
    <row r="139" spans="1:20" ht="15.75" customHeight="1">
      <c r="A139" s="9" t="s">
        <v>3012</v>
      </c>
      <c r="B139" s="9" t="s">
        <v>7344</v>
      </c>
      <c r="C139" s="9" t="s">
        <v>6671</v>
      </c>
      <c r="D139" s="87" t="s">
        <v>6296</v>
      </c>
      <c r="E139" s="9" t="s">
        <v>6672</v>
      </c>
      <c r="F139" s="9" t="s">
        <v>439</v>
      </c>
      <c r="G139" s="9" t="s">
        <v>436</v>
      </c>
      <c r="H139" s="9" t="s">
        <v>440</v>
      </c>
      <c r="I139" s="87" t="s">
        <v>6405</v>
      </c>
      <c r="J139" s="87" t="s">
        <v>6245</v>
      </c>
      <c r="K139" s="87" t="s">
        <v>6245</v>
      </c>
      <c r="L139" s="87" t="s">
        <v>6240</v>
      </c>
      <c r="M139" s="87" t="s">
        <v>6338</v>
      </c>
      <c r="N139" s="9" t="s">
        <v>7000</v>
      </c>
      <c r="O139" s="87" t="s">
        <v>6245</v>
      </c>
      <c r="P139" s="9" t="s">
        <v>6243</v>
      </c>
      <c r="Q139" s="87" t="s">
        <v>6238</v>
      </c>
      <c r="R139" s="87" t="s">
        <v>6245</v>
      </c>
      <c r="S139" s="87" t="s">
        <v>6500</v>
      </c>
      <c r="T139" s="87" t="s">
        <v>6645</v>
      </c>
    </row>
    <row r="140" spans="1:20" ht="15.75" customHeight="1">
      <c r="A140" s="9" t="s">
        <v>3012</v>
      </c>
      <c r="B140" s="9" t="s">
        <v>7345</v>
      </c>
      <c r="C140" s="9" t="s">
        <v>7228</v>
      </c>
      <c r="D140" s="87" t="s">
        <v>6405</v>
      </c>
      <c r="E140" s="9" t="s">
        <v>6924</v>
      </c>
      <c r="F140" s="9" t="s">
        <v>11</v>
      </c>
      <c r="G140" s="9" t="s">
        <v>383</v>
      </c>
      <c r="H140" s="9" t="s">
        <v>426</v>
      </c>
      <c r="I140" s="87" t="s">
        <v>6405</v>
      </c>
      <c r="J140" s="87" t="s">
        <v>6405</v>
      </c>
      <c r="K140" s="87" t="s">
        <v>6405</v>
      </c>
      <c r="L140" s="87" t="s">
        <v>6293</v>
      </c>
      <c r="M140" s="87" t="s">
        <v>6339</v>
      </c>
      <c r="N140" s="9" t="s">
        <v>7268</v>
      </c>
      <c r="O140" s="87" t="s">
        <v>6290</v>
      </c>
      <c r="P140" s="9" t="s">
        <v>6243</v>
      </c>
      <c r="Q140" s="87" t="s">
        <v>6293</v>
      </c>
      <c r="R140" s="87" t="s">
        <v>6405</v>
      </c>
      <c r="S140" s="87" t="s">
        <v>6479</v>
      </c>
      <c r="T140" s="87" t="s">
        <v>6341</v>
      </c>
    </row>
    <row r="141" spans="1:20" ht="15.75" customHeight="1">
      <c r="A141" s="9" t="s">
        <v>2981</v>
      </c>
      <c r="B141" s="9" t="s">
        <v>7346</v>
      </c>
      <c r="C141" s="9" t="s">
        <v>6236</v>
      </c>
      <c r="D141" s="87" t="s">
        <v>6393</v>
      </c>
      <c r="E141" s="9" t="s">
        <v>431</v>
      </c>
      <c r="F141" s="9" t="s">
        <v>368</v>
      </c>
      <c r="G141" s="9" t="s">
        <v>436</v>
      </c>
      <c r="H141" s="9" t="s">
        <v>434</v>
      </c>
      <c r="I141" s="87" t="s">
        <v>6237</v>
      </c>
      <c r="J141" s="87" t="s">
        <v>6250</v>
      </c>
      <c r="K141" s="87" t="s">
        <v>6250</v>
      </c>
      <c r="L141" s="87" t="s">
        <v>6240</v>
      </c>
      <c r="M141" s="87" t="s">
        <v>6318</v>
      </c>
      <c r="N141" s="9" t="s">
        <v>7002</v>
      </c>
      <c r="O141" s="87" t="s">
        <v>6250</v>
      </c>
      <c r="P141" s="9" t="s">
        <v>6243</v>
      </c>
      <c r="Q141" s="87" t="s">
        <v>6320</v>
      </c>
      <c r="R141" s="87" t="s">
        <v>6250</v>
      </c>
      <c r="S141" s="87" t="s">
        <v>6370</v>
      </c>
      <c r="T141" s="87" t="s">
        <v>6417</v>
      </c>
    </row>
    <row r="142" spans="1:20" ht="15.75" customHeight="1">
      <c r="A142" s="9" t="s">
        <v>2981</v>
      </c>
      <c r="B142" s="9" t="s">
        <v>7347</v>
      </c>
      <c r="C142" s="9" t="s">
        <v>6671</v>
      </c>
      <c r="D142" s="87" t="s">
        <v>6296</v>
      </c>
      <c r="E142" s="9" t="s">
        <v>6672</v>
      </c>
      <c r="F142" s="9" t="s">
        <v>439</v>
      </c>
      <c r="G142" s="9" t="s">
        <v>436</v>
      </c>
      <c r="H142" s="9" t="s">
        <v>440</v>
      </c>
      <c r="I142" s="87" t="s">
        <v>6405</v>
      </c>
      <c r="J142" s="87" t="s">
        <v>6273</v>
      </c>
      <c r="K142" s="87" t="s">
        <v>6273</v>
      </c>
      <c r="L142" s="87" t="s">
        <v>6240</v>
      </c>
      <c r="M142" s="87" t="s">
        <v>6869</v>
      </c>
      <c r="N142" s="9" t="s">
        <v>7003</v>
      </c>
      <c r="O142" s="87" t="s">
        <v>6273</v>
      </c>
      <c r="P142" s="9" t="s">
        <v>6243</v>
      </c>
      <c r="Q142" s="87" t="s">
        <v>6276</v>
      </c>
      <c r="R142" s="87" t="s">
        <v>6273</v>
      </c>
      <c r="S142" s="87" t="s">
        <v>6528</v>
      </c>
      <c r="T142" s="87" t="s">
        <v>6401</v>
      </c>
    </row>
    <row r="143" spans="1:20" ht="15.75" customHeight="1">
      <c r="A143" s="9" t="s">
        <v>2981</v>
      </c>
      <c r="B143" s="9" t="s">
        <v>7348</v>
      </c>
      <c r="C143" s="9" t="s">
        <v>6923</v>
      </c>
      <c r="D143" s="87" t="s">
        <v>6461</v>
      </c>
      <c r="E143" s="9" t="s">
        <v>6924</v>
      </c>
      <c r="F143" s="9" t="s">
        <v>6925</v>
      </c>
      <c r="G143" s="9" t="s">
        <v>383</v>
      </c>
      <c r="H143" s="9" t="s">
        <v>427</v>
      </c>
      <c r="I143" s="87" t="s">
        <v>6405</v>
      </c>
      <c r="J143" s="87" t="s">
        <v>6264</v>
      </c>
      <c r="K143" s="87" t="s">
        <v>6939</v>
      </c>
      <c r="L143" s="87" t="s">
        <v>5374</v>
      </c>
      <c r="M143" s="87" t="s">
        <v>6338</v>
      </c>
      <c r="N143" s="9" t="s">
        <v>6940</v>
      </c>
      <c r="O143" s="87" t="s">
        <v>6333</v>
      </c>
      <c r="P143" s="9" t="s">
        <v>6547</v>
      </c>
      <c r="Q143" s="87" t="s">
        <v>6575</v>
      </c>
      <c r="R143" s="87" t="s">
        <v>6264</v>
      </c>
      <c r="S143" s="87" t="s">
        <v>6570</v>
      </c>
      <c r="T143" s="87" t="s">
        <v>6341</v>
      </c>
    </row>
    <row r="144" spans="1:20" ht="15.75" customHeight="1">
      <c r="A144" s="9" t="s">
        <v>2981</v>
      </c>
      <c r="B144" s="9" t="s">
        <v>7348</v>
      </c>
      <c r="C144" s="9" t="s">
        <v>7228</v>
      </c>
      <c r="D144" s="87" t="s">
        <v>6237</v>
      </c>
      <c r="E144" s="9" t="s">
        <v>6924</v>
      </c>
      <c r="F144" s="9" t="s">
        <v>11</v>
      </c>
      <c r="G144" s="9" t="s">
        <v>383</v>
      </c>
      <c r="H144" s="9" t="s">
        <v>426</v>
      </c>
      <c r="I144" s="87" t="s">
        <v>6405</v>
      </c>
      <c r="J144" s="87" t="s">
        <v>6334</v>
      </c>
      <c r="K144" s="87" t="s">
        <v>6334</v>
      </c>
      <c r="L144" s="87" t="s">
        <v>6397</v>
      </c>
      <c r="M144" s="87" t="s">
        <v>6339</v>
      </c>
      <c r="N144" s="9" t="s">
        <v>7268</v>
      </c>
      <c r="O144" s="87" t="s">
        <v>6290</v>
      </c>
      <c r="P144" s="9" t="s">
        <v>6547</v>
      </c>
      <c r="Q144" s="87" t="s">
        <v>6293</v>
      </c>
      <c r="R144" s="87" t="s">
        <v>6334</v>
      </c>
      <c r="S144" s="87" t="s">
        <v>6479</v>
      </c>
      <c r="T144" s="87" t="s">
        <v>6341</v>
      </c>
    </row>
    <row r="145" spans="1:20" ht="15.75" customHeight="1">
      <c r="A145" s="9" t="s">
        <v>2981</v>
      </c>
      <c r="B145" s="9" t="s">
        <v>7349</v>
      </c>
      <c r="C145" s="9" t="s">
        <v>6923</v>
      </c>
      <c r="D145" s="87" t="s">
        <v>6461</v>
      </c>
      <c r="E145" s="9" t="s">
        <v>6924</v>
      </c>
      <c r="F145" s="9" t="s">
        <v>6925</v>
      </c>
      <c r="G145" s="9" t="s">
        <v>383</v>
      </c>
      <c r="H145" s="9" t="s">
        <v>427</v>
      </c>
      <c r="I145" s="87" t="s">
        <v>6405</v>
      </c>
      <c r="J145" s="87" t="s">
        <v>6264</v>
      </c>
      <c r="K145" s="87" t="s">
        <v>6926</v>
      </c>
      <c r="L145" s="87" t="s">
        <v>5374</v>
      </c>
      <c r="M145" s="87" t="s">
        <v>6339</v>
      </c>
      <c r="N145" s="9" t="s">
        <v>7004</v>
      </c>
      <c r="O145" s="87" t="s">
        <v>6323</v>
      </c>
      <c r="P145" s="9" t="s">
        <v>6547</v>
      </c>
      <c r="Q145" s="87" t="s">
        <v>5374</v>
      </c>
      <c r="R145" s="87" t="s">
        <v>6264</v>
      </c>
      <c r="S145" s="87" t="s">
        <v>6428</v>
      </c>
      <c r="T145" s="87" t="s">
        <v>6341</v>
      </c>
    </row>
    <row r="146" spans="1:20" ht="15.75" customHeight="1">
      <c r="A146" s="9" t="s">
        <v>2981</v>
      </c>
      <c r="B146" s="9" t="s">
        <v>7349</v>
      </c>
      <c r="C146" s="9" t="s">
        <v>7228</v>
      </c>
      <c r="D146" s="87" t="s">
        <v>6237</v>
      </c>
      <c r="E146" s="9" t="s">
        <v>6924</v>
      </c>
      <c r="F146" s="9" t="s">
        <v>11</v>
      </c>
      <c r="G146" s="9" t="s">
        <v>383</v>
      </c>
      <c r="H146" s="9" t="s">
        <v>426</v>
      </c>
      <c r="I146" s="87" t="s">
        <v>6405</v>
      </c>
      <c r="J146" s="87" t="s">
        <v>6405</v>
      </c>
      <c r="K146" s="87" t="s">
        <v>6405</v>
      </c>
      <c r="L146" s="87" t="s">
        <v>6397</v>
      </c>
      <c r="M146" s="87" t="s">
        <v>6343</v>
      </c>
      <c r="N146" s="9" t="s">
        <v>7289</v>
      </c>
      <c r="O146" s="87" t="s">
        <v>6240</v>
      </c>
      <c r="P146" s="9" t="s">
        <v>6547</v>
      </c>
      <c r="Q146" s="87" t="s">
        <v>6397</v>
      </c>
      <c r="R146" s="87" t="s">
        <v>6405</v>
      </c>
      <c r="S146" s="87" t="s">
        <v>6284</v>
      </c>
      <c r="T146" s="87" t="s">
        <v>6341</v>
      </c>
    </row>
    <row r="147" spans="1:20" ht="15.75" customHeight="1">
      <c r="A147" s="9" t="s">
        <v>2961</v>
      </c>
      <c r="B147" s="9" t="s">
        <v>7350</v>
      </c>
      <c r="C147" s="9" t="s">
        <v>6236</v>
      </c>
      <c r="D147" s="87" t="s">
        <v>6393</v>
      </c>
      <c r="E147" s="9" t="s">
        <v>431</v>
      </c>
      <c r="F147" s="9" t="s">
        <v>368</v>
      </c>
      <c r="G147" s="9" t="s">
        <v>436</v>
      </c>
      <c r="H147" s="9" t="s">
        <v>434</v>
      </c>
      <c r="I147" s="87" t="s">
        <v>6237</v>
      </c>
      <c r="J147" s="87" t="s">
        <v>6327</v>
      </c>
      <c r="K147" s="87" t="s">
        <v>6290</v>
      </c>
      <c r="L147" s="87" t="s">
        <v>6240</v>
      </c>
      <c r="M147" s="87" t="s">
        <v>6869</v>
      </c>
      <c r="N147" s="9" t="s">
        <v>7005</v>
      </c>
      <c r="O147" s="87" t="s">
        <v>6290</v>
      </c>
      <c r="P147" s="9" t="s">
        <v>6243</v>
      </c>
      <c r="Q147" s="87" t="s">
        <v>6293</v>
      </c>
      <c r="R147" s="87" t="s">
        <v>6327</v>
      </c>
      <c r="S147" s="87" t="s">
        <v>6327</v>
      </c>
      <c r="T147" s="87" t="s">
        <v>6528</v>
      </c>
    </row>
    <row r="148" spans="1:20" ht="15.75" customHeight="1">
      <c r="A148" s="9" t="s">
        <v>2961</v>
      </c>
      <c r="B148" s="9" t="s">
        <v>7350</v>
      </c>
      <c r="C148" s="9" t="s">
        <v>6236</v>
      </c>
      <c r="D148" s="87" t="s">
        <v>6393</v>
      </c>
      <c r="E148" s="9" t="s">
        <v>431</v>
      </c>
      <c r="F148" s="9" t="s">
        <v>368</v>
      </c>
      <c r="G148" s="9" t="s">
        <v>436</v>
      </c>
      <c r="H148" s="9" t="s">
        <v>434</v>
      </c>
      <c r="I148" s="87" t="s">
        <v>6237</v>
      </c>
      <c r="J148" s="87" t="s">
        <v>6327</v>
      </c>
      <c r="K148" s="87" t="s">
        <v>6334</v>
      </c>
      <c r="L148" s="87" t="s">
        <v>6240</v>
      </c>
      <c r="M148" s="87" t="s">
        <v>6338</v>
      </c>
      <c r="N148" s="9" t="s">
        <v>7006</v>
      </c>
      <c r="O148" s="87" t="s">
        <v>6334</v>
      </c>
      <c r="P148" s="9" t="s">
        <v>6243</v>
      </c>
      <c r="Q148" s="87" t="s">
        <v>6290</v>
      </c>
      <c r="R148" s="87" t="s">
        <v>6327</v>
      </c>
      <c r="S148" s="87" t="s">
        <v>6351</v>
      </c>
      <c r="T148" s="87" t="s">
        <v>6645</v>
      </c>
    </row>
    <row r="149" spans="1:20" ht="15.75" customHeight="1">
      <c r="A149" s="9" t="s">
        <v>2961</v>
      </c>
      <c r="B149" s="9" t="s">
        <v>7352</v>
      </c>
      <c r="C149" s="9" t="s">
        <v>6923</v>
      </c>
      <c r="D149" s="87" t="s">
        <v>6327</v>
      </c>
      <c r="E149" s="9" t="s">
        <v>6924</v>
      </c>
      <c r="F149" s="9" t="s">
        <v>6925</v>
      </c>
      <c r="G149" s="9" t="s">
        <v>383</v>
      </c>
      <c r="H149" s="9" t="s">
        <v>444</v>
      </c>
      <c r="I149" s="87" t="s">
        <v>6405</v>
      </c>
      <c r="J149" s="87" t="s">
        <v>6405</v>
      </c>
      <c r="K149" s="87" t="s">
        <v>6926</v>
      </c>
      <c r="L149" s="87" t="s">
        <v>6321</v>
      </c>
      <c r="M149" s="87" t="s">
        <v>6339</v>
      </c>
      <c r="N149" s="9" t="s">
        <v>7881</v>
      </c>
      <c r="O149" s="87" t="s">
        <v>6411</v>
      </c>
      <c r="P149" s="9" t="s">
        <v>6243</v>
      </c>
      <c r="Q149" s="87" t="s">
        <v>6321</v>
      </c>
      <c r="R149" s="87" t="s">
        <v>6405</v>
      </c>
      <c r="S149" s="87" t="s">
        <v>6619</v>
      </c>
      <c r="T149" s="87" t="s">
        <v>6239</v>
      </c>
    </row>
    <row r="150" spans="1:20" ht="15.75" customHeight="1">
      <c r="A150" s="9" t="s">
        <v>2961</v>
      </c>
      <c r="B150" s="9" t="s">
        <v>7351</v>
      </c>
      <c r="C150" s="9" t="s">
        <v>6671</v>
      </c>
      <c r="D150" s="87" t="s">
        <v>6296</v>
      </c>
      <c r="E150" s="9" t="s">
        <v>6672</v>
      </c>
      <c r="F150" s="9" t="s">
        <v>439</v>
      </c>
      <c r="G150" s="9" t="s">
        <v>436</v>
      </c>
      <c r="H150" s="9" t="s">
        <v>440</v>
      </c>
      <c r="I150" s="87" t="s">
        <v>6405</v>
      </c>
      <c r="J150" s="87" t="s">
        <v>6435</v>
      </c>
      <c r="K150" s="87" t="s">
        <v>6435</v>
      </c>
      <c r="L150" s="87" t="s">
        <v>6240</v>
      </c>
      <c r="M150" s="87" t="s">
        <v>6339</v>
      </c>
      <c r="N150" s="9" t="s">
        <v>7007</v>
      </c>
      <c r="O150" s="87" t="s">
        <v>6435</v>
      </c>
      <c r="P150" s="9" t="s">
        <v>6243</v>
      </c>
      <c r="Q150" s="87" t="s">
        <v>6250</v>
      </c>
      <c r="R150" s="87" t="s">
        <v>6435</v>
      </c>
      <c r="S150" s="87" t="s">
        <v>6733</v>
      </c>
      <c r="T150" s="87" t="s">
        <v>6645</v>
      </c>
    </row>
    <row r="151" spans="1:20" ht="15.75" customHeight="1">
      <c r="A151" s="9" t="s">
        <v>2961</v>
      </c>
      <c r="B151" s="9" t="s">
        <v>7352</v>
      </c>
      <c r="C151" s="9" t="s">
        <v>7228</v>
      </c>
      <c r="D151" s="87" t="s">
        <v>6290</v>
      </c>
      <c r="E151" s="9" t="s">
        <v>6924</v>
      </c>
      <c r="F151" s="9" t="s">
        <v>11</v>
      </c>
      <c r="G151" s="9" t="s">
        <v>383</v>
      </c>
      <c r="H151" s="9" t="s">
        <v>426</v>
      </c>
      <c r="I151" s="87" t="s">
        <v>6405</v>
      </c>
      <c r="J151" s="87" t="s">
        <v>6405</v>
      </c>
      <c r="K151" s="87" t="s">
        <v>6405</v>
      </c>
      <c r="L151" s="87" t="s">
        <v>6293</v>
      </c>
      <c r="M151" s="87" t="s">
        <v>6343</v>
      </c>
      <c r="N151" s="9" t="s">
        <v>7268</v>
      </c>
      <c r="O151" s="87" t="s">
        <v>6290</v>
      </c>
      <c r="P151" s="9" t="s">
        <v>6243</v>
      </c>
      <c r="Q151" s="87" t="s">
        <v>6293</v>
      </c>
      <c r="R151" s="87" t="s">
        <v>6405</v>
      </c>
      <c r="S151" s="87" t="s">
        <v>6479</v>
      </c>
      <c r="T151" s="87" t="s">
        <v>6341</v>
      </c>
    </row>
    <row r="152" spans="1:20" ht="15.75" customHeight="1">
      <c r="A152" s="9" t="s">
        <v>2997</v>
      </c>
      <c r="B152" s="9" t="s">
        <v>7353</v>
      </c>
      <c r="C152" s="9" t="s">
        <v>6236</v>
      </c>
      <c r="D152" s="87" t="s">
        <v>6393</v>
      </c>
      <c r="E152" s="9" t="s">
        <v>431</v>
      </c>
      <c r="F152" s="9" t="s">
        <v>368</v>
      </c>
      <c r="G152" s="9" t="s">
        <v>436</v>
      </c>
      <c r="H152" s="9" t="s">
        <v>434</v>
      </c>
      <c r="I152" s="87" t="s">
        <v>6237</v>
      </c>
      <c r="J152" s="87" t="s">
        <v>6245</v>
      </c>
      <c r="K152" s="87" t="s">
        <v>6245</v>
      </c>
      <c r="L152" s="87" t="s">
        <v>6240</v>
      </c>
      <c r="M152" s="87" t="s">
        <v>6339</v>
      </c>
      <c r="N152" s="9" t="s">
        <v>7009</v>
      </c>
      <c r="O152" s="87" t="s">
        <v>6245</v>
      </c>
      <c r="P152" s="9" t="s">
        <v>6243</v>
      </c>
      <c r="Q152" s="87" t="s">
        <v>6238</v>
      </c>
      <c r="R152" s="87" t="s">
        <v>6245</v>
      </c>
      <c r="S152" s="87" t="s">
        <v>6430</v>
      </c>
      <c r="T152" s="87" t="s">
        <v>6651</v>
      </c>
    </row>
    <row r="153" spans="1:20" ht="15.75" customHeight="1">
      <c r="A153" s="9" t="s">
        <v>2997</v>
      </c>
      <c r="B153" s="9" t="s">
        <v>7354</v>
      </c>
      <c r="C153" s="9" t="s">
        <v>6671</v>
      </c>
      <c r="D153" s="87" t="s">
        <v>6296</v>
      </c>
      <c r="E153" s="9" t="s">
        <v>6672</v>
      </c>
      <c r="F153" s="9" t="s">
        <v>439</v>
      </c>
      <c r="G153" s="9" t="s">
        <v>436</v>
      </c>
      <c r="H153" s="9" t="s">
        <v>440</v>
      </c>
      <c r="I153" s="87" t="s">
        <v>6405</v>
      </c>
      <c r="J153" s="87" t="s">
        <v>6323</v>
      </c>
      <c r="K153" s="87" t="s">
        <v>6268</v>
      </c>
      <c r="L153" s="87" t="s">
        <v>6240</v>
      </c>
      <c r="M153" s="87" t="s">
        <v>6343</v>
      </c>
      <c r="N153" s="9" t="s">
        <v>7010</v>
      </c>
      <c r="O153" s="87" t="s">
        <v>6268</v>
      </c>
      <c r="P153" s="9" t="s">
        <v>6243</v>
      </c>
      <c r="Q153" s="87" t="s">
        <v>6270</v>
      </c>
      <c r="R153" s="87" t="s">
        <v>6323</v>
      </c>
      <c r="S153" s="87" t="s">
        <v>6327</v>
      </c>
      <c r="T153" s="87" t="s">
        <v>6387</v>
      </c>
    </row>
    <row r="154" spans="1:20" ht="15.75" customHeight="1">
      <c r="A154" s="9" t="s">
        <v>2997</v>
      </c>
      <c r="B154" s="9" t="s">
        <v>7355</v>
      </c>
      <c r="C154" s="9" t="s">
        <v>6923</v>
      </c>
      <c r="D154" s="87" t="s">
        <v>6327</v>
      </c>
      <c r="E154" s="9" t="s">
        <v>6924</v>
      </c>
      <c r="F154" s="9" t="s">
        <v>6925</v>
      </c>
      <c r="G154" s="9" t="s">
        <v>383</v>
      </c>
      <c r="H154" s="9" t="s">
        <v>444</v>
      </c>
      <c r="I154" s="87" t="s">
        <v>6405</v>
      </c>
      <c r="J154" s="87" t="s">
        <v>6264</v>
      </c>
      <c r="K154" s="87" t="s">
        <v>6939</v>
      </c>
      <c r="L154" s="87" t="s">
        <v>6250</v>
      </c>
      <c r="M154" s="87" t="s">
        <v>6863</v>
      </c>
      <c r="N154" s="9" t="s">
        <v>7011</v>
      </c>
      <c r="O154" s="87" t="s">
        <v>6433</v>
      </c>
      <c r="P154" s="9" t="s">
        <v>6243</v>
      </c>
      <c r="Q154" s="87" t="s">
        <v>6305</v>
      </c>
      <c r="R154" s="87" t="s">
        <v>6264</v>
      </c>
      <c r="S154" s="87" t="s">
        <v>6237</v>
      </c>
      <c r="T154" s="87" t="s">
        <v>6397</v>
      </c>
    </row>
    <row r="155" spans="1:20" ht="15.75" customHeight="1">
      <c r="A155" s="9" t="s">
        <v>2997</v>
      </c>
      <c r="B155" s="9" t="s">
        <v>7354</v>
      </c>
      <c r="C155" s="9" t="s">
        <v>6671</v>
      </c>
      <c r="D155" s="87" t="s">
        <v>6296</v>
      </c>
      <c r="E155" s="9" t="s">
        <v>6672</v>
      </c>
      <c r="F155" s="9" t="s">
        <v>439</v>
      </c>
      <c r="G155" s="9" t="s">
        <v>436</v>
      </c>
      <c r="H155" s="9" t="s">
        <v>440</v>
      </c>
      <c r="I155" s="87" t="s">
        <v>6405</v>
      </c>
      <c r="J155" s="87" t="s">
        <v>6323</v>
      </c>
      <c r="K155" s="87" t="s">
        <v>6297</v>
      </c>
      <c r="L155" s="87" t="s">
        <v>6240</v>
      </c>
      <c r="M155" s="87" t="s">
        <v>6863</v>
      </c>
      <c r="N155" s="9" t="s">
        <v>6980</v>
      </c>
      <c r="O155" s="87" t="s">
        <v>6297</v>
      </c>
      <c r="P155" s="9" t="s">
        <v>6243</v>
      </c>
      <c r="Q155" s="87" t="s">
        <v>6299</v>
      </c>
      <c r="R155" s="87" t="s">
        <v>6323</v>
      </c>
      <c r="S155" s="87" t="s">
        <v>6306</v>
      </c>
      <c r="T155" s="87" t="s">
        <v>6645</v>
      </c>
    </row>
    <row r="156" spans="1:20" ht="15.75" customHeight="1">
      <c r="A156" s="9" t="s">
        <v>2997</v>
      </c>
      <c r="B156" s="9" t="s">
        <v>7355</v>
      </c>
      <c r="C156" s="9" t="s">
        <v>7228</v>
      </c>
      <c r="D156" s="87" t="s">
        <v>6290</v>
      </c>
      <c r="E156" s="9" t="s">
        <v>6924</v>
      </c>
      <c r="F156" s="9" t="s">
        <v>11</v>
      </c>
      <c r="G156" s="9" t="s">
        <v>383</v>
      </c>
      <c r="H156" s="9" t="s">
        <v>426</v>
      </c>
      <c r="I156" s="87" t="s">
        <v>6405</v>
      </c>
      <c r="J156" s="87" t="s">
        <v>6334</v>
      </c>
      <c r="K156" s="87" t="s">
        <v>6334</v>
      </c>
      <c r="L156" s="87" t="s">
        <v>6316</v>
      </c>
      <c r="M156" s="87" t="s">
        <v>6862</v>
      </c>
      <c r="N156" s="9" t="s">
        <v>7212</v>
      </c>
      <c r="O156" s="87" t="s">
        <v>6295</v>
      </c>
      <c r="P156" s="9" t="s">
        <v>6243</v>
      </c>
      <c r="Q156" s="87" t="s">
        <v>6372</v>
      </c>
      <c r="R156" s="87" t="s">
        <v>6334</v>
      </c>
      <c r="S156" s="87" t="s">
        <v>6245</v>
      </c>
      <c r="T156" s="87" t="s">
        <v>6250</v>
      </c>
    </row>
    <row r="157" spans="1:20" ht="15.75" customHeight="1">
      <c r="A157" s="9" t="s">
        <v>2997</v>
      </c>
      <c r="B157" s="9" t="s">
        <v>7356</v>
      </c>
      <c r="C157" s="9" t="s">
        <v>6923</v>
      </c>
      <c r="D157" s="87" t="s">
        <v>6327</v>
      </c>
      <c r="E157" s="9" t="s">
        <v>6924</v>
      </c>
      <c r="F157" s="9" t="s">
        <v>6925</v>
      </c>
      <c r="G157" s="9" t="s">
        <v>383</v>
      </c>
      <c r="H157" s="9" t="s">
        <v>444</v>
      </c>
      <c r="I157" s="87" t="s">
        <v>6405</v>
      </c>
      <c r="J157" s="87" t="s">
        <v>6264</v>
      </c>
      <c r="K157" s="87" t="s">
        <v>6926</v>
      </c>
      <c r="L157" s="87" t="s">
        <v>6250</v>
      </c>
      <c r="M157" s="87" t="s">
        <v>6862</v>
      </c>
      <c r="N157" s="9" t="s">
        <v>7882</v>
      </c>
      <c r="O157" s="87" t="s">
        <v>6435</v>
      </c>
      <c r="P157" s="9" t="s">
        <v>6243</v>
      </c>
      <c r="Q157" s="87" t="s">
        <v>6250</v>
      </c>
      <c r="R157" s="87" t="s">
        <v>6264</v>
      </c>
      <c r="S157" s="87" t="s">
        <v>6293</v>
      </c>
      <c r="T157" s="87" t="s">
        <v>6392</v>
      </c>
    </row>
    <row r="158" spans="1:20" ht="15.75" customHeight="1">
      <c r="A158" s="9" t="s">
        <v>2997</v>
      </c>
      <c r="B158" s="9" t="s">
        <v>7356</v>
      </c>
      <c r="C158" s="9" t="s">
        <v>7228</v>
      </c>
      <c r="D158" s="87" t="s">
        <v>6290</v>
      </c>
      <c r="E158" s="9" t="s">
        <v>6924</v>
      </c>
      <c r="F158" s="9" t="s">
        <v>11</v>
      </c>
      <c r="G158" s="9" t="s">
        <v>383</v>
      </c>
      <c r="H158" s="9" t="s">
        <v>426</v>
      </c>
      <c r="I158" s="87" t="s">
        <v>6405</v>
      </c>
      <c r="J158" s="87" t="s">
        <v>6405</v>
      </c>
      <c r="K158" s="87" t="s">
        <v>6405</v>
      </c>
      <c r="L158" s="87" t="s">
        <v>6316</v>
      </c>
      <c r="M158" s="87" t="s">
        <v>6352</v>
      </c>
      <c r="N158" s="9" t="s">
        <v>7883</v>
      </c>
      <c r="O158" s="87" t="s">
        <v>6421</v>
      </c>
      <c r="P158" s="9" t="s">
        <v>6243</v>
      </c>
      <c r="Q158" s="87" t="s">
        <v>6316</v>
      </c>
      <c r="R158" s="87" t="s">
        <v>6405</v>
      </c>
      <c r="S158" s="87" t="s">
        <v>6392</v>
      </c>
      <c r="T158" s="87" t="s">
        <v>6357</v>
      </c>
    </row>
    <row r="159" spans="1:20" ht="15.75" customHeight="1">
      <c r="A159" s="9" t="s">
        <v>2888</v>
      </c>
      <c r="B159" s="9" t="s">
        <v>7358</v>
      </c>
      <c r="C159" s="9" t="s">
        <v>6236</v>
      </c>
      <c r="D159" s="87" t="s">
        <v>6393</v>
      </c>
      <c r="E159" s="9" t="s">
        <v>431</v>
      </c>
      <c r="F159" s="9" t="s">
        <v>368</v>
      </c>
      <c r="G159" s="9" t="s">
        <v>436</v>
      </c>
      <c r="H159" s="9" t="s">
        <v>434</v>
      </c>
      <c r="I159" s="87" t="s">
        <v>6237</v>
      </c>
      <c r="J159" s="87" t="s">
        <v>6264</v>
      </c>
      <c r="K159" s="87" t="s">
        <v>6264</v>
      </c>
      <c r="L159" s="87" t="s">
        <v>6240</v>
      </c>
      <c r="M159" s="87" t="s">
        <v>6311</v>
      </c>
      <c r="N159" s="9" t="s">
        <v>7013</v>
      </c>
      <c r="O159" s="87" t="s">
        <v>6264</v>
      </c>
      <c r="P159" s="9" t="s">
        <v>6243</v>
      </c>
      <c r="Q159" s="87" t="s">
        <v>6313</v>
      </c>
      <c r="R159" s="87" t="s">
        <v>6264</v>
      </c>
      <c r="S159" s="87" t="s">
        <v>6322</v>
      </c>
      <c r="T159" s="87" t="s">
        <v>6401</v>
      </c>
    </row>
    <row r="160" spans="1:20" ht="15.75" customHeight="1">
      <c r="A160" s="9" t="s">
        <v>2888</v>
      </c>
      <c r="B160" s="9" t="s">
        <v>7360</v>
      </c>
      <c r="C160" s="9" t="s">
        <v>6923</v>
      </c>
      <c r="D160" s="87" t="s">
        <v>6327</v>
      </c>
      <c r="E160" s="9" t="s">
        <v>6924</v>
      </c>
      <c r="F160" s="9" t="s">
        <v>6925</v>
      </c>
      <c r="G160" s="9" t="s">
        <v>383</v>
      </c>
      <c r="H160" s="9" t="s">
        <v>444</v>
      </c>
      <c r="I160" s="87" t="s">
        <v>6405</v>
      </c>
      <c r="J160" s="87" t="s">
        <v>6405</v>
      </c>
      <c r="K160" s="87" t="s">
        <v>6926</v>
      </c>
      <c r="L160" s="87" t="s">
        <v>6316</v>
      </c>
      <c r="M160" s="87" t="s">
        <v>6875</v>
      </c>
      <c r="N160" s="9" t="s">
        <v>7884</v>
      </c>
      <c r="O160" s="87" t="s">
        <v>6421</v>
      </c>
      <c r="P160" s="9" t="s">
        <v>6243</v>
      </c>
      <c r="Q160" s="87" t="s">
        <v>6316</v>
      </c>
      <c r="R160" s="87" t="s">
        <v>6405</v>
      </c>
      <c r="S160" s="87" t="s">
        <v>6461</v>
      </c>
      <c r="T160" s="87" t="s">
        <v>6528</v>
      </c>
    </row>
    <row r="161" spans="1:20" ht="15.75" customHeight="1">
      <c r="A161" s="9" t="s">
        <v>2888</v>
      </c>
      <c r="B161" s="9" t="s">
        <v>7359</v>
      </c>
      <c r="C161" s="9" t="s">
        <v>6671</v>
      </c>
      <c r="D161" s="87" t="s">
        <v>6296</v>
      </c>
      <c r="E161" s="9" t="s">
        <v>6672</v>
      </c>
      <c r="F161" s="9" t="s">
        <v>439</v>
      </c>
      <c r="G161" s="9" t="s">
        <v>436</v>
      </c>
      <c r="H161" s="9" t="s">
        <v>440</v>
      </c>
      <c r="I161" s="87" t="s">
        <v>6405</v>
      </c>
      <c r="J161" s="87" t="s">
        <v>6405</v>
      </c>
      <c r="K161" s="87" t="s">
        <v>6405</v>
      </c>
      <c r="L161" s="87" t="s">
        <v>6240</v>
      </c>
      <c r="M161" s="87" t="s">
        <v>6875</v>
      </c>
      <c r="N161" s="9" t="s">
        <v>7014</v>
      </c>
      <c r="O161" s="87" t="s">
        <v>6405</v>
      </c>
      <c r="P161" s="9" t="s">
        <v>6243</v>
      </c>
      <c r="Q161" s="87" t="s">
        <v>6240</v>
      </c>
      <c r="R161" s="87" t="s">
        <v>6405</v>
      </c>
      <c r="S161" s="87" t="s">
        <v>6322</v>
      </c>
      <c r="T161" s="87" t="s">
        <v>6322</v>
      </c>
    </row>
    <row r="162" spans="1:20" ht="15.75" customHeight="1">
      <c r="A162" s="9" t="s">
        <v>2888</v>
      </c>
      <c r="B162" s="9" t="s">
        <v>7360</v>
      </c>
      <c r="C162" s="9" t="s">
        <v>7228</v>
      </c>
      <c r="D162" s="87" t="s">
        <v>6290</v>
      </c>
      <c r="E162" s="9" t="s">
        <v>6924</v>
      </c>
      <c r="F162" s="9" t="s">
        <v>11</v>
      </c>
      <c r="G162" s="9" t="s">
        <v>383</v>
      </c>
      <c r="H162" s="9" t="s">
        <v>426</v>
      </c>
      <c r="I162" s="87" t="s">
        <v>6405</v>
      </c>
      <c r="J162" s="87" t="s">
        <v>6405</v>
      </c>
      <c r="K162" s="87" t="s">
        <v>6405</v>
      </c>
      <c r="L162" s="87" t="s">
        <v>6392</v>
      </c>
      <c r="M162" s="87" t="s">
        <v>6869</v>
      </c>
      <c r="N162" s="9" t="s">
        <v>7885</v>
      </c>
      <c r="O162" s="87" t="s">
        <v>6327</v>
      </c>
      <c r="P162" s="9" t="s">
        <v>6243</v>
      </c>
      <c r="Q162" s="87" t="s">
        <v>6392</v>
      </c>
      <c r="R162" s="87" t="s">
        <v>6405</v>
      </c>
      <c r="S162" s="87" t="s">
        <v>6326</v>
      </c>
      <c r="T162" s="87" t="s">
        <v>6300</v>
      </c>
    </row>
    <row r="163" spans="1:20" ht="15.75" customHeight="1">
      <c r="A163" s="9" t="s">
        <v>2993</v>
      </c>
      <c r="B163" s="9" t="s">
        <v>7362</v>
      </c>
      <c r="C163" s="9" t="s">
        <v>6236</v>
      </c>
      <c r="D163" s="87" t="s">
        <v>6393</v>
      </c>
      <c r="E163" s="9" t="s">
        <v>431</v>
      </c>
      <c r="F163" s="9" t="s">
        <v>368</v>
      </c>
      <c r="G163" s="9" t="s">
        <v>436</v>
      </c>
      <c r="H163" s="9" t="s">
        <v>434</v>
      </c>
      <c r="I163" s="87" t="s">
        <v>6264</v>
      </c>
      <c r="J163" s="87" t="s">
        <v>6238</v>
      </c>
      <c r="K163" s="87" t="s">
        <v>6271</v>
      </c>
      <c r="L163" s="87" t="s">
        <v>6240</v>
      </c>
      <c r="M163" s="87" t="s">
        <v>6338</v>
      </c>
      <c r="N163" s="9" t="s">
        <v>7016</v>
      </c>
      <c r="O163" s="87" t="s">
        <v>6271</v>
      </c>
      <c r="P163" s="9" t="s">
        <v>6243</v>
      </c>
      <c r="Q163" s="87" t="s">
        <v>3746</v>
      </c>
      <c r="R163" s="87" t="s">
        <v>6238</v>
      </c>
      <c r="S163" s="87" t="s">
        <v>6327</v>
      </c>
      <c r="T163" s="87" t="s">
        <v>6474</v>
      </c>
    </row>
    <row r="164" spans="1:20" ht="15.75" customHeight="1">
      <c r="A164" s="9" t="s">
        <v>2993</v>
      </c>
      <c r="B164" s="9" t="s">
        <v>7362</v>
      </c>
      <c r="C164" s="9" t="s">
        <v>6236</v>
      </c>
      <c r="D164" s="87" t="s">
        <v>6393</v>
      </c>
      <c r="E164" s="9" t="s">
        <v>431</v>
      </c>
      <c r="F164" s="9" t="s">
        <v>368</v>
      </c>
      <c r="G164" s="9" t="s">
        <v>436</v>
      </c>
      <c r="H164" s="9" t="s">
        <v>434</v>
      </c>
      <c r="I164" s="87" t="s">
        <v>6264</v>
      </c>
      <c r="J164" s="87" t="s">
        <v>6238</v>
      </c>
      <c r="K164" s="87" t="s">
        <v>6268</v>
      </c>
      <c r="L164" s="87" t="s">
        <v>6240</v>
      </c>
      <c r="M164" s="87" t="s">
        <v>6339</v>
      </c>
      <c r="N164" s="9" t="s">
        <v>7017</v>
      </c>
      <c r="O164" s="87" t="s">
        <v>6268</v>
      </c>
      <c r="P164" s="9" t="s">
        <v>6243</v>
      </c>
      <c r="Q164" s="87" t="s">
        <v>6270</v>
      </c>
      <c r="R164" s="87" t="s">
        <v>6238</v>
      </c>
      <c r="S164" s="87" t="s">
        <v>6342</v>
      </c>
      <c r="T164" s="87" t="s">
        <v>6645</v>
      </c>
    </row>
    <row r="165" spans="1:20" ht="15.75" customHeight="1">
      <c r="A165" s="9" t="s">
        <v>2993</v>
      </c>
      <c r="B165" s="9" t="s">
        <v>7364</v>
      </c>
      <c r="C165" s="9" t="s">
        <v>6923</v>
      </c>
      <c r="D165" s="87" t="s">
        <v>6327</v>
      </c>
      <c r="E165" s="9" t="s">
        <v>6924</v>
      </c>
      <c r="F165" s="9" t="s">
        <v>6925</v>
      </c>
      <c r="G165" s="9" t="s">
        <v>383</v>
      </c>
      <c r="H165" s="9" t="s">
        <v>444</v>
      </c>
      <c r="I165" s="87" t="s">
        <v>6405</v>
      </c>
      <c r="J165" s="87" t="s">
        <v>6237</v>
      </c>
      <c r="K165" s="87" t="s">
        <v>6926</v>
      </c>
      <c r="L165" s="87" t="s">
        <v>5968</v>
      </c>
      <c r="M165" s="87" t="s">
        <v>6343</v>
      </c>
      <c r="N165" s="9" t="s">
        <v>7886</v>
      </c>
      <c r="O165" s="87" t="s">
        <v>6254</v>
      </c>
      <c r="P165" s="9" t="s">
        <v>6243</v>
      </c>
      <c r="Q165" s="87" t="s">
        <v>5968</v>
      </c>
      <c r="R165" s="87" t="s">
        <v>6237</v>
      </c>
      <c r="S165" s="87" t="s">
        <v>6264</v>
      </c>
      <c r="T165" s="87" t="s">
        <v>6387</v>
      </c>
    </row>
    <row r="166" spans="1:20" ht="15.75" customHeight="1">
      <c r="A166" s="9" t="s">
        <v>2993</v>
      </c>
      <c r="B166" s="9" t="s">
        <v>7363</v>
      </c>
      <c r="C166" s="9" t="s">
        <v>6671</v>
      </c>
      <c r="D166" s="87" t="s">
        <v>6296</v>
      </c>
      <c r="E166" s="9" t="s">
        <v>6672</v>
      </c>
      <c r="F166" s="9" t="s">
        <v>439</v>
      </c>
      <c r="G166" s="9" t="s">
        <v>436</v>
      </c>
      <c r="H166" s="9" t="s">
        <v>440</v>
      </c>
      <c r="I166" s="87" t="s">
        <v>6405</v>
      </c>
      <c r="J166" s="87" t="s">
        <v>5381</v>
      </c>
      <c r="K166" s="87" t="s">
        <v>5381</v>
      </c>
      <c r="L166" s="87" t="s">
        <v>6240</v>
      </c>
      <c r="M166" s="87" t="s">
        <v>6343</v>
      </c>
      <c r="N166" s="9" t="s">
        <v>7018</v>
      </c>
      <c r="O166" s="87" t="s">
        <v>5381</v>
      </c>
      <c r="P166" s="9" t="s">
        <v>6243</v>
      </c>
      <c r="Q166" s="87" t="s">
        <v>4081</v>
      </c>
      <c r="R166" s="87" t="s">
        <v>5381</v>
      </c>
      <c r="S166" s="87" t="s">
        <v>6346</v>
      </c>
      <c r="T166" s="87" t="s">
        <v>6645</v>
      </c>
    </row>
    <row r="167" spans="1:20" ht="15.75" customHeight="1">
      <c r="A167" s="9" t="s">
        <v>2993</v>
      </c>
      <c r="B167" s="9" t="s">
        <v>7364</v>
      </c>
      <c r="C167" s="9" t="s">
        <v>7228</v>
      </c>
      <c r="D167" s="87" t="s">
        <v>6290</v>
      </c>
      <c r="E167" s="9" t="s">
        <v>6924</v>
      </c>
      <c r="F167" s="9" t="s">
        <v>11</v>
      </c>
      <c r="G167" s="9" t="s">
        <v>383</v>
      </c>
      <c r="H167" s="9" t="s">
        <v>426</v>
      </c>
      <c r="I167" s="87" t="s">
        <v>6405</v>
      </c>
      <c r="J167" s="87" t="s">
        <v>6405</v>
      </c>
      <c r="K167" s="87" t="s">
        <v>6405</v>
      </c>
      <c r="L167" s="87" t="s">
        <v>6306</v>
      </c>
      <c r="M167" s="87" t="s">
        <v>6863</v>
      </c>
      <c r="N167" s="9" t="s">
        <v>6959</v>
      </c>
      <c r="O167" s="87" t="s">
        <v>4953</v>
      </c>
      <c r="P167" s="9" t="s">
        <v>6243</v>
      </c>
      <c r="Q167" s="87" t="s">
        <v>6306</v>
      </c>
      <c r="R167" s="87" t="s">
        <v>6405</v>
      </c>
      <c r="S167" s="87" t="s">
        <v>6543</v>
      </c>
      <c r="T167" s="87" t="s">
        <v>6341</v>
      </c>
    </row>
    <row r="168" spans="1:20" ht="15.75" customHeight="1">
      <c r="A168" s="9" t="s">
        <v>2993</v>
      </c>
      <c r="B168" s="9" t="s">
        <v>7365</v>
      </c>
      <c r="C168" s="9" t="s">
        <v>6923</v>
      </c>
      <c r="D168" s="87" t="s">
        <v>6327</v>
      </c>
      <c r="E168" s="9" t="s">
        <v>6924</v>
      </c>
      <c r="F168" s="9" t="s">
        <v>6925</v>
      </c>
      <c r="G168" s="9" t="s">
        <v>383</v>
      </c>
      <c r="H168" s="9" t="s">
        <v>444</v>
      </c>
      <c r="I168" s="87" t="s">
        <v>6405</v>
      </c>
      <c r="J168" s="87" t="s">
        <v>6237</v>
      </c>
      <c r="K168" s="87" t="s">
        <v>6939</v>
      </c>
      <c r="L168" s="87" t="s">
        <v>5968</v>
      </c>
      <c r="M168" s="87" t="s">
        <v>6863</v>
      </c>
      <c r="N168" s="9" t="s">
        <v>6974</v>
      </c>
      <c r="O168" s="87" t="s">
        <v>5381</v>
      </c>
      <c r="P168" s="9" t="s">
        <v>6243</v>
      </c>
      <c r="Q168" s="87" t="s">
        <v>4081</v>
      </c>
      <c r="R168" s="87" t="s">
        <v>6237</v>
      </c>
      <c r="S168" s="87" t="s">
        <v>6268</v>
      </c>
      <c r="T168" s="87" t="s">
        <v>6341</v>
      </c>
    </row>
    <row r="169" spans="1:20" ht="15.75" customHeight="1">
      <c r="A169" s="9" t="s">
        <v>2993</v>
      </c>
      <c r="B169" s="9" t="s">
        <v>7365</v>
      </c>
      <c r="C169" s="9" t="s">
        <v>7228</v>
      </c>
      <c r="D169" s="87" t="s">
        <v>6290</v>
      </c>
      <c r="E169" s="9" t="s">
        <v>6924</v>
      </c>
      <c r="F169" s="9" t="s">
        <v>11</v>
      </c>
      <c r="G169" s="9" t="s">
        <v>383</v>
      </c>
      <c r="H169" s="9" t="s">
        <v>426</v>
      </c>
      <c r="I169" s="87" t="s">
        <v>6405</v>
      </c>
      <c r="J169" s="87" t="s">
        <v>6334</v>
      </c>
      <c r="K169" s="87" t="s">
        <v>6334</v>
      </c>
      <c r="L169" s="87" t="s">
        <v>6306</v>
      </c>
      <c r="M169" s="87" t="s">
        <v>6862</v>
      </c>
      <c r="N169" s="9" t="s">
        <v>7121</v>
      </c>
      <c r="O169" s="87" t="s">
        <v>6299</v>
      </c>
      <c r="P169" s="9" t="s">
        <v>6243</v>
      </c>
      <c r="Q169" s="87" t="s">
        <v>3231</v>
      </c>
      <c r="R169" s="87" t="s">
        <v>6334</v>
      </c>
      <c r="S169" s="87" t="s">
        <v>6400</v>
      </c>
      <c r="T169" s="87" t="s">
        <v>6341</v>
      </c>
    </row>
    <row r="170" spans="1:20" ht="15.75" customHeight="1">
      <c r="A170" s="9" t="s">
        <v>2993</v>
      </c>
      <c r="B170" s="9" t="s">
        <v>7887</v>
      </c>
      <c r="C170" s="9" t="s">
        <v>6923</v>
      </c>
      <c r="D170" s="87" t="s">
        <v>6327</v>
      </c>
      <c r="E170" s="9" t="s">
        <v>6924</v>
      </c>
      <c r="F170" s="9" t="s">
        <v>6925</v>
      </c>
      <c r="G170" s="9" t="s">
        <v>383</v>
      </c>
      <c r="H170" s="9" t="s">
        <v>444</v>
      </c>
      <c r="I170" s="87" t="s">
        <v>6405</v>
      </c>
      <c r="J170" s="87" t="s">
        <v>6237</v>
      </c>
      <c r="K170" s="87" t="s">
        <v>6926</v>
      </c>
      <c r="L170" s="87" t="s">
        <v>5968</v>
      </c>
      <c r="M170" s="87" t="s">
        <v>6862</v>
      </c>
      <c r="N170" s="9" t="s">
        <v>6976</v>
      </c>
      <c r="O170" s="87" t="s">
        <v>6254</v>
      </c>
      <c r="P170" s="9" t="s">
        <v>6243</v>
      </c>
      <c r="Q170" s="87" t="s">
        <v>5968</v>
      </c>
      <c r="R170" s="87" t="s">
        <v>6237</v>
      </c>
      <c r="S170" s="87" t="s">
        <v>6322</v>
      </c>
      <c r="T170" s="87" t="s">
        <v>6341</v>
      </c>
    </row>
    <row r="171" spans="1:20" ht="15.75" customHeight="1">
      <c r="A171" s="9" t="s">
        <v>2993</v>
      </c>
      <c r="B171" s="9" t="s">
        <v>7887</v>
      </c>
      <c r="C171" s="9" t="s">
        <v>7228</v>
      </c>
      <c r="D171" s="87" t="s">
        <v>6290</v>
      </c>
      <c r="E171" s="9" t="s">
        <v>6924</v>
      </c>
      <c r="F171" s="9" t="s">
        <v>11</v>
      </c>
      <c r="G171" s="9" t="s">
        <v>383</v>
      </c>
      <c r="H171" s="9" t="s">
        <v>426</v>
      </c>
      <c r="I171" s="87" t="s">
        <v>6405</v>
      </c>
      <c r="J171" s="87" t="s">
        <v>6405</v>
      </c>
      <c r="K171" s="87" t="s">
        <v>6405</v>
      </c>
      <c r="L171" s="87" t="s">
        <v>6306</v>
      </c>
      <c r="M171" s="87" t="s">
        <v>6352</v>
      </c>
      <c r="N171" s="9" t="s">
        <v>6959</v>
      </c>
      <c r="O171" s="87" t="s">
        <v>4953</v>
      </c>
      <c r="P171" s="9" t="s">
        <v>6243</v>
      </c>
      <c r="Q171" s="87" t="s">
        <v>6306</v>
      </c>
      <c r="R171" s="87" t="s">
        <v>6405</v>
      </c>
      <c r="S171" s="87" t="s">
        <v>6543</v>
      </c>
      <c r="T171" s="87" t="s">
        <v>6341</v>
      </c>
    </row>
    <row r="172" spans="1:20" ht="15.75" customHeight="1">
      <c r="A172" s="9" t="s">
        <v>2978</v>
      </c>
      <c r="B172" s="9" t="s">
        <v>7366</v>
      </c>
      <c r="C172" s="9" t="s">
        <v>6236</v>
      </c>
      <c r="D172" s="87" t="s">
        <v>6393</v>
      </c>
      <c r="E172" s="9" t="s">
        <v>431</v>
      </c>
      <c r="F172" s="9" t="s">
        <v>368</v>
      </c>
      <c r="G172" s="9" t="s">
        <v>436</v>
      </c>
      <c r="H172" s="9" t="s">
        <v>434</v>
      </c>
      <c r="I172" s="87" t="s">
        <v>6264</v>
      </c>
      <c r="J172" s="87" t="s">
        <v>6306</v>
      </c>
      <c r="K172" s="87" t="s">
        <v>6239</v>
      </c>
      <c r="L172" s="87" t="s">
        <v>6240</v>
      </c>
      <c r="M172" s="87" t="s">
        <v>6385</v>
      </c>
      <c r="N172" s="9" t="s">
        <v>6928</v>
      </c>
      <c r="O172" s="87" t="s">
        <v>6239</v>
      </c>
      <c r="P172" s="9" t="s">
        <v>6243</v>
      </c>
      <c r="Q172" s="87" t="s">
        <v>3764</v>
      </c>
      <c r="R172" s="87" t="s">
        <v>6306</v>
      </c>
      <c r="S172" s="87" t="s">
        <v>6327</v>
      </c>
      <c r="T172" s="87" t="s">
        <v>6645</v>
      </c>
    </row>
    <row r="173" spans="1:20" ht="15.75" customHeight="1">
      <c r="A173" s="9" t="s">
        <v>2978</v>
      </c>
      <c r="B173" s="9" t="s">
        <v>7366</v>
      </c>
      <c r="C173" s="9" t="s">
        <v>6236</v>
      </c>
      <c r="D173" s="87" t="s">
        <v>6393</v>
      </c>
      <c r="E173" s="9" t="s">
        <v>431</v>
      </c>
      <c r="F173" s="9" t="s">
        <v>368</v>
      </c>
      <c r="G173" s="9" t="s">
        <v>436</v>
      </c>
      <c r="H173" s="9" t="s">
        <v>434</v>
      </c>
      <c r="I173" s="87" t="s">
        <v>6264</v>
      </c>
      <c r="J173" s="87" t="s">
        <v>6306</v>
      </c>
      <c r="K173" s="87" t="s">
        <v>6237</v>
      </c>
      <c r="L173" s="87" t="s">
        <v>6240</v>
      </c>
      <c r="M173" s="87" t="s">
        <v>6388</v>
      </c>
      <c r="N173" s="9" t="s">
        <v>6967</v>
      </c>
      <c r="O173" s="87" t="s">
        <v>6237</v>
      </c>
      <c r="P173" s="9" t="s">
        <v>6243</v>
      </c>
      <c r="Q173" s="87" t="s">
        <v>4953</v>
      </c>
      <c r="R173" s="87" t="s">
        <v>6306</v>
      </c>
      <c r="S173" s="87" t="s">
        <v>6424</v>
      </c>
      <c r="T173" s="87" t="s">
        <v>6645</v>
      </c>
    </row>
    <row r="174" spans="1:20" ht="15.75" customHeight="1">
      <c r="A174" s="9" t="s">
        <v>2978</v>
      </c>
      <c r="B174" s="9" t="s">
        <v>7367</v>
      </c>
      <c r="C174" s="9" t="s">
        <v>6671</v>
      </c>
      <c r="D174" s="87" t="s">
        <v>6296</v>
      </c>
      <c r="E174" s="9" t="s">
        <v>6672</v>
      </c>
      <c r="F174" s="9" t="s">
        <v>439</v>
      </c>
      <c r="G174" s="9" t="s">
        <v>436</v>
      </c>
      <c r="H174" s="9" t="s">
        <v>440</v>
      </c>
      <c r="I174" s="87" t="s">
        <v>6405</v>
      </c>
      <c r="J174" s="87" t="s">
        <v>6299</v>
      </c>
      <c r="K174" s="87" t="s">
        <v>6299</v>
      </c>
      <c r="L174" s="87" t="s">
        <v>6240</v>
      </c>
      <c r="M174" s="87" t="s">
        <v>6389</v>
      </c>
      <c r="N174" s="9" t="s">
        <v>6961</v>
      </c>
      <c r="O174" s="87" t="s">
        <v>6299</v>
      </c>
      <c r="P174" s="9" t="s">
        <v>6243</v>
      </c>
      <c r="Q174" s="87" t="s">
        <v>3231</v>
      </c>
      <c r="R174" s="87" t="s">
        <v>6299</v>
      </c>
      <c r="S174" s="87" t="s">
        <v>6333</v>
      </c>
      <c r="T174" s="87" t="s">
        <v>6645</v>
      </c>
    </row>
    <row r="175" spans="1:20" ht="15.75" customHeight="1">
      <c r="A175" s="9" t="s">
        <v>2978</v>
      </c>
      <c r="B175" s="9" t="s">
        <v>7368</v>
      </c>
      <c r="C175" s="9" t="s">
        <v>6923</v>
      </c>
      <c r="D175" s="87" t="s">
        <v>6327</v>
      </c>
      <c r="E175" s="9" t="s">
        <v>6924</v>
      </c>
      <c r="F175" s="9" t="s">
        <v>6925</v>
      </c>
      <c r="G175" s="9" t="s">
        <v>383</v>
      </c>
      <c r="H175" s="9" t="s">
        <v>444</v>
      </c>
      <c r="I175" s="87" t="s">
        <v>6405</v>
      </c>
      <c r="J175" s="87" t="s">
        <v>6405</v>
      </c>
      <c r="K175" s="87" t="s">
        <v>6926</v>
      </c>
      <c r="L175" s="87" t="s">
        <v>6573</v>
      </c>
      <c r="M175" s="87" t="s">
        <v>6838</v>
      </c>
      <c r="N175" s="9" t="s">
        <v>7019</v>
      </c>
      <c r="O175" s="87" t="s">
        <v>6570</v>
      </c>
      <c r="P175" s="9" t="s">
        <v>6243</v>
      </c>
      <c r="Q175" s="87" t="s">
        <v>6573</v>
      </c>
      <c r="R175" s="87" t="s">
        <v>6405</v>
      </c>
      <c r="S175" s="87" t="s">
        <v>6334</v>
      </c>
      <c r="T175" s="87" t="s">
        <v>6280</v>
      </c>
    </row>
    <row r="176" spans="1:20" ht="15.75" customHeight="1">
      <c r="A176" s="9" t="s">
        <v>2978</v>
      </c>
      <c r="B176" s="9" t="s">
        <v>7368</v>
      </c>
      <c r="C176" s="9" t="s">
        <v>7228</v>
      </c>
      <c r="D176" s="87" t="s">
        <v>6290</v>
      </c>
      <c r="E176" s="9" t="s">
        <v>6924</v>
      </c>
      <c r="F176" s="9" t="s">
        <v>11</v>
      </c>
      <c r="G176" s="9" t="s">
        <v>383</v>
      </c>
      <c r="H176" s="9" t="s">
        <v>426</v>
      </c>
      <c r="I176" s="87" t="s">
        <v>6405</v>
      </c>
      <c r="J176" s="87" t="s">
        <v>6405</v>
      </c>
      <c r="K176" s="87" t="s">
        <v>6405</v>
      </c>
      <c r="L176" s="87" t="s">
        <v>6341</v>
      </c>
      <c r="M176" s="87" t="s">
        <v>6431</v>
      </c>
      <c r="N176" s="9" t="s">
        <v>7173</v>
      </c>
      <c r="O176" s="87" t="s">
        <v>6393</v>
      </c>
      <c r="P176" s="9" t="s">
        <v>6243</v>
      </c>
      <c r="Q176" s="87" t="s">
        <v>6341</v>
      </c>
      <c r="R176" s="87" t="s">
        <v>6405</v>
      </c>
      <c r="S176" s="87" t="s">
        <v>6277</v>
      </c>
      <c r="T176" s="87" t="s">
        <v>6341</v>
      </c>
    </row>
    <row r="177" spans="1:20" ht="15.75" customHeight="1">
      <c r="A177" s="9" t="s">
        <v>2970</v>
      </c>
      <c r="B177" s="9" t="s">
        <v>7369</v>
      </c>
      <c r="C177" s="9" t="s">
        <v>6236</v>
      </c>
      <c r="D177" s="87" t="s">
        <v>6393</v>
      </c>
      <c r="E177" s="9" t="s">
        <v>431</v>
      </c>
      <c r="F177" s="9" t="s">
        <v>368</v>
      </c>
      <c r="G177" s="9" t="s">
        <v>436</v>
      </c>
      <c r="H177" s="9" t="s">
        <v>434</v>
      </c>
      <c r="I177" s="87" t="s">
        <v>6264</v>
      </c>
      <c r="J177" s="87" t="s">
        <v>6342</v>
      </c>
      <c r="K177" s="87" t="s">
        <v>6342</v>
      </c>
      <c r="L177" s="87" t="s">
        <v>6240</v>
      </c>
      <c r="M177" s="87" t="s">
        <v>6343</v>
      </c>
      <c r="N177" s="9" t="s">
        <v>7020</v>
      </c>
      <c r="O177" s="87" t="s">
        <v>6342</v>
      </c>
      <c r="P177" s="9" t="s">
        <v>6243</v>
      </c>
      <c r="Q177" s="87" t="s">
        <v>6345</v>
      </c>
      <c r="R177" s="87" t="s">
        <v>6342</v>
      </c>
      <c r="S177" s="87" t="s">
        <v>6268</v>
      </c>
      <c r="T177" s="87" t="s">
        <v>6645</v>
      </c>
    </row>
    <row r="178" spans="1:20" ht="15.75" customHeight="1">
      <c r="A178" s="9" t="s">
        <v>2970</v>
      </c>
      <c r="B178" s="9" t="s">
        <v>7371</v>
      </c>
      <c r="C178" s="9" t="s">
        <v>6923</v>
      </c>
      <c r="D178" s="87" t="s">
        <v>6264</v>
      </c>
      <c r="E178" s="9" t="s">
        <v>6924</v>
      </c>
      <c r="F178" s="9" t="s">
        <v>6925</v>
      </c>
      <c r="G178" s="9" t="s">
        <v>383</v>
      </c>
      <c r="H178" s="9" t="s">
        <v>449</v>
      </c>
      <c r="I178" s="87" t="s">
        <v>6405</v>
      </c>
      <c r="J178" s="87" t="s">
        <v>6237</v>
      </c>
      <c r="K178" s="87" t="s">
        <v>6926</v>
      </c>
      <c r="L178" s="87" t="s">
        <v>6464</v>
      </c>
      <c r="M178" s="87" t="s">
        <v>6863</v>
      </c>
      <c r="N178" s="9" t="s">
        <v>7888</v>
      </c>
      <c r="O178" s="87" t="s">
        <v>6302</v>
      </c>
      <c r="P178" s="9" t="s">
        <v>6243</v>
      </c>
      <c r="Q178" s="87" t="s">
        <v>6464</v>
      </c>
      <c r="R178" s="87" t="s">
        <v>6237</v>
      </c>
      <c r="S178" s="87" t="s">
        <v>6421</v>
      </c>
      <c r="T178" s="87" t="s">
        <v>6404</v>
      </c>
    </row>
    <row r="179" spans="1:20" ht="15.75" customHeight="1">
      <c r="A179" s="9" t="s">
        <v>2970</v>
      </c>
      <c r="B179" s="9" t="s">
        <v>7370</v>
      </c>
      <c r="C179" s="9" t="s">
        <v>6671</v>
      </c>
      <c r="D179" s="87" t="s">
        <v>6296</v>
      </c>
      <c r="E179" s="9" t="s">
        <v>6672</v>
      </c>
      <c r="F179" s="9" t="s">
        <v>439</v>
      </c>
      <c r="G179" s="9" t="s">
        <v>436</v>
      </c>
      <c r="H179" s="9" t="s">
        <v>440</v>
      </c>
      <c r="I179" s="87" t="s">
        <v>6405</v>
      </c>
      <c r="J179" s="87" t="s">
        <v>6302</v>
      </c>
      <c r="K179" s="87" t="s">
        <v>6302</v>
      </c>
      <c r="L179" s="87" t="s">
        <v>6240</v>
      </c>
      <c r="M179" s="87" t="s">
        <v>6863</v>
      </c>
      <c r="N179" s="9" t="s">
        <v>7021</v>
      </c>
      <c r="O179" s="87" t="s">
        <v>6302</v>
      </c>
      <c r="P179" s="9" t="s">
        <v>6243</v>
      </c>
      <c r="Q179" s="87" t="s">
        <v>6464</v>
      </c>
      <c r="R179" s="87" t="s">
        <v>6302</v>
      </c>
      <c r="S179" s="87" t="s">
        <v>6430</v>
      </c>
      <c r="T179" s="87" t="s">
        <v>6443</v>
      </c>
    </row>
    <row r="180" spans="1:20" ht="15.75" customHeight="1">
      <c r="A180" s="9" t="s">
        <v>2970</v>
      </c>
      <c r="B180" s="9" t="s">
        <v>7371</v>
      </c>
      <c r="C180" s="9" t="s">
        <v>7228</v>
      </c>
      <c r="D180" s="87" t="s">
        <v>6405</v>
      </c>
      <c r="E180" s="9" t="s">
        <v>6924</v>
      </c>
      <c r="F180" s="9" t="s">
        <v>11</v>
      </c>
      <c r="G180" s="9" t="s">
        <v>383</v>
      </c>
      <c r="H180" s="9" t="s">
        <v>426</v>
      </c>
      <c r="I180" s="87" t="s">
        <v>6405</v>
      </c>
      <c r="J180" s="87" t="s">
        <v>6405</v>
      </c>
      <c r="K180" s="87" t="s">
        <v>6405</v>
      </c>
      <c r="L180" s="87" t="s">
        <v>6397</v>
      </c>
      <c r="M180" s="87" t="s">
        <v>6862</v>
      </c>
      <c r="N180" s="9" t="s">
        <v>7372</v>
      </c>
      <c r="O180" s="87" t="s">
        <v>6240</v>
      </c>
      <c r="P180" s="9" t="s">
        <v>6243</v>
      </c>
      <c r="Q180" s="87" t="s">
        <v>6397</v>
      </c>
      <c r="R180" s="87" t="s">
        <v>6405</v>
      </c>
      <c r="S180" s="87" t="s">
        <v>6393</v>
      </c>
      <c r="T180" s="87" t="s">
        <v>6411</v>
      </c>
    </row>
    <row r="181" spans="1:20" ht="15.75" customHeight="1">
      <c r="A181" s="9" t="s">
        <v>2970</v>
      </c>
      <c r="B181" s="9" t="s">
        <v>7373</v>
      </c>
      <c r="C181" s="9" t="s">
        <v>6923</v>
      </c>
      <c r="D181" s="87" t="s">
        <v>6264</v>
      </c>
      <c r="E181" s="9" t="s">
        <v>6924</v>
      </c>
      <c r="F181" s="9" t="s">
        <v>6925</v>
      </c>
      <c r="G181" s="9" t="s">
        <v>383</v>
      </c>
      <c r="H181" s="9" t="s">
        <v>449</v>
      </c>
      <c r="I181" s="87" t="s">
        <v>6405</v>
      </c>
      <c r="J181" s="87" t="s">
        <v>6237</v>
      </c>
      <c r="K181" s="87" t="s">
        <v>6926</v>
      </c>
      <c r="L181" s="87" t="s">
        <v>6464</v>
      </c>
      <c r="M181" s="87" t="s">
        <v>6862</v>
      </c>
      <c r="N181" s="9" t="s">
        <v>7252</v>
      </c>
      <c r="O181" s="87" t="s">
        <v>6302</v>
      </c>
      <c r="P181" s="9" t="s">
        <v>6243</v>
      </c>
      <c r="Q181" s="87" t="s">
        <v>6464</v>
      </c>
      <c r="R181" s="87" t="s">
        <v>6237</v>
      </c>
      <c r="S181" s="87" t="s">
        <v>6297</v>
      </c>
      <c r="T181" s="87" t="s">
        <v>6370</v>
      </c>
    </row>
    <row r="182" spans="1:20" ht="15.75" customHeight="1">
      <c r="A182" s="9" t="s">
        <v>2970</v>
      </c>
      <c r="B182" s="9" t="s">
        <v>7373</v>
      </c>
      <c r="C182" s="9" t="s">
        <v>7228</v>
      </c>
      <c r="D182" s="87" t="s">
        <v>6405</v>
      </c>
      <c r="E182" s="9" t="s">
        <v>6924</v>
      </c>
      <c r="F182" s="9" t="s">
        <v>11</v>
      </c>
      <c r="G182" s="9" t="s">
        <v>383</v>
      </c>
      <c r="H182" s="9" t="s">
        <v>426</v>
      </c>
      <c r="I182" s="87" t="s">
        <v>6405</v>
      </c>
      <c r="J182" s="87" t="s">
        <v>6405</v>
      </c>
      <c r="K182" s="87" t="s">
        <v>6405</v>
      </c>
      <c r="L182" s="87" t="s">
        <v>6397</v>
      </c>
      <c r="M182" s="87" t="s">
        <v>6352</v>
      </c>
      <c r="N182" s="9" t="s">
        <v>7889</v>
      </c>
      <c r="O182" s="87" t="s">
        <v>6240</v>
      </c>
      <c r="P182" s="9" t="s">
        <v>6243</v>
      </c>
      <c r="Q182" s="87" t="s">
        <v>6397</v>
      </c>
      <c r="R182" s="87" t="s">
        <v>6405</v>
      </c>
      <c r="S182" s="87" t="s">
        <v>6250</v>
      </c>
      <c r="T182" s="87" t="s">
        <v>6606</v>
      </c>
    </row>
    <row r="183" spans="1:20" ht="15.75" customHeight="1">
      <c r="A183" s="9" t="s">
        <v>2970</v>
      </c>
      <c r="B183" s="9" t="s">
        <v>7376</v>
      </c>
      <c r="C183" s="9" t="s">
        <v>6923</v>
      </c>
      <c r="D183" s="87" t="s">
        <v>6264</v>
      </c>
      <c r="E183" s="9" t="s">
        <v>6924</v>
      </c>
      <c r="F183" s="9" t="s">
        <v>6925</v>
      </c>
      <c r="G183" s="9" t="s">
        <v>383</v>
      </c>
      <c r="H183" s="9" t="s">
        <v>449</v>
      </c>
      <c r="I183" s="87" t="s">
        <v>6405</v>
      </c>
      <c r="J183" s="87" t="s">
        <v>6237</v>
      </c>
      <c r="K183" s="87" t="s">
        <v>6939</v>
      </c>
      <c r="L183" s="87" t="s">
        <v>6464</v>
      </c>
      <c r="M183" s="87" t="s">
        <v>6352</v>
      </c>
      <c r="N183" s="9" t="s">
        <v>6945</v>
      </c>
      <c r="O183" s="87" t="s">
        <v>6500</v>
      </c>
      <c r="P183" s="9" t="s">
        <v>6243</v>
      </c>
      <c r="Q183" s="87" t="s">
        <v>3749</v>
      </c>
      <c r="R183" s="87" t="s">
        <v>6237</v>
      </c>
      <c r="S183" s="87" t="s">
        <v>6327</v>
      </c>
      <c r="T183" s="87" t="s">
        <v>6341</v>
      </c>
    </row>
    <row r="184" spans="1:20" ht="15.75" customHeight="1">
      <c r="A184" s="9" t="s">
        <v>2970</v>
      </c>
      <c r="B184" s="9" t="s">
        <v>7376</v>
      </c>
      <c r="C184" s="9" t="s">
        <v>7228</v>
      </c>
      <c r="D184" s="87" t="s">
        <v>6405</v>
      </c>
      <c r="E184" s="9" t="s">
        <v>6924</v>
      </c>
      <c r="F184" s="9" t="s">
        <v>11</v>
      </c>
      <c r="G184" s="9" t="s">
        <v>383</v>
      </c>
      <c r="H184" s="9" t="s">
        <v>426</v>
      </c>
      <c r="I184" s="87" t="s">
        <v>6405</v>
      </c>
      <c r="J184" s="87" t="s">
        <v>6334</v>
      </c>
      <c r="K184" s="87" t="s">
        <v>6334</v>
      </c>
      <c r="L184" s="87" t="s">
        <v>6397</v>
      </c>
      <c r="M184" s="87" t="s">
        <v>6353</v>
      </c>
      <c r="N184" s="9" t="s">
        <v>7268</v>
      </c>
      <c r="O184" s="87" t="s">
        <v>6290</v>
      </c>
      <c r="P184" s="9" t="s">
        <v>6243</v>
      </c>
      <c r="Q184" s="87" t="s">
        <v>6293</v>
      </c>
      <c r="R184" s="87" t="s">
        <v>6334</v>
      </c>
      <c r="S184" s="87" t="s">
        <v>6479</v>
      </c>
      <c r="T184" s="87" t="s">
        <v>6341</v>
      </c>
    </row>
    <row r="185" spans="1:20" ht="15.75" customHeight="1">
      <c r="A185" s="9" t="s">
        <v>2870</v>
      </c>
      <c r="B185" s="9" t="s">
        <v>7377</v>
      </c>
      <c r="C185" s="9" t="s">
        <v>6236</v>
      </c>
      <c r="D185" s="87" t="s">
        <v>6393</v>
      </c>
      <c r="E185" s="9" t="s">
        <v>431</v>
      </c>
      <c r="F185" s="9" t="s">
        <v>368</v>
      </c>
      <c r="G185" s="9" t="s">
        <v>436</v>
      </c>
      <c r="H185" s="9" t="s">
        <v>434</v>
      </c>
      <c r="I185" s="87" t="s">
        <v>6237</v>
      </c>
      <c r="J185" s="87" t="s">
        <v>6410</v>
      </c>
      <c r="K185" s="87" t="s">
        <v>6239</v>
      </c>
      <c r="L185" s="87" t="s">
        <v>6240</v>
      </c>
      <c r="M185" s="87" t="s">
        <v>6422</v>
      </c>
      <c r="N185" s="9" t="s">
        <v>6928</v>
      </c>
      <c r="O185" s="87" t="s">
        <v>6239</v>
      </c>
      <c r="P185" s="9" t="s">
        <v>6243</v>
      </c>
      <c r="Q185" s="87" t="s">
        <v>3764</v>
      </c>
      <c r="R185" s="87" t="s">
        <v>6410</v>
      </c>
      <c r="S185" s="87" t="s">
        <v>6327</v>
      </c>
      <c r="T185" s="87" t="s">
        <v>6645</v>
      </c>
    </row>
    <row r="186" spans="1:20" ht="15.75" customHeight="1">
      <c r="A186" s="9" t="s">
        <v>2870</v>
      </c>
      <c r="B186" s="9" t="s">
        <v>7377</v>
      </c>
      <c r="C186" s="9" t="s">
        <v>6236</v>
      </c>
      <c r="D186" s="87" t="s">
        <v>6393</v>
      </c>
      <c r="E186" s="9" t="s">
        <v>431</v>
      </c>
      <c r="F186" s="9" t="s">
        <v>368</v>
      </c>
      <c r="G186" s="9" t="s">
        <v>436</v>
      </c>
      <c r="H186" s="9" t="s">
        <v>434</v>
      </c>
      <c r="I186" s="87" t="s">
        <v>6237</v>
      </c>
      <c r="J186" s="87" t="s">
        <v>6410</v>
      </c>
      <c r="K186" s="87" t="s">
        <v>6535</v>
      </c>
      <c r="L186" s="87" t="s">
        <v>6240</v>
      </c>
      <c r="M186" s="87" t="s">
        <v>6840</v>
      </c>
      <c r="N186" s="9" t="s">
        <v>7022</v>
      </c>
      <c r="O186" s="87" t="s">
        <v>6535</v>
      </c>
      <c r="P186" s="9" t="s">
        <v>6243</v>
      </c>
      <c r="Q186" s="87" t="s">
        <v>6594</v>
      </c>
      <c r="R186" s="87" t="s">
        <v>6410</v>
      </c>
      <c r="S186" s="87" t="s">
        <v>6440</v>
      </c>
      <c r="T186" s="87" t="s">
        <v>6645</v>
      </c>
    </row>
    <row r="187" spans="1:20" ht="15.75" customHeight="1">
      <c r="A187" s="9" t="s">
        <v>2870</v>
      </c>
      <c r="B187" s="9" t="s">
        <v>7378</v>
      </c>
      <c r="C187" s="9" t="s">
        <v>6671</v>
      </c>
      <c r="D187" s="87" t="s">
        <v>6296</v>
      </c>
      <c r="E187" s="9" t="s">
        <v>6672</v>
      </c>
      <c r="F187" s="9" t="s">
        <v>439</v>
      </c>
      <c r="G187" s="9" t="s">
        <v>436</v>
      </c>
      <c r="H187" s="9" t="s">
        <v>440</v>
      </c>
      <c r="I187" s="87" t="s">
        <v>6405</v>
      </c>
      <c r="J187" s="87" t="s">
        <v>6392</v>
      </c>
      <c r="K187" s="87" t="s">
        <v>6392</v>
      </c>
      <c r="L187" s="87" t="s">
        <v>6240</v>
      </c>
      <c r="M187" s="87" t="s">
        <v>6838</v>
      </c>
      <c r="N187" s="9" t="s">
        <v>7023</v>
      </c>
      <c r="O187" s="87" t="s">
        <v>6392</v>
      </c>
      <c r="P187" s="9" t="s">
        <v>6243</v>
      </c>
      <c r="Q187" s="87" t="s">
        <v>3236</v>
      </c>
      <c r="R187" s="87" t="s">
        <v>6392</v>
      </c>
      <c r="S187" s="87" t="s">
        <v>6260</v>
      </c>
      <c r="T187" s="87" t="s">
        <v>6645</v>
      </c>
    </row>
    <row r="188" spans="1:20" ht="15.75" customHeight="1">
      <c r="A188" s="9" t="s">
        <v>2870</v>
      </c>
      <c r="B188" s="9" t="s">
        <v>7379</v>
      </c>
      <c r="C188" s="9" t="s">
        <v>6923</v>
      </c>
      <c r="D188" s="87" t="s">
        <v>6461</v>
      </c>
      <c r="E188" s="9" t="s">
        <v>6924</v>
      </c>
      <c r="F188" s="9" t="s">
        <v>6925</v>
      </c>
      <c r="G188" s="9" t="s">
        <v>383</v>
      </c>
      <c r="H188" s="9" t="s">
        <v>427</v>
      </c>
      <c r="I188" s="87" t="s">
        <v>6405</v>
      </c>
      <c r="J188" s="87" t="s">
        <v>6251</v>
      </c>
      <c r="K188" s="87" t="s">
        <v>6926</v>
      </c>
      <c r="L188" s="87" t="s">
        <v>6375</v>
      </c>
      <c r="M188" s="87" t="s">
        <v>6431</v>
      </c>
      <c r="N188" s="9" t="s">
        <v>7380</v>
      </c>
      <c r="O188" s="87" t="s">
        <v>6484</v>
      </c>
      <c r="P188" s="9" t="s">
        <v>6243</v>
      </c>
      <c r="Q188" s="87" t="s">
        <v>6375</v>
      </c>
      <c r="R188" s="87" t="s">
        <v>6251</v>
      </c>
      <c r="S188" s="87" t="s">
        <v>6268</v>
      </c>
      <c r="T188" s="87" t="s">
        <v>5381</v>
      </c>
    </row>
    <row r="189" spans="1:20" ht="15.75" customHeight="1">
      <c r="A189" s="9" t="s">
        <v>2870</v>
      </c>
      <c r="B189" s="9" t="s">
        <v>7379</v>
      </c>
      <c r="C189" s="9" t="s">
        <v>7228</v>
      </c>
      <c r="D189" s="87" t="s">
        <v>6237</v>
      </c>
      <c r="E189" s="9" t="s">
        <v>6924</v>
      </c>
      <c r="F189" s="9" t="s">
        <v>11</v>
      </c>
      <c r="G189" s="9" t="s">
        <v>383</v>
      </c>
      <c r="H189" s="9" t="s">
        <v>426</v>
      </c>
      <c r="I189" s="87" t="s">
        <v>6405</v>
      </c>
      <c r="J189" s="87" t="s">
        <v>6405</v>
      </c>
      <c r="K189" s="87" t="s">
        <v>6405</v>
      </c>
      <c r="L189" s="87" t="s">
        <v>6392</v>
      </c>
      <c r="M189" s="87" t="s">
        <v>6828</v>
      </c>
      <c r="N189" s="9" t="s">
        <v>7381</v>
      </c>
      <c r="O189" s="87" t="s">
        <v>6327</v>
      </c>
      <c r="P189" s="9" t="s">
        <v>6243</v>
      </c>
      <c r="Q189" s="87" t="s">
        <v>6392</v>
      </c>
      <c r="R189" s="87" t="s">
        <v>6405</v>
      </c>
      <c r="S189" s="87" t="s">
        <v>6300</v>
      </c>
      <c r="T189" s="87" t="s">
        <v>6256</v>
      </c>
    </row>
    <row r="190" spans="1:20" ht="15.75" customHeight="1">
      <c r="A190" s="9" t="s">
        <v>2870</v>
      </c>
      <c r="B190" s="9" t="s">
        <v>7382</v>
      </c>
      <c r="C190" s="9" t="s">
        <v>6923</v>
      </c>
      <c r="D190" s="87" t="s">
        <v>6461</v>
      </c>
      <c r="E190" s="9" t="s">
        <v>6924</v>
      </c>
      <c r="F190" s="9" t="s">
        <v>6925</v>
      </c>
      <c r="G190" s="9" t="s">
        <v>383</v>
      </c>
      <c r="H190" s="9" t="s">
        <v>427</v>
      </c>
      <c r="I190" s="87" t="s">
        <v>6405</v>
      </c>
      <c r="J190" s="87" t="s">
        <v>6251</v>
      </c>
      <c r="K190" s="87" t="s">
        <v>6939</v>
      </c>
      <c r="L190" s="87" t="s">
        <v>6375</v>
      </c>
      <c r="M190" s="87" t="s">
        <v>6828</v>
      </c>
      <c r="N190" s="9" t="s">
        <v>7024</v>
      </c>
      <c r="O190" s="87" t="s">
        <v>6287</v>
      </c>
      <c r="P190" s="9" t="s">
        <v>6243</v>
      </c>
      <c r="Q190" s="87" t="s">
        <v>3734</v>
      </c>
      <c r="R190" s="87" t="s">
        <v>6251</v>
      </c>
      <c r="S190" s="87" t="s">
        <v>6461</v>
      </c>
      <c r="T190" s="87" t="s">
        <v>6341</v>
      </c>
    </row>
    <row r="191" spans="1:20" ht="15.75" customHeight="1">
      <c r="A191" s="9" t="s">
        <v>2870</v>
      </c>
      <c r="B191" s="9" t="s">
        <v>7382</v>
      </c>
      <c r="C191" s="9" t="s">
        <v>7228</v>
      </c>
      <c r="D191" s="87" t="s">
        <v>6237</v>
      </c>
      <c r="E191" s="9" t="s">
        <v>6924</v>
      </c>
      <c r="F191" s="9" t="s">
        <v>11</v>
      </c>
      <c r="G191" s="9" t="s">
        <v>383</v>
      </c>
      <c r="H191" s="9" t="s">
        <v>426</v>
      </c>
      <c r="I191" s="87" t="s">
        <v>6405</v>
      </c>
      <c r="J191" s="87" t="s">
        <v>6334</v>
      </c>
      <c r="K191" s="87" t="s">
        <v>6334</v>
      </c>
      <c r="L191" s="87" t="s">
        <v>6392</v>
      </c>
      <c r="M191" s="87" t="s">
        <v>6826</v>
      </c>
      <c r="N191" s="9" t="s">
        <v>7001</v>
      </c>
      <c r="O191" s="87" t="s">
        <v>6245</v>
      </c>
      <c r="P191" s="9" t="s">
        <v>6243</v>
      </c>
      <c r="Q191" s="87" t="s">
        <v>6238</v>
      </c>
      <c r="R191" s="87" t="s">
        <v>6334</v>
      </c>
      <c r="S191" s="87" t="s">
        <v>6263</v>
      </c>
      <c r="T191" s="87" t="s">
        <v>6341</v>
      </c>
    </row>
    <row r="192" spans="1:20" ht="15.75" customHeight="1">
      <c r="A192" s="9" t="s">
        <v>2870</v>
      </c>
      <c r="B192" s="9" t="s">
        <v>7383</v>
      </c>
      <c r="C192" s="9" t="s">
        <v>6923</v>
      </c>
      <c r="D192" s="87" t="s">
        <v>6461</v>
      </c>
      <c r="E192" s="9" t="s">
        <v>6924</v>
      </c>
      <c r="F192" s="9" t="s">
        <v>6925</v>
      </c>
      <c r="G192" s="9" t="s">
        <v>383</v>
      </c>
      <c r="H192" s="9" t="s">
        <v>427</v>
      </c>
      <c r="I192" s="87" t="s">
        <v>6405</v>
      </c>
      <c r="J192" s="87" t="s">
        <v>6251</v>
      </c>
      <c r="K192" s="87" t="s">
        <v>6939</v>
      </c>
      <c r="L192" s="87" t="s">
        <v>6375</v>
      </c>
      <c r="M192" s="87" t="s">
        <v>6826</v>
      </c>
      <c r="N192" s="9" t="s">
        <v>7024</v>
      </c>
      <c r="O192" s="87" t="s">
        <v>6287</v>
      </c>
      <c r="P192" s="9" t="s">
        <v>6243</v>
      </c>
      <c r="Q192" s="87" t="s">
        <v>3734</v>
      </c>
      <c r="R192" s="87" t="s">
        <v>6251</v>
      </c>
      <c r="S192" s="87" t="s">
        <v>6461</v>
      </c>
      <c r="T192" s="87" t="s">
        <v>6341</v>
      </c>
    </row>
    <row r="193" spans="1:20" ht="15.75" customHeight="1">
      <c r="A193" s="9" t="s">
        <v>2870</v>
      </c>
      <c r="B193" s="9" t="s">
        <v>7383</v>
      </c>
      <c r="C193" s="9" t="s">
        <v>7228</v>
      </c>
      <c r="D193" s="87" t="s">
        <v>6237</v>
      </c>
      <c r="E193" s="9" t="s">
        <v>6924</v>
      </c>
      <c r="F193" s="9" t="s">
        <v>11</v>
      </c>
      <c r="G193" s="9" t="s">
        <v>383</v>
      </c>
      <c r="H193" s="9" t="s">
        <v>426</v>
      </c>
      <c r="I193" s="87" t="s">
        <v>6405</v>
      </c>
      <c r="J193" s="87" t="s">
        <v>6334</v>
      </c>
      <c r="K193" s="87" t="s">
        <v>6334</v>
      </c>
      <c r="L193" s="87" t="s">
        <v>6392</v>
      </c>
      <c r="M193" s="87" t="s">
        <v>7048</v>
      </c>
      <c r="N193" s="9" t="s">
        <v>7001</v>
      </c>
      <c r="O193" s="87" t="s">
        <v>6245</v>
      </c>
      <c r="P193" s="9" t="s">
        <v>6243</v>
      </c>
      <c r="Q193" s="87" t="s">
        <v>6238</v>
      </c>
      <c r="R193" s="87" t="s">
        <v>6334</v>
      </c>
      <c r="S193" s="87" t="s">
        <v>6263</v>
      </c>
      <c r="T193" s="87" t="s">
        <v>6341</v>
      </c>
    </row>
    <row r="194" spans="1:20" ht="15.75" customHeight="1">
      <c r="A194" s="9" t="s">
        <v>2870</v>
      </c>
      <c r="B194" s="9" t="s">
        <v>7384</v>
      </c>
      <c r="C194" s="9" t="s">
        <v>6923</v>
      </c>
      <c r="D194" s="87" t="s">
        <v>6461</v>
      </c>
      <c r="E194" s="9" t="s">
        <v>6924</v>
      </c>
      <c r="F194" s="9" t="s">
        <v>6925</v>
      </c>
      <c r="G194" s="9" t="s">
        <v>383</v>
      </c>
      <c r="H194" s="9" t="s">
        <v>427</v>
      </c>
      <c r="I194" s="87" t="s">
        <v>6405</v>
      </c>
      <c r="J194" s="87" t="s">
        <v>6251</v>
      </c>
      <c r="K194" s="87" t="s">
        <v>6939</v>
      </c>
      <c r="L194" s="87" t="s">
        <v>6375</v>
      </c>
      <c r="M194" s="87" t="s">
        <v>7048</v>
      </c>
      <c r="N194" s="9" t="s">
        <v>7024</v>
      </c>
      <c r="O194" s="87" t="s">
        <v>6287</v>
      </c>
      <c r="P194" s="9" t="s">
        <v>6243</v>
      </c>
      <c r="Q194" s="87" t="s">
        <v>3734</v>
      </c>
      <c r="R194" s="87" t="s">
        <v>6251</v>
      </c>
      <c r="S194" s="87" t="s">
        <v>6461</v>
      </c>
      <c r="T194" s="87" t="s">
        <v>6341</v>
      </c>
    </row>
    <row r="195" spans="1:20" ht="15.75" customHeight="1">
      <c r="A195" s="9" t="s">
        <v>2870</v>
      </c>
      <c r="B195" s="9" t="s">
        <v>7384</v>
      </c>
      <c r="C195" s="9" t="s">
        <v>7228</v>
      </c>
      <c r="D195" s="87" t="s">
        <v>6237</v>
      </c>
      <c r="E195" s="9" t="s">
        <v>6924</v>
      </c>
      <c r="F195" s="9" t="s">
        <v>11</v>
      </c>
      <c r="G195" s="9" t="s">
        <v>383</v>
      </c>
      <c r="H195" s="9" t="s">
        <v>426</v>
      </c>
      <c r="I195" s="87" t="s">
        <v>6405</v>
      </c>
      <c r="J195" s="87" t="s">
        <v>6334</v>
      </c>
      <c r="K195" s="87" t="s">
        <v>6334</v>
      </c>
      <c r="L195" s="87" t="s">
        <v>6392</v>
      </c>
      <c r="M195" s="87" t="s">
        <v>6449</v>
      </c>
      <c r="N195" s="9" t="s">
        <v>7001</v>
      </c>
      <c r="O195" s="87" t="s">
        <v>6245</v>
      </c>
      <c r="P195" s="9" t="s">
        <v>6243</v>
      </c>
      <c r="Q195" s="87" t="s">
        <v>6238</v>
      </c>
      <c r="R195" s="87" t="s">
        <v>6334</v>
      </c>
      <c r="S195" s="87" t="s">
        <v>6263</v>
      </c>
      <c r="T195" s="87" t="s">
        <v>6341</v>
      </c>
    </row>
    <row r="196" spans="1:20" ht="15.75" customHeight="1">
      <c r="A196" s="9" t="s">
        <v>2938</v>
      </c>
      <c r="B196" s="9" t="s">
        <v>7385</v>
      </c>
      <c r="C196" s="9" t="s">
        <v>6236</v>
      </c>
      <c r="D196" s="87" t="s">
        <v>6393</v>
      </c>
      <c r="E196" s="9" t="s">
        <v>431</v>
      </c>
      <c r="F196" s="9" t="s">
        <v>368</v>
      </c>
      <c r="G196" s="9" t="s">
        <v>436</v>
      </c>
      <c r="H196" s="9" t="s">
        <v>434</v>
      </c>
      <c r="I196" s="87" t="s">
        <v>6237</v>
      </c>
      <c r="J196" s="87" t="s">
        <v>6305</v>
      </c>
      <c r="K196" s="87" t="s">
        <v>6239</v>
      </c>
      <c r="L196" s="87" t="s">
        <v>6240</v>
      </c>
      <c r="M196" s="87" t="s">
        <v>6862</v>
      </c>
      <c r="N196" s="9" t="s">
        <v>6928</v>
      </c>
      <c r="O196" s="87" t="s">
        <v>6239</v>
      </c>
      <c r="P196" s="9" t="s">
        <v>6243</v>
      </c>
      <c r="Q196" s="87" t="s">
        <v>3764</v>
      </c>
      <c r="R196" s="87" t="s">
        <v>6305</v>
      </c>
      <c r="S196" s="87" t="s">
        <v>6327</v>
      </c>
      <c r="T196" s="87" t="s">
        <v>6645</v>
      </c>
    </row>
    <row r="197" spans="1:20" ht="15.75" customHeight="1">
      <c r="A197" s="9" t="s">
        <v>2938</v>
      </c>
      <c r="B197" s="9" t="s">
        <v>7385</v>
      </c>
      <c r="C197" s="9" t="s">
        <v>6236</v>
      </c>
      <c r="D197" s="87" t="s">
        <v>6393</v>
      </c>
      <c r="E197" s="9" t="s">
        <v>431</v>
      </c>
      <c r="F197" s="9" t="s">
        <v>368</v>
      </c>
      <c r="G197" s="9" t="s">
        <v>436</v>
      </c>
      <c r="H197" s="9" t="s">
        <v>434</v>
      </c>
      <c r="I197" s="87" t="s">
        <v>6237</v>
      </c>
      <c r="J197" s="87" t="s">
        <v>6305</v>
      </c>
      <c r="K197" s="87" t="s">
        <v>6348</v>
      </c>
      <c r="L197" s="87" t="s">
        <v>6240</v>
      </c>
      <c r="M197" s="87" t="s">
        <v>6352</v>
      </c>
      <c r="N197" s="9" t="s">
        <v>7026</v>
      </c>
      <c r="O197" s="87" t="s">
        <v>6348</v>
      </c>
      <c r="P197" s="9" t="s">
        <v>6243</v>
      </c>
      <c r="Q197" s="87" t="s">
        <v>5381</v>
      </c>
      <c r="R197" s="87" t="s">
        <v>6305</v>
      </c>
      <c r="S197" s="87" t="s">
        <v>6271</v>
      </c>
      <c r="T197" s="87" t="s">
        <v>6645</v>
      </c>
    </row>
    <row r="198" spans="1:20" ht="15.75" customHeight="1">
      <c r="A198" s="9" t="s">
        <v>2938</v>
      </c>
      <c r="B198" s="9" t="s">
        <v>7387</v>
      </c>
      <c r="C198" s="9" t="s">
        <v>6923</v>
      </c>
      <c r="D198" s="87" t="s">
        <v>6327</v>
      </c>
      <c r="E198" s="9" t="s">
        <v>6924</v>
      </c>
      <c r="F198" s="9" t="s">
        <v>6925</v>
      </c>
      <c r="G198" s="9" t="s">
        <v>383</v>
      </c>
      <c r="H198" s="9" t="s">
        <v>444</v>
      </c>
      <c r="I198" s="87" t="s">
        <v>6405</v>
      </c>
      <c r="J198" s="87" t="s">
        <v>6264</v>
      </c>
      <c r="K198" s="87" t="s">
        <v>6926</v>
      </c>
      <c r="L198" s="87" t="s">
        <v>6270</v>
      </c>
      <c r="M198" s="87" t="s">
        <v>6353</v>
      </c>
      <c r="N198" s="9" t="s">
        <v>7890</v>
      </c>
      <c r="O198" s="87" t="s">
        <v>6268</v>
      </c>
      <c r="P198" s="9" t="s">
        <v>6243</v>
      </c>
      <c r="Q198" s="87" t="s">
        <v>6270</v>
      </c>
      <c r="R198" s="87" t="s">
        <v>6264</v>
      </c>
      <c r="S198" s="87" t="s">
        <v>6251</v>
      </c>
      <c r="T198" s="87" t="s">
        <v>6295</v>
      </c>
    </row>
    <row r="199" spans="1:20" ht="15.75" customHeight="1">
      <c r="A199" s="9" t="s">
        <v>2938</v>
      </c>
      <c r="B199" s="9" t="s">
        <v>7386</v>
      </c>
      <c r="C199" s="9" t="s">
        <v>6671</v>
      </c>
      <c r="D199" s="87" t="s">
        <v>6296</v>
      </c>
      <c r="E199" s="9" t="s">
        <v>6672</v>
      </c>
      <c r="F199" s="9" t="s">
        <v>439</v>
      </c>
      <c r="G199" s="9" t="s">
        <v>436</v>
      </c>
      <c r="H199" s="9" t="s">
        <v>440</v>
      </c>
      <c r="I199" s="87" t="s">
        <v>6405</v>
      </c>
      <c r="J199" s="87" t="s">
        <v>6357</v>
      </c>
      <c r="K199" s="87" t="s">
        <v>6357</v>
      </c>
      <c r="L199" s="87" t="s">
        <v>6240</v>
      </c>
      <c r="M199" s="87" t="s">
        <v>6353</v>
      </c>
      <c r="N199" s="9" t="s">
        <v>7027</v>
      </c>
      <c r="O199" s="87" t="s">
        <v>6357</v>
      </c>
      <c r="P199" s="9" t="s">
        <v>6243</v>
      </c>
      <c r="Q199" s="87" t="s">
        <v>6565</v>
      </c>
      <c r="R199" s="87" t="s">
        <v>6357</v>
      </c>
      <c r="S199" s="87" t="s">
        <v>6329</v>
      </c>
      <c r="T199" s="87" t="s">
        <v>6645</v>
      </c>
    </row>
    <row r="200" spans="1:20" ht="15.75" customHeight="1">
      <c r="A200" s="9" t="s">
        <v>2938</v>
      </c>
      <c r="B200" s="9" t="s">
        <v>7387</v>
      </c>
      <c r="C200" s="9" t="s">
        <v>7228</v>
      </c>
      <c r="D200" s="87" t="s">
        <v>6290</v>
      </c>
      <c r="E200" s="9" t="s">
        <v>6924</v>
      </c>
      <c r="F200" s="9" t="s">
        <v>11</v>
      </c>
      <c r="G200" s="9" t="s">
        <v>383</v>
      </c>
      <c r="H200" s="9" t="s">
        <v>426</v>
      </c>
      <c r="I200" s="87" t="s">
        <v>6405</v>
      </c>
      <c r="J200" s="87" t="s">
        <v>6405</v>
      </c>
      <c r="K200" s="87" t="s">
        <v>6405</v>
      </c>
      <c r="L200" s="87" t="s">
        <v>6397</v>
      </c>
      <c r="M200" s="87" t="s">
        <v>6358</v>
      </c>
      <c r="N200" s="9" t="s">
        <v>7289</v>
      </c>
      <c r="O200" s="87" t="s">
        <v>6240</v>
      </c>
      <c r="P200" s="9" t="s">
        <v>6243</v>
      </c>
      <c r="Q200" s="87" t="s">
        <v>6397</v>
      </c>
      <c r="R200" s="87" t="s">
        <v>6405</v>
      </c>
      <c r="S200" s="87" t="s">
        <v>6284</v>
      </c>
      <c r="T200" s="87" t="s">
        <v>6341</v>
      </c>
    </row>
    <row r="201" spans="1:20" ht="15.75" customHeight="1">
      <c r="A201" s="9" t="s">
        <v>2938</v>
      </c>
      <c r="B201" s="9" t="s">
        <v>7891</v>
      </c>
      <c r="C201" s="9" t="s">
        <v>6923</v>
      </c>
      <c r="D201" s="87" t="s">
        <v>6327</v>
      </c>
      <c r="E201" s="9" t="s">
        <v>6924</v>
      </c>
      <c r="F201" s="9" t="s">
        <v>6925</v>
      </c>
      <c r="G201" s="9" t="s">
        <v>383</v>
      </c>
      <c r="H201" s="9" t="s">
        <v>444</v>
      </c>
      <c r="I201" s="87" t="s">
        <v>6405</v>
      </c>
      <c r="J201" s="87" t="s">
        <v>6264</v>
      </c>
      <c r="K201" s="87" t="s">
        <v>6939</v>
      </c>
      <c r="L201" s="87" t="s">
        <v>6270</v>
      </c>
      <c r="M201" s="87" t="s">
        <v>6358</v>
      </c>
      <c r="N201" s="9" t="s">
        <v>7892</v>
      </c>
      <c r="O201" s="87" t="s">
        <v>6330</v>
      </c>
      <c r="P201" s="9" t="s">
        <v>6243</v>
      </c>
      <c r="Q201" s="87" t="s">
        <v>6332</v>
      </c>
      <c r="R201" s="87" t="s">
        <v>6264</v>
      </c>
      <c r="S201" s="87" t="s">
        <v>6486</v>
      </c>
      <c r="T201" s="87" t="s">
        <v>6341</v>
      </c>
    </row>
    <row r="202" spans="1:20" ht="15.75" customHeight="1">
      <c r="A202" s="9" t="s">
        <v>2938</v>
      </c>
      <c r="B202" s="9" t="s">
        <v>7891</v>
      </c>
      <c r="C202" s="9" t="s">
        <v>7228</v>
      </c>
      <c r="D202" s="87" t="s">
        <v>6290</v>
      </c>
      <c r="E202" s="9" t="s">
        <v>6924</v>
      </c>
      <c r="F202" s="9" t="s">
        <v>11</v>
      </c>
      <c r="G202" s="9" t="s">
        <v>383</v>
      </c>
      <c r="H202" s="9" t="s">
        <v>426</v>
      </c>
      <c r="I202" s="87" t="s">
        <v>6405</v>
      </c>
      <c r="J202" s="87" t="s">
        <v>6334</v>
      </c>
      <c r="K202" s="87" t="s">
        <v>6334</v>
      </c>
      <c r="L202" s="87" t="s">
        <v>6397</v>
      </c>
      <c r="M202" s="87" t="s">
        <v>6364</v>
      </c>
      <c r="N202" s="9" t="s">
        <v>7268</v>
      </c>
      <c r="O202" s="87" t="s">
        <v>6290</v>
      </c>
      <c r="P202" s="9" t="s">
        <v>6243</v>
      </c>
      <c r="Q202" s="87" t="s">
        <v>6293</v>
      </c>
      <c r="R202" s="87" t="s">
        <v>6334</v>
      </c>
      <c r="S202" s="87" t="s">
        <v>6479</v>
      </c>
      <c r="T202" s="87" t="s">
        <v>6341</v>
      </c>
    </row>
    <row r="203" spans="1:20" ht="15.75" customHeight="1">
      <c r="A203" s="9" t="s">
        <v>3023</v>
      </c>
      <c r="B203" s="9" t="s">
        <v>7388</v>
      </c>
      <c r="C203" s="9" t="s">
        <v>6236</v>
      </c>
      <c r="D203" s="87" t="s">
        <v>6393</v>
      </c>
      <c r="E203" s="9" t="s">
        <v>431</v>
      </c>
      <c r="F203" s="9" t="s">
        <v>368</v>
      </c>
      <c r="G203" s="9" t="s">
        <v>436</v>
      </c>
      <c r="H203" s="9" t="s">
        <v>434</v>
      </c>
      <c r="I203" s="87" t="s">
        <v>6237</v>
      </c>
      <c r="J203" s="87" t="s">
        <v>6278</v>
      </c>
      <c r="K203" s="87" t="s">
        <v>6342</v>
      </c>
      <c r="L203" s="87" t="s">
        <v>6240</v>
      </c>
      <c r="M203" s="87" t="s">
        <v>6352</v>
      </c>
      <c r="N203" s="9" t="s">
        <v>7028</v>
      </c>
      <c r="O203" s="87" t="s">
        <v>6342</v>
      </c>
      <c r="P203" s="9" t="s">
        <v>6243</v>
      </c>
      <c r="Q203" s="87" t="s">
        <v>6345</v>
      </c>
      <c r="R203" s="87" t="s">
        <v>6278</v>
      </c>
      <c r="S203" s="87" t="s">
        <v>6327</v>
      </c>
      <c r="T203" s="87" t="s">
        <v>6267</v>
      </c>
    </row>
    <row r="204" spans="1:20" ht="15.75" customHeight="1">
      <c r="A204" s="9" t="s">
        <v>3023</v>
      </c>
      <c r="B204" s="9" t="s">
        <v>7388</v>
      </c>
      <c r="C204" s="9" t="s">
        <v>6236</v>
      </c>
      <c r="D204" s="87" t="s">
        <v>6393</v>
      </c>
      <c r="E204" s="9" t="s">
        <v>431</v>
      </c>
      <c r="F204" s="9" t="s">
        <v>368</v>
      </c>
      <c r="G204" s="9" t="s">
        <v>436</v>
      </c>
      <c r="H204" s="9" t="s">
        <v>434</v>
      </c>
      <c r="I204" s="87" t="s">
        <v>6237</v>
      </c>
      <c r="J204" s="87" t="s">
        <v>6278</v>
      </c>
      <c r="K204" s="87" t="s">
        <v>6273</v>
      </c>
      <c r="L204" s="87" t="s">
        <v>6240</v>
      </c>
      <c r="M204" s="87" t="s">
        <v>6353</v>
      </c>
      <c r="N204" s="9" t="s">
        <v>6952</v>
      </c>
      <c r="O204" s="87" t="s">
        <v>6273</v>
      </c>
      <c r="P204" s="9" t="s">
        <v>6243</v>
      </c>
      <c r="Q204" s="87" t="s">
        <v>6276</v>
      </c>
      <c r="R204" s="87" t="s">
        <v>6278</v>
      </c>
      <c r="S204" s="87" t="s">
        <v>6445</v>
      </c>
      <c r="T204" s="87" t="s">
        <v>6645</v>
      </c>
    </row>
    <row r="205" spans="1:20" ht="15.75" customHeight="1">
      <c r="A205" s="9" t="s">
        <v>3023</v>
      </c>
      <c r="B205" s="9" t="s">
        <v>7389</v>
      </c>
      <c r="C205" s="9" t="s">
        <v>6671</v>
      </c>
      <c r="D205" s="87" t="s">
        <v>6296</v>
      </c>
      <c r="E205" s="9" t="s">
        <v>6672</v>
      </c>
      <c r="F205" s="9" t="s">
        <v>439</v>
      </c>
      <c r="G205" s="9" t="s">
        <v>436</v>
      </c>
      <c r="H205" s="9" t="s">
        <v>440</v>
      </c>
      <c r="I205" s="87" t="s">
        <v>6405</v>
      </c>
      <c r="J205" s="87" t="s">
        <v>6351</v>
      </c>
      <c r="K205" s="87" t="s">
        <v>6239</v>
      </c>
      <c r="L205" s="87" t="s">
        <v>6240</v>
      </c>
      <c r="M205" s="87" t="s">
        <v>6358</v>
      </c>
      <c r="N205" s="9" t="s">
        <v>6928</v>
      </c>
      <c r="O205" s="87" t="s">
        <v>6239</v>
      </c>
      <c r="P205" s="9" t="s">
        <v>6243</v>
      </c>
      <c r="Q205" s="87" t="s">
        <v>3764</v>
      </c>
      <c r="R205" s="87" t="s">
        <v>6351</v>
      </c>
      <c r="S205" s="87" t="s">
        <v>6327</v>
      </c>
      <c r="T205" s="87" t="s">
        <v>6645</v>
      </c>
    </row>
    <row r="206" spans="1:20" ht="15.75" customHeight="1">
      <c r="A206" s="9" t="s">
        <v>3023</v>
      </c>
      <c r="B206" s="9" t="s">
        <v>7390</v>
      </c>
      <c r="C206" s="9" t="s">
        <v>6923</v>
      </c>
      <c r="D206" s="87" t="s">
        <v>6327</v>
      </c>
      <c r="E206" s="9" t="s">
        <v>6924</v>
      </c>
      <c r="F206" s="9" t="s">
        <v>6925</v>
      </c>
      <c r="G206" s="9" t="s">
        <v>383</v>
      </c>
      <c r="H206" s="9" t="s">
        <v>444</v>
      </c>
      <c r="I206" s="87" t="s">
        <v>6405</v>
      </c>
      <c r="J206" s="87" t="s">
        <v>6393</v>
      </c>
      <c r="K206" s="87" t="s">
        <v>7167</v>
      </c>
      <c r="L206" s="87" t="s">
        <v>5381</v>
      </c>
      <c r="M206" s="87" t="s">
        <v>6364</v>
      </c>
      <c r="N206" s="9" t="s">
        <v>7872</v>
      </c>
      <c r="O206" s="87" t="s">
        <v>6525</v>
      </c>
      <c r="P206" s="9" t="s">
        <v>6243</v>
      </c>
      <c r="Q206" s="87" t="s">
        <v>7873</v>
      </c>
      <c r="R206" s="87" t="s">
        <v>6393</v>
      </c>
      <c r="S206" s="87" t="s">
        <v>7035</v>
      </c>
      <c r="T206" s="87" t="s">
        <v>6733</v>
      </c>
    </row>
    <row r="207" spans="1:20" ht="15.75" customHeight="1">
      <c r="A207" s="9" t="s">
        <v>3023</v>
      </c>
      <c r="B207" s="9" t="s">
        <v>7389</v>
      </c>
      <c r="C207" s="9" t="s">
        <v>6671</v>
      </c>
      <c r="D207" s="87" t="s">
        <v>6296</v>
      </c>
      <c r="E207" s="9" t="s">
        <v>6672</v>
      </c>
      <c r="F207" s="9" t="s">
        <v>439</v>
      </c>
      <c r="G207" s="9" t="s">
        <v>436</v>
      </c>
      <c r="H207" s="9" t="s">
        <v>440</v>
      </c>
      <c r="I207" s="87" t="s">
        <v>6405</v>
      </c>
      <c r="J207" s="87" t="s">
        <v>6351</v>
      </c>
      <c r="K207" s="87" t="s">
        <v>6290</v>
      </c>
      <c r="L207" s="87" t="s">
        <v>6240</v>
      </c>
      <c r="M207" s="87" t="s">
        <v>6364</v>
      </c>
      <c r="N207" s="9" t="s">
        <v>6964</v>
      </c>
      <c r="O207" s="87" t="s">
        <v>6290</v>
      </c>
      <c r="P207" s="9" t="s">
        <v>6243</v>
      </c>
      <c r="Q207" s="87" t="s">
        <v>6293</v>
      </c>
      <c r="R207" s="87" t="s">
        <v>6351</v>
      </c>
      <c r="S207" s="87" t="s">
        <v>6525</v>
      </c>
      <c r="T207" s="87" t="s">
        <v>6645</v>
      </c>
    </row>
    <row r="208" spans="1:20" ht="15.75" customHeight="1">
      <c r="A208" s="9" t="s">
        <v>3023</v>
      </c>
      <c r="B208" s="9" t="s">
        <v>7391</v>
      </c>
      <c r="C208" s="9" t="s">
        <v>6923</v>
      </c>
      <c r="D208" s="87" t="s">
        <v>6327</v>
      </c>
      <c r="E208" s="9" t="s">
        <v>6924</v>
      </c>
      <c r="F208" s="9" t="s">
        <v>6925</v>
      </c>
      <c r="G208" s="9" t="s">
        <v>383</v>
      </c>
      <c r="H208" s="9" t="s">
        <v>444</v>
      </c>
      <c r="I208" s="87" t="s">
        <v>6405</v>
      </c>
      <c r="J208" s="87" t="s">
        <v>6393</v>
      </c>
      <c r="K208" s="87" t="s">
        <v>6965</v>
      </c>
      <c r="L208" s="87" t="s">
        <v>5381</v>
      </c>
      <c r="M208" s="87" t="s">
        <v>6385</v>
      </c>
      <c r="N208" s="9" t="s">
        <v>6945</v>
      </c>
      <c r="O208" s="87" t="s">
        <v>6500</v>
      </c>
      <c r="P208" s="9" t="s">
        <v>6243</v>
      </c>
      <c r="Q208" s="87" t="s">
        <v>3749</v>
      </c>
      <c r="R208" s="87" t="s">
        <v>6393</v>
      </c>
      <c r="S208" s="87" t="s">
        <v>6327</v>
      </c>
      <c r="T208" s="87" t="s">
        <v>6341</v>
      </c>
    </row>
    <row r="209" spans="1:20" ht="15.75" customHeight="1">
      <c r="A209" s="9" t="s">
        <v>3023</v>
      </c>
      <c r="B209" s="9" t="s">
        <v>7391</v>
      </c>
      <c r="C209" s="9" t="s">
        <v>7228</v>
      </c>
      <c r="D209" s="87" t="s">
        <v>6290</v>
      </c>
      <c r="E209" s="9" t="s">
        <v>6924</v>
      </c>
      <c r="F209" s="9" t="s">
        <v>11</v>
      </c>
      <c r="G209" s="9" t="s">
        <v>383</v>
      </c>
      <c r="H209" s="9" t="s">
        <v>426</v>
      </c>
      <c r="I209" s="87" t="s">
        <v>6405</v>
      </c>
      <c r="J209" s="87" t="s">
        <v>6461</v>
      </c>
      <c r="K209" s="87" t="s">
        <v>6461</v>
      </c>
      <c r="L209" s="87" t="s">
        <v>6357</v>
      </c>
      <c r="M209" s="87" t="s">
        <v>6388</v>
      </c>
      <c r="N209" s="9" t="s">
        <v>7024</v>
      </c>
      <c r="O209" s="87" t="s">
        <v>6287</v>
      </c>
      <c r="P209" s="9" t="s">
        <v>6243</v>
      </c>
      <c r="Q209" s="87" t="s">
        <v>3734</v>
      </c>
      <c r="R209" s="87" t="s">
        <v>6461</v>
      </c>
      <c r="S209" s="87" t="s">
        <v>6461</v>
      </c>
      <c r="T209" s="87" t="s">
        <v>6341</v>
      </c>
    </row>
    <row r="210" spans="1:20" ht="15.75" customHeight="1">
      <c r="A210" s="9" t="s">
        <v>3023</v>
      </c>
      <c r="B210" s="9" t="s">
        <v>7392</v>
      </c>
      <c r="C210" s="9" t="s">
        <v>6923</v>
      </c>
      <c r="D210" s="87" t="s">
        <v>6327</v>
      </c>
      <c r="E210" s="9" t="s">
        <v>6924</v>
      </c>
      <c r="F210" s="9" t="s">
        <v>6925</v>
      </c>
      <c r="G210" s="9" t="s">
        <v>383</v>
      </c>
      <c r="H210" s="9" t="s">
        <v>444</v>
      </c>
      <c r="I210" s="87" t="s">
        <v>6405</v>
      </c>
      <c r="J210" s="87" t="s">
        <v>6393</v>
      </c>
      <c r="K210" s="87" t="s">
        <v>6965</v>
      </c>
      <c r="L210" s="87" t="s">
        <v>5381</v>
      </c>
      <c r="M210" s="87" t="s">
        <v>6388</v>
      </c>
      <c r="N210" s="9" t="s">
        <v>6945</v>
      </c>
      <c r="O210" s="87" t="s">
        <v>6500</v>
      </c>
      <c r="P210" s="9" t="s">
        <v>6243</v>
      </c>
      <c r="Q210" s="87" t="s">
        <v>3749</v>
      </c>
      <c r="R210" s="87" t="s">
        <v>6393</v>
      </c>
      <c r="S210" s="87" t="s">
        <v>6327</v>
      </c>
      <c r="T210" s="87" t="s">
        <v>6341</v>
      </c>
    </row>
    <row r="211" spans="1:20" ht="15.75" customHeight="1">
      <c r="A211" s="9" t="s">
        <v>3023</v>
      </c>
      <c r="B211" s="9" t="s">
        <v>7392</v>
      </c>
      <c r="C211" s="9" t="s">
        <v>7228</v>
      </c>
      <c r="D211" s="87" t="s">
        <v>6290</v>
      </c>
      <c r="E211" s="9" t="s">
        <v>6924</v>
      </c>
      <c r="F211" s="9" t="s">
        <v>11</v>
      </c>
      <c r="G211" s="9" t="s">
        <v>383</v>
      </c>
      <c r="H211" s="9" t="s">
        <v>426</v>
      </c>
      <c r="I211" s="87" t="s">
        <v>6405</v>
      </c>
      <c r="J211" s="87" t="s">
        <v>6461</v>
      </c>
      <c r="K211" s="87" t="s">
        <v>6461</v>
      </c>
      <c r="L211" s="87" t="s">
        <v>6357</v>
      </c>
      <c r="M211" s="87" t="s">
        <v>6389</v>
      </c>
      <c r="N211" s="9" t="s">
        <v>7024</v>
      </c>
      <c r="O211" s="87" t="s">
        <v>6287</v>
      </c>
      <c r="P211" s="9" t="s">
        <v>6243</v>
      </c>
      <c r="Q211" s="87" t="s">
        <v>3734</v>
      </c>
      <c r="R211" s="87" t="s">
        <v>6461</v>
      </c>
      <c r="S211" s="87" t="s">
        <v>6461</v>
      </c>
      <c r="T211" s="87" t="s">
        <v>6341</v>
      </c>
    </row>
    <row r="212" spans="1:20" ht="15.75" customHeight="1">
      <c r="A212" s="9" t="s">
        <v>2863</v>
      </c>
      <c r="B212" s="9" t="s">
        <v>7394</v>
      </c>
      <c r="C212" s="9" t="s">
        <v>6236</v>
      </c>
      <c r="D212" s="87" t="s">
        <v>6393</v>
      </c>
      <c r="E212" s="9" t="s">
        <v>431</v>
      </c>
      <c r="F212" s="9" t="s">
        <v>368</v>
      </c>
      <c r="G212" s="9" t="s">
        <v>436</v>
      </c>
      <c r="H212" s="9" t="s">
        <v>434</v>
      </c>
      <c r="I212" s="87" t="s">
        <v>6264</v>
      </c>
      <c r="J212" s="87" t="s">
        <v>6397</v>
      </c>
      <c r="K212" s="87" t="s">
        <v>6397</v>
      </c>
      <c r="L212" s="87" t="s">
        <v>6240</v>
      </c>
      <c r="M212" s="87" t="s">
        <v>6388</v>
      </c>
      <c r="N212" s="9" t="s">
        <v>7029</v>
      </c>
      <c r="O212" s="87" t="s">
        <v>6397</v>
      </c>
      <c r="P212" s="9" t="s">
        <v>6243</v>
      </c>
      <c r="Q212" s="87" t="s">
        <v>6278</v>
      </c>
      <c r="R212" s="87" t="s">
        <v>6397</v>
      </c>
      <c r="S212" s="87" t="s">
        <v>6409</v>
      </c>
      <c r="T212" s="87" t="s">
        <v>6300</v>
      </c>
    </row>
    <row r="213" spans="1:20" ht="15.75" customHeight="1">
      <c r="A213" s="9" t="s">
        <v>2863</v>
      </c>
      <c r="B213" s="9" t="s">
        <v>7395</v>
      </c>
      <c r="C213" s="9" t="s">
        <v>6671</v>
      </c>
      <c r="D213" s="87" t="s">
        <v>6296</v>
      </c>
      <c r="E213" s="9" t="s">
        <v>6672</v>
      </c>
      <c r="F213" s="9" t="s">
        <v>439</v>
      </c>
      <c r="G213" s="9" t="s">
        <v>436</v>
      </c>
      <c r="H213" s="9" t="s">
        <v>440</v>
      </c>
      <c r="I213" s="87" t="s">
        <v>6405</v>
      </c>
      <c r="J213" s="87" t="s">
        <v>6329</v>
      </c>
      <c r="K213" s="87" t="s">
        <v>6329</v>
      </c>
      <c r="L213" s="87" t="s">
        <v>6240</v>
      </c>
      <c r="M213" s="87" t="s">
        <v>6389</v>
      </c>
      <c r="N213" s="9" t="s">
        <v>7030</v>
      </c>
      <c r="O213" s="87" t="s">
        <v>6329</v>
      </c>
      <c r="P213" s="9" t="s">
        <v>6243</v>
      </c>
      <c r="Q213" s="87" t="s">
        <v>6448</v>
      </c>
      <c r="R213" s="87" t="s">
        <v>6329</v>
      </c>
      <c r="S213" s="87" t="s">
        <v>6397</v>
      </c>
      <c r="T213" s="87" t="s">
        <v>6404</v>
      </c>
    </row>
    <row r="214" spans="1:20" ht="15.75" customHeight="1">
      <c r="A214" s="9" t="s">
        <v>2863</v>
      </c>
      <c r="B214" s="9" t="s">
        <v>7396</v>
      </c>
      <c r="C214" s="9" t="s">
        <v>6923</v>
      </c>
      <c r="D214" s="87" t="s">
        <v>6264</v>
      </c>
      <c r="E214" s="9" t="s">
        <v>6924</v>
      </c>
      <c r="F214" s="9" t="s">
        <v>6925</v>
      </c>
      <c r="G214" s="9" t="s">
        <v>383</v>
      </c>
      <c r="H214" s="9" t="s">
        <v>449</v>
      </c>
      <c r="I214" s="87" t="s">
        <v>6405</v>
      </c>
      <c r="J214" s="87" t="s">
        <v>6334</v>
      </c>
      <c r="K214" s="87" t="s">
        <v>6926</v>
      </c>
      <c r="L214" s="87" t="s">
        <v>6372</v>
      </c>
      <c r="M214" s="87" t="s">
        <v>6426</v>
      </c>
      <c r="N214" s="9" t="s">
        <v>7893</v>
      </c>
      <c r="O214" s="87" t="s">
        <v>6295</v>
      </c>
      <c r="P214" s="9" t="s">
        <v>6243</v>
      </c>
      <c r="Q214" s="87" t="s">
        <v>6372</v>
      </c>
      <c r="R214" s="87" t="s">
        <v>6334</v>
      </c>
      <c r="S214" s="87" t="s">
        <v>6570</v>
      </c>
      <c r="T214" s="87" t="s">
        <v>6606</v>
      </c>
    </row>
    <row r="215" spans="1:20" ht="15.75" customHeight="1">
      <c r="A215" s="9" t="s">
        <v>2863</v>
      </c>
      <c r="B215" s="9" t="s">
        <v>7396</v>
      </c>
      <c r="C215" s="9" t="s">
        <v>7228</v>
      </c>
      <c r="D215" s="87" t="s">
        <v>6405</v>
      </c>
      <c r="E215" s="9" t="s">
        <v>6924</v>
      </c>
      <c r="F215" s="9" t="s">
        <v>11</v>
      </c>
      <c r="G215" s="9" t="s">
        <v>383</v>
      </c>
      <c r="H215" s="9" t="s">
        <v>426</v>
      </c>
      <c r="I215" s="87" t="s">
        <v>6405</v>
      </c>
      <c r="J215" s="87" t="s">
        <v>6405</v>
      </c>
      <c r="K215" s="87" t="s">
        <v>6405</v>
      </c>
      <c r="L215" s="87" t="s">
        <v>6255</v>
      </c>
      <c r="M215" s="87" t="s">
        <v>6431</v>
      </c>
      <c r="N215" s="9" t="s">
        <v>7398</v>
      </c>
      <c r="O215" s="87" t="s">
        <v>6461</v>
      </c>
      <c r="P215" s="9" t="s">
        <v>6243</v>
      </c>
      <c r="Q215" s="87" t="s">
        <v>6255</v>
      </c>
      <c r="R215" s="87" t="s">
        <v>6405</v>
      </c>
      <c r="S215" s="87" t="s">
        <v>6382</v>
      </c>
      <c r="T215" s="87" t="s">
        <v>6543</v>
      </c>
    </row>
    <row r="216" spans="1:20" ht="15.75" customHeight="1">
      <c r="A216" s="9" t="s">
        <v>2863</v>
      </c>
      <c r="B216" s="9" t="s">
        <v>7399</v>
      </c>
      <c r="C216" s="9" t="s">
        <v>6923</v>
      </c>
      <c r="D216" s="87" t="s">
        <v>6264</v>
      </c>
      <c r="E216" s="9" t="s">
        <v>6924</v>
      </c>
      <c r="F216" s="9" t="s">
        <v>6925</v>
      </c>
      <c r="G216" s="9" t="s">
        <v>383</v>
      </c>
      <c r="H216" s="9" t="s">
        <v>449</v>
      </c>
      <c r="I216" s="87" t="s">
        <v>6405</v>
      </c>
      <c r="J216" s="87" t="s">
        <v>6334</v>
      </c>
      <c r="K216" s="87" t="s">
        <v>6926</v>
      </c>
      <c r="L216" s="87" t="s">
        <v>6372</v>
      </c>
      <c r="M216" s="87" t="s">
        <v>6431</v>
      </c>
      <c r="N216" s="9" t="s">
        <v>6984</v>
      </c>
      <c r="O216" s="87" t="s">
        <v>6295</v>
      </c>
      <c r="P216" s="9" t="s">
        <v>6243</v>
      </c>
      <c r="Q216" s="87" t="s">
        <v>6372</v>
      </c>
      <c r="R216" s="87" t="s">
        <v>6334</v>
      </c>
      <c r="S216" s="87" t="s">
        <v>6526</v>
      </c>
      <c r="T216" s="87" t="s">
        <v>6341</v>
      </c>
    </row>
    <row r="217" spans="1:20" ht="15.75" customHeight="1">
      <c r="A217" s="9" t="s">
        <v>2863</v>
      </c>
      <c r="B217" s="9" t="s">
        <v>7399</v>
      </c>
      <c r="C217" s="9" t="s">
        <v>7228</v>
      </c>
      <c r="D217" s="87" t="s">
        <v>6405</v>
      </c>
      <c r="E217" s="9" t="s">
        <v>6924</v>
      </c>
      <c r="F217" s="9" t="s">
        <v>11</v>
      </c>
      <c r="G217" s="9" t="s">
        <v>383</v>
      </c>
      <c r="H217" s="9" t="s">
        <v>426</v>
      </c>
      <c r="I217" s="87" t="s">
        <v>6405</v>
      </c>
      <c r="J217" s="87" t="s">
        <v>6405</v>
      </c>
      <c r="K217" s="87" t="s">
        <v>6405</v>
      </c>
      <c r="L217" s="87" t="s">
        <v>6255</v>
      </c>
      <c r="M217" s="87" t="s">
        <v>6828</v>
      </c>
      <c r="N217" s="9" t="s">
        <v>7400</v>
      </c>
      <c r="O217" s="87" t="s">
        <v>6461</v>
      </c>
      <c r="P217" s="9" t="s">
        <v>6243</v>
      </c>
      <c r="Q217" s="87" t="s">
        <v>6255</v>
      </c>
      <c r="R217" s="87" t="s">
        <v>6405</v>
      </c>
      <c r="S217" s="87" t="s">
        <v>6287</v>
      </c>
      <c r="T217" s="87" t="s">
        <v>6341</v>
      </c>
    </row>
    <row r="218" spans="1:20" ht="15.75" customHeight="1">
      <c r="A218" s="9" t="s">
        <v>2948</v>
      </c>
      <c r="B218" s="9" t="s">
        <v>7402</v>
      </c>
      <c r="C218" s="9" t="s">
        <v>6923</v>
      </c>
      <c r="D218" s="87" t="s">
        <v>6327</v>
      </c>
      <c r="E218" s="9" t="s">
        <v>6924</v>
      </c>
      <c r="F218" s="9" t="s">
        <v>6925</v>
      </c>
      <c r="G218" s="9" t="s">
        <v>383</v>
      </c>
      <c r="H218" s="9" t="s">
        <v>444</v>
      </c>
      <c r="I218" s="87" t="s">
        <v>6405</v>
      </c>
      <c r="J218" s="87" t="s">
        <v>6237</v>
      </c>
      <c r="K218" s="87" t="s">
        <v>6926</v>
      </c>
      <c r="L218" s="87" t="s">
        <v>6573</v>
      </c>
      <c r="M218" s="87" t="s">
        <v>6426</v>
      </c>
      <c r="N218" s="9" t="s">
        <v>7894</v>
      </c>
      <c r="O218" s="87" t="s">
        <v>6570</v>
      </c>
      <c r="P218" s="9" t="s">
        <v>6243</v>
      </c>
      <c r="Q218" s="87" t="s">
        <v>6573</v>
      </c>
      <c r="R218" s="87" t="s">
        <v>6237</v>
      </c>
      <c r="S218" s="87" t="s">
        <v>7035</v>
      </c>
      <c r="T218" s="87" t="s">
        <v>6451</v>
      </c>
    </row>
    <row r="219" spans="1:20" ht="15.75" customHeight="1">
      <c r="A219" s="9" t="s">
        <v>2948</v>
      </c>
      <c r="B219" s="9" t="s">
        <v>7401</v>
      </c>
      <c r="C219" s="9" t="s">
        <v>6236</v>
      </c>
      <c r="D219" s="87" t="s">
        <v>6393</v>
      </c>
      <c r="E219" s="9" t="s">
        <v>431</v>
      </c>
      <c r="F219" s="9" t="s">
        <v>368</v>
      </c>
      <c r="G219" s="9" t="s">
        <v>436</v>
      </c>
      <c r="H219" s="9" t="s">
        <v>434</v>
      </c>
      <c r="I219" s="87" t="s">
        <v>6237</v>
      </c>
      <c r="J219" s="87" t="s">
        <v>6428</v>
      </c>
      <c r="K219" s="87" t="s">
        <v>6428</v>
      </c>
      <c r="L219" s="87" t="s">
        <v>6240</v>
      </c>
      <c r="M219" s="87" t="s">
        <v>6426</v>
      </c>
      <c r="N219" s="9" t="s">
        <v>7032</v>
      </c>
      <c r="O219" s="87" t="s">
        <v>6428</v>
      </c>
      <c r="P219" s="9" t="s">
        <v>6243</v>
      </c>
      <c r="Q219" s="87" t="s">
        <v>3210</v>
      </c>
      <c r="R219" s="87" t="s">
        <v>6428</v>
      </c>
      <c r="S219" s="87" t="s">
        <v>6413</v>
      </c>
      <c r="T219" s="87" t="s">
        <v>6645</v>
      </c>
    </row>
    <row r="220" spans="1:20" ht="15.75" customHeight="1">
      <c r="A220" s="9" t="s">
        <v>2948</v>
      </c>
      <c r="B220" s="9" t="s">
        <v>7402</v>
      </c>
      <c r="C220" s="9" t="s">
        <v>7228</v>
      </c>
      <c r="D220" s="87" t="s">
        <v>6290</v>
      </c>
      <c r="E220" s="9" t="s">
        <v>6924</v>
      </c>
      <c r="F220" s="9" t="s">
        <v>11</v>
      </c>
      <c r="G220" s="9" t="s">
        <v>383</v>
      </c>
      <c r="H220" s="9" t="s">
        <v>426</v>
      </c>
      <c r="I220" s="87" t="s">
        <v>6405</v>
      </c>
      <c r="J220" s="87" t="s">
        <v>6405</v>
      </c>
      <c r="K220" s="87" t="s">
        <v>6405</v>
      </c>
      <c r="L220" s="87" t="s">
        <v>6254</v>
      </c>
      <c r="M220" s="87" t="s">
        <v>6431</v>
      </c>
      <c r="N220" s="9" t="s">
        <v>7895</v>
      </c>
      <c r="O220" s="87" t="s">
        <v>6251</v>
      </c>
      <c r="P220" s="9" t="s">
        <v>6243</v>
      </c>
      <c r="Q220" s="87" t="s">
        <v>6254</v>
      </c>
      <c r="R220" s="87" t="s">
        <v>6405</v>
      </c>
      <c r="S220" s="87" t="s">
        <v>6393</v>
      </c>
      <c r="T220" s="87" t="s">
        <v>6397</v>
      </c>
    </row>
    <row r="221" spans="1:20" ht="15.75" customHeight="1">
      <c r="A221" s="9" t="s">
        <v>2948</v>
      </c>
      <c r="B221" s="9" t="s">
        <v>7405</v>
      </c>
      <c r="C221" s="9" t="s">
        <v>6923</v>
      </c>
      <c r="D221" s="87" t="s">
        <v>6327</v>
      </c>
      <c r="E221" s="9" t="s">
        <v>6924</v>
      </c>
      <c r="F221" s="9" t="s">
        <v>6925</v>
      </c>
      <c r="G221" s="9" t="s">
        <v>383</v>
      </c>
      <c r="H221" s="9" t="s">
        <v>444</v>
      </c>
      <c r="I221" s="87" t="s">
        <v>6405</v>
      </c>
      <c r="J221" s="87" t="s">
        <v>6237</v>
      </c>
      <c r="K221" s="87" t="s">
        <v>6939</v>
      </c>
      <c r="L221" s="87" t="s">
        <v>6573</v>
      </c>
      <c r="M221" s="87" t="s">
        <v>6431</v>
      </c>
      <c r="N221" s="9" t="s">
        <v>7403</v>
      </c>
      <c r="O221" s="87" t="s">
        <v>6400</v>
      </c>
      <c r="P221" s="9" t="s">
        <v>6243</v>
      </c>
      <c r="Q221" s="87" t="s">
        <v>3870</v>
      </c>
      <c r="R221" s="87" t="s">
        <v>6237</v>
      </c>
      <c r="S221" s="87" t="s">
        <v>6297</v>
      </c>
      <c r="T221" s="87" t="s">
        <v>6401</v>
      </c>
    </row>
    <row r="222" spans="1:20" ht="15.75" customHeight="1">
      <c r="A222" s="9" t="s">
        <v>2948</v>
      </c>
      <c r="B222" s="9" t="s">
        <v>7405</v>
      </c>
      <c r="C222" s="9" t="s">
        <v>7228</v>
      </c>
      <c r="D222" s="87" t="s">
        <v>6290</v>
      </c>
      <c r="E222" s="9" t="s">
        <v>6924</v>
      </c>
      <c r="F222" s="9" t="s">
        <v>11</v>
      </c>
      <c r="G222" s="9" t="s">
        <v>383</v>
      </c>
      <c r="H222" s="9" t="s">
        <v>426</v>
      </c>
      <c r="I222" s="87" t="s">
        <v>6405</v>
      </c>
      <c r="J222" s="87" t="s">
        <v>6334</v>
      </c>
      <c r="K222" s="87" t="s">
        <v>6334</v>
      </c>
      <c r="L222" s="87" t="s">
        <v>6254</v>
      </c>
      <c r="M222" s="87" t="s">
        <v>6828</v>
      </c>
      <c r="N222" s="9" t="s">
        <v>7896</v>
      </c>
      <c r="O222" s="87" t="s">
        <v>6348</v>
      </c>
      <c r="P222" s="9" t="s">
        <v>6243</v>
      </c>
      <c r="Q222" s="87" t="s">
        <v>5381</v>
      </c>
      <c r="R222" s="87" t="s">
        <v>6334</v>
      </c>
      <c r="S222" s="87" t="s">
        <v>6498</v>
      </c>
      <c r="T222" s="87" t="s">
        <v>6370</v>
      </c>
    </row>
    <row r="223" spans="1:20" ht="15.75" customHeight="1">
      <c r="A223" s="9" t="s">
        <v>2948</v>
      </c>
      <c r="B223" s="9" t="s">
        <v>7897</v>
      </c>
      <c r="C223" s="9" t="s">
        <v>6923</v>
      </c>
      <c r="D223" s="87" t="s">
        <v>6327</v>
      </c>
      <c r="E223" s="9" t="s">
        <v>6924</v>
      </c>
      <c r="F223" s="9" t="s">
        <v>6925</v>
      </c>
      <c r="G223" s="9" t="s">
        <v>383</v>
      </c>
      <c r="H223" s="9" t="s">
        <v>444</v>
      </c>
      <c r="I223" s="87" t="s">
        <v>6405</v>
      </c>
      <c r="J223" s="87" t="s">
        <v>6237</v>
      </c>
      <c r="K223" s="87" t="s">
        <v>6926</v>
      </c>
      <c r="L223" s="87" t="s">
        <v>6573</v>
      </c>
      <c r="M223" s="87" t="s">
        <v>6828</v>
      </c>
      <c r="N223" s="9" t="s">
        <v>7898</v>
      </c>
      <c r="O223" s="87" t="s">
        <v>6570</v>
      </c>
      <c r="P223" s="9" t="s">
        <v>6243</v>
      </c>
      <c r="Q223" s="87" t="s">
        <v>6573</v>
      </c>
      <c r="R223" s="87" t="s">
        <v>6237</v>
      </c>
      <c r="S223" s="87" t="s">
        <v>6293</v>
      </c>
      <c r="T223" s="87" t="s">
        <v>6277</v>
      </c>
    </row>
    <row r="224" spans="1:20" ht="15.75" customHeight="1">
      <c r="A224" s="9" t="s">
        <v>2948</v>
      </c>
      <c r="B224" s="9" t="s">
        <v>7897</v>
      </c>
      <c r="C224" s="9" t="s">
        <v>7228</v>
      </c>
      <c r="D224" s="87" t="s">
        <v>6290</v>
      </c>
      <c r="E224" s="9" t="s">
        <v>6924</v>
      </c>
      <c r="F224" s="9" t="s">
        <v>11</v>
      </c>
      <c r="G224" s="9" t="s">
        <v>383</v>
      </c>
      <c r="H224" s="9" t="s">
        <v>426</v>
      </c>
      <c r="I224" s="87" t="s">
        <v>6405</v>
      </c>
      <c r="J224" s="87" t="s">
        <v>6405</v>
      </c>
      <c r="K224" s="87" t="s">
        <v>6405</v>
      </c>
      <c r="L224" s="87" t="s">
        <v>6254</v>
      </c>
      <c r="M224" s="87" t="s">
        <v>6826</v>
      </c>
      <c r="N224" s="9" t="s">
        <v>7899</v>
      </c>
      <c r="O224" s="87" t="s">
        <v>6251</v>
      </c>
      <c r="P224" s="9" t="s">
        <v>6243</v>
      </c>
      <c r="Q224" s="87" t="s">
        <v>6254</v>
      </c>
      <c r="R224" s="87" t="s">
        <v>6405</v>
      </c>
      <c r="S224" s="87" t="s">
        <v>6445</v>
      </c>
      <c r="T224" s="87" t="s">
        <v>6382</v>
      </c>
    </row>
    <row r="225" spans="1:20" ht="15.75" customHeight="1">
      <c r="A225" s="9" t="s">
        <v>3032</v>
      </c>
      <c r="B225" s="9" t="s">
        <v>7408</v>
      </c>
      <c r="C225" s="9" t="s">
        <v>6236</v>
      </c>
      <c r="D225" s="87" t="s">
        <v>6393</v>
      </c>
      <c r="E225" s="9" t="s">
        <v>431</v>
      </c>
      <c r="F225" s="9" t="s">
        <v>368</v>
      </c>
      <c r="G225" s="9" t="s">
        <v>436</v>
      </c>
      <c r="H225" s="9" t="s">
        <v>434</v>
      </c>
      <c r="I225" s="87" t="s">
        <v>6264</v>
      </c>
      <c r="J225" s="87" t="s">
        <v>6468</v>
      </c>
      <c r="K225" s="87" t="s">
        <v>6239</v>
      </c>
      <c r="L225" s="87" t="s">
        <v>6240</v>
      </c>
      <c r="M225" s="87" t="s">
        <v>6449</v>
      </c>
      <c r="N225" s="9" t="s">
        <v>6928</v>
      </c>
      <c r="O225" s="87" t="s">
        <v>6239</v>
      </c>
      <c r="P225" s="9" t="s">
        <v>6243</v>
      </c>
      <c r="Q225" s="87" t="s">
        <v>3764</v>
      </c>
      <c r="R225" s="87" t="s">
        <v>6468</v>
      </c>
      <c r="S225" s="87" t="s">
        <v>6327</v>
      </c>
      <c r="T225" s="87" t="s">
        <v>6645</v>
      </c>
    </row>
    <row r="226" spans="1:20" ht="15.75" customHeight="1">
      <c r="A226" s="9" t="s">
        <v>3032</v>
      </c>
      <c r="B226" s="9" t="s">
        <v>7408</v>
      </c>
      <c r="C226" s="9" t="s">
        <v>6236</v>
      </c>
      <c r="D226" s="87" t="s">
        <v>6393</v>
      </c>
      <c r="E226" s="9" t="s">
        <v>431</v>
      </c>
      <c r="F226" s="9" t="s">
        <v>368</v>
      </c>
      <c r="G226" s="9" t="s">
        <v>436</v>
      </c>
      <c r="H226" s="9" t="s">
        <v>434</v>
      </c>
      <c r="I226" s="87" t="s">
        <v>6264</v>
      </c>
      <c r="J226" s="87" t="s">
        <v>6468</v>
      </c>
      <c r="K226" s="87" t="s">
        <v>6239</v>
      </c>
      <c r="L226" s="87" t="s">
        <v>6240</v>
      </c>
      <c r="M226" s="87" t="s">
        <v>6452</v>
      </c>
      <c r="N226" s="9" t="s">
        <v>6928</v>
      </c>
      <c r="O226" s="87" t="s">
        <v>6239</v>
      </c>
      <c r="P226" s="9" t="s">
        <v>6243</v>
      </c>
      <c r="Q226" s="87" t="s">
        <v>3764</v>
      </c>
      <c r="R226" s="87" t="s">
        <v>6468</v>
      </c>
      <c r="S226" s="87" t="s">
        <v>6327</v>
      </c>
      <c r="T226" s="87" t="s">
        <v>6645</v>
      </c>
    </row>
    <row r="227" spans="1:20" ht="15.75" customHeight="1">
      <c r="A227" s="9" t="s">
        <v>3032</v>
      </c>
      <c r="B227" s="9" t="s">
        <v>7408</v>
      </c>
      <c r="C227" s="9" t="s">
        <v>6236</v>
      </c>
      <c r="D227" s="87" t="s">
        <v>6393</v>
      </c>
      <c r="E227" s="9" t="s">
        <v>431</v>
      </c>
      <c r="F227" s="9" t="s">
        <v>368</v>
      </c>
      <c r="G227" s="9" t="s">
        <v>436</v>
      </c>
      <c r="H227" s="9" t="s">
        <v>434</v>
      </c>
      <c r="I227" s="87" t="s">
        <v>6264</v>
      </c>
      <c r="J227" s="87" t="s">
        <v>6468</v>
      </c>
      <c r="K227" s="87" t="s">
        <v>4953</v>
      </c>
      <c r="L227" s="87" t="s">
        <v>6240</v>
      </c>
      <c r="M227" s="87" t="s">
        <v>6466</v>
      </c>
      <c r="N227" s="9" t="s">
        <v>7080</v>
      </c>
      <c r="O227" s="87" t="s">
        <v>4953</v>
      </c>
      <c r="P227" s="9" t="s">
        <v>6243</v>
      </c>
      <c r="Q227" s="87" t="s">
        <v>6306</v>
      </c>
      <c r="R227" s="87" t="s">
        <v>6468</v>
      </c>
      <c r="S227" s="87" t="s">
        <v>6373</v>
      </c>
      <c r="T227" s="87" t="s">
        <v>6645</v>
      </c>
    </row>
    <row r="228" spans="1:20" ht="15.75" customHeight="1">
      <c r="A228" s="9" t="s">
        <v>3032</v>
      </c>
      <c r="B228" s="9" t="s">
        <v>7409</v>
      </c>
      <c r="C228" s="9" t="s">
        <v>6671</v>
      </c>
      <c r="D228" s="87" t="s">
        <v>6296</v>
      </c>
      <c r="E228" s="9" t="s">
        <v>6672</v>
      </c>
      <c r="F228" s="9" t="s">
        <v>439</v>
      </c>
      <c r="G228" s="9" t="s">
        <v>436</v>
      </c>
      <c r="H228" s="9" t="s">
        <v>440</v>
      </c>
      <c r="I228" s="87" t="s">
        <v>6405</v>
      </c>
      <c r="J228" s="87" t="s">
        <v>7410</v>
      </c>
      <c r="K228" s="87" t="s">
        <v>6239</v>
      </c>
      <c r="L228" s="87" t="s">
        <v>6240</v>
      </c>
      <c r="M228" s="87" t="s">
        <v>6469</v>
      </c>
      <c r="N228" s="9" t="s">
        <v>6928</v>
      </c>
      <c r="O228" s="87" t="s">
        <v>6239</v>
      </c>
      <c r="P228" s="9" t="s">
        <v>6243</v>
      </c>
      <c r="Q228" s="87" t="s">
        <v>3764</v>
      </c>
      <c r="R228" s="87" t="s">
        <v>7410</v>
      </c>
      <c r="S228" s="87" t="s">
        <v>6327</v>
      </c>
      <c r="T228" s="87" t="s">
        <v>6645</v>
      </c>
    </row>
    <row r="229" spans="1:20" ht="15.75" customHeight="1">
      <c r="A229" s="9" t="s">
        <v>3032</v>
      </c>
      <c r="B229" s="9" t="s">
        <v>7409</v>
      </c>
      <c r="C229" s="9" t="s">
        <v>6671</v>
      </c>
      <c r="D229" s="87" t="s">
        <v>6296</v>
      </c>
      <c r="E229" s="9" t="s">
        <v>6672</v>
      </c>
      <c r="F229" s="9" t="s">
        <v>439</v>
      </c>
      <c r="G229" s="9" t="s">
        <v>436</v>
      </c>
      <c r="H229" s="9" t="s">
        <v>440</v>
      </c>
      <c r="I229" s="87" t="s">
        <v>6405</v>
      </c>
      <c r="J229" s="87" t="s">
        <v>7410</v>
      </c>
      <c r="K229" s="87" t="s">
        <v>6239</v>
      </c>
      <c r="L229" s="87" t="s">
        <v>6240</v>
      </c>
      <c r="M229" s="87" t="s">
        <v>6470</v>
      </c>
      <c r="N229" s="9" t="s">
        <v>6928</v>
      </c>
      <c r="O229" s="87" t="s">
        <v>6239</v>
      </c>
      <c r="P229" s="9" t="s">
        <v>6243</v>
      </c>
      <c r="Q229" s="87" t="s">
        <v>3764</v>
      </c>
      <c r="R229" s="87" t="s">
        <v>7410</v>
      </c>
      <c r="S229" s="87" t="s">
        <v>6327</v>
      </c>
      <c r="T229" s="87" t="s">
        <v>6645</v>
      </c>
    </row>
    <row r="230" spans="1:20" ht="15.75" customHeight="1">
      <c r="A230" s="9" t="s">
        <v>3032</v>
      </c>
      <c r="B230" s="9" t="s">
        <v>7409</v>
      </c>
      <c r="C230" s="9" t="s">
        <v>6671</v>
      </c>
      <c r="D230" s="87" t="s">
        <v>6296</v>
      </c>
      <c r="E230" s="9" t="s">
        <v>6672</v>
      </c>
      <c r="F230" s="9" t="s">
        <v>439</v>
      </c>
      <c r="G230" s="9" t="s">
        <v>436</v>
      </c>
      <c r="H230" s="9" t="s">
        <v>440</v>
      </c>
      <c r="I230" s="87" t="s">
        <v>6405</v>
      </c>
      <c r="J230" s="87" t="s">
        <v>7410</v>
      </c>
      <c r="K230" s="87" t="s">
        <v>6416</v>
      </c>
      <c r="L230" s="87" t="s">
        <v>6240</v>
      </c>
      <c r="M230" s="87" t="s">
        <v>6471</v>
      </c>
      <c r="N230" s="9" t="s">
        <v>7411</v>
      </c>
      <c r="O230" s="87" t="s">
        <v>6416</v>
      </c>
      <c r="P230" s="9" t="s">
        <v>6243</v>
      </c>
      <c r="Q230" s="87" t="s">
        <v>6758</v>
      </c>
      <c r="R230" s="87" t="s">
        <v>7410</v>
      </c>
      <c r="S230" s="87" t="s">
        <v>6411</v>
      </c>
      <c r="T230" s="87" t="s">
        <v>6645</v>
      </c>
    </row>
    <row r="231" spans="1:20" ht="15.75" customHeight="1">
      <c r="A231" s="9" t="s">
        <v>3032</v>
      </c>
      <c r="B231" s="9" t="s">
        <v>7412</v>
      </c>
      <c r="C231" s="9" t="s">
        <v>6923</v>
      </c>
      <c r="D231" s="87" t="s">
        <v>6264</v>
      </c>
      <c r="E231" s="9" t="s">
        <v>6924</v>
      </c>
      <c r="F231" s="9" t="s">
        <v>6925</v>
      </c>
      <c r="G231" s="9" t="s">
        <v>383</v>
      </c>
      <c r="H231" s="9" t="s">
        <v>449</v>
      </c>
      <c r="I231" s="87" t="s">
        <v>6405</v>
      </c>
      <c r="J231" s="87" t="s">
        <v>6264</v>
      </c>
      <c r="K231" s="87" t="s">
        <v>6931</v>
      </c>
      <c r="L231" s="87" t="s">
        <v>6238</v>
      </c>
      <c r="M231" s="87" t="s">
        <v>6475</v>
      </c>
      <c r="N231" s="9" t="s">
        <v>7159</v>
      </c>
      <c r="O231" s="87" t="s">
        <v>6263</v>
      </c>
      <c r="P231" s="9" t="s">
        <v>6243</v>
      </c>
      <c r="Q231" s="87" t="s">
        <v>3699</v>
      </c>
      <c r="R231" s="87" t="s">
        <v>6264</v>
      </c>
      <c r="S231" s="87" t="s">
        <v>6245</v>
      </c>
      <c r="T231" s="87" t="s">
        <v>6341</v>
      </c>
    </row>
    <row r="232" spans="1:20" ht="15.75" customHeight="1">
      <c r="A232" s="9" t="s">
        <v>3032</v>
      </c>
      <c r="B232" s="9" t="s">
        <v>7412</v>
      </c>
      <c r="C232" s="9" t="s">
        <v>7228</v>
      </c>
      <c r="D232" s="87" t="s">
        <v>6405</v>
      </c>
      <c r="E232" s="9" t="s">
        <v>6924</v>
      </c>
      <c r="F232" s="9" t="s">
        <v>11</v>
      </c>
      <c r="G232" s="9" t="s">
        <v>383</v>
      </c>
      <c r="H232" s="9" t="s">
        <v>426</v>
      </c>
      <c r="I232" s="87" t="s">
        <v>6405</v>
      </c>
      <c r="J232" s="87" t="s">
        <v>6264</v>
      </c>
      <c r="K232" s="87" t="s">
        <v>6264</v>
      </c>
      <c r="L232" s="87" t="s">
        <v>6287</v>
      </c>
      <c r="M232" s="87" t="s">
        <v>6481</v>
      </c>
      <c r="N232" s="9" t="s">
        <v>7413</v>
      </c>
      <c r="O232" s="87" t="s">
        <v>6409</v>
      </c>
      <c r="P232" s="9" t="s">
        <v>6243</v>
      </c>
      <c r="Q232" s="87" t="s">
        <v>6489</v>
      </c>
      <c r="R232" s="87" t="s">
        <v>6264</v>
      </c>
      <c r="S232" s="87" t="s">
        <v>6302</v>
      </c>
      <c r="T232" s="87" t="s">
        <v>6341</v>
      </c>
    </row>
    <row r="233" spans="1:20" ht="15.75" customHeight="1">
      <c r="A233" s="9" t="s">
        <v>2844</v>
      </c>
      <c r="B233" s="9" t="s">
        <v>7414</v>
      </c>
      <c r="C233" s="9" t="s">
        <v>6236</v>
      </c>
      <c r="D233" s="87" t="s">
        <v>6393</v>
      </c>
      <c r="E233" s="9" t="s">
        <v>431</v>
      </c>
      <c r="F233" s="9" t="s">
        <v>368</v>
      </c>
      <c r="G233" s="9" t="s">
        <v>436</v>
      </c>
      <c r="H233" s="9" t="s">
        <v>434</v>
      </c>
      <c r="I233" s="87" t="s">
        <v>6237</v>
      </c>
      <c r="J233" s="87" t="s">
        <v>6405</v>
      </c>
      <c r="K233" s="87" t="s">
        <v>6405</v>
      </c>
      <c r="L233" s="87" t="s">
        <v>6240</v>
      </c>
      <c r="M233" s="87" t="s">
        <v>6390</v>
      </c>
      <c r="N233" s="9" t="s">
        <v>7036</v>
      </c>
      <c r="O233" s="87" t="s">
        <v>6405</v>
      </c>
      <c r="P233" s="9" t="s">
        <v>6243</v>
      </c>
      <c r="Q233" s="87" t="s">
        <v>6240</v>
      </c>
      <c r="R233" s="87" t="s">
        <v>6405</v>
      </c>
      <c r="S233" s="87" t="s">
        <v>6645</v>
      </c>
      <c r="T233" s="87" t="s">
        <v>6645</v>
      </c>
    </row>
    <row r="234" spans="1:20" ht="15.75" customHeight="1">
      <c r="A234" s="9" t="s">
        <v>2844</v>
      </c>
      <c r="B234" s="9" t="s">
        <v>7416</v>
      </c>
      <c r="C234" s="9" t="s">
        <v>6923</v>
      </c>
      <c r="D234" s="87" t="s">
        <v>6327</v>
      </c>
      <c r="E234" s="9" t="s">
        <v>6924</v>
      </c>
      <c r="F234" s="9" t="s">
        <v>6925</v>
      </c>
      <c r="G234" s="9" t="s">
        <v>383</v>
      </c>
      <c r="H234" s="9" t="s">
        <v>444</v>
      </c>
      <c r="I234" s="87" t="s">
        <v>6405</v>
      </c>
      <c r="J234" s="87" t="s">
        <v>6405</v>
      </c>
      <c r="K234" s="87" t="s">
        <v>6926</v>
      </c>
      <c r="L234" s="87" t="s">
        <v>5381</v>
      </c>
      <c r="M234" s="87" t="s">
        <v>6398</v>
      </c>
      <c r="N234" s="9" t="s">
        <v>7417</v>
      </c>
      <c r="O234" s="87" t="s">
        <v>6348</v>
      </c>
      <c r="P234" s="9" t="s">
        <v>6243</v>
      </c>
      <c r="Q234" s="87" t="s">
        <v>5381</v>
      </c>
      <c r="R234" s="87" t="s">
        <v>6405</v>
      </c>
      <c r="S234" s="87" t="s">
        <v>6237</v>
      </c>
      <c r="T234" s="87" t="s">
        <v>6414</v>
      </c>
    </row>
    <row r="235" spans="1:20" ht="15.75" customHeight="1">
      <c r="A235" s="9" t="s">
        <v>2844</v>
      </c>
      <c r="B235" s="9" t="s">
        <v>7415</v>
      </c>
      <c r="C235" s="9" t="s">
        <v>6671</v>
      </c>
      <c r="D235" s="87" t="s">
        <v>6296</v>
      </c>
      <c r="E235" s="9" t="s">
        <v>6672</v>
      </c>
      <c r="F235" s="9" t="s">
        <v>439</v>
      </c>
      <c r="G235" s="9" t="s">
        <v>436</v>
      </c>
      <c r="H235" s="9" t="s">
        <v>440</v>
      </c>
      <c r="I235" s="87" t="s">
        <v>6405</v>
      </c>
      <c r="J235" s="87" t="s">
        <v>6405</v>
      </c>
      <c r="K235" s="87" t="s">
        <v>6405</v>
      </c>
      <c r="L235" s="87" t="s">
        <v>6240</v>
      </c>
      <c r="M235" s="87" t="s">
        <v>6398</v>
      </c>
      <c r="N235" s="9" t="s">
        <v>7036</v>
      </c>
      <c r="O235" s="87" t="s">
        <v>6405</v>
      </c>
      <c r="P235" s="9" t="s">
        <v>6243</v>
      </c>
      <c r="Q235" s="87" t="s">
        <v>6240</v>
      </c>
      <c r="R235" s="87" t="s">
        <v>6405</v>
      </c>
      <c r="S235" s="87" t="s">
        <v>6645</v>
      </c>
      <c r="T235" s="87" t="s">
        <v>6645</v>
      </c>
    </row>
    <row r="236" spans="1:20" ht="15.75" customHeight="1">
      <c r="A236" s="9" t="s">
        <v>2868</v>
      </c>
      <c r="B236" s="9" t="s">
        <v>7418</v>
      </c>
      <c r="C236" s="9" t="s">
        <v>6236</v>
      </c>
      <c r="D236" s="87" t="s">
        <v>6393</v>
      </c>
      <c r="E236" s="9" t="s">
        <v>431</v>
      </c>
      <c r="F236" s="9" t="s">
        <v>368</v>
      </c>
      <c r="G236" s="9" t="s">
        <v>436</v>
      </c>
      <c r="H236" s="9" t="s">
        <v>434</v>
      </c>
      <c r="I236" s="87" t="s">
        <v>6237</v>
      </c>
      <c r="J236" s="87" t="s">
        <v>6297</v>
      </c>
      <c r="K236" s="87" t="s">
        <v>6297</v>
      </c>
      <c r="L236" s="87" t="s">
        <v>6240</v>
      </c>
      <c r="M236" s="87" t="s">
        <v>6390</v>
      </c>
      <c r="N236" s="9" t="s">
        <v>7038</v>
      </c>
      <c r="O236" s="87" t="s">
        <v>6297</v>
      </c>
      <c r="P236" s="9" t="s">
        <v>6243</v>
      </c>
      <c r="Q236" s="87" t="s">
        <v>6299</v>
      </c>
      <c r="R236" s="87" t="s">
        <v>6297</v>
      </c>
      <c r="S236" s="87" t="s">
        <v>6443</v>
      </c>
      <c r="T236" s="87" t="s">
        <v>6351</v>
      </c>
    </row>
    <row r="237" spans="1:20" ht="15.75" customHeight="1">
      <c r="A237" s="9" t="s">
        <v>2868</v>
      </c>
      <c r="B237" s="9" t="s">
        <v>7419</v>
      </c>
      <c r="C237" s="9" t="s">
        <v>6671</v>
      </c>
      <c r="D237" s="87" t="s">
        <v>6296</v>
      </c>
      <c r="E237" s="9" t="s">
        <v>6672</v>
      </c>
      <c r="F237" s="9" t="s">
        <v>439</v>
      </c>
      <c r="G237" s="9" t="s">
        <v>436</v>
      </c>
      <c r="H237" s="9" t="s">
        <v>440</v>
      </c>
      <c r="I237" s="87" t="s">
        <v>6405</v>
      </c>
      <c r="J237" s="87" t="s">
        <v>6240</v>
      </c>
      <c r="K237" s="87" t="s">
        <v>6240</v>
      </c>
      <c r="L237" s="87" t="s">
        <v>6240</v>
      </c>
      <c r="M237" s="87" t="s">
        <v>6398</v>
      </c>
      <c r="N237" s="9" t="s">
        <v>7039</v>
      </c>
      <c r="O237" s="87" t="s">
        <v>6240</v>
      </c>
      <c r="P237" s="9" t="s">
        <v>6243</v>
      </c>
      <c r="Q237" s="87" t="s">
        <v>6397</v>
      </c>
      <c r="R237" s="87" t="s">
        <v>6240</v>
      </c>
      <c r="S237" s="87" t="s">
        <v>6419</v>
      </c>
      <c r="T237" s="87" t="s">
        <v>6351</v>
      </c>
    </row>
    <row r="238" spans="1:20" ht="15.75" customHeight="1">
      <c r="A238" s="9" t="s">
        <v>2868</v>
      </c>
      <c r="B238" s="9" t="s">
        <v>7420</v>
      </c>
      <c r="C238" s="9" t="s">
        <v>6923</v>
      </c>
      <c r="D238" s="87" t="s">
        <v>6327</v>
      </c>
      <c r="E238" s="9" t="s">
        <v>6924</v>
      </c>
      <c r="F238" s="9" t="s">
        <v>6925</v>
      </c>
      <c r="G238" s="9" t="s">
        <v>383</v>
      </c>
      <c r="H238" s="9" t="s">
        <v>444</v>
      </c>
      <c r="I238" s="87" t="s">
        <v>6405</v>
      </c>
      <c r="J238" s="87" t="s">
        <v>6405</v>
      </c>
      <c r="K238" s="87" t="s">
        <v>6926</v>
      </c>
      <c r="L238" s="87" t="s">
        <v>5381</v>
      </c>
      <c r="M238" s="87" t="s">
        <v>6422</v>
      </c>
      <c r="N238" s="9" t="s">
        <v>7417</v>
      </c>
      <c r="O238" s="87" t="s">
        <v>6348</v>
      </c>
      <c r="P238" s="9" t="s">
        <v>6243</v>
      </c>
      <c r="Q238" s="87" t="s">
        <v>5381</v>
      </c>
      <c r="R238" s="87" t="s">
        <v>6405</v>
      </c>
      <c r="S238" s="87" t="s">
        <v>6237</v>
      </c>
      <c r="T238" s="87" t="s">
        <v>6414</v>
      </c>
    </row>
    <row r="239" spans="1:20" ht="15.75" customHeight="1">
      <c r="A239" s="9" t="s">
        <v>2859</v>
      </c>
      <c r="B239" s="9" t="s">
        <v>7421</v>
      </c>
      <c r="C239" s="9" t="s">
        <v>6236</v>
      </c>
      <c r="D239" s="87" t="s">
        <v>6393</v>
      </c>
      <c r="E239" s="9" t="s">
        <v>431</v>
      </c>
      <c r="F239" s="9" t="s">
        <v>368</v>
      </c>
      <c r="G239" s="9" t="s">
        <v>436</v>
      </c>
      <c r="H239" s="9" t="s">
        <v>434</v>
      </c>
      <c r="I239" s="87" t="s">
        <v>6237</v>
      </c>
      <c r="J239" s="87" t="s">
        <v>4953</v>
      </c>
      <c r="K239" s="87" t="s">
        <v>4953</v>
      </c>
      <c r="L239" s="87" t="s">
        <v>6240</v>
      </c>
      <c r="M239" s="87" t="s">
        <v>6426</v>
      </c>
      <c r="N239" s="9" t="s">
        <v>7041</v>
      </c>
      <c r="O239" s="87" t="s">
        <v>4953</v>
      </c>
      <c r="P239" s="9" t="s">
        <v>6243</v>
      </c>
      <c r="Q239" s="87" t="s">
        <v>6306</v>
      </c>
      <c r="R239" s="87" t="s">
        <v>4953</v>
      </c>
      <c r="S239" s="87" t="s">
        <v>6268</v>
      </c>
      <c r="T239" s="87" t="s">
        <v>6484</v>
      </c>
    </row>
    <row r="240" spans="1:20" ht="15.75" customHeight="1">
      <c r="A240" s="9" t="s">
        <v>2859</v>
      </c>
      <c r="B240" s="9" t="s">
        <v>7422</v>
      </c>
      <c r="C240" s="9" t="s">
        <v>6671</v>
      </c>
      <c r="D240" s="87" t="s">
        <v>6296</v>
      </c>
      <c r="E240" s="9" t="s">
        <v>6672</v>
      </c>
      <c r="F240" s="9" t="s">
        <v>439</v>
      </c>
      <c r="G240" s="9" t="s">
        <v>436</v>
      </c>
      <c r="H240" s="9" t="s">
        <v>440</v>
      </c>
      <c r="I240" s="87" t="s">
        <v>6405</v>
      </c>
      <c r="J240" s="87" t="s">
        <v>6296</v>
      </c>
      <c r="K240" s="87" t="s">
        <v>6296</v>
      </c>
      <c r="L240" s="87" t="s">
        <v>6240</v>
      </c>
      <c r="M240" s="87" t="s">
        <v>6431</v>
      </c>
      <c r="N240" s="9" t="s">
        <v>7042</v>
      </c>
      <c r="O240" s="87" t="s">
        <v>6296</v>
      </c>
      <c r="P240" s="9" t="s">
        <v>6243</v>
      </c>
      <c r="Q240" s="87" t="s">
        <v>6287</v>
      </c>
      <c r="R240" s="87" t="s">
        <v>6296</v>
      </c>
      <c r="S240" s="87" t="s">
        <v>6287</v>
      </c>
      <c r="T240" s="87" t="s">
        <v>6645</v>
      </c>
    </row>
    <row r="241" spans="1:20" ht="15.75" customHeight="1">
      <c r="A241" s="9" t="s">
        <v>2859</v>
      </c>
      <c r="B241" s="9" t="s">
        <v>7423</v>
      </c>
      <c r="C241" s="9" t="s">
        <v>6923</v>
      </c>
      <c r="D241" s="87" t="s">
        <v>6327</v>
      </c>
      <c r="E241" s="9" t="s">
        <v>6924</v>
      </c>
      <c r="F241" s="9" t="s">
        <v>6925</v>
      </c>
      <c r="G241" s="9" t="s">
        <v>383</v>
      </c>
      <c r="H241" s="9" t="s">
        <v>444</v>
      </c>
      <c r="I241" s="87" t="s">
        <v>6405</v>
      </c>
      <c r="J241" s="87" t="s">
        <v>6405</v>
      </c>
      <c r="K241" s="87" t="s">
        <v>6926</v>
      </c>
      <c r="L241" s="87" t="s">
        <v>6293</v>
      </c>
      <c r="M241" s="87" t="s">
        <v>6828</v>
      </c>
      <c r="N241" s="9" t="s">
        <v>7900</v>
      </c>
      <c r="O241" s="87" t="s">
        <v>6290</v>
      </c>
      <c r="P241" s="9" t="s">
        <v>6243</v>
      </c>
      <c r="Q241" s="87" t="s">
        <v>6293</v>
      </c>
      <c r="R241" s="87" t="s">
        <v>6405</v>
      </c>
      <c r="S241" s="87" t="s">
        <v>6268</v>
      </c>
      <c r="T241" s="87" t="s">
        <v>6254</v>
      </c>
    </row>
    <row r="242" spans="1:20" ht="15.75" customHeight="1">
      <c r="A242" s="9" t="s">
        <v>2859</v>
      </c>
      <c r="B242" s="9" t="s">
        <v>7423</v>
      </c>
      <c r="C242" s="9" t="s">
        <v>7228</v>
      </c>
      <c r="D242" s="87" t="s">
        <v>6290</v>
      </c>
      <c r="E242" s="9" t="s">
        <v>6924</v>
      </c>
      <c r="F242" s="9" t="s">
        <v>11</v>
      </c>
      <c r="G242" s="9" t="s">
        <v>383</v>
      </c>
      <c r="H242" s="9" t="s">
        <v>426</v>
      </c>
      <c r="I242" s="87" t="s">
        <v>6405</v>
      </c>
      <c r="J242" s="87" t="s">
        <v>6405</v>
      </c>
      <c r="K242" s="87" t="s">
        <v>6405</v>
      </c>
      <c r="L242" s="87" t="s">
        <v>5381</v>
      </c>
      <c r="M242" s="87" t="s">
        <v>6826</v>
      </c>
      <c r="N242" s="9" t="s">
        <v>7901</v>
      </c>
      <c r="O242" s="87" t="s">
        <v>6348</v>
      </c>
      <c r="P242" s="9" t="s">
        <v>6243</v>
      </c>
      <c r="Q242" s="87" t="s">
        <v>5381</v>
      </c>
      <c r="R242" s="87" t="s">
        <v>6405</v>
      </c>
      <c r="S242" s="87" t="s">
        <v>6455</v>
      </c>
      <c r="T242" s="87" t="s">
        <v>6526</v>
      </c>
    </row>
    <row r="243" spans="1:20" ht="15.75" customHeight="1">
      <c r="A243" s="9" t="s">
        <v>2886</v>
      </c>
      <c r="B243" s="9" t="s">
        <v>7425</v>
      </c>
      <c r="C243" s="9" t="s">
        <v>6236</v>
      </c>
      <c r="D243" s="87" t="s">
        <v>6393</v>
      </c>
      <c r="E243" s="9" t="s">
        <v>431</v>
      </c>
      <c r="F243" s="9" t="s">
        <v>368</v>
      </c>
      <c r="G243" s="9" t="s">
        <v>436</v>
      </c>
      <c r="H243" s="9" t="s">
        <v>434</v>
      </c>
      <c r="I243" s="87" t="s">
        <v>6237</v>
      </c>
      <c r="J243" s="87" t="s">
        <v>6435</v>
      </c>
      <c r="K243" s="87" t="s">
        <v>6435</v>
      </c>
      <c r="L243" s="87" t="s">
        <v>6240</v>
      </c>
      <c r="M243" s="87" t="s">
        <v>6431</v>
      </c>
      <c r="N243" s="9" t="s">
        <v>7007</v>
      </c>
      <c r="O243" s="87" t="s">
        <v>6435</v>
      </c>
      <c r="P243" s="9" t="s">
        <v>6243</v>
      </c>
      <c r="Q243" s="87" t="s">
        <v>6250</v>
      </c>
      <c r="R243" s="87" t="s">
        <v>6435</v>
      </c>
      <c r="S243" s="87" t="s">
        <v>6733</v>
      </c>
      <c r="T243" s="87" t="s">
        <v>6645</v>
      </c>
    </row>
    <row r="244" spans="1:20" ht="15.75" customHeight="1">
      <c r="A244" s="9" t="s">
        <v>2886</v>
      </c>
      <c r="B244" s="9" t="s">
        <v>7426</v>
      </c>
      <c r="C244" s="9" t="s">
        <v>6671</v>
      </c>
      <c r="D244" s="87" t="s">
        <v>6296</v>
      </c>
      <c r="E244" s="9" t="s">
        <v>6672</v>
      </c>
      <c r="F244" s="9" t="s">
        <v>439</v>
      </c>
      <c r="G244" s="9" t="s">
        <v>436</v>
      </c>
      <c r="H244" s="9" t="s">
        <v>440</v>
      </c>
      <c r="I244" s="87" t="s">
        <v>6405</v>
      </c>
      <c r="J244" s="87" t="s">
        <v>6290</v>
      </c>
      <c r="K244" s="87" t="s">
        <v>6290</v>
      </c>
      <c r="L244" s="87" t="s">
        <v>6240</v>
      </c>
      <c r="M244" s="87" t="s">
        <v>6828</v>
      </c>
      <c r="N244" s="9" t="s">
        <v>6964</v>
      </c>
      <c r="O244" s="87" t="s">
        <v>6290</v>
      </c>
      <c r="P244" s="9" t="s">
        <v>6243</v>
      </c>
      <c r="Q244" s="87" t="s">
        <v>6293</v>
      </c>
      <c r="R244" s="87" t="s">
        <v>6290</v>
      </c>
      <c r="S244" s="87" t="s">
        <v>6525</v>
      </c>
      <c r="T244" s="87" t="s">
        <v>6645</v>
      </c>
    </row>
    <row r="245" spans="1:20" ht="15.75" customHeight="1">
      <c r="A245" s="9" t="s">
        <v>2886</v>
      </c>
      <c r="B245" s="9" t="s">
        <v>7427</v>
      </c>
      <c r="C245" s="9" t="s">
        <v>6923</v>
      </c>
      <c r="D245" s="87" t="s">
        <v>6327</v>
      </c>
      <c r="E245" s="9" t="s">
        <v>6924</v>
      </c>
      <c r="F245" s="9" t="s">
        <v>6925</v>
      </c>
      <c r="G245" s="9" t="s">
        <v>383</v>
      </c>
      <c r="H245" s="9" t="s">
        <v>444</v>
      </c>
      <c r="I245" s="87" t="s">
        <v>6405</v>
      </c>
      <c r="J245" s="87" t="s">
        <v>6405</v>
      </c>
      <c r="K245" s="87" t="s">
        <v>6926</v>
      </c>
      <c r="L245" s="87" t="s">
        <v>6573</v>
      </c>
      <c r="M245" s="87" t="s">
        <v>6826</v>
      </c>
      <c r="N245" s="9" t="s">
        <v>7902</v>
      </c>
      <c r="O245" s="87" t="s">
        <v>6570</v>
      </c>
      <c r="P245" s="9" t="s">
        <v>6243</v>
      </c>
      <c r="Q245" s="87" t="s">
        <v>6573</v>
      </c>
      <c r="R245" s="87" t="s">
        <v>6405</v>
      </c>
      <c r="S245" s="87" t="s">
        <v>6411</v>
      </c>
      <c r="T245" s="87" t="s">
        <v>6293</v>
      </c>
    </row>
    <row r="246" spans="1:20" ht="15.75" customHeight="1">
      <c r="A246" s="9" t="s">
        <v>2886</v>
      </c>
      <c r="B246" s="9" t="s">
        <v>7427</v>
      </c>
      <c r="C246" s="9" t="s">
        <v>7228</v>
      </c>
      <c r="D246" s="87" t="s">
        <v>6290</v>
      </c>
      <c r="E246" s="9" t="s">
        <v>6924</v>
      </c>
      <c r="F246" s="9" t="s">
        <v>11</v>
      </c>
      <c r="G246" s="9" t="s">
        <v>383</v>
      </c>
      <c r="H246" s="9" t="s">
        <v>426</v>
      </c>
      <c r="I246" s="87" t="s">
        <v>6405</v>
      </c>
      <c r="J246" s="87" t="s">
        <v>6405</v>
      </c>
      <c r="K246" s="87" t="s">
        <v>6405</v>
      </c>
      <c r="L246" s="87" t="s">
        <v>6254</v>
      </c>
      <c r="M246" s="87" t="s">
        <v>7048</v>
      </c>
      <c r="N246" s="9" t="s">
        <v>7899</v>
      </c>
      <c r="O246" s="87" t="s">
        <v>6251</v>
      </c>
      <c r="P246" s="9" t="s">
        <v>6243</v>
      </c>
      <c r="Q246" s="87" t="s">
        <v>6254</v>
      </c>
      <c r="R246" s="87" t="s">
        <v>6405</v>
      </c>
      <c r="S246" s="87" t="s">
        <v>6445</v>
      </c>
      <c r="T246" s="87" t="s">
        <v>6382</v>
      </c>
    </row>
    <row r="247" spans="1:20" ht="15.75" customHeight="1">
      <c r="A247" s="9" t="s">
        <v>2941</v>
      </c>
      <c r="B247" s="9" t="s">
        <v>7430</v>
      </c>
      <c r="C247" s="9" t="s">
        <v>6236</v>
      </c>
      <c r="D247" s="87" t="s">
        <v>6393</v>
      </c>
      <c r="E247" s="9" t="s">
        <v>431</v>
      </c>
      <c r="F247" s="9" t="s">
        <v>368</v>
      </c>
      <c r="G247" s="9" t="s">
        <v>436</v>
      </c>
      <c r="H247" s="9" t="s">
        <v>434</v>
      </c>
      <c r="I247" s="87" t="s">
        <v>6237</v>
      </c>
      <c r="J247" s="87" t="s">
        <v>6245</v>
      </c>
      <c r="K247" s="87" t="s">
        <v>6245</v>
      </c>
      <c r="L247" s="87" t="s">
        <v>6240</v>
      </c>
      <c r="M247" s="87" t="s">
        <v>6840</v>
      </c>
      <c r="N247" s="9" t="s">
        <v>7043</v>
      </c>
      <c r="O247" s="87" t="s">
        <v>6245</v>
      </c>
      <c r="P247" s="9" t="s">
        <v>6243</v>
      </c>
      <c r="Q247" s="87" t="s">
        <v>6238</v>
      </c>
      <c r="R247" s="87" t="s">
        <v>6245</v>
      </c>
      <c r="S247" s="87" t="s">
        <v>6484</v>
      </c>
      <c r="T247" s="87" t="s">
        <v>6333</v>
      </c>
    </row>
    <row r="248" spans="1:20" ht="15.75" customHeight="1">
      <c r="A248" s="9" t="s">
        <v>2941</v>
      </c>
      <c r="B248" s="9" t="s">
        <v>7431</v>
      </c>
      <c r="C248" s="9" t="s">
        <v>6923</v>
      </c>
      <c r="D248" s="87" t="s">
        <v>6461</v>
      </c>
      <c r="E248" s="9" t="s">
        <v>6924</v>
      </c>
      <c r="F248" s="9" t="s">
        <v>6925</v>
      </c>
      <c r="G248" s="9" t="s">
        <v>383</v>
      </c>
      <c r="H248" s="9" t="s">
        <v>427</v>
      </c>
      <c r="I248" s="87" t="s">
        <v>6405</v>
      </c>
      <c r="J248" s="87" t="s">
        <v>6334</v>
      </c>
      <c r="K248" s="87" t="s">
        <v>6939</v>
      </c>
      <c r="L248" s="87" t="s">
        <v>4014</v>
      </c>
      <c r="M248" s="87" t="s">
        <v>6449</v>
      </c>
      <c r="N248" s="9" t="s">
        <v>7034</v>
      </c>
      <c r="O248" s="87" t="s">
        <v>6239</v>
      </c>
      <c r="P248" s="9" t="s">
        <v>6243</v>
      </c>
      <c r="Q248" s="87" t="s">
        <v>3764</v>
      </c>
      <c r="R248" s="87" t="s">
        <v>6334</v>
      </c>
      <c r="S248" s="87" t="s">
        <v>7035</v>
      </c>
      <c r="T248" s="87" t="s">
        <v>6341</v>
      </c>
    </row>
    <row r="249" spans="1:20" ht="15.75" customHeight="1">
      <c r="A249" s="9" t="s">
        <v>2941</v>
      </c>
      <c r="B249" s="9" t="s">
        <v>7431</v>
      </c>
      <c r="C249" s="9" t="s">
        <v>7228</v>
      </c>
      <c r="D249" s="87" t="s">
        <v>6237</v>
      </c>
      <c r="E249" s="9" t="s">
        <v>6924</v>
      </c>
      <c r="F249" s="9" t="s">
        <v>11</v>
      </c>
      <c r="G249" s="9" t="s">
        <v>383</v>
      </c>
      <c r="H249" s="9" t="s">
        <v>426</v>
      </c>
      <c r="I249" s="87" t="s">
        <v>6405</v>
      </c>
      <c r="J249" s="87" t="s">
        <v>6334</v>
      </c>
      <c r="K249" s="87" t="s">
        <v>6334</v>
      </c>
      <c r="L249" s="87" t="s">
        <v>6287</v>
      </c>
      <c r="M249" s="87" t="s">
        <v>6452</v>
      </c>
      <c r="N249" s="9" t="s">
        <v>6979</v>
      </c>
      <c r="O249" s="87" t="s">
        <v>6498</v>
      </c>
      <c r="P249" s="9" t="s">
        <v>6243</v>
      </c>
      <c r="Q249" s="87" t="s">
        <v>4019</v>
      </c>
      <c r="R249" s="87" t="s">
        <v>6334</v>
      </c>
      <c r="S249" s="87" t="s">
        <v>6392</v>
      </c>
      <c r="T249" s="87" t="s">
        <v>6341</v>
      </c>
    </row>
    <row r="250" spans="1:20" ht="15.75" customHeight="1">
      <c r="A250" s="9" t="s">
        <v>2904</v>
      </c>
      <c r="B250" s="9" t="s">
        <v>7432</v>
      </c>
      <c r="C250" s="9" t="s">
        <v>6236</v>
      </c>
      <c r="D250" s="87" t="s">
        <v>6393</v>
      </c>
      <c r="E250" s="9" t="s">
        <v>431</v>
      </c>
      <c r="F250" s="9" t="s">
        <v>368</v>
      </c>
      <c r="G250" s="9" t="s">
        <v>436</v>
      </c>
      <c r="H250" s="9" t="s">
        <v>434</v>
      </c>
      <c r="I250" s="87" t="s">
        <v>6237</v>
      </c>
      <c r="J250" s="87" t="s">
        <v>6296</v>
      </c>
      <c r="K250" s="87" t="s">
        <v>6296</v>
      </c>
      <c r="L250" s="87" t="s">
        <v>6240</v>
      </c>
      <c r="M250" s="87" t="s">
        <v>6466</v>
      </c>
      <c r="N250" s="9" t="s">
        <v>7433</v>
      </c>
      <c r="O250" s="87" t="s">
        <v>6296</v>
      </c>
      <c r="P250" s="9" t="s">
        <v>6243</v>
      </c>
      <c r="Q250" s="87" t="s">
        <v>6287</v>
      </c>
      <c r="R250" s="87" t="s">
        <v>6296</v>
      </c>
      <c r="S250" s="87" t="s">
        <v>5381</v>
      </c>
      <c r="T250" s="87" t="s">
        <v>6367</v>
      </c>
    </row>
    <row r="251" spans="1:20" ht="15.75" customHeight="1">
      <c r="A251" s="9" t="s">
        <v>2904</v>
      </c>
      <c r="B251" s="9" t="s">
        <v>7434</v>
      </c>
      <c r="C251" s="9" t="s">
        <v>6671</v>
      </c>
      <c r="D251" s="87" t="s">
        <v>6296</v>
      </c>
      <c r="E251" s="9" t="s">
        <v>6672</v>
      </c>
      <c r="F251" s="9" t="s">
        <v>439</v>
      </c>
      <c r="G251" s="9" t="s">
        <v>436</v>
      </c>
      <c r="H251" s="9" t="s">
        <v>440</v>
      </c>
      <c r="I251" s="87" t="s">
        <v>6405</v>
      </c>
      <c r="J251" s="87" t="s">
        <v>6296</v>
      </c>
      <c r="K251" s="87" t="s">
        <v>6435</v>
      </c>
      <c r="L251" s="87" t="s">
        <v>6240</v>
      </c>
      <c r="M251" s="87" t="s">
        <v>6471</v>
      </c>
      <c r="N251" s="9" t="s">
        <v>7052</v>
      </c>
      <c r="O251" s="87" t="s">
        <v>6435</v>
      </c>
      <c r="P251" s="9" t="s">
        <v>6243</v>
      </c>
      <c r="Q251" s="87" t="s">
        <v>6250</v>
      </c>
      <c r="R251" s="87" t="s">
        <v>6296</v>
      </c>
      <c r="S251" s="87" t="s">
        <v>6327</v>
      </c>
      <c r="T251" s="87" t="s">
        <v>6433</v>
      </c>
    </row>
    <row r="252" spans="1:20" ht="15.75" customHeight="1">
      <c r="A252" s="9" t="s">
        <v>2904</v>
      </c>
      <c r="B252" s="9" t="s">
        <v>7436</v>
      </c>
      <c r="C252" s="9" t="s">
        <v>6923</v>
      </c>
      <c r="D252" s="87" t="s">
        <v>6327</v>
      </c>
      <c r="E252" s="9" t="s">
        <v>6924</v>
      </c>
      <c r="F252" s="9" t="s">
        <v>6925</v>
      </c>
      <c r="G252" s="9" t="s">
        <v>383</v>
      </c>
      <c r="H252" s="9" t="s">
        <v>444</v>
      </c>
      <c r="I252" s="87" t="s">
        <v>6405</v>
      </c>
      <c r="J252" s="87" t="s">
        <v>6405</v>
      </c>
      <c r="K252" s="87" t="s">
        <v>6926</v>
      </c>
      <c r="L252" s="87" t="s">
        <v>6484</v>
      </c>
      <c r="M252" s="87" t="s">
        <v>6475</v>
      </c>
      <c r="N252" s="9" t="s">
        <v>7903</v>
      </c>
      <c r="O252" s="87" t="s">
        <v>6810</v>
      </c>
      <c r="P252" s="9" t="s">
        <v>6243</v>
      </c>
      <c r="Q252" s="87" t="s">
        <v>6484</v>
      </c>
      <c r="R252" s="87" t="s">
        <v>6405</v>
      </c>
      <c r="S252" s="87" t="s">
        <v>6532</v>
      </c>
      <c r="T252" s="87" t="s">
        <v>6306</v>
      </c>
    </row>
    <row r="253" spans="1:20" ht="15.75" customHeight="1">
      <c r="A253" s="9" t="s">
        <v>2904</v>
      </c>
      <c r="B253" s="9" t="s">
        <v>7434</v>
      </c>
      <c r="C253" s="9" t="s">
        <v>6671</v>
      </c>
      <c r="D253" s="87" t="s">
        <v>6296</v>
      </c>
      <c r="E253" s="9" t="s">
        <v>6672</v>
      </c>
      <c r="F253" s="9" t="s">
        <v>439</v>
      </c>
      <c r="G253" s="9" t="s">
        <v>436</v>
      </c>
      <c r="H253" s="9" t="s">
        <v>440</v>
      </c>
      <c r="I253" s="87" t="s">
        <v>6405</v>
      </c>
      <c r="J253" s="87" t="s">
        <v>6296</v>
      </c>
      <c r="K253" s="87" t="s">
        <v>6251</v>
      </c>
      <c r="L253" s="87" t="s">
        <v>6240</v>
      </c>
      <c r="M253" s="87" t="s">
        <v>6475</v>
      </c>
      <c r="N253" s="9" t="s">
        <v>7435</v>
      </c>
      <c r="O253" s="87" t="s">
        <v>6251</v>
      </c>
      <c r="P253" s="9" t="s">
        <v>6243</v>
      </c>
      <c r="Q253" s="87" t="s">
        <v>6254</v>
      </c>
      <c r="R253" s="87" t="s">
        <v>6296</v>
      </c>
      <c r="S253" s="87" t="s">
        <v>6395</v>
      </c>
      <c r="T253" s="87" t="s">
        <v>6645</v>
      </c>
    </row>
    <row r="254" spans="1:20" ht="15.75" customHeight="1">
      <c r="A254" s="9" t="s">
        <v>2985</v>
      </c>
      <c r="B254" s="9" t="s">
        <v>7437</v>
      </c>
      <c r="C254" s="9" t="s">
        <v>6236</v>
      </c>
      <c r="D254" s="87" t="s">
        <v>6393</v>
      </c>
      <c r="E254" s="9" t="s">
        <v>431</v>
      </c>
      <c r="F254" s="9" t="s">
        <v>368</v>
      </c>
      <c r="G254" s="9" t="s">
        <v>436</v>
      </c>
      <c r="H254" s="9" t="s">
        <v>434</v>
      </c>
      <c r="I254" s="87" t="s">
        <v>6237</v>
      </c>
      <c r="J254" s="87" t="s">
        <v>6323</v>
      </c>
      <c r="K254" s="87" t="s">
        <v>6323</v>
      </c>
      <c r="L254" s="87" t="s">
        <v>6240</v>
      </c>
      <c r="M254" s="87" t="s">
        <v>6828</v>
      </c>
      <c r="N254" s="9" t="s">
        <v>7047</v>
      </c>
      <c r="O254" s="87" t="s">
        <v>6323</v>
      </c>
      <c r="P254" s="9" t="s">
        <v>6243</v>
      </c>
      <c r="Q254" s="87" t="s">
        <v>5374</v>
      </c>
      <c r="R254" s="87" t="s">
        <v>6323</v>
      </c>
      <c r="S254" s="87" t="s">
        <v>6409</v>
      </c>
      <c r="T254" s="87" t="s">
        <v>6367</v>
      </c>
    </row>
    <row r="255" spans="1:20" ht="15.75" customHeight="1">
      <c r="A255" s="9" t="s">
        <v>2985</v>
      </c>
      <c r="B255" s="9" t="s">
        <v>7438</v>
      </c>
      <c r="C255" s="9" t="s">
        <v>6671</v>
      </c>
      <c r="D255" s="87" t="s">
        <v>6296</v>
      </c>
      <c r="E255" s="9" t="s">
        <v>6672</v>
      </c>
      <c r="F255" s="9" t="s">
        <v>439</v>
      </c>
      <c r="G255" s="9" t="s">
        <v>436</v>
      </c>
      <c r="H255" s="9" t="s">
        <v>440</v>
      </c>
      <c r="I255" s="87" t="s">
        <v>6405</v>
      </c>
      <c r="J255" s="87" t="s">
        <v>6245</v>
      </c>
      <c r="K255" s="87" t="s">
        <v>6245</v>
      </c>
      <c r="L255" s="87" t="s">
        <v>6240</v>
      </c>
      <c r="M255" s="87" t="s">
        <v>6826</v>
      </c>
      <c r="N255" s="9" t="s">
        <v>7001</v>
      </c>
      <c r="O255" s="87" t="s">
        <v>6245</v>
      </c>
      <c r="P255" s="9" t="s">
        <v>6243</v>
      </c>
      <c r="Q255" s="87" t="s">
        <v>6238</v>
      </c>
      <c r="R255" s="87" t="s">
        <v>6245</v>
      </c>
      <c r="S255" s="87" t="s">
        <v>6263</v>
      </c>
      <c r="T255" s="87" t="s">
        <v>6341</v>
      </c>
    </row>
    <row r="256" spans="1:20" ht="15.75" customHeight="1">
      <c r="A256" s="9" t="s">
        <v>2985</v>
      </c>
      <c r="B256" s="9" t="s">
        <v>7439</v>
      </c>
      <c r="C256" s="9" t="s">
        <v>6923</v>
      </c>
      <c r="D256" s="87" t="s">
        <v>6264</v>
      </c>
      <c r="E256" s="9" t="s">
        <v>6924</v>
      </c>
      <c r="F256" s="9" t="s">
        <v>6925</v>
      </c>
      <c r="G256" s="9" t="s">
        <v>383</v>
      </c>
      <c r="H256" s="9" t="s">
        <v>449</v>
      </c>
      <c r="I256" s="87" t="s">
        <v>6405</v>
      </c>
      <c r="J256" s="87" t="s">
        <v>6405</v>
      </c>
      <c r="K256" s="87" t="s">
        <v>6926</v>
      </c>
      <c r="L256" s="87" t="s">
        <v>6238</v>
      </c>
      <c r="M256" s="87" t="s">
        <v>7048</v>
      </c>
      <c r="N256" s="9" t="s">
        <v>7904</v>
      </c>
      <c r="O256" s="87" t="s">
        <v>6245</v>
      </c>
      <c r="P256" s="9" t="s">
        <v>6243</v>
      </c>
      <c r="Q256" s="87" t="s">
        <v>6238</v>
      </c>
      <c r="R256" s="87" t="s">
        <v>6405</v>
      </c>
      <c r="S256" s="87" t="s">
        <v>6642</v>
      </c>
      <c r="T256" s="87" t="s">
        <v>6498</v>
      </c>
    </row>
    <row r="257" spans="1:20" ht="15.75" customHeight="1">
      <c r="A257" s="9" t="s">
        <v>2985</v>
      </c>
      <c r="B257" s="9" t="s">
        <v>7439</v>
      </c>
      <c r="C257" s="9" t="s">
        <v>7228</v>
      </c>
      <c r="D257" s="87" t="s">
        <v>6405</v>
      </c>
      <c r="E257" s="9" t="s">
        <v>6924</v>
      </c>
      <c r="F257" s="9" t="s">
        <v>11</v>
      </c>
      <c r="G257" s="9" t="s">
        <v>383</v>
      </c>
      <c r="H257" s="9" t="s">
        <v>426</v>
      </c>
      <c r="I257" s="87" t="s">
        <v>6405</v>
      </c>
      <c r="J257" s="87" t="s">
        <v>6405</v>
      </c>
      <c r="K257" s="87" t="s">
        <v>6405</v>
      </c>
      <c r="L257" s="87" t="s">
        <v>6293</v>
      </c>
      <c r="M257" s="87" t="s">
        <v>6449</v>
      </c>
      <c r="N257" s="9" t="s">
        <v>7905</v>
      </c>
      <c r="O257" s="87" t="s">
        <v>6290</v>
      </c>
      <c r="P257" s="9" t="s">
        <v>6243</v>
      </c>
      <c r="Q257" s="87" t="s">
        <v>6293</v>
      </c>
      <c r="R257" s="87" t="s">
        <v>6405</v>
      </c>
      <c r="S257" s="87" t="s">
        <v>6302</v>
      </c>
      <c r="T257" s="87" t="s">
        <v>6455</v>
      </c>
    </row>
    <row r="258" spans="1:20" ht="15.75" customHeight="1">
      <c r="A258" s="9" t="s">
        <v>2917</v>
      </c>
      <c r="B258" s="9" t="s">
        <v>7442</v>
      </c>
      <c r="C258" s="9" t="s">
        <v>6236</v>
      </c>
      <c r="D258" s="87" t="s">
        <v>6393</v>
      </c>
      <c r="E258" s="9" t="s">
        <v>431</v>
      </c>
      <c r="F258" s="9" t="s">
        <v>368</v>
      </c>
      <c r="G258" s="9" t="s">
        <v>436</v>
      </c>
      <c r="H258" s="9" t="s">
        <v>434</v>
      </c>
      <c r="I258" s="87" t="s">
        <v>6237</v>
      </c>
      <c r="J258" s="87" t="s">
        <v>6299</v>
      </c>
      <c r="K258" s="87" t="s">
        <v>6299</v>
      </c>
      <c r="L258" s="87" t="s">
        <v>6240</v>
      </c>
      <c r="M258" s="87" t="s">
        <v>6828</v>
      </c>
      <c r="N258" s="9" t="s">
        <v>7049</v>
      </c>
      <c r="O258" s="87" t="s">
        <v>6299</v>
      </c>
      <c r="P258" s="9" t="s">
        <v>6243</v>
      </c>
      <c r="Q258" s="87" t="s">
        <v>3231</v>
      </c>
      <c r="R258" s="87" t="s">
        <v>6299</v>
      </c>
      <c r="S258" s="87" t="s">
        <v>6348</v>
      </c>
      <c r="T258" s="87" t="s">
        <v>6361</v>
      </c>
    </row>
    <row r="259" spans="1:20" ht="15.75" customHeight="1">
      <c r="A259" s="9" t="s">
        <v>2917</v>
      </c>
      <c r="B259" s="9" t="s">
        <v>7443</v>
      </c>
      <c r="C259" s="9" t="s">
        <v>6923</v>
      </c>
      <c r="D259" s="87" t="s">
        <v>6461</v>
      </c>
      <c r="E259" s="9" t="s">
        <v>6924</v>
      </c>
      <c r="F259" s="9" t="s">
        <v>6925</v>
      </c>
      <c r="G259" s="9" t="s">
        <v>383</v>
      </c>
      <c r="H259" s="9" t="s">
        <v>427</v>
      </c>
      <c r="I259" s="87" t="s">
        <v>6405</v>
      </c>
      <c r="J259" s="87" t="s">
        <v>6334</v>
      </c>
      <c r="K259" s="87" t="s">
        <v>6939</v>
      </c>
      <c r="L259" s="87" t="s">
        <v>6464</v>
      </c>
      <c r="M259" s="87" t="s">
        <v>6452</v>
      </c>
      <c r="N259" s="9" t="s">
        <v>6945</v>
      </c>
      <c r="O259" s="87" t="s">
        <v>6500</v>
      </c>
      <c r="P259" s="9" t="s">
        <v>6243</v>
      </c>
      <c r="Q259" s="87" t="s">
        <v>3749</v>
      </c>
      <c r="R259" s="87" t="s">
        <v>6334</v>
      </c>
      <c r="S259" s="87" t="s">
        <v>6327</v>
      </c>
      <c r="T259" s="87" t="s">
        <v>6341</v>
      </c>
    </row>
    <row r="260" spans="1:20" ht="15.75" customHeight="1">
      <c r="A260" s="9" t="s">
        <v>2917</v>
      </c>
      <c r="B260" s="9" t="s">
        <v>7443</v>
      </c>
      <c r="C260" s="9" t="s">
        <v>7228</v>
      </c>
      <c r="D260" s="87" t="s">
        <v>6237</v>
      </c>
      <c r="E260" s="9" t="s">
        <v>6924</v>
      </c>
      <c r="F260" s="9" t="s">
        <v>11</v>
      </c>
      <c r="G260" s="9" t="s">
        <v>383</v>
      </c>
      <c r="H260" s="9" t="s">
        <v>426</v>
      </c>
      <c r="I260" s="87" t="s">
        <v>6405</v>
      </c>
      <c r="J260" s="87" t="s">
        <v>6334</v>
      </c>
      <c r="K260" s="87" t="s">
        <v>6334</v>
      </c>
      <c r="L260" s="87" t="s">
        <v>6474</v>
      </c>
      <c r="M260" s="87" t="s">
        <v>6466</v>
      </c>
      <c r="N260" s="9" t="s">
        <v>6946</v>
      </c>
      <c r="O260" s="87" t="s">
        <v>6302</v>
      </c>
      <c r="P260" s="9" t="s">
        <v>6243</v>
      </c>
      <c r="Q260" s="87" t="s">
        <v>6464</v>
      </c>
      <c r="R260" s="87" t="s">
        <v>6334</v>
      </c>
      <c r="S260" s="87" t="s">
        <v>6409</v>
      </c>
      <c r="T260" s="87" t="s">
        <v>6341</v>
      </c>
    </row>
    <row r="261" spans="1:20" ht="15.75" customHeight="1">
      <c r="A261" s="9" t="s">
        <v>2940</v>
      </c>
      <c r="B261" s="9" t="s">
        <v>7444</v>
      </c>
      <c r="C261" s="9" t="s">
        <v>6236</v>
      </c>
      <c r="D261" s="87" t="s">
        <v>6393</v>
      </c>
      <c r="E261" s="9" t="s">
        <v>431</v>
      </c>
      <c r="F261" s="9" t="s">
        <v>368</v>
      </c>
      <c r="G261" s="9" t="s">
        <v>436</v>
      </c>
      <c r="H261" s="9" t="s">
        <v>434</v>
      </c>
      <c r="I261" s="87" t="s">
        <v>6264</v>
      </c>
      <c r="J261" s="87" t="s">
        <v>6504</v>
      </c>
      <c r="K261" s="87" t="s">
        <v>6259</v>
      </c>
      <c r="L261" s="87" t="s">
        <v>6240</v>
      </c>
      <c r="M261" s="87" t="s">
        <v>6475</v>
      </c>
      <c r="N261" s="9" t="s">
        <v>7445</v>
      </c>
      <c r="O261" s="87" t="s">
        <v>6259</v>
      </c>
      <c r="P261" s="9" t="s">
        <v>6243</v>
      </c>
      <c r="Q261" s="87" t="s">
        <v>6932</v>
      </c>
      <c r="R261" s="87" t="s">
        <v>6504</v>
      </c>
      <c r="S261" s="87" t="s">
        <v>6327</v>
      </c>
      <c r="T261" s="87" t="s">
        <v>6302</v>
      </c>
    </row>
    <row r="262" spans="1:20" ht="15.75" customHeight="1">
      <c r="A262" s="9" t="s">
        <v>2940</v>
      </c>
      <c r="B262" s="9" t="s">
        <v>7444</v>
      </c>
      <c r="C262" s="9" t="s">
        <v>6236</v>
      </c>
      <c r="D262" s="87" t="s">
        <v>6393</v>
      </c>
      <c r="E262" s="9" t="s">
        <v>431</v>
      </c>
      <c r="F262" s="9" t="s">
        <v>368</v>
      </c>
      <c r="G262" s="9" t="s">
        <v>436</v>
      </c>
      <c r="H262" s="9" t="s">
        <v>434</v>
      </c>
      <c r="I262" s="87" t="s">
        <v>6264</v>
      </c>
      <c r="J262" s="87" t="s">
        <v>6504</v>
      </c>
      <c r="K262" s="87" t="s">
        <v>6239</v>
      </c>
      <c r="L262" s="87" t="s">
        <v>6240</v>
      </c>
      <c r="M262" s="87" t="s">
        <v>6481</v>
      </c>
      <c r="N262" s="9" t="s">
        <v>6928</v>
      </c>
      <c r="O262" s="87" t="s">
        <v>6239</v>
      </c>
      <c r="P262" s="9" t="s">
        <v>6243</v>
      </c>
      <c r="Q262" s="87" t="s">
        <v>3764</v>
      </c>
      <c r="R262" s="87" t="s">
        <v>6504</v>
      </c>
      <c r="S262" s="87" t="s">
        <v>6327</v>
      </c>
      <c r="T262" s="87" t="s">
        <v>6645</v>
      </c>
    </row>
    <row r="263" spans="1:20" ht="15.75" customHeight="1">
      <c r="A263" s="9" t="s">
        <v>2940</v>
      </c>
      <c r="B263" s="9" t="s">
        <v>7444</v>
      </c>
      <c r="C263" s="9" t="s">
        <v>6236</v>
      </c>
      <c r="D263" s="87" t="s">
        <v>6393</v>
      </c>
      <c r="E263" s="9" t="s">
        <v>431</v>
      </c>
      <c r="F263" s="9" t="s">
        <v>368</v>
      </c>
      <c r="G263" s="9" t="s">
        <v>436</v>
      </c>
      <c r="H263" s="9" t="s">
        <v>434</v>
      </c>
      <c r="I263" s="87" t="s">
        <v>6264</v>
      </c>
      <c r="J263" s="87" t="s">
        <v>6504</v>
      </c>
      <c r="K263" s="87" t="s">
        <v>6284</v>
      </c>
      <c r="L263" s="87" t="s">
        <v>6240</v>
      </c>
      <c r="M263" s="87" t="s">
        <v>6490</v>
      </c>
      <c r="N263" s="9" t="s">
        <v>7446</v>
      </c>
      <c r="O263" s="87" t="s">
        <v>6284</v>
      </c>
      <c r="P263" s="9" t="s">
        <v>6243</v>
      </c>
      <c r="Q263" s="87" t="s">
        <v>7447</v>
      </c>
      <c r="R263" s="87" t="s">
        <v>6504</v>
      </c>
      <c r="S263" s="87" t="s">
        <v>6414</v>
      </c>
      <c r="T263" s="87" t="s">
        <v>6645</v>
      </c>
    </row>
    <row r="264" spans="1:20" ht="15.75" customHeight="1">
      <c r="A264" s="9" t="s">
        <v>2940</v>
      </c>
      <c r="B264" s="9" t="s">
        <v>7448</v>
      </c>
      <c r="C264" s="9" t="s">
        <v>6671</v>
      </c>
      <c r="D264" s="87" t="s">
        <v>6296</v>
      </c>
      <c r="E264" s="9" t="s">
        <v>6672</v>
      </c>
      <c r="F264" s="9" t="s">
        <v>439</v>
      </c>
      <c r="G264" s="9" t="s">
        <v>436</v>
      </c>
      <c r="H264" s="9" t="s">
        <v>440</v>
      </c>
      <c r="I264" s="87" t="s">
        <v>6405</v>
      </c>
      <c r="J264" s="87" t="s">
        <v>6573</v>
      </c>
      <c r="K264" s="87" t="s">
        <v>6239</v>
      </c>
      <c r="L264" s="87" t="s">
        <v>6240</v>
      </c>
      <c r="M264" s="87" t="s">
        <v>6491</v>
      </c>
      <c r="N264" s="9" t="s">
        <v>6928</v>
      </c>
      <c r="O264" s="87" t="s">
        <v>6239</v>
      </c>
      <c r="P264" s="9" t="s">
        <v>6243</v>
      </c>
      <c r="Q264" s="87" t="s">
        <v>3764</v>
      </c>
      <c r="R264" s="87" t="s">
        <v>6573</v>
      </c>
      <c r="S264" s="87" t="s">
        <v>6327</v>
      </c>
      <c r="T264" s="87" t="s">
        <v>6645</v>
      </c>
    </row>
    <row r="265" spans="1:20" ht="15.75" customHeight="1">
      <c r="A265" s="9" t="s">
        <v>2940</v>
      </c>
      <c r="B265" s="9" t="s">
        <v>7448</v>
      </c>
      <c r="C265" s="9" t="s">
        <v>6671</v>
      </c>
      <c r="D265" s="87" t="s">
        <v>6296</v>
      </c>
      <c r="E265" s="9" t="s">
        <v>6672</v>
      </c>
      <c r="F265" s="9" t="s">
        <v>439</v>
      </c>
      <c r="G265" s="9" t="s">
        <v>436</v>
      </c>
      <c r="H265" s="9" t="s">
        <v>440</v>
      </c>
      <c r="I265" s="87" t="s">
        <v>6405</v>
      </c>
      <c r="J265" s="87" t="s">
        <v>6573</v>
      </c>
      <c r="K265" s="87" t="s">
        <v>6486</v>
      </c>
      <c r="L265" s="87" t="s">
        <v>6240</v>
      </c>
      <c r="M265" s="87" t="s">
        <v>6492</v>
      </c>
      <c r="N265" s="9" t="s">
        <v>6969</v>
      </c>
      <c r="O265" s="87" t="s">
        <v>6486</v>
      </c>
      <c r="P265" s="9" t="s">
        <v>6243</v>
      </c>
      <c r="Q265" s="87" t="s">
        <v>5079</v>
      </c>
      <c r="R265" s="87" t="s">
        <v>6573</v>
      </c>
      <c r="S265" s="87" t="s">
        <v>6526</v>
      </c>
      <c r="T265" s="87" t="s">
        <v>6645</v>
      </c>
    </row>
    <row r="266" spans="1:20" ht="15.75" customHeight="1">
      <c r="A266" s="9" t="s">
        <v>2940</v>
      </c>
      <c r="B266" s="9" t="s">
        <v>7449</v>
      </c>
      <c r="C266" s="9" t="s">
        <v>6923</v>
      </c>
      <c r="D266" s="87" t="s">
        <v>6264</v>
      </c>
      <c r="E266" s="9" t="s">
        <v>6924</v>
      </c>
      <c r="F266" s="9" t="s">
        <v>6925</v>
      </c>
      <c r="G266" s="9" t="s">
        <v>383</v>
      </c>
      <c r="H266" s="9" t="s">
        <v>449</v>
      </c>
      <c r="I266" s="87" t="s">
        <v>6405</v>
      </c>
      <c r="J266" s="87" t="s">
        <v>6461</v>
      </c>
      <c r="K266" s="87" t="s">
        <v>6931</v>
      </c>
      <c r="L266" s="87" t="s">
        <v>6410</v>
      </c>
      <c r="M266" s="87" t="s">
        <v>6508</v>
      </c>
      <c r="N266" s="9" t="s">
        <v>7450</v>
      </c>
      <c r="O266" s="87" t="s">
        <v>6651</v>
      </c>
      <c r="P266" s="9" t="s">
        <v>6243</v>
      </c>
      <c r="Q266" s="87" t="s">
        <v>6654</v>
      </c>
      <c r="R266" s="87" t="s">
        <v>6461</v>
      </c>
      <c r="S266" s="87" t="s">
        <v>7035</v>
      </c>
      <c r="T266" s="87" t="s">
        <v>6316</v>
      </c>
    </row>
    <row r="267" spans="1:20" ht="15.75" customHeight="1">
      <c r="A267" s="9" t="s">
        <v>2940</v>
      </c>
      <c r="B267" s="9" t="s">
        <v>7449</v>
      </c>
      <c r="C267" s="9" t="s">
        <v>7228</v>
      </c>
      <c r="D267" s="87" t="s">
        <v>6405</v>
      </c>
      <c r="E267" s="9" t="s">
        <v>6924</v>
      </c>
      <c r="F267" s="9" t="s">
        <v>11</v>
      </c>
      <c r="G267" s="9" t="s">
        <v>383</v>
      </c>
      <c r="H267" s="9" t="s">
        <v>426</v>
      </c>
      <c r="I267" s="87" t="s">
        <v>6405</v>
      </c>
      <c r="J267" s="87" t="s">
        <v>6264</v>
      </c>
      <c r="K267" s="87" t="s">
        <v>6264</v>
      </c>
      <c r="L267" s="87" t="s">
        <v>6293</v>
      </c>
      <c r="M267" s="87" t="s">
        <v>6510</v>
      </c>
      <c r="N267" s="9" t="s">
        <v>7451</v>
      </c>
      <c r="O267" s="87" t="s">
        <v>6255</v>
      </c>
      <c r="P267" s="9" t="s">
        <v>6243</v>
      </c>
      <c r="Q267" s="87" t="s">
        <v>4947</v>
      </c>
      <c r="R267" s="87" t="s">
        <v>6264</v>
      </c>
      <c r="S267" s="87" t="s">
        <v>6400</v>
      </c>
      <c r="T267" s="87" t="s">
        <v>6416</v>
      </c>
    </row>
    <row r="268" spans="1:20" ht="15.75" customHeight="1">
      <c r="A268" s="9" t="s">
        <v>2940</v>
      </c>
      <c r="B268" s="9" t="s">
        <v>7452</v>
      </c>
      <c r="C268" s="9" t="s">
        <v>6923</v>
      </c>
      <c r="D268" s="87" t="s">
        <v>6264</v>
      </c>
      <c r="E268" s="9" t="s">
        <v>6924</v>
      </c>
      <c r="F268" s="9" t="s">
        <v>6925</v>
      </c>
      <c r="G268" s="9" t="s">
        <v>383</v>
      </c>
      <c r="H268" s="9" t="s">
        <v>449</v>
      </c>
      <c r="I268" s="87" t="s">
        <v>6405</v>
      </c>
      <c r="J268" s="87" t="s">
        <v>6461</v>
      </c>
      <c r="K268" s="87" t="s">
        <v>6931</v>
      </c>
      <c r="L268" s="87" t="s">
        <v>6410</v>
      </c>
      <c r="M268" s="87" t="s">
        <v>6510</v>
      </c>
      <c r="N268" s="9" t="s">
        <v>7055</v>
      </c>
      <c r="O268" s="87" t="s">
        <v>6651</v>
      </c>
      <c r="P268" s="9" t="s">
        <v>6243</v>
      </c>
      <c r="Q268" s="87" t="s">
        <v>6654</v>
      </c>
      <c r="R268" s="87" t="s">
        <v>6461</v>
      </c>
      <c r="S268" s="87" t="s">
        <v>6313</v>
      </c>
      <c r="T268" s="87" t="s">
        <v>6341</v>
      </c>
    </row>
    <row r="269" spans="1:20" ht="15.75" customHeight="1">
      <c r="A269" s="9" t="s">
        <v>2940</v>
      </c>
      <c r="B269" s="9" t="s">
        <v>7452</v>
      </c>
      <c r="C269" s="9" t="s">
        <v>7228</v>
      </c>
      <c r="D269" s="87" t="s">
        <v>6405</v>
      </c>
      <c r="E269" s="9" t="s">
        <v>6924</v>
      </c>
      <c r="F269" s="9" t="s">
        <v>11</v>
      </c>
      <c r="G269" s="9" t="s">
        <v>383</v>
      </c>
      <c r="H269" s="9" t="s">
        <v>426</v>
      </c>
      <c r="I269" s="87" t="s">
        <v>6405</v>
      </c>
      <c r="J269" s="87" t="s">
        <v>6264</v>
      </c>
      <c r="K269" s="87" t="s">
        <v>6264</v>
      </c>
      <c r="L269" s="87" t="s">
        <v>6293</v>
      </c>
      <c r="M269" s="87" t="s">
        <v>6511</v>
      </c>
      <c r="N269" s="9" t="s">
        <v>7180</v>
      </c>
      <c r="O269" s="87" t="s">
        <v>6255</v>
      </c>
      <c r="P269" s="9" t="s">
        <v>6243</v>
      </c>
      <c r="Q269" s="87" t="s">
        <v>4947</v>
      </c>
      <c r="R269" s="87" t="s">
        <v>6264</v>
      </c>
      <c r="S269" s="87" t="s">
        <v>6360</v>
      </c>
      <c r="T269" s="87" t="s">
        <v>6341</v>
      </c>
    </row>
    <row r="270" spans="1:20" ht="15.75" customHeight="1">
      <c r="A270" s="9" t="s">
        <v>3006</v>
      </c>
      <c r="B270" s="9" t="s">
        <v>7453</v>
      </c>
      <c r="C270" s="9" t="s">
        <v>6236</v>
      </c>
      <c r="D270" s="87" t="s">
        <v>6393</v>
      </c>
      <c r="E270" s="9" t="s">
        <v>431</v>
      </c>
      <c r="F270" s="9" t="s">
        <v>368</v>
      </c>
      <c r="G270" s="9" t="s">
        <v>436</v>
      </c>
      <c r="H270" s="9" t="s">
        <v>434</v>
      </c>
      <c r="I270" s="87" t="s">
        <v>6237</v>
      </c>
      <c r="J270" s="87" t="s">
        <v>4014</v>
      </c>
      <c r="K270" s="87" t="s">
        <v>6361</v>
      </c>
      <c r="L270" s="87" t="s">
        <v>6240</v>
      </c>
      <c r="M270" s="87" t="s">
        <v>6466</v>
      </c>
      <c r="N270" s="9" t="s">
        <v>6935</v>
      </c>
      <c r="O270" s="87" t="s">
        <v>6361</v>
      </c>
      <c r="P270" s="9" t="s">
        <v>6243</v>
      </c>
      <c r="Q270" s="87" t="s">
        <v>6363</v>
      </c>
      <c r="R270" s="87" t="s">
        <v>4014</v>
      </c>
      <c r="S270" s="87" t="s">
        <v>6327</v>
      </c>
      <c r="T270" s="87" t="s">
        <v>6526</v>
      </c>
    </row>
    <row r="271" spans="1:20" ht="15.75" customHeight="1">
      <c r="A271" s="9" t="s">
        <v>3006</v>
      </c>
      <c r="B271" s="9" t="s">
        <v>7453</v>
      </c>
      <c r="C271" s="9" t="s">
        <v>6236</v>
      </c>
      <c r="D271" s="87" t="s">
        <v>6393</v>
      </c>
      <c r="E271" s="9" t="s">
        <v>431</v>
      </c>
      <c r="F271" s="9" t="s">
        <v>368</v>
      </c>
      <c r="G271" s="9" t="s">
        <v>436</v>
      </c>
      <c r="H271" s="9" t="s">
        <v>434</v>
      </c>
      <c r="I271" s="87" t="s">
        <v>6237</v>
      </c>
      <c r="J271" s="87" t="s">
        <v>4014</v>
      </c>
      <c r="K271" s="87" t="s">
        <v>6239</v>
      </c>
      <c r="L271" s="87" t="s">
        <v>6240</v>
      </c>
      <c r="M271" s="87" t="s">
        <v>6469</v>
      </c>
      <c r="N271" s="9" t="s">
        <v>6928</v>
      </c>
      <c r="O271" s="87" t="s">
        <v>6239</v>
      </c>
      <c r="P271" s="9" t="s">
        <v>6243</v>
      </c>
      <c r="Q271" s="87" t="s">
        <v>3764</v>
      </c>
      <c r="R271" s="87" t="s">
        <v>4014</v>
      </c>
      <c r="S271" s="87" t="s">
        <v>6327</v>
      </c>
      <c r="T271" s="87" t="s">
        <v>6645</v>
      </c>
    </row>
    <row r="272" spans="1:20" ht="15.75" customHeight="1">
      <c r="A272" s="9" t="s">
        <v>3006</v>
      </c>
      <c r="B272" s="9" t="s">
        <v>7453</v>
      </c>
      <c r="C272" s="9" t="s">
        <v>6236</v>
      </c>
      <c r="D272" s="87" t="s">
        <v>6393</v>
      </c>
      <c r="E272" s="9" t="s">
        <v>431</v>
      </c>
      <c r="F272" s="9" t="s">
        <v>368</v>
      </c>
      <c r="G272" s="9" t="s">
        <v>436</v>
      </c>
      <c r="H272" s="9" t="s">
        <v>434</v>
      </c>
      <c r="I272" s="87" t="s">
        <v>6237</v>
      </c>
      <c r="J272" s="87" t="s">
        <v>4014</v>
      </c>
      <c r="K272" s="87" t="s">
        <v>6284</v>
      </c>
      <c r="L272" s="87" t="s">
        <v>6240</v>
      </c>
      <c r="M272" s="87" t="s">
        <v>6470</v>
      </c>
      <c r="N272" s="9" t="s">
        <v>7446</v>
      </c>
      <c r="O272" s="87" t="s">
        <v>6284</v>
      </c>
      <c r="P272" s="9" t="s">
        <v>6243</v>
      </c>
      <c r="Q272" s="87" t="s">
        <v>7447</v>
      </c>
      <c r="R272" s="87" t="s">
        <v>4014</v>
      </c>
      <c r="S272" s="87" t="s">
        <v>6414</v>
      </c>
      <c r="T272" s="87" t="s">
        <v>6645</v>
      </c>
    </row>
    <row r="273" spans="1:20" ht="15.75" customHeight="1">
      <c r="A273" s="9" t="s">
        <v>3006</v>
      </c>
      <c r="B273" s="9" t="s">
        <v>7454</v>
      </c>
      <c r="C273" s="9" t="s">
        <v>6671</v>
      </c>
      <c r="D273" s="87" t="s">
        <v>6296</v>
      </c>
      <c r="E273" s="9" t="s">
        <v>6672</v>
      </c>
      <c r="F273" s="9" t="s">
        <v>439</v>
      </c>
      <c r="G273" s="9" t="s">
        <v>436</v>
      </c>
      <c r="H273" s="9" t="s">
        <v>440</v>
      </c>
      <c r="I273" s="87" t="s">
        <v>6405</v>
      </c>
      <c r="J273" s="87" t="s">
        <v>6248</v>
      </c>
      <c r="K273" s="87" t="s">
        <v>6367</v>
      </c>
      <c r="L273" s="87" t="s">
        <v>6240</v>
      </c>
      <c r="M273" s="87" t="s">
        <v>6475</v>
      </c>
      <c r="N273" s="9" t="s">
        <v>7153</v>
      </c>
      <c r="O273" s="87" t="s">
        <v>6367</v>
      </c>
      <c r="P273" s="9" t="s">
        <v>6243</v>
      </c>
      <c r="Q273" s="87" t="s">
        <v>6814</v>
      </c>
      <c r="R273" s="87" t="s">
        <v>6248</v>
      </c>
      <c r="S273" s="87" t="s">
        <v>6327</v>
      </c>
      <c r="T273" s="87" t="s">
        <v>6525</v>
      </c>
    </row>
    <row r="274" spans="1:20" ht="15.75" customHeight="1">
      <c r="A274" s="9" t="s">
        <v>3006</v>
      </c>
      <c r="B274" s="9" t="s">
        <v>7454</v>
      </c>
      <c r="C274" s="9" t="s">
        <v>6671</v>
      </c>
      <c r="D274" s="87" t="s">
        <v>6296</v>
      </c>
      <c r="E274" s="9" t="s">
        <v>6672</v>
      </c>
      <c r="F274" s="9" t="s">
        <v>439</v>
      </c>
      <c r="G274" s="9" t="s">
        <v>436</v>
      </c>
      <c r="H274" s="9" t="s">
        <v>440</v>
      </c>
      <c r="I274" s="87" t="s">
        <v>6405</v>
      </c>
      <c r="J274" s="87" t="s">
        <v>6248</v>
      </c>
      <c r="K274" s="87" t="s">
        <v>6239</v>
      </c>
      <c r="L274" s="87" t="s">
        <v>6240</v>
      </c>
      <c r="M274" s="87" t="s">
        <v>6481</v>
      </c>
      <c r="N274" s="9" t="s">
        <v>6928</v>
      </c>
      <c r="O274" s="87" t="s">
        <v>6239</v>
      </c>
      <c r="P274" s="9" t="s">
        <v>6243</v>
      </c>
      <c r="Q274" s="87" t="s">
        <v>3764</v>
      </c>
      <c r="R274" s="87" t="s">
        <v>6248</v>
      </c>
      <c r="S274" s="87" t="s">
        <v>6327</v>
      </c>
      <c r="T274" s="87" t="s">
        <v>6645</v>
      </c>
    </row>
    <row r="275" spans="1:20" ht="15.75" customHeight="1">
      <c r="A275" s="9" t="s">
        <v>3006</v>
      </c>
      <c r="B275" s="9" t="s">
        <v>7455</v>
      </c>
      <c r="C275" s="9" t="s">
        <v>6923</v>
      </c>
      <c r="D275" s="87" t="s">
        <v>6461</v>
      </c>
      <c r="E275" s="9" t="s">
        <v>6924</v>
      </c>
      <c r="F275" s="9" t="s">
        <v>6925</v>
      </c>
      <c r="G275" s="9" t="s">
        <v>383</v>
      </c>
      <c r="H275" s="9" t="s">
        <v>427</v>
      </c>
      <c r="I275" s="87" t="s">
        <v>6405</v>
      </c>
      <c r="J275" s="87" t="s">
        <v>6461</v>
      </c>
      <c r="K275" s="87" t="s">
        <v>7033</v>
      </c>
      <c r="L275" s="87" t="s">
        <v>6305</v>
      </c>
      <c r="M275" s="87" t="s">
        <v>6490</v>
      </c>
      <c r="N275" s="9" t="s">
        <v>7906</v>
      </c>
      <c r="O275" s="87" t="s">
        <v>6373</v>
      </c>
      <c r="P275" s="9" t="s">
        <v>6243</v>
      </c>
      <c r="Q275" s="87" t="s">
        <v>3089</v>
      </c>
      <c r="R275" s="87" t="s">
        <v>6461</v>
      </c>
      <c r="S275" s="87" t="s">
        <v>6296</v>
      </c>
      <c r="T275" s="87" t="s">
        <v>6474</v>
      </c>
    </row>
    <row r="276" spans="1:20" ht="15.75" customHeight="1">
      <c r="A276" s="9" t="s">
        <v>3006</v>
      </c>
      <c r="B276" s="9" t="s">
        <v>7455</v>
      </c>
      <c r="C276" s="9" t="s">
        <v>6923</v>
      </c>
      <c r="D276" s="87" t="s">
        <v>6264</v>
      </c>
      <c r="E276" s="9" t="s">
        <v>6924</v>
      </c>
      <c r="F276" s="9" t="s">
        <v>6925</v>
      </c>
      <c r="G276" s="9" t="s">
        <v>383</v>
      </c>
      <c r="H276" s="9" t="s">
        <v>449</v>
      </c>
      <c r="I276" s="87" t="s">
        <v>6405</v>
      </c>
      <c r="J276" s="87" t="s">
        <v>6264</v>
      </c>
      <c r="K276" s="87" t="s">
        <v>6931</v>
      </c>
      <c r="L276" s="87" t="s">
        <v>6306</v>
      </c>
      <c r="M276" s="87" t="s">
        <v>6490</v>
      </c>
      <c r="N276" s="9" t="s">
        <v>7907</v>
      </c>
      <c r="O276" s="87" t="s">
        <v>6392</v>
      </c>
      <c r="P276" s="9" t="s">
        <v>6243</v>
      </c>
      <c r="Q276" s="87" t="s">
        <v>3236</v>
      </c>
      <c r="R276" s="87" t="s">
        <v>6264</v>
      </c>
      <c r="S276" s="87" t="s">
        <v>6413</v>
      </c>
      <c r="T276" s="87" t="s">
        <v>6474</v>
      </c>
    </row>
    <row r="277" spans="1:20" ht="15.75" customHeight="1">
      <c r="A277" s="9" t="s">
        <v>3006</v>
      </c>
      <c r="B277" s="9" t="s">
        <v>7454</v>
      </c>
      <c r="C277" s="9" t="s">
        <v>6671</v>
      </c>
      <c r="D277" s="87" t="s">
        <v>6296</v>
      </c>
      <c r="E277" s="9" t="s">
        <v>6672</v>
      </c>
      <c r="F277" s="9" t="s">
        <v>439</v>
      </c>
      <c r="G277" s="9" t="s">
        <v>436</v>
      </c>
      <c r="H277" s="9" t="s">
        <v>440</v>
      </c>
      <c r="I277" s="87" t="s">
        <v>6405</v>
      </c>
      <c r="J277" s="87" t="s">
        <v>6248</v>
      </c>
      <c r="K277" s="87" t="s">
        <v>6334</v>
      </c>
      <c r="L277" s="87" t="s">
        <v>6240</v>
      </c>
      <c r="M277" s="87" t="s">
        <v>6490</v>
      </c>
      <c r="N277" s="9" t="s">
        <v>7006</v>
      </c>
      <c r="O277" s="87" t="s">
        <v>6334</v>
      </c>
      <c r="P277" s="9" t="s">
        <v>6243</v>
      </c>
      <c r="Q277" s="87" t="s">
        <v>6290</v>
      </c>
      <c r="R277" s="87" t="s">
        <v>6248</v>
      </c>
      <c r="S277" s="87" t="s">
        <v>6351</v>
      </c>
      <c r="T277" s="87" t="s">
        <v>6645</v>
      </c>
    </row>
    <row r="278" spans="1:20" ht="15.75" customHeight="1">
      <c r="A278" s="9" t="s">
        <v>3006</v>
      </c>
      <c r="B278" s="9" t="s">
        <v>7455</v>
      </c>
      <c r="C278" s="9" t="s">
        <v>7228</v>
      </c>
      <c r="D278" s="87" t="s">
        <v>6405</v>
      </c>
      <c r="E278" s="9" t="s">
        <v>6924</v>
      </c>
      <c r="F278" s="9" t="s">
        <v>11</v>
      </c>
      <c r="G278" s="9" t="s">
        <v>383</v>
      </c>
      <c r="H278" s="9" t="s">
        <v>426</v>
      </c>
      <c r="I278" s="87" t="s">
        <v>6405</v>
      </c>
      <c r="J278" s="87" t="s">
        <v>6264</v>
      </c>
      <c r="K278" s="87" t="s">
        <v>6264</v>
      </c>
      <c r="L278" s="87" t="s">
        <v>5381</v>
      </c>
      <c r="M278" s="87" t="s">
        <v>6491</v>
      </c>
      <c r="N278" s="9" t="s">
        <v>6946</v>
      </c>
      <c r="O278" s="87" t="s">
        <v>6302</v>
      </c>
      <c r="P278" s="9" t="s">
        <v>6243</v>
      </c>
      <c r="Q278" s="87" t="s">
        <v>6464</v>
      </c>
      <c r="R278" s="87" t="s">
        <v>6264</v>
      </c>
      <c r="S278" s="87" t="s">
        <v>6409</v>
      </c>
      <c r="T278" s="87" t="s">
        <v>6341</v>
      </c>
    </row>
    <row r="279" spans="1:20" ht="15.75" customHeight="1">
      <c r="A279" s="9" t="s">
        <v>3006</v>
      </c>
      <c r="B279" s="9" t="s">
        <v>7455</v>
      </c>
      <c r="C279" s="9" t="s">
        <v>6923</v>
      </c>
      <c r="D279" s="87" t="s">
        <v>6461</v>
      </c>
      <c r="E279" s="9" t="s">
        <v>6924</v>
      </c>
      <c r="F279" s="9" t="s">
        <v>6925</v>
      </c>
      <c r="G279" s="9" t="s">
        <v>383</v>
      </c>
      <c r="H279" s="9" t="s">
        <v>427</v>
      </c>
      <c r="I279" s="87" t="s">
        <v>6405</v>
      </c>
      <c r="J279" s="87" t="s">
        <v>6461</v>
      </c>
      <c r="K279" s="87" t="s">
        <v>6939</v>
      </c>
      <c r="L279" s="87" t="s">
        <v>6305</v>
      </c>
      <c r="M279" s="87" t="s">
        <v>6491</v>
      </c>
      <c r="N279" s="9" t="s">
        <v>7060</v>
      </c>
      <c r="O279" s="87" t="s">
        <v>6486</v>
      </c>
      <c r="P279" s="9" t="s">
        <v>6243</v>
      </c>
      <c r="Q279" s="87" t="s">
        <v>5079</v>
      </c>
      <c r="R279" s="87" t="s">
        <v>6461</v>
      </c>
      <c r="S279" s="87" t="s">
        <v>6330</v>
      </c>
      <c r="T279" s="87" t="s">
        <v>6341</v>
      </c>
    </row>
    <row r="280" spans="1:20" ht="15.75" customHeight="1">
      <c r="A280" s="9" t="s">
        <v>3016</v>
      </c>
      <c r="B280" s="9" t="s">
        <v>7456</v>
      </c>
      <c r="C280" s="9" t="s">
        <v>6236</v>
      </c>
      <c r="D280" s="87" t="s">
        <v>6393</v>
      </c>
      <c r="E280" s="9" t="s">
        <v>431</v>
      </c>
      <c r="F280" s="9" t="s">
        <v>368</v>
      </c>
      <c r="G280" s="9" t="s">
        <v>436</v>
      </c>
      <c r="H280" s="9" t="s">
        <v>434</v>
      </c>
      <c r="I280" s="87" t="s">
        <v>6237</v>
      </c>
      <c r="J280" s="87" t="s">
        <v>3236</v>
      </c>
      <c r="K280" s="87" t="s">
        <v>6543</v>
      </c>
      <c r="L280" s="87" t="s">
        <v>6240</v>
      </c>
      <c r="M280" s="87" t="s">
        <v>6650</v>
      </c>
      <c r="N280" s="9" t="s">
        <v>7457</v>
      </c>
      <c r="O280" s="87" t="s">
        <v>6543</v>
      </c>
      <c r="P280" s="9" t="s">
        <v>6243</v>
      </c>
      <c r="Q280" s="87" t="s">
        <v>7458</v>
      </c>
      <c r="R280" s="87" t="s">
        <v>3236</v>
      </c>
      <c r="S280" s="87" t="s">
        <v>6327</v>
      </c>
      <c r="T280" s="87" t="s">
        <v>6367</v>
      </c>
    </row>
    <row r="281" spans="1:20" ht="15.75" customHeight="1">
      <c r="A281" s="9" t="s">
        <v>3016</v>
      </c>
      <c r="B281" s="9" t="s">
        <v>7456</v>
      </c>
      <c r="C281" s="9" t="s">
        <v>6236</v>
      </c>
      <c r="D281" s="87" t="s">
        <v>6393</v>
      </c>
      <c r="E281" s="9" t="s">
        <v>431</v>
      </c>
      <c r="F281" s="9" t="s">
        <v>368</v>
      </c>
      <c r="G281" s="9" t="s">
        <v>436</v>
      </c>
      <c r="H281" s="9" t="s">
        <v>434</v>
      </c>
      <c r="I281" s="87" t="s">
        <v>6237</v>
      </c>
      <c r="J281" s="87" t="s">
        <v>3236</v>
      </c>
      <c r="K281" s="87" t="s">
        <v>6287</v>
      </c>
      <c r="L281" s="87" t="s">
        <v>6240</v>
      </c>
      <c r="M281" s="87" t="s">
        <v>6700</v>
      </c>
      <c r="N281" s="9" t="s">
        <v>6928</v>
      </c>
      <c r="O281" s="87" t="s">
        <v>6287</v>
      </c>
      <c r="P281" s="9" t="s">
        <v>6243</v>
      </c>
      <c r="Q281" s="87" t="s">
        <v>3734</v>
      </c>
      <c r="R281" s="87" t="s">
        <v>3236</v>
      </c>
      <c r="S281" s="87" t="s">
        <v>6327</v>
      </c>
      <c r="T281" s="87" t="s">
        <v>6645</v>
      </c>
    </row>
    <row r="282" spans="1:20" ht="15.75" customHeight="1">
      <c r="A282" s="9" t="s">
        <v>3016</v>
      </c>
      <c r="B282" s="9" t="s">
        <v>7456</v>
      </c>
      <c r="C282" s="9" t="s">
        <v>6236</v>
      </c>
      <c r="D282" s="87" t="s">
        <v>6393</v>
      </c>
      <c r="E282" s="9" t="s">
        <v>431</v>
      </c>
      <c r="F282" s="9" t="s">
        <v>368</v>
      </c>
      <c r="G282" s="9" t="s">
        <v>436</v>
      </c>
      <c r="H282" s="9" t="s">
        <v>434</v>
      </c>
      <c r="I282" s="87" t="s">
        <v>6237</v>
      </c>
      <c r="J282" s="87" t="s">
        <v>3236</v>
      </c>
      <c r="K282" s="87" t="s">
        <v>6239</v>
      </c>
      <c r="L282" s="87" t="s">
        <v>6240</v>
      </c>
      <c r="M282" s="87" t="s">
        <v>6699</v>
      </c>
      <c r="N282" s="9" t="s">
        <v>6928</v>
      </c>
      <c r="O282" s="87" t="s">
        <v>6239</v>
      </c>
      <c r="P282" s="9" t="s">
        <v>6243</v>
      </c>
      <c r="Q282" s="87" t="s">
        <v>3764</v>
      </c>
      <c r="R282" s="87" t="s">
        <v>3236</v>
      </c>
      <c r="S282" s="87" t="s">
        <v>6327</v>
      </c>
      <c r="T282" s="87" t="s">
        <v>6645</v>
      </c>
    </row>
    <row r="283" spans="1:20" ht="15.75" customHeight="1">
      <c r="A283" s="9" t="s">
        <v>3016</v>
      </c>
      <c r="B283" s="9" t="s">
        <v>7459</v>
      </c>
      <c r="C283" s="9" t="s">
        <v>6923</v>
      </c>
      <c r="D283" s="87" t="s">
        <v>6327</v>
      </c>
      <c r="E283" s="9" t="s">
        <v>6924</v>
      </c>
      <c r="F283" s="9" t="s">
        <v>6925</v>
      </c>
      <c r="G283" s="9" t="s">
        <v>383</v>
      </c>
      <c r="H283" s="9" t="s">
        <v>444</v>
      </c>
      <c r="I283" s="87" t="s">
        <v>6405</v>
      </c>
      <c r="J283" s="87" t="s">
        <v>6313</v>
      </c>
      <c r="K283" s="87" t="s">
        <v>6926</v>
      </c>
      <c r="L283" s="87" t="s">
        <v>6573</v>
      </c>
      <c r="M283" s="87" t="s">
        <v>6696</v>
      </c>
      <c r="N283" s="9" t="s">
        <v>7019</v>
      </c>
      <c r="O283" s="87" t="s">
        <v>6570</v>
      </c>
      <c r="P283" s="9" t="s">
        <v>6243</v>
      </c>
      <c r="Q283" s="87" t="s">
        <v>6573</v>
      </c>
      <c r="R283" s="87" t="s">
        <v>6313</v>
      </c>
      <c r="S283" s="87" t="s">
        <v>6334</v>
      </c>
      <c r="T283" s="87" t="s">
        <v>6280</v>
      </c>
    </row>
    <row r="284" spans="1:20" ht="15.75" customHeight="1">
      <c r="A284" s="9" t="s">
        <v>3016</v>
      </c>
      <c r="B284" s="9" t="s">
        <v>7456</v>
      </c>
      <c r="C284" s="9" t="s">
        <v>6236</v>
      </c>
      <c r="D284" s="87" t="s">
        <v>6393</v>
      </c>
      <c r="E284" s="9" t="s">
        <v>431</v>
      </c>
      <c r="F284" s="9" t="s">
        <v>368</v>
      </c>
      <c r="G284" s="9" t="s">
        <v>436</v>
      </c>
      <c r="H284" s="9" t="s">
        <v>434</v>
      </c>
      <c r="I284" s="87" t="s">
        <v>6237</v>
      </c>
      <c r="J284" s="87" t="s">
        <v>3236</v>
      </c>
      <c r="K284" s="87" t="s">
        <v>6346</v>
      </c>
      <c r="L284" s="87" t="s">
        <v>6240</v>
      </c>
      <c r="M284" s="87" t="s">
        <v>6696</v>
      </c>
      <c r="N284" s="9" t="s">
        <v>6972</v>
      </c>
      <c r="O284" s="87" t="s">
        <v>6346</v>
      </c>
      <c r="P284" s="9" t="s">
        <v>6243</v>
      </c>
      <c r="Q284" s="87" t="s">
        <v>6366</v>
      </c>
      <c r="R284" s="87" t="s">
        <v>3236</v>
      </c>
      <c r="S284" s="87" t="s">
        <v>5381</v>
      </c>
      <c r="T284" s="87" t="s">
        <v>6645</v>
      </c>
    </row>
    <row r="285" spans="1:20" ht="15.75" customHeight="1">
      <c r="A285" s="9" t="s">
        <v>3016</v>
      </c>
      <c r="B285" s="9" t="s">
        <v>7459</v>
      </c>
      <c r="C285" s="9" t="s">
        <v>7228</v>
      </c>
      <c r="D285" s="87" t="s">
        <v>6290</v>
      </c>
      <c r="E285" s="9" t="s">
        <v>6924</v>
      </c>
      <c r="F285" s="9" t="s">
        <v>11</v>
      </c>
      <c r="G285" s="9" t="s">
        <v>383</v>
      </c>
      <c r="H285" s="9" t="s">
        <v>426</v>
      </c>
      <c r="I285" s="87" t="s">
        <v>6405</v>
      </c>
      <c r="J285" s="87" t="s">
        <v>6405</v>
      </c>
      <c r="K285" s="87" t="s">
        <v>6405</v>
      </c>
      <c r="L285" s="87" t="s">
        <v>6254</v>
      </c>
      <c r="M285" s="87" t="s">
        <v>6694</v>
      </c>
      <c r="N285" s="9" t="s">
        <v>7908</v>
      </c>
      <c r="O285" s="87" t="s">
        <v>6251</v>
      </c>
      <c r="P285" s="9" t="s">
        <v>6243</v>
      </c>
      <c r="Q285" s="87" t="s">
        <v>6254</v>
      </c>
      <c r="R285" s="87" t="s">
        <v>6405</v>
      </c>
      <c r="S285" s="87" t="s">
        <v>6421</v>
      </c>
      <c r="T285" s="87" t="s">
        <v>6433</v>
      </c>
    </row>
    <row r="286" spans="1:20" ht="15.75" customHeight="1">
      <c r="A286" s="9" t="s">
        <v>3016</v>
      </c>
      <c r="B286" s="9" t="s">
        <v>7462</v>
      </c>
      <c r="C286" s="9" t="s">
        <v>6923</v>
      </c>
      <c r="D286" s="87" t="s">
        <v>6327</v>
      </c>
      <c r="E286" s="9" t="s">
        <v>6924</v>
      </c>
      <c r="F286" s="9" t="s">
        <v>6925</v>
      </c>
      <c r="G286" s="9" t="s">
        <v>383</v>
      </c>
      <c r="H286" s="9" t="s">
        <v>444</v>
      </c>
      <c r="I286" s="87" t="s">
        <v>6405</v>
      </c>
      <c r="J286" s="87" t="s">
        <v>6313</v>
      </c>
      <c r="K286" s="87" t="s">
        <v>6939</v>
      </c>
      <c r="L286" s="87" t="s">
        <v>6573</v>
      </c>
      <c r="M286" s="87" t="s">
        <v>6694</v>
      </c>
      <c r="N286" s="9" t="s">
        <v>7909</v>
      </c>
      <c r="O286" s="87" t="s">
        <v>6400</v>
      </c>
      <c r="P286" s="9" t="s">
        <v>6243</v>
      </c>
      <c r="Q286" s="87" t="s">
        <v>3870</v>
      </c>
      <c r="R286" s="87" t="s">
        <v>6313</v>
      </c>
      <c r="S286" s="87" t="s">
        <v>7035</v>
      </c>
      <c r="T286" s="87" t="s">
        <v>6250</v>
      </c>
    </row>
    <row r="287" spans="1:20" ht="15.75" customHeight="1">
      <c r="A287" s="9" t="s">
        <v>3016</v>
      </c>
      <c r="B287" s="9" t="s">
        <v>7462</v>
      </c>
      <c r="C287" s="9" t="s">
        <v>7228</v>
      </c>
      <c r="D287" s="87" t="s">
        <v>6290</v>
      </c>
      <c r="E287" s="9" t="s">
        <v>6924</v>
      </c>
      <c r="F287" s="9" t="s">
        <v>11</v>
      </c>
      <c r="G287" s="9" t="s">
        <v>383</v>
      </c>
      <c r="H287" s="9" t="s">
        <v>426</v>
      </c>
      <c r="I287" s="87" t="s">
        <v>6405</v>
      </c>
      <c r="J287" s="87" t="s">
        <v>6334</v>
      </c>
      <c r="K287" s="87" t="s">
        <v>6334</v>
      </c>
      <c r="L287" s="87" t="s">
        <v>6254</v>
      </c>
      <c r="M287" s="87" t="s">
        <v>7063</v>
      </c>
      <c r="N287" s="9" t="s">
        <v>7040</v>
      </c>
      <c r="O287" s="87" t="s">
        <v>6348</v>
      </c>
      <c r="P287" s="9" t="s">
        <v>6243</v>
      </c>
      <c r="Q287" s="87" t="s">
        <v>5381</v>
      </c>
      <c r="R287" s="87" t="s">
        <v>6334</v>
      </c>
      <c r="S287" s="87" t="s">
        <v>6334</v>
      </c>
      <c r="T287" s="87" t="s">
        <v>6313</v>
      </c>
    </row>
    <row r="288" spans="1:20" ht="15.75" customHeight="1">
      <c r="A288" s="9" t="s">
        <v>3016</v>
      </c>
      <c r="B288" s="9" t="s">
        <v>7465</v>
      </c>
      <c r="C288" s="9" t="s">
        <v>6923</v>
      </c>
      <c r="D288" s="87" t="s">
        <v>6327</v>
      </c>
      <c r="E288" s="9" t="s">
        <v>6924</v>
      </c>
      <c r="F288" s="9" t="s">
        <v>6925</v>
      </c>
      <c r="G288" s="9" t="s">
        <v>383</v>
      </c>
      <c r="H288" s="9" t="s">
        <v>444</v>
      </c>
      <c r="I288" s="87" t="s">
        <v>6405</v>
      </c>
      <c r="J288" s="87" t="s">
        <v>6313</v>
      </c>
      <c r="K288" s="87" t="s">
        <v>6939</v>
      </c>
      <c r="L288" s="87" t="s">
        <v>6573</v>
      </c>
      <c r="M288" s="87" t="s">
        <v>7063</v>
      </c>
      <c r="N288" s="9" t="s">
        <v>7910</v>
      </c>
      <c r="O288" s="87" t="s">
        <v>6400</v>
      </c>
      <c r="P288" s="9" t="s">
        <v>6243</v>
      </c>
      <c r="Q288" s="87" t="s">
        <v>3870</v>
      </c>
      <c r="R288" s="87" t="s">
        <v>6313</v>
      </c>
      <c r="S288" s="87" t="s">
        <v>6327</v>
      </c>
      <c r="T288" s="87" t="s">
        <v>6326</v>
      </c>
    </row>
    <row r="289" spans="1:20" ht="15.75" customHeight="1">
      <c r="A289" s="9" t="s">
        <v>3016</v>
      </c>
      <c r="B289" s="9" t="s">
        <v>7465</v>
      </c>
      <c r="C289" s="9" t="s">
        <v>7228</v>
      </c>
      <c r="D289" s="87" t="s">
        <v>6290</v>
      </c>
      <c r="E289" s="9" t="s">
        <v>6924</v>
      </c>
      <c r="F289" s="9" t="s">
        <v>11</v>
      </c>
      <c r="G289" s="9" t="s">
        <v>383</v>
      </c>
      <c r="H289" s="9" t="s">
        <v>426</v>
      </c>
      <c r="I289" s="87" t="s">
        <v>6405</v>
      </c>
      <c r="J289" s="87" t="s">
        <v>6334</v>
      </c>
      <c r="K289" s="87" t="s">
        <v>6334</v>
      </c>
      <c r="L289" s="87" t="s">
        <v>6254</v>
      </c>
      <c r="M289" s="87" t="s">
        <v>6692</v>
      </c>
      <c r="N289" s="9" t="s">
        <v>7911</v>
      </c>
      <c r="O289" s="87" t="s">
        <v>6348</v>
      </c>
      <c r="P289" s="9" t="s">
        <v>6243</v>
      </c>
      <c r="Q289" s="87" t="s">
        <v>5381</v>
      </c>
      <c r="R289" s="87" t="s">
        <v>6334</v>
      </c>
      <c r="S289" s="87" t="s">
        <v>6302</v>
      </c>
      <c r="T289" s="87" t="s">
        <v>6250</v>
      </c>
    </row>
    <row r="290" spans="1:20" ht="15.75" customHeight="1">
      <c r="A290" s="9" t="s">
        <v>3016</v>
      </c>
      <c r="B290" s="9" t="s">
        <v>7468</v>
      </c>
      <c r="C290" s="9" t="s">
        <v>6923</v>
      </c>
      <c r="D290" s="87" t="s">
        <v>6327</v>
      </c>
      <c r="E290" s="9" t="s">
        <v>6924</v>
      </c>
      <c r="F290" s="9" t="s">
        <v>6925</v>
      </c>
      <c r="G290" s="9" t="s">
        <v>383</v>
      </c>
      <c r="H290" s="9" t="s">
        <v>444</v>
      </c>
      <c r="I290" s="87" t="s">
        <v>6405</v>
      </c>
      <c r="J290" s="87" t="s">
        <v>6313</v>
      </c>
      <c r="K290" s="87" t="s">
        <v>6939</v>
      </c>
      <c r="L290" s="87" t="s">
        <v>6573</v>
      </c>
      <c r="M290" s="87" t="s">
        <v>6692</v>
      </c>
      <c r="N290" s="9" t="s">
        <v>7466</v>
      </c>
      <c r="O290" s="87" t="s">
        <v>6400</v>
      </c>
      <c r="P290" s="9" t="s">
        <v>6243</v>
      </c>
      <c r="Q290" s="87" t="s">
        <v>3870</v>
      </c>
      <c r="R290" s="87" t="s">
        <v>6313</v>
      </c>
      <c r="S290" s="87" t="s">
        <v>6245</v>
      </c>
      <c r="T290" s="87" t="s">
        <v>6314</v>
      </c>
    </row>
    <row r="291" spans="1:20" ht="15.75" customHeight="1">
      <c r="A291" s="9" t="s">
        <v>3016</v>
      </c>
      <c r="B291" s="9" t="s">
        <v>7468</v>
      </c>
      <c r="C291" s="9" t="s">
        <v>7228</v>
      </c>
      <c r="D291" s="87" t="s">
        <v>6290</v>
      </c>
      <c r="E291" s="9" t="s">
        <v>6924</v>
      </c>
      <c r="F291" s="9" t="s">
        <v>11</v>
      </c>
      <c r="G291" s="9" t="s">
        <v>383</v>
      </c>
      <c r="H291" s="9" t="s">
        <v>426</v>
      </c>
      <c r="I291" s="87" t="s">
        <v>6405</v>
      </c>
      <c r="J291" s="87" t="s">
        <v>6334</v>
      </c>
      <c r="K291" s="87" t="s">
        <v>6334</v>
      </c>
      <c r="L291" s="87" t="s">
        <v>6254</v>
      </c>
      <c r="M291" s="87" t="s">
        <v>6691</v>
      </c>
      <c r="N291" s="9" t="s">
        <v>7912</v>
      </c>
      <c r="O291" s="87" t="s">
        <v>6348</v>
      </c>
      <c r="P291" s="9" t="s">
        <v>6243</v>
      </c>
      <c r="Q291" s="87" t="s">
        <v>5381</v>
      </c>
      <c r="R291" s="87" t="s">
        <v>6334</v>
      </c>
      <c r="S291" s="87" t="s">
        <v>6619</v>
      </c>
      <c r="T291" s="87" t="s">
        <v>6367</v>
      </c>
    </row>
    <row r="292" spans="1:20" ht="15.75" customHeight="1">
      <c r="A292" s="9" t="s">
        <v>3016</v>
      </c>
      <c r="B292" s="9" t="s">
        <v>7469</v>
      </c>
      <c r="C292" s="9" t="s">
        <v>6923</v>
      </c>
      <c r="D292" s="87" t="s">
        <v>6327</v>
      </c>
      <c r="E292" s="9" t="s">
        <v>6924</v>
      </c>
      <c r="F292" s="9" t="s">
        <v>6925</v>
      </c>
      <c r="G292" s="9" t="s">
        <v>383</v>
      </c>
      <c r="H292" s="9" t="s">
        <v>444</v>
      </c>
      <c r="I292" s="87" t="s">
        <v>6405</v>
      </c>
      <c r="J292" s="87" t="s">
        <v>6313</v>
      </c>
      <c r="K292" s="87" t="s">
        <v>6931</v>
      </c>
      <c r="L292" s="87" t="s">
        <v>6573</v>
      </c>
      <c r="M292" s="87" t="s">
        <v>6691</v>
      </c>
      <c r="N292" s="9" t="s">
        <v>6945</v>
      </c>
      <c r="O292" s="87" t="s">
        <v>6500</v>
      </c>
      <c r="P292" s="9" t="s">
        <v>6243</v>
      </c>
      <c r="Q292" s="87" t="s">
        <v>3749</v>
      </c>
      <c r="R292" s="87" t="s">
        <v>6313</v>
      </c>
      <c r="S292" s="87" t="s">
        <v>6327</v>
      </c>
      <c r="T292" s="87" t="s">
        <v>6341</v>
      </c>
    </row>
    <row r="293" spans="1:20" ht="15.75" customHeight="1">
      <c r="A293" s="9" t="s">
        <v>3016</v>
      </c>
      <c r="B293" s="9" t="s">
        <v>7469</v>
      </c>
      <c r="C293" s="9" t="s">
        <v>7228</v>
      </c>
      <c r="D293" s="87" t="s">
        <v>6290</v>
      </c>
      <c r="E293" s="9" t="s">
        <v>6924</v>
      </c>
      <c r="F293" s="9" t="s">
        <v>11</v>
      </c>
      <c r="G293" s="9" t="s">
        <v>383</v>
      </c>
      <c r="H293" s="9" t="s">
        <v>426</v>
      </c>
      <c r="I293" s="87" t="s">
        <v>6405</v>
      </c>
      <c r="J293" s="87" t="s">
        <v>6264</v>
      </c>
      <c r="K293" s="87" t="s">
        <v>6264</v>
      </c>
      <c r="L293" s="87" t="s">
        <v>6254</v>
      </c>
      <c r="M293" s="87" t="s">
        <v>7065</v>
      </c>
      <c r="N293" s="9" t="s">
        <v>7194</v>
      </c>
      <c r="O293" s="87" t="s">
        <v>6528</v>
      </c>
      <c r="P293" s="9" t="s">
        <v>6243</v>
      </c>
      <c r="Q293" s="87" t="s">
        <v>6474</v>
      </c>
      <c r="R293" s="87" t="s">
        <v>6264</v>
      </c>
      <c r="S293" s="87" t="s">
        <v>6357</v>
      </c>
      <c r="T293" s="87" t="s">
        <v>6341</v>
      </c>
    </row>
    <row r="294" spans="1:20" ht="15.75" customHeight="1">
      <c r="A294" s="9" t="s">
        <v>3016</v>
      </c>
      <c r="B294" s="9" t="s">
        <v>7470</v>
      </c>
      <c r="C294" s="9" t="s">
        <v>6923</v>
      </c>
      <c r="D294" s="87" t="s">
        <v>6327</v>
      </c>
      <c r="E294" s="9" t="s">
        <v>6924</v>
      </c>
      <c r="F294" s="9" t="s">
        <v>6925</v>
      </c>
      <c r="G294" s="9" t="s">
        <v>383</v>
      </c>
      <c r="H294" s="9" t="s">
        <v>444</v>
      </c>
      <c r="I294" s="87" t="s">
        <v>6405</v>
      </c>
      <c r="J294" s="87" t="s">
        <v>6313</v>
      </c>
      <c r="K294" s="87" t="s">
        <v>6931</v>
      </c>
      <c r="L294" s="87" t="s">
        <v>6573</v>
      </c>
      <c r="M294" s="87" t="s">
        <v>7065</v>
      </c>
      <c r="N294" s="9" t="s">
        <v>6945</v>
      </c>
      <c r="O294" s="87" t="s">
        <v>6500</v>
      </c>
      <c r="P294" s="9" t="s">
        <v>6243</v>
      </c>
      <c r="Q294" s="87" t="s">
        <v>3749</v>
      </c>
      <c r="R294" s="87" t="s">
        <v>6313</v>
      </c>
      <c r="S294" s="87" t="s">
        <v>6327</v>
      </c>
      <c r="T294" s="87" t="s">
        <v>6341</v>
      </c>
    </row>
    <row r="295" spans="1:20" ht="15.75" customHeight="1">
      <c r="A295" s="9" t="s">
        <v>3016</v>
      </c>
      <c r="B295" s="9" t="s">
        <v>7470</v>
      </c>
      <c r="C295" s="9" t="s">
        <v>7228</v>
      </c>
      <c r="D295" s="87" t="s">
        <v>6290</v>
      </c>
      <c r="E295" s="9" t="s">
        <v>6924</v>
      </c>
      <c r="F295" s="9" t="s">
        <v>11</v>
      </c>
      <c r="G295" s="9" t="s">
        <v>383</v>
      </c>
      <c r="H295" s="9" t="s">
        <v>426</v>
      </c>
      <c r="I295" s="87" t="s">
        <v>6405</v>
      </c>
      <c r="J295" s="87" t="s">
        <v>6264</v>
      </c>
      <c r="K295" s="87" t="s">
        <v>6264</v>
      </c>
      <c r="L295" s="87" t="s">
        <v>6254</v>
      </c>
      <c r="M295" s="87" t="s">
        <v>6656</v>
      </c>
      <c r="N295" s="9" t="s">
        <v>7194</v>
      </c>
      <c r="O295" s="87" t="s">
        <v>6528</v>
      </c>
      <c r="P295" s="9" t="s">
        <v>6243</v>
      </c>
      <c r="Q295" s="87" t="s">
        <v>6474</v>
      </c>
      <c r="R295" s="87" t="s">
        <v>6264</v>
      </c>
      <c r="S295" s="87" t="s">
        <v>6357</v>
      </c>
      <c r="T295" s="87" t="s">
        <v>6341</v>
      </c>
    </row>
    <row r="296" spans="1:20" ht="15.75" customHeight="1">
      <c r="A296" s="9" t="s">
        <v>3016</v>
      </c>
      <c r="B296" s="9" t="s">
        <v>7471</v>
      </c>
      <c r="C296" s="9" t="s">
        <v>6923</v>
      </c>
      <c r="D296" s="87" t="s">
        <v>6327</v>
      </c>
      <c r="E296" s="9" t="s">
        <v>6924</v>
      </c>
      <c r="F296" s="9" t="s">
        <v>6925</v>
      </c>
      <c r="G296" s="9" t="s">
        <v>383</v>
      </c>
      <c r="H296" s="9" t="s">
        <v>444</v>
      </c>
      <c r="I296" s="87" t="s">
        <v>6405</v>
      </c>
      <c r="J296" s="87" t="s">
        <v>6313</v>
      </c>
      <c r="K296" s="87" t="s">
        <v>6939</v>
      </c>
      <c r="L296" s="87" t="s">
        <v>6573</v>
      </c>
      <c r="M296" s="87" t="s">
        <v>6656</v>
      </c>
      <c r="N296" s="9" t="s">
        <v>7913</v>
      </c>
      <c r="O296" s="87" t="s">
        <v>6400</v>
      </c>
      <c r="P296" s="9" t="s">
        <v>6243</v>
      </c>
      <c r="Q296" s="87" t="s">
        <v>3870</v>
      </c>
      <c r="R296" s="87" t="s">
        <v>6313</v>
      </c>
      <c r="S296" s="87" t="s">
        <v>6299</v>
      </c>
      <c r="T296" s="87" t="s">
        <v>6341</v>
      </c>
    </row>
    <row r="297" spans="1:20" ht="15.75" customHeight="1">
      <c r="A297" s="9" t="s">
        <v>3016</v>
      </c>
      <c r="B297" s="9" t="s">
        <v>7471</v>
      </c>
      <c r="C297" s="9" t="s">
        <v>7228</v>
      </c>
      <c r="D297" s="87" t="s">
        <v>6290</v>
      </c>
      <c r="E297" s="9" t="s">
        <v>6924</v>
      </c>
      <c r="F297" s="9" t="s">
        <v>11</v>
      </c>
      <c r="G297" s="9" t="s">
        <v>383</v>
      </c>
      <c r="H297" s="9" t="s">
        <v>426</v>
      </c>
      <c r="I297" s="87" t="s">
        <v>6405</v>
      </c>
      <c r="J297" s="87" t="s">
        <v>6334</v>
      </c>
      <c r="K297" s="87" t="s">
        <v>6334</v>
      </c>
      <c r="L297" s="87" t="s">
        <v>6254</v>
      </c>
      <c r="M297" s="87" t="s">
        <v>6657</v>
      </c>
      <c r="N297" s="9" t="s">
        <v>6966</v>
      </c>
      <c r="O297" s="87" t="s">
        <v>6348</v>
      </c>
      <c r="P297" s="9" t="s">
        <v>6243</v>
      </c>
      <c r="Q297" s="87" t="s">
        <v>5381</v>
      </c>
      <c r="R297" s="87" t="s">
        <v>6334</v>
      </c>
      <c r="S297" s="87" t="s">
        <v>6342</v>
      </c>
      <c r="T297" s="87" t="s">
        <v>6341</v>
      </c>
    </row>
    <row r="298" spans="1:20" ht="15.75" customHeight="1">
      <c r="A298" s="9" t="s">
        <v>2915</v>
      </c>
      <c r="B298" s="9" t="s">
        <v>7472</v>
      </c>
      <c r="C298" s="9" t="s">
        <v>6236</v>
      </c>
      <c r="D298" s="87" t="s">
        <v>6393</v>
      </c>
      <c r="E298" s="9" t="s">
        <v>431</v>
      </c>
      <c r="F298" s="9" t="s">
        <v>368</v>
      </c>
      <c r="G298" s="9" t="s">
        <v>436</v>
      </c>
      <c r="H298" s="9" t="s">
        <v>434</v>
      </c>
      <c r="I298" s="87" t="s">
        <v>6237</v>
      </c>
      <c r="J298" s="87" t="s">
        <v>6238</v>
      </c>
      <c r="K298" s="87" t="s">
        <v>6239</v>
      </c>
      <c r="L298" s="87" t="s">
        <v>6240</v>
      </c>
      <c r="M298" s="87" t="s">
        <v>6656</v>
      </c>
      <c r="N298" s="9" t="s">
        <v>6928</v>
      </c>
      <c r="O298" s="87" t="s">
        <v>6239</v>
      </c>
      <c r="P298" s="9" t="s">
        <v>6243</v>
      </c>
      <c r="Q298" s="87" t="s">
        <v>3764</v>
      </c>
      <c r="R298" s="87" t="s">
        <v>6238</v>
      </c>
      <c r="S298" s="87" t="s">
        <v>6327</v>
      </c>
      <c r="T298" s="87" t="s">
        <v>6645</v>
      </c>
    </row>
    <row r="299" spans="1:20" ht="15.75" customHeight="1">
      <c r="A299" s="9" t="s">
        <v>2915</v>
      </c>
      <c r="B299" s="9" t="s">
        <v>7472</v>
      </c>
      <c r="C299" s="9" t="s">
        <v>6236</v>
      </c>
      <c r="D299" s="87" t="s">
        <v>6393</v>
      </c>
      <c r="E299" s="9" t="s">
        <v>431</v>
      </c>
      <c r="F299" s="9" t="s">
        <v>368</v>
      </c>
      <c r="G299" s="9" t="s">
        <v>436</v>
      </c>
      <c r="H299" s="9" t="s">
        <v>434</v>
      </c>
      <c r="I299" s="87" t="s">
        <v>6237</v>
      </c>
      <c r="J299" s="87" t="s">
        <v>6238</v>
      </c>
      <c r="K299" s="87" t="s">
        <v>6245</v>
      </c>
      <c r="L299" s="87" t="s">
        <v>6240</v>
      </c>
      <c r="M299" s="87" t="s">
        <v>6657</v>
      </c>
      <c r="N299" s="9" t="s">
        <v>7000</v>
      </c>
      <c r="O299" s="87" t="s">
        <v>6245</v>
      </c>
      <c r="P299" s="9" t="s">
        <v>6243</v>
      </c>
      <c r="Q299" s="87" t="s">
        <v>6238</v>
      </c>
      <c r="R299" s="87" t="s">
        <v>6238</v>
      </c>
      <c r="S299" s="87" t="s">
        <v>6500</v>
      </c>
      <c r="T299" s="87" t="s">
        <v>6645</v>
      </c>
    </row>
    <row r="300" spans="1:20" ht="15.75" customHeight="1">
      <c r="A300" s="9" t="s">
        <v>2915</v>
      </c>
      <c r="B300" s="9" t="s">
        <v>7473</v>
      </c>
      <c r="C300" s="9" t="s">
        <v>6671</v>
      </c>
      <c r="D300" s="87" t="s">
        <v>6296</v>
      </c>
      <c r="E300" s="9" t="s">
        <v>6672</v>
      </c>
      <c r="F300" s="9" t="s">
        <v>439</v>
      </c>
      <c r="G300" s="9" t="s">
        <v>436</v>
      </c>
      <c r="H300" s="9" t="s">
        <v>440</v>
      </c>
      <c r="I300" s="87" t="s">
        <v>6405</v>
      </c>
      <c r="J300" s="87" t="s">
        <v>6357</v>
      </c>
      <c r="K300" s="87" t="s">
        <v>6357</v>
      </c>
      <c r="L300" s="87" t="s">
        <v>6240</v>
      </c>
      <c r="M300" s="87" t="s">
        <v>6689</v>
      </c>
      <c r="N300" s="9" t="s">
        <v>7027</v>
      </c>
      <c r="O300" s="87" t="s">
        <v>6357</v>
      </c>
      <c r="P300" s="9" t="s">
        <v>6243</v>
      </c>
      <c r="Q300" s="87" t="s">
        <v>6565</v>
      </c>
      <c r="R300" s="87" t="s">
        <v>6357</v>
      </c>
      <c r="S300" s="87" t="s">
        <v>6329</v>
      </c>
      <c r="T300" s="87" t="s">
        <v>6645</v>
      </c>
    </row>
    <row r="301" spans="1:20" ht="15.75" customHeight="1">
      <c r="A301" s="9" t="s">
        <v>2915</v>
      </c>
      <c r="B301" s="9" t="s">
        <v>7474</v>
      </c>
      <c r="C301" s="9" t="s">
        <v>6923</v>
      </c>
      <c r="D301" s="87" t="s">
        <v>6461</v>
      </c>
      <c r="E301" s="9" t="s">
        <v>6924</v>
      </c>
      <c r="F301" s="9" t="s">
        <v>6925</v>
      </c>
      <c r="G301" s="9" t="s">
        <v>383</v>
      </c>
      <c r="H301" s="9" t="s">
        <v>427</v>
      </c>
      <c r="I301" s="87" t="s">
        <v>6405</v>
      </c>
      <c r="J301" s="87" t="s">
        <v>6290</v>
      </c>
      <c r="K301" s="87" t="s">
        <v>6939</v>
      </c>
      <c r="L301" s="87" t="s">
        <v>5374</v>
      </c>
      <c r="M301" s="87" t="s">
        <v>7066</v>
      </c>
      <c r="N301" s="9" t="s">
        <v>6940</v>
      </c>
      <c r="O301" s="87" t="s">
        <v>6333</v>
      </c>
      <c r="P301" s="9" t="s">
        <v>6243</v>
      </c>
      <c r="Q301" s="87" t="s">
        <v>6575</v>
      </c>
      <c r="R301" s="87" t="s">
        <v>6290</v>
      </c>
      <c r="S301" s="87" t="s">
        <v>6570</v>
      </c>
      <c r="T301" s="87" t="s">
        <v>6341</v>
      </c>
    </row>
    <row r="302" spans="1:20" ht="15.75" customHeight="1">
      <c r="A302" s="9" t="s">
        <v>2915</v>
      </c>
      <c r="B302" s="9" t="s">
        <v>7474</v>
      </c>
      <c r="C302" s="9" t="s">
        <v>7228</v>
      </c>
      <c r="D302" s="87" t="s">
        <v>6237</v>
      </c>
      <c r="E302" s="9" t="s">
        <v>6924</v>
      </c>
      <c r="F302" s="9" t="s">
        <v>11</v>
      </c>
      <c r="G302" s="9" t="s">
        <v>383</v>
      </c>
      <c r="H302" s="9" t="s">
        <v>426</v>
      </c>
      <c r="I302" s="87" t="s">
        <v>6405</v>
      </c>
      <c r="J302" s="87" t="s">
        <v>6334</v>
      </c>
      <c r="K302" s="87" t="s">
        <v>6334</v>
      </c>
      <c r="L302" s="87" t="s">
        <v>6255</v>
      </c>
      <c r="M302" s="87" t="s">
        <v>7067</v>
      </c>
      <c r="N302" s="9" t="s">
        <v>7245</v>
      </c>
      <c r="O302" s="87" t="s">
        <v>6327</v>
      </c>
      <c r="P302" s="9" t="s">
        <v>6243</v>
      </c>
      <c r="Q302" s="87" t="s">
        <v>6392</v>
      </c>
      <c r="R302" s="87" t="s">
        <v>6334</v>
      </c>
      <c r="S302" s="87" t="s">
        <v>6500</v>
      </c>
      <c r="T302" s="87" t="s">
        <v>6341</v>
      </c>
    </row>
    <row r="303" spans="1:20" ht="15.75" customHeight="1">
      <c r="A303" s="9" t="s">
        <v>2915</v>
      </c>
      <c r="B303" s="9" t="s">
        <v>7475</v>
      </c>
      <c r="C303" s="9" t="s">
        <v>6923</v>
      </c>
      <c r="D303" s="87" t="s">
        <v>6461</v>
      </c>
      <c r="E303" s="9" t="s">
        <v>6924</v>
      </c>
      <c r="F303" s="9" t="s">
        <v>6925</v>
      </c>
      <c r="G303" s="9" t="s">
        <v>383</v>
      </c>
      <c r="H303" s="9" t="s">
        <v>427</v>
      </c>
      <c r="I303" s="87" t="s">
        <v>6405</v>
      </c>
      <c r="J303" s="87" t="s">
        <v>6290</v>
      </c>
      <c r="K303" s="87" t="s">
        <v>6939</v>
      </c>
      <c r="L303" s="87" t="s">
        <v>5374</v>
      </c>
      <c r="M303" s="87" t="s">
        <v>7067</v>
      </c>
      <c r="N303" s="9" t="s">
        <v>6940</v>
      </c>
      <c r="O303" s="87" t="s">
        <v>6333</v>
      </c>
      <c r="P303" s="9" t="s">
        <v>6243</v>
      </c>
      <c r="Q303" s="87" t="s">
        <v>6575</v>
      </c>
      <c r="R303" s="87" t="s">
        <v>6290</v>
      </c>
      <c r="S303" s="87" t="s">
        <v>6570</v>
      </c>
      <c r="T303" s="87" t="s">
        <v>6341</v>
      </c>
    </row>
    <row r="304" spans="1:20" ht="15.75" customHeight="1">
      <c r="A304" s="9" t="s">
        <v>2915</v>
      </c>
      <c r="B304" s="9" t="s">
        <v>7475</v>
      </c>
      <c r="C304" s="9" t="s">
        <v>7228</v>
      </c>
      <c r="D304" s="87" t="s">
        <v>6237</v>
      </c>
      <c r="E304" s="9" t="s">
        <v>6924</v>
      </c>
      <c r="F304" s="9" t="s">
        <v>11</v>
      </c>
      <c r="G304" s="9" t="s">
        <v>383</v>
      </c>
      <c r="H304" s="9" t="s">
        <v>426</v>
      </c>
      <c r="I304" s="87" t="s">
        <v>6405</v>
      </c>
      <c r="J304" s="87" t="s">
        <v>6334</v>
      </c>
      <c r="K304" s="87" t="s">
        <v>6334</v>
      </c>
      <c r="L304" s="87" t="s">
        <v>6255</v>
      </c>
      <c r="M304" s="87" t="s">
        <v>7068</v>
      </c>
      <c r="N304" s="9" t="s">
        <v>7245</v>
      </c>
      <c r="O304" s="87" t="s">
        <v>6327</v>
      </c>
      <c r="P304" s="9" t="s">
        <v>6243</v>
      </c>
      <c r="Q304" s="87" t="s">
        <v>6392</v>
      </c>
      <c r="R304" s="87" t="s">
        <v>6334</v>
      </c>
      <c r="S304" s="87" t="s">
        <v>6500</v>
      </c>
      <c r="T304" s="87" t="s">
        <v>6341</v>
      </c>
    </row>
    <row r="305" spans="1:20" ht="15.75" customHeight="1">
      <c r="A305" s="9" t="s">
        <v>2915</v>
      </c>
      <c r="B305" s="9" t="s">
        <v>7476</v>
      </c>
      <c r="C305" s="9" t="s">
        <v>6923</v>
      </c>
      <c r="D305" s="87" t="s">
        <v>6461</v>
      </c>
      <c r="E305" s="9" t="s">
        <v>6924</v>
      </c>
      <c r="F305" s="9" t="s">
        <v>6925</v>
      </c>
      <c r="G305" s="9" t="s">
        <v>383</v>
      </c>
      <c r="H305" s="9" t="s">
        <v>427</v>
      </c>
      <c r="I305" s="87" t="s">
        <v>6405</v>
      </c>
      <c r="J305" s="87" t="s">
        <v>6290</v>
      </c>
      <c r="K305" s="87" t="s">
        <v>6939</v>
      </c>
      <c r="L305" s="87" t="s">
        <v>5374</v>
      </c>
      <c r="M305" s="87" t="s">
        <v>7068</v>
      </c>
      <c r="N305" s="9" t="s">
        <v>6940</v>
      </c>
      <c r="O305" s="87" t="s">
        <v>6333</v>
      </c>
      <c r="P305" s="9" t="s">
        <v>6243</v>
      </c>
      <c r="Q305" s="87" t="s">
        <v>6575</v>
      </c>
      <c r="R305" s="87" t="s">
        <v>6290</v>
      </c>
      <c r="S305" s="87" t="s">
        <v>6570</v>
      </c>
      <c r="T305" s="87" t="s">
        <v>6341</v>
      </c>
    </row>
    <row r="306" spans="1:20" ht="15.75" customHeight="1">
      <c r="A306" s="9" t="s">
        <v>2915</v>
      </c>
      <c r="B306" s="9" t="s">
        <v>7476</v>
      </c>
      <c r="C306" s="9" t="s">
        <v>7228</v>
      </c>
      <c r="D306" s="87" t="s">
        <v>6237</v>
      </c>
      <c r="E306" s="9" t="s">
        <v>6924</v>
      </c>
      <c r="F306" s="9" t="s">
        <v>11</v>
      </c>
      <c r="G306" s="9" t="s">
        <v>383</v>
      </c>
      <c r="H306" s="9" t="s">
        <v>426</v>
      </c>
      <c r="I306" s="87" t="s">
        <v>6405</v>
      </c>
      <c r="J306" s="87" t="s">
        <v>6334</v>
      </c>
      <c r="K306" s="87" t="s">
        <v>6334</v>
      </c>
      <c r="L306" s="87" t="s">
        <v>6255</v>
      </c>
      <c r="M306" s="87" t="s">
        <v>7069</v>
      </c>
      <c r="N306" s="9" t="s">
        <v>7245</v>
      </c>
      <c r="O306" s="87" t="s">
        <v>6327</v>
      </c>
      <c r="P306" s="9" t="s">
        <v>6243</v>
      </c>
      <c r="Q306" s="87" t="s">
        <v>6392</v>
      </c>
      <c r="R306" s="87" t="s">
        <v>6334</v>
      </c>
      <c r="S306" s="87" t="s">
        <v>6500</v>
      </c>
      <c r="T306" s="87" t="s">
        <v>6341</v>
      </c>
    </row>
    <row r="307" spans="1:20" ht="15.75" customHeight="1">
      <c r="A307" s="9" t="s">
        <v>2915</v>
      </c>
      <c r="B307" s="9" t="s">
        <v>7477</v>
      </c>
      <c r="C307" s="9" t="s">
        <v>6923</v>
      </c>
      <c r="D307" s="87" t="s">
        <v>6461</v>
      </c>
      <c r="E307" s="9" t="s">
        <v>6924</v>
      </c>
      <c r="F307" s="9" t="s">
        <v>6925</v>
      </c>
      <c r="G307" s="9" t="s">
        <v>383</v>
      </c>
      <c r="H307" s="9" t="s">
        <v>427</v>
      </c>
      <c r="I307" s="87" t="s">
        <v>6405</v>
      </c>
      <c r="J307" s="87" t="s">
        <v>6290</v>
      </c>
      <c r="K307" s="87" t="s">
        <v>6939</v>
      </c>
      <c r="L307" s="87" t="s">
        <v>5374</v>
      </c>
      <c r="M307" s="87" t="s">
        <v>7069</v>
      </c>
      <c r="N307" s="9" t="s">
        <v>6940</v>
      </c>
      <c r="O307" s="87" t="s">
        <v>6333</v>
      </c>
      <c r="P307" s="9" t="s">
        <v>6243</v>
      </c>
      <c r="Q307" s="87" t="s">
        <v>6575</v>
      </c>
      <c r="R307" s="87" t="s">
        <v>6290</v>
      </c>
      <c r="S307" s="87" t="s">
        <v>6570</v>
      </c>
      <c r="T307" s="87" t="s">
        <v>6341</v>
      </c>
    </row>
    <row r="308" spans="1:20" ht="15.75" customHeight="1">
      <c r="A308" s="9" t="s">
        <v>2915</v>
      </c>
      <c r="B308" s="9" t="s">
        <v>7477</v>
      </c>
      <c r="C308" s="9" t="s">
        <v>7228</v>
      </c>
      <c r="D308" s="87" t="s">
        <v>6237</v>
      </c>
      <c r="E308" s="9" t="s">
        <v>6924</v>
      </c>
      <c r="F308" s="9" t="s">
        <v>11</v>
      </c>
      <c r="G308" s="9" t="s">
        <v>383</v>
      </c>
      <c r="H308" s="9" t="s">
        <v>426</v>
      </c>
      <c r="I308" s="87" t="s">
        <v>6405</v>
      </c>
      <c r="J308" s="87" t="s">
        <v>6334</v>
      </c>
      <c r="K308" s="87" t="s">
        <v>6334</v>
      </c>
      <c r="L308" s="87" t="s">
        <v>6255</v>
      </c>
      <c r="M308" s="87" t="s">
        <v>7070</v>
      </c>
      <c r="N308" s="9" t="s">
        <v>7245</v>
      </c>
      <c r="O308" s="87" t="s">
        <v>6327</v>
      </c>
      <c r="P308" s="9" t="s">
        <v>6243</v>
      </c>
      <c r="Q308" s="87" t="s">
        <v>6392</v>
      </c>
      <c r="R308" s="87" t="s">
        <v>6334</v>
      </c>
      <c r="S308" s="87" t="s">
        <v>6500</v>
      </c>
      <c r="T308" s="87" t="s">
        <v>6341</v>
      </c>
    </row>
    <row r="309" spans="1:20" ht="15.75" customHeight="1">
      <c r="A309" s="9" t="s">
        <v>2915</v>
      </c>
      <c r="B309" s="9" t="s">
        <v>7478</v>
      </c>
      <c r="C309" s="9" t="s">
        <v>6923</v>
      </c>
      <c r="D309" s="87" t="s">
        <v>6461</v>
      </c>
      <c r="E309" s="9" t="s">
        <v>6924</v>
      </c>
      <c r="F309" s="9" t="s">
        <v>6925</v>
      </c>
      <c r="G309" s="9" t="s">
        <v>383</v>
      </c>
      <c r="H309" s="9" t="s">
        <v>427</v>
      </c>
      <c r="I309" s="87" t="s">
        <v>6405</v>
      </c>
      <c r="J309" s="87" t="s">
        <v>6290</v>
      </c>
      <c r="K309" s="87" t="s">
        <v>6939</v>
      </c>
      <c r="L309" s="87" t="s">
        <v>5374</v>
      </c>
      <c r="M309" s="87" t="s">
        <v>7070</v>
      </c>
      <c r="N309" s="9" t="s">
        <v>6940</v>
      </c>
      <c r="O309" s="87" t="s">
        <v>6333</v>
      </c>
      <c r="P309" s="9" t="s">
        <v>6243</v>
      </c>
      <c r="Q309" s="87" t="s">
        <v>6575</v>
      </c>
      <c r="R309" s="87" t="s">
        <v>6290</v>
      </c>
      <c r="S309" s="87" t="s">
        <v>6570</v>
      </c>
      <c r="T309" s="87" t="s">
        <v>6341</v>
      </c>
    </row>
    <row r="310" spans="1:20" ht="15.75" customHeight="1">
      <c r="A310" s="9" t="s">
        <v>2915</v>
      </c>
      <c r="B310" s="9" t="s">
        <v>7478</v>
      </c>
      <c r="C310" s="9" t="s">
        <v>7228</v>
      </c>
      <c r="D310" s="87" t="s">
        <v>6237</v>
      </c>
      <c r="E310" s="9" t="s">
        <v>6924</v>
      </c>
      <c r="F310" s="9" t="s">
        <v>11</v>
      </c>
      <c r="G310" s="9" t="s">
        <v>383</v>
      </c>
      <c r="H310" s="9" t="s">
        <v>426</v>
      </c>
      <c r="I310" s="87" t="s">
        <v>6405</v>
      </c>
      <c r="J310" s="87" t="s">
        <v>6334</v>
      </c>
      <c r="K310" s="87" t="s">
        <v>6334</v>
      </c>
      <c r="L310" s="87" t="s">
        <v>6255</v>
      </c>
      <c r="M310" s="87" t="s">
        <v>7479</v>
      </c>
      <c r="N310" s="9" t="s">
        <v>7245</v>
      </c>
      <c r="O310" s="87" t="s">
        <v>6327</v>
      </c>
      <c r="P310" s="9" t="s">
        <v>6243</v>
      </c>
      <c r="Q310" s="87" t="s">
        <v>6392</v>
      </c>
      <c r="R310" s="87" t="s">
        <v>6334</v>
      </c>
      <c r="S310" s="87" t="s">
        <v>6500</v>
      </c>
      <c r="T310" s="87" t="s">
        <v>6341</v>
      </c>
    </row>
    <row r="311" spans="1:20" ht="15.75" customHeight="1">
      <c r="A311" s="9" t="s">
        <v>2936</v>
      </c>
      <c r="B311" s="9" t="s">
        <v>7480</v>
      </c>
      <c r="C311" s="9" t="s">
        <v>6236</v>
      </c>
      <c r="D311" s="87" t="s">
        <v>6393</v>
      </c>
      <c r="E311" s="9" t="s">
        <v>431</v>
      </c>
      <c r="F311" s="9" t="s">
        <v>368</v>
      </c>
      <c r="G311" s="9" t="s">
        <v>436</v>
      </c>
      <c r="H311" s="9" t="s">
        <v>434</v>
      </c>
      <c r="I311" s="87" t="s">
        <v>6264</v>
      </c>
      <c r="J311" s="87" t="s">
        <v>6375</v>
      </c>
      <c r="K311" s="87" t="s">
        <v>6240</v>
      </c>
      <c r="L311" s="87" t="s">
        <v>6240</v>
      </c>
      <c r="M311" s="87" t="s">
        <v>6710</v>
      </c>
      <c r="N311" s="9" t="s">
        <v>7192</v>
      </c>
      <c r="O311" s="87" t="s">
        <v>6240</v>
      </c>
      <c r="P311" s="9" t="s">
        <v>6243</v>
      </c>
      <c r="Q311" s="87" t="s">
        <v>6397</v>
      </c>
      <c r="R311" s="87" t="s">
        <v>6375</v>
      </c>
      <c r="S311" s="87" t="s">
        <v>6327</v>
      </c>
      <c r="T311" s="87" t="s">
        <v>6421</v>
      </c>
    </row>
    <row r="312" spans="1:20" ht="15.75" customHeight="1">
      <c r="A312" s="9" t="s">
        <v>2936</v>
      </c>
      <c r="B312" s="9" t="s">
        <v>7480</v>
      </c>
      <c r="C312" s="9" t="s">
        <v>6236</v>
      </c>
      <c r="D312" s="87" t="s">
        <v>6393</v>
      </c>
      <c r="E312" s="9" t="s">
        <v>431</v>
      </c>
      <c r="F312" s="9" t="s">
        <v>368</v>
      </c>
      <c r="G312" s="9" t="s">
        <v>436</v>
      </c>
      <c r="H312" s="9" t="s">
        <v>434</v>
      </c>
      <c r="I312" s="87" t="s">
        <v>6264</v>
      </c>
      <c r="J312" s="87" t="s">
        <v>6375</v>
      </c>
      <c r="K312" s="87" t="s">
        <v>6239</v>
      </c>
      <c r="L312" s="87" t="s">
        <v>6240</v>
      </c>
      <c r="M312" s="87" t="s">
        <v>6637</v>
      </c>
      <c r="N312" s="9" t="s">
        <v>6928</v>
      </c>
      <c r="O312" s="87" t="s">
        <v>6239</v>
      </c>
      <c r="P312" s="9" t="s">
        <v>6243</v>
      </c>
      <c r="Q312" s="87" t="s">
        <v>3764</v>
      </c>
      <c r="R312" s="87" t="s">
        <v>6375</v>
      </c>
      <c r="S312" s="87" t="s">
        <v>6327</v>
      </c>
      <c r="T312" s="87" t="s">
        <v>6645</v>
      </c>
    </row>
    <row r="313" spans="1:20" ht="15.75" customHeight="1">
      <c r="A313" s="9" t="s">
        <v>2936</v>
      </c>
      <c r="B313" s="9" t="s">
        <v>7480</v>
      </c>
      <c r="C313" s="9" t="s">
        <v>6236</v>
      </c>
      <c r="D313" s="87" t="s">
        <v>6393</v>
      </c>
      <c r="E313" s="9" t="s">
        <v>431</v>
      </c>
      <c r="F313" s="9" t="s">
        <v>368</v>
      </c>
      <c r="G313" s="9" t="s">
        <v>436</v>
      </c>
      <c r="H313" s="9" t="s">
        <v>434</v>
      </c>
      <c r="I313" s="87" t="s">
        <v>6264</v>
      </c>
      <c r="J313" s="87" t="s">
        <v>6375</v>
      </c>
      <c r="K313" s="87" t="s">
        <v>6239</v>
      </c>
      <c r="L313" s="87" t="s">
        <v>6240</v>
      </c>
      <c r="M313" s="87" t="s">
        <v>6638</v>
      </c>
      <c r="N313" s="9" t="s">
        <v>6928</v>
      </c>
      <c r="O313" s="87" t="s">
        <v>6239</v>
      </c>
      <c r="P313" s="9" t="s">
        <v>6243</v>
      </c>
      <c r="Q313" s="87" t="s">
        <v>3764</v>
      </c>
      <c r="R313" s="87" t="s">
        <v>6375</v>
      </c>
      <c r="S313" s="87" t="s">
        <v>6327</v>
      </c>
      <c r="T313" s="87" t="s">
        <v>6645</v>
      </c>
    </row>
    <row r="314" spans="1:20" ht="15.75" customHeight="1">
      <c r="A314" s="9" t="s">
        <v>2936</v>
      </c>
      <c r="B314" s="9" t="s">
        <v>7480</v>
      </c>
      <c r="C314" s="9" t="s">
        <v>6236</v>
      </c>
      <c r="D314" s="87" t="s">
        <v>6393</v>
      </c>
      <c r="E314" s="9" t="s">
        <v>431</v>
      </c>
      <c r="F314" s="9" t="s">
        <v>368</v>
      </c>
      <c r="G314" s="9" t="s">
        <v>436</v>
      </c>
      <c r="H314" s="9" t="s">
        <v>434</v>
      </c>
      <c r="I314" s="87" t="s">
        <v>6264</v>
      </c>
      <c r="J314" s="87" t="s">
        <v>6375</v>
      </c>
      <c r="K314" s="87" t="s">
        <v>6570</v>
      </c>
      <c r="L314" s="87" t="s">
        <v>6240</v>
      </c>
      <c r="M314" s="87" t="s">
        <v>6763</v>
      </c>
      <c r="N314" s="9" t="s">
        <v>7221</v>
      </c>
      <c r="O314" s="87" t="s">
        <v>6570</v>
      </c>
      <c r="P314" s="9" t="s">
        <v>6243</v>
      </c>
      <c r="Q314" s="87" t="s">
        <v>6573</v>
      </c>
      <c r="R314" s="87" t="s">
        <v>6375</v>
      </c>
      <c r="S314" s="87" t="s">
        <v>6316</v>
      </c>
      <c r="T314" s="87" t="s">
        <v>6645</v>
      </c>
    </row>
    <row r="315" spans="1:20" ht="15.75" customHeight="1">
      <c r="A315" s="9" t="s">
        <v>2936</v>
      </c>
      <c r="B315" s="9" t="s">
        <v>7481</v>
      </c>
      <c r="C315" s="9" t="s">
        <v>6671</v>
      </c>
      <c r="D315" s="87" t="s">
        <v>6296</v>
      </c>
      <c r="E315" s="9" t="s">
        <v>6672</v>
      </c>
      <c r="F315" s="9" t="s">
        <v>439</v>
      </c>
      <c r="G315" s="9" t="s">
        <v>436</v>
      </c>
      <c r="H315" s="9" t="s">
        <v>440</v>
      </c>
      <c r="I315" s="87" t="s">
        <v>6405</v>
      </c>
      <c r="J315" s="87" t="s">
        <v>6754</v>
      </c>
      <c r="K315" s="87" t="s">
        <v>6239</v>
      </c>
      <c r="L315" s="87" t="s">
        <v>6240</v>
      </c>
      <c r="M315" s="87" t="s">
        <v>6647</v>
      </c>
      <c r="N315" s="9" t="s">
        <v>6928</v>
      </c>
      <c r="O315" s="87" t="s">
        <v>6239</v>
      </c>
      <c r="P315" s="9" t="s">
        <v>6243</v>
      </c>
      <c r="Q315" s="87" t="s">
        <v>3764</v>
      </c>
      <c r="R315" s="87" t="s">
        <v>6754</v>
      </c>
      <c r="S315" s="87" t="s">
        <v>6327</v>
      </c>
      <c r="T315" s="87" t="s">
        <v>6645</v>
      </c>
    </row>
    <row r="316" spans="1:20" ht="15.75" customHeight="1">
      <c r="A316" s="9" t="s">
        <v>2936</v>
      </c>
      <c r="B316" s="9" t="s">
        <v>7481</v>
      </c>
      <c r="C316" s="9" t="s">
        <v>6671</v>
      </c>
      <c r="D316" s="87" t="s">
        <v>6296</v>
      </c>
      <c r="E316" s="9" t="s">
        <v>6672</v>
      </c>
      <c r="F316" s="9" t="s">
        <v>439</v>
      </c>
      <c r="G316" s="9" t="s">
        <v>436</v>
      </c>
      <c r="H316" s="9" t="s">
        <v>440</v>
      </c>
      <c r="I316" s="87" t="s">
        <v>6405</v>
      </c>
      <c r="J316" s="87" t="s">
        <v>6754</v>
      </c>
      <c r="K316" s="87" t="s">
        <v>6293</v>
      </c>
      <c r="L316" s="87" t="s">
        <v>6240</v>
      </c>
      <c r="M316" s="87" t="s">
        <v>6648</v>
      </c>
      <c r="N316" s="9" t="s">
        <v>7101</v>
      </c>
      <c r="O316" s="87" t="s">
        <v>6293</v>
      </c>
      <c r="P316" s="9" t="s">
        <v>6243</v>
      </c>
      <c r="Q316" s="87" t="s">
        <v>4828</v>
      </c>
      <c r="R316" s="87" t="s">
        <v>6754</v>
      </c>
      <c r="S316" s="87" t="s">
        <v>6430</v>
      </c>
      <c r="T316" s="87" t="s">
        <v>6645</v>
      </c>
    </row>
    <row r="317" spans="1:20" ht="15.75" customHeight="1">
      <c r="A317" s="9" t="s">
        <v>2936</v>
      </c>
      <c r="B317" s="9" t="s">
        <v>7482</v>
      </c>
      <c r="C317" s="9" t="s">
        <v>6671</v>
      </c>
      <c r="D317" s="87" t="s">
        <v>6414</v>
      </c>
      <c r="E317" s="9" t="s">
        <v>6672</v>
      </c>
      <c r="F317" s="9" t="s">
        <v>439</v>
      </c>
      <c r="G317" s="9" t="s">
        <v>436</v>
      </c>
      <c r="H317" s="9" t="s">
        <v>440</v>
      </c>
      <c r="I317" s="87" t="s">
        <v>6405</v>
      </c>
      <c r="J317" s="87" t="s">
        <v>6796</v>
      </c>
      <c r="K317" s="87" t="s">
        <v>6413</v>
      </c>
      <c r="L317" s="87" t="s">
        <v>6240</v>
      </c>
      <c r="M317" s="87" t="s">
        <v>6648</v>
      </c>
      <c r="N317" s="9" t="s">
        <v>7483</v>
      </c>
      <c r="O317" s="87" t="s">
        <v>6413</v>
      </c>
      <c r="P317" s="9" t="s">
        <v>6243</v>
      </c>
      <c r="Q317" s="87" t="s">
        <v>7484</v>
      </c>
      <c r="R317" s="87" t="s">
        <v>6796</v>
      </c>
      <c r="S317" s="87" t="s">
        <v>6327</v>
      </c>
      <c r="T317" s="87" t="s">
        <v>6404</v>
      </c>
    </row>
    <row r="318" spans="1:20" ht="15.75" customHeight="1">
      <c r="A318" s="9" t="s">
        <v>2936</v>
      </c>
      <c r="B318" s="9" t="s">
        <v>7482</v>
      </c>
      <c r="C318" s="9" t="s">
        <v>6671</v>
      </c>
      <c r="D318" s="87" t="s">
        <v>6414</v>
      </c>
      <c r="E318" s="9" t="s">
        <v>6672</v>
      </c>
      <c r="F318" s="9" t="s">
        <v>439</v>
      </c>
      <c r="G318" s="9" t="s">
        <v>436</v>
      </c>
      <c r="H318" s="9" t="s">
        <v>440</v>
      </c>
      <c r="I318" s="87" t="s">
        <v>6405</v>
      </c>
      <c r="J318" s="87" t="s">
        <v>6796</v>
      </c>
      <c r="K318" s="87" t="s">
        <v>6239</v>
      </c>
      <c r="L318" s="87" t="s">
        <v>6240</v>
      </c>
      <c r="M318" s="87" t="s">
        <v>6649</v>
      </c>
      <c r="N318" s="9" t="s">
        <v>6928</v>
      </c>
      <c r="O318" s="87" t="s">
        <v>6239</v>
      </c>
      <c r="P318" s="9" t="s">
        <v>6243</v>
      </c>
      <c r="Q318" s="87" t="s">
        <v>3764</v>
      </c>
      <c r="R318" s="87" t="s">
        <v>6796</v>
      </c>
      <c r="S318" s="87" t="s">
        <v>6327</v>
      </c>
      <c r="T318" s="87" t="s">
        <v>6645</v>
      </c>
    </row>
    <row r="319" spans="1:20" ht="15.75" customHeight="1">
      <c r="A319" s="9" t="s">
        <v>2936</v>
      </c>
      <c r="B319" s="9" t="s">
        <v>7482</v>
      </c>
      <c r="C319" s="9" t="s">
        <v>6671</v>
      </c>
      <c r="D319" s="87" t="s">
        <v>6414</v>
      </c>
      <c r="E319" s="9" t="s">
        <v>6672</v>
      </c>
      <c r="F319" s="9" t="s">
        <v>439</v>
      </c>
      <c r="G319" s="9" t="s">
        <v>436</v>
      </c>
      <c r="H319" s="9" t="s">
        <v>440</v>
      </c>
      <c r="I319" s="87" t="s">
        <v>6405</v>
      </c>
      <c r="J319" s="87" t="s">
        <v>6796</v>
      </c>
      <c r="K319" s="87" t="s">
        <v>6239</v>
      </c>
      <c r="L319" s="87" t="s">
        <v>6240</v>
      </c>
      <c r="M319" s="87" t="s">
        <v>6650</v>
      </c>
      <c r="N319" s="9" t="s">
        <v>6928</v>
      </c>
      <c r="O319" s="87" t="s">
        <v>6239</v>
      </c>
      <c r="P319" s="9" t="s">
        <v>6243</v>
      </c>
      <c r="Q319" s="87" t="s">
        <v>3764</v>
      </c>
      <c r="R319" s="87" t="s">
        <v>6796</v>
      </c>
      <c r="S319" s="87" t="s">
        <v>6327</v>
      </c>
      <c r="T319" s="87" t="s">
        <v>6645</v>
      </c>
    </row>
    <row r="320" spans="1:20" ht="15.75" customHeight="1">
      <c r="A320" s="9" t="s">
        <v>2936</v>
      </c>
      <c r="B320" s="9" t="s">
        <v>7482</v>
      </c>
      <c r="C320" s="9" t="s">
        <v>6671</v>
      </c>
      <c r="D320" s="87" t="s">
        <v>6414</v>
      </c>
      <c r="E320" s="9" t="s">
        <v>6672</v>
      </c>
      <c r="F320" s="9" t="s">
        <v>439</v>
      </c>
      <c r="G320" s="9" t="s">
        <v>436</v>
      </c>
      <c r="H320" s="9" t="s">
        <v>440</v>
      </c>
      <c r="I320" s="87" t="s">
        <v>6405</v>
      </c>
      <c r="J320" s="87" t="s">
        <v>6796</v>
      </c>
      <c r="K320" s="87" t="s">
        <v>6367</v>
      </c>
      <c r="L320" s="87" t="s">
        <v>6240</v>
      </c>
      <c r="M320" s="87" t="s">
        <v>6700</v>
      </c>
      <c r="N320" s="9" t="s">
        <v>7057</v>
      </c>
      <c r="O320" s="87" t="s">
        <v>6367</v>
      </c>
      <c r="P320" s="9" t="s">
        <v>6243</v>
      </c>
      <c r="Q320" s="87" t="s">
        <v>6814</v>
      </c>
      <c r="R320" s="87" t="s">
        <v>6796</v>
      </c>
      <c r="S320" s="87" t="s">
        <v>6528</v>
      </c>
      <c r="T320" s="87" t="s">
        <v>6645</v>
      </c>
    </row>
    <row r="321" spans="1:20" ht="15.75" customHeight="1">
      <c r="A321" s="9" t="s">
        <v>2936</v>
      </c>
      <c r="B321" s="9" t="s">
        <v>7485</v>
      </c>
      <c r="C321" s="9" t="s">
        <v>6923</v>
      </c>
      <c r="D321" s="87" t="s">
        <v>6327</v>
      </c>
      <c r="E321" s="9" t="s">
        <v>6924</v>
      </c>
      <c r="F321" s="9" t="s">
        <v>6925</v>
      </c>
      <c r="G321" s="9" t="s">
        <v>383</v>
      </c>
      <c r="H321" s="9" t="s">
        <v>444</v>
      </c>
      <c r="I321" s="87" t="s">
        <v>6405</v>
      </c>
      <c r="J321" s="87" t="s">
        <v>6240</v>
      </c>
      <c r="K321" s="87" t="s">
        <v>6939</v>
      </c>
      <c r="L321" s="87" t="s">
        <v>6448</v>
      </c>
      <c r="M321" s="87" t="s">
        <v>6699</v>
      </c>
      <c r="N321" s="9" t="s">
        <v>6955</v>
      </c>
      <c r="O321" s="87" t="s">
        <v>6360</v>
      </c>
      <c r="P321" s="9" t="s">
        <v>6243</v>
      </c>
      <c r="Q321" s="87" t="s">
        <v>6776</v>
      </c>
      <c r="R321" s="87" t="s">
        <v>6240</v>
      </c>
      <c r="S321" s="87" t="s">
        <v>6255</v>
      </c>
      <c r="T321" s="87" t="s">
        <v>6341</v>
      </c>
    </row>
    <row r="322" spans="1:20" ht="15.75" customHeight="1">
      <c r="A322" s="9" t="s">
        <v>2936</v>
      </c>
      <c r="B322" s="9" t="s">
        <v>7485</v>
      </c>
      <c r="C322" s="9" t="s">
        <v>7228</v>
      </c>
      <c r="D322" s="87" t="s">
        <v>6290</v>
      </c>
      <c r="E322" s="9" t="s">
        <v>6924</v>
      </c>
      <c r="F322" s="9" t="s">
        <v>11</v>
      </c>
      <c r="G322" s="9" t="s">
        <v>383</v>
      </c>
      <c r="H322" s="9" t="s">
        <v>426</v>
      </c>
      <c r="I322" s="87" t="s">
        <v>6405</v>
      </c>
      <c r="J322" s="87" t="s">
        <v>6334</v>
      </c>
      <c r="K322" s="87" t="s">
        <v>6334</v>
      </c>
      <c r="L322" s="87" t="s">
        <v>6306</v>
      </c>
      <c r="M322" s="87" t="s">
        <v>6696</v>
      </c>
      <c r="N322" s="9" t="s">
        <v>7121</v>
      </c>
      <c r="O322" s="87" t="s">
        <v>6299</v>
      </c>
      <c r="P322" s="9" t="s">
        <v>6243</v>
      </c>
      <c r="Q322" s="87" t="s">
        <v>3231</v>
      </c>
      <c r="R322" s="87" t="s">
        <v>6334</v>
      </c>
      <c r="S322" s="87" t="s">
        <v>6400</v>
      </c>
      <c r="T322" s="87" t="s">
        <v>6341</v>
      </c>
    </row>
    <row r="323" spans="1:20" ht="15.75" customHeight="1">
      <c r="A323" s="9" t="s">
        <v>2936</v>
      </c>
      <c r="B323" s="9" t="s">
        <v>7486</v>
      </c>
      <c r="C323" s="9" t="s">
        <v>6923</v>
      </c>
      <c r="D323" s="87" t="s">
        <v>6327</v>
      </c>
      <c r="E323" s="9" t="s">
        <v>6924</v>
      </c>
      <c r="F323" s="9" t="s">
        <v>6925</v>
      </c>
      <c r="G323" s="9" t="s">
        <v>383</v>
      </c>
      <c r="H323" s="9" t="s">
        <v>444</v>
      </c>
      <c r="I323" s="87" t="s">
        <v>6405</v>
      </c>
      <c r="J323" s="87" t="s">
        <v>6240</v>
      </c>
      <c r="K323" s="87" t="s">
        <v>6939</v>
      </c>
      <c r="L323" s="87" t="s">
        <v>6448</v>
      </c>
      <c r="M323" s="87" t="s">
        <v>6696</v>
      </c>
      <c r="N323" s="9" t="s">
        <v>6955</v>
      </c>
      <c r="O323" s="87" t="s">
        <v>6360</v>
      </c>
      <c r="P323" s="9" t="s">
        <v>6243</v>
      </c>
      <c r="Q323" s="87" t="s">
        <v>6776</v>
      </c>
      <c r="R323" s="87" t="s">
        <v>6240</v>
      </c>
      <c r="S323" s="87" t="s">
        <v>6255</v>
      </c>
      <c r="T323" s="87" t="s">
        <v>6341</v>
      </c>
    </row>
    <row r="324" spans="1:20" ht="15.75" customHeight="1">
      <c r="A324" s="9" t="s">
        <v>2936</v>
      </c>
      <c r="B324" s="9" t="s">
        <v>7486</v>
      </c>
      <c r="C324" s="9" t="s">
        <v>7228</v>
      </c>
      <c r="D324" s="87" t="s">
        <v>6290</v>
      </c>
      <c r="E324" s="9" t="s">
        <v>6924</v>
      </c>
      <c r="F324" s="9" t="s">
        <v>11</v>
      </c>
      <c r="G324" s="9" t="s">
        <v>383</v>
      </c>
      <c r="H324" s="9" t="s">
        <v>426</v>
      </c>
      <c r="I324" s="87" t="s">
        <v>6405</v>
      </c>
      <c r="J324" s="87" t="s">
        <v>6334</v>
      </c>
      <c r="K324" s="87" t="s">
        <v>6334</v>
      </c>
      <c r="L324" s="87" t="s">
        <v>6306</v>
      </c>
      <c r="M324" s="87" t="s">
        <v>6694</v>
      </c>
      <c r="N324" s="9" t="s">
        <v>7121</v>
      </c>
      <c r="O324" s="87" t="s">
        <v>6299</v>
      </c>
      <c r="P324" s="9" t="s">
        <v>6243</v>
      </c>
      <c r="Q324" s="87" t="s">
        <v>3231</v>
      </c>
      <c r="R324" s="87" t="s">
        <v>6334</v>
      </c>
      <c r="S324" s="87" t="s">
        <v>6400</v>
      </c>
      <c r="T324" s="87" t="s">
        <v>6341</v>
      </c>
    </row>
    <row r="325" spans="1:20" ht="15.75" customHeight="1">
      <c r="A325" s="9" t="s">
        <v>2936</v>
      </c>
      <c r="B325" s="9" t="s">
        <v>7487</v>
      </c>
      <c r="C325" s="9" t="s">
        <v>6923</v>
      </c>
      <c r="D325" s="87" t="s">
        <v>6327</v>
      </c>
      <c r="E325" s="9" t="s">
        <v>6924</v>
      </c>
      <c r="F325" s="9" t="s">
        <v>6925</v>
      </c>
      <c r="G325" s="9" t="s">
        <v>383</v>
      </c>
      <c r="H325" s="9" t="s">
        <v>444</v>
      </c>
      <c r="I325" s="87" t="s">
        <v>6405</v>
      </c>
      <c r="J325" s="87" t="s">
        <v>6240</v>
      </c>
      <c r="K325" s="87" t="s">
        <v>6926</v>
      </c>
      <c r="L325" s="87" t="s">
        <v>6448</v>
      </c>
      <c r="M325" s="87" t="s">
        <v>6694</v>
      </c>
      <c r="N325" s="9" t="s">
        <v>7073</v>
      </c>
      <c r="O325" s="87" t="s">
        <v>6329</v>
      </c>
      <c r="P325" s="9" t="s">
        <v>6243</v>
      </c>
      <c r="Q325" s="87" t="s">
        <v>6448</v>
      </c>
      <c r="R325" s="87" t="s">
        <v>6240</v>
      </c>
      <c r="S325" s="87" t="s">
        <v>6401</v>
      </c>
      <c r="T325" s="87" t="s">
        <v>6341</v>
      </c>
    </row>
    <row r="326" spans="1:20" ht="15.75" customHeight="1">
      <c r="A326" s="9" t="s">
        <v>2936</v>
      </c>
      <c r="B326" s="9" t="s">
        <v>7487</v>
      </c>
      <c r="C326" s="9" t="s">
        <v>7228</v>
      </c>
      <c r="D326" s="87" t="s">
        <v>6290</v>
      </c>
      <c r="E326" s="9" t="s">
        <v>6924</v>
      </c>
      <c r="F326" s="9" t="s">
        <v>11</v>
      </c>
      <c r="G326" s="9" t="s">
        <v>383</v>
      </c>
      <c r="H326" s="9" t="s">
        <v>426</v>
      </c>
      <c r="I326" s="87" t="s">
        <v>6405</v>
      </c>
      <c r="J326" s="87" t="s">
        <v>6405</v>
      </c>
      <c r="K326" s="87" t="s">
        <v>6405</v>
      </c>
      <c r="L326" s="87" t="s">
        <v>6306</v>
      </c>
      <c r="M326" s="87" t="s">
        <v>7063</v>
      </c>
      <c r="N326" s="9" t="s">
        <v>6959</v>
      </c>
      <c r="O326" s="87" t="s">
        <v>4953</v>
      </c>
      <c r="P326" s="9" t="s">
        <v>6243</v>
      </c>
      <c r="Q326" s="87" t="s">
        <v>6306</v>
      </c>
      <c r="R326" s="87" t="s">
        <v>6405</v>
      </c>
      <c r="S326" s="87" t="s">
        <v>6543</v>
      </c>
      <c r="T326" s="87" t="s">
        <v>6341</v>
      </c>
    </row>
    <row r="327" spans="1:20" ht="15.75" customHeight="1">
      <c r="A327" s="9" t="s">
        <v>2959</v>
      </c>
      <c r="B327" s="9" t="s">
        <v>7488</v>
      </c>
      <c r="C327" s="9" t="s">
        <v>6236</v>
      </c>
      <c r="D327" s="87" t="s">
        <v>6393</v>
      </c>
      <c r="E327" s="9" t="s">
        <v>431</v>
      </c>
      <c r="F327" s="9" t="s">
        <v>368</v>
      </c>
      <c r="G327" s="9" t="s">
        <v>436</v>
      </c>
      <c r="H327" s="9" t="s">
        <v>434</v>
      </c>
      <c r="I327" s="87" t="s">
        <v>6237</v>
      </c>
      <c r="J327" s="87" t="s">
        <v>6299</v>
      </c>
      <c r="K327" s="87" t="s">
        <v>6299</v>
      </c>
      <c r="L327" s="87" t="s">
        <v>6240</v>
      </c>
      <c r="M327" s="87" t="s">
        <v>6431</v>
      </c>
      <c r="N327" s="9" t="s">
        <v>7074</v>
      </c>
      <c r="O327" s="87" t="s">
        <v>6299</v>
      </c>
      <c r="P327" s="9" t="s">
        <v>6243</v>
      </c>
      <c r="Q327" s="87" t="s">
        <v>3231</v>
      </c>
      <c r="R327" s="87" t="s">
        <v>6299</v>
      </c>
      <c r="S327" s="87" t="s">
        <v>6404</v>
      </c>
      <c r="T327" s="87" t="s">
        <v>6239</v>
      </c>
    </row>
    <row r="328" spans="1:20" ht="15.75" customHeight="1">
      <c r="A328" s="9" t="s">
        <v>2959</v>
      </c>
      <c r="B328" s="9" t="s">
        <v>7490</v>
      </c>
      <c r="C328" s="9" t="s">
        <v>6923</v>
      </c>
      <c r="D328" s="87" t="s">
        <v>6327</v>
      </c>
      <c r="E328" s="9" t="s">
        <v>6924</v>
      </c>
      <c r="F328" s="9" t="s">
        <v>6925</v>
      </c>
      <c r="G328" s="9" t="s">
        <v>383</v>
      </c>
      <c r="H328" s="9" t="s">
        <v>444</v>
      </c>
      <c r="I328" s="87" t="s">
        <v>6405</v>
      </c>
      <c r="J328" s="87" t="s">
        <v>6405</v>
      </c>
      <c r="K328" s="87" t="s">
        <v>6926</v>
      </c>
      <c r="L328" s="87" t="s">
        <v>5381</v>
      </c>
      <c r="M328" s="87" t="s">
        <v>6828</v>
      </c>
      <c r="N328" s="9" t="s">
        <v>7109</v>
      </c>
      <c r="O328" s="87" t="s">
        <v>6348</v>
      </c>
      <c r="P328" s="9" t="s">
        <v>6243</v>
      </c>
      <c r="Q328" s="87" t="s">
        <v>5381</v>
      </c>
      <c r="R328" s="87" t="s">
        <v>6405</v>
      </c>
      <c r="S328" s="87" t="s">
        <v>6327</v>
      </c>
      <c r="T328" s="87" t="s">
        <v>6397</v>
      </c>
    </row>
    <row r="329" spans="1:20" ht="15.75" customHeight="1">
      <c r="A329" s="9" t="s">
        <v>2959</v>
      </c>
      <c r="B329" s="9" t="s">
        <v>7489</v>
      </c>
      <c r="C329" s="9" t="s">
        <v>6671</v>
      </c>
      <c r="D329" s="87" t="s">
        <v>6296</v>
      </c>
      <c r="E329" s="9" t="s">
        <v>6672</v>
      </c>
      <c r="F329" s="9" t="s">
        <v>439</v>
      </c>
      <c r="G329" s="9" t="s">
        <v>436</v>
      </c>
      <c r="H329" s="9" t="s">
        <v>440</v>
      </c>
      <c r="I329" s="87" t="s">
        <v>6405</v>
      </c>
      <c r="J329" s="87" t="s">
        <v>6245</v>
      </c>
      <c r="K329" s="87" t="s">
        <v>6245</v>
      </c>
      <c r="L329" s="87" t="s">
        <v>6240</v>
      </c>
      <c r="M329" s="87" t="s">
        <v>6828</v>
      </c>
      <c r="N329" s="9" t="s">
        <v>7075</v>
      </c>
      <c r="O329" s="87" t="s">
        <v>6245</v>
      </c>
      <c r="P329" s="9" t="s">
        <v>6243</v>
      </c>
      <c r="Q329" s="87" t="s">
        <v>6238</v>
      </c>
      <c r="R329" s="87" t="s">
        <v>6245</v>
      </c>
      <c r="S329" s="87" t="s">
        <v>6619</v>
      </c>
      <c r="T329" s="87" t="s">
        <v>6733</v>
      </c>
    </row>
    <row r="330" spans="1:20" ht="15.75" customHeight="1">
      <c r="A330" s="9" t="s">
        <v>2959</v>
      </c>
      <c r="B330" s="9" t="s">
        <v>7490</v>
      </c>
      <c r="C330" s="9" t="s">
        <v>7228</v>
      </c>
      <c r="D330" s="87" t="s">
        <v>6290</v>
      </c>
      <c r="E330" s="9" t="s">
        <v>6924</v>
      </c>
      <c r="F330" s="9" t="s">
        <v>11</v>
      </c>
      <c r="G330" s="9" t="s">
        <v>383</v>
      </c>
      <c r="H330" s="9" t="s">
        <v>426</v>
      </c>
      <c r="I330" s="87" t="s">
        <v>6405</v>
      </c>
      <c r="J330" s="87" t="s">
        <v>6405</v>
      </c>
      <c r="K330" s="87" t="s">
        <v>6405</v>
      </c>
      <c r="L330" s="87" t="s">
        <v>6293</v>
      </c>
      <c r="M330" s="87" t="s">
        <v>6826</v>
      </c>
      <c r="N330" s="9" t="s">
        <v>7914</v>
      </c>
      <c r="O330" s="87" t="s">
        <v>6290</v>
      </c>
      <c r="P330" s="9" t="s">
        <v>6243</v>
      </c>
      <c r="Q330" s="87" t="s">
        <v>6293</v>
      </c>
      <c r="R330" s="87" t="s">
        <v>6405</v>
      </c>
      <c r="S330" s="87" t="s">
        <v>6642</v>
      </c>
      <c r="T330" s="87" t="s">
        <v>6433</v>
      </c>
    </row>
    <row r="331" spans="1:20" ht="15.75" customHeight="1">
      <c r="A331" s="9" t="s">
        <v>2947</v>
      </c>
      <c r="B331" s="9" t="s">
        <v>7493</v>
      </c>
      <c r="C331" s="9" t="s">
        <v>6236</v>
      </c>
      <c r="D331" s="87" t="s">
        <v>6393</v>
      </c>
      <c r="E331" s="9" t="s">
        <v>431</v>
      </c>
      <c r="F331" s="9" t="s">
        <v>368</v>
      </c>
      <c r="G331" s="9" t="s">
        <v>436</v>
      </c>
      <c r="H331" s="9" t="s">
        <v>434</v>
      </c>
      <c r="I331" s="87" t="s">
        <v>6237</v>
      </c>
      <c r="J331" s="87" t="s">
        <v>6273</v>
      </c>
      <c r="K331" s="87" t="s">
        <v>6273</v>
      </c>
      <c r="L331" s="87" t="s">
        <v>6240</v>
      </c>
      <c r="M331" s="87" t="s">
        <v>6431</v>
      </c>
      <c r="N331" s="9" t="s">
        <v>7077</v>
      </c>
      <c r="O331" s="87" t="s">
        <v>6273</v>
      </c>
      <c r="P331" s="9" t="s">
        <v>6243</v>
      </c>
      <c r="Q331" s="87" t="s">
        <v>6276</v>
      </c>
      <c r="R331" s="87" t="s">
        <v>6273</v>
      </c>
      <c r="S331" s="87" t="s">
        <v>6348</v>
      </c>
      <c r="T331" s="87" t="s">
        <v>6400</v>
      </c>
    </row>
    <row r="332" spans="1:20" ht="15.75" customHeight="1">
      <c r="A332" s="9" t="s">
        <v>2947</v>
      </c>
      <c r="B332" s="9" t="s">
        <v>7494</v>
      </c>
      <c r="C332" s="9" t="s">
        <v>6671</v>
      </c>
      <c r="D332" s="87" t="s">
        <v>6296</v>
      </c>
      <c r="E332" s="9" t="s">
        <v>6672</v>
      </c>
      <c r="F332" s="9" t="s">
        <v>439</v>
      </c>
      <c r="G332" s="9" t="s">
        <v>436</v>
      </c>
      <c r="H332" s="9" t="s">
        <v>440</v>
      </c>
      <c r="I332" s="87" t="s">
        <v>6405</v>
      </c>
      <c r="J332" s="87" t="s">
        <v>6245</v>
      </c>
      <c r="K332" s="87" t="s">
        <v>6245</v>
      </c>
      <c r="L332" s="87" t="s">
        <v>6240</v>
      </c>
      <c r="M332" s="87" t="s">
        <v>6828</v>
      </c>
      <c r="N332" s="9" t="s">
        <v>7078</v>
      </c>
      <c r="O332" s="87" t="s">
        <v>6245</v>
      </c>
      <c r="P332" s="9" t="s">
        <v>6243</v>
      </c>
      <c r="Q332" s="87" t="s">
        <v>6238</v>
      </c>
      <c r="R332" s="87" t="s">
        <v>6245</v>
      </c>
      <c r="S332" s="87" t="s">
        <v>6293</v>
      </c>
      <c r="T332" s="87" t="s">
        <v>6555</v>
      </c>
    </row>
    <row r="333" spans="1:20" ht="15.75" customHeight="1">
      <c r="A333" s="9" t="s">
        <v>2947</v>
      </c>
      <c r="B333" s="9" t="s">
        <v>7495</v>
      </c>
      <c r="C333" s="9" t="s">
        <v>6923</v>
      </c>
      <c r="D333" s="87" t="s">
        <v>6327</v>
      </c>
      <c r="E333" s="9" t="s">
        <v>6924</v>
      </c>
      <c r="F333" s="9" t="s">
        <v>6925</v>
      </c>
      <c r="G333" s="9" t="s">
        <v>383</v>
      </c>
      <c r="H333" s="9" t="s">
        <v>444</v>
      </c>
      <c r="I333" s="87" t="s">
        <v>6405</v>
      </c>
      <c r="J333" s="87" t="s">
        <v>6405</v>
      </c>
      <c r="K333" s="87" t="s">
        <v>6926</v>
      </c>
      <c r="L333" s="87" t="s">
        <v>5381</v>
      </c>
      <c r="M333" s="87" t="s">
        <v>7048</v>
      </c>
      <c r="N333" s="9" t="s">
        <v>7901</v>
      </c>
      <c r="O333" s="87" t="s">
        <v>6348</v>
      </c>
      <c r="P333" s="9" t="s">
        <v>6243</v>
      </c>
      <c r="Q333" s="87" t="s">
        <v>5381</v>
      </c>
      <c r="R333" s="87" t="s">
        <v>6405</v>
      </c>
      <c r="S333" s="87" t="s">
        <v>6455</v>
      </c>
      <c r="T333" s="87" t="s">
        <v>6526</v>
      </c>
    </row>
    <row r="334" spans="1:20" ht="15.75" customHeight="1">
      <c r="A334" s="9" t="s">
        <v>2947</v>
      </c>
      <c r="B334" s="9" t="s">
        <v>7495</v>
      </c>
      <c r="C334" s="9" t="s">
        <v>7228</v>
      </c>
      <c r="D334" s="87" t="s">
        <v>6290</v>
      </c>
      <c r="E334" s="9" t="s">
        <v>6924</v>
      </c>
      <c r="F334" s="9" t="s">
        <v>11</v>
      </c>
      <c r="G334" s="9" t="s">
        <v>383</v>
      </c>
      <c r="H334" s="9" t="s">
        <v>426</v>
      </c>
      <c r="I334" s="87" t="s">
        <v>6405</v>
      </c>
      <c r="J334" s="87" t="s">
        <v>6405</v>
      </c>
      <c r="K334" s="87" t="s">
        <v>6405</v>
      </c>
      <c r="L334" s="87" t="s">
        <v>6293</v>
      </c>
      <c r="M334" s="87" t="s">
        <v>6449</v>
      </c>
      <c r="N334" s="9" t="s">
        <v>7497</v>
      </c>
      <c r="O334" s="87" t="s">
        <v>6290</v>
      </c>
      <c r="P334" s="9" t="s">
        <v>6243</v>
      </c>
      <c r="Q334" s="87" t="s">
        <v>6293</v>
      </c>
      <c r="R334" s="87" t="s">
        <v>6405</v>
      </c>
      <c r="S334" s="87" t="s">
        <v>6428</v>
      </c>
      <c r="T334" s="87" t="s">
        <v>6382</v>
      </c>
    </row>
    <row r="335" spans="1:20" ht="15.75" customHeight="1">
      <c r="A335" s="9" t="s">
        <v>3003</v>
      </c>
      <c r="B335" s="9" t="s">
        <v>7498</v>
      </c>
      <c r="C335" s="9" t="s">
        <v>6236</v>
      </c>
      <c r="D335" s="87" t="s">
        <v>6393</v>
      </c>
      <c r="E335" s="9" t="s">
        <v>431</v>
      </c>
      <c r="F335" s="9" t="s">
        <v>368</v>
      </c>
      <c r="G335" s="9" t="s">
        <v>436</v>
      </c>
      <c r="H335" s="9" t="s">
        <v>434</v>
      </c>
      <c r="I335" s="87" t="s">
        <v>6237</v>
      </c>
      <c r="J335" s="87" t="s">
        <v>6433</v>
      </c>
      <c r="K335" s="87" t="s">
        <v>6334</v>
      </c>
      <c r="L335" s="87" t="s">
        <v>6240</v>
      </c>
      <c r="M335" s="87" t="s">
        <v>6431</v>
      </c>
      <c r="N335" s="9" t="s">
        <v>7056</v>
      </c>
      <c r="O335" s="87" t="s">
        <v>6334</v>
      </c>
      <c r="P335" s="9" t="s">
        <v>6243</v>
      </c>
      <c r="Q335" s="87" t="s">
        <v>6290</v>
      </c>
      <c r="R335" s="87" t="s">
        <v>6433</v>
      </c>
      <c r="S335" s="87" t="s">
        <v>6327</v>
      </c>
      <c r="T335" s="87" t="s">
        <v>6642</v>
      </c>
    </row>
    <row r="336" spans="1:20" ht="15.75" customHeight="1">
      <c r="A336" s="9" t="s">
        <v>3003</v>
      </c>
      <c r="B336" s="9" t="s">
        <v>7498</v>
      </c>
      <c r="C336" s="9" t="s">
        <v>6236</v>
      </c>
      <c r="D336" s="87" t="s">
        <v>6393</v>
      </c>
      <c r="E336" s="9" t="s">
        <v>431</v>
      </c>
      <c r="F336" s="9" t="s">
        <v>368</v>
      </c>
      <c r="G336" s="9" t="s">
        <v>436</v>
      </c>
      <c r="H336" s="9" t="s">
        <v>434</v>
      </c>
      <c r="I336" s="87" t="s">
        <v>6237</v>
      </c>
      <c r="J336" s="87" t="s">
        <v>6433</v>
      </c>
      <c r="K336" s="87" t="s">
        <v>4953</v>
      </c>
      <c r="L336" s="87" t="s">
        <v>6240</v>
      </c>
      <c r="M336" s="87" t="s">
        <v>6828</v>
      </c>
      <c r="N336" s="9" t="s">
        <v>7080</v>
      </c>
      <c r="O336" s="87" t="s">
        <v>4953</v>
      </c>
      <c r="P336" s="9" t="s">
        <v>6243</v>
      </c>
      <c r="Q336" s="87" t="s">
        <v>6306</v>
      </c>
      <c r="R336" s="87" t="s">
        <v>6433</v>
      </c>
      <c r="S336" s="87" t="s">
        <v>6373</v>
      </c>
      <c r="T336" s="87" t="s">
        <v>6645</v>
      </c>
    </row>
    <row r="337" spans="1:20" ht="15.75" customHeight="1">
      <c r="A337" s="9" t="s">
        <v>3003</v>
      </c>
      <c r="B337" s="9" t="s">
        <v>7499</v>
      </c>
      <c r="C337" s="9" t="s">
        <v>6671</v>
      </c>
      <c r="D337" s="87" t="s">
        <v>6296</v>
      </c>
      <c r="E337" s="9" t="s">
        <v>6672</v>
      </c>
      <c r="F337" s="9" t="s">
        <v>439</v>
      </c>
      <c r="G337" s="9" t="s">
        <v>436</v>
      </c>
      <c r="H337" s="9" t="s">
        <v>440</v>
      </c>
      <c r="I337" s="87" t="s">
        <v>6405</v>
      </c>
      <c r="J337" s="87" t="s">
        <v>6327</v>
      </c>
      <c r="K337" s="87" t="s">
        <v>6327</v>
      </c>
      <c r="L337" s="87" t="s">
        <v>6240</v>
      </c>
      <c r="M337" s="87" t="s">
        <v>6826</v>
      </c>
      <c r="N337" s="9" t="s">
        <v>7081</v>
      </c>
      <c r="O337" s="87" t="s">
        <v>6327</v>
      </c>
      <c r="P337" s="9" t="s">
        <v>6243</v>
      </c>
      <c r="Q337" s="87" t="s">
        <v>6392</v>
      </c>
      <c r="R337" s="87" t="s">
        <v>6327</v>
      </c>
      <c r="S337" s="87" t="s">
        <v>6239</v>
      </c>
      <c r="T337" s="87" t="s">
        <v>6645</v>
      </c>
    </row>
    <row r="338" spans="1:20" ht="15.75" customHeight="1">
      <c r="A338" s="9" t="s">
        <v>3003</v>
      </c>
      <c r="B338" s="9" t="s">
        <v>7500</v>
      </c>
      <c r="C338" s="9" t="s">
        <v>6923</v>
      </c>
      <c r="D338" s="87" t="s">
        <v>6327</v>
      </c>
      <c r="E338" s="9" t="s">
        <v>6924</v>
      </c>
      <c r="F338" s="9" t="s">
        <v>6925</v>
      </c>
      <c r="G338" s="9" t="s">
        <v>383</v>
      </c>
      <c r="H338" s="9" t="s">
        <v>444</v>
      </c>
      <c r="I338" s="87" t="s">
        <v>6405</v>
      </c>
      <c r="J338" s="87" t="s">
        <v>6405</v>
      </c>
      <c r="K338" s="87" t="s">
        <v>6926</v>
      </c>
      <c r="L338" s="87" t="s">
        <v>5381</v>
      </c>
      <c r="M338" s="87" t="s">
        <v>7048</v>
      </c>
      <c r="N338" s="9" t="s">
        <v>7915</v>
      </c>
      <c r="O338" s="87" t="s">
        <v>6348</v>
      </c>
      <c r="P338" s="9" t="s">
        <v>6243</v>
      </c>
      <c r="Q338" s="87" t="s">
        <v>5381</v>
      </c>
      <c r="R338" s="87" t="s">
        <v>6405</v>
      </c>
      <c r="S338" s="87" t="s">
        <v>6387</v>
      </c>
      <c r="T338" s="87" t="s">
        <v>6293</v>
      </c>
    </row>
    <row r="339" spans="1:20" ht="15.75" customHeight="1">
      <c r="A339" s="9" t="s">
        <v>3003</v>
      </c>
      <c r="B339" s="9" t="s">
        <v>7500</v>
      </c>
      <c r="C339" s="9" t="s">
        <v>7228</v>
      </c>
      <c r="D339" s="87" t="s">
        <v>6290</v>
      </c>
      <c r="E339" s="9" t="s">
        <v>6924</v>
      </c>
      <c r="F339" s="9" t="s">
        <v>11</v>
      </c>
      <c r="G339" s="9" t="s">
        <v>383</v>
      </c>
      <c r="H339" s="9" t="s">
        <v>426</v>
      </c>
      <c r="I339" s="87" t="s">
        <v>6405</v>
      </c>
      <c r="J339" s="87" t="s">
        <v>6405</v>
      </c>
      <c r="K339" s="87" t="s">
        <v>6405</v>
      </c>
      <c r="L339" s="87" t="s">
        <v>6293</v>
      </c>
      <c r="M339" s="87" t="s">
        <v>6449</v>
      </c>
      <c r="N339" s="9" t="s">
        <v>7502</v>
      </c>
      <c r="O339" s="87" t="s">
        <v>6290</v>
      </c>
      <c r="P339" s="9" t="s">
        <v>6243</v>
      </c>
      <c r="Q339" s="87" t="s">
        <v>6293</v>
      </c>
      <c r="R339" s="87" t="s">
        <v>6405</v>
      </c>
      <c r="S339" s="87" t="s">
        <v>6330</v>
      </c>
      <c r="T339" s="87" t="s">
        <v>6322</v>
      </c>
    </row>
    <row r="340" spans="1:20" ht="15.75" customHeight="1">
      <c r="A340" s="9" t="s">
        <v>2968</v>
      </c>
      <c r="B340" s="9" t="s">
        <v>7503</v>
      </c>
      <c r="C340" s="9" t="s">
        <v>6236</v>
      </c>
      <c r="D340" s="87" t="s">
        <v>6393</v>
      </c>
      <c r="E340" s="9" t="s">
        <v>431</v>
      </c>
      <c r="F340" s="9" t="s">
        <v>368</v>
      </c>
      <c r="G340" s="9" t="s">
        <v>436</v>
      </c>
      <c r="H340" s="9" t="s">
        <v>434</v>
      </c>
      <c r="I340" s="87" t="s">
        <v>6264</v>
      </c>
      <c r="J340" s="87" t="s">
        <v>6392</v>
      </c>
      <c r="K340" s="87" t="s">
        <v>6430</v>
      </c>
      <c r="L340" s="87" t="s">
        <v>6240</v>
      </c>
      <c r="M340" s="87" t="s">
        <v>6471</v>
      </c>
      <c r="N340" s="9" t="s">
        <v>7504</v>
      </c>
      <c r="O340" s="87" t="s">
        <v>6430</v>
      </c>
      <c r="P340" s="9" t="s">
        <v>6243</v>
      </c>
      <c r="Q340" s="87" t="s">
        <v>6579</v>
      </c>
      <c r="R340" s="87" t="s">
        <v>6392</v>
      </c>
      <c r="S340" s="87" t="s">
        <v>6327</v>
      </c>
      <c r="T340" s="87" t="s">
        <v>6440</v>
      </c>
    </row>
    <row r="341" spans="1:20" ht="15.75" customHeight="1">
      <c r="A341" s="9" t="s">
        <v>2968</v>
      </c>
      <c r="B341" s="9" t="s">
        <v>7503</v>
      </c>
      <c r="C341" s="9" t="s">
        <v>6236</v>
      </c>
      <c r="D341" s="87" t="s">
        <v>6393</v>
      </c>
      <c r="E341" s="9" t="s">
        <v>431</v>
      </c>
      <c r="F341" s="9" t="s">
        <v>368</v>
      </c>
      <c r="G341" s="9" t="s">
        <v>436</v>
      </c>
      <c r="H341" s="9" t="s">
        <v>434</v>
      </c>
      <c r="I341" s="87" t="s">
        <v>6264</v>
      </c>
      <c r="J341" s="87" t="s">
        <v>6392</v>
      </c>
      <c r="K341" s="87" t="s">
        <v>6334</v>
      </c>
      <c r="L341" s="87" t="s">
        <v>6240</v>
      </c>
      <c r="M341" s="87" t="s">
        <v>6475</v>
      </c>
      <c r="N341" s="9" t="s">
        <v>7006</v>
      </c>
      <c r="O341" s="87" t="s">
        <v>6334</v>
      </c>
      <c r="P341" s="9" t="s">
        <v>6243</v>
      </c>
      <c r="Q341" s="87" t="s">
        <v>6290</v>
      </c>
      <c r="R341" s="87" t="s">
        <v>6392</v>
      </c>
      <c r="S341" s="87" t="s">
        <v>6351</v>
      </c>
      <c r="T341" s="87" t="s">
        <v>6645</v>
      </c>
    </row>
    <row r="342" spans="1:20" ht="15.75" customHeight="1">
      <c r="A342" s="9" t="s">
        <v>2968</v>
      </c>
      <c r="B342" s="9" t="s">
        <v>7505</v>
      </c>
      <c r="C342" s="9" t="s">
        <v>6671</v>
      </c>
      <c r="D342" s="87" t="s">
        <v>6296</v>
      </c>
      <c r="E342" s="9" t="s">
        <v>6672</v>
      </c>
      <c r="F342" s="9" t="s">
        <v>439</v>
      </c>
      <c r="G342" s="9" t="s">
        <v>436</v>
      </c>
      <c r="H342" s="9" t="s">
        <v>440</v>
      </c>
      <c r="I342" s="87" t="s">
        <v>6405</v>
      </c>
      <c r="J342" s="87" t="s">
        <v>6346</v>
      </c>
      <c r="K342" s="87" t="s">
        <v>6346</v>
      </c>
      <c r="L342" s="87" t="s">
        <v>6240</v>
      </c>
      <c r="M342" s="87" t="s">
        <v>6490</v>
      </c>
      <c r="N342" s="9" t="s">
        <v>7506</v>
      </c>
      <c r="O342" s="87" t="s">
        <v>6346</v>
      </c>
      <c r="P342" s="9" t="s">
        <v>6243</v>
      </c>
      <c r="Q342" s="87" t="s">
        <v>6366</v>
      </c>
      <c r="R342" s="87" t="s">
        <v>6346</v>
      </c>
      <c r="S342" s="87" t="s">
        <v>6333</v>
      </c>
      <c r="T342" s="87" t="s">
        <v>6474</v>
      </c>
    </row>
    <row r="343" spans="1:20" ht="15.75" customHeight="1">
      <c r="A343" s="9" t="s">
        <v>2968</v>
      </c>
      <c r="B343" s="9" t="s">
        <v>7507</v>
      </c>
      <c r="C343" s="9" t="s">
        <v>6923</v>
      </c>
      <c r="D343" s="87" t="s">
        <v>6461</v>
      </c>
      <c r="E343" s="9" t="s">
        <v>6924</v>
      </c>
      <c r="F343" s="9" t="s">
        <v>6925</v>
      </c>
      <c r="G343" s="9" t="s">
        <v>383</v>
      </c>
      <c r="H343" s="9" t="s">
        <v>427</v>
      </c>
      <c r="I343" s="87" t="s">
        <v>6405</v>
      </c>
      <c r="J343" s="87" t="s">
        <v>6810</v>
      </c>
      <c r="K343" s="87" t="s">
        <v>6926</v>
      </c>
      <c r="L343" s="87" t="s">
        <v>6372</v>
      </c>
      <c r="M343" s="87" t="s">
        <v>6491</v>
      </c>
      <c r="N343" s="9" t="s">
        <v>7084</v>
      </c>
      <c r="O343" s="87" t="s">
        <v>6295</v>
      </c>
      <c r="P343" s="9" t="s">
        <v>6243</v>
      </c>
      <c r="Q343" s="87" t="s">
        <v>6372</v>
      </c>
      <c r="R343" s="87" t="s">
        <v>6810</v>
      </c>
      <c r="S343" s="87" t="s">
        <v>4953</v>
      </c>
      <c r="T343" s="87" t="s">
        <v>6455</v>
      </c>
    </row>
    <row r="344" spans="1:20" ht="15.75" customHeight="1">
      <c r="A344" s="9" t="s">
        <v>2968</v>
      </c>
      <c r="B344" s="9" t="s">
        <v>7507</v>
      </c>
      <c r="C344" s="9" t="s">
        <v>7228</v>
      </c>
      <c r="D344" s="87" t="s">
        <v>6237</v>
      </c>
      <c r="E344" s="9" t="s">
        <v>6924</v>
      </c>
      <c r="F344" s="9" t="s">
        <v>11</v>
      </c>
      <c r="G344" s="9" t="s">
        <v>383</v>
      </c>
      <c r="H344" s="9" t="s">
        <v>426</v>
      </c>
      <c r="I344" s="87" t="s">
        <v>6405</v>
      </c>
      <c r="J344" s="87" t="s">
        <v>6405</v>
      </c>
      <c r="K344" s="87" t="s">
        <v>6405</v>
      </c>
      <c r="L344" s="87" t="s">
        <v>6397</v>
      </c>
      <c r="M344" s="87" t="s">
        <v>6492</v>
      </c>
      <c r="N344" s="9" t="s">
        <v>7289</v>
      </c>
      <c r="O344" s="87" t="s">
        <v>6240</v>
      </c>
      <c r="P344" s="9" t="s">
        <v>6243</v>
      </c>
      <c r="Q344" s="87" t="s">
        <v>6397</v>
      </c>
      <c r="R344" s="87" t="s">
        <v>6405</v>
      </c>
      <c r="S344" s="87" t="s">
        <v>6284</v>
      </c>
      <c r="T344" s="87" t="s">
        <v>6341</v>
      </c>
    </row>
    <row r="345" spans="1:20" ht="15.75" customHeight="1">
      <c r="A345" s="9" t="s">
        <v>2968</v>
      </c>
      <c r="B345" s="9" t="s">
        <v>7508</v>
      </c>
      <c r="C345" s="9" t="s">
        <v>6923</v>
      </c>
      <c r="D345" s="87" t="s">
        <v>6461</v>
      </c>
      <c r="E345" s="9" t="s">
        <v>6924</v>
      </c>
      <c r="F345" s="9" t="s">
        <v>6925</v>
      </c>
      <c r="G345" s="9" t="s">
        <v>383</v>
      </c>
      <c r="H345" s="9" t="s">
        <v>427</v>
      </c>
      <c r="I345" s="87" t="s">
        <v>6405</v>
      </c>
      <c r="J345" s="87" t="s">
        <v>6810</v>
      </c>
      <c r="K345" s="87" t="s">
        <v>6931</v>
      </c>
      <c r="L345" s="87" t="s">
        <v>6372</v>
      </c>
      <c r="M345" s="87" t="s">
        <v>6492</v>
      </c>
      <c r="N345" s="9" t="s">
        <v>7034</v>
      </c>
      <c r="O345" s="87" t="s">
        <v>6239</v>
      </c>
      <c r="P345" s="9" t="s">
        <v>6243</v>
      </c>
      <c r="Q345" s="87" t="s">
        <v>3764</v>
      </c>
      <c r="R345" s="87" t="s">
        <v>6810</v>
      </c>
      <c r="S345" s="87" t="s">
        <v>7035</v>
      </c>
      <c r="T345" s="87" t="s">
        <v>6341</v>
      </c>
    </row>
    <row r="346" spans="1:20" ht="15.75" customHeight="1">
      <c r="A346" s="9" t="s">
        <v>2968</v>
      </c>
      <c r="B346" s="9" t="s">
        <v>7508</v>
      </c>
      <c r="C346" s="9" t="s">
        <v>7228</v>
      </c>
      <c r="D346" s="87" t="s">
        <v>6237</v>
      </c>
      <c r="E346" s="9" t="s">
        <v>6924</v>
      </c>
      <c r="F346" s="9" t="s">
        <v>11</v>
      </c>
      <c r="G346" s="9" t="s">
        <v>383</v>
      </c>
      <c r="H346" s="9" t="s">
        <v>426</v>
      </c>
      <c r="I346" s="87" t="s">
        <v>6405</v>
      </c>
      <c r="J346" s="87" t="s">
        <v>6264</v>
      </c>
      <c r="K346" s="87" t="s">
        <v>6264</v>
      </c>
      <c r="L346" s="87" t="s">
        <v>6397</v>
      </c>
      <c r="M346" s="87" t="s">
        <v>6495</v>
      </c>
      <c r="N346" s="9" t="s">
        <v>7300</v>
      </c>
      <c r="O346" s="87" t="s">
        <v>6313</v>
      </c>
      <c r="P346" s="9" t="s">
        <v>6243</v>
      </c>
      <c r="Q346" s="87" t="s">
        <v>6357</v>
      </c>
      <c r="R346" s="87" t="s">
        <v>6264</v>
      </c>
      <c r="S346" s="87" t="s">
        <v>6651</v>
      </c>
      <c r="T346" s="87" t="s">
        <v>6341</v>
      </c>
    </row>
    <row r="347" spans="1:20" ht="15.75" customHeight="1">
      <c r="A347" s="9" t="s">
        <v>2968</v>
      </c>
      <c r="B347" s="9" t="s">
        <v>7509</v>
      </c>
      <c r="C347" s="9" t="s">
        <v>6923</v>
      </c>
      <c r="D347" s="87" t="s">
        <v>6461</v>
      </c>
      <c r="E347" s="9" t="s">
        <v>6924</v>
      </c>
      <c r="F347" s="9" t="s">
        <v>6925</v>
      </c>
      <c r="G347" s="9" t="s">
        <v>383</v>
      </c>
      <c r="H347" s="9" t="s">
        <v>427</v>
      </c>
      <c r="I347" s="87" t="s">
        <v>6405</v>
      </c>
      <c r="J347" s="87" t="s">
        <v>6810</v>
      </c>
      <c r="K347" s="87" t="s">
        <v>6931</v>
      </c>
      <c r="L347" s="87" t="s">
        <v>6372</v>
      </c>
      <c r="M347" s="87" t="s">
        <v>6495</v>
      </c>
      <c r="N347" s="9" t="s">
        <v>7034</v>
      </c>
      <c r="O347" s="87" t="s">
        <v>6239</v>
      </c>
      <c r="P347" s="9" t="s">
        <v>6243</v>
      </c>
      <c r="Q347" s="87" t="s">
        <v>3764</v>
      </c>
      <c r="R347" s="87" t="s">
        <v>6810</v>
      </c>
      <c r="S347" s="87" t="s">
        <v>7035</v>
      </c>
      <c r="T347" s="87" t="s">
        <v>6341</v>
      </c>
    </row>
    <row r="348" spans="1:20" ht="15.75" customHeight="1">
      <c r="A348" s="9" t="s">
        <v>2968</v>
      </c>
      <c r="B348" s="9" t="s">
        <v>7509</v>
      </c>
      <c r="C348" s="9" t="s">
        <v>7228</v>
      </c>
      <c r="D348" s="87" t="s">
        <v>6237</v>
      </c>
      <c r="E348" s="9" t="s">
        <v>6924</v>
      </c>
      <c r="F348" s="9" t="s">
        <v>11</v>
      </c>
      <c r="G348" s="9" t="s">
        <v>383</v>
      </c>
      <c r="H348" s="9" t="s">
        <v>426</v>
      </c>
      <c r="I348" s="87" t="s">
        <v>6405</v>
      </c>
      <c r="J348" s="87" t="s">
        <v>6264</v>
      </c>
      <c r="K348" s="87" t="s">
        <v>6264</v>
      </c>
      <c r="L348" s="87" t="s">
        <v>6397</v>
      </c>
      <c r="M348" s="87" t="s">
        <v>6508</v>
      </c>
      <c r="N348" s="9" t="s">
        <v>7300</v>
      </c>
      <c r="O348" s="87" t="s">
        <v>6313</v>
      </c>
      <c r="P348" s="9" t="s">
        <v>6243</v>
      </c>
      <c r="Q348" s="87" t="s">
        <v>6357</v>
      </c>
      <c r="R348" s="87" t="s">
        <v>6264</v>
      </c>
      <c r="S348" s="87" t="s">
        <v>6651</v>
      </c>
      <c r="T348" s="87" t="s">
        <v>6341</v>
      </c>
    </row>
    <row r="349" spans="1:20" ht="15.75" customHeight="1">
      <c r="A349" s="9" t="s">
        <v>2968</v>
      </c>
      <c r="B349" s="9" t="s">
        <v>7510</v>
      </c>
      <c r="C349" s="9" t="s">
        <v>6923</v>
      </c>
      <c r="D349" s="87" t="s">
        <v>6461</v>
      </c>
      <c r="E349" s="9" t="s">
        <v>6924</v>
      </c>
      <c r="F349" s="9" t="s">
        <v>6925</v>
      </c>
      <c r="G349" s="9" t="s">
        <v>383</v>
      </c>
      <c r="H349" s="9" t="s">
        <v>427</v>
      </c>
      <c r="I349" s="87" t="s">
        <v>6405</v>
      </c>
      <c r="J349" s="87" t="s">
        <v>6810</v>
      </c>
      <c r="K349" s="87" t="s">
        <v>6939</v>
      </c>
      <c r="L349" s="87" t="s">
        <v>6372</v>
      </c>
      <c r="M349" s="87" t="s">
        <v>6508</v>
      </c>
      <c r="N349" s="9" t="s">
        <v>7031</v>
      </c>
      <c r="O349" s="87" t="s">
        <v>6526</v>
      </c>
      <c r="P349" s="9" t="s">
        <v>6243</v>
      </c>
      <c r="Q349" s="87" t="s">
        <v>4023</v>
      </c>
      <c r="R349" s="87" t="s">
        <v>6810</v>
      </c>
      <c r="S349" s="87" t="s">
        <v>6295</v>
      </c>
      <c r="T349" s="87" t="s">
        <v>6341</v>
      </c>
    </row>
    <row r="350" spans="1:20" ht="15.75" customHeight="1">
      <c r="A350" s="9" t="s">
        <v>2968</v>
      </c>
      <c r="B350" s="9" t="s">
        <v>7510</v>
      </c>
      <c r="C350" s="9" t="s">
        <v>7228</v>
      </c>
      <c r="D350" s="87" t="s">
        <v>6237</v>
      </c>
      <c r="E350" s="9" t="s">
        <v>6924</v>
      </c>
      <c r="F350" s="9" t="s">
        <v>11</v>
      </c>
      <c r="G350" s="9" t="s">
        <v>383</v>
      </c>
      <c r="H350" s="9" t="s">
        <v>426</v>
      </c>
      <c r="I350" s="87" t="s">
        <v>6405</v>
      </c>
      <c r="J350" s="87" t="s">
        <v>6334</v>
      </c>
      <c r="K350" s="87" t="s">
        <v>6334</v>
      </c>
      <c r="L350" s="87" t="s">
        <v>6397</v>
      </c>
      <c r="M350" s="87" t="s">
        <v>6510</v>
      </c>
      <c r="N350" s="9" t="s">
        <v>7268</v>
      </c>
      <c r="O350" s="87" t="s">
        <v>6290</v>
      </c>
      <c r="P350" s="9" t="s">
        <v>6243</v>
      </c>
      <c r="Q350" s="87" t="s">
        <v>6293</v>
      </c>
      <c r="R350" s="87" t="s">
        <v>6334</v>
      </c>
      <c r="S350" s="87" t="s">
        <v>6479</v>
      </c>
      <c r="T350" s="87" t="s">
        <v>6341</v>
      </c>
    </row>
    <row r="351" spans="1:20" ht="15.75" customHeight="1">
      <c r="A351" s="9" t="s">
        <v>3004</v>
      </c>
      <c r="B351" s="9" t="s">
        <v>7511</v>
      </c>
      <c r="C351" s="9" t="s">
        <v>6236</v>
      </c>
      <c r="D351" s="87" t="s">
        <v>6393</v>
      </c>
      <c r="E351" s="9" t="s">
        <v>431</v>
      </c>
      <c r="F351" s="9" t="s">
        <v>368</v>
      </c>
      <c r="G351" s="9" t="s">
        <v>436</v>
      </c>
      <c r="H351" s="9" t="s">
        <v>434</v>
      </c>
      <c r="I351" s="87" t="s">
        <v>6237</v>
      </c>
      <c r="J351" s="87" t="s">
        <v>6264</v>
      </c>
      <c r="K351" s="87" t="s">
        <v>6264</v>
      </c>
      <c r="L351" s="87" t="s">
        <v>6240</v>
      </c>
      <c r="M351" s="87" t="s">
        <v>6466</v>
      </c>
      <c r="N351" s="9" t="s">
        <v>7512</v>
      </c>
      <c r="O351" s="87" t="s">
        <v>6264</v>
      </c>
      <c r="P351" s="9" t="s">
        <v>6243</v>
      </c>
      <c r="Q351" s="87" t="s">
        <v>6313</v>
      </c>
      <c r="R351" s="87" t="s">
        <v>6264</v>
      </c>
      <c r="S351" s="87" t="s">
        <v>6326</v>
      </c>
      <c r="T351" s="87" t="s">
        <v>6440</v>
      </c>
    </row>
    <row r="352" spans="1:20" ht="15.75" customHeight="1">
      <c r="A352" s="9" t="s">
        <v>3004</v>
      </c>
      <c r="B352" s="9" t="s">
        <v>7515</v>
      </c>
      <c r="C352" s="9" t="s">
        <v>6923</v>
      </c>
      <c r="D352" s="87" t="s">
        <v>6327</v>
      </c>
      <c r="E352" s="9" t="s">
        <v>6924</v>
      </c>
      <c r="F352" s="9" t="s">
        <v>6925</v>
      </c>
      <c r="G352" s="9" t="s">
        <v>383</v>
      </c>
      <c r="H352" s="9" t="s">
        <v>444</v>
      </c>
      <c r="I352" s="87" t="s">
        <v>6405</v>
      </c>
      <c r="J352" s="87" t="s">
        <v>6405</v>
      </c>
      <c r="K352" s="87" t="s">
        <v>6926</v>
      </c>
      <c r="L352" s="87" t="s">
        <v>6416</v>
      </c>
      <c r="M352" s="87" t="s">
        <v>6475</v>
      </c>
      <c r="N352" s="9" t="s">
        <v>7916</v>
      </c>
      <c r="O352" s="87" t="s">
        <v>6414</v>
      </c>
      <c r="P352" s="9" t="s">
        <v>6243</v>
      </c>
      <c r="Q352" s="87" t="s">
        <v>6416</v>
      </c>
      <c r="R352" s="87" t="s">
        <v>6405</v>
      </c>
      <c r="S352" s="87" t="s">
        <v>6357</v>
      </c>
      <c r="T352" s="87" t="s">
        <v>6284</v>
      </c>
    </row>
    <row r="353" spans="1:20" ht="15.75" customHeight="1">
      <c r="A353" s="9" t="s">
        <v>3004</v>
      </c>
      <c r="B353" s="9" t="s">
        <v>7513</v>
      </c>
      <c r="C353" s="9" t="s">
        <v>6671</v>
      </c>
      <c r="D353" s="87" t="s">
        <v>6296</v>
      </c>
      <c r="E353" s="9" t="s">
        <v>6672</v>
      </c>
      <c r="F353" s="9" t="s">
        <v>439</v>
      </c>
      <c r="G353" s="9" t="s">
        <v>436</v>
      </c>
      <c r="H353" s="9" t="s">
        <v>440</v>
      </c>
      <c r="I353" s="87" t="s">
        <v>6405</v>
      </c>
      <c r="J353" s="87" t="s">
        <v>6405</v>
      </c>
      <c r="K353" s="87" t="s">
        <v>6405</v>
      </c>
      <c r="L353" s="87" t="s">
        <v>6240</v>
      </c>
      <c r="M353" s="87" t="s">
        <v>6475</v>
      </c>
      <c r="N353" s="9" t="s">
        <v>7514</v>
      </c>
      <c r="O353" s="87" t="s">
        <v>6405</v>
      </c>
      <c r="P353" s="9" t="s">
        <v>6243</v>
      </c>
      <c r="Q353" s="87" t="s">
        <v>6240</v>
      </c>
      <c r="R353" s="87" t="s">
        <v>6405</v>
      </c>
      <c r="S353" s="87" t="s">
        <v>6306</v>
      </c>
      <c r="T353" s="87" t="s">
        <v>6306</v>
      </c>
    </row>
    <row r="354" spans="1:20" ht="15.75" customHeight="1">
      <c r="A354" s="9" t="s">
        <v>3004</v>
      </c>
      <c r="B354" s="9" t="s">
        <v>7515</v>
      </c>
      <c r="C354" s="9" t="s">
        <v>7228</v>
      </c>
      <c r="D354" s="87" t="s">
        <v>6290</v>
      </c>
      <c r="E354" s="9" t="s">
        <v>6924</v>
      </c>
      <c r="F354" s="9" t="s">
        <v>11</v>
      </c>
      <c r="G354" s="9" t="s">
        <v>383</v>
      </c>
      <c r="H354" s="9" t="s">
        <v>426</v>
      </c>
      <c r="I354" s="87" t="s">
        <v>6405</v>
      </c>
      <c r="J354" s="87" t="s">
        <v>6405</v>
      </c>
      <c r="K354" s="87" t="s">
        <v>6405</v>
      </c>
      <c r="L354" s="87" t="s">
        <v>6445</v>
      </c>
      <c r="M354" s="87" t="s">
        <v>6481</v>
      </c>
      <c r="N354" s="9" t="s">
        <v>7917</v>
      </c>
      <c r="O354" s="87" t="s">
        <v>6642</v>
      </c>
      <c r="P354" s="9" t="s">
        <v>6243</v>
      </c>
      <c r="Q354" s="87" t="s">
        <v>6445</v>
      </c>
      <c r="R354" s="87" t="s">
        <v>6405</v>
      </c>
      <c r="S354" s="87" t="s">
        <v>6280</v>
      </c>
      <c r="T354" s="87" t="s">
        <v>6294</v>
      </c>
    </row>
    <row r="355" spans="1:20" ht="15.75" customHeight="1">
      <c r="A355" s="9" t="s">
        <v>2883</v>
      </c>
      <c r="B355" s="9" t="s">
        <v>7517</v>
      </c>
      <c r="C355" s="9" t="s">
        <v>6236</v>
      </c>
      <c r="D355" s="87" t="s">
        <v>6393</v>
      </c>
      <c r="E355" s="9" t="s">
        <v>431</v>
      </c>
      <c r="F355" s="9" t="s">
        <v>368</v>
      </c>
      <c r="G355" s="9" t="s">
        <v>436</v>
      </c>
      <c r="H355" s="9" t="s">
        <v>434</v>
      </c>
      <c r="I355" s="87" t="s">
        <v>6237</v>
      </c>
      <c r="J355" s="87" t="s">
        <v>6334</v>
      </c>
      <c r="K355" s="87" t="s">
        <v>6334</v>
      </c>
      <c r="L355" s="87" t="s">
        <v>6240</v>
      </c>
      <c r="M355" s="87" t="s">
        <v>6466</v>
      </c>
      <c r="N355" s="9" t="s">
        <v>7518</v>
      </c>
      <c r="O355" s="87" t="s">
        <v>6334</v>
      </c>
      <c r="P355" s="9" t="s">
        <v>6243</v>
      </c>
      <c r="Q355" s="87" t="s">
        <v>6290</v>
      </c>
      <c r="R355" s="87" t="s">
        <v>6334</v>
      </c>
      <c r="S355" s="87" t="s">
        <v>6445</v>
      </c>
      <c r="T355" s="87" t="s">
        <v>6360</v>
      </c>
    </row>
    <row r="356" spans="1:20" ht="15.75" customHeight="1">
      <c r="A356" s="9" t="s">
        <v>2883</v>
      </c>
      <c r="B356" s="9" t="s">
        <v>7521</v>
      </c>
      <c r="C356" s="9" t="s">
        <v>6923</v>
      </c>
      <c r="D356" s="87" t="s">
        <v>6327</v>
      </c>
      <c r="E356" s="9" t="s">
        <v>6924</v>
      </c>
      <c r="F356" s="9" t="s">
        <v>6925</v>
      </c>
      <c r="G356" s="9" t="s">
        <v>383</v>
      </c>
      <c r="H356" s="9" t="s">
        <v>444</v>
      </c>
      <c r="I356" s="87" t="s">
        <v>6405</v>
      </c>
      <c r="J356" s="87" t="s">
        <v>6405</v>
      </c>
      <c r="K356" s="87" t="s">
        <v>6926</v>
      </c>
      <c r="L356" s="87" t="s">
        <v>6416</v>
      </c>
      <c r="M356" s="87" t="s">
        <v>6475</v>
      </c>
      <c r="N356" s="9" t="s">
        <v>7918</v>
      </c>
      <c r="O356" s="87" t="s">
        <v>6414</v>
      </c>
      <c r="P356" s="9" t="s">
        <v>6243</v>
      </c>
      <c r="Q356" s="87" t="s">
        <v>6416</v>
      </c>
      <c r="R356" s="87" t="s">
        <v>6405</v>
      </c>
      <c r="S356" s="87" t="s">
        <v>6430</v>
      </c>
      <c r="T356" s="87" t="s">
        <v>6619</v>
      </c>
    </row>
    <row r="357" spans="1:20" ht="15.75" customHeight="1">
      <c r="A357" s="9" t="s">
        <v>2883</v>
      </c>
      <c r="B357" s="9" t="s">
        <v>7519</v>
      </c>
      <c r="C357" s="9" t="s">
        <v>6671</v>
      </c>
      <c r="D357" s="87" t="s">
        <v>6296</v>
      </c>
      <c r="E357" s="9" t="s">
        <v>6672</v>
      </c>
      <c r="F357" s="9" t="s">
        <v>439</v>
      </c>
      <c r="G357" s="9" t="s">
        <v>436</v>
      </c>
      <c r="H357" s="9" t="s">
        <v>440</v>
      </c>
      <c r="I357" s="87" t="s">
        <v>6405</v>
      </c>
      <c r="J357" s="87" t="s">
        <v>6405</v>
      </c>
      <c r="K357" s="87" t="s">
        <v>6405</v>
      </c>
      <c r="L357" s="87" t="s">
        <v>6240</v>
      </c>
      <c r="M357" s="87" t="s">
        <v>6475</v>
      </c>
      <c r="N357" s="9" t="s">
        <v>7520</v>
      </c>
      <c r="O357" s="87" t="s">
        <v>6405</v>
      </c>
      <c r="P357" s="9" t="s">
        <v>6243</v>
      </c>
      <c r="Q357" s="87" t="s">
        <v>6240</v>
      </c>
      <c r="R357" s="87" t="s">
        <v>6405</v>
      </c>
      <c r="S357" s="87" t="s">
        <v>6443</v>
      </c>
      <c r="T357" s="87" t="s">
        <v>6443</v>
      </c>
    </row>
    <row r="358" spans="1:20" ht="15.75" customHeight="1">
      <c r="A358" s="9" t="s">
        <v>2883</v>
      </c>
      <c r="B358" s="9" t="s">
        <v>7521</v>
      </c>
      <c r="C358" s="9" t="s">
        <v>7228</v>
      </c>
      <c r="D358" s="87" t="s">
        <v>6290</v>
      </c>
      <c r="E358" s="9" t="s">
        <v>6924</v>
      </c>
      <c r="F358" s="9" t="s">
        <v>11</v>
      </c>
      <c r="G358" s="9" t="s">
        <v>383</v>
      </c>
      <c r="H358" s="9" t="s">
        <v>426</v>
      </c>
      <c r="I358" s="87" t="s">
        <v>6405</v>
      </c>
      <c r="J358" s="87" t="s">
        <v>6405</v>
      </c>
      <c r="K358" s="87" t="s">
        <v>6405</v>
      </c>
      <c r="L358" s="87" t="s">
        <v>6445</v>
      </c>
      <c r="M358" s="87" t="s">
        <v>6481</v>
      </c>
      <c r="N358" s="9" t="s">
        <v>7919</v>
      </c>
      <c r="O358" s="87" t="s">
        <v>6642</v>
      </c>
      <c r="P358" s="9" t="s">
        <v>6243</v>
      </c>
      <c r="Q358" s="87" t="s">
        <v>6445</v>
      </c>
      <c r="R358" s="87" t="s">
        <v>6405</v>
      </c>
      <c r="S358" s="87" t="s">
        <v>6421</v>
      </c>
      <c r="T358" s="87" t="s">
        <v>6570</v>
      </c>
    </row>
    <row r="359" spans="1:20" ht="15.75" customHeight="1">
      <c r="A359" s="9" t="s">
        <v>2979</v>
      </c>
      <c r="B359" s="9" t="s">
        <v>7523</v>
      </c>
      <c r="C359" s="9" t="s">
        <v>6236</v>
      </c>
      <c r="D359" s="87" t="s">
        <v>6393</v>
      </c>
      <c r="E359" s="9" t="s">
        <v>431</v>
      </c>
      <c r="F359" s="9" t="s">
        <v>368</v>
      </c>
      <c r="G359" s="9" t="s">
        <v>436</v>
      </c>
      <c r="H359" s="9" t="s">
        <v>434</v>
      </c>
      <c r="I359" s="87" t="s">
        <v>6264</v>
      </c>
      <c r="J359" s="87" t="s">
        <v>6273</v>
      </c>
      <c r="K359" s="87" t="s">
        <v>6240</v>
      </c>
      <c r="L359" s="87" t="s">
        <v>6240</v>
      </c>
      <c r="M359" s="87" t="s">
        <v>6470</v>
      </c>
      <c r="N359" s="9" t="s">
        <v>7192</v>
      </c>
      <c r="O359" s="87" t="s">
        <v>6240</v>
      </c>
      <c r="P359" s="9" t="s">
        <v>6243</v>
      </c>
      <c r="Q359" s="87" t="s">
        <v>6397</v>
      </c>
      <c r="R359" s="87" t="s">
        <v>6273</v>
      </c>
      <c r="S359" s="87" t="s">
        <v>6327</v>
      </c>
      <c r="T359" s="87" t="s">
        <v>6421</v>
      </c>
    </row>
    <row r="360" spans="1:20" ht="15.75" customHeight="1">
      <c r="A360" s="9" t="s">
        <v>2979</v>
      </c>
      <c r="B360" s="9" t="s">
        <v>7524</v>
      </c>
      <c r="C360" s="9" t="s">
        <v>6923</v>
      </c>
      <c r="D360" s="87" t="s">
        <v>6327</v>
      </c>
      <c r="E360" s="9" t="s">
        <v>6924</v>
      </c>
      <c r="F360" s="9" t="s">
        <v>6925</v>
      </c>
      <c r="G360" s="9" t="s">
        <v>383</v>
      </c>
      <c r="H360" s="9" t="s">
        <v>444</v>
      </c>
      <c r="I360" s="87" t="s">
        <v>6405</v>
      </c>
      <c r="J360" s="87" t="s">
        <v>6334</v>
      </c>
      <c r="K360" s="87" t="s">
        <v>6939</v>
      </c>
      <c r="L360" s="87" t="s">
        <v>6278</v>
      </c>
      <c r="M360" s="87" t="s">
        <v>6471</v>
      </c>
      <c r="N360" s="9" t="s">
        <v>7920</v>
      </c>
      <c r="O360" s="87" t="s">
        <v>6293</v>
      </c>
      <c r="P360" s="9" t="s">
        <v>6243</v>
      </c>
      <c r="Q360" s="87" t="s">
        <v>4828</v>
      </c>
      <c r="R360" s="87" t="s">
        <v>6334</v>
      </c>
      <c r="S360" s="87" t="s">
        <v>4953</v>
      </c>
      <c r="T360" s="87" t="s">
        <v>6440</v>
      </c>
    </row>
    <row r="361" spans="1:20" ht="15.75" customHeight="1">
      <c r="A361" s="9" t="s">
        <v>2979</v>
      </c>
      <c r="B361" s="9" t="s">
        <v>7523</v>
      </c>
      <c r="C361" s="9" t="s">
        <v>6236</v>
      </c>
      <c r="D361" s="87" t="s">
        <v>6393</v>
      </c>
      <c r="E361" s="9" t="s">
        <v>431</v>
      </c>
      <c r="F361" s="9" t="s">
        <v>368</v>
      </c>
      <c r="G361" s="9" t="s">
        <v>436</v>
      </c>
      <c r="H361" s="9" t="s">
        <v>434</v>
      </c>
      <c r="I361" s="87" t="s">
        <v>6264</v>
      </c>
      <c r="J361" s="87" t="s">
        <v>6273</v>
      </c>
      <c r="K361" s="87" t="s">
        <v>6346</v>
      </c>
      <c r="L361" s="87" t="s">
        <v>6240</v>
      </c>
      <c r="M361" s="87" t="s">
        <v>6471</v>
      </c>
      <c r="N361" s="9" t="s">
        <v>6972</v>
      </c>
      <c r="O361" s="87" t="s">
        <v>6346</v>
      </c>
      <c r="P361" s="9" t="s">
        <v>6243</v>
      </c>
      <c r="Q361" s="87" t="s">
        <v>6366</v>
      </c>
      <c r="R361" s="87" t="s">
        <v>6273</v>
      </c>
      <c r="S361" s="87" t="s">
        <v>5381</v>
      </c>
      <c r="T361" s="87" t="s">
        <v>6645</v>
      </c>
    </row>
    <row r="362" spans="1:20" ht="15.75" customHeight="1">
      <c r="A362" s="9" t="s">
        <v>2979</v>
      </c>
      <c r="B362" s="9" t="s">
        <v>7524</v>
      </c>
      <c r="C362" s="9" t="s">
        <v>7228</v>
      </c>
      <c r="D362" s="87" t="s">
        <v>6290</v>
      </c>
      <c r="E362" s="9" t="s">
        <v>6924</v>
      </c>
      <c r="F362" s="9" t="s">
        <v>11</v>
      </c>
      <c r="G362" s="9" t="s">
        <v>383</v>
      </c>
      <c r="H362" s="9" t="s">
        <v>426</v>
      </c>
      <c r="I362" s="87" t="s">
        <v>6405</v>
      </c>
      <c r="J362" s="87" t="s">
        <v>6334</v>
      </c>
      <c r="K362" s="87" t="s">
        <v>6334</v>
      </c>
      <c r="L362" s="87" t="s">
        <v>6484</v>
      </c>
      <c r="M362" s="87" t="s">
        <v>6475</v>
      </c>
      <c r="N362" s="9" t="s">
        <v>7921</v>
      </c>
      <c r="O362" s="87" t="s">
        <v>6296</v>
      </c>
      <c r="P362" s="9" t="s">
        <v>6243</v>
      </c>
      <c r="Q362" s="87" t="s">
        <v>6287</v>
      </c>
      <c r="R362" s="87" t="s">
        <v>6334</v>
      </c>
      <c r="S362" s="87" t="s">
        <v>6299</v>
      </c>
      <c r="T362" s="87" t="s">
        <v>6404</v>
      </c>
    </row>
    <row r="363" spans="1:20" ht="15.75" customHeight="1">
      <c r="A363" s="9" t="s">
        <v>2825</v>
      </c>
      <c r="B363" s="9" t="s">
        <v>7528</v>
      </c>
      <c r="C363" s="9" t="s">
        <v>6923</v>
      </c>
      <c r="D363" s="87" t="s">
        <v>6264</v>
      </c>
      <c r="E363" s="9" t="s">
        <v>6924</v>
      </c>
      <c r="F363" s="9" t="s">
        <v>6925</v>
      </c>
      <c r="G363" s="9" t="s">
        <v>383</v>
      </c>
      <c r="H363" s="9" t="s">
        <v>449</v>
      </c>
      <c r="I363" s="87" t="s">
        <v>6405</v>
      </c>
      <c r="J363" s="87" t="s">
        <v>6405</v>
      </c>
      <c r="K363" s="87" t="s">
        <v>6926</v>
      </c>
      <c r="L363" s="87" t="s">
        <v>6283</v>
      </c>
      <c r="M363" s="87" t="s">
        <v>6513</v>
      </c>
      <c r="N363" s="9" t="s">
        <v>7922</v>
      </c>
      <c r="O363" s="87" t="s">
        <v>6280</v>
      </c>
      <c r="P363" s="9" t="s">
        <v>6243</v>
      </c>
      <c r="Q363" s="87" t="s">
        <v>6283</v>
      </c>
      <c r="R363" s="87" t="s">
        <v>6405</v>
      </c>
      <c r="S363" s="87" t="s">
        <v>4953</v>
      </c>
      <c r="T363" s="87" t="s">
        <v>6260</v>
      </c>
    </row>
    <row r="364" spans="1:20" ht="15.75" customHeight="1">
      <c r="A364" s="9" t="s">
        <v>2825</v>
      </c>
      <c r="B364" s="9" t="s">
        <v>7526</v>
      </c>
      <c r="C364" s="9" t="s">
        <v>6236</v>
      </c>
      <c r="D364" s="87" t="s">
        <v>6393</v>
      </c>
      <c r="E364" s="9" t="s">
        <v>431</v>
      </c>
      <c r="F364" s="9" t="s">
        <v>368</v>
      </c>
      <c r="G364" s="9" t="s">
        <v>436</v>
      </c>
      <c r="H364" s="9" t="s">
        <v>434</v>
      </c>
      <c r="I364" s="87" t="s">
        <v>6405</v>
      </c>
      <c r="J364" s="87" t="s">
        <v>6273</v>
      </c>
      <c r="K364" s="87" t="s">
        <v>6273</v>
      </c>
      <c r="L364" s="87" t="s">
        <v>6240</v>
      </c>
      <c r="M364" s="87" t="s">
        <v>6513</v>
      </c>
      <c r="N364" s="9" t="s">
        <v>7527</v>
      </c>
      <c r="O364" s="87" t="s">
        <v>6273</v>
      </c>
      <c r="P364" s="9" t="s">
        <v>6243</v>
      </c>
      <c r="Q364" s="87" t="s">
        <v>6276</v>
      </c>
      <c r="R364" s="87" t="s">
        <v>6273</v>
      </c>
      <c r="S364" s="87" t="s">
        <v>6370</v>
      </c>
      <c r="T364" s="87" t="s">
        <v>6284</v>
      </c>
    </row>
    <row r="365" spans="1:20" ht="15.75" customHeight="1">
      <c r="A365" s="9" t="s">
        <v>2825</v>
      </c>
      <c r="B365" s="9" t="s">
        <v>7528</v>
      </c>
      <c r="C365" s="9" t="s">
        <v>7228</v>
      </c>
      <c r="D365" s="87" t="s">
        <v>6405</v>
      </c>
      <c r="E365" s="9" t="s">
        <v>6924</v>
      </c>
      <c r="F365" s="9" t="s">
        <v>11</v>
      </c>
      <c r="G365" s="9" t="s">
        <v>383</v>
      </c>
      <c r="H365" s="9" t="s">
        <v>426</v>
      </c>
      <c r="I365" s="87" t="s">
        <v>6405</v>
      </c>
      <c r="J365" s="87" t="s">
        <v>6405</v>
      </c>
      <c r="K365" s="87" t="s">
        <v>6405</v>
      </c>
      <c r="L365" s="87" t="s">
        <v>6397</v>
      </c>
      <c r="M365" s="87" t="s">
        <v>6517</v>
      </c>
      <c r="N365" s="9" t="s">
        <v>7870</v>
      </c>
      <c r="O365" s="87" t="s">
        <v>6240</v>
      </c>
      <c r="P365" s="9" t="s">
        <v>6243</v>
      </c>
      <c r="Q365" s="87" t="s">
        <v>6397</v>
      </c>
      <c r="R365" s="87" t="s">
        <v>6405</v>
      </c>
      <c r="S365" s="87" t="s">
        <v>6314</v>
      </c>
      <c r="T365" s="87" t="s">
        <v>6497</v>
      </c>
    </row>
    <row r="366" spans="1:20" ht="15.75" customHeight="1">
      <c r="A366" s="9" t="s">
        <v>3031</v>
      </c>
      <c r="B366" s="9" t="s">
        <v>7531</v>
      </c>
      <c r="C366" s="9" t="s">
        <v>6236</v>
      </c>
      <c r="D366" s="87" t="s">
        <v>6393</v>
      </c>
      <c r="E366" s="9" t="s">
        <v>431</v>
      </c>
      <c r="F366" s="9" t="s">
        <v>368</v>
      </c>
      <c r="G366" s="9" t="s">
        <v>436</v>
      </c>
      <c r="H366" s="9" t="s">
        <v>434</v>
      </c>
      <c r="I366" s="87" t="s">
        <v>6237</v>
      </c>
      <c r="J366" s="87" t="s">
        <v>6293</v>
      </c>
      <c r="K366" s="87" t="s">
        <v>6323</v>
      </c>
      <c r="L366" s="87" t="s">
        <v>6240</v>
      </c>
      <c r="M366" s="87" t="s">
        <v>6511</v>
      </c>
      <c r="N366" s="9" t="s">
        <v>7532</v>
      </c>
      <c r="O366" s="87" t="s">
        <v>6323</v>
      </c>
      <c r="P366" s="9" t="s">
        <v>6243</v>
      </c>
      <c r="Q366" s="87" t="s">
        <v>5374</v>
      </c>
      <c r="R366" s="87" t="s">
        <v>6293</v>
      </c>
      <c r="S366" s="87" t="s">
        <v>6327</v>
      </c>
      <c r="T366" s="87" t="s">
        <v>6484</v>
      </c>
    </row>
    <row r="367" spans="1:20" ht="15.75" customHeight="1">
      <c r="A367" s="9" t="s">
        <v>3031</v>
      </c>
      <c r="B367" s="9" t="s">
        <v>7531</v>
      </c>
      <c r="C367" s="9" t="s">
        <v>6236</v>
      </c>
      <c r="D367" s="87" t="s">
        <v>6393</v>
      </c>
      <c r="E367" s="9" t="s">
        <v>431</v>
      </c>
      <c r="F367" s="9" t="s">
        <v>368</v>
      </c>
      <c r="G367" s="9" t="s">
        <v>436</v>
      </c>
      <c r="H367" s="9" t="s">
        <v>434</v>
      </c>
      <c r="I367" s="87" t="s">
        <v>6237</v>
      </c>
      <c r="J367" s="87" t="s">
        <v>6293</v>
      </c>
      <c r="K367" s="87" t="s">
        <v>6421</v>
      </c>
      <c r="L367" s="87" t="s">
        <v>6240</v>
      </c>
      <c r="M367" s="87" t="s">
        <v>6513</v>
      </c>
      <c r="N367" s="9" t="s">
        <v>7214</v>
      </c>
      <c r="O367" s="87" t="s">
        <v>6421</v>
      </c>
      <c r="P367" s="9" t="s">
        <v>6243</v>
      </c>
      <c r="Q367" s="87" t="s">
        <v>6316</v>
      </c>
      <c r="R367" s="87" t="s">
        <v>6293</v>
      </c>
      <c r="S367" s="87" t="s">
        <v>6532</v>
      </c>
      <c r="T367" s="87" t="s">
        <v>6645</v>
      </c>
    </row>
    <row r="368" spans="1:20" ht="15.75" customHeight="1">
      <c r="A368" s="9" t="s">
        <v>3031</v>
      </c>
      <c r="B368" s="9" t="s">
        <v>7533</v>
      </c>
      <c r="C368" s="9" t="s">
        <v>6671</v>
      </c>
      <c r="D368" s="87" t="s">
        <v>6296</v>
      </c>
      <c r="E368" s="9" t="s">
        <v>6672</v>
      </c>
      <c r="F368" s="9" t="s">
        <v>439</v>
      </c>
      <c r="G368" s="9" t="s">
        <v>436</v>
      </c>
      <c r="H368" s="9" t="s">
        <v>440</v>
      </c>
      <c r="I368" s="87" t="s">
        <v>6405</v>
      </c>
      <c r="J368" s="87" t="s">
        <v>6255</v>
      </c>
      <c r="K368" s="87" t="s">
        <v>6255</v>
      </c>
      <c r="L368" s="87" t="s">
        <v>6240</v>
      </c>
      <c r="M368" s="87" t="s">
        <v>6517</v>
      </c>
      <c r="N368" s="9" t="s">
        <v>7534</v>
      </c>
      <c r="O368" s="87" t="s">
        <v>6255</v>
      </c>
      <c r="P368" s="9" t="s">
        <v>6243</v>
      </c>
      <c r="Q368" s="87" t="s">
        <v>4947</v>
      </c>
      <c r="R368" s="87" t="s">
        <v>6255</v>
      </c>
      <c r="S368" s="87" t="s">
        <v>6268</v>
      </c>
      <c r="T368" s="87" t="s">
        <v>6250</v>
      </c>
    </row>
    <row r="369" spans="1:20" ht="15.75" customHeight="1">
      <c r="A369" s="9" t="s">
        <v>3031</v>
      </c>
      <c r="B369" s="9" t="s">
        <v>7535</v>
      </c>
      <c r="C369" s="9" t="s">
        <v>6923</v>
      </c>
      <c r="D369" s="87" t="s">
        <v>6461</v>
      </c>
      <c r="E369" s="9" t="s">
        <v>6924</v>
      </c>
      <c r="F369" s="9" t="s">
        <v>6925</v>
      </c>
      <c r="G369" s="9" t="s">
        <v>383</v>
      </c>
      <c r="H369" s="9" t="s">
        <v>427</v>
      </c>
      <c r="I369" s="87" t="s">
        <v>6405</v>
      </c>
      <c r="J369" s="87" t="s">
        <v>6240</v>
      </c>
      <c r="K369" s="87" t="s">
        <v>6939</v>
      </c>
      <c r="L369" s="87" t="s">
        <v>6594</v>
      </c>
      <c r="M369" s="87" t="s">
        <v>6530</v>
      </c>
      <c r="N369" s="9" t="s">
        <v>6981</v>
      </c>
      <c r="O369" s="87" t="s">
        <v>6300</v>
      </c>
      <c r="P369" s="9" t="s">
        <v>6243</v>
      </c>
      <c r="Q369" s="87" t="s">
        <v>3861</v>
      </c>
      <c r="R369" s="87" t="s">
        <v>6240</v>
      </c>
      <c r="S369" s="87" t="s">
        <v>6296</v>
      </c>
      <c r="T369" s="87" t="s">
        <v>6341</v>
      </c>
    </row>
    <row r="370" spans="1:20" ht="15.75" customHeight="1">
      <c r="A370" s="9" t="s">
        <v>3031</v>
      </c>
      <c r="B370" s="9" t="s">
        <v>7535</v>
      </c>
      <c r="C370" s="9" t="s">
        <v>7228</v>
      </c>
      <c r="D370" s="87" t="s">
        <v>6237</v>
      </c>
      <c r="E370" s="9" t="s">
        <v>6924</v>
      </c>
      <c r="F370" s="9" t="s">
        <v>11</v>
      </c>
      <c r="G370" s="9" t="s">
        <v>383</v>
      </c>
      <c r="H370" s="9" t="s">
        <v>426</v>
      </c>
      <c r="I370" s="87" t="s">
        <v>6405</v>
      </c>
      <c r="J370" s="87" t="s">
        <v>6334</v>
      </c>
      <c r="K370" s="87" t="s">
        <v>6334</v>
      </c>
      <c r="L370" s="87" t="s">
        <v>6255</v>
      </c>
      <c r="M370" s="87" t="s">
        <v>6537</v>
      </c>
      <c r="N370" s="9" t="s">
        <v>7245</v>
      </c>
      <c r="O370" s="87" t="s">
        <v>6327</v>
      </c>
      <c r="P370" s="9" t="s">
        <v>6243</v>
      </c>
      <c r="Q370" s="87" t="s">
        <v>6392</v>
      </c>
      <c r="R370" s="87" t="s">
        <v>6334</v>
      </c>
      <c r="S370" s="87" t="s">
        <v>6500</v>
      </c>
      <c r="T370" s="87" t="s">
        <v>6341</v>
      </c>
    </row>
    <row r="371" spans="1:20" ht="15.75" customHeight="1">
      <c r="A371" s="9" t="s">
        <v>3031</v>
      </c>
      <c r="B371" s="9" t="s">
        <v>7538</v>
      </c>
      <c r="C371" s="9" t="s">
        <v>6923</v>
      </c>
      <c r="D371" s="87" t="s">
        <v>6461</v>
      </c>
      <c r="E371" s="9" t="s">
        <v>6924</v>
      </c>
      <c r="F371" s="9" t="s">
        <v>6925</v>
      </c>
      <c r="G371" s="9" t="s">
        <v>383</v>
      </c>
      <c r="H371" s="9" t="s">
        <v>427</v>
      </c>
      <c r="I371" s="87" t="s">
        <v>6405</v>
      </c>
      <c r="J371" s="87" t="s">
        <v>6240</v>
      </c>
      <c r="K371" s="87" t="s">
        <v>6939</v>
      </c>
      <c r="L371" s="87" t="s">
        <v>6594</v>
      </c>
      <c r="M371" s="87" t="s">
        <v>6537</v>
      </c>
      <c r="N371" s="9" t="s">
        <v>6981</v>
      </c>
      <c r="O371" s="87" t="s">
        <v>6300</v>
      </c>
      <c r="P371" s="9" t="s">
        <v>6243</v>
      </c>
      <c r="Q371" s="87" t="s">
        <v>3861</v>
      </c>
      <c r="R371" s="87" t="s">
        <v>6240</v>
      </c>
      <c r="S371" s="87" t="s">
        <v>6296</v>
      </c>
      <c r="T371" s="87" t="s">
        <v>6341</v>
      </c>
    </row>
    <row r="372" spans="1:20" ht="15.75" customHeight="1">
      <c r="A372" s="9" t="s">
        <v>3031</v>
      </c>
      <c r="B372" s="9" t="s">
        <v>7538</v>
      </c>
      <c r="C372" s="9" t="s">
        <v>7228</v>
      </c>
      <c r="D372" s="87" t="s">
        <v>6237</v>
      </c>
      <c r="E372" s="9" t="s">
        <v>6924</v>
      </c>
      <c r="F372" s="9" t="s">
        <v>11</v>
      </c>
      <c r="G372" s="9" t="s">
        <v>383</v>
      </c>
      <c r="H372" s="9" t="s">
        <v>426</v>
      </c>
      <c r="I372" s="87" t="s">
        <v>6405</v>
      </c>
      <c r="J372" s="87" t="s">
        <v>6334</v>
      </c>
      <c r="K372" s="87" t="s">
        <v>6334</v>
      </c>
      <c r="L372" s="87" t="s">
        <v>6255</v>
      </c>
      <c r="M372" s="87" t="s">
        <v>6538</v>
      </c>
      <c r="N372" s="9" t="s">
        <v>7245</v>
      </c>
      <c r="O372" s="87" t="s">
        <v>6327</v>
      </c>
      <c r="P372" s="9" t="s">
        <v>6243</v>
      </c>
      <c r="Q372" s="87" t="s">
        <v>6392</v>
      </c>
      <c r="R372" s="87" t="s">
        <v>6334</v>
      </c>
      <c r="S372" s="87" t="s">
        <v>6500</v>
      </c>
      <c r="T372" s="87" t="s">
        <v>6341</v>
      </c>
    </row>
    <row r="373" spans="1:20" ht="15.75" customHeight="1">
      <c r="A373" s="9" t="s">
        <v>3031</v>
      </c>
      <c r="B373" s="9" t="s">
        <v>7539</v>
      </c>
      <c r="C373" s="9" t="s">
        <v>6923</v>
      </c>
      <c r="D373" s="87" t="s">
        <v>6461</v>
      </c>
      <c r="E373" s="9" t="s">
        <v>6924</v>
      </c>
      <c r="F373" s="9" t="s">
        <v>6925</v>
      </c>
      <c r="G373" s="9" t="s">
        <v>383</v>
      </c>
      <c r="H373" s="9" t="s">
        <v>427</v>
      </c>
      <c r="I373" s="87" t="s">
        <v>6405</v>
      </c>
      <c r="J373" s="87" t="s">
        <v>6240</v>
      </c>
      <c r="K373" s="87" t="s">
        <v>6926</v>
      </c>
      <c r="L373" s="87" t="s">
        <v>6594</v>
      </c>
      <c r="M373" s="87" t="s">
        <v>6538</v>
      </c>
      <c r="N373" s="9" t="s">
        <v>7923</v>
      </c>
      <c r="O373" s="87" t="s">
        <v>6535</v>
      </c>
      <c r="P373" s="9" t="s">
        <v>6243</v>
      </c>
      <c r="Q373" s="87" t="s">
        <v>6594</v>
      </c>
      <c r="R373" s="87" t="s">
        <v>6240</v>
      </c>
      <c r="S373" s="87" t="s">
        <v>6404</v>
      </c>
      <c r="T373" s="87" t="s">
        <v>6341</v>
      </c>
    </row>
    <row r="374" spans="1:20" ht="15.75" customHeight="1">
      <c r="A374" s="9" t="s">
        <v>3031</v>
      </c>
      <c r="B374" s="9" t="s">
        <v>7539</v>
      </c>
      <c r="C374" s="9" t="s">
        <v>7228</v>
      </c>
      <c r="D374" s="87" t="s">
        <v>6237</v>
      </c>
      <c r="E374" s="9" t="s">
        <v>6924</v>
      </c>
      <c r="F374" s="9" t="s">
        <v>11</v>
      </c>
      <c r="G374" s="9" t="s">
        <v>383</v>
      </c>
      <c r="H374" s="9" t="s">
        <v>426</v>
      </c>
      <c r="I374" s="87" t="s">
        <v>6405</v>
      </c>
      <c r="J374" s="87" t="s">
        <v>6405</v>
      </c>
      <c r="K374" s="87" t="s">
        <v>6405</v>
      </c>
      <c r="L374" s="87" t="s">
        <v>6255</v>
      </c>
      <c r="M374" s="87" t="s">
        <v>6539</v>
      </c>
      <c r="N374" s="9" t="s">
        <v>7400</v>
      </c>
      <c r="O374" s="87" t="s">
        <v>6461</v>
      </c>
      <c r="P374" s="9" t="s">
        <v>6243</v>
      </c>
      <c r="Q374" s="87" t="s">
        <v>6255</v>
      </c>
      <c r="R374" s="87" t="s">
        <v>6405</v>
      </c>
      <c r="S374" s="87" t="s">
        <v>6287</v>
      </c>
      <c r="T374" s="87" t="s">
        <v>6341</v>
      </c>
    </row>
    <row r="375" spans="1:20" ht="15.75" customHeight="1">
      <c r="A375" s="9" t="s">
        <v>2914</v>
      </c>
      <c r="B375" s="9" t="s">
        <v>7540</v>
      </c>
      <c r="C375" s="9" t="s">
        <v>6236</v>
      </c>
      <c r="D375" s="87" t="s">
        <v>6393</v>
      </c>
      <c r="E375" s="9" t="s">
        <v>431</v>
      </c>
      <c r="F375" s="9" t="s">
        <v>368</v>
      </c>
      <c r="G375" s="9" t="s">
        <v>436</v>
      </c>
      <c r="H375" s="9" t="s">
        <v>434</v>
      </c>
      <c r="I375" s="87" t="s">
        <v>6237</v>
      </c>
      <c r="J375" s="87" t="s">
        <v>6255</v>
      </c>
      <c r="K375" s="87" t="s">
        <v>6290</v>
      </c>
      <c r="L375" s="87" t="s">
        <v>6240</v>
      </c>
      <c r="M375" s="87" t="s">
        <v>6539</v>
      </c>
      <c r="N375" s="9" t="s">
        <v>7005</v>
      </c>
      <c r="O375" s="87" t="s">
        <v>6290</v>
      </c>
      <c r="P375" s="9" t="s">
        <v>6243</v>
      </c>
      <c r="Q375" s="87" t="s">
        <v>6293</v>
      </c>
      <c r="R375" s="87" t="s">
        <v>6255</v>
      </c>
      <c r="S375" s="87" t="s">
        <v>6327</v>
      </c>
      <c r="T375" s="87" t="s">
        <v>6528</v>
      </c>
    </row>
    <row r="376" spans="1:20" ht="15.75" customHeight="1">
      <c r="A376" s="9" t="s">
        <v>2914</v>
      </c>
      <c r="B376" s="9" t="s">
        <v>7540</v>
      </c>
      <c r="C376" s="9" t="s">
        <v>6236</v>
      </c>
      <c r="D376" s="87" t="s">
        <v>6393</v>
      </c>
      <c r="E376" s="9" t="s">
        <v>431</v>
      </c>
      <c r="F376" s="9" t="s">
        <v>368</v>
      </c>
      <c r="G376" s="9" t="s">
        <v>436</v>
      </c>
      <c r="H376" s="9" t="s">
        <v>434</v>
      </c>
      <c r="I376" s="87" t="s">
        <v>6237</v>
      </c>
      <c r="J376" s="87" t="s">
        <v>6255</v>
      </c>
      <c r="K376" s="87" t="s">
        <v>4953</v>
      </c>
      <c r="L376" s="87" t="s">
        <v>6240</v>
      </c>
      <c r="M376" s="87" t="s">
        <v>6540</v>
      </c>
      <c r="N376" s="9" t="s">
        <v>7080</v>
      </c>
      <c r="O376" s="87" t="s">
        <v>4953</v>
      </c>
      <c r="P376" s="9" t="s">
        <v>6243</v>
      </c>
      <c r="Q376" s="87" t="s">
        <v>6306</v>
      </c>
      <c r="R376" s="87" t="s">
        <v>6255</v>
      </c>
      <c r="S376" s="87" t="s">
        <v>6373</v>
      </c>
      <c r="T376" s="87" t="s">
        <v>6645</v>
      </c>
    </row>
    <row r="377" spans="1:20" ht="15.75" customHeight="1">
      <c r="A377" s="9" t="s">
        <v>2914</v>
      </c>
      <c r="B377" s="9" t="s">
        <v>7542</v>
      </c>
      <c r="C377" s="9" t="s">
        <v>6923</v>
      </c>
      <c r="D377" s="87" t="s">
        <v>6327</v>
      </c>
      <c r="E377" s="9" t="s">
        <v>6924</v>
      </c>
      <c r="F377" s="9" t="s">
        <v>6925</v>
      </c>
      <c r="G377" s="9" t="s">
        <v>383</v>
      </c>
      <c r="H377" s="9" t="s">
        <v>444</v>
      </c>
      <c r="I377" s="87" t="s">
        <v>6405</v>
      </c>
      <c r="J377" s="87" t="s">
        <v>6405</v>
      </c>
      <c r="K377" s="87" t="s">
        <v>6926</v>
      </c>
      <c r="L377" s="87" t="s">
        <v>6392</v>
      </c>
      <c r="M377" s="87" t="s">
        <v>6556</v>
      </c>
      <c r="N377" s="9" t="s">
        <v>7924</v>
      </c>
      <c r="O377" s="87" t="s">
        <v>6327</v>
      </c>
      <c r="P377" s="9" t="s">
        <v>6243</v>
      </c>
      <c r="Q377" s="87" t="s">
        <v>6392</v>
      </c>
      <c r="R377" s="87" t="s">
        <v>6405</v>
      </c>
      <c r="S377" s="87" t="s">
        <v>6421</v>
      </c>
      <c r="T377" s="87" t="s">
        <v>6451</v>
      </c>
    </row>
    <row r="378" spans="1:20" ht="15.75" customHeight="1">
      <c r="A378" s="9" t="s">
        <v>2914</v>
      </c>
      <c r="B378" s="9" t="s">
        <v>7541</v>
      </c>
      <c r="C378" s="9" t="s">
        <v>6671</v>
      </c>
      <c r="D378" s="87" t="s">
        <v>6296</v>
      </c>
      <c r="E378" s="9" t="s">
        <v>6672</v>
      </c>
      <c r="F378" s="9" t="s">
        <v>439</v>
      </c>
      <c r="G378" s="9" t="s">
        <v>436</v>
      </c>
      <c r="H378" s="9" t="s">
        <v>440</v>
      </c>
      <c r="I378" s="87" t="s">
        <v>6405</v>
      </c>
      <c r="J378" s="87" t="s">
        <v>6346</v>
      </c>
      <c r="K378" s="87" t="s">
        <v>6346</v>
      </c>
      <c r="L378" s="87" t="s">
        <v>6240</v>
      </c>
      <c r="M378" s="87" t="s">
        <v>6556</v>
      </c>
      <c r="N378" s="9" t="s">
        <v>7098</v>
      </c>
      <c r="O378" s="87" t="s">
        <v>6346</v>
      </c>
      <c r="P378" s="9" t="s">
        <v>6243</v>
      </c>
      <c r="Q378" s="87" t="s">
        <v>6366</v>
      </c>
      <c r="R378" s="87" t="s">
        <v>6346</v>
      </c>
      <c r="S378" s="87" t="s">
        <v>6322</v>
      </c>
      <c r="T378" s="87" t="s">
        <v>6525</v>
      </c>
    </row>
    <row r="379" spans="1:20" ht="15.75" customHeight="1">
      <c r="A379" s="9" t="s">
        <v>2914</v>
      </c>
      <c r="B379" s="9" t="s">
        <v>7542</v>
      </c>
      <c r="C379" s="9" t="s">
        <v>7228</v>
      </c>
      <c r="D379" s="87" t="s">
        <v>6290</v>
      </c>
      <c r="E379" s="9" t="s">
        <v>6924</v>
      </c>
      <c r="F379" s="9" t="s">
        <v>11</v>
      </c>
      <c r="G379" s="9" t="s">
        <v>383</v>
      </c>
      <c r="H379" s="9" t="s">
        <v>426</v>
      </c>
      <c r="I379" s="87" t="s">
        <v>6405</v>
      </c>
      <c r="J379" s="87" t="s">
        <v>6405</v>
      </c>
      <c r="K379" s="87" t="s">
        <v>6405</v>
      </c>
      <c r="L379" s="87" t="s">
        <v>6287</v>
      </c>
      <c r="M379" s="87" t="s">
        <v>6557</v>
      </c>
      <c r="N379" s="9" t="s">
        <v>7925</v>
      </c>
      <c r="O379" s="87" t="s">
        <v>6296</v>
      </c>
      <c r="P379" s="9" t="s">
        <v>6243</v>
      </c>
      <c r="Q379" s="87" t="s">
        <v>6287</v>
      </c>
      <c r="R379" s="87" t="s">
        <v>6405</v>
      </c>
      <c r="S379" s="87" t="s">
        <v>6290</v>
      </c>
      <c r="T379" s="87" t="s">
        <v>6451</v>
      </c>
    </row>
    <row r="380" spans="1:20" ht="15.75" customHeight="1">
      <c r="A380" s="9" t="s">
        <v>3020</v>
      </c>
      <c r="B380" s="9" t="s">
        <v>7545</v>
      </c>
      <c r="C380" s="9" t="s">
        <v>6236</v>
      </c>
      <c r="D380" s="87" t="s">
        <v>6393</v>
      </c>
      <c r="E380" s="9" t="s">
        <v>431</v>
      </c>
      <c r="F380" s="9" t="s">
        <v>368</v>
      </c>
      <c r="G380" s="9" t="s">
        <v>436</v>
      </c>
      <c r="H380" s="9" t="s">
        <v>434</v>
      </c>
      <c r="I380" s="87" t="s">
        <v>6264</v>
      </c>
      <c r="J380" s="87" t="s">
        <v>6326</v>
      </c>
      <c r="K380" s="87" t="s">
        <v>6387</v>
      </c>
      <c r="L380" s="87" t="s">
        <v>6240</v>
      </c>
      <c r="M380" s="87" t="s">
        <v>6513</v>
      </c>
      <c r="N380" s="9" t="s">
        <v>7546</v>
      </c>
      <c r="O380" s="87" t="s">
        <v>6387</v>
      </c>
      <c r="P380" s="9" t="s">
        <v>6243</v>
      </c>
      <c r="Q380" s="87" t="s">
        <v>6248</v>
      </c>
      <c r="R380" s="87" t="s">
        <v>6326</v>
      </c>
      <c r="S380" s="87" t="s">
        <v>6327</v>
      </c>
      <c r="T380" s="87" t="s">
        <v>6260</v>
      </c>
    </row>
    <row r="381" spans="1:20" ht="15.75" customHeight="1">
      <c r="A381" s="9" t="s">
        <v>3020</v>
      </c>
      <c r="B381" s="9" t="s">
        <v>7545</v>
      </c>
      <c r="C381" s="9" t="s">
        <v>6236</v>
      </c>
      <c r="D381" s="87" t="s">
        <v>6393</v>
      </c>
      <c r="E381" s="9" t="s">
        <v>431</v>
      </c>
      <c r="F381" s="9" t="s">
        <v>368</v>
      </c>
      <c r="G381" s="9" t="s">
        <v>436</v>
      </c>
      <c r="H381" s="9" t="s">
        <v>434</v>
      </c>
      <c r="I381" s="87" t="s">
        <v>6264</v>
      </c>
      <c r="J381" s="87" t="s">
        <v>6326</v>
      </c>
      <c r="K381" s="87" t="s">
        <v>6255</v>
      </c>
      <c r="L381" s="87" t="s">
        <v>6240</v>
      </c>
      <c r="M381" s="87" t="s">
        <v>6517</v>
      </c>
      <c r="N381" s="9" t="s">
        <v>7145</v>
      </c>
      <c r="O381" s="87" t="s">
        <v>6255</v>
      </c>
      <c r="P381" s="9" t="s">
        <v>6243</v>
      </c>
      <c r="Q381" s="87" t="s">
        <v>4947</v>
      </c>
      <c r="R381" s="87" t="s">
        <v>6326</v>
      </c>
      <c r="S381" s="87" t="s">
        <v>6300</v>
      </c>
      <c r="T381" s="87" t="s">
        <v>6645</v>
      </c>
    </row>
    <row r="382" spans="1:20" ht="15.75" customHeight="1">
      <c r="A382" s="9" t="s">
        <v>3020</v>
      </c>
      <c r="B382" s="9" t="s">
        <v>7547</v>
      </c>
      <c r="C382" s="9" t="s">
        <v>6923</v>
      </c>
      <c r="D382" s="87" t="s">
        <v>6264</v>
      </c>
      <c r="E382" s="9" t="s">
        <v>6924</v>
      </c>
      <c r="F382" s="9" t="s">
        <v>6925</v>
      </c>
      <c r="G382" s="9" t="s">
        <v>383</v>
      </c>
      <c r="H382" s="9" t="s">
        <v>449</v>
      </c>
      <c r="I382" s="87" t="s">
        <v>6405</v>
      </c>
      <c r="J382" s="87" t="s">
        <v>6405</v>
      </c>
      <c r="K382" s="87" t="s">
        <v>6926</v>
      </c>
      <c r="L382" s="87" t="s">
        <v>3210</v>
      </c>
      <c r="M382" s="87" t="s">
        <v>6530</v>
      </c>
      <c r="N382" s="9" t="s">
        <v>7926</v>
      </c>
      <c r="O382" s="87" t="s">
        <v>6428</v>
      </c>
      <c r="P382" s="9" t="s">
        <v>6243</v>
      </c>
      <c r="Q382" s="87" t="s">
        <v>3210</v>
      </c>
      <c r="R382" s="87" t="s">
        <v>6405</v>
      </c>
      <c r="S382" s="87" t="s">
        <v>7035</v>
      </c>
      <c r="T382" s="87" t="s">
        <v>6322</v>
      </c>
    </row>
    <row r="383" spans="1:20" ht="15.75" customHeight="1">
      <c r="A383" s="9" t="s">
        <v>2995</v>
      </c>
      <c r="B383" s="9" t="s">
        <v>7549</v>
      </c>
      <c r="C383" s="9" t="s">
        <v>6236</v>
      </c>
      <c r="D383" s="87" t="s">
        <v>6393</v>
      </c>
      <c r="E383" s="9" t="s">
        <v>431</v>
      </c>
      <c r="F383" s="9" t="s">
        <v>368</v>
      </c>
      <c r="G383" s="9" t="s">
        <v>436</v>
      </c>
      <c r="H383" s="9" t="s">
        <v>434</v>
      </c>
      <c r="I383" s="87" t="s">
        <v>6237</v>
      </c>
      <c r="J383" s="87" t="s">
        <v>6260</v>
      </c>
      <c r="K383" s="87" t="s">
        <v>6240</v>
      </c>
      <c r="L383" s="87" t="s">
        <v>6240</v>
      </c>
      <c r="M383" s="87" t="s">
        <v>6490</v>
      </c>
      <c r="N383" s="9" t="s">
        <v>7192</v>
      </c>
      <c r="O383" s="87" t="s">
        <v>6240</v>
      </c>
      <c r="P383" s="9" t="s">
        <v>6243</v>
      </c>
      <c r="Q383" s="87" t="s">
        <v>6397</v>
      </c>
      <c r="R383" s="87" t="s">
        <v>6260</v>
      </c>
      <c r="S383" s="87" t="s">
        <v>6327</v>
      </c>
      <c r="T383" s="87" t="s">
        <v>6421</v>
      </c>
    </row>
    <row r="384" spans="1:20" ht="15.75" customHeight="1">
      <c r="A384" s="9" t="s">
        <v>2995</v>
      </c>
      <c r="B384" s="9" t="s">
        <v>7549</v>
      </c>
      <c r="C384" s="9" t="s">
        <v>6236</v>
      </c>
      <c r="D384" s="87" t="s">
        <v>6393</v>
      </c>
      <c r="E384" s="9" t="s">
        <v>431</v>
      </c>
      <c r="F384" s="9" t="s">
        <v>368</v>
      </c>
      <c r="G384" s="9" t="s">
        <v>436</v>
      </c>
      <c r="H384" s="9" t="s">
        <v>434</v>
      </c>
      <c r="I384" s="87" t="s">
        <v>6237</v>
      </c>
      <c r="J384" s="87" t="s">
        <v>6260</v>
      </c>
      <c r="K384" s="87" t="s">
        <v>6273</v>
      </c>
      <c r="L384" s="87" t="s">
        <v>6240</v>
      </c>
      <c r="M384" s="87" t="s">
        <v>6491</v>
      </c>
      <c r="N384" s="9" t="s">
        <v>6952</v>
      </c>
      <c r="O384" s="87" t="s">
        <v>6273</v>
      </c>
      <c r="P384" s="9" t="s">
        <v>6243</v>
      </c>
      <c r="Q384" s="87" t="s">
        <v>6276</v>
      </c>
      <c r="R384" s="87" t="s">
        <v>6260</v>
      </c>
      <c r="S384" s="87" t="s">
        <v>6445</v>
      </c>
      <c r="T384" s="87" t="s">
        <v>6645</v>
      </c>
    </row>
    <row r="385" spans="1:20" ht="15.75" customHeight="1">
      <c r="A385" s="9" t="s">
        <v>2995</v>
      </c>
      <c r="B385" s="9" t="s">
        <v>7550</v>
      </c>
      <c r="C385" s="9" t="s">
        <v>6671</v>
      </c>
      <c r="D385" s="87" t="s">
        <v>6296</v>
      </c>
      <c r="E385" s="9" t="s">
        <v>6672</v>
      </c>
      <c r="F385" s="9" t="s">
        <v>439</v>
      </c>
      <c r="G385" s="9" t="s">
        <v>436</v>
      </c>
      <c r="H385" s="9" t="s">
        <v>440</v>
      </c>
      <c r="I385" s="87" t="s">
        <v>6405</v>
      </c>
      <c r="J385" s="87" t="s">
        <v>6455</v>
      </c>
      <c r="K385" s="87" t="s">
        <v>6455</v>
      </c>
      <c r="L385" s="87" t="s">
        <v>6240</v>
      </c>
      <c r="M385" s="87" t="s">
        <v>6492</v>
      </c>
      <c r="N385" s="9" t="s">
        <v>7551</v>
      </c>
      <c r="O385" s="87" t="s">
        <v>6455</v>
      </c>
      <c r="P385" s="9" t="s">
        <v>6243</v>
      </c>
      <c r="Q385" s="87" t="s">
        <v>6627</v>
      </c>
      <c r="R385" s="87" t="s">
        <v>6455</v>
      </c>
      <c r="S385" s="87" t="s">
        <v>6642</v>
      </c>
      <c r="T385" s="87" t="s">
        <v>6401</v>
      </c>
    </row>
    <row r="386" spans="1:20" ht="15.75" customHeight="1">
      <c r="A386" s="9" t="s">
        <v>2995</v>
      </c>
      <c r="B386" s="9" t="s">
        <v>7552</v>
      </c>
      <c r="C386" s="9" t="s">
        <v>6923</v>
      </c>
      <c r="D386" s="87" t="s">
        <v>6264</v>
      </c>
      <c r="E386" s="9" t="s">
        <v>6924</v>
      </c>
      <c r="F386" s="9" t="s">
        <v>6925</v>
      </c>
      <c r="G386" s="9" t="s">
        <v>383</v>
      </c>
      <c r="H386" s="9" t="s">
        <v>449</v>
      </c>
      <c r="I386" s="87" t="s">
        <v>6405</v>
      </c>
      <c r="J386" s="87" t="s">
        <v>6334</v>
      </c>
      <c r="K386" s="87" t="s">
        <v>6939</v>
      </c>
      <c r="L386" s="87" t="s">
        <v>6372</v>
      </c>
      <c r="M386" s="87" t="s">
        <v>6511</v>
      </c>
      <c r="N386" s="9" t="s">
        <v>7031</v>
      </c>
      <c r="O386" s="87" t="s">
        <v>6526</v>
      </c>
      <c r="P386" s="9" t="s">
        <v>6243</v>
      </c>
      <c r="Q386" s="87" t="s">
        <v>4023</v>
      </c>
      <c r="R386" s="87" t="s">
        <v>6334</v>
      </c>
      <c r="S386" s="87" t="s">
        <v>6295</v>
      </c>
      <c r="T386" s="87" t="s">
        <v>6341</v>
      </c>
    </row>
    <row r="387" spans="1:20" ht="15.75" customHeight="1">
      <c r="A387" s="9" t="s">
        <v>2995</v>
      </c>
      <c r="B387" s="9" t="s">
        <v>7552</v>
      </c>
      <c r="C387" s="9" t="s">
        <v>7228</v>
      </c>
      <c r="D387" s="87" t="s">
        <v>6405</v>
      </c>
      <c r="E387" s="9" t="s">
        <v>6924</v>
      </c>
      <c r="F387" s="9" t="s">
        <v>11</v>
      </c>
      <c r="G387" s="9" t="s">
        <v>383</v>
      </c>
      <c r="H387" s="9" t="s">
        <v>426</v>
      </c>
      <c r="I387" s="87" t="s">
        <v>6405</v>
      </c>
      <c r="J387" s="87" t="s">
        <v>6334</v>
      </c>
      <c r="K387" s="87" t="s">
        <v>6334</v>
      </c>
      <c r="L387" s="87" t="s">
        <v>5381</v>
      </c>
      <c r="M387" s="87" t="s">
        <v>6513</v>
      </c>
      <c r="N387" s="9" t="s">
        <v>6970</v>
      </c>
      <c r="O387" s="87" t="s">
        <v>6570</v>
      </c>
      <c r="P387" s="9" t="s">
        <v>6243</v>
      </c>
      <c r="Q387" s="87" t="s">
        <v>6573</v>
      </c>
      <c r="R387" s="87" t="s">
        <v>6334</v>
      </c>
      <c r="S387" s="87" t="s">
        <v>6333</v>
      </c>
      <c r="T387" s="87" t="s">
        <v>6341</v>
      </c>
    </row>
    <row r="388" spans="1:20" ht="15.75" customHeight="1">
      <c r="A388" s="9" t="s">
        <v>3030</v>
      </c>
      <c r="B388" s="9" t="s">
        <v>7553</v>
      </c>
      <c r="C388" s="9" t="s">
        <v>6236</v>
      </c>
      <c r="D388" s="87" t="s">
        <v>6393</v>
      </c>
      <c r="E388" s="9" t="s">
        <v>431</v>
      </c>
      <c r="F388" s="9" t="s">
        <v>368</v>
      </c>
      <c r="G388" s="9" t="s">
        <v>436</v>
      </c>
      <c r="H388" s="9" t="s">
        <v>434</v>
      </c>
      <c r="I388" s="87" t="s">
        <v>6237</v>
      </c>
      <c r="J388" s="87" t="s">
        <v>6401</v>
      </c>
      <c r="K388" s="87" t="s">
        <v>6401</v>
      </c>
      <c r="L388" s="87" t="s">
        <v>6240</v>
      </c>
      <c r="M388" s="87" t="s">
        <v>6475</v>
      </c>
      <c r="N388" s="9" t="s">
        <v>7554</v>
      </c>
      <c r="O388" s="87" t="s">
        <v>6401</v>
      </c>
      <c r="P388" s="9" t="s">
        <v>6243</v>
      </c>
      <c r="Q388" s="87" t="s">
        <v>6403</v>
      </c>
      <c r="R388" s="87" t="s">
        <v>6401</v>
      </c>
      <c r="S388" s="87" t="s">
        <v>6273</v>
      </c>
      <c r="T388" s="87" t="s">
        <v>6474</v>
      </c>
    </row>
    <row r="389" spans="1:20" ht="15.75" customHeight="1">
      <c r="A389" s="9" t="s">
        <v>3030</v>
      </c>
      <c r="B389" s="9" t="s">
        <v>7555</v>
      </c>
      <c r="C389" s="9" t="s">
        <v>6671</v>
      </c>
      <c r="D389" s="87" t="s">
        <v>6296</v>
      </c>
      <c r="E389" s="9" t="s">
        <v>6672</v>
      </c>
      <c r="F389" s="9" t="s">
        <v>439</v>
      </c>
      <c r="G389" s="9" t="s">
        <v>436</v>
      </c>
      <c r="H389" s="9" t="s">
        <v>440</v>
      </c>
      <c r="I389" s="87" t="s">
        <v>6405</v>
      </c>
      <c r="J389" s="87" t="s">
        <v>6323</v>
      </c>
      <c r="K389" s="87" t="s">
        <v>6323</v>
      </c>
      <c r="L389" s="87" t="s">
        <v>6240</v>
      </c>
      <c r="M389" s="87" t="s">
        <v>6490</v>
      </c>
      <c r="N389" s="9" t="s">
        <v>7556</v>
      </c>
      <c r="O389" s="87" t="s">
        <v>6323</v>
      </c>
      <c r="P389" s="9" t="s">
        <v>6243</v>
      </c>
      <c r="Q389" s="87" t="s">
        <v>5374</v>
      </c>
      <c r="R389" s="87" t="s">
        <v>6323</v>
      </c>
      <c r="S389" s="87" t="s">
        <v>6323</v>
      </c>
      <c r="T389" s="87" t="s">
        <v>6326</v>
      </c>
    </row>
    <row r="390" spans="1:20" ht="15.75" customHeight="1">
      <c r="A390" s="9" t="s">
        <v>3030</v>
      </c>
      <c r="B390" s="9" t="s">
        <v>7557</v>
      </c>
      <c r="C390" s="9" t="s">
        <v>6923</v>
      </c>
      <c r="D390" s="87" t="s">
        <v>6264</v>
      </c>
      <c r="E390" s="9" t="s">
        <v>6924</v>
      </c>
      <c r="F390" s="9" t="s">
        <v>6925</v>
      </c>
      <c r="G390" s="9" t="s">
        <v>383</v>
      </c>
      <c r="H390" s="9" t="s">
        <v>449</v>
      </c>
      <c r="I390" s="87" t="s">
        <v>6405</v>
      </c>
      <c r="J390" s="87" t="s">
        <v>6334</v>
      </c>
      <c r="K390" s="87" t="s">
        <v>6926</v>
      </c>
      <c r="L390" s="87" t="s">
        <v>5063</v>
      </c>
      <c r="M390" s="87" t="s">
        <v>6492</v>
      </c>
      <c r="N390" s="9" t="s">
        <v>7558</v>
      </c>
      <c r="O390" s="87" t="s">
        <v>6440</v>
      </c>
      <c r="P390" s="9" t="s">
        <v>6243</v>
      </c>
      <c r="Q390" s="87" t="s">
        <v>5063</v>
      </c>
      <c r="R390" s="87" t="s">
        <v>6334</v>
      </c>
      <c r="S390" s="87" t="s">
        <v>6433</v>
      </c>
      <c r="T390" s="87" t="s">
        <v>6287</v>
      </c>
    </row>
    <row r="391" spans="1:20" ht="15.75" customHeight="1">
      <c r="A391" s="9" t="s">
        <v>3030</v>
      </c>
      <c r="B391" s="9" t="s">
        <v>7557</v>
      </c>
      <c r="C391" s="9" t="s">
        <v>6923</v>
      </c>
      <c r="D391" s="87" t="s">
        <v>6264</v>
      </c>
      <c r="E391" s="9" t="s">
        <v>6924</v>
      </c>
      <c r="F391" s="9" t="s">
        <v>6925</v>
      </c>
      <c r="G391" s="9" t="s">
        <v>383</v>
      </c>
      <c r="H391" s="9" t="s">
        <v>449</v>
      </c>
      <c r="I391" s="87" t="s">
        <v>6405</v>
      </c>
      <c r="J391" s="87" t="s">
        <v>6334</v>
      </c>
      <c r="K391" s="87" t="s">
        <v>6926</v>
      </c>
      <c r="L391" s="87" t="s">
        <v>5063</v>
      </c>
      <c r="M391" s="87" t="s">
        <v>6495</v>
      </c>
      <c r="N391" s="9" t="s">
        <v>7559</v>
      </c>
      <c r="O391" s="87" t="s">
        <v>6440</v>
      </c>
      <c r="P391" s="9" t="s">
        <v>6243</v>
      </c>
      <c r="Q391" s="87" t="s">
        <v>5063</v>
      </c>
      <c r="R391" s="87" t="s">
        <v>6334</v>
      </c>
      <c r="S391" s="87" t="s">
        <v>6327</v>
      </c>
      <c r="T391" s="87" t="s">
        <v>6316</v>
      </c>
    </row>
    <row r="392" spans="1:20" ht="15.75" customHeight="1">
      <c r="A392" s="9" t="s">
        <v>3009</v>
      </c>
      <c r="B392" s="9" t="s">
        <v>7560</v>
      </c>
      <c r="C392" s="9" t="s">
        <v>6236</v>
      </c>
      <c r="D392" s="87" t="s">
        <v>6393</v>
      </c>
      <c r="E392" s="9" t="s">
        <v>431</v>
      </c>
      <c r="F392" s="9" t="s">
        <v>368</v>
      </c>
      <c r="G392" s="9" t="s">
        <v>436</v>
      </c>
      <c r="H392" s="9" t="s">
        <v>434</v>
      </c>
      <c r="I392" s="87" t="s">
        <v>6237</v>
      </c>
      <c r="J392" s="87" t="s">
        <v>6321</v>
      </c>
      <c r="K392" s="87" t="s">
        <v>6361</v>
      </c>
      <c r="L392" s="87" t="s">
        <v>6240</v>
      </c>
      <c r="M392" s="87" t="s">
        <v>6491</v>
      </c>
      <c r="N392" s="9" t="s">
        <v>6935</v>
      </c>
      <c r="O392" s="87" t="s">
        <v>6361</v>
      </c>
      <c r="P392" s="9" t="s">
        <v>6243</v>
      </c>
      <c r="Q392" s="87" t="s">
        <v>6363</v>
      </c>
      <c r="R392" s="87" t="s">
        <v>6321</v>
      </c>
      <c r="S392" s="87" t="s">
        <v>6327</v>
      </c>
      <c r="T392" s="87" t="s">
        <v>6526</v>
      </c>
    </row>
    <row r="393" spans="1:20" ht="15.75" customHeight="1">
      <c r="A393" s="9" t="s">
        <v>3009</v>
      </c>
      <c r="B393" s="9" t="s">
        <v>7560</v>
      </c>
      <c r="C393" s="9" t="s">
        <v>6236</v>
      </c>
      <c r="D393" s="87" t="s">
        <v>6393</v>
      </c>
      <c r="E393" s="9" t="s">
        <v>431</v>
      </c>
      <c r="F393" s="9" t="s">
        <v>368</v>
      </c>
      <c r="G393" s="9" t="s">
        <v>436</v>
      </c>
      <c r="H393" s="9" t="s">
        <v>434</v>
      </c>
      <c r="I393" s="87" t="s">
        <v>6237</v>
      </c>
      <c r="J393" s="87" t="s">
        <v>6321</v>
      </c>
      <c r="K393" s="87" t="s">
        <v>6428</v>
      </c>
      <c r="L393" s="87" t="s">
        <v>6240</v>
      </c>
      <c r="M393" s="87" t="s">
        <v>6492</v>
      </c>
      <c r="N393" s="9" t="s">
        <v>7032</v>
      </c>
      <c r="O393" s="87" t="s">
        <v>6428</v>
      </c>
      <c r="P393" s="9" t="s">
        <v>6243</v>
      </c>
      <c r="Q393" s="87" t="s">
        <v>3210</v>
      </c>
      <c r="R393" s="87" t="s">
        <v>6321</v>
      </c>
      <c r="S393" s="87" t="s">
        <v>6413</v>
      </c>
      <c r="T393" s="87" t="s">
        <v>6645</v>
      </c>
    </row>
    <row r="394" spans="1:20" ht="15.75" customHeight="1">
      <c r="A394" s="9" t="s">
        <v>3009</v>
      </c>
      <c r="B394" s="9" t="s">
        <v>7561</v>
      </c>
      <c r="C394" s="9" t="s">
        <v>6923</v>
      </c>
      <c r="D394" s="87" t="s">
        <v>6327</v>
      </c>
      <c r="E394" s="9" t="s">
        <v>6924</v>
      </c>
      <c r="F394" s="9" t="s">
        <v>6925</v>
      </c>
      <c r="G394" s="9" t="s">
        <v>383</v>
      </c>
      <c r="H394" s="9" t="s">
        <v>444</v>
      </c>
      <c r="I394" s="87" t="s">
        <v>6405</v>
      </c>
      <c r="J394" s="87" t="s">
        <v>6405</v>
      </c>
      <c r="K394" s="87" t="s">
        <v>6926</v>
      </c>
      <c r="L394" s="87" t="s">
        <v>6270</v>
      </c>
      <c r="M394" s="87" t="s">
        <v>6508</v>
      </c>
      <c r="N394" s="9" t="s">
        <v>7562</v>
      </c>
      <c r="O394" s="87" t="s">
        <v>6268</v>
      </c>
      <c r="P394" s="9" t="s">
        <v>6243</v>
      </c>
      <c r="Q394" s="87" t="s">
        <v>6270</v>
      </c>
      <c r="R394" s="87" t="s">
        <v>6405</v>
      </c>
      <c r="S394" s="87" t="s">
        <v>6461</v>
      </c>
      <c r="T394" s="87" t="s">
        <v>6259</v>
      </c>
    </row>
    <row r="395" spans="1:20" ht="15.75" customHeight="1">
      <c r="A395" s="9" t="s">
        <v>3009</v>
      </c>
      <c r="B395" s="9" t="s">
        <v>7561</v>
      </c>
      <c r="C395" s="9" t="s">
        <v>7228</v>
      </c>
      <c r="D395" s="87" t="s">
        <v>6290</v>
      </c>
      <c r="E395" s="9" t="s">
        <v>6924</v>
      </c>
      <c r="F395" s="9" t="s">
        <v>11</v>
      </c>
      <c r="G395" s="9" t="s">
        <v>383</v>
      </c>
      <c r="H395" s="9" t="s">
        <v>426</v>
      </c>
      <c r="I395" s="87" t="s">
        <v>6405</v>
      </c>
      <c r="J395" s="87" t="s">
        <v>6405</v>
      </c>
      <c r="K395" s="87" t="s">
        <v>6405</v>
      </c>
      <c r="L395" s="87" t="s">
        <v>4953</v>
      </c>
      <c r="M395" s="87" t="s">
        <v>6510</v>
      </c>
      <c r="N395" s="9" t="s">
        <v>7563</v>
      </c>
      <c r="O395" s="87" t="s">
        <v>6237</v>
      </c>
      <c r="P395" s="9" t="s">
        <v>6243</v>
      </c>
      <c r="Q395" s="87" t="s">
        <v>4953</v>
      </c>
      <c r="R395" s="87" t="s">
        <v>6405</v>
      </c>
      <c r="S395" s="87" t="s">
        <v>6330</v>
      </c>
      <c r="T395" s="87" t="s">
        <v>6250</v>
      </c>
    </row>
    <row r="396" spans="1:20" ht="15.75" customHeight="1">
      <c r="A396" s="9" t="s">
        <v>2834</v>
      </c>
      <c r="B396" s="9" t="s">
        <v>7564</v>
      </c>
      <c r="C396" s="9" t="s">
        <v>6236</v>
      </c>
      <c r="D396" s="87" t="s">
        <v>6393</v>
      </c>
      <c r="E396" s="9" t="s">
        <v>431</v>
      </c>
      <c r="F396" s="9" t="s">
        <v>368</v>
      </c>
      <c r="G396" s="9" t="s">
        <v>436</v>
      </c>
      <c r="H396" s="9" t="s">
        <v>434</v>
      </c>
      <c r="I396" s="87" t="s">
        <v>6237</v>
      </c>
      <c r="J396" s="87" t="s">
        <v>6316</v>
      </c>
      <c r="K396" s="87" t="s">
        <v>6323</v>
      </c>
      <c r="L396" s="87" t="s">
        <v>6240</v>
      </c>
      <c r="M396" s="87" t="s">
        <v>6492</v>
      </c>
      <c r="N396" s="9" t="s">
        <v>7532</v>
      </c>
      <c r="O396" s="87" t="s">
        <v>6323</v>
      </c>
      <c r="P396" s="9" t="s">
        <v>6243</v>
      </c>
      <c r="Q396" s="87" t="s">
        <v>5374</v>
      </c>
      <c r="R396" s="87" t="s">
        <v>6316</v>
      </c>
      <c r="S396" s="87" t="s">
        <v>6327</v>
      </c>
      <c r="T396" s="87" t="s">
        <v>6484</v>
      </c>
    </row>
    <row r="397" spans="1:20" ht="15.75" customHeight="1">
      <c r="A397" s="9" t="s">
        <v>2834</v>
      </c>
      <c r="B397" s="9" t="s">
        <v>7564</v>
      </c>
      <c r="C397" s="9" t="s">
        <v>6236</v>
      </c>
      <c r="D397" s="87" t="s">
        <v>6393</v>
      </c>
      <c r="E397" s="9" t="s">
        <v>431</v>
      </c>
      <c r="F397" s="9" t="s">
        <v>368</v>
      </c>
      <c r="G397" s="9" t="s">
        <v>436</v>
      </c>
      <c r="H397" s="9" t="s">
        <v>434</v>
      </c>
      <c r="I397" s="87" t="s">
        <v>6237</v>
      </c>
      <c r="J397" s="87" t="s">
        <v>6316</v>
      </c>
      <c r="K397" s="87" t="s">
        <v>6413</v>
      </c>
      <c r="L397" s="87" t="s">
        <v>6240</v>
      </c>
      <c r="M397" s="87" t="s">
        <v>6495</v>
      </c>
      <c r="N397" s="9" t="s">
        <v>7565</v>
      </c>
      <c r="O397" s="87" t="s">
        <v>6413</v>
      </c>
      <c r="P397" s="9" t="s">
        <v>6243</v>
      </c>
      <c r="Q397" s="87" t="s">
        <v>7484</v>
      </c>
      <c r="R397" s="87" t="s">
        <v>6316</v>
      </c>
      <c r="S397" s="87" t="s">
        <v>6428</v>
      </c>
      <c r="T397" s="87" t="s">
        <v>6645</v>
      </c>
    </row>
    <row r="398" spans="1:20" ht="15.75" customHeight="1">
      <c r="A398" s="9" t="s">
        <v>2834</v>
      </c>
      <c r="B398" s="9" t="s">
        <v>7566</v>
      </c>
      <c r="C398" s="9" t="s">
        <v>6671</v>
      </c>
      <c r="D398" s="87" t="s">
        <v>6296</v>
      </c>
      <c r="E398" s="9" t="s">
        <v>6672</v>
      </c>
      <c r="F398" s="9" t="s">
        <v>439</v>
      </c>
      <c r="G398" s="9" t="s">
        <v>436</v>
      </c>
      <c r="H398" s="9" t="s">
        <v>440</v>
      </c>
      <c r="I398" s="87" t="s">
        <v>6405</v>
      </c>
      <c r="J398" s="87" t="s">
        <v>6445</v>
      </c>
      <c r="K398" s="87" t="s">
        <v>6445</v>
      </c>
      <c r="L398" s="87" t="s">
        <v>6240</v>
      </c>
      <c r="M398" s="87" t="s">
        <v>6508</v>
      </c>
      <c r="N398" s="9" t="s">
        <v>7567</v>
      </c>
      <c r="O398" s="87" t="s">
        <v>6445</v>
      </c>
      <c r="P398" s="9" t="s">
        <v>6243</v>
      </c>
      <c r="Q398" s="87" t="s">
        <v>6796</v>
      </c>
      <c r="R398" s="87" t="s">
        <v>6445</v>
      </c>
      <c r="S398" s="87" t="s">
        <v>6273</v>
      </c>
      <c r="T398" s="87" t="s">
        <v>6645</v>
      </c>
    </row>
    <row r="399" spans="1:20" ht="15.75" customHeight="1">
      <c r="A399" s="9" t="s">
        <v>2834</v>
      </c>
      <c r="B399" s="9" t="s">
        <v>7568</v>
      </c>
      <c r="C399" s="9" t="s">
        <v>6923</v>
      </c>
      <c r="D399" s="87" t="s">
        <v>6327</v>
      </c>
      <c r="E399" s="9" t="s">
        <v>6924</v>
      </c>
      <c r="F399" s="9" t="s">
        <v>6925</v>
      </c>
      <c r="G399" s="9" t="s">
        <v>383</v>
      </c>
      <c r="H399" s="9" t="s">
        <v>444</v>
      </c>
      <c r="I399" s="87" t="s">
        <v>6405</v>
      </c>
      <c r="J399" s="87" t="s">
        <v>6405</v>
      </c>
      <c r="K399" s="87" t="s">
        <v>6926</v>
      </c>
      <c r="L399" s="87" t="s">
        <v>6238</v>
      </c>
      <c r="M399" s="87" t="s">
        <v>6510</v>
      </c>
      <c r="N399" s="9" t="s">
        <v>7440</v>
      </c>
      <c r="O399" s="87" t="s">
        <v>6245</v>
      </c>
      <c r="P399" s="9" t="s">
        <v>6243</v>
      </c>
      <c r="Q399" s="87" t="s">
        <v>6238</v>
      </c>
      <c r="R399" s="87" t="s">
        <v>6405</v>
      </c>
      <c r="S399" s="87" t="s">
        <v>6570</v>
      </c>
      <c r="T399" s="87" t="s">
        <v>6455</v>
      </c>
    </row>
    <row r="400" spans="1:20" ht="15.75" customHeight="1">
      <c r="A400" s="9" t="s">
        <v>2834</v>
      </c>
      <c r="B400" s="9" t="s">
        <v>7568</v>
      </c>
      <c r="C400" s="9" t="s">
        <v>7228</v>
      </c>
      <c r="D400" s="87" t="s">
        <v>6290</v>
      </c>
      <c r="E400" s="9" t="s">
        <v>6924</v>
      </c>
      <c r="F400" s="9" t="s">
        <v>11</v>
      </c>
      <c r="G400" s="9" t="s">
        <v>383</v>
      </c>
      <c r="H400" s="9" t="s">
        <v>426</v>
      </c>
      <c r="I400" s="87" t="s">
        <v>6405</v>
      </c>
      <c r="J400" s="87" t="s">
        <v>6405</v>
      </c>
      <c r="K400" s="87" t="s">
        <v>6405</v>
      </c>
      <c r="L400" s="87" t="s">
        <v>4953</v>
      </c>
      <c r="M400" s="87" t="s">
        <v>6511</v>
      </c>
      <c r="N400" s="9" t="s">
        <v>7569</v>
      </c>
      <c r="O400" s="87" t="s">
        <v>6237</v>
      </c>
      <c r="P400" s="9" t="s">
        <v>6243</v>
      </c>
      <c r="Q400" s="87" t="s">
        <v>4953</v>
      </c>
      <c r="R400" s="87" t="s">
        <v>6405</v>
      </c>
      <c r="S400" s="87" t="s">
        <v>6428</v>
      </c>
      <c r="T400" s="87" t="s">
        <v>6445</v>
      </c>
    </row>
    <row r="401" spans="1:20" ht="15.75" customHeight="1">
      <c r="A401" s="9" t="s">
        <v>2957</v>
      </c>
      <c r="B401" s="9" t="s">
        <v>7570</v>
      </c>
      <c r="C401" s="9" t="s">
        <v>6236</v>
      </c>
      <c r="D401" s="87" t="s">
        <v>6393</v>
      </c>
      <c r="E401" s="9" t="s">
        <v>431</v>
      </c>
      <c r="F401" s="9" t="s">
        <v>368</v>
      </c>
      <c r="G401" s="9" t="s">
        <v>436</v>
      </c>
      <c r="H401" s="9" t="s">
        <v>434</v>
      </c>
      <c r="I401" s="87" t="s">
        <v>6237</v>
      </c>
      <c r="J401" s="87" t="s">
        <v>6306</v>
      </c>
      <c r="K401" s="87" t="s">
        <v>6293</v>
      </c>
      <c r="L401" s="87" t="s">
        <v>6240</v>
      </c>
      <c r="M401" s="87" t="s">
        <v>6495</v>
      </c>
      <c r="N401" s="9" t="s">
        <v>7571</v>
      </c>
      <c r="O401" s="87" t="s">
        <v>6293</v>
      </c>
      <c r="P401" s="9" t="s">
        <v>6243</v>
      </c>
      <c r="Q401" s="87" t="s">
        <v>4828</v>
      </c>
      <c r="R401" s="87" t="s">
        <v>6306</v>
      </c>
      <c r="S401" s="87" t="s">
        <v>6327</v>
      </c>
      <c r="T401" s="87" t="s">
        <v>6322</v>
      </c>
    </row>
    <row r="402" spans="1:20" ht="15.75" customHeight="1">
      <c r="A402" s="9" t="s">
        <v>2957</v>
      </c>
      <c r="B402" s="9" t="s">
        <v>7570</v>
      </c>
      <c r="C402" s="9" t="s">
        <v>6236</v>
      </c>
      <c r="D402" s="87" t="s">
        <v>6393</v>
      </c>
      <c r="E402" s="9" t="s">
        <v>431</v>
      </c>
      <c r="F402" s="9" t="s">
        <v>368</v>
      </c>
      <c r="G402" s="9" t="s">
        <v>436</v>
      </c>
      <c r="H402" s="9" t="s">
        <v>434</v>
      </c>
      <c r="I402" s="87" t="s">
        <v>6237</v>
      </c>
      <c r="J402" s="87" t="s">
        <v>6306</v>
      </c>
      <c r="K402" s="87" t="s">
        <v>6293</v>
      </c>
      <c r="L402" s="87" t="s">
        <v>6240</v>
      </c>
      <c r="M402" s="87" t="s">
        <v>6508</v>
      </c>
      <c r="N402" s="9" t="s">
        <v>7101</v>
      </c>
      <c r="O402" s="87" t="s">
        <v>6293</v>
      </c>
      <c r="P402" s="9" t="s">
        <v>6243</v>
      </c>
      <c r="Q402" s="87" t="s">
        <v>4828</v>
      </c>
      <c r="R402" s="87" t="s">
        <v>6306</v>
      </c>
      <c r="S402" s="87" t="s">
        <v>6430</v>
      </c>
      <c r="T402" s="87" t="s">
        <v>6645</v>
      </c>
    </row>
    <row r="403" spans="1:20" ht="15.75" customHeight="1">
      <c r="A403" s="9" t="s">
        <v>2957</v>
      </c>
      <c r="B403" s="9" t="s">
        <v>7572</v>
      </c>
      <c r="C403" s="9" t="s">
        <v>6671</v>
      </c>
      <c r="D403" s="87" t="s">
        <v>6296</v>
      </c>
      <c r="E403" s="9" t="s">
        <v>6672</v>
      </c>
      <c r="F403" s="9" t="s">
        <v>439</v>
      </c>
      <c r="G403" s="9" t="s">
        <v>436</v>
      </c>
      <c r="H403" s="9" t="s">
        <v>440</v>
      </c>
      <c r="I403" s="87" t="s">
        <v>6405</v>
      </c>
      <c r="J403" s="87" t="s">
        <v>3231</v>
      </c>
      <c r="K403" s="87" t="s">
        <v>6239</v>
      </c>
      <c r="L403" s="87" t="s">
        <v>6240</v>
      </c>
      <c r="M403" s="87" t="s">
        <v>6510</v>
      </c>
      <c r="N403" s="9" t="s">
        <v>6928</v>
      </c>
      <c r="O403" s="87" t="s">
        <v>6239</v>
      </c>
      <c r="P403" s="9" t="s">
        <v>6243</v>
      </c>
      <c r="Q403" s="87" t="s">
        <v>3764</v>
      </c>
      <c r="R403" s="87" t="s">
        <v>3231</v>
      </c>
      <c r="S403" s="87" t="s">
        <v>6327</v>
      </c>
      <c r="T403" s="87" t="s">
        <v>6645</v>
      </c>
    </row>
    <row r="404" spans="1:20" ht="15.75" customHeight="1">
      <c r="A404" s="9" t="s">
        <v>2957</v>
      </c>
      <c r="B404" s="9" t="s">
        <v>7572</v>
      </c>
      <c r="C404" s="9" t="s">
        <v>6671</v>
      </c>
      <c r="D404" s="87" t="s">
        <v>6296</v>
      </c>
      <c r="E404" s="9" t="s">
        <v>6672</v>
      </c>
      <c r="F404" s="9" t="s">
        <v>439</v>
      </c>
      <c r="G404" s="9" t="s">
        <v>436</v>
      </c>
      <c r="H404" s="9" t="s">
        <v>440</v>
      </c>
      <c r="I404" s="87" t="s">
        <v>6405</v>
      </c>
      <c r="J404" s="87" t="s">
        <v>3231</v>
      </c>
      <c r="K404" s="87" t="s">
        <v>6239</v>
      </c>
      <c r="L404" s="87" t="s">
        <v>6240</v>
      </c>
      <c r="M404" s="87" t="s">
        <v>6511</v>
      </c>
      <c r="N404" s="9" t="s">
        <v>6928</v>
      </c>
      <c r="O404" s="87" t="s">
        <v>6239</v>
      </c>
      <c r="P404" s="9" t="s">
        <v>6243</v>
      </c>
      <c r="Q404" s="87" t="s">
        <v>3764</v>
      </c>
      <c r="R404" s="87" t="s">
        <v>3231</v>
      </c>
      <c r="S404" s="87" t="s">
        <v>6327</v>
      </c>
      <c r="T404" s="87" t="s">
        <v>6645</v>
      </c>
    </row>
    <row r="405" spans="1:20" ht="15.75" customHeight="1">
      <c r="A405" s="9" t="s">
        <v>2957</v>
      </c>
      <c r="B405" s="9" t="s">
        <v>7573</v>
      </c>
      <c r="C405" s="9" t="s">
        <v>6923</v>
      </c>
      <c r="D405" s="87" t="s">
        <v>6327</v>
      </c>
      <c r="E405" s="9" t="s">
        <v>6924</v>
      </c>
      <c r="F405" s="9" t="s">
        <v>6925</v>
      </c>
      <c r="G405" s="9" t="s">
        <v>383</v>
      </c>
      <c r="H405" s="9" t="s">
        <v>444</v>
      </c>
      <c r="I405" s="87" t="s">
        <v>6405</v>
      </c>
      <c r="J405" s="87" t="s">
        <v>6264</v>
      </c>
      <c r="K405" s="87" t="s">
        <v>6931</v>
      </c>
      <c r="L405" s="87" t="s">
        <v>6270</v>
      </c>
      <c r="M405" s="87" t="s">
        <v>6513</v>
      </c>
      <c r="N405" s="9" t="s">
        <v>7876</v>
      </c>
      <c r="O405" s="87" t="s">
        <v>6300</v>
      </c>
      <c r="P405" s="9" t="s">
        <v>6243</v>
      </c>
      <c r="Q405" s="87" t="s">
        <v>3861</v>
      </c>
      <c r="R405" s="87" t="s">
        <v>6264</v>
      </c>
      <c r="S405" s="87" t="s">
        <v>6433</v>
      </c>
      <c r="T405" s="87" t="s">
        <v>6443</v>
      </c>
    </row>
    <row r="406" spans="1:20" ht="15.75" customHeight="1">
      <c r="A406" s="9" t="s">
        <v>2957</v>
      </c>
      <c r="B406" s="9" t="s">
        <v>7572</v>
      </c>
      <c r="C406" s="9" t="s">
        <v>6671</v>
      </c>
      <c r="D406" s="87" t="s">
        <v>6296</v>
      </c>
      <c r="E406" s="9" t="s">
        <v>6672</v>
      </c>
      <c r="F406" s="9" t="s">
        <v>439</v>
      </c>
      <c r="G406" s="9" t="s">
        <v>436</v>
      </c>
      <c r="H406" s="9" t="s">
        <v>440</v>
      </c>
      <c r="I406" s="87" t="s">
        <v>6405</v>
      </c>
      <c r="J406" s="87" t="s">
        <v>3231</v>
      </c>
      <c r="K406" s="87" t="s">
        <v>6297</v>
      </c>
      <c r="L406" s="87" t="s">
        <v>6240</v>
      </c>
      <c r="M406" s="87" t="s">
        <v>6513</v>
      </c>
      <c r="N406" s="9" t="s">
        <v>6980</v>
      </c>
      <c r="O406" s="87" t="s">
        <v>6297</v>
      </c>
      <c r="P406" s="9" t="s">
        <v>6243</v>
      </c>
      <c r="Q406" s="87" t="s">
        <v>6299</v>
      </c>
      <c r="R406" s="87" t="s">
        <v>3231</v>
      </c>
      <c r="S406" s="87" t="s">
        <v>6306</v>
      </c>
      <c r="T406" s="87" t="s">
        <v>6645</v>
      </c>
    </row>
    <row r="407" spans="1:20" ht="15.75" customHeight="1">
      <c r="A407" s="9" t="s">
        <v>2957</v>
      </c>
      <c r="B407" s="9" t="s">
        <v>7573</v>
      </c>
      <c r="C407" s="9" t="s">
        <v>7228</v>
      </c>
      <c r="D407" s="87" t="s">
        <v>6290</v>
      </c>
      <c r="E407" s="9" t="s">
        <v>6924</v>
      </c>
      <c r="F407" s="9" t="s">
        <v>11</v>
      </c>
      <c r="G407" s="9" t="s">
        <v>383</v>
      </c>
      <c r="H407" s="9" t="s">
        <v>426</v>
      </c>
      <c r="I407" s="87" t="s">
        <v>6405</v>
      </c>
      <c r="J407" s="87" t="s">
        <v>6264</v>
      </c>
      <c r="K407" s="87" t="s">
        <v>6264</v>
      </c>
      <c r="L407" s="87" t="s">
        <v>4953</v>
      </c>
      <c r="M407" s="87" t="s">
        <v>6517</v>
      </c>
      <c r="N407" s="9" t="s">
        <v>7245</v>
      </c>
      <c r="O407" s="87" t="s">
        <v>6327</v>
      </c>
      <c r="P407" s="9" t="s">
        <v>6243</v>
      </c>
      <c r="Q407" s="87" t="s">
        <v>6392</v>
      </c>
      <c r="R407" s="87" t="s">
        <v>6264</v>
      </c>
      <c r="S407" s="87" t="s">
        <v>6500</v>
      </c>
      <c r="T407" s="87" t="s">
        <v>6341</v>
      </c>
    </row>
    <row r="408" spans="1:20" ht="15.75" customHeight="1">
      <c r="A408" s="9" t="s">
        <v>2955</v>
      </c>
      <c r="B408" s="9" t="s">
        <v>7574</v>
      </c>
      <c r="C408" s="9" t="s">
        <v>6236</v>
      </c>
      <c r="D408" s="87" t="s">
        <v>6393</v>
      </c>
      <c r="E408" s="9" t="s">
        <v>431</v>
      </c>
      <c r="F408" s="9" t="s">
        <v>368</v>
      </c>
      <c r="G408" s="9" t="s">
        <v>436</v>
      </c>
      <c r="H408" s="9" t="s">
        <v>434</v>
      </c>
      <c r="I408" s="87" t="s">
        <v>6237</v>
      </c>
      <c r="J408" s="87" t="s">
        <v>4014</v>
      </c>
      <c r="K408" s="87" t="s">
        <v>6416</v>
      </c>
      <c r="L408" s="87" t="s">
        <v>6240</v>
      </c>
      <c r="M408" s="87" t="s">
        <v>6530</v>
      </c>
      <c r="N408" s="9" t="s">
        <v>7147</v>
      </c>
      <c r="O408" s="87" t="s">
        <v>6416</v>
      </c>
      <c r="P408" s="9" t="s">
        <v>6243</v>
      </c>
      <c r="Q408" s="87" t="s">
        <v>6758</v>
      </c>
      <c r="R408" s="87" t="s">
        <v>4014</v>
      </c>
      <c r="S408" s="87" t="s">
        <v>6327</v>
      </c>
      <c r="T408" s="87" t="s">
        <v>6239</v>
      </c>
    </row>
    <row r="409" spans="1:20" ht="15.75" customHeight="1">
      <c r="A409" s="9" t="s">
        <v>2955</v>
      </c>
      <c r="B409" s="9" t="s">
        <v>7574</v>
      </c>
      <c r="C409" s="9" t="s">
        <v>6236</v>
      </c>
      <c r="D409" s="87" t="s">
        <v>6393</v>
      </c>
      <c r="E409" s="9" t="s">
        <v>431</v>
      </c>
      <c r="F409" s="9" t="s">
        <v>368</v>
      </c>
      <c r="G409" s="9" t="s">
        <v>436</v>
      </c>
      <c r="H409" s="9" t="s">
        <v>434</v>
      </c>
      <c r="I409" s="87" t="s">
        <v>6237</v>
      </c>
      <c r="J409" s="87" t="s">
        <v>4014</v>
      </c>
      <c r="K409" s="87" t="s">
        <v>6239</v>
      </c>
      <c r="L409" s="87" t="s">
        <v>6240</v>
      </c>
      <c r="M409" s="87" t="s">
        <v>6537</v>
      </c>
      <c r="N409" s="9" t="s">
        <v>6928</v>
      </c>
      <c r="O409" s="87" t="s">
        <v>6239</v>
      </c>
      <c r="P409" s="9" t="s">
        <v>6243</v>
      </c>
      <c r="Q409" s="87" t="s">
        <v>3764</v>
      </c>
      <c r="R409" s="87" t="s">
        <v>4014</v>
      </c>
      <c r="S409" s="87" t="s">
        <v>6327</v>
      </c>
      <c r="T409" s="87" t="s">
        <v>6645</v>
      </c>
    </row>
    <row r="410" spans="1:20" ht="15.75" customHeight="1">
      <c r="A410" s="9" t="s">
        <v>2955</v>
      </c>
      <c r="B410" s="9" t="s">
        <v>7576</v>
      </c>
      <c r="C410" s="9" t="s">
        <v>6923</v>
      </c>
      <c r="D410" s="87" t="s">
        <v>6810</v>
      </c>
      <c r="E410" s="9" t="s">
        <v>6924</v>
      </c>
      <c r="F410" s="9" t="s">
        <v>6925</v>
      </c>
      <c r="G410" s="9" t="s">
        <v>383</v>
      </c>
      <c r="H410" s="9" t="s">
        <v>430</v>
      </c>
      <c r="I410" s="87" t="s">
        <v>6405</v>
      </c>
      <c r="J410" s="87" t="s">
        <v>6334</v>
      </c>
      <c r="K410" s="87" t="s">
        <v>6926</v>
      </c>
      <c r="L410" s="87" t="s">
        <v>5079</v>
      </c>
      <c r="M410" s="87" t="s">
        <v>6538</v>
      </c>
      <c r="N410" s="9" t="s">
        <v>7927</v>
      </c>
      <c r="O410" s="87" t="s">
        <v>6486</v>
      </c>
      <c r="P410" s="9" t="s">
        <v>6243</v>
      </c>
      <c r="Q410" s="87" t="s">
        <v>5079</v>
      </c>
      <c r="R410" s="87" t="s">
        <v>6334</v>
      </c>
      <c r="S410" s="87" t="s">
        <v>6240</v>
      </c>
      <c r="T410" s="87" t="s">
        <v>6260</v>
      </c>
    </row>
    <row r="411" spans="1:20" ht="15.75" customHeight="1">
      <c r="A411" s="9" t="s">
        <v>2955</v>
      </c>
      <c r="B411" s="9" t="s">
        <v>7574</v>
      </c>
      <c r="C411" s="9" t="s">
        <v>6236</v>
      </c>
      <c r="D411" s="87" t="s">
        <v>6393</v>
      </c>
      <c r="E411" s="9" t="s">
        <v>431</v>
      </c>
      <c r="F411" s="9" t="s">
        <v>368</v>
      </c>
      <c r="G411" s="9" t="s">
        <v>436</v>
      </c>
      <c r="H411" s="9" t="s">
        <v>434</v>
      </c>
      <c r="I411" s="87" t="s">
        <v>6237</v>
      </c>
      <c r="J411" s="87" t="s">
        <v>4014</v>
      </c>
      <c r="K411" s="87" t="s">
        <v>6606</v>
      </c>
      <c r="L411" s="87" t="s">
        <v>6240</v>
      </c>
      <c r="M411" s="87" t="s">
        <v>6538</v>
      </c>
      <c r="N411" s="9" t="s">
        <v>7575</v>
      </c>
      <c r="O411" s="87" t="s">
        <v>6606</v>
      </c>
      <c r="P411" s="9" t="s">
        <v>6243</v>
      </c>
      <c r="Q411" s="87" t="s">
        <v>6608</v>
      </c>
      <c r="R411" s="87" t="s">
        <v>4014</v>
      </c>
      <c r="S411" s="87" t="s">
        <v>6370</v>
      </c>
      <c r="T411" s="87" t="s">
        <v>6645</v>
      </c>
    </row>
    <row r="412" spans="1:20" ht="15.75" customHeight="1">
      <c r="A412" s="9" t="s">
        <v>2955</v>
      </c>
      <c r="B412" s="9" t="s">
        <v>7576</v>
      </c>
      <c r="C412" s="9" t="s">
        <v>7228</v>
      </c>
      <c r="D412" s="87" t="s">
        <v>6237</v>
      </c>
      <c r="E412" s="9" t="s">
        <v>6924</v>
      </c>
      <c r="F412" s="9" t="s">
        <v>11</v>
      </c>
      <c r="G412" s="9" t="s">
        <v>383</v>
      </c>
      <c r="H412" s="9" t="s">
        <v>426</v>
      </c>
      <c r="I412" s="87" t="s">
        <v>6405</v>
      </c>
      <c r="J412" s="87" t="s">
        <v>6405</v>
      </c>
      <c r="K412" s="87" t="s">
        <v>6405</v>
      </c>
      <c r="L412" s="87" t="s">
        <v>6397</v>
      </c>
      <c r="M412" s="87" t="s">
        <v>6539</v>
      </c>
      <c r="N412" s="9" t="s">
        <v>7253</v>
      </c>
      <c r="O412" s="87" t="s">
        <v>6240</v>
      </c>
      <c r="P412" s="9" t="s">
        <v>6243</v>
      </c>
      <c r="Q412" s="87" t="s">
        <v>6397</v>
      </c>
      <c r="R412" s="87" t="s">
        <v>6405</v>
      </c>
      <c r="S412" s="87" t="s">
        <v>6411</v>
      </c>
      <c r="T412" s="87" t="s">
        <v>6451</v>
      </c>
    </row>
    <row r="413" spans="1:20" ht="15.75" customHeight="1">
      <c r="A413" s="9" t="s">
        <v>2955</v>
      </c>
      <c r="B413" s="9" t="s">
        <v>7579</v>
      </c>
      <c r="C413" s="9" t="s">
        <v>6923</v>
      </c>
      <c r="D413" s="87" t="s">
        <v>6810</v>
      </c>
      <c r="E413" s="9" t="s">
        <v>6924</v>
      </c>
      <c r="F413" s="9" t="s">
        <v>6925</v>
      </c>
      <c r="G413" s="9" t="s">
        <v>383</v>
      </c>
      <c r="H413" s="9" t="s">
        <v>430</v>
      </c>
      <c r="I413" s="87" t="s">
        <v>6405</v>
      </c>
      <c r="J413" s="87" t="s">
        <v>6334</v>
      </c>
      <c r="K413" s="87" t="s">
        <v>6926</v>
      </c>
      <c r="L413" s="87" t="s">
        <v>5079</v>
      </c>
      <c r="M413" s="87" t="s">
        <v>6539</v>
      </c>
      <c r="N413" s="9" t="s">
        <v>7928</v>
      </c>
      <c r="O413" s="87" t="s">
        <v>6486</v>
      </c>
      <c r="P413" s="9" t="s">
        <v>6243</v>
      </c>
      <c r="Q413" s="87" t="s">
        <v>5079</v>
      </c>
      <c r="R413" s="87" t="s">
        <v>6334</v>
      </c>
      <c r="S413" s="87" t="s">
        <v>6570</v>
      </c>
      <c r="T413" s="87" t="s">
        <v>6382</v>
      </c>
    </row>
    <row r="414" spans="1:20" ht="15.75" customHeight="1">
      <c r="A414" s="9" t="s">
        <v>2955</v>
      </c>
      <c r="B414" s="9" t="s">
        <v>7579</v>
      </c>
      <c r="C414" s="9" t="s">
        <v>7228</v>
      </c>
      <c r="D414" s="87" t="s">
        <v>6237</v>
      </c>
      <c r="E414" s="9" t="s">
        <v>6924</v>
      </c>
      <c r="F414" s="9" t="s">
        <v>11</v>
      </c>
      <c r="G414" s="9" t="s">
        <v>383</v>
      </c>
      <c r="H414" s="9" t="s">
        <v>426</v>
      </c>
      <c r="I414" s="87" t="s">
        <v>6405</v>
      </c>
      <c r="J414" s="87" t="s">
        <v>6405</v>
      </c>
      <c r="K414" s="87" t="s">
        <v>6405</v>
      </c>
      <c r="L414" s="87" t="s">
        <v>6397</v>
      </c>
      <c r="M414" s="87" t="s">
        <v>6540</v>
      </c>
      <c r="N414" s="9" t="s">
        <v>7929</v>
      </c>
      <c r="O414" s="87" t="s">
        <v>6240</v>
      </c>
      <c r="P414" s="9" t="s">
        <v>6243</v>
      </c>
      <c r="Q414" s="87" t="s">
        <v>6397</v>
      </c>
      <c r="R414" s="87" t="s">
        <v>6405</v>
      </c>
      <c r="S414" s="87" t="s">
        <v>6333</v>
      </c>
      <c r="T414" s="87" t="s">
        <v>6263</v>
      </c>
    </row>
    <row r="415" spans="1:20" ht="15.75" customHeight="1">
      <c r="A415" s="9" t="s">
        <v>2955</v>
      </c>
      <c r="B415" s="9" t="s">
        <v>7582</v>
      </c>
      <c r="C415" s="9" t="s">
        <v>6923</v>
      </c>
      <c r="D415" s="87" t="s">
        <v>6461</v>
      </c>
      <c r="E415" s="9" t="s">
        <v>6924</v>
      </c>
      <c r="F415" s="9" t="s">
        <v>6925</v>
      </c>
      <c r="G415" s="9" t="s">
        <v>383</v>
      </c>
      <c r="H415" s="9" t="s">
        <v>427</v>
      </c>
      <c r="I415" s="87" t="s">
        <v>6405</v>
      </c>
      <c r="J415" s="87" t="s">
        <v>6237</v>
      </c>
      <c r="K415" s="87" t="s">
        <v>6939</v>
      </c>
      <c r="L415" s="87" t="s">
        <v>5374</v>
      </c>
      <c r="M415" s="87" t="s">
        <v>6556</v>
      </c>
      <c r="N415" s="9" t="s">
        <v>6940</v>
      </c>
      <c r="O415" s="87" t="s">
        <v>6333</v>
      </c>
      <c r="P415" s="9" t="s">
        <v>6243</v>
      </c>
      <c r="Q415" s="87" t="s">
        <v>6575</v>
      </c>
      <c r="R415" s="87" t="s">
        <v>6237</v>
      </c>
      <c r="S415" s="87" t="s">
        <v>6570</v>
      </c>
      <c r="T415" s="87" t="s">
        <v>6341</v>
      </c>
    </row>
    <row r="416" spans="1:20" ht="15.75" customHeight="1">
      <c r="A416" s="9" t="s">
        <v>2955</v>
      </c>
      <c r="B416" s="9" t="s">
        <v>7582</v>
      </c>
      <c r="C416" s="9" t="s">
        <v>7228</v>
      </c>
      <c r="D416" s="87" t="s">
        <v>6237</v>
      </c>
      <c r="E416" s="9" t="s">
        <v>6924</v>
      </c>
      <c r="F416" s="9" t="s">
        <v>11</v>
      </c>
      <c r="G416" s="9" t="s">
        <v>383</v>
      </c>
      <c r="H416" s="9" t="s">
        <v>426</v>
      </c>
      <c r="I416" s="87" t="s">
        <v>6405</v>
      </c>
      <c r="J416" s="87" t="s">
        <v>6334</v>
      </c>
      <c r="K416" s="87" t="s">
        <v>6334</v>
      </c>
      <c r="L416" s="87" t="s">
        <v>6397</v>
      </c>
      <c r="M416" s="87" t="s">
        <v>6557</v>
      </c>
      <c r="N416" s="9" t="s">
        <v>7268</v>
      </c>
      <c r="O416" s="87" t="s">
        <v>6290</v>
      </c>
      <c r="P416" s="9" t="s">
        <v>6243</v>
      </c>
      <c r="Q416" s="87" t="s">
        <v>6293</v>
      </c>
      <c r="R416" s="87" t="s">
        <v>6334</v>
      </c>
      <c r="S416" s="87" t="s">
        <v>6479</v>
      </c>
      <c r="T416" s="87" t="s">
        <v>6341</v>
      </c>
    </row>
    <row r="417" spans="1:20" ht="15.75" customHeight="1">
      <c r="A417" s="9" t="s">
        <v>2955</v>
      </c>
      <c r="B417" s="9" t="s">
        <v>7584</v>
      </c>
      <c r="C417" s="9" t="s">
        <v>6923</v>
      </c>
      <c r="D417" s="87" t="s">
        <v>6461</v>
      </c>
      <c r="E417" s="9" t="s">
        <v>6924</v>
      </c>
      <c r="F417" s="9" t="s">
        <v>6925</v>
      </c>
      <c r="G417" s="9" t="s">
        <v>383</v>
      </c>
      <c r="H417" s="9" t="s">
        <v>427</v>
      </c>
      <c r="I417" s="87" t="s">
        <v>6405</v>
      </c>
      <c r="J417" s="87" t="s">
        <v>6237</v>
      </c>
      <c r="K417" s="87" t="s">
        <v>6939</v>
      </c>
      <c r="L417" s="87" t="s">
        <v>5374</v>
      </c>
      <c r="M417" s="87" t="s">
        <v>6557</v>
      </c>
      <c r="N417" s="9" t="s">
        <v>6940</v>
      </c>
      <c r="O417" s="87" t="s">
        <v>6333</v>
      </c>
      <c r="P417" s="9" t="s">
        <v>6243</v>
      </c>
      <c r="Q417" s="87" t="s">
        <v>6575</v>
      </c>
      <c r="R417" s="87" t="s">
        <v>6237</v>
      </c>
      <c r="S417" s="87" t="s">
        <v>6570</v>
      </c>
      <c r="T417" s="87" t="s">
        <v>6341</v>
      </c>
    </row>
    <row r="418" spans="1:20" ht="15.75" customHeight="1">
      <c r="A418" s="9" t="s">
        <v>2955</v>
      </c>
      <c r="B418" s="9" t="s">
        <v>7584</v>
      </c>
      <c r="C418" s="9" t="s">
        <v>7228</v>
      </c>
      <c r="D418" s="87" t="s">
        <v>6237</v>
      </c>
      <c r="E418" s="9" t="s">
        <v>6924</v>
      </c>
      <c r="F418" s="9" t="s">
        <v>11</v>
      </c>
      <c r="G418" s="9" t="s">
        <v>383</v>
      </c>
      <c r="H418" s="9" t="s">
        <v>426</v>
      </c>
      <c r="I418" s="87" t="s">
        <v>6405</v>
      </c>
      <c r="J418" s="87" t="s">
        <v>6334</v>
      </c>
      <c r="K418" s="87" t="s">
        <v>6334</v>
      </c>
      <c r="L418" s="87" t="s">
        <v>6397</v>
      </c>
      <c r="M418" s="87" t="s">
        <v>6563</v>
      </c>
      <c r="N418" s="9" t="s">
        <v>7268</v>
      </c>
      <c r="O418" s="87" t="s">
        <v>6290</v>
      </c>
      <c r="P418" s="9" t="s">
        <v>6243</v>
      </c>
      <c r="Q418" s="87" t="s">
        <v>6293</v>
      </c>
      <c r="R418" s="87" t="s">
        <v>6334</v>
      </c>
      <c r="S418" s="87" t="s">
        <v>6479</v>
      </c>
      <c r="T418" s="87" t="s">
        <v>6341</v>
      </c>
    </row>
    <row r="419" spans="1:20" ht="15.75" customHeight="1">
      <c r="A419" s="9" t="s">
        <v>2896</v>
      </c>
      <c r="B419" s="9" t="s">
        <v>7586</v>
      </c>
      <c r="C419" s="9" t="s">
        <v>6236</v>
      </c>
      <c r="D419" s="87" t="s">
        <v>6393</v>
      </c>
      <c r="E419" s="9" t="s">
        <v>431</v>
      </c>
      <c r="F419" s="9" t="s">
        <v>368</v>
      </c>
      <c r="G419" s="9" t="s">
        <v>436</v>
      </c>
      <c r="H419" s="9" t="s">
        <v>434</v>
      </c>
      <c r="I419" s="87" t="s">
        <v>6237</v>
      </c>
      <c r="J419" s="87" t="s">
        <v>6433</v>
      </c>
      <c r="K419" s="87" t="s">
        <v>6433</v>
      </c>
      <c r="L419" s="87" t="s">
        <v>6240</v>
      </c>
      <c r="M419" s="87" t="s">
        <v>6508</v>
      </c>
      <c r="N419" s="9" t="s">
        <v>7587</v>
      </c>
      <c r="O419" s="87" t="s">
        <v>6433</v>
      </c>
      <c r="P419" s="9" t="s">
        <v>6243</v>
      </c>
      <c r="Q419" s="87" t="s">
        <v>6305</v>
      </c>
      <c r="R419" s="87" t="s">
        <v>6433</v>
      </c>
      <c r="S419" s="87" t="s">
        <v>6498</v>
      </c>
      <c r="T419" s="87" t="s">
        <v>6404</v>
      </c>
    </row>
    <row r="420" spans="1:20" ht="15.75" customHeight="1">
      <c r="A420" s="9" t="s">
        <v>2896</v>
      </c>
      <c r="B420" s="9" t="s">
        <v>7590</v>
      </c>
      <c r="C420" s="9" t="s">
        <v>6923</v>
      </c>
      <c r="D420" s="87" t="s">
        <v>6327</v>
      </c>
      <c r="E420" s="9" t="s">
        <v>6924</v>
      </c>
      <c r="F420" s="9" t="s">
        <v>6925</v>
      </c>
      <c r="G420" s="9" t="s">
        <v>383</v>
      </c>
      <c r="H420" s="9" t="s">
        <v>444</v>
      </c>
      <c r="I420" s="87" t="s">
        <v>6405</v>
      </c>
      <c r="J420" s="87" t="s">
        <v>6405</v>
      </c>
      <c r="K420" s="87" t="s">
        <v>7119</v>
      </c>
      <c r="L420" s="87" t="s">
        <v>3231</v>
      </c>
      <c r="M420" s="87" t="s">
        <v>6513</v>
      </c>
      <c r="N420" s="9" t="s">
        <v>7871</v>
      </c>
      <c r="O420" s="87" t="s">
        <v>6435</v>
      </c>
      <c r="P420" s="9" t="s">
        <v>6243</v>
      </c>
      <c r="Q420" s="87" t="s">
        <v>6250</v>
      </c>
      <c r="R420" s="87" t="s">
        <v>6405</v>
      </c>
      <c r="S420" s="87" t="s">
        <v>6435</v>
      </c>
      <c r="T420" s="87" t="s">
        <v>6528</v>
      </c>
    </row>
    <row r="421" spans="1:20" ht="15.75" customHeight="1">
      <c r="A421" s="9" t="s">
        <v>2896</v>
      </c>
      <c r="B421" s="9" t="s">
        <v>7588</v>
      </c>
      <c r="C421" s="9" t="s">
        <v>6671</v>
      </c>
      <c r="D421" s="87" t="s">
        <v>6296</v>
      </c>
      <c r="E421" s="9" t="s">
        <v>6672</v>
      </c>
      <c r="F421" s="9" t="s">
        <v>439</v>
      </c>
      <c r="G421" s="9" t="s">
        <v>436</v>
      </c>
      <c r="H421" s="9" t="s">
        <v>440</v>
      </c>
      <c r="I421" s="87" t="s">
        <v>6405</v>
      </c>
      <c r="J421" s="87" t="s">
        <v>6290</v>
      </c>
      <c r="K421" s="87" t="s">
        <v>6290</v>
      </c>
      <c r="L421" s="87" t="s">
        <v>6240</v>
      </c>
      <c r="M421" s="87" t="s">
        <v>6513</v>
      </c>
      <c r="N421" s="9" t="s">
        <v>7589</v>
      </c>
      <c r="O421" s="87" t="s">
        <v>6290</v>
      </c>
      <c r="P421" s="9" t="s">
        <v>6243</v>
      </c>
      <c r="Q421" s="87" t="s">
        <v>6293</v>
      </c>
      <c r="R421" s="87" t="s">
        <v>6290</v>
      </c>
      <c r="S421" s="87" t="s">
        <v>6287</v>
      </c>
      <c r="T421" s="87" t="s">
        <v>6443</v>
      </c>
    </row>
    <row r="422" spans="1:20" ht="15.75" customHeight="1">
      <c r="A422" s="9" t="s">
        <v>2896</v>
      </c>
      <c r="B422" s="9" t="s">
        <v>7591</v>
      </c>
      <c r="C422" s="9" t="s">
        <v>6923</v>
      </c>
      <c r="D422" s="87" t="s">
        <v>6327</v>
      </c>
      <c r="E422" s="9" t="s">
        <v>6924</v>
      </c>
      <c r="F422" s="9" t="s">
        <v>6925</v>
      </c>
      <c r="G422" s="9" t="s">
        <v>383</v>
      </c>
      <c r="H422" s="9" t="s">
        <v>444</v>
      </c>
      <c r="I422" s="87" t="s">
        <v>6405</v>
      </c>
      <c r="J422" s="87" t="s">
        <v>6405</v>
      </c>
      <c r="K422" s="87" t="s">
        <v>6926</v>
      </c>
      <c r="L422" s="87" t="s">
        <v>3231</v>
      </c>
      <c r="M422" s="87" t="s">
        <v>6517</v>
      </c>
      <c r="N422" s="9" t="s">
        <v>7121</v>
      </c>
      <c r="O422" s="87" t="s">
        <v>6299</v>
      </c>
      <c r="P422" s="9" t="s">
        <v>6243</v>
      </c>
      <c r="Q422" s="87" t="s">
        <v>3231</v>
      </c>
      <c r="R422" s="87" t="s">
        <v>6405</v>
      </c>
      <c r="S422" s="87" t="s">
        <v>6400</v>
      </c>
      <c r="T422" s="87" t="s">
        <v>6341</v>
      </c>
    </row>
    <row r="423" spans="1:20" ht="15.75" customHeight="1">
      <c r="A423" s="9" t="s">
        <v>2983</v>
      </c>
      <c r="B423" s="9" t="s">
        <v>7592</v>
      </c>
      <c r="C423" s="9" t="s">
        <v>6236</v>
      </c>
      <c r="D423" s="87" t="s">
        <v>6393</v>
      </c>
      <c r="E423" s="9" t="s">
        <v>431</v>
      </c>
      <c r="F423" s="9" t="s">
        <v>368</v>
      </c>
      <c r="G423" s="9" t="s">
        <v>436</v>
      </c>
      <c r="H423" s="9" t="s">
        <v>434</v>
      </c>
      <c r="I423" s="87" t="s">
        <v>6237</v>
      </c>
      <c r="J423" s="87" t="s">
        <v>6515</v>
      </c>
      <c r="K423" s="87" t="s">
        <v>6245</v>
      </c>
      <c r="L423" s="87" t="s">
        <v>6240</v>
      </c>
      <c r="M423" s="87" t="s">
        <v>6508</v>
      </c>
      <c r="N423" s="9" t="s">
        <v>7593</v>
      </c>
      <c r="O423" s="87" t="s">
        <v>6245</v>
      </c>
      <c r="P423" s="9" t="s">
        <v>6243</v>
      </c>
      <c r="Q423" s="87" t="s">
        <v>6238</v>
      </c>
      <c r="R423" s="87" t="s">
        <v>6515</v>
      </c>
      <c r="S423" s="87" t="s">
        <v>6327</v>
      </c>
      <c r="T423" s="87" t="s">
        <v>6254</v>
      </c>
    </row>
    <row r="424" spans="1:20" ht="15.75" customHeight="1">
      <c r="A424" s="9" t="s">
        <v>2983</v>
      </c>
      <c r="B424" s="9" t="s">
        <v>7592</v>
      </c>
      <c r="C424" s="9" t="s">
        <v>6236</v>
      </c>
      <c r="D424" s="87" t="s">
        <v>6393</v>
      </c>
      <c r="E424" s="9" t="s">
        <v>431</v>
      </c>
      <c r="F424" s="9" t="s">
        <v>368</v>
      </c>
      <c r="G424" s="9" t="s">
        <v>436</v>
      </c>
      <c r="H424" s="9" t="s">
        <v>434</v>
      </c>
      <c r="I424" s="87" t="s">
        <v>6237</v>
      </c>
      <c r="J424" s="87" t="s">
        <v>6515</v>
      </c>
      <c r="K424" s="87" t="s">
        <v>6239</v>
      </c>
      <c r="L424" s="87" t="s">
        <v>6240</v>
      </c>
      <c r="M424" s="87" t="s">
        <v>6510</v>
      </c>
      <c r="N424" s="9" t="s">
        <v>6928</v>
      </c>
      <c r="O424" s="87" t="s">
        <v>6239</v>
      </c>
      <c r="P424" s="9" t="s">
        <v>6243</v>
      </c>
      <c r="Q424" s="87" t="s">
        <v>3764</v>
      </c>
      <c r="R424" s="87" t="s">
        <v>6515</v>
      </c>
      <c r="S424" s="87" t="s">
        <v>6327</v>
      </c>
      <c r="T424" s="87" t="s">
        <v>6645</v>
      </c>
    </row>
    <row r="425" spans="1:20" ht="15.75" customHeight="1">
      <c r="A425" s="9" t="s">
        <v>2983</v>
      </c>
      <c r="B425" s="9" t="s">
        <v>7592</v>
      </c>
      <c r="C425" s="9" t="s">
        <v>6236</v>
      </c>
      <c r="D425" s="87" t="s">
        <v>6393</v>
      </c>
      <c r="E425" s="9" t="s">
        <v>431</v>
      </c>
      <c r="F425" s="9" t="s">
        <v>368</v>
      </c>
      <c r="G425" s="9" t="s">
        <v>436</v>
      </c>
      <c r="H425" s="9" t="s">
        <v>434</v>
      </c>
      <c r="I425" s="87" t="s">
        <v>6237</v>
      </c>
      <c r="J425" s="87" t="s">
        <v>6515</v>
      </c>
      <c r="K425" s="87" t="s">
        <v>6451</v>
      </c>
      <c r="L425" s="87" t="s">
        <v>6240</v>
      </c>
      <c r="M425" s="87" t="s">
        <v>6511</v>
      </c>
      <c r="N425" s="9" t="s">
        <v>7220</v>
      </c>
      <c r="O425" s="87" t="s">
        <v>6451</v>
      </c>
      <c r="P425" s="9" t="s">
        <v>6243</v>
      </c>
      <c r="Q425" s="87" t="s">
        <v>6410</v>
      </c>
      <c r="R425" s="87" t="s">
        <v>6515</v>
      </c>
      <c r="S425" s="87" t="s">
        <v>6651</v>
      </c>
      <c r="T425" s="87" t="s">
        <v>6645</v>
      </c>
    </row>
    <row r="426" spans="1:20" ht="15.75" customHeight="1">
      <c r="A426" s="9" t="s">
        <v>2983</v>
      </c>
      <c r="B426" s="9" t="s">
        <v>7594</v>
      </c>
      <c r="C426" s="9" t="s">
        <v>6671</v>
      </c>
      <c r="D426" s="87" t="s">
        <v>6296</v>
      </c>
      <c r="E426" s="9" t="s">
        <v>6672</v>
      </c>
      <c r="F426" s="9" t="s">
        <v>439</v>
      </c>
      <c r="G426" s="9" t="s">
        <v>436</v>
      </c>
      <c r="H426" s="9" t="s">
        <v>440</v>
      </c>
      <c r="I426" s="87" t="s">
        <v>6405</v>
      </c>
      <c r="J426" s="87" t="s">
        <v>6305</v>
      </c>
      <c r="K426" s="87" t="s">
        <v>6300</v>
      </c>
      <c r="L426" s="87" t="s">
        <v>6240</v>
      </c>
      <c r="M426" s="87" t="s">
        <v>6513</v>
      </c>
      <c r="N426" s="9" t="s">
        <v>7193</v>
      </c>
      <c r="O426" s="87" t="s">
        <v>6300</v>
      </c>
      <c r="P426" s="9" t="s">
        <v>6243</v>
      </c>
      <c r="Q426" s="87" t="s">
        <v>3861</v>
      </c>
      <c r="R426" s="87" t="s">
        <v>6305</v>
      </c>
      <c r="S426" s="87" t="s">
        <v>6327</v>
      </c>
      <c r="T426" s="87" t="s">
        <v>6256</v>
      </c>
    </row>
    <row r="427" spans="1:20" ht="15.75" customHeight="1">
      <c r="A427" s="9" t="s">
        <v>2983</v>
      </c>
      <c r="B427" s="9" t="s">
        <v>7596</v>
      </c>
      <c r="C427" s="9" t="s">
        <v>6923</v>
      </c>
      <c r="D427" s="87" t="s">
        <v>6461</v>
      </c>
      <c r="E427" s="9" t="s">
        <v>6924</v>
      </c>
      <c r="F427" s="9" t="s">
        <v>6925</v>
      </c>
      <c r="G427" s="9" t="s">
        <v>383</v>
      </c>
      <c r="H427" s="9" t="s">
        <v>427</v>
      </c>
      <c r="I427" s="87" t="s">
        <v>6405</v>
      </c>
      <c r="J427" s="87" t="s">
        <v>6405</v>
      </c>
      <c r="K427" s="87" t="s">
        <v>6926</v>
      </c>
      <c r="L427" s="87" t="s">
        <v>6305</v>
      </c>
      <c r="M427" s="87" t="s">
        <v>6517</v>
      </c>
      <c r="N427" s="9" t="s">
        <v>7930</v>
      </c>
      <c r="O427" s="87" t="s">
        <v>6433</v>
      </c>
      <c r="P427" s="9" t="s">
        <v>6243</v>
      </c>
      <c r="Q427" s="87" t="s">
        <v>6305</v>
      </c>
      <c r="R427" s="87" t="s">
        <v>6405</v>
      </c>
      <c r="S427" s="87" t="s">
        <v>6409</v>
      </c>
      <c r="T427" s="87" t="s">
        <v>6357</v>
      </c>
    </row>
    <row r="428" spans="1:20" ht="15.75" customHeight="1">
      <c r="A428" s="9" t="s">
        <v>2983</v>
      </c>
      <c r="B428" s="9" t="s">
        <v>7596</v>
      </c>
      <c r="C428" s="9" t="s">
        <v>6923</v>
      </c>
      <c r="D428" s="87" t="s">
        <v>6264</v>
      </c>
      <c r="E428" s="9" t="s">
        <v>6924</v>
      </c>
      <c r="F428" s="9" t="s">
        <v>6925</v>
      </c>
      <c r="G428" s="9" t="s">
        <v>383</v>
      </c>
      <c r="H428" s="9" t="s">
        <v>449</v>
      </c>
      <c r="I428" s="87" t="s">
        <v>6405</v>
      </c>
      <c r="J428" s="87" t="s">
        <v>6405</v>
      </c>
      <c r="K428" s="87" t="s">
        <v>6926</v>
      </c>
      <c r="L428" s="87" t="s">
        <v>6306</v>
      </c>
      <c r="M428" s="87" t="s">
        <v>6517</v>
      </c>
      <c r="N428" s="9" t="s">
        <v>7285</v>
      </c>
      <c r="O428" s="87" t="s">
        <v>4953</v>
      </c>
      <c r="P428" s="9" t="s">
        <v>6243</v>
      </c>
      <c r="Q428" s="87" t="s">
        <v>6306</v>
      </c>
      <c r="R428" s="87" t="s">
        <v>6405</v>
      </c>
      <c r="S428" s="87" t="s">
        <v>6498</v>
      </c>
      <c r="T428" s="87" t="s">
        <v>6250</v>
      </c>
    </row>
    <row r="429" spans="1:20" ht="15.75" customHeight="1">
      <c r="A429" s="9" t="s">
        <v>2983</v>
      </c>
      <c r="B429" s="9" t="s">
        <v>7594</v>
      </c>
      <c r="C429" s="9" t="s">
        <v>6671</v>
      </c>
      <c r="D429" s="87" t="s">
        <v>6296</v>
      </c>
      <c r="E429" s="9" t="s">
        <v>6672</v>
      </c>
      <c r="F429" s="9" t="s">
        <v>439</v>
      </c>
      <c r="G429" s="9" t="s">
        <v>436</v>
      </c>
      <c r="H429" s="9" t="s">
        <v>440</v>
      </c>
      <c r="I429" s="87" t="s">
        <v>6405</v>
      </c>
      <c r="J429" s="87" t="s">
        <v>6305</v>
      </c>
      <c r="K429" s="87" t="s">
        <v>6295</v>
      </c>
      <c r="L429" s="87" t="s">
        <v>6240</v>
      </c>
      <c r="M429" s="87" t="s">
        <v>6517</v>
      </c>
      <c r="N429" s="9" t="s">
        <v>7595</v>
      </c>
      <c r="O429" s="87" t="s">
        <v>6295</v>
      </c>
      <c r="P429" s="9" t="s">
        <v>6243</v>
      </c>
      <c r="Q429" s="87" t="s">
        <v>6372</v>
      </c>
      <c r="R429" s="87" t="s">
        <v>6305</v>
      </c>
      <c r="S429" s="87" t="s">
        <v>6543</v>
      </c>
      <c r="T429" s="87" t="s">
        <v>6645</v>
      </c>
    </row>
    <row r="430" spans="1:20" ht="15.75" customHeight="1">
      <c r="A430" s="9" t="s">
        <v>2983</v>
      </c>
      <c r="B430" s="9" t="s">
        <v>7596</v>
      </c>
      <c r="C430" s="9" t="s">
        <v>7228</v>
      </c>
      <c r="D430" s="87" t="s">
        <v>6405</v>
      </c>
      <c r="E430" s="9" t="s">
        <v>6924</v>
      </c>
      <c r="F430" s="9" t="s">
        <v>11</v>
      </c>
      <c r="G430" s="9" t="s">
        <v>383</v>
      </c>
      <c r="H430" s="9" t="s">
        <v>426</v>
      </c>
      <c r="I430" s="87" t="s">
        <v>6405</v>
      </c>
      <c r="J430" s="87" t="s">
        <v>6405</v>
      </c>
      <c r="K430" s="87" t="s">
        <v>6405</v>
      </c>
      <c r="L430" s="87" t="s">
        <v>5381</v>
      </c>
      <c r="M430" s="87" t="s">
        <v>6530</v>
      </c>
      <c r="N430" s="9" t="s">
        <v>6966</v>
      </c>
      <c r="O430" s="87" t="s">
        <v>6348</v>
      </c>
      <c r="P430" s="9" t="s">
        <v>6243</v>
      </c>
      <c r="Q430" s="87" t="s">
        <v>5381</v>
      </c>
      <c r="R430" s="87" t="s">
        <v>6405</v>
      </c>
      <c r="S430" s="87" t="s">
        <v>6342</v>
      </c>
      <c r="T430" s="87" t="s">
        <v>6341</v>
      </c>
    </row>
    <row r="431" spans="1:20" ht="15.75" customHeight="1">
      <c r="A431" s="9" t="s">
        <v>2928</v>
      </c>
      <c r="B431" s="9" t="s">
        <v>7599</v>
      </c>
      <c r="C431" s="9" t="s">
        <v>6236</v>
      </c>
      <c r="D431" s="87" t="s">
        <v>6393</v>
      </c>
      <c r="E431" s="9" t="s">
        <v>431</v>
      </c>
      <c r="F431" s="9" t="s">
        <v>368</v>
      </c>
      <c r="G431" s="9" t="s">
        <v>436</v>
      </c>
      <c r="H431" s="9" t="s">
        <v>434</v>
      </c>
      <c r="I431" s="87" t="s">
        <v>6264</v>
      </c>
      <c r="J431" s="87" t="s">
        <v>6254</v>
      </c>
      <c r="K431" s="87" t="s">
        <v>6254</v>
      </c>
      <c r="L431" s="87" t="s">
        <v>6240</v>
      </c>
      <c r="M431" s="87" t="s">
        <v>6511</v>
      </c>
      <c r="N431" s="9" t="s">
        <v>7600</v>
      </c>
      <c r="O431" s="87" t="s">
        <v>6254</v>
      </c>
      <c r="P431" s="9" t="s">
        <v>6243</v>
      </c>
      <c r="Q431" s="87" t="s">
        <v>5968</v>
      </c>
      <c r="R431" s="87" t="s">
        <v>6254</v>
      </c>
      <c r="S431" s="87" t="s">
        <v>6413</v>
      </c>
      <c r="T431" s="87" t="s">
        <v>6316</v>
      </c>
    </row>
    <row r="432" spans="1:20" ht="15.75" customHeight="1">
      <c r="A432" s="9" t="s">
        <v>2928</v>
      </c>
      <c r="B432" s="9" t="s">
        <v>7602</v>
      </c>
      <c r="C432" s="9" t="s">
        <v>6923</v>
      </c>
      <c r="D432" s="87" t="s">
        <v>6327</v>
      </c>
      <c r="E432" s="9" t="s">
        <v>6924</v>
      </c>
      <c r="F432" s="9" t="s">
        <v>6925</v>
      </c>
      <c r="G432" s="9" t="s">
        <v>383</v>
      </c>
      <c r="H432" s="9" t="s">
        <v>444</v>
      </c>
      <c r="I432" s="87" t="s">
        <v>6405</v>
      </c>
      <c r="J432" s="87" t="s">
        <v>6405</v>
      </c>
      <c r="K432" s="87" t="s">
        <v>6926</v>
      </c>
      <c r="L432" s="87" t="s">
        <v>5968</v>
      </c>
      <c r="M432" s="87" t="s">
        <v>6517</v>
      </c>
      <c r="N432" s="9" t="s">
        <v>7628</v>
      </c>
      <c r="O432" s="87" t="s">
        <v>6254</v>
      </c>
      <c r="P432" s="9" t="s">
        <v>6243</v>
      </c>
      <c r="Q432" s="87" t="s">
        <v>5968</v>
      </c>
      <c r="R432" s="87" t="s">
        <v>6405</v>
      </c>
      <c r="S432" s="87" t="s">
        <v>6393</v>
      </c>
      <c r="T432" s="87" t="s">
        <v>6361</v>
      </c>
    </row>
    <row r="433" spans="1:20" ht="15.75" customHeight="1">
      <c r="A433" s="9" t="s">
        <v>2928</v>
      </c>
      <c r="B433" s="9" t="s">
        <v>7601</v>
      </c>
      <c r="C433" s="9" t="s">
        <v>6671</v>
      </c>
      <c r="D433" s="87" t="s">
        <v>6296</v>
      </c>
      <c r="E433" s="9" t="s">
        <v>6672</v>
      </c>
      <c r="F433" s="9" t="s">
        <v>439</v>
      </c>
      <c r="G433" s="9" t="s">
        <v>436</v>
      </c>
      <c r="H433" s="9" t="s">
        <v>440</v>
      </c>
      <c r="I433" s="87" t="s">
        <v>6405</v>
      </c>
      <c r="J433" s="87" t="s">
        <v>4953</v>
      </c>
      <c r="K433" s="87" t="s">
        <v>4953</v>
      </c>
      <c r="L433" s="87" t="s">
        <v>6240</v>
      </c>
      <c r="M433" s="87" t="s">
        <v>6517</v>
      </c>
      <c r="N433" s="9" t="s">
        <v>7331</v>
      </c>
      <c r="O433" s="87" t="s">
        <v>4953</v>
      </c>
      <c r="P433" s="9" t="s">
        <v>6243</v>
      </c>
      <c r="Q433" s="87" t="s">
        <v>6306</v>
      </c>
      <c r="R433" s="87" t="s">
        <v>4953</v>
      </c>
      <c r="S433" s="87" t="s">
        <v>6400</v>
      </c>
      <c r="T433" s="87" t="s">
        <v>6357</v>
      </c>
    </row>
    <row r="434" spans="1:20" ht="15.75" customHeight="1">
      <c r="A434" s="9" t="s">
        <v>2928</v>
      </c>
      <c r="B434" s="9" t="s">
        <v>7602</v>
      </c>
      <c r="C434" s="9" t="s">
        <v>7228</v>
      </c>
      <c r="D434" s="87" t="s">
        <v>6290</v>
      </c>
      <c r="E434" s="9" t="s">
        <v>6924</v>
      </c>
      <c r="F434" s="9" t="s">
        <v>11</v>
      </c>
      <c r="G434" s="9" t="s">
        <v>383</v>
      </c>
      <c r="H434" s="9" t="s">
        <v>426</v>
      </c>
      <c r="I434" s="87" t="s">
        <v>6405</v>
      </c>
      <c r="J434" s="87" t="s">
        <v>6405</v>
      </c>
      <c r="K434" s="87" t="s">
        <v>6405</v>
      </c>
      <c r="L434" s="87" t="s">
        <v>6306</v>
      </c>
      <c r="M434" s="87" t="s">
        <v>6530</v>
      </c>
      <c r="N434" s="9" t="s">
        <v>7604</v>
      </c>
      <c r="O434" s="87" t="s">
        <v>4953</v>
      </c>
      <c r="P434" s="9" t="s">
        <v>6243</v>
      </c>
      <c r="Q434" s="87" t="s">
        <v>6306</v>
      </c>
      <c r="R434" s="87" t="s">
        <v>6405</v>
      </c>
      <c r="S434" s="87" t="s">
        <v>6428</v>
      </c>
      <c r="T434" s="87" t="s">
        <v>6651</v>
      </c>
    </row>
    <row r="435" spans="1:20" ht="15.75" customHeight="1">
      <c r="A435" s="9" t="s">
        <v>3010</v>
      </c>
      <c r="B435" s="9" t="s">
        <v>7605</v>
      </c>
      <c r="C435" s="9" t="s">
        <v>6236</v>
      </c>
      <c r="D435" s="87" t="s">
        <v>6393</v>
      </c>
      <c r="E435" s="9" t="s">
        <v>431</v>
      </c>
      <c r="F435" s="9" t="s">
        <v>368</v>
      </c>
      <c r="G435" s="9" t="s">
        <v>436</v>
      </c>
      <c r="H435" s="9" t="s">
        <v>434</v>
      </c>
      <c r="I435" s="87" t="s">
        <v>6237</v>
      </c>
      <c r="J435" s="87" t="s">
        <v>6299</v>
      </c>
      <c r="K435" s="87" t="s">
        <v>6299</v>
      </c>
      <c r="L435" s="87" t="s">
        <v>6240</v>
      </c>
      <c r="M435" s="87" t="s">
        <v>6540</v>
      </c>
      <c r="N435" s="9" t="s">
        <v>7606</v>
      </c>
      <c r="O435" s="87" t="s">
        <v>6299</v>
      </c>
      <c r="P435" s="9" t="s">
        <v>6243</v>
      </c>
      <c r="Q435" s="87" t="s">
        <v>3231</v>
      </c>
      <c r="R435" s="87" t="s">
        <v>6299</v>
      </c>
      <c r="S435" s="87" t="s">
        <v>6260</v>
      </c>
      <c r="T435" s="87" t="s">
        <v>6367</v>
      </c>
    </row>
    <row r="436" spans="1:20" ht="15.75" customHeight="1">
      <c r="A436" s="9" t="s">
        <v>3010</v>
      </c>
      <c r="B436" s="9" t="s">
        <v>7607</v>
      </c>
      <c r="C436" s="9" t="s">
        <v>6923</v>
      </c>
      <c r="D436" s="87" t="s">
        <v>6461</v>
      </c>
      <c r="E436" s="9" t="s">
        <v>6924</v>
      </c>
      <c r="F436" s="9" t="s">
        <v>6925</v>
      </c>
      <c r="G436" s="9" t="s">
        <v>383</v>
      </c>
      <c r="H436" s="9" t="s">
        <v>427</v>
      </c>
      <c r="I436" s="87" t="s">
        <v>6405</v>
      </c>
      <c r="J436" s="87" t="s">
        <v>6334</v>
      </c>
      <c r="K436" s="87" t="s">
        <v>6939</v>
      </c>
      <c r="L436" s="87" t="s">
        <v>6464</v>
      </c>
      <c r="M436" s="87" t="s">
        <v>6563</v>
      </c>
      <c r="N436" s="9" t="s">
        <v>6945</v>
      </c>
      <c r="O436" s="87" t="s">
        <v>6500</v>
      </c>
      <c r="P436" s="9" t="s">
        <v>6243</v>
      </c>
      <c r="Q436" s="87" t="s">
        <v>3749</v>
      </c>
      <c r="R436" s="87" t="s">
        <v>6334</v>
      </c>
      <c r="S436" s="87" t="s">
        <v>6327</v>
      </c>
      <c r="T436" s="87" t="s">
        <v>6341</v>
      </c>
    </row>
    <row r="437" spans="1:20" ht="15.75" customHeight="1">
      <c r="A437" s="9" t="s">
        <v>3010</v>
      </c>
      <c r="B437" s="9" t="s">
        <v>7607</v>
      </c>
      <c r="C437" s="9" t="s">
        <v>7228</v>
      </c>
      <c r="D437" s="87" t="s">
        <v>6237</v>
      </c>
      <c r="E437" s="9" t="s">
        <v>6924</v>
      </c>
      <c r="F437" s="9" t="s">
        <v>11</v>
      </c>
      <c r="G437" s="9" t="s">
        <v>383</v>
      </c>
      <c r="H437" s="9" t="s">
        <v>426</v>
      </c>
      <c r="I437" s="87" t="s">
        <v>6405</v>
      </c>
      <c r="J437" s="87" t="s">
        <v>6334</v>
      </c>
      <c r="K437" s="87" t="s">
        <v>6334</v>
      </c>
      <c r="L437" s="87" t="s">
        <v>6474</v>
      </c>
      <c r="M437" s="87" t="s">
        <v>6566</v>
      </c>
      <c r="N437" s="9" t="s">
        <v>6946</v>
      </c>
      <c r="O437" s="87" t="s">
        <v>6302</v>
      </c>
      <c r="P437" s="9" t="s">
        <v>6243</v>
      </c>
      <c r="Q437" s="87" t="s">
        <v>6464</v>
      </c>
      <c r="R437" s="87" t="s">
        <v>6334</v>
      </c>
      <c r="S437" s="87" t="s">
        <v>6409</v>
      </c>
      <c r="T437" s="87" t="s">
        <v>6341</v>
      </c>
    </row>
    <row r="438" spans="1:20" ht="15.75" customHeight="1">
      <c r="A438" s="9" t="s">
        <v>2973</v>
      </c>
      <c r="B438" s="9" t="s">
        <v>7611</v>
      </c>
      <c r="C438" s="9" t="s">
        <v>6236</v>
      </c>
      <c r="D438" s="87" t="s">
        <v>6393</v>
      </c>
      <c r="E438" s="9" t="s">
        <v>431</v>
      </c>
      <c r="F438" s="9" t="s">
        <v>368</v>
      </c>
      <c r="G438" s="9" t="s">
        <v>436</v>
      </c>
      <c r="H438" s="9" t="s">
        <v>434</v>
      </c>
      <c r="I438" s="87" t="s">
        <v>6237</v>
      </c>
      <c r="J438" s="87" t="s">
        <v>6306</v>
      </c>
      <c r="K438" s="87" t="s">
        <v>6387</v>
      </c>
      <c r="L438" s="87" t="s">
        <v>6240</v>
      </c>
      <c r="M438" s="87" t="s">
        <v>6538</v>
      </c>
      <c r="N438" s="9" t="s">
        <v>7546</v>
      </c>
      <c r="O438" s="87" t="s">
        <v>6387</v>
      </c>
      <c r="P438" s="9" t="s">
        <v>6243</v>
      </c>
      <c r="Q438" s="87" t="s">
        <v>6248</v>
      </c>
      <c r="R438" s="87" t="s">
        <v>6306</v>
      </c>
      <c r="S438" s="87" t="s">
        <v>6327</v>
      </c>
      <c r="T438" s="87" t="s">
        <v>6260</v>
      </c>
    </row>
    <row r="439" spans="1:20" ht="15.75" customHeight="1">
      <c r="A439" s="9" t="s">
        <v>2973</v>
      </c>
      <c r="B439" s="9" t="s">
        <v>7611</v>
      </c>
      <c r="C439" s="9" t="s">
        <v>6236</v>
      </c>
      <c r="D439" s="87" t="s">
        <v>6393</v>
      </c>
      <c r="E439" s="9" t="s">
        <v>431</v>
      </c>
      <c r="F439" s="9" t="s">
        <v>368</v>
      </c>
      <c r="G439" s="9" t="s">
        <v>436</v>
      </c>
      <c r="H439" s="9" t="s">
        <v>434</v>
      </c>
      <c r="I439" s="87" t="s">
        <v>6237</v>
      </c>
      <c r="J439" s="87" t="s">
        <v>6306</v>
      </c>
      <c r="K439" s="87" t="s">
        <v>6401</v>
      </c>
      <c r="L439" s="87" t="s">
        <v>6240</v>
      </c>
      <c r="M439" s="87" t="s">
        <v>6539</v>
      </c>
      <c r="N439" s="9" t="s">
        <v>7612</v>
      </c>
      <c r="O439" s="87" t="s">
        <v>6401</v>
      </c>
      <c r="P439" s="9" t="s">
        <v>6243</v>
      </c>
      <c r="Q439" s="87" t="s">
        <v>6403</v>
      </c>
      <c r="R439" s="87" t="s">
        <v>6306</v>
      </c>
      <c r="S439" s="87" t="s">
        <v>6484</v>
      </c>
      <c r="T439" s="87" t="s">
        <v>6645</v>
      </c>
    </row>
    <row r="440" spans="1:20" ht="15.75" customHeight="1">
      <c r="A440" s="9" t="s">
        <v>2973</v>
      </c>
      <c r="B440" s="9" t="s">
        <v>7613</v>
      </c>
      <c r="C440" s="9" t="s">
        <v>6671</v>
      </c>
      <c r="D440" s="87" t="s">
        <v>6296</v>
      </c>
      <c r="E440" s="9" t="s">
        <v>6672</v>
      </c>
      <c r="F440" s="9" t="s">
        <v>439</v>
      </c>
      <c r="G440" s="9" t="s">
        <v>436</v>
      </c>
      <c r="H440" s="9" t="s">
        <v>440</v>
      </c>
      <c r="I440" s="87" t="s">
        <v>6405</v>
      </c>
      <c r="J440" s="87" t="s">
        <v>6267</v>
      </c>
      <c r="K440" s="87" t="s">
        <v>6267</v>
      </c>
      <c r="L440" s="87" t="s">
        <v>6240</v>
      </c>
      <c r="M440" s="87" t="s">
        <v>6540</v>
      </c>
      <c r="N440" s="9" t="s">
        <v>7128</v>
      </c>
      <c r="O440" s="87" t="s">
        <v>6267</v>
      </c>
      <c r="P440" s="9" t="s">
        <v>6243</v>
      </c>
      <c r="Q440" s="87" t="s">
        <v>6506</v>
      </c>
      <c r="R440" s="87" t="s">
        <v>6267</v>
      </c>
      <c r="S440" s="87" t="s">
        <v>6313</v>
      </c>
      <c r="T440" s="87" t="s">
        <v>6645</v>
      </c>
    </row>
    <row r="441" spans="1:20" ht="15.75" customHeight="1">
      <c r="A441" s="9" t="s">
        <v>2973</v>
      </c>
      <c r="B441" s="9" t="s">
        <v>7614</v>
      </c>
      <c r="C441" s="9" t="s">
        <v>6923</v>
      </c>
      <c r="D441" s="87" t="s">
        <v>6264</v>
      </c>
      <c r="E441" s="9" t="s">
        <v>6924</v>
      </c>
      <c r="F441" s="9" t="s">
        <v>6925</v>
      </c>
      <c r="G441" s="9" t="s">
        <v>383</v>
      </c>
      <c r="H441" s="9" t="s">
        <v>449</v>
      </c>
      <c r="I441" s="87" t="s">
        <v>6405</v>
      </c>
      <c r="J441" s="87" t="s">
        <v>6405</v>
      </c>
      <c r="K441" s="87" t="s">
        <v>6926</v>
      </c>
      <c r="L441" s="87" t="s">
        <v>6573</v>
      </c>
      <c r="M441" s="87" t="s">
        <v>6556</v>
      </c>
      <c r="N441" s="9" t="s">
        <v>7931</v>
      </c>
      <c r="O441" s="87" t="s">
        <v>6570</v>
      </c>
      <c r="P441" s="9" t="s">
        <v>6243</v>
      </c>
      <c r="Q441" s="87" t="s">
        <v>6573</v>
      </c>
      <c r="R441" s="87" t="s">
        <v>6405</v>
      </c>
      <c r="S441" s="87" t="s">
        <v>6361</v>
      </c>
      <c r="T441" s="87" t="s">
        <v>6316</v>
      </c>
    </row>
    <row r="442" spans="1:20" ht="15.75" customHeight="1">
      <c r="A442" s="9" t="s">
        <v>2973</v>
      </c>
      <c r="B442" s="9" t="s">
        <v>7614</v>
      </c>
      <c r="C442" s="9" t="s">
        <v>7228</v>
      </c>
      <c r="D442" s="87" t="s">
        <v>6405</v>
      </c>
      <c r="E442" s="9" t="s">
        <v>6924</v>
      </c>
      <c r="F442" s="9" t="s">
        <v>11</v>
      </c>
      <c r="G442" s="9" t="s">
        <v>383</v>
      </c>
      <c r="H442" s="9" t="s">
        <v>426</v>
      </c>
      <c r="I442" s="87" t="s">
        <v>6405</v>
      </c>
      <c r="J442" s="87" t="s">
        <v>6405</v>
      </c>
      <c r="K442" s="87" t="s">
        <v>6405</v>
      </c>
      <c r="L442" s="87" t="s">
        <v>6392</v>
      </c>
      <c r="M442" s="87" t="s">
        <v>6557</v>
      </c>
      <c r="N442" s="9" t="s">
        <v>7616</v>
      </c>
      <c r="O442" s="87" t="s">
        <v>6327</v>
      </c>
      <c r="P442" s="9" t="s">
        <v>6243</v>
      </c>
      <c r="Q442" s="87" t="s">
        <v>6392</v>
      </c>
      <c r="R442" s="87" t="s">
        <v>6405</v>
      </c>
      <c r="S442" s="87" t="s">
        <v>6619</v>
      </c>
      <c r="T442" s="87" t="s">
        <v>6416</v>
      </c>
    </row>
    <row r="443" spans="1:20" ht="15.75" customHeight="1">
      <c r="A443" s="9" t="s">
        <v>2918</v>
      </c>
      <c r="B443" s="9" t="s">
        <v>7617</v>
      </c>
      <c r="C443" s="9" t="s">
        <v>6236</v>
      </c>
      <c r="D443" s="87" t="s">
        <v>6393</v>
      </c>
      <c r="E443" s="9" t="s">
        <v>431</v>
      </c>
      <c r="F443" s="9" t="s">
        <v>368</v>
      </c>
      <c r="G443" s="9" t="s">
        <v>436</v>
      </c>
      <c r="H443" s="9" t="s">
        <v>434</v>
      </c>
      <c r="I443" s="87" t="s">
        <v>6237</v>
      </c>
      <c r="J443" s="87" t="s">
        <v>6245</v>
      </c>
      <c r="K443" s="87" t="s">
        <v>6245</v>
      </c>
      <c r="L443" s="87" t="s">
        <v>6240</v>
      </c>
      <c r="M443" s="87" t="s">
        <v>6517</v>
      </c>
      <c r="N443" s="9" t="s">
        <v>7618</v>
      </c>
      <c r="O443" s="87" t="s">
        <v>6245</v>
      </c>
      <c r="P443" s="9" t="s">
        <v>6243</v>
      </c>
      <c r="Q443" s="87" t="s">
        <v>6238</v>
      </c>
      <c r="R443" s="87" t="s">
        <v>6245</v>
      </c>
      <c r="S443" s="87" t="s">
        <v>6409</v>
      </c>
      <c r="T443" s="87" t="s">
        <v>6277</v>
      </c>
    </row>
    <row r="444" spans="1:20" ht="15.75" customHeight="1">
      <c r="A444" s="9" t="s">
        <v>2918</v>
      </c>
      <c r="B444" s="9" t="s">
        <v>7619</v>
      </c>
      <c r="C444" s="9" t="s">
        <v>6923</v>
      </c>
      <c r="D444" s="87" t="s">
        <v>6461</v>
      </c>
      <c r="E444" s="9" t="s">
        <v>6924</v>
      </c>
      <c r="F444" s="9" t="s">
        <v>6925</v>
      </c>
      <c r="G444" s="9" t="s">
        <v>383</v>
      </c>
      <c r="H444" s="9" t="s">
        <v>427</v>
      </c>
      <c r="I444" s="87" t="s">
        <v>6405</v>
      </c>
      <c r="J444" s="87" t="s">
        <v>6334</v>
      </c>
      <c r="K444" s="87" t="s">
        <v>6926</v>
      </c>
      <c r="L444" s="87" t="s">
        <v>4014</v>
      </c>
      <c r="M444" s="87" t="s">
        <v>6538</v>
      </c>
      <c r="N444" s="9" t="s">
        <v>7932</v>
      </c>
      <c r="O444" s="87" t="s">
        <v>6260</v>
      </c>
      <c r="P444" s="9" t="s">
        <v>6243</v>
      </c>
      <c r="Q444" s="87" t="s">
        <v>4014</v>
      </c>
      <c r="R444" s="87" t="s">
        <v>6334</v>
      </c>
      <c r="S444" s="87" t="s">
        <v>6810</v>
      </c>
      <c r="T444" s="87" t="s">
        <v>6400</v>
      </c>
    </row>
    <row r="445" spans="1:20" ht="15.75" customHeight="1">
      <c r="A445" s="9" t="s">
        <v>2918</v>
      </c>
      <c r="B445" s="9" t="s">
        <v>7619</v>
      </c>
      <c r="C445" s="9" t="s">
        <v>7228</v>
      </c>
      <c r="D445" s="87" t="s">
        <v>6237</v>
      </c>
      <c r="E445" s="9" t="s">
        <v>6924</v>
      </c>
      <c r="F445" s="9" t="s">
        <v>11</v>
      </c>
      <c r="G445" s="9" t="s">
        <v>383</v>
      </c>
      <c r="H445" s="9" t="s">
        <v>426</v>
      </c>
      <c r="I445" s="87" t="s">
        <v>6405</v>
      </c>
      <c r="J445" s="87" t="s">
        <v>6405</v>
      </c>
      <c r="K445" s="87" t="s">
        <v>6405</v>
      </c>
      <c r="L445" s="87" t="s">
        <v>6287</v>
      </c>
      <c r="M445" s="87" t="s">
        <v>6539</v>
      </c>
      <c r="N445" s="9" t="s">
        <v>7933</v>
      </c>
      <c r="O445" s="87" t="s">
        <v>6296</v>
      </c>
      <c r="P445" s="9" t="s">
        <v>6243</v>
      </c>
      <c r="Q445" s="87" t="s">
        <v>6287</v>
      </c>
      <c r="R445" s="87" t="s">
        <v>6405</v>
      </c>
      <c r="S445" s="87" t="s">
        <v>6263</v>
      </c>
      <c r="T445" s="87" t="s">
        <v>6256</v>
      </c>
    </row>
    <row r="446" spans="1:20" ht="15.75" customHeight="1">
      <c r="A446" s="9" t="s">
        <v>2918</v>
      </c>
      <c r="B446" s="9" t="s">
        <v>7934</v>
      </c>
      <c r="C446" s="9" t="s">
        <v>6923</v>
      </c>
      <c r="D446" s="87" t="s">
        <v>6461</v>
      </c>
      <c r="E446" s="9" t="s">
        <v>6924</v>
      </c>
      <c r="F446" s="9" t="s">
        <v>6925</v>
      </c>
      <c r="G446" s="9" t="s">
        <v>383</v>
      </c>
      <c r="H446" s="9" t="s">
        <v>427</v>
      </c>
      <c r="I446" s="87" t="s">
        <v>6405</v>
      </c>
      <c r="J446" s="87" t="s">
        <v>6334</v>
      </c>
      <c r="K446" s="87" t="s">
        <v>6926</v>
      </c>
      <c r="L446" s="87" t="s">
        <v>4014</v>
      </c>
      <c r="M446" s="87" t="s">
        <v>6539</v>
      </c>
      <c r="N446" s="9" t="s">
        <v>7131</v>
      </c>
      <c r="O446" s="87" t="s">
        <v>6260</v>
      </c>
      <c r="P446" s="9" t="s">
        <v>6243</v>
      </c>
      <c r="Q446" s="87" t="s">
        <v>4014</v>
      </c>
      <c r="R446" s="87" t="s">
        <v>6334</v>
      </c>
      <c r="S446" s="87" t="s">
        <v>6260</v>
      </c>
      <c r="T446" s="87" t="s">
        <v>6341</v>
      </c>
    </row>
    <row r="447" spans="1:20" ht="15.75" customHeight="1">
      <c r="A447" s="9" t="s">
        <v>2918</v>
      </c>
      <c r="B447" s="9" t="s">
        <v>7934</v>
      </c>
      <c r="C447" s="9" t="s">
        <v>7228</v>
      </c>
      <c r="D447" s="87" t="s">
        <v>6237</v>
      </c>
      <c r="E447" s="9" t="s">
        <v>6924</v>
      </c>
      <c r="F447" s="9" t="s">
        <v>11</v>
      </c>
      <c r="G447" s="9" t="s">
        <v>383</v>
      </c>
      <c r="H447" s="9" t="s">
        <v>426</v>
      </c>
      <c r="I447" s="87" t="s">
        <v>6405</v>
      </c>
      <c r="J447" s="87" t="s">
        <v>6405</v>
      </c>
      <c r="K447" s="87" t="s">
        <v>6405</v>
      </c>
      <c r="L447" s="87" t="s">
        <v>6287</v>
      </c>
      <c r="M447" s="87" t="s">
        <v>6540</v>
      </c>
      <c r="N447" s="9" t="s">
        <v>7651</v>
      </c>
      <c r="O447" s="87" t="s">
        <v>6296</v>
      </c>
      <c r="P447" s="9" t="s">
        <v>6243</v>
      </c>
      <c r="Q447" s="87" t="s">
        <v>6287</v>
      </c>
      <c r="R447" s="87" t="s">
        <v>6405</v>
      </c>
      <c r="S447" s="87" t="s">
        <v>6300</v>
      </c>
      <c r="T447" s="87" t="s">
        <v>6341</v>
      </c>
    </row>
    <row r="448" spans="1:20" ht="15.75" customHeight="1">
      <c r="A448" s="9" t="s">
        <v>2900</v>
      </c>
      <c r="B448" s="9" t="s">
        <v>7620</v>
      </c>
      <c r="C448" s="9" t="s">
        <v>6236</v>
      </c>
      <c r="D448" s="87" t="s">
        <v>6393</v>
      </c>
      <c r="E448" s="9" t="s">
        <v>431</v>
      </c>
      <c r="F448" s="9" t="s">
        <v>368</v>
      </c>
      <c r="G448" s="9" t="s">
        <v>436</v>
      </c>
      <c r="H448" s="9" t="s">
        <v>434</v>
      </c>
      <c r="I448" s="87" t="s">
        <v>6237</v>
      </c>
      <c r="J448" s="87" t="s">
        <v>6305</v>
      </c>
      <c r="K448" s="87" t="s">
        <v>6498</v>
      </c>
      <c r="L448" s="87" t="s">
        <v>6240</v>
      </c>
      <c r="M448" s="87" t="s">
        <v>6540</v>
      </c>
      <c r="N448" s="9" t="s">
        <v>7155</v>
      </c>
      <c r="O448" s="87" t="s">
        <v>6498</v>
      </c>
      <c r="P448" s="9" t="s">
        <v>6243</v>
      </c>
      <c r="Q448" s="87" t="s">
        <v>4019</v>
      </c>
      <c r="R448" s="87" t="s">
        <v>6305</v>
      </c>
      <c r="S448" s="87" t="s">
        <v>6327</v>
      </c>
      <c r="T448" s="87" t="s">
        <v>6376</v>
      </c>
    </row>
    <row r="449" spans="1:20" ht="15.75" customHeight="1">
      <c r="A449" s="9" t="s">
        <v>2900</v>
      </c>
      <c r="B449" s="9" t="s">
        <v>7620</v>
      </c>
      <c r="C449" s="9" t="s">
        <v>6236</v>
      </c>
      <c r="D449" s="87" t="s">
        <v>6393</v>
      </c>
      <c r="E449" s="9" t="s">
        <v>431</v>
      </c>
      <c r="F449" s="9" t="s">
        <v>368</v>
      </c>
      <c r="G449" s="9" t="s">
        <v>436</v>
      </c>
      <c r="H449" s="9" t="s">
        <v>434</v>
      </c>
      <c r="I449" s="87" t="s">
        <v>6237</v>
      </c>
      <c r="J449" s="87" t="s">
        <v>6305</v>
      </c>
      <c r="K449" s="87" t="s">
        <v>6619</v>
      </c>
      <c r="L449" s="87" t="s">
        <v>6240</v>
      </c>
      <c r="M449" s="87" t="s">
        <v>6556</v>
      </c>
      <c r="N449" s="9" t="s">
        <v>6942</v>
      </c>
      <c r="O449" s="87" t="s">
        <v>6619</v>
      </c>
      <c r="P449" s="9" t="s">
        <v>6243</v>
      </c>
      <c r="Q449" s="87" t="s">
        <v>6852</v>
      </c>
      <c r="R449" s="87" t="s">
        <v>6305</v>
      </c>
      <c r="S449" s="87" t="s">
        <v>6323</v>
      </c>
      <c r="T449" s="87" t="s">
        <v>6645</v>
      </c>
    </row>
    <row r="450" spans="1:20" ht="15.75" customHeight="1">
      <c r="A450" s="9" t="s">
        <v>2900</v>
      </c>
      <c r="B450" s="9" t="s">
        <v>7621</v>
      </c>
      <c r="C450" s="9" t="s">
        <v>6671</v>
      </c>
      <c r="D450" s="87" t="s">
        <v>6296</v>
      </c>
      <c r="E450" s="9" t="s">
        <v>6672</v>
      </c>
      <c r="F450" s="9" t="s">
        <v>439</v>
      </c>
      <c r="G450" s="9" t="s">
        <v>436</v>
      </c>
      <c r="H450" s="9" t="s">
        <v>440</v>
      </c>
      <c r="I450" s="87" t="s">
        <v>6405</v>
      </c>
      <c r="J450" s="87" t="s">
        <v>6479</v>
      </c>
      <c r="K450" s="87" t="s">
        <v>6479</v>
      </c>
      <c r="L450" s="87" t="s">
        <v>6240</v>
      </c>
      <c r="M450" s="87" t="s">
        <v>6557</v>
      </c>
      <c r="N450" s="9" t="s">
        <v>7134</v>
      </c>
      <c r="O450" s="87" t="s">
        <v>6479</v>
      </c>
      <c r="P450" s="9" t="s">
        <v>6243</v>
      </c>
      <c r="Q450" s="87" t="s">
        <v>5417</v>
      </c>
      <c r="R450" s="87" t="s">
        <v>6479</v>
      </c>
      <c r="S450" s="87" t="s">
        <v>6433</v>
      </c>
      <c r="T450" s="87" t="s">
        <v>6645</v>
      </c>
    </row>
    <row r="451" spans="1:20" ht="15.75" customHeight="1">
      <c r="A451" s="9" t="s">
        <v>2900</v>
      </c>
      <c r="B451" s="9" t="s">
        <v>7622</v>
      </c>
      <c r="C451" s="9" t="s">
        <v>6923</v>
      </c>
      <c r="D451" s="87" t="s">
        <v>6461</v>
      </c>
      <c r="E451" s="9" t="s">
        <v>6924</v>
      </c>
      <c r="F451" s="9" t="s">
        <v>6925</v>
      </c>
      <c r="G451" s="9" t="s">
        <v>383</v>
      </c>
      <c r="H451" s="9" t="s">
        <v>427</v>
      </c>
      <c r="I451" s="87" t="s">
        <v>6405</v>
      </c>
      <c r="J451" s="87" t="s">
        <v>6461</v>
      </c>
      <c r="K451" s="87" t="s">
        <v>6939</v>
      </c>
      <c r="L451" s="87" t="s">
        <v>5374</v>
      </c>
      <c r="M451" s="87" t="s">
        <v>6566</v>
      </c>
      <c r="N451" s="9" t="s">
        <v>6940</v>
      </c>
      <c r="O451" s="87" t="s">
        <v>6333</v>
      </c>
      <c r="P451" s="9" t="s">
        <v>6243</v>
      </c>
      <c r="Q451" s="87" t="s">
        <v>6575</v>
      </c>
      <c r="R451" s="87" t="s">
        <v>6461</v>
      </c>
      <c r="S451" s="87" t="s">
        <v>6570</v>
      </c>
      <c r="T451" s="87" t="s">
        <v>6341</v>
      </c>
    </row>
    <row r="452" spans="1:20" ht="15.75" customHeight="1">
      <c r="A452" s="9" t="s">
        <v>2900</v>
      </c>
      <c r="B452" s="9" t="s">
        <v>7622</v>
      </c>
      <c r="C452" s="9" t="s">
        <v>7228</v>
      </c>
      <c r="D452" s="87" t="s">
        <v>6237</v>
      </c>
      <c r="E452" s="9" t="s">
        <v>6924</v>
      </c>
      <c r="F452" s="9" t="s">
        <v>11</v>
      </c>
      <c r="G452" s="9" t="s">
        <v>383</v>
      </c>
      <c r="H452" s="9" t="s">
        <v>426</v>
      </c>
      <c r="I452" s="87" t="s">
        <v>6405</v>
      </c>
      <c r="J452" s="87" t="s">
        <v>6334</v>
      </c>
      <c r="K452" s="87" t="s">
        <v>6334</v>
      </c>
      <c r="L452" s="87" t="s">
        <v>6397</v>
      </c>
      <c r="M452" s="87" t="s">
        <v>6568</v>
      </c>
      <c r="N452" s="9" t="s">
        <v>7268</v>
      </c>
      <c r="O452" s="87" t="s">
        <v>6290</v>
      </c>
      <c r="P452" s="9" t="s">
        <v>6243</v>
      </c>
      <c r="Q452" s="87" t="s">
        <v>6293</v>
      </c>
      <c r="R452" s="87" t="s">
        <v>6334</v>
      </c>
      <c r="S452" s="87" t="s">
        <v>6479</v>
      </c>
      <c r="T452" s="87" t="s">
        <v>6341</v>
      </c>
    </row>
    <row r="453" spans="1:20" ht="15.75" customHeight="1">
      <c r="A453" s="9" t="s">
        <v>2900</v>
      </c>
      <c r="B453" s="9" t="s">
        <v>7624</v>
      </c>
      <c r="C453" s="9" t="s">
        <v>6923</v>
      </c>
      <c r="D453" s="87" t="s">
        <v>6461</v>
      </c>
      <c r="E453" s="9" t="s">
        <v>6924</v>
      </c>
      <c r="F453" s="9" t="s">
        <v>6925</v>
      </c>
      <c r="G453" s="9" t="s">
        <v>383</v>
      </c>
      <c r="H453" s="9" t="s">
        <v>427</v>
      </c>
      <c r="I453" s="87" t="s">
        <v>6405</v>
      </c>
      <c r="J453" s="87" t="s">
        <v>6461</v>
      </c>
      <c r="K453" s="87" t="s">
        <v>6939</v>
      </c>
      <c r="L453" s="87" t="s">
        <v>5374</v>
      </c>
      <c r="M453" s="87" t="s">
        <v>6568</v>
      </c>
      <c r="N453" s="9" t="s">
        <v>6940</v>
      </c>
      <c r="O453" s="87" t="s">
        <v>6333</v>
      </c>
      <c r="P453" s="9" t="s">
        <v>6243</v>
      </c>
      <c r="Q453" s="87" t="s">
        <v>6575</v>
      </c>
      <c r="R453" s="87" t="s">
        <v>6461</v>
      </c>
      <c r="S453" s="87" t="s">
        <v>6570</v>
      </c>
      <c r="T453" s="87" t="s">
        <v>6341</v>
      </c>
    </row>
    <row r="454" spans="1:20" ht="15.75" customHeight="1">
      <c r="A454" s="9" t="s">
        <v>2900</v>
      </c>
      <c r="B454" s="9" t="s">
        <v>7624</v>
      </c>
      <c r="C454" s="9" t="s">
        <v>7228</v>
      </c>
      <c r="D454" s="87" t="s">
        <v>6237</v>
      </c>
      <c r="E454" s="9" t="s">
        <v>6924</v>
      </c>
      <c r="F454" s="9" t="s">
        <v>11</v>
      </c>
      <c r="G454" s="9" t="s">
        <v>383</v>
      </c>
      <c r="H454" s="9" t="s">
        <v>426</v>
      </c>
      <c r="I454" s="87" t="s">
        <v>6405</v>
      </c>
      <c r="J454" s="87" t="s">
        <v>6334</v>
      </c>
      <c r="K454" s="87" t="s">
        <v>6334</v>
      </c>
      <c r="L454" s="87" t="s">
        <v>6397</v>
      </c>
      <c r="M454" s="87" t="s">
        <v>6581</v>
      </c>
      <c r="N454" s="9" t="s">
        <v>7268</v>
      </c>
      <c r="O454" s="87" t="s">
        <v>6290</v>
      </c>
      <c r="P454" s="9" t="s">
        <v>6243</v>
      </c>
      <c r="Q454" s="87" t="s">
        <v>6293</v>
      </c>
      <c r="R454" s="87" t="s">
        <v>6334</v>
      </c>
      <c r="S454" s="87" t="s">
        <v>6479</v>
      </c>
      <c r="T454" s="87" t="s">
        <v>6341</v>
      </c>
    </row>
    <row r="455" spans="1:20" ht="15.75" customHeight="1">
      <c r="A455" s="9" t="s">
        <v>2900</v>
      </c>
      <c r="B455" s="9" t="s">
        <v>7625</v>
      </c>
      <c r="C455" s="9" t="s">
        <v>6923</v>
      </c>
      <c r="D455" s="87" t="s">
        <v>6461</v>
      </c>
      <c r="E455" s="9" t="s">
        <v>6924</v>
      </c>
      <c r="F455" s="9" t="s">
        <v>6925</v>
      </c>
      <c r="G455" s="9" t="s">
        <v>383</v>
      </c>
      <c r="H455" s="9" t="s">
        <v>427</v>
      </c>
      <c r="I455" s="87" t="s">
        <v>6405</v>
      </c>
      <c r="J455" s="87" t="s">
        <v>6461</v>
      </c>
      <c r="K455" s="87" t="s">
        <v>6939</v>
      </c>
      <c r="L455" s="87" t="s">
        <v>5374</v>
      </c>
      <c r="M455" s="87" t="s">
        <v>6581</v>
      </c>
      <c r="N455" s="9" t="s">
        <v>6940</v>
      </c>
      <c r="O455" s="87" t="s">
        <v>6333</v>
      </c>
      <c r="P455" s="9" t="s">
        <v>6243</v>
      </c>
      <c r="Q455" s="87" t="s">
        <v>6575</v>
      </c>
      <c r="R455" s="87" t="s">
        <v>6461</v>
      </c>
      <c r="S455" s="87" t="s">
        <v>6570</v>
      </c>
      <c r="T455" s="87" t="s">
        <v>6341</v>
      </c>
    </row>
    <row r="456" spans="1:20" ht="15.75" customHeight="1">
      <c r="A456" s="9" t="s">
        <v>2900</v>
      </c>
      <c r="B456" s="9" t="s">
        <v>7625</v>
      </c>
      <c r="C456" s="9" t="s">
        <v>7228</v>
      </c>
      <c r="D456" s="87" t="s">
        <v>6237</v>
      </c>
      <c r="E456" s="9" t="s">
        <v>6924</v>
      </c>
      <c r="F456" s="9" t="s">
        <v>11</v>
      </c>
      <c r="G456" s="9" t="s">
        <v>383</v>
      </c>
      <c r="H456" s="9" t="s">
        <v>426</v>
      </c>
      <c r="I456" s="87" t="s">
        <v>6405</v>
      </c>
      <c r="J456" s="87" t="s">
        <v>6334</v>
      </c>
      <c r="K456" s="87" t="s">
        <v>6334</v>
      </c>
      <c r="L456" s="87" t="s">
        <v>6397</v>
      </c>
      <c r="M456" s="87" t="s">
        <v>6582</v>
      </c>
      <c r="N456" s="9" t="s">
        <v>7268</v>
      </c>
      <c r="O456" s="87" t="s">
        <v>6290</v>
      </c>
      <c r="P456" s="9" t="s">
        <v>6243</v>
      </c>
      <c r="Q456" s="87" t="s">
        <v>6293</v>
      </c>
      <c r="R456" s="87" t="s">
        <v>6334</v>
      </c>
      <c r="S456" s="87" t="s">
        <v>6479</v>
      </c>
      <c r="T456" s="87" t="s">
        <v>6341</v>
      </c>
    </row>
    <row r="457" spans="1:20" ht="15.75" customHeight="1">
      <c r="A457" s="9" t="s">
        <v>2879</v>
      </c>
      <c r="B457" s="9" t="s">
        <v>7627</v>
      </c>
      <c r="C457" s="9" t="s">
        <v>6236</v>
      </c>
      <c r="D457" s="87" t="s">
        <v>6393</v>
      </c>
      <c r="E457" s="9" t="s">
        <v>431</v>
      </c>
      <c r="F457" s="9" t="s">
        <v>368</v>
      </c>
      <c r="G457" s="9" t="s">
        <v>436</v>
      </c>
      <c r="H457" s="9" t="s">
        <v>434</v>
      </c>
      <c r="I457" s="87" t="s">
        <v>6264</v>
      </c>
      <c r="J457" s="87" t="s">
        <v>6254</v>
      </c>
      <c r="K457" s="87" t="s">
        <v>6254</v>
      </c>
      <c r="L457" s="87" t="s">
        <v>6240</v>
      </c>
      <c r="M457" s="87" t="s">
        <v>6517</v>
      </c>
      <c r="N457" s="9" t="s">
        <v>7628</v>
      </c>
      <c r="O457" s="87" t="s">
        <v>6254</v>
      </c>
      <c r="P457" s="9" t="s">
        <v>6243</v>
      </c>
      <c r="Q457" s="87" t="s">
        <v>5968</v>
      </c>
      <c r="R457" s="87" t="s">
        <v>6254</v>
      </c>
      <c r="S457" s="87" t="s">
        <v>6393</v>
      </c>
      <c r="T457" s="87" t="s">
        <v>6361</v>
      </c>
    </row>
    <row r="458" spans="1:20" ht="15.75" customHeight="1">
      <c r="A458" s="9" t="s">
        <v>2879</v>
      </c>
      <c r="B458" s="9" t="s">
        <v>7629</v>
      </c>
      <c r="C458" s="9" t="s">
        <v>6671</v>
      </c>
      <c r="D458" s="87" t="s">
        <v>6296</v>
      </c>
      <c r="E458" s="9" t="s">
        <v>6672</v>
      </c>
      <c r="F458" s="9" t="s">
        <v>439</v>
      </c>
      <c r="G458" s="9" t="s">
        <v>436</v>
      </c>
      <c r="H458" s="9" t="s">
        <v>440</v>
      </c>
      <c r="I458" s="87" t="s">
        <v>6405</v>
      </c>
      <c r="J458" s="87" t="s">
        <v>6433</v>
      </c>
      <c r="K458" s="87" t="s">
        <v>6433</v>
      </c>
      <c r="L458" s="87" t="s">
        <v>6240</v>
      </c>
      <c r="M458" s="87" t="s">
        <v>6530</v>
      </c>
      <c r="N458" s="9" t="s">
        <v>7082</v>
      </c>
      <c r="O458" s="87" t="s">
        <v>6433</v>
      </c>
      <c r="P458" s="9" t="s">
        <v>6243</v>
      </c>
      <c r="Q458" s="87" t="s">
        <v>6305</v>
      </c>
      <c r="R458" s="87" t="s">
        <v>6433</v>
      </c>
      <c r="S458" s="87" t="s">
        <v>6479</v>
      </c>
      <c r="T458" s="87" t="s">
        <v>6645</v>
      </c>
    </row>
    <row r="459" spans="1:20" ht="15.75" customHeight="1">
      <c r="A459" s="9" t="s">
        <v>2879</v>
      </c>
      <c r="B459" s="9" t="s">
        <v>7630</v>
      </c>
      <c r="C459" s="9" t="s">
        <v>6923</v>
      </c>
      <c r="D459" s="87" t="s">
        <v>6461</v>
      </c>
      <c r="E459" s="9" t="s">
        <v>6924</v>
      </c>
      <c r="F459" s="9" t="s">
        <v>6925</v>
      </c>
      <c r="G459" s="9" t="s">
        <v>383</v>
      </c>
      <c r="H459" s="9" t="s">
        <v>427</v>
      </c>
      <c r="I459" s="87" t="s">
        <v>6405</v>
      </c>
      <c r="J459" s="87" t="s">
        <v>6264</v>
      </c>
      <c r="K459" s="87" t="s">
        <v>6926</v>
      </c>
      <c r="L459" s="87" t="s">
        <v>6932</v>
      </c>
      <c r="M459" s="87" t="s">
        <v>6539</v>
      </c>
      <c r="N459" s="9" t="s">
        <v>7138</v>
      </c>
      <c r="O459" s="87" t="s">
        <v>6259</v>
      </c>
      <c r="P459" s="9" t="s">
        <v>6243</v>
      </c>
      <c r="Q459" s="87" t="s">
        <v>6932</v>
      </c>
      <c r="R459" s="87" t="s">
        <v>6264</v>
      </c>
      <c r="S459" s="87" t="s">
        <v>6414</v>
      </c>
      <c r="T459" s="87" t="s">
        <v>6376</v>
      </c>
    </row>
    <row r="460" spans="1:20" ht="15.75" customHeight="1">
      <c r="A460" s="9" t="s">
        <v>2879</v>
      </c>
      <c r="B460" s="9" t="s">
        <v>7630</v>
      </c>
      <c r="C460" s="9" t="s">
        <v>7228</v>
      </c>
      <c r="D460" s="87" t="s">
        <v>6237</v>
      </c>
      <c r="E460" s="9" t="s">
        <v>6924</v>
      </c>
      <c r="F460" s="9" t="s">
        <v>11</v>
      </c>
      <c r="G460" s="9" t="s">
        <v>383</v>
      </c>
      <c r="H460" s="9" t="s">
        <v>426</v>
      </c>
      <c r="I460" s="87" t="s">
        <v>6405</v>
      </c>
      <c r="J460" s="87" t="s">
        <v>6405</v>
      </c>
      <c r="K460" s="87" t="s">
        <v>6405</v>
      </c>
      <c r="L460" s="87" t="s">
        <v>6397</v>
      </c>
      <c r="M460" s="87" t="s">
        <v>6540</v>
      </c>
      <c r="N460" s="9" t="s">
        <v>7935</v>
      </c>
      <c r="O460" s="87" t="s">
        <v>6240</v>
      </c>
      <c r="P460" s="9" t="s">
        <v>6243</v>
      </c>
      <c r="Q460" s="87" t="s">
        <v>6397</v>
      </c>
      <c r="R460" s="87" t="s">
        <v>6405</v>
      </c>
      <c r="S460" s="87" t="s">
        <v>6555</v>
      </c>
      <c r="T460" s="87" t="s">
        <v>6277</v>
      </c>
    </row>
    <row r="461" spans="1:20" ht="15.75" customHeight="1">
      <c r="A461" s="9" t="s">
        <v>2879</v>
      </c>
      <c r="B461" s="9" t="s">
        <v>7936</v>
      </c>
      <c r="C461" s="9" t="s">
        <v>6923</v>
      </c>
      <c r="D461" s="87" t="s">
        <v>6461</v>
      </c>
      <c r="E461" s="9" t="s">
        <v>6924</v>
      </c>
      <c r="F461" s="9" t="s">
        <v>6925</v>
      </c>
      <c r="G461" s="9" t="s">
        <v>383</v>
      </c>
      <c r="H461" s="9" t="s">
        <v>427</v>
      </c>
      <c r="I461" s="87" t="s">
        <v>6405</v>
      </c>
      <c r="J461" s="87" t="s">
        <v>6264</v>
      </c>
      <c r="K461" s="87" t="s">
        <v>6939</v>
      </c>
      <c r="L461" s="87" t="s">
        <v>6932</v>
      </c>
      <c r="M461" s="87" t="s">
        <v>6540</v>
      </c>
      <c r="N461" s="9" t="s">
        <v>7102</v>
      </c>
      <c r="O461" s="87" t="s">
        <v>6428</v>
      </c>
      <c r="P461" s="9" t="s">
        <v>6243</v>
      </c>
      <c r="Q461" s="87" t="s">
        <v>3210</v>
      </c>
      <c r="R461" s="87" t="s">
        <v>6264</v>
      </c>
      <c r="S461" s="87" t="s">
        <v>6323</v>
      </c>
      <c r="T461" s="87" t="s">
        <v>6341</v>
      </c>
    </row>
    <row r="462" spans="1:20" ht="15.75" customHeight="1">
      <c r="A462" s="9" t="s">
        <v>2879</v>
      </c>
      <c r="B462" s="9" t="s">
        <v>7936</v>
      </c>
      <c r="C462" s="9" t="s">
        <v>7228</v>
      </c>
      <c r="D462" s="87" t="s">
        <v>6237</v>
      </c>
      <c r="E462" s="9" t="s">
        <v>6924</v>
      </c>
      <c r="F462" s="9" t="s">
        <v>11</v>
      </c>
      <c r="G462" s="9" t="s">
        <v>383</v>
      </c>
      <c r="H462" s="9" t="s">
        <v>426</v>
      </c>
      <c r="I462" s="87" t="s">
        <v>6405</v>
      </c>
      <c r="J462" s="87" t="s">
        <v>6334</v>
      </c>
      <c r="K462" s="87" t="s">
        <v>6334</v>
      </c>
      <c r="L462" s="87" t="s">
        <v>6397</v>
      </c>
      <c r="M462" s="87" t="s">
        <v>6556</v>
      </c>
      <c r="N462" s="9" t="s">
        <v>7268</v>
      </c>
      <c r="O462" s="87" t="s">
        <v>6290</v>
      </c>
      <c r="P462" s="9" t="s">
        <v>6243</v>
      </c>
      <c r="Q462" s="87" t="s">
        <v>6293</v>
      </c>
      <c r="R462" s="87" t="s">
        <v>6334</v>
      </c>
      <c r="S462" s="87" t="s">
        <v>6479</v>
      </c>
      <c r="T462" s="87" t="s">
        <v>6341</v>
      </c>
    </row>
    <row r="463" spans="1:20" ht="15.75" customHeight="1">
      <c r="A463" s="9" t="s">
        <v>2890</v>
      </c>
      <c r="B463" s="9" t="s">
        <v>7631</v>
      </c>
      <c r="C463" s="9" t="s">
        <v>6236</v>
      </c>
      <c r="D463" s="87" t="s">
        <v>6393</v>
      </c>
      <c r="E463" s="9" t="s">
        <v>431</v>
      </c>
      <c r="F463" s="9" t="s">
        <v>368</v>
      </c>
      <c r="G463" s="9" t="s">
        <v>436</v>
      </c>
      <c r="H463" s="9" t="s">
        <v>434</v>
      </c>
      <c r="I463" s="87" t="s">
        <v>6237</v>
      </c>
      <c r="J463" s="87" t="s">
        <v>6296</v>
      </c>
      <c r="K463" s="87" t="s">
        <v>6251</v>
      </c>
      <c r="L463" s="87" t="s">
        <v>6240</v>
      </c>
      <c r="M463" s="87" t="s">
        <v>6517</v>
      </c>
      <c r="N463" s="9" t="s">
        <v>6947</v>
      </c>
      <c r="O463" s="87" t="s">
        <v>6251</v>
      </c>
      <c r="P463" s="9" t="s">
        <v>6243</v>
      </c>
      <c r="Q463" s="87" t="s">
        <v>6254</v>
      </c>
      <c r="R463" s="87" t="s">
        <v>6296</v>
      </c>
      <c r="S463" s="87" t="s">
        <v>6327</v>
      </c>
      <c r="T463" s="87" t="s">
        <v>6296</v>
      </c>
    </row>
    <row r="464" spans="1:20" ht="15.75" customHeight="1">
      <c r="A464" s="9" t="s">
        <v>2890</v>
      </c>
      <c r="B464" s="9" t="s">
        <v>7631</v>
      </c>
      <c r="C464" s="9" t="s">
        <v>6236</v>
      </c>
      <c r="D464" s="87" t="s">
        <v>6393</v>
      </c>
      <c r="E464" s="9" t="s">
        <v>431</v>
      </c>
      <c r="F464" s="9" t="s">
        <v>368</v>
      </c>
      <c r="G464" s="9" t="s">
        <v>436</v>
      </c>
      <c r="H464" s="9" t="s">
        <v>434</v>
      </c>
      <c r="I464" s="87" t="s">
        <v>6237</v>
      </c>
      <c r="J464" s="87" t="s">
        <v>6296</v>
      </c>
      <c r="K464" s="87" t="s">
        <v>6435</v>
      </c>
      <c r="L464" s="87" t="s">
        <v>6240</v>
      </c>
      <c r="M464" s="87" t="s">
        <v>6530</v>
      </c>
      <c r="N464" s="9" t="s">
        <v>7007</v>
      </c>
      <c r="O464" s="87" t="s">
        <v>6435</v>
      </c>
      <c r="P464" s="9" t="s">
        <v>6243</v>
      </c>
      <c r="Q464" s="87" t="s">
        <v>6250</v>
      </c>
      <c r="R464" s="87" t="s">
        <v>6296</v>
      </c>
      <c r="S464" s="87" t="s">
        <v>6733</v>
      </c>
      <c r="T464" s="87" t="s">
        <v>6645</v>
      </c>
    </row>
    <row r="465" spans="1:20" ht="15.75" customHeight="1">
      <c r="A465" s="9" t="s">
        <v>2890</v>
      </c>
      <c r="B465" s="9" t="s">
        <v>7632</v>
      </c>
      <c r="C465" s="9" t="s">
        <v>6671</v>
      </c>
      <c r="D465" s="87" t="s">
        <v>6296</v>
      </c>
      <c r="E465" s="9" t="s">
        <v>6672</v>
      </c>
      <c r="F465" s="9" t="s">
        <v>439</v>
      </c>
      <c r="G465" s="9" t="s">
        <v>436</v>
      </c>
      <c r="H465" s="9" t="s">
        <v>440</v>
      </c>
      <c r="I465" s="87" t="s">
        <v>6405</v>
      </c>
      <c r="J465" s="87" t="s">
        <v>6642</v>
      </c>
      <c r="K465" s="87" t="s">
        <v>6642</v>
      </c>
      <c r="L465" s="87" t="s">
        <v>6240</v>
      </c>
      <c r="M465" s="87" t="s">
        <v>6537</v>
      </c>
      <c r="N465" s="9" t="s">
        <v>7062</v>
      </c>
      <c r="O465" s="87" t="s">
        <v>6642</v>
      </c>
      <c r="P465" s="9" t="s">
        <v>6243</v>
      </c>
      <c r="Q465" s="87" t="s">
        <v>6445</v>
      </c>
      <c r="R465" s="87" t="s">
        <v>6642</v>
      </c>
      <c r="S465" s="87" t="s">
        <v>6341</v>
      </c>
      <c r="T465" s="87" t="s">
        <v>6645</v>
      </c>
    </row>
    <row r="466" spans="1:20" ht="15.75" customHeight="1">
      <c r="A466" s="9" t="s">
        <v>2890</v>
      </c>
      <c r="B466" s="9" t="s">
        <v>7633</v>
      </c>
      <c r="C466" s="9" t="s">
        <v>6923</v>
      </c>
      <c r="D466" s="87" t="s">
        <v>6461</v>
      </c>
      <c r="E466" s="9" t="s">
        <v>6924</v>
      </c>
      <c r="F466" s="9" t="s">
        <v>6925</v>
      </c>
      <c r="G466" s="9" t="s">
        <v>383</v>
      </c>
      <c r="H466" s="9" t="s">
        <v>427</v>
      </c>
      <c r="I466" s="87" t="s">
        <v>6405</v>
      </c>
      <c r="J466" s="87" t="s">
        <v>6405</v>
      </c>
      <c r="K466" s="87" t="s">
        <v>6926</v>
      </c>
      <c r="L466" s="87" t="s">
        <v>6932</v>
      </c>
      <c r="M466" s="87" t="s">
        <v>6540</v>
      </c>
      <c r="N466" s="9" t="s">
        <v>7937</v>
      </c>
      <c r="O466" s="87" t="s">
        <v>6259</v>
      </c>
      <c r="P466" s="9" t="s">
        <v>6243</v>
      </c>
      <c r="Q466" s="87" t="s">
        <v>6932</v>
      </c>
      <c r="R466" s="87" t="s">
        <v>6405</v>
      </c>
      <c r="S466" s="87" t="s">
        <v>6264</v>
      </c>
      <c r="T466" s="87" t="s">
        <v>6329</v>
      </c>
    </row>
    <row r="467" spans="1:20" ht="15.75" customHeight="1">
      <c r="A467" s="9" t="s">
        <v>2890</v>
      </c>
      <c r="B467" s="9" t="s">
        <v>7633</v>
      </c>
      <c r="C467" s="9" t="s">
        <v>7228</v>
      </c>
      <c r="D467" s="87" t="s">
        <v>6237</v>
      </c>
      <c r="E467" s="9" t="s">
        <v>6924</v>
      </c>
      <c r="F467" s="9" t="s">
        <v>11</v>
      </c>
      <c r="G467" s="9" t="s">
        <v>383</v>
      </c>
      <c r="H467" s="9" t="s">
        <v>426</v>
      </c>
      <c r="I467" s="87" t="s">
        <v>6405</v>
      </c>
      <c r="J467" s="87" t="s">
        <v>6405</v>
      </c>
      <c r="K467" s="87" t="s">
        <v>6405</v>
      </c>
      <c r="L467" s="87" t="s">
        <v>6397</v>
      </c>
      <c r="M467" s="87" t="s">
        <v>6556</v>
      </c>
      <c r="N467" s="9" t="s">
        <v>7262</v>
      </c>
      <c r="O467" s="87" t="s">
        <v>6240</v>
      </c>
      <c r="P467" s="9" t="s">
        <v>6243</v>
      </c>
      <c r="Q467" s="87" t="s">
        <v>6397</v>
      </c>
      <c r="R467" s="87" t="s">
        <v>6405</v>
      </c>
      <c r="S467" s="87" t="s">
        <v>6651</v>
      </c>
      <c r="T467" s="87" t="s">
        <v>6416</v>
      </c>
    </row>
    <row r="468" spans="1:20" ht="15.75" customHeight="1">
      <c r="A468" s="9" t="s">
        <v>2872</v>
      </c>
      <c r="B468" s="9" t="s">
        <v>7634</v>
      </c>
      <c r="C468" s="9" t="s">
        <v>6236</v>
      </c>
      <c r="D468" s="87" t="s">
        <v>6393</v>
      </c>
      <c r="E468" s="9" t="s">
        <v>431</v>
      </c>
      <c r="F468" s="9" t="s">
        <v>368</v>
      </c>
      <c r="G468" s="9" t="s">
        <v>436</v>
      </c>
      <c r="H468" s="9" t="s">
        <v>434</v>
      </c>
      <c r="I468" s="87" t="s">
        <v>6237</v>
      </c>
      <c r="J468" s="87" t="s">
        <v>6251</v>
      </c>
      <c r="K468" s="87" t="s">
        <v>6251</v>
      </c>
      <c r="L468" s="87" t="s">
        <v>6240</v>
      </c>
      <c r="M468" s="87" t="s">
        <v>6539</v>
      </c>
      <c r="N468" s="9" t="s">
        <v>7635</v>
      </c>
      <c r="O468" s="87" t="s">
        <v>6251</v>
      </c>
      <c r="P468" s="9" t="s">
        <v>6243</v>
      </c>
      <c r="Q468" s="87" t="s">
        <v>6254</v>
      </c>
      <c r="R468" s="87" t="s">
        <v>6251</v>
      </c>
      <c r="S468" s="87" t="s">
        <v>6346</v>
      </c>
      <c r="T468" s="87" t="s">
        <v>6486</v>
      </c>
    </row>
    <row r="469" spans="1:20" ht="15.75" customHeight="1">
      <c r="A469" s="9" t="s">
        <v>2872</v>
      </c>
      <c r="B469" s="9" t="s">
        <v>7636</v>
      </c>
      <c r="C469" s="9" t="s">
        <v>6671</v>
      </c>
      <c r="D469" s="87" t="s">
        <v>6296</v>
      </c>
      <c r="E469" s="9" t="s">
        <v>6672</v>
      </c>
      <c r="F469" s="9" t="s">
        <v>439</v>
      </c>
      <c r="G469" s="9" t="s">
        <v>436</v>
      </c>
      <c r="H469" s="9" t="s">
        <v>440</v>
      </c>
      <c r="I469" s="87" t="s">
        <v>6405</v>
      </c>
      <c r="J469" s="87" t="s">
        <v>6237</v>
      </c>
      <c r="K469" s="87" t="s">
        <v>6264</v>
      </c>
      <c r="L469" s="87" t="s">
        <v>6240</v>
      </c>
      <c r="M469" s="87" t="s">
        <v>6540</v>
      </c>
      <c r="N469" s="9" t="s">
        <v>7123</v>
      </c>
      <c r="O469" s="87" t="s">
        <v>6264</v>
      </c>
      <c r="P469" s="9" t="s">
        <v>6243</v>
      </c>
      <c r="Q469" s="87" t="s">
        <v>6313</v>
      </c>
      <c r="R469" s="87" t="s">
        <v>6237</v>
      </c>
      <c r="S469" s="87" t="s">
        <v>6327</v>
      </c>
      <c r="T469" s="87" t="s">
        <v>6348</v>
      </c>
    </row>
    <row r="470" spans="1:20" ht="15.75" customHeight="1">
      <c r="A470" s="9" t="s">
        <v>2872</v>
      </c>
      <c r="B470" s="9" t="s">
        <v>7637</v>
      </c>
      <c r="C470" s="9" t="s">
        <v>6923</v>
      </c>
      <c r="D470" s="87" t="s">
        <v>6264</v>
      </c>
      <c r="E470" s="9" t="s">
        <v>6924</v>
      </c>
      <c r="F470" s="9" t="s">
        <v>6925</v>
      </c>
      <c r="G470" s="9" t="s">
        <v>383</v>
      </c>
      <c r="H470" s="9" t="s">
        <v>449</v>
      </c>
      <c r="I470" s="87" t="s">
        <v>6405</v>
      </c>
      <c r="J470" s="87" t="s">
        <v>6405</v>
      </c>
      <c r="K470" s="87" t="s">
        <v>6926</v>
      </c>
      <c r="L470" s="87" t="s">
        <v>6464</v>
      </c>
      <c r="M470" s="87" t="s">
        <v>6556</v>
      </c>
      <c r="N470" s="9" t="s">
        <v>7938</v>
      </c>
      <c r="O470" s="87" t="s">
        <v>6302</v>
      </c>
      <c r="P470" s="9" t="s">
        <v>6243</v>
      </c>
      <c r="Q470" s="87" t="s">
        <v>6464</v>
      </c>
      <c r="R470" s="87" t="s">
        <v>6405</v>
      </c>
      <c r="S470" s="87" t="s">
        <v>6435</v>
      </c>
      <c r="T470" s="87" t="s">
        <v>6330</v>
      </c>
    </row>
    <row r="471" spans="1:20" ht="15.75" customHeight="1">
      <c r="A471" s="9" t="s">
        <v>2872</v>
      </c>
      <c r="B471" s="9" t="s">
        <v>7636</v>
      </c>
      <c r="C471" s="9" t="s">
        <v>6671</v>
      </c>
      <c r="D471" s="87" t="s">
        <v>6296</v>
      </c>
      <c r="E471" s="9" t="s">
        <v>6672</v>
      </c>
      <c r="F471" s="9" t="s">
        <v>439</v>
      </c>
      <c r="G471" s="9" t="s">
        <v>436</v>
      </c>
      <c r="H471" s="9" t="s">
        <v>440</v>
      </c>
      <c r="I471" s="87" t="s">
        <v>6405</v>
      </c>
      <c r="J471" s="87" t="s">
        <v>6237</v>
      </c>
      <c r="K471" s="87" t="s">
        <v>6405</v>
      </c>
      <c r="L471" s="87" t="s">
        <v>6240</v>
      </c>
      <c r="M471" s="87" t="s">
        <v>6556</v>
      </c>
      <c r="N471" s="9" t="s">
        <v>7036</v>
      </c>
      <c r="O471" s="87" t="s">
        <v>6405</v>
      </c>
      <c r="P471" s="9" t="s">
        <v>6243</v>
      </c>
      <c r="Q471" s="87" t="s">
        <v>6240</v>
      </c>
      <c r="R471" s="87" t="s">
        <v>6237</v>
      </c>
      <c r="S471" s="87" t="s">
        <v>6645</v>
      </c>
      <c r="T471" s="87" t="s">
        <v>6645</v>
      </c>
    </row>
    <row r="472" spans="1:20" ht="15.75" customHeight="1">
      <c r="A472" s="9" t="s">
        <v>2872</v>
      </c>
      <c r="B472" s="9" t="s">
        <v>7637</v>
      </c>
      <c r="C472" s="9" t="s">
        <v>7228</v>
      </c>
      <c r="D472" s="87" t="s">
        <v>6405</v>
      </c>
      <c r="E472" s="9" t="s">
        <v>6924</v>
      </c>
      <c r="F472" s="9" t="s">
        <v>11</v>
      </c>
      <c r="G472" s="9" t="s">
        <v>383</v>
      </c>
      <c r="H472" s="9" t="s">
        <v>426</v>
      </c>
      <c r="I472" s="87" t="s">
        <v>6405</v>
      </c>
      <c r="J472" s="87" t="s">
        <v>6405</v>
      </c>
      <c r="K472" s="87" t="s">
        <v>6405</v>
      </c>
      <c r="L472" s="87" t="s">
        <v>6397</v>
      </c>
      <c r="M472" s="87" t="s">
        <v>6557</v>
      </c>
      <c r="N472" s="9" t="s">
        <v>7939</v>
      </c>
      <c r="O472" s="87" t="s">
        <v>6240</v>
      </c>
      <c r="P472" s="9" t="s">
        <v>6243</v>
      </c>
      <c r="Q472" s="87" t="s">
        <v>6397</v>
      </c>
      <c r="R472" s="87" t="s">
        <v>6405</v>
      </c>
      <c r="S472" s="87" t="s">
        <v>6440</v>
      </c>
      <c r="T472" s="87" t="s">
        <v>6555</v>
      </c>
    </row>
    <row r="473" spans="1:20" ht="15.75" customHeight="1">
      <c r="A473" s="9" t="s">
        <v>2855</v>
      </c>
      <c r="B473" s="9" t="s">
        <v>7639</v>
      </c>
      <c r="C473" s="9" t="s">
        <v>6236</v>
      </c>
      <c r="D473" s="87" t="s">
        <v>6393</v>
      </c>
      <c r="E473" s="9" t="s">
        <v>431</v>
      </c>
      <c r="F473" s="9" t="s">
        <v>368</v>
      </c>
      <c r="G473" s="9" t="s">
        <v>436</v>
      </c>
      <c r="H473" s="9" t="s">
        <v>434</v>
      </c>
      <c r="I473" s="87" t="s">
        <v>6264</v>
      </c>
      <c r="J473" s="87" t="s">
        <v>6421</v>
      </c>
      <c r="K473" s="87" t="s">
        <v>6421</v>
      </c>
      <c r="L473" s="87" t="s">
        <v>6240</v>
      </c>
      <c r="M473" s="87" t="s">
        <v>6539</v>
      </c>
      <c r="N473" s="9" t="s">
        <v>7640</v>
      </c>
      <c r="O473" s="87" t="s">
        <v>6421</v>
      </c>
      <c r="P473" s="9" t="s">
        <v>6243</v>
      </c>
      <c r="Q473" s="87" t="s">
        <v>6316</v>
      </c>
      <c r="R473" s="87" t="s">
        <v>6421</v>
      </c>
      <c r="S473" s="87" t="s">
        <v>6433</v>
      </c>
      <c r="T473" s="87" t="s">
        <v>6387</v>
      </c>
    </row>
    <row r="474" spans="1:20" ht="15.75" customHeight="1">
      <c r="A474" s="9" t="s">
        <v>2855</v>
      </c>
      <c r="B474" s="9" t="s">
        <v>7641</v>
      </c>
      <c r="C474" s="9" t="s">
        <v>6671</v>
      </c>
      <c r="D474" s="87" t="s">
        <v>6296</v>
      </c>
      <c r="E474" s="9" t="s">
        <v>6672</v>
      </c>
      <c r="F474" s="9" t="s">
        <v>439</v>
      </c>
      <c r="G474" s="9" t="s">
        <v>436</v>
      </c>
      <c r="H474" s="9" t="s">
        <v>440</v>
      </c>
      <c r="I474" s="87" t="s">
        <v>6405</v>
      </c>
      <c r="J474" s="87" t="s">
        <v>6297</v>
      </c>
      <c r="K474" s="87" t="s">
        <v>6297</v>
      </c>
      <c r="L474" s="87" t="s">
        <v>6240</v>
      </c>
      <c r="M474" s="87" t="s">
        <v>6556</v>
      </c>
      <c r="N474" s="9" t="s">
        <v>7038</v>
      </c>
      <c r="O474" s="87" t="s">
        <v>6297</v>
      </c>
      <c r="P474" s="9" t="s">
        <v>6243</v>
      </c>
      <c r="Q474" s="87" t="s">
        <v>6299</v>
      </c>
      <c r="R474" s="87" t="s">
        <v>6297</v>
      </c>
      <c r="S474" s="87" t="s">
        <v>6443</v>
      </c>
      <c r="T474" s="87" t="s">
        <v>6351</v>
      </c>
    </row>
    <row r="475" spans="1:20" ht="15.75" customHeight="1">
      <c r="A475" s="9" t="s">
        <v>2855</v>
      </c>
      <c r="B475" s="9" t="s">
        <v>7642</v>
      </c>
      <c r="C475" s="9" t="s">
        <v>6923</v>
      </c>
      <c r="D475" s="87" t="s">
        <v>6264</v>
      </c>
      <c r="E475" s="9" t="s">
        <v>6924</v>
      </c>
      <c r="F475" s="9" t="s">
        <v>6925</v>
      </c>
      <c r="G475" s="9" t="s">
        <v>383</v>
      </c>
      <c r="H475" s="9" t="s">
        <v>449</v>
      </c>
      <c r="I475" s="87" t="s">
        <v>6405</v>
      </c>
      <c r="J475" s="87" t="s">
        <v>6405</v>
      </c>
      <c r="K475" s="87" t="s">
        <v>6926</v>
      </c>
      <c r="L475" s="87" t="s">
        <v>6464</v>
      </c>
      <c r="M475" s="87" t="s">
        <v>6557</v>
      </c>
      <c r="N475" s="9" t="s">
        <v>7940</v>
      </c>
      <c r="O475" s="87" t="s">
        <v>6302</v>
      </c>
      <c r="P475" s="9" t="s">
        <v>6243</v>
      </c>
      <c r="Q475" s="87" t="s">
        <v>6464</v>
      </c>
      <c r="R475" s="87" t="s">
        <v>6405</v>
      </c>
      <c r="S475" s="87" t="s">
        <v>6451</v>
      </c>
      <c r="T475" s="87" t="s">
        <v>6333</v>
      </c>
    </row>
    <row r="476" spans="1:20" ht="15.75" customHeight="1">
      <c r="A476" s="9" t="s">
        <v>2855</v>
      </c>
      <c r="B476" s="9" t="s">
        <v>7642</v>
      </c>
      <c r="C476" s="9" t="s">
        <v>7228</v>
      </c>
      <c r="D476" s="87" t="s">
        <v>6405</v>
      </c>
      <c r="E476" s="9" t="s">
        <v>6924</v>
      </c>
      <c r="F476" s="9" t="s">
        <v>11</v>
      </c>
      <c r="G476" s="9" t="s">
        <v>383</v>
      </c>
      <c r="H476" s="9" t="s">
        <v>426</v>
      </c>
      <c r="I476" s="87" t="s">
        <v>6405</v>
      </c>
      <c r="J476" s="87" t="s">
        <v>6405</v>
      </c>
      <c r="K476" s="87" t="s">
        <v>6405</v>
      </c>
      <c r="L476" s="87" t="s">
        <v>6397</v>
      </c>
      <c r="M476" s="87" t="s">
        <v>6563</v>
      </c>
      <c r="N476" s="9" t="s">
        <v>7262</v>
      </c>
      <c r="O476" s="87" t="s">
        <v>6240</v>
      </c>
      <c r="P476" s="9" t="s">
        <v>6243</v>
      </c>
      <c r="Q476" s="87" t="s">
        <v>6397</v>
      </c>
      <c r="R476" s="87" t="s">
        <v>6405</v>
      </c>
      <c r="S476" s="87" t="s">
        <v>6651</v>
      </c>
      <c r="T476" s="87" t="s">
        <v>6416</v>
      </c>
    </row>
    <row r="477" spans="1:20" ht="15.75" customHeight="1">
      <c r="A477" s="9" t="s">
        <v>2953</v>
      </c>
      <c r="B477" s="9" t="s">
        <v>7644</v>
      </c>
      <c r="C477" s="9" t="s">
        <v>6236</v>
      </c>
      <c r="D477" s="87" t="s">
        <v>6393</v>
      </c>
      <c r="E477" s="9" t="s">
        <v>431</v>
      </c>
      <c r="F477" s="9" t="s">
        <v>368</v>
      </c>
      <c r="G477" s="9" t="s">
        <v>436</v>
      </c>
      <c r="H477" s="9" t="s">
        <v>434</v>
      </c>
      <c r="I477" s="87" t="s">
        <v>6237</v>
      </c>
      <c r="J477" s="87" t="s">
        <v>6295</v>
      </c>
      <c r="K477" s="87" t="s">
        <v>6433</v>
      </c>
      <c r="L477" s="87" t="s">
        <v>6240</v>
      </c>
      <c r="M477" s="87" t="s">
        <v>6556</v>
      </c>
      <c r="N477" s="9" t="s">
        <v>6941</v>
      </c>
      <c r="O477" s="87" t="s">
        <v>6433</v>
      </c>
      <c r="P477" s="9" t="s">
        <v>6243</v>
      </c>
      <c r="Q477" s="87" t="s">
        <v>6305</v>
      </c>
      <c r="R477" s="87" t="s">
        <v>6295</v>
      </c>
      <c r="S477" s="87" t="s">
        <v>6327</v>
      </c>
      <c r="T477" s="87" t="s">
        <v>6329</v>
      </c>
    </row>
    <row r="478" spans="1:20" ht="15.75" customHeight="1">
      <c r="A478" s="9" t="s">
        <v>2953</v>
      </c>
      <c r="B478" s="9" t="s">
        <v>7644</v>
      </c>
      <c r="C478" s="9" t="s">
        <v>6236</v>
      </c>
      <c r="D478" s="87" t="s">
        <v>6393</v>
      </c>
      <c r="E478" s="9" t="s">
        <v>431</v>
      </c>
      <c r="F478" s="9" t="s">
        <v>368</v>
      </c>
      <c r="G478" s="9" t="s">
        <v>436</v>
      </c>
      <c r="H478" s="9" t="s">
        <v>434</v>
      </c>
      <c r="I478" s="87" t="s">
        <v>6237</v>
      </c>
      <c r="J478" s="87" t="s">
        <v>6295</v>
      </c>
      <c r="K478" s="87" t="s">
        <v>6290</v>
      </c>
      <c r="L478" s="87" t="s">
        <v>6240</v>
      </c>
      <c r="M478" s="87" t="s">
        <v>6557</v>
      </c>
      <c r="N478" s="9" t="s">
        <v>6964</v>
      </c>
      <c r="O478" s="87" t="s">
        <v>6290</v>
      </c>
      <c r="P478" s="9" t="s">
        <v>6243</v>
      </c>
      <c r="Q478" s="87" t="s">
        <v>6293</v>
      </c>
      <c r="R478" s="87" t="s">
        <v>6295</v>
      </c>
      <c r="S478" s="87" t="s">
        <v>6525</v>
      </c>
      <c r="T478" s="87" t="s">
        <v>6645</v>
      </c>
    </row>
    <row r="479" spans="1:20" ht="15.75" customHeight="1">
      <c r="A479" s="9" t="s">
        <v>2953</v>
      </c>
      <c r="B479" s="9" t="s">
        <v>7646</v>
      </c>
      <c r="C479" s="9" t="s">
        <v>6923</v>
      </c>
      <c r="D479" s="87" t="s">
        <v>6264</v>
      </c>
      <c r="E479" s="9" t="s">
        <v>6924</v>
      </c>
      <c r="F479" s="9" t="s">
        <v>6925</v>
      </c>
      <c r="G479" s="9" t="s">
        <v>383</v>
      </c>
      <c r="H479" s="9" t="s">
        <v>449</v>
      </c>
      <c r="I479" s="87" t="s">
        <v>6405</v>
      </c>
      <c r="J479" s="87" t="s">
        <v>6405</v>
      </c>
      <c r="K479" s="87" t="s">
        <v>6926</v>
      </c>
      <c r="L479" s="87" t="s">
        <v>6238</v>
      </c>
      <c r="M479" s="87" t="s">
        <v>6563</v>
      </c>
      <c r="N479" s="9" t="s">
        <v>7941</v>
      </c>
      <c r="O479" s="87" t="s">
        <v>6245</v>
      </c>
      <c r="P479" s="9" t="s">
        <v>6243</v>
      </c>
      <c r="Q479" s="87" t="s">
        <v>6238</v>
      </c>
      <c r="R479" s="87" t="s">
        <v>6405</v>
      </c>
      <c r="S479" s="87" t="s">
        <v>6404</v>
      </c>
      <c r="T479" s="87" t="s">
        <v>6316</v>
      </c>
    </row>
    <row r="480" spans="1:20" ht="15.75" customHeight="1">
      <c r="A480" s="9" t="s">
        <v>2953</v>
      </c>
      <c r="B480" s="9" t="s">
        <v>7645</v>
      </c>
      <c r="C480" s="9" t="s">
        <v>6671</v>
      </c>
      <c r="D480" s="87" t="s">
        <v>6296</v>
      </c>
      <c r="E480" s="9" t="s">
        <v>6672</v>
      </c>
      <c r="F480" s="9" t="s">
        <v>439</v>
      </c>
      <c r="G480" s="9" t="s">
        <v>436</v>
      </c>
      <c r="H480" s="9" t="s">
        <v>440</v>
      </c>
      <c r="I480" s="87" t="s">
        <v>6405</v>
      </c>
      <c r="J480" s="87" t="s">
        <v>6411</v>
      </c>
      <c r="K480" s="87" t="s">
        <v>6411</v>
      </c>
      <c r="L480" s="87" t="s">
        <v>6240</v>
      </c>
      <c r="M480" s="87" t="s">
        <v>6563</v>
      </c>
      <c r="N480" s="9" t="s">
        <v>7146</v>
      </c>
      <c r="O480" s="87" t="s">
        <v>6411</v>
      </c>
      <c r="P480" s="9" t="s">
        <v>6243</v>
      </c>
      <c r="Q480" s="87" t="s">
        <v>6321</v>
      </c>
      <c r="R480" s="87" t="s">
        <v>6411</v>
      </c>
      <c r="S480" s="87" t="s">
        <v>6416</v>
      </c>
      <c r="T480" s="87" t="s">
        <v>6645</v>
      </c>
    </row>
    <row r="481" spans="1:20" ht="15.75" customHeight="1">
      <c r="A481" s="9" t="s">
        <v>2953</v>
      </c>
      <c r="B481" s="9" t="s">
        <v>7646</v>
      </c>
      <c r="C481" s="9" t="s">
        <v>7228</v>
      </c>
      <c r="D481" s="87" t="s">
        <v>6405</v>
      </c>
      <c r="E481" s="9" t="s">
        <v>6924</v>
      </c>
      <c r="F481" s="9" t="s">
        <v>11</v>
      </c>
      <c r="G481" s="9" t="s">
        <v>383</v>
      </c>
      <c r="H481" s="9" t="s">
        <v>426</v>
      </c>
      <c r="I481" s="87" t="s">
        <v>6405</v>
      </c>
      <c r="J481" s="87" t="s">
        <v>6405</v>
      </c>
      <c r="K481" s="87" t="s">
        <v>6405</v>
      </c>
      <c r="L481" s="87" t="s">
        <v>6293</v>
      </c>
      <c r="M481" s="87" t="s">
        <v>6566</v>
      </c>
      <c r="N481" s="9" t="s">
        <v>7942</v>
      </c>
      <c r="O481" s="87" t="s">
        <v>6290</v>
      </c>
      <c r="P481" s="9" t="s">
        <v>6243</v>
      </c>
      <c r="Q481" s="87" t="s">
        <v>6293</v>
      </c>
      <c r="R481" s="87" t="s">
        <v>6405</v>
      </c>
      <c r="S481" s="87" t="s">
        <v>6486</v>
      </c>
      <c r="T481" s="87" t="s">
        <v>6361</v>
      </c>
    </row>
    <row r="482" spans="1:20" ht="15.75" customHeight="1">
      <c r="A482" s="9" t="s">
        <v>2932</v>
      </c>
      <c r="B482" s="9" t="s">
        <v>7649</v>
      </c>
      <c r="C482" s="9" t="s">
        <v>6236</v>
      </c>
      <c r="D482" s="87" t="s">
        <v>6393</v>
      </c>
      <c r="E482" s="9" t="s">
        <v>431</v>
      </c>
      <c r="F482" s="9" t="s">
        <v>368</v>
      </c>
      <c r="G482" s="9" t="s">
        <v>436</v>
      </c>
      <c r="H482" s="9" t="s">
        <v>434</v>
      </c>
      <c r="I482" s="87" t="s">
        <v>6237</v>
      </c>
      <c r="J482" s="87" t="s">
        <v>6636</v>
      </c>
      <c r="K482" s="87" t="s">
        <v>6360</v>
      </c>
      <c r="L482" s="87" t="s">
        <v>6240</v>
      </c>
      <c r="M482" s="87" t="s">
        <v>6647</v>
      </c>
      <c r="N482" s="9" t="s">
        <v>7150</v>
      </c>
      <c r="O482" s="87" t="s">
        <v>6360</v>
      </c>
      <c r="P482" s="9" t="s">
        <v>6243</v>
      </c>
      <c r="Q482" s="87" t="s">
        <v>6776</v>
      </c>
      <c r="R482" s="87" t="s">
        <v>6636</v>
      </c>
      <c r="S482" s="87" t="s">
        <v>6327</v>
      </c>
      <c r="T482" s="87" t="s">
        <v>6277</v>
      </c>
    </row>
    <row r="483" spans="1:20" ht="15.75" customHeight="1">
      <c r="A483" s="9" t="s">
        <v>2932</v>
      </c>
      <c r="B483" s="9" t="s">
        <v>7649</v>
      </c>
      <c r="C483" s="9" t="s">
        <v>6236</v>
      </c>
      <c r="D483" s="87" t="s">
        <v>6393</v>
      </c>
      <c r="E483" s="9" t="s">
        <v>431</v>
      </c>
      <c r="F483" s="9" t="s">
        <v>368</v>
      </c>
      <c r="G483" s="9" t="s">
        <v>436</v>
      </c>
      <c r="H483" s="9" t="s">
        <v>434</v>
      </c>
      <c r="I483" s="87" t="s">
        <v>6237</v>
      </c>
      <c r="J483" s="87" t="s">
        <v>6636</v>
      </c>
      <c r="K483" s="87" t="s">
        <v>6239</v>
      </c>
      <c r="L483" s="87" t="s">
        <v>6240</v>
      </c>
      <c r="M483" s="87" t="s">
        <v>6648</v>
      </c>
      <c r="N483" s="9" t="s">
        <v>6928</v>
      </c>
      <c r="O483" s="87" t="s">
        <v>6239</v>
      </c>
      <c r="P483" s="9" t="s">
        <v>6243</v>
      </c>
      <c r="Q483" s="87" t="s">
        <v>3764</v>
      </c>
      <c r="R483" s="87" t="s">
        <v>6636</v>
      </c>
      <c r="S483" s="87" t="s">
        <v>6327</v>
      </c>
      <c r="T483" s="87" t="s">
        <v>6645</v>
      </c>
    </row>
    <row r="484" spans="1:20" ht="15.75" customHeight="1">
      <c r="A484" s="9" t="s">
        <v>2932</v>
      </c>
      <c r="B484" s="9" t="s">
        <v>7650</v>
      </c>
      <c r="C484" s="9" t="s">
        <v>6923</v>
      </c>
      <c r="D484" s="87" t="s">
        <v>6461</v>
      </c>
      <c r="E484" s="9" t="s">
        <v>6924</v>
      </c>
      <c r="F484" s="9" t="s">
        <v>6925</v>
      </c>
      <c r="G484" s="9" t="s">
        <v>383</v>
      </c>
      <c r="H484" s="9" t="s">
        <v>427</v>
      </c>
      <c r="I484" s="87" t="s">
        <v>6405</v>
      </c>
      <c r="J484" s="87" t="s">
        <v>6290</v>
      </c>
      <c r="K484" s="87" t="s">
        <v>6931</v>
      </c>
      <c r="L484" s="87" t="s">
        <v>6932</v>
      </c>
      <c r="M484" s="87" t="s">
        <v>6649</v>
      </c>
      <c r="N484" s="9" t="s">
        <v>7943</v>
      </c>
      <c r="O484" s="87" t="s">
        <v>6267</v>
      </c>
      <c r="P484" s="9" t="s">
        <v>6243</v>
      </c>
      <c r="Q484" s="87" t="s">
        <v>6506</v>
      </c>
      <c r="R484" s="87" t="s">
        <v>6290</v>
      </c>
      <c r="S484" s="87" t="s">
        <v>6297</v>
      </c>
      <c r="T484" s="87" t="s">
        <v>6306</v>
      </c>
    </row>
    <row r="485" spans="1:20" ht="15.75" customHeight="1">
      <c r="A485" s="9" t="s">
        <v>2932</v>
      </c>
      <c r="B485" s="9" t="s">
        <v>7649</v>
      </c>
      <c r="C485" s="9" t="s">
        <v>6236</v>
      </c>
      <c r="D485" s="87" t="s">
        <v>6393</v>
      </c>
      <c r="E485" s="9" t="s">
        <v>431</v>
      </c>
      <c r="F485" s="9" t="s">
        <v>368</v>
      </c>
      <c r="G485" s="9" t="s">
        <v>436</v>
      </c>
      <c r="H485" s="9" t="s">
        <v>434</v>
      </c>
      <c r="I485" s="87" t="s">
        <v>6237</v>
      </c>
      <c r="J485" s="87" t="s">
        <v>6636</v>
      </c>
      <c r="K485" s="87" t="s">
        <v>6251</v>
      </c>
      <c r="L485" s="87" t="s">
        <v>6240</v>
      </c>
      <c r="M485" s="87" t="s">
        <v>6649</v>
      </c>
      <c r="N485" s="9" t="s">
        <v>7435</v>
      </c>
      <c r="O485" s="87" t="s">
        <v>6251</v>
      </c>
      <c r="P485" s="9" t="s">
        <v>6243</v>
      </c>
      <c r="Q485" s="87" t="s">
        <v>6254</v>
      </c>
      <c r="R485" s="87" t="s">
        <v>6636</v>
      </c>
      <c r="S485" s="87" t="s">
        <v>6395</v>
      </c>
      <c r="T485" s="87" t="s">
        <v>6645</v>
      </c>
    </row>
    <row r="486" spans="1:20" ht="15.75" customHeight="1">
      <c r="A486" s="9" t="s">
        <v>2932</v>
      </c>
      <c r="B486" s="9" t="s">
        <v>7650</v>
      </c>
      <c r="C486" s="9" t="s">
        <v>7228</v>
      </c>
      <c r="D486" s="87" t="s">
        <v>6237</v>
      </c>
      <c r="E486" s="9" t="s">
        <v>6924</v>
      </c>
      <c r="F486" s="9" t="s">
        <v>11</v>
      </c>
      <c r="G486" s="9" t="s">
        <v>383</v>
      </c>
      <c r="H486" s="9" t="s">
        <v>426</v>
      </c>
      <c r="I486" s="87" t="s">
        <v>6405</v>
      </c>
      <c r="J486" s="87" t="s">
        <v>6264</v>
      </c>
      <c r="K486" s="87" t="s">
        <v>6264</v>
      </c>
      <c r="L486" s="87" t="s">
        <v>6255</v>
      </c>
      <c r="M486" s="87" t="s">
        <v>6650</v>
      </c>
      <c r="N486" s="9" t="s">
        <v>7651</v>
      </c>
      <c r="O486" s="87" t="s">
        <v>6296</v>
      </c>
      <c r="P486" s="9" t="s">
        <v>6243</v>
      </c>
      <c r="Q486" s="87" t="s">
        <v>6287</v>
      </c>
      <c r="R486" s="87" t="s">
        <v>6264</v>
      </c>
      <c r="S486" s="87" t="s">
        <v>6300</v>
      </c>
      <c r="T486" s="87" t="s">
        <v>6341</v>
      </c>
    </row>
    <row r="487" spans="1:20" ht="15.75" customHeight="1">
      <c r="A487" s="9" t="s">
        <v>2932</v>
      </c>
      <c r="B487" s="9" t="s">
        <v>7652</v>
      </c>
      <c r="C487" s="9" t="s">
        <v>6923</v>
      </c>
      <c r="D487" s="87" t="s">
        <v>6461</v>
      </c>
      <c r="E487" s="9" t="s">
        <v>6924</v>
      </c>
      <c r="F487" s="9" t="s">
        <v>6925</v>
      </c>
      <c r="G487" s="9" t="s">
        <v>383</v>
      </c>
      <c r="H487" s="9" t="s">
        <v>427</v>
      </c>
      <c r="I487" s="87" t="s">
        <v>6405</v>
      </c>
      <c r="J487" s="87" t="s">
        <v>6290</v>
      </c>
      <c r="K487" s="87" t="s">
        <v>6931</v>
      </c>
      <c r="L487" s="87" t="s">
        <v>6932</v>
      </c>
      <c r="M487" s="87" t="s">
        <v>6650</v>
      </c>
      <c r="N487" s="9" t="s">
        <v>6933</v>
      </c>
      <c r="O487" s="87" t="s">
        <v>6267</v>
      </c>
      <c r="P487" s="9" t="s">
        <v>6243</v>
      </c>
      <c r="Q487" s="87" t="s">
        <v>6506</v>
      </c>
      <c r="R487" s="87" t="s">
        <v>6290</v>
      </c>
      <c r="S487" s="87" t="s">
        <v>6264</v>
      </c>
      <c r="T487" s="87" t="s">
        <v>6341</v>
      </c>
    </row>
    <row r="488" spans="1:20" ht="15.75" customHeight="1">
      <c r="A488" s="9" t="s">
        <v>2932</v>
      </c>
      <c r="B488" s="9" t="s">
        <v>7652</v>
      </c>
      <c r="C488" s="9" t="s">
        <v>7228</v>
      </c>
      <c r="D488" s="87" t="s">
        <v>6237</v>
      </c>
      <c r="E488" s="9" t="s">
        <v>6924</v>
      </c>
      <c r="F488" s="9" t="s">
        <v>11</v>
      </c>
      <c r="G488" s="9" t="s">
        <v>383</v>
      </c>
      <c r="H488" s="9" t="s">
        <v>426</v>
      </c>
      <c r="I488" s="87" t="s">
        <v>6405</v>
      </c>
      <c r="J488" s="87" t="s">
        <v>6264</v>
      </c>
      <c r="K488" s="87" t="s">
        <v>6264</v>
      </c>
      <c r="L488" s="87" t="s">
        <v>6255</v>
      </c>
      <c r="M488" s="87" t="s">
        <v>6700</v>
      </c>
      <c r="N488" s="9" t="s">
        <v>7651</v>
      </c>
      <c r="O488" s="87" t="s">
        <v>6296</v>
      </c>
      <c r="P488" s="9" t="s">
        <v>6243</v>
      </c>
      <c r="Q488" s="87" t="s">
        <v>6287</v>
      </c>
      <c r="R488" s="87" t="s">
        <v>6264</v>
      </c>
      <c r="S488" s="87" t="s">
        <v>6300</v>
      </c>
      <c r="T488" s="87" t="s">
        <v>6341</v>
      </c>
    </row>
    <row r="489" spans="1:20" ht="15.75" customHeight="1">
      <c r="A489" s="9" t="s">
        <v>2932</v>
      </c>
      <c r="B489" s="9" t="s">
        <v>7654</v>
      </c>
      <c r="C489" s="9" t="s">
        <v>6923</v>
      </c>
      <c r="D489" s="87" t="s">
        <v>6461</v>
      </c>
      <c r="E489" s="9" t="s">
        <v>6924</v>
      </c>
      <c r="F489" s="9" t="s">
        <v>6925</v>
      </c>
      <c r="G489" s="9" t="s">
        <v>383</v>
      </c>
      <c r="H489" s="9" t="s">
        <v>427</v>
      </c>
      <c r="I489" s="87" t="s">
        <v>6405</v>
      </c>
      <c r="J489" s="87" t="s">
        <v>6290</v>
      </c>
      <c r="K489" s="87" t="s">
        <v>6931</v>
      </c>
      <c r="L489" s="87" t="s">
        <v>6932</v>
      </c>
      <c r="M489" s="87" t="s">
        <v>6700</v>
      </c>
      <c r="N489" s="9" t="s">
        <v>6933</v>
      </c>
      <c r="O489" s="87" t="s">
        <v>6267</v>
      </c>
      <c r="P489" s="9" t="s">
        <v>6243</v>
      </c>
      <c r="Q489" s="87" t="s">
        <v>6506</v>
      </c>
      <c r="R489" s="87" t="s">
        <v>6290</v>
      </c>
      <c r="S489" s="87" t="s">
        <v>6264</v>
      </c>
      <c r="T489" s="87" t="s">
        <v>6341</v>
      </c>
    </row>
    <row r="490" spans="1:20" ht="15.75" customHeight="1">
      <c r="A490" s="9" t="s">
        <v>2932</v>
      </c>
      <c r="B490" s="9" t="s">
        <v>7654</v>
      </c>
      <c r="C490" s="9" t="s">
        <v>7228</v>
      </c>
      <c r="D490" s="87" t="s">
        <v>6237</v>
      </c>
      <c r="E490" s="9" t="s">
        <v>6924</v>
      </c>
      <c r="F490" s="9" t="s">
        <v>11</v>
      </c>
      <c r="G490" s="9" t="s">
        <v>383</v>
      </c>
      <c r="H490" s="9" t="s">
        <v>426</v>
      </c>
      <c r="I490" s="87" t="s">
        <v>6405</v>
      </c>
      <c r="J490" s="87" t="s">
        <v>6264</v>
      </c>
      <c r="K490" s="87" t="s">
        <v>6264</v>
      </c>
      <c r="L490" s="87" t="s">
        <v>6255</v>
      </c>
      <c r="M490" s="87" t="s">
        <v>6699</v>
      </c>
      <c r="N490" s="9" t="s">
        <v>7651</v>
      </c>
      <c r="O490" s="87" t="s">
        <v>6296</v>
      </c>
      <c r="P490" s="9" t="s">
        <v>6243</v>
      </c>
      <c r="Q490" s="87" t="s">
        <v>6287</v>
      </c>
      <c r="R490" s="87" t="s">
        <v>6264</v>
      </c>
      <c r="S490" s="87" t="s">
        <v>6300</v>
      </c>
      <c r="T490" s="87" t="s">
        <v>6341</v>
      </c>
    </row>
    <row r="491" spans="1:20" ht="15.75" customHeight="1">
      <c r="A491" s="9" t="s">
        <v>2932</v>
      </c>
      <c r="B491" s="9" t="s">
        <v>7655</v>
      </c>
      <c r="C491" s="9" t="s">
        <v>6923</v>
      </c>
      <c r="D491" s="87" t="s">
        <v>6461</v>
      </c>
      <c r="E491" s="9" t="s">
        <v>6924</v>
      </c>
      <c r="F491" s="9" t="s">
        <v>6925</v>
      </c>
      <c r="G491" s="9" t="s">
        <v>383</v>
      </c>
      <c r="H491" s="9" t="s">
        <v>427</v>
      </c>
      <c r="I491" s="87" t="s">
        <v>6405</v>
      </c>
      <c r="J491" s="87" t="s">
        <v>6290</v>
      </c>
      <c r="K491" s="87" t="s">
        <v>6926</v>
      </c>
      <c r="L491" s="87" t="s">
        <v>6932</v>
      </c>
      <c r="M491" s="87" t="s">
        <v>6699</v>
      </c>
      <c r="N491" s="9" t="s">
        <v>7944</v>
      </c>
      <c r="O491" s="87" t="s">
        <v>6259</v>
      </c>
      <c r="P491" s="9" t="s">
        <v>6243</v>
      </c>
      <c r="Q491" s="87" t="s">
        <v>6932</v>
      </c>
      <c r="R491" s="87" t="s">
        <v>6290</v>
      </c>
      <c r="S491" s="87" t="s">
        <v>6313</v>
      </c>
      <c r="T491" s="87" t="s">
        <v>6484</v>
      </c>
    </row>
    <row r="492" spans="1:20" ht="15.75" customHeight="1">
      <c r="A492" s="9" t="s">
        <v>2932</v>
      </c>
      <c r="B492" s="9" t="s">
        <v>7655</v>
      </c>
      <c r="C492" s="9" t="s">
        <v>7228</v>
      </c>
      <c r="D492" s="87" t="s">
        <v>6237</v>
      </c>
      <c r="E492" s="9" t="s">
        <v>6924</v>
      </c>
      <c r="F492" s="9" t="s">
        <v>11</v>
      </c>
      <c r="G492" s="9" t="s">
        <v>383</v>
      </c>
      <c r="H492" s="9" t="s">
        <v>426</v>
      </c>
      <c r="I492" s="87" t="s">
        <v>6405</v>
      </c>
      <c r="J492" s="87" t="s">
        <v>6405</v>
      </c>
      <c r="K492" s="87" t="s">
        <v>6405</v>
      </c>
      <c r="L492" s="87" t="s">
        <v>6255</v>
      </c>
      <c r="M492" s="87" t="s">
        <v>6696</v>
      </c>
      <c r="N492" s="9" t="s">
        <v>7945</v>
      </c>
      <c r="O492" s="87" t="s">
        <v>6461</v>
      </c>
      <c r="P492" s="9" t="s">
        <v>6243</v>
      </c>
      <c r="Q492" s="87" t="s">
        <v>6255</v>
      </c>
      <c r="R492" s="87" t="s">
        <v>6405</v>
      </c>
      <c r="S492" s="87" t="s">
        <v>6535</v>
      </c>
      <c r="T492" s="87" t="s">
        <v>6486</v>
      </c>
    </row>
    <row r="493" spans="1:20" ht="15.75" customHeight="1">
      <c r="A493" s="9" t="s">
        <v>2951</v>
      </c>
      <c r="B493" s="9" t="s">
        <v>7658</v>
      </c>
      <c r="C493" s="9" t="s">
        <v>6236</v>
      </c>
      <c r="D493" s="87" t="s">
        <v>6393</v>
      </c>
      <c r="E493" s="9" t="s">
        <v>431</v>
      </c>
      <c r="F493" s="9" t="s">
        <v>368</v>
      </c>
      <c r="G493" s="9" t="s">
        <v>436</v>
      </c>
      <c r="H493" s="9" t="s">
        <v>434</v>
      </c>
      <c r="I493" s="87" t="s">
        <v>6237</v>
      </c>
      <c r="J493" s="87" t="s">
        <v>6238</v>
      </c>
      <c r="K493" s="87" t="s">
        <v>6479</v>
      </c>
      <c r="L493" s="87" t="s">
        <v>6240</v>
      </c>
      <c r="M493" s="87" t="s">
        <v>6557</v>
      </c>
      <c r="N493" s="9" t="s">
        <v>6937</v>
      </c>
      <c r="O493" s="87" t="s">
        <v>6479</v>
      </c>
      <c r="P493" s="9" t="s">
        <v>6243</v>
      </c>
      <c r="Q493" s="87" t="s">
        <v>5417</v>
      </c>
      <c r="R493" s="87" t="s">
        <v>6238</v>
      </c>
      <c r="S493" s="87" t="s">
        <v>6327</v>
      </c>
      <c r="T493" s="87" t="s">
        <v>6733</v>
      </c>
    </row>
    <row r="494" spans="1:20" ht="15.75" customHeight="1">
      <c r="A494" s="9" t="s">
        <v>2951</v>
      </c>
      <c r="B494" s="9" t="s">
        <v>7660</v>
      </c>
      <c r="C494" s="9" t="s">
        <v>6923</v>
      </c>
      <c r="D494" s="87" t="s">
        <v>6327</v>
      </c>
      <c r="E494" s="9" t="s">
        <v>6924</v>
      </c>
      <c r="F494" s="9" t="s">
        <v>6925</v>
      </c>
      <c r="G494" s="9" t="s">
        <v>383</v>
      </c>
      <c r="H494" s="9" t="s">
        <v>444</v>
      </c>
      <c r="I494" s="87" t="s">
        <v>6405</v>
      </c>
      <c r="J494" s="87" t="s">
        <v>6405</v>
      </c>
      <c r="K494" s="87" t="s">
        <v>6926</v>
      </c>
      <c r="L494" s="87" t="s">
        <v>6270</v>
      </c>
      <c r="M494" s="87" t="s">
        <v>6563</v>
      </c>
      <c r="N494" s="9" t="s">
        <v>7946</v>
      </c>
      <c r="O494" s="87" t="s">
        <v>6268</v>
      </c>
      <c r="P494" s="9" t="s">
        <v>6243</v>
      </c>
      <c r="Q494" s="87" t="s">
        <v>6270</v>
      </c>
      <c r="R494" s="87" t="s">
        <v>6405</v>
      </c>
      <c r="S494" s="87" t="s">
        <v>6259</v>
      </c>
      <c r="T494" s="87" t="s">
        <v>6400</v>
      </c>
    </row>
    <row r="495" spans="1:20" ht="15.75" customHeight="1">
      <c r="A495" s="9" t="s">
        <v>2951</v>
      </c>
      <c r="B495" s="9" t="s">
        <v>7658</v>
      </c>
      <c r="C495" s="9" t="s">
        <v>6236</v>
      </c>
      <c r="D495" s="87" t="s">
        <v>6393</v>
      </c>
      <c r="E495" s="9" t="s">
        <v>431</v>
      </c>
      <c r="F495" s="9" t="s">
        <v>368</v>
      </c>
      <c r="G495" s="9" t="s">
        <v>436</v>
      </c>
      <c r="H495" s="9" t="s">
        <v>434</v>
      </c>
      <c r="I495" s="87" t="s">
        <v>6237</v>
      </c>
      <c r="J495" s="87" t="s">
        <v>6238</v>
      </c>
      <c r="K495" s="87" t="s">
        <v>6323</v>
      </c>
      <c r="L495" s="87" t="s">
        <v>6240</v>
      </c>
      <c r="M495" s="87" t="s">
        <v>6563</v>
      </c>
      <c r="N495" s="9" t="s">
        <v>7659</v>
      </c>
      <c r="O495" s="87" t="s">
        <v>6323</v>
      </c>
      <c r="P495" s="9" t="s">
        <v>6243</v>
      </c>
      <c r="Q495" s="87" t="s">
        <v>5374</v>
      </c>
      <c r="R495" s="87" t="s">
        <v>6238</v>
      </c>
      <c r="S495" s="87" t="s">
        <v>6619</v>
      </c>
      <c r="T495" s="87" t="s">
        <v>6645</v>
      </c>
    </row>
    <row r="496" spans="1:20" ht="15.75" customHeight="1">
      <c r="A496" s="9" t="s">
        <v>2951</v>
      </c>
      <c r="B496" s="9" t="s">
        <v>7660</v>
      </c>
      <c r="C496" s="9" t="s">
        <v>7228</v>
      </c>
      <c r="D496" s="87" t="s">
        <v>6290</v>
      </c>
      <c r="E496" s="9" t="s">
        <v>6924</v>
      </c>
      <c r="F496" s="9" t="s">
        <v>11</v>
      </c>
      <c r="G496" s="9" t="s">
        <v>383</v>
      </c>
      <c r="H496" s="9" t="s">
        <v>426</v>
      </c>
      <c r="I496" s="87" t="s">
        <v>6405</v>
      </c>
      <c r="J496" s="87" t="s">
        <v>6405</v>
      </c>
      <c r="K496" s="87" t="s">
        <v>6405</v>
      </c>
      <c r="L496" s="87" t="s">
        <v>6397</v>
      </c>
      <c r="M496" s="87" t="s">
        <v>6566</v>
      </c>
      <c r="N496" s="9" t="s">
        <v>7947</v>
      </c>
      <c r="O496" s="87" t="s">
        <v>6240</v>
      </c>
      <c r="P496" s="9" t="s">
        <v>6243</v>
      </c>
      <c r="Q496" s="87" t="s">
        <v>6397</v>
      </c>
      <c r="R496" s="87" t="s">
        <v>6405</v>
      </c>
      <c r="S496" s="87" t="s">
        <v>6535</v>
      </c>
      <c r="T496" s="87" t="s">
        <v>6273</v>
      </c>
    </row>
    <row r="497" spans="1:20" ht="15.75" customHeight="1">
      <c r="A497" s="9" t="s">
        <v>2999</v>
      </c>
      <c r="B497" s="9" t="s">
        <v>7662</v>
      </c>
      <c r="C497" s="9" t="s">
        <v>6236</v>
      </c>
      <c r="D497" s="87" t="s">
        <v>6393</v>
      </c>
      <c r="E497" s="9" t="s">
        <v>431</v>
      </c>
      <c r="F497" s="9" t="s">
        <v>368</v>
      </c>
      <c r="G497" s="9" t="s">
        <v>436</v>
      </c>
      <c r="H497" s="9" t="s">
        <v>434</v>
      </c>
      <c r="I497" s="87" t="s">
        <v>6237</v>
      </c>
      <c r="J497" s="87" t="s">
        <v>6238</v>
      </c>
      <c r="K497" s="87" t="s">
        <v>6435</v>
      </c>
      <c r="L497" s="87" t="s">
        <v>6240</v>
      </c>
      <c r="M497" s="87" t="s">
        <v>6583</v>
      </c>
      <c r="N497" s="9" t="s">
        <v>7052</v>
      </c>
      <c r="O497" s="87" t="s">
        <v>6435</v>
      </c>
      <c r="P497" s="9" t="s">
        <v>6243</v>
      </c>
      <c r="Q497" s="87" t="s">
        <v>6250</v>
      </c>
      <c r="R497" s="87" t="s">
        <v>6238</v>
      </c>
      <c r="S497" s="87" t="s">
        <v>6327</v>
      </c>
      <c r="T497" s="87" t="s">
        <v>6433</v>
      </c>
    </row>
    <row r="498" spans="1:20" ht="15.75" customHeight="1">
      <c r="A498" s="9" t="s">
        <v>2999</v>
      </c>
      <c r="B498" s="9" t="s">
        <v>7662</v>
      </c>
      <c r="C498" s="9" t="s">
        <v>6236</v>
      </c>
      <c r="D498" s="87" t="s">
        <v>6393</v>
      </c>
      <c r="E498" s="9" t="s">
        <v>431</v>
      </c>
      <c r="F498" s="9" t="s">
        <v>368</v>
      </c>
      <c r="G498" s="9" t="s">
        <v>436</v>
      </c>
      <c r="H498" s="9" t="s">
        <v>434</v>
      </c>
      <c r="I498" s="87" t="s">
        <v>6237</v>
      </c>
      <c r="J498" s="87" t="s">
        <v>6238</v>
      </c>
      <c r="K498" s="87" t="s">
        <v>6239</v>
      </c>
      <c r="L498" s="87" t="s">
        <v>6240</v>
      </c>
      <c r="M498" s="87" t="s">
        <v>6584</v>
      </c>
      <c r="N498" s="9" t="s">
        <v>6928</v>
      </c>
      <c r="O498" s="87" t="s">
        <v>6239</v>
      </c>
      <c r="P498" s="9" t="s">
        <v>6243</v>
      </c>
      <c r="Q498" s="87" t="s">
        <v>3764</v>
      </c>
      <c r="R498" s="87" t="s">
        <v>6238</v>
      </c>
      <c r="S498" s="87" t="s">
        <v>6327</v>
      </c>
      <c r="T498" s="87" t="s">
        <v>6645</v>
      </c>
    </row>
    <row r="499" spans="1:20" ht="15.75" customHeight="1">
      <c r="A499" s="9" t="s">
        <v>2999</v>
      </c>
      <c r="B499" s="9" t="s">
        <v>7662</v>
      </c>
      <c r="C499" s="9" t="s">
        <v>6236</v>
      </c>
      <c r="D499" s="87" t="s">
        <v>6393</v>
      </c>
      <c r="E499" s="9" t="s">
        <v>431</v>
      </c>
      <c r="F499" s="9" t="s">
        <v>368</v>
      </c>
      <c r="G499" s="9" t="s">
        <v>436</v>
      </c>
      <c r="H499" s="9" t="s">
        <v>434</v>
      </c>
      <c r="I499" s="87" t="s">
        <v>6237</v>
      </c>
      <c r="J499" s="87" t="s">
        <v>6238</v>
      </c>
      <c r="K499" s="87" t="s">
        <v>6642</v>
      </c>
      <c r="L499" s="87" t="s">
        <v>6240</v>
      </c>
      <c r="M499" s="87" t="s">
        <v>6585</v>
      </c>
      <c r="N499" s="9" t="s">
        <v>7062</v>
      </c>
      <c r="O499" s="87" t="s">
        <v>6642</v>
      </c>
      <c r="P499" s="9" t="s">
        <v>6243</v>
      </c>
      <c r="Q499" s="87" t="s">
        <v>6445</v>
      </c>
      <c r="R499" s="87" t="s">
        <v>6238</v>
      </c>
      <c r="S499" s="87" t="s">
        <v>6341</v>
      </c>
      <c r="T499" s="87" t="s">
        <v>6645</v>
      </c>
    </row>
    <row r="500" spans="1:20" ht="15.75" customHeight="1">
      <c r="A500" s="9" t="s">
        <v>2999</v>
      </c>
      <c r="B500" s="9" t="s">
        <v>7663</v>
      </c>
      <c r="C500" s="9" t="s">
        <v>6923</v>
      </c>
      <c r="D500" s="87" t="s">
        <v>6461</v>
      </c>
      <c r="E500" s="9" t="s">
        <v>6924</v>
      </c>
      <c r="F500" s="9" t="s">
        <v>6925</v>
      </c>
      <c r="G500" s="9" t="s">
        <v>383</v>
      </c>
      <c r="H500" s="9" t="s">
        <v>427</v>
      </c>
      <c r="I500" s="87" t="s">
        <v>6405</v>
      </c>
      <c r="J500" s="87" t="s">
        <v>6334</v>
      </c>
      <c r="K500" s="87" t="s">
        <v>6926</v>
      </c>
      <c r="L500" s="87" t="s">
        <v>4019</v>
      </c>
      <c r="M500" s="87" t="s">
        <v>6592</v>
      </c>
      <c r="N500" s="9" t="s">
        <v>7948</v>
      </c>
      <c r="O500" s="87" t="s">
        <v>6498</v>
      </c>
      <c r="P500" s="9" t="s">
        <v>6243</v>
      </c>
      <c r="Q500" s="87" t="s">
        <v>4019</v>
      </c>
      <c r="R500" s="87" t="s">
        <v>6334</v>
      </c>
      <c r="S500" s="87" t="s">
        <v>6461</v>
      </c>
      <c r="T500" s="87" t="s">
        <v>6294</v>
      </c>
    </row>
    <row r="501" spans="1:20" ht="15.75" customHeight="1">
      <c r="A501" s="9" t="s">
        <v>2999</v>
      </c>
      <c r="B501" s="9" t="s">
        <v>7664</v>
      </c>
      <c r="C501" s="9" t="s">
        <v>6923</v>
      </c>
      <c r="D501" s="87" t="s">
        <v>6810</v>
      </c>
      <c r="E501" s="9" t="s">
        <v>6924</v>
      </c>
      <c r="F501" s="9" t="s">
        <v>6925</v>
      </c>
      <c r="G501" s="9" t="s">
        <v>383</v>
      </c>
      <c r="H501" s="9" t="s">
        <v>430</v>
      </c>
      <c r="I501" s="87" t="s">
        <v>6405</v>
      </c>
      <c r="J501" s="87" t="s">
        <v>6405</v>
      </c>
      <c r="K501" s="87" t="s">
        <v>6926</v>
      </c>
      <c r="L501" s="87" t="s">
        <v>4014</v>
      </c>
      <c r="M501" s="87" t="s">
        <v>6592</v>
      </c>
      <c r="N501" s="9" t="s">
        <v>7665</v>
      </c>
      <c r="O501" s="87" t="s">
        <v>6260</v>
      </c>
      <c r="P501" s="9" t="s">
        <v>6243</v>
      </c>
      <c r="Q501" s="87" t="s">
        <v>4014</v>
      </c>
      <c r="R501" s="87" t="s">
        <v>6405</v>
      </c>
      <c r="S501" s="87" t="s">
        <v>6327</v>
      </c>
      <c r="T501" s="87" t="s">
        <v>6606</v>
      </c>
    </row>
    <row r="502" spans="1:20" ht="15.75" customHeight="1">
      <c r="A502" s="9" t="s">
        <v>2999</v>
      </c>
      <c r="B502" s="9" t="s">
        <v>7664</v>
      </c>
      <c r="C502" s="9" t="s">
        <v>7228</v>
      </c>
      <c r="D502" s="87" t="s">
        <v>6237</v>
      </c>
      <c r="E502" s="9" t="s">
        <v>6924</v>
      </c>
      <c r="F502" s="9" t="s">
        <v>11</v>
      </c>
      <c r="G502" s="9" t="s">
        <v>383</v>
      </c>
      <c r="H502" s="9" t="s">
        <v>426</v>
      </c>
      <c r="I502" s="87" t="s">
        <v>6405</v>
      </c>
      <c r="J502" s="87" t="s">
        <v>6405</v>
      </c>
      <c r="K502" s="87" t="s">
        <v>6405</v>
      </c>
      <c r="L502" s="87" t="s">
        <v>6474</v>
      </c>
      <c r="M502" s="87" t="s">
        <v>6597</v>
      </c>
      <c r="N502" s="9" t="s">
        <v>7949</v>
      </c>
      <c r="O502" s="87" t="s">
        <v>6528</v>
      </c>
      <c r="P502" s="9" t="s">
        <v>6243</v>
      </c>
      <c r="Q502" s="87" t="s">
        <v>6474</v>
      </c>
      <c r="R502" s="87" t="s">
        <v>6405</v>
      </c>
      <c r="S502" s="87" t="s">
        <v>6264</v>
      </c>
      <c r="T502" s="87" t="s">
        <v>6411</v>
      </c>
    </row>
    <row r="503" spans="1:20" ht="15.75" customHeight="1">
      <c r="A503" s="9" t="s">
        <v>2999</v>
      </c>
      <c r="B503" s="9" t="s">
        <v>7666</v>
      </c>
      <c r="C503" s="9" t="s">
        <v>6923</v>
      </c>
      <c r="D503" s="87" t="s">
        <v>6461</v>
      </c>
      <c r="E503" s="9" t="s">
        <v>6924</v>
      </c>
      <c r="F503" s="9" t="s">
        <v>6925</v>
      </c>
      <c r="G503" s="9" t="s">
        <v>383</v>
      </c>
      <c r="H503" s="9" t="s">
        <v>427</v>
      </c>
      <c r="I503" s="87" t="s">
        <v>6405</v>
      </c>
      <c r="J503" s="87" t="s">
        <v>6334</v>
      </c>
      <c r="K503" s="87" t="s">
        <v>6926</v>
      </c>
      <c r="L503" s="87" t="s">
        <v>4019</v>
      </c>
      <c r="M503" s="87" t="s">
        <v>6597</v>
      </c>
      <c r="N503" s="9" t="s">
        <v>6979</v>
      </c>
      <c r="O503" s="87" t="s">
        <v>6498</v>
      </c>
      <c r="P503" s="9" t="s">
        <v>6243</v>
      </c>
      <c r="Q503" s="87" t="s">
        <v>4019</v>
      </c>
      <c r="R503" s="87" t="s">
        <v>6334</v>
      </c>
      <c r="S503" s="87" t="s">
        <v>6392</v>
      </c>
      <c r="T503" s="87" t="s">
        <v>6341</v>
      </c>
    </row>
    <row r="504" spans="1:20" ht="15.75" customHeight="1">
      <c r="A504" s="9" t="s">
        <v>2999</v>
      </c>
      <c r="B504" s="9" t="s">
        <v>7666</v>
      </c>
      <c r="C504" s="9" t="s">
        <v>7228</v>
      </c>
      <c r="D504" s="87" t="s">
        <v>6237</v>
      </c>
      <c r="E504" s="9" t="s">
        <v>6924</v>
      </c>
      <c r="F504" s="9" t="s">
        <v>11</v>
      </c>
      <c r="G504" s="9" t="s">
        <v>383</v>
      </c>
      <c r="H504" s="9" t="s">
        <v>426</v>
      </c>
      <c r="I504" s="87" t="s">
        <v>6405</v>
      </c>
      <c r="J504" s="87" t="s">
        <v>6405</v>
      </c>
      <c r="K504" s="87" t="s">
        <v>6405</v>
      </c>
      <c r="L504" s="87" t="s">
        <v>6474</v>
      </c>
      <c r="M504" s="87" t="s">
        <v>6601</v>
      </c>
      <c r="N504" s="9" t="s">
        <v>7668</v>
      </c>
      <c r="O504" s="87" t="s">
        <v>6528</v>
      </c>
      <c r="P504" s="9" t="s">
        <v>6243</v>
      </c>
      <c r="Q504" s="87" t="s">
        <v>6474</v>
      </c>
      <c r="R504" s="87" t="s">
        <v>6405</v>
      </c>
      <c r="S504" s="87" t="s">
        <v>6409</v>
      </c>
      <c r="T504" s="87" t="s">
        <v>6619</v>
      </c>
    </row>
    <row r="505" spans="1:20" ht="15.75" customHeight="1">
      <c r="A505" s="9" t="s">
        <v>2999</v>
      </c>
      <c r="B505" s="9" t="s">
        <v>7663</v>
      </c>
      <c r="C505" s="9" t="s">
        <v>7228</v>
      </c>
      <c r="D505" s="87" t="s">
        <v>6237</v>
      </c>
      <c r="E505" s="9" t="s">
        <v>6924</v>
      </c>
      <c r="F505" s="9" t="s">
        <v>11</v>
      </c>
      <c r="G505" s="9" t="s">
        <v>383</v>
      </c>
      <c r="H505" s="9" t="s">
        <v>426</v>
      </c>
      <c r="I505" s="87" t="s">
        <v>6405</v>
      </c>
      <c r="J505" s="87" t="s">
        <v>6405</v>
      </c>
      <c r="K505" s="87" t="s">
        <v>6405</v>
      </c>
      <c r="L505" s="87" t="s">
        <v>6474</v>
      </c>
      <c r="M505" s="87" t="s">
        <v>6601</v>
      </c>
      <c r="N505" s="9" t="s">
        <v>7194</v>
      </c>
      <c r="O505" s="87" t="s">
        <v>6528</v>
      </c>
      <c r="P505" s="9" t="s">
        <v>6243</v>
      </c>
      <c r="Q505" s="87" t="s">
        <v>6474</v>
      </c>
      <c r="R505" s="87" t="s">
        <v>6405</v>
      </c>
      <c r="S505" s="87" t="s">
        <v>6357</v>
      </c>
      <c r="T505" s="87" t="s">
        <v>6341</v>
      </c>
    </row>
    <row r="506" spans="1:20" ht="15.75" customHeight="1">
      <c r="A506" s="9" t="s">
        <v>3011</v>
      </c>
      <c r="B506" s="9" t="s">
        <v>7669</v>
      </c>
      <c r="C506" s="9" t="s">
        <v>6236</v>
      </c>
      <c r="D506" s="87" t="s">
        <v>6393</v>
      </c>
      <c r="E506" s="9" t="s">
        <v>431</v>
      </c>
      <c r="F506" s="9" t="s">
        <v>368</v>
      </c>
      <c r="G506" s="9" t="s">
        <v>436</v>
      </c>
      <c r="H506" s="9" t="s">
        <v>434</v>
      </c>
      <c r="I506" s="87" t="s">
        <v>6237</v>
      </c>
      <c r="J506" s="87" t="s">
        <v>6567</v>
      </c>
      <c r="K506" s="87" t="s">
        <v>6250</v>
      </c>
      <c r="L506" s="87" t="s">
        <v>6240</v>
      </c>
      <c r="M506" s="87" t="s">
        <v>6568</v>
      </c>
      <c r="N506" s="9" t="s">
        <v>7670</v>
      </c>
      <c r="O506" s="87" t="s">
        <v>6250</v>
      </c>
      <c r="P506" s="9" t="s">
        <v>6243</v>
      </c>
      <c r="Q506" s="87" t="s">
        <v>6320</v>
      </c>
      <c r="R506" s="87" t="s">
        <v>6567</v>
      </c>
      <c r="S506" s="87" t="s">
        <v>6327</v>
      </c>
      <c r="T506" s="87" t="s">
        <v>6360</v>
      </c>
    </row>
    <row r="507" spans="1:20" ht="15.75" customHeight="1">
      <c r="A507" s="9" t="s">
        <v>3011</v>
      </c>
      <c r="B507" s="9" t="s">
        <v>7669</v>
      </c>
      <c r="C507" s="9" t="s">
        <v>6236</v>
      </c>
      <c r="D507" s="87" t="s">
        <v>6393</v>
      </c>
      <c r="E507" s="9" t="s">
        <v>431</v>
      </c>
      <c r="F507" s="9" t="s">
        <v>368</v>
      </c>
      <c r="G507" s="9" t="s">
        <v>436</v>
      </c>
      <c r="H507" s="9" t="s">
        <v>434</v>
      </c>
      <c r="I507" s="87" t="s">
        <v>6237</v>
      </c>
      <c r="J507" s="87" t="s">
        <v>6567</v>
      </c>
      <c r="K507" s="87" t="s">
        <v>6314</v>
      </c>
      <c r="L507" s="87" t="s">
        <v>6240</v>
      </c>
      <c r="M507" s="87" t="s">
        <v>6581</v>
      </c>
      <c r="N507" s="9" t="s">
        <v>7115</v>
      </c>
      <c r="O507" s="87" t="s">
        <v>6314</v>
      </c>
      <c r="P507" s="9" t="s">
        <v>6243</v>
      </c>
      <c r="Q507" s="87" t="s">
        <v>6748</v>
      </c>
      <c r="R507" s="87" t="s">
        <v>6567</v>
      </c>
      <c r="S507" s="87" t="s">
        <v>6280</v>
      </c>
      <c r="T507" s="87" t="s">
        <v>6645</v>
      </c>
    </row>
    <row r="508" spans="1:20" ht="15.75" customHeight="1">
      <c r="A508" s="9" t="s">
        <v>3011</v>
      </c>
      <c r="B508" s="9" t="s">
        <v>7671</v>
      </c>
      <c r="C508" s="9" t="s">
        <v>6671</v>
      </c>
      <c r="D508" s="87" t="s">
        <v>6296</v>
      </c>
      <c r="E508" s="9" t="s">
        <v>6672</v>
      </c>
      <c r="F508" s="9" t="s">
        <v>439</v>
      </c>
      <c r="G508" s="9" t="s">
        <v>436</v>
      </c>
      <c r="H508" s="9" t="s">
        <v>440</v>
      </c>
      <c r="I508" s="87" t="s">
        <v>6405</v>
      </c>
      <c r="J508" s="87" t="s">
        <v>6305</v>
      </c>
      <c r="K508" s="87" t="s">
        <v>6239</v>
      </c>
      <c r="L508" s="87" t="s">
        <v>6240</v>
      </c>
      <c r="M508" s="87" t="s">
        <v>6582</v>
      </c>
      <c r="N508" s="9" t="s">
        <v>6928</v>
      </c>
      <c r="O508" s="87" t="s">
        <v>6239</v>
      </c>
      <c r="P508" s="9" t="s">
        <v>6243</v>
      </c>
      <c r="Q508" s="87" t="s">
        <v>3764</v>
      </c>
      <c r="R508" s="87" t="s">
        <v>6305</v>
      </c>
      <c r="S508" s="87" t="s">
        <v>6327</v>
      </c>
      <c r="T508" s="87" t="s">
        <v>6645</v>
      </c>
    </row>
    <row r="509" spans="1:20" ht="15.75" customHeight="1">
      <c r="A509" s="9" t="s">
        <v>3011</v>
      </c>
      <c r="B509" s="9" t="s">
        <v>7672</v>
      </c>
      <c r="C509" s="9" t="s">
        <v>6923</v>
      </c>
      <c r="D509" s="87" t="s">
        <v>6327</v>
      </c>
      <c r="E509" s="9" t="s">
        <v>6924</v>
      </c>
      <c r="F509" s="9" t="s">
        <v>6925</v>
      </c>
      <c r="G509" s="9" t="s">
        <v>383</v>
      </c>
      <c r="H509" s="9" t="s">
        <v>444</v>
      </c>
      <c r="I509" s="87" t="s">
        <v>6405</v>
      </c>
      <c r="J509" s="87" t="s">
        <v>6251</v>
      </c>
      <c r="K509" s="87" t="s">
        <v>6931</v>
      </c>
      <c r="L509" s="87" t="s">
        <v>6305</v>
      </c>
      <c r="M509" s="87" t="s">
        <v>6583</v>
      </c>
      <c r="N509" s="9" t="s">
        <v>7673</v>
      </c>
      <c r="O509" s="87" t="s">
        <v>6360</v>
      </c>
      <c r="P509" s="9" t="s">
        <v>6243</v>
      </c>
      <c r="Q509" s="87" t="s">
        <v>6776</v>
      </c>
      <c r="R509" s="87" t="s">
        <v>6251</v>
      </c>
      <c r="S509" s="87" t="s">
        <v>6313</v>
      </c>
      <c r="T509" s="87" t="s">
        <v>6316</v>
      </c>
    </row>
    <row r="510" spans="1:20" ht="15.75" customHeight="1">
      <c r="A510" s="9" t="s">
        <v>3011</v>
      </c>
      <c r="B510" s="9" t="s">
        <v>7671</v>
      </c>
      <c r="C510" s="9" t="s">
        <v>6671</v>
      </c>
      <c r="D510" s="87" t="s">
        <v>6296</v>
      </c>
      <c r="E510" s="9" t="s">
        <v>6672</v>
      </c>
      <c r="F510" s="9" t="s">
        <v>439</v>
      </c>
      <c r="G510" s="9" t="s">
        <v>436</v>
      </c>
      <c r="H510" s="9" t="s">
        <v>440</v>
      </c>
      <c r="I510" s="87" t="s">
        <v>6405</v>
      </c>
      <c r="J510" s="87" t="s">
        <v>6305</v>
      </c>
      <c r="K510" s="87" t="s">
        <v>6348</v>
      </c>
      <c r="L510" s="87" t="s">
        <v>6240</v>
      </c>
      <c r="M510" s="87" t="s">
        <v>6583</v>
      </c>
      <c r="N510" s="9" t="s">
        <v>7026</v>
      </c>
      <c r="O510" s="87" t="s">
        <v>6348</v>
      </c>
      <c r="P510" s="9" t="s">
        <v>6243</v>
      </c>
      <c r="Q510" s="87" t="s">
        <v>5381</v>
      </c>
      <c r="R510" s="87" t="s">
        <v>6305</v>
      </c>
      <c r="S510" s="87" t="s">
        <v>6271</v>
      </c>
      <c r="T510" s="87" t="s">
        <v>6645</v>
      </c>
    </row>
    <row r="511" spans="1:20" ht="15.75" customHeight="1">
      <c r="A511" s="9" t="s">
        <v>3011</v>
      </c>
      <c r="B511" s="9" t="s">
        <v>7674</v>
      </c>
      <c r="C511" s="9" t="s">
        <v>6923</v>
      </c>
      <c r="D511" s="87" t="s">
        <v>6327</v>
      </c>
      <c r="E511" s="9" t="s">
        <v>6924</v>
      </c>
      <c r="F511" s="9" t="s">
        <v>6925</v>
      </c>
      <c r="G511" s="9" t="s">
        <v>383</v>
      </c>
      <c r="H511" s="9" t="s">
        <v>444</v>
      </c>
      <c r="I511" s="87" t="s">
        <v>6405</v>
      </c>
      <c r="J511" s="87" t="s">
        <v>6251</v>
      </c>
      <c r="K511" s="87" t="s">
        <v>6931</v>
      </c>
      <c r="L511" s="87" t="s">
        <v>6305</v>
      </c>
      <c r="M511" s="87" t="s">
        <v>6584</v>
      </c>
      <c r="N511" s="9" t="s">
        <v>7673</v>
      </c>
      <c r="O511" s="87" t="s">
        <v>6360</v>
      </c>
      <c r="P511" s="9" t="s">
        <v>6243</v>
      </c>
      <c r="Q511" s="87" t="s">
        <v>6776</v>
      </c>
      <c r="R511" s="87" t="s">
        <v>6251</v>
      </c>
      <c r="S511" s="87" t="s">
        <v>6313</v>
      </c>
      <c r="T511" s="87" t="s">
        <v>6316</v>
      </c>
    </row>
    <row r="512" spans="1:20" ht="15.75" customHeight="1">
      <c r="A512" s="9" t="s">
        <v>3011</v>
      </c>
      <c r="B512" s="9" t="s">
        <v>7672</v>
      </c>
      <c r="C512" s="9" t="s">
        <v>7228</v>
      </c>
      <c r="D512" s="87" t="s">
        <v>6290</v>
      </c>
      <c r="E512" s="9" t="s">
        <v>6924</v>
      </c>
      <c r="F512" s="9" t="s">
        <v>11</v>
      </c>
      <c r="G512" s="9" t="s">
        <v>383</v>
      </c>
      <c r="H512" s="9" t="s">
        <v>426</v>
      </c>
      <c r="I512" s="87" t="s">
        <v>6405</v>
      </c>
      <c r="J512" s="87" t="s">
        <v>6264</v>
      </c>
      <c r="K512" s="87" t="s">
        <v>6264</v>
      </c>
      <c r="L512" s="87" t="s">
        <v>6341</v>
      </c>
      <c r="M512" s="87" t="s">
        <v>6585</v>
      </c>
      <c r="N512" s="9" t="s">
        <v>7950</v>
      </c>
      <c r="O512" s="87" t="s">
        <v>6404</v>
      </c>
      <c r="P512" s="9" t="s">
        <v>6243</v>
      </c>
      <c r="Q512" s="87" t="s">
        <v>6596</v>
      </c>
      <c r="R512" s="87" t="s">
        <v>6264</v>
      </c>
      <c r="S512" s="87" t="s">
        <v>6334</v>
      </c>
      <c r="T512" s="87" t="s">
        <v>6430</v>
      </c>
    </row>
    <row r="513" spans="1:20" ht="15.75" customHeight="1">
      <c r="A513" s="9" t="s">
        <v>3011</v>
      </c>
      <c r="B513" s="9" t="s">
        <v>7676</v>
      </c>
      <c r="C513" s="9" t="s">
        <v>6923</v>
      </c>
      <c r="D513" s="87" t="s">
        <v>6327</v>
      </c>
      <c r="E513" s="9" t="s">
        <v>6924</v>
      </c>
      <c r="F513" s="9" t="s">
        <v>6925</v>
      </c>
      <c r="G513" s="9" t="s">
        <v>383</v>
      </c>
      <c r="H513" s="9" t="s">
        <v>444</v>
      </c>
      <c r="I513" s="87" t="s">
        <v>6405</v>
      </c>
      <c r="J513" s="87" t="s">
        <v>6251</v>
      </c>
      <c r="K513" s="87" t="s">
        <v>6926</v>
      </c>
      <c r="L513" s="87" t="s">
        <v>6305</v>
      </c>
      <c r="M513" s="87" t="s">
        <v>6585</v>
      </c>
      <c r="N513" s="9" t="s">
        <v>7951</v>
      </c>
      <c r="O513" s="87" t="s">
        <v>6433</v>
      </c>
      <c r="P513" s="9" t="s">
        <v>6243</v>
      </c>
      <c r="Q513" s="87" t="s">
        <v>6305</v>
      </c>
      <c r="R513" s="87" t="s">
        <v>6251</v>
      </c>
      <c r="S513" s="87" t="s">
        <v>6606</v>
      </c>
      <c r="T513" s="87" t="s">
        <v>6316</v>
      </c>
    </row>
    <row r="514" spans="1:20" ht="15.75" customHeight="1">
      <c r="A514" s="9" t="s">
        <v>3011</v>
      </c>
      <c r="B514" s="9" t="s">
        <v>7676</v>
      </c>
      <c r="C514" s="9" t="s">
        <v>7228</v>
      </c>
      <c r="D514" s="87" t="s">
        <v>6290</v>
      </c>
      <c r="E514" s="9" t="s">
        <v>6924</v>
      </c>
      <c r="F514" s="9" t="s">
        <v>11</v>
      </c>
      <c r="G514" s="9" t="s">
        <v>383</v>
      </c>
      <c r="H514" s="9" t="s">
        <v>426</v>
      </c>
      <c r="I514" s="87" t="s">
        <v>6405</v>
      </c>
      <c r="J514" s="87" t="s">
        <v>6405</v>
      </c>
      <c r="K514" s="87" t="s">
        <v>6405</v>
      </c>
      <c r="L514" s="87" t="s">
        <v>6341</v>
      </c>
      <c r="M514" s="87" t="s">
        <v>6590</v>
      </c>
      <c r="N514" s="9" t="s">
        <v>7678</v>
      </c>
      <c r="O514" s="87" t="s">
        <v>6393</v>
      </c>
      <c r="P514" s="9" t="s">
        <v>6243</v>
      </c>
      <c r="Q514" s="87" t="s">
        <v>6341</v>
      </c>
      <c r="R514" s="87" t="s">
        <v>6405</v>
      </c>
      <c r="S514" s="87" t="s">
        <v>6461</v>
      </c>
      <c r="T514" s="87" t="s">
        <v>6245</v>
      </c>
    </row>
    <row r="515" spans="1:20" ht="15.75" customHeight="1">
      <c r="A515" s="9" t="s">
        <v>3011</v>
      </c>
      <c r="B515" s="9" t="s">
        <v>7674</v>
      </c>
      <c r="C515" s="9" t="s">
        <v>7228</v>
      </c>
      <c r="D515" s="87" t="s">
        <v>6290</v>
      </c>
      <c r="E515" s="9" t="s">
        <v>6924</v>
      </c>
      <c r="F515" s="9" t="s">
        <v>11</v>
      </c>
      <c r="G515" s="9" t="s">
        <v>383</v>
      </c>
      <c r="H515" s="9" t="s">
        <v>426</v>
      </c>
      <c r="I515" s="87" t="s">
        <v>6405</v>
      </c>
      <c r="J515" s="87" t="s">
        <v>6264</v>
      </c>
      <c r="K515" s="87" t="s">
        <v>6264</v>
      </c>
      <c r="L515" s="87" t="s">
        <v>6341</v>
      </c>
      <c r="M515" s="87" t="s">
        <v>6590</v>
      </c>
      <c r="N515" s="9" t="s">
        <v>7679</v>
      </c>
      <c r="O515" s="87" t="s">
        <v>6404</v>
      </c>
      <c r="P515" s="9" t="s">
        <v>6243</v>
      </c>
      <c r="Q515" s="87" t="s">
        <v>6596</v>
      </c>
      <c r="R515" s="87" t="s">
        <v>6264</v>
      </c>
      <c r="S515" s="87" t="s">
        <v>6397</v>
      </c>
      <c r="T515" s="87" t="s">
        <v>6651</v>
      </c>
    </row>
    <row r="516" spans="1:20" ht="15.75" customHeight="1">
      <c r="A516" s="9" t="s">
        <v>3028</v>
      </c>
      <c r="B516" s="9" t="s">
        <v>7680</v>
      </c>
      <c r="C516" s="9" t="s">
        <v>6236</v>
      </c>
      <c r="D516" s="87" t="s">
        <v>6393</v>
      </c>
      <c r="E516" s="9" t="s">
        <v>431</v>
      </c>
      <c r="F516" s="9" t="s">
        <v>368</v>
      </c>
      <c r="G516" s="9" t="s">
        <v>436</v>
      </c>
      <c r="H516" s="9" t="s">
        <v>434</v>
      </c>
      <c r="I516" s="87" t="s">
        <v>6237</v>
      </c>
      <c r="J516" s="87" t="s">
        <v>6357</v>
      </c>
      <c r="K516" s="87" t="s">
        <v>6430</v>
      </c>
      <c r="L516" s="87" t="s">
        <v>6240</v>
      </c>
      <c r="M516" s="87" t="s">
        <v>6566</v>
      </c>
      <c r="N516" s="9" t="s">
        <v>7504</v>
      </c>
      <c r="O516" s="87" t="s">
        <v>6430</v>
      </c>
      <c r="P516" s="9" t="s">
        <v>6243</v>
      </c>
      <c r="Q516" s="87" t="s">
        <v>6579</v>
      </c>
      <c r="R516" s="87" t="s">
        <v>6357</v>
      </c>
      <c r="S516" s="87" t="s">
        <v>6327</v>
      </c>
      <c r="T516" s="87" t="s">
        <v>6440</v>
      </c>
    </row>
    <row r="517" spans="1:20" ht="15.75" customHeight="1">
      <c r="A517" s="9" t="s">
        <v>3028</v>
      </c>
      <c r="B517" s="9" t="s">
        <v>7680</v>
      </c>
      <c r="C517" s="9" t="s">
        <v>6236</v>
      </c>
      <c r="D517" s="87" t="s">
        <v>6393</v>
      </c>
      <c r="E517" s="9" t="s">
        <v>431</v>
      </c>
      <c r="F517" s="9" t="s">
        <v>368</v>
      </c>
      <c r="G517" s="9" t="s">
        <v>436</v>
      </c>
      <c r="H517" s="9" t="s">
        <v>434</v>
      </c>
      <c r="I517" s="87" t="s">
        <v>6237</v>
      </c>
      <c r="J517" s="87" t="s">
        <v>6357</v>
      </c>
      <c r="K517" s="87" t="s">
        <v>6414</v>
      </c>
      <c r="L517" s="87" t="s">
        <v>6240</v>
      </c>
      <c r="M517" s="87" t="s">
        <v>6568</v>
      </c>
      <c r="N517" s="9" t="s">
        <v>7166</v>
      </c>
      <c r="O517" s="87" t="s">
        <v>6414</v>
      </c>
      <c r="P517" s="9" t="s">
        <v>6243</v>
      </c>
      <c r="Q517" s="87" t="s">
        <v>6416</v>
      </c>
      <c r="R517" s="87" t="s">
        <v>6357</v>
      </c>
      <c r="S517" s="87" t="s">
        <v>6284</v>
      </c>
      <c r="T517" s="87" t="s">
        <v>6645</v>
      </c>
    </row>
    <row r="518" spans="1:20" ht="15.75" customHeight="1">
      <c r="A518" s="9" t="s">
        <v>3028</v>
      </c>
      <c r="B518" s="9" t="s">
        <v>7681</v>
      </c>
      <c r="C518" s="9" t="s">
        <v>6671</v>
      </c>
      <c r="D518" s="87" t="s">
        <v>6296</v>
      </c>
      <c r="E518" s="9" t="s">
        <v>6672</v>
      </c>
      <c r="F518" s="9" t="s">
        <v>439</v>
      </c>
      <c r="G518" s="9" t="s">
        <v>436</v>
      </c>
      <c r="H518" s="9" t="s">
        <v>440</v>
      </c>
      <c r="I518" s="87" t="s">
        <v>6405</v>
      </c>
      <c r="J518" s="87" t="s">
        <v>6498</v>
      </c>
      <c r="K518" s="87" t="s">
        <v>6498</v>
      </c>
      <c r="L518" s="87" t="s">
        <v>6240</v>
      </c>
      <c r="M518" s="87" t="s">
        <v>6581</v>
      </c>
      <c r="N518" s="9" t="s">
        <v>7158</v>
      </c>
      <c r="O518" s="87" t="s">
        <v>6498</v>
      </c>
      <c r="P518" s="9" t="s">
        <v>6243</v>
      </c>
      <c r="Q518" s="87" t="s">
        <v>4019</v>
      </c>
      <c r="R518" s="87" t="s">
        <v>6498</v>
      </c>
      <c r="S518" s="87" t="s">
        <v>6263</v>
      </c>
      <c r="T518" s="87" t="s">
        <v>6645</v>
      </c>
    </row>
    <row r="519" spans="1:20" ht="15.75" customHeight="1">
      <c r="A519" s="9" t="s">
        <v>3028</v>
      </c>
      <c r="B519" s="9" t="s">
        <v>7682</v>
      </c>
      <c r="C519" s="9" t="s">
        <v>6923</v>
      </c>
      <c r="D519" s="87" t="s">
        <v>6461</v>
      </c>
      <c r="E519" s="9" t="s">
        <v>6924</v>
      </c>
      <c r="F519" s="9" t="s">
        <v>6925</v>
      </c>
      <c r="G519" s="9" t="s">
        <v>383</v>
      </c>
      <c r="H519" s="9" t="s">
        <v>427</v>
      </c>
      <c r="I519" s="87" t="s">
        <v>6405</v>
      </c>
      <c r="J519" s="87" t="s">
        <v>6240</v>
      </c>
      <c r="K519" s="87" t="s">
        <v>6939</v>
      </c>
      <c r="L519" s="87" t="s">
        <v>4019</v>
      </c>
      <c r="M519" s="87" t="s">
        <v>6585</v>
      </c>
      <c r="N519" s="9" t="s">
        <v>7159</v>
      </c>
      <c r="O519" s="87" t="s">
        <v>6263</v>
      </c>
      <c r="P519" s="9" t="s">
        <v>6243</v>
      </c>
      <c r="Q519" s="87" t="s">
        <v>3699</v>
      </c>
      <c r="R519" s="87" t="s">
        <v>6240</v>
      </c>
      <c r="S519" s="87" t="s">
        <v>6245</v>
      </c>
      <c r="T519" s="87" t="s">
        <v>6341</v>
      </c>
    </row>
    <row r="520" spans="1:20" ht="15.75" customHeight="1">
      <c r="A520" s="9" t="s">
        <v>3028</v>
      </c>
      <c r="B520" s="9" t="s">
        <v>7682</v>
      </c>
      <c r="C520" s="9" t="s">
        <v>7228</v>
      </c>
      <c r="D520" s="87" t="s">
        <v>6237</v>
      </c>
      <c r="E520" s="9" t="s">
        <v>6924</v>
      </c>
      <c r="F520" s="9" t="s">
        <v>11</v>
      </c>
      <c r="G520" s="9" t="s">
        <v>383</v>
      </c>
      <c r="H520" s="9" t="s">
        <v>426</v>
      </c>
      <c r="I520" s="87" t="s">
        <v>6405</v>
      </c>
      <c r="J520" s="87" t="s">
        <v>6334</v>
      </c>
      <c r="K520" s="87" t="s">
        <v>6334</v>
      </c>
      <c r="L520" s="87" t="s">
        <v>6254</v>
      </c>
      <c r="M520" s="87" t="s">
        <v>6590</v>
      </c>
      <c r="N520" s="9" t="s">
        <v>6966</v>
      </c>
      <c r="O520" s="87" t="s">
        <v>6348</v>
      </c>
      <c r="P520" s="9" t="s">
        <v>6243</v>
      </c>
      <c r="Q520" s="87" t="s">
        <v>5381</v>
      </c>
      <c r="R520" s="87" t="s">
        <v>6334</v>
      </c>
      <c r="S520" s="87" t="s">
        <v>6342</v>
      </c>
      <c r="T520" s="87" t="s">
        <v>6341</v>
      </c>
    </row>
    <row r="521" spans="1:20" ht="15.75" customHeight="1">
      <c r="A521" s="9" t="s">
        <v>3028</v>
      </c>
      <c r="B521" s="9" t="s">
        <v>7683</v>
      </c>
      <c r="C521" s="9" t="s">
        <v>6923</v>
      </c>
      <c r="D521" s="87" t="s">
        <v>6461</v>
      </c>
      <c r="E521" s="9" t="s">
        <v>6924</v>
      </c>
      <c r="F521" s="9" t="s">
        <v>6925</v>
      </c>
      <c r="G521" s="9" t="s">
        <v>383</v>
      </c>
      <c r="H521" s="9" t="s">
        <v>427</v>
      </c>
      <c r="I521" s="87" t="s">
        <v>6405</v>
      </c>
      <c r="J521" s="87" t="s">
        <v>6240</v>
      </c>
      <c r="K521" s="87" t="s">
        <v>6939</v>
      </c>
      <c r="L521" s="87" t="s">
        <v>4019</v>
      </c>
      <c r="M521" s="87" t="s">
        <v>6590</v>
      </c>
      <c r="N521" s="9" t="s">
        <v>7159</v>
      </c>
      <c r="O521" s="87" t="s">
        <v>6263</v>
      </c>
      <c r="P521" s="9" t="s">
        <v>6243</v>
      </c>
      <c r="Q521" s="87" t="s">
        <v>3699</v>
      </c>
      <c r="R521" s="87" t="s">
        <v>6240</v>
      </c>
      <c r="S521" s="87" t="s">
        <v>6245</v>
      </c>
      <c r="T521" s="87" t="s">
        <v>6341</v>
      </c>
    </row>
    <row r="522" spans="1:20" ht="15.75" customHeight="1">
      <c r="A522" s="9" t="s">
        <v>3028</v>
      </c>
      <c r="B522" s="9" t="s">
        <v>7683</v>
      </c>
      <c r="C522" s="9" t="s">
        <v>7228</v>
      </c>
      <c r="D522" s="87" t="s">
        <v>6237</v>
      </c>
      <c r="E522" s="9" t="s">
        <v>6924</v>
      </c>
      <c r="F522" s="9" t="s">
        <v>11</v>
      </c>
      <c r="G522" s="9" t="s">
        <v>383</v>
      </c>
      <c r="H522" s="9" t="s">
        <v>426</v>
      </c>
      <c r="I522" s="87" t="s">
        <v>6405</v>
      </c>
      <c r="J522" s="87" t="s">
        <v>6334</v>
      </c>
      <c r="K522" s="87" t="s">
        <v>6334</v>
      </c>
      <c r="L522" s="87" t="s">
        <v>6254</v>
      </c>
      <c r="M522" s="87" t="s">
        <v>6591</v>
      </c>
      <c r="N522" s="9" t="s">
        <v>6966</v>
      </c>
      <c r="O522" s="87" t="s">
        <v>6348</v>
      </c>
      <c r="P522" s="9" t="s">
        <v>6243</v>
      </c>
      <c r="Q522" s="87" t="s">
        <v>5381</v>
      </c>
      <c r="R522" s="87" t="s">
        <v>6334</v>
      </c>
      <c r="S522" s="87" t="s">
        <v>6342</v>
      </c>
      <c r="T522" s="87" t="s">
        <v>6341</v>
      </c>
    </row>
    <row r="523" spans="1:20" ht="15.75" customHeight="1">
      <c r="A523" s="9" t="s">
        <v>3028</v>
      </c>
      <c r="B523" s="9" t="s">
        <v>7684</v>
      </c>
      <c r="C523" s="9" t="s">
        <v>6923</v>
      </c>
      <c r="D523" s="87" t="s">
        <v>6461</v>
      </c>
      <c r="E523" s="9" t="s">
        <v>6924</v>
      </c>
      <c r="F523" s="9" t="s">
        <v>6925</v>
      </c>
      <c r="G523" s="9" t="s">
        <v>383</v>
      </c>
      <c r="H523" s="9" t="s">
        <v>427</v>
      </c>
      <c r="I523" s="87" t="s">
        <v>6405</v>
      </c>
      <c r="J523" s="87" t="s">
        <v>6240</v>
      </c>
      <c r="K523" s="87" t="s">
        <v>6926</v>
      </c>
      <c r="L523" s="87" t="s">
        <v>4019</v>
      </c>
      <c r="M523" s="87" t="s">
        <v>6591</v>
      </c>
      <c r="N523" s="9" t="s">
        <v>6979</v>
      </c>
      <c r="O523" s="87" t="s">
        <v>6498</v>
      </c>
      <c r="P523" s="9" t="s">
        <v>6243</v>
      </c>
      <c r="Q523" s="87" t="s">
        <v>4019</v>
      </c>
      <c r="R523" s="87" t="s">
        <v>6240</v>
      </c>
      <c r="S523" s="87" t="s">
        <v>6392</v>
      </c>
      <c r="T523" s="87" t="s">
        <v>6341</v>
      </c>
    </row>
    <row r="524" spans="1:20" ht="15.75" customHeight="1">
      <c r="A524" s="9" t="s">
        <v>3028</v>
      </c>
      <c r="B524" s="9" t="s">
        <v>7684</v>
      </c>
      <c r="C524" s="9" t="s">
        <v>7228</v>
      </c>
      <c r="D524" s="87" t="s">
        <v>6237</v>
      </c>
      <c r="E524" s="9" t="s">
        <v>6924</v>
      </c>
      <c r="F524" s="9" t="s">
        <v>11</v>
      </c>
      <c r="G524" s="9" t="s">
        <v>383</v>
      </c>
      <c r="H524" s="9" t="s">
        <v>426</v>
      </c>
      <c r="I524" s="87" t="s">
        <v>6405</v>
      </c>
      <c r="J524" s="87" t="s">
        <v>6405</v>
      </c>
      <c r="K524" s="87" t="s">
        <v>6405</v>
      </c>
      <c r="L524" s="87" t="s">
        <v>6254</v>
      </c>
      <c r="M524" s="87" t="s">
        <v>6592</v>
      </c>
      <c r="N524" s="9" t="s">
        <v>7236</v>
      </c>
      <c r="O524" s="87" t="s">
        <v>6251</v>
      </c>
      <c r="P524" s="9" t="s">
        <v>6547</v>
      </c>
      <c r="Q524" s="87" t="s">
        <v>6254</v>
      </c>
      <c r="R524" s="87" t="s">
        <v>6405</v>
      </c>
      <c r="S524" s="87" t="s">
        <v>6256</v>
      </c>
      <c r="T524" s="87" t="s">
        <v>6341</v>
      </c>
    </row>
    <row r="525" spans="1:20" ht="15.75" customHeight="1">
      <c r="A525" s="9" t="s">
        <v>2893</v>
      </c>
      <c r="B525" s="9" t="s">
        <v>7685</v>
      </c>
      <c r="C525" s="9" t="s">
        <v>6236</v>
      </c>
      <c r="D525" s="87" t="s">
        <v>6393</v>
      </c>
      <c r="E525" s="9" t="s">
        <v>431</v>
      </c>
      <c r="F525" s="9" t="s">
        <v>368</v>
      </c>
      <c r="G525" s="9" t="s">
        <v>436</v>
      </c>
      <c r="H525" s="9" t="s">
        <v>434</v>
      </c>
      <c r="I525" s="87" t="s">
        <v>6264</v>
      </c>
      <c r="J525" s="87" t="s">
        <v>6392</v>
      </c>
      <c r="K525" s="87" t="s">
        <v>6392</v>
      </c>
      <c r="L525" s="87" t="s">
        <v>6240</v>
      </c>
      <c r="M525" s="87" t="s">
        <v>6563</v>
      </c>
      <c r="N525" s="9" t="s">
        <v>7686</v>
      </c>
      <c r="O525" s="87" t="s">
        <v>6392</v>
      </c>
      <c r="P525" s="9" t="s">
        <v>6243</v>
      </c>
      <c r="Q525" s="87" t="s">
        <v>3236</v>
      </c>
      <c r="R525" s="87" t="s">
        <v>6392</v>
      </c>
      <c r="S525" s="87" t="s">
        <v>6348</v>
      </c>
      <c r="T525" s="87" t="s">
        <v>6555</v>
      </c>
    </row>
    <row r="526" spans="1:20" ht="15.75" customHeight="1">
      <c r="A526" s="9" t="s">
        <v>2893</v>
      </c>
      <c r="B526" s="9" t="s">
        <v>7687</v>
      </c>
      <c r="C526" s="9" t="s">
        <v>6671</v>
      </c>
      <c r="D526" s="87" t="s">
        <v>6296</v>
      </c>
      <c r="E526" s="9" t="s">
        <v>6672</v>
      </c>
      <c r="F526" s="9" t="s">
        <v>439</v>
      </c>
      <c r="G526" s="9" t="s">
        <v>436</v>
      </c>
      <c r="H526" s="9" t="s">
        <v>440</v>
      </c>
      <c r="I526" s="87" t="s">
        <v>6405</v>
      </c>
      <c r="J526" s="87" t="s">
        <v>6346</v>
      </c>
      <c r="K526" s="87" t="s">
        <v>6346</v>
      </c>
      <c r="L526" s="87" t="s">
        <v>6240</v>
      </c>
      <c r="M526" s="87" t="s">
        <v>6566</v>
      </c>
      <c r="N526" s="9" t="s">
        <v>6972</v>
      </c>
      <c r="O526" s="87" t="s">
        <v>6346</v>
      </c>
      <c r="P526" s="9" t="s">
        <v>6243</v>
      </c>
      <c r="Q526" s="87" t="s">
        <v>6366</v>
      </c>
      <c r="R526" s="87" t="s">
        <v>6346</v>
      </c>
      <c r="S526" s="87" t="s">
        <v>5381</v>
      </c>
      <c r="T526" s="87" t="s">
        <v>6645</v>
      </c>
    </row>
    <row r="527" spans="1:20" ht="15.75" customHeight="1">
      <c r="A527" s="9" t="s">
        <v>2893</v>
      </c>
      <c r="B527" s="9" t="s">
        <v>7688</v>
      </c>
      <c r="C527" s="9" t="s">
        <v>6923</v>
      </c>
      <c r="D527" s="87" t="s">
        <v>6461</v>
      </c>
      <c r="E527" s="9" t="s">
        <v>6924</v>
      </c>
      <c r="F527" s="9" t="s">
        <v>6925</v>
      </c>
      <c r="G527" s="9" t="s">
        <v>383</v>
      </c>
      <c r="H527" s="9" t="s">
        <v>427</v>
      </c>
      <c r="I527" s="87" t="s">
        <v>6405</v>
      </c>
      <c r="J527" s="87" t="s">
        <v>6810</v>
      </c>
      <c r="K527" s="87" t="s">
        <v>6931</v>
      </c>
      <c r="L527" s="87" t="s">
        <v>6372</v>
      </c>
      <c r="M527" s="87" t="s">
        <v>6582</v>
      </c>
      <c r="N527" s="9" t="s">
        <v>7034</v>
      </c>
      <c r="O527" s="87" t="s">
        <v>6239</v>
      </c>
      <c r="P527" s="9" t="s">
        <v>6243</v>
      </c>
      <c r="Q527" s="87" t="s">
        <v>3764</v>
      </c>
      <c r="R527" s="87" t="s">
        <v>6810</v>
      </c>
      <c r="S527" s="87" t="s">
        <v>7035</v>
      </c>
      <c r="T527" s="87" t="s">
        <v>6341</v>
      </c>
    </row>
    <row r="528" spans="1:20" ht="15.75" customHeight="1">
      <c r="A528" s="9" t="s">
        <v>2893</v>
      </c>
      <c r="B528" s="9" t="s">
        <v>7688</v>
      </c>
      <c r="C528" s="9" t="s">
        <v>7228</v>
      </c>
      <c r="D528" s="87" t="s">
        <v>6237</v>
      </c>
      <c r="E528" s="9" t="s">
        <v>6924</v>
      </c>
      <c r="F528" s="9" t="s">
        <v>11</v>
      </c>
      <c r="G528" s="9" t="s">
        <v>383</v>
      </c>
      <c r="H528" s="9" t="s">
        <v>426</v>
      </c>
      <c r="I528" s="87" t="s">
        <v>6405</v>
      </c>
      <c r="J528" s="87" t="s">
        <v>6264</v>
      </c>
      <c r="K528" s="87" t="s">
        <v>6264</v>
      </c>
      <c r="L528" s="87" t="s">
        <v>6397</v>
      </c>
      <c r="M528" s="87" t="s">
        <v>6583</v>
      </c>
      <c r="N528" s="9" t="s">
        <v>7300</v>
      </c>
      <c r="O528" s="87" t="s">
        <v>6313</v>
      </c>
      <c r="P528" s="9" t="s">
        <v>6243</v>
      </c>
      <c r="Q528" s="87" t="s">
        <v>6357</v>
      </c>
      <c r="R528" s="87" t="s">
        <v>6264</v>
      </c>
      <c r="S528" s="87" t="s">
        <v>6651</v>
      </c>
      <c r="T528" s="87" t="s">
        <v>6341</v>
      </c>
    </row>
    <row r="529" spans="1:20" ht="15.75" customHeight="1">
      <c r="A529" s="9" t="s">
        <v>2893</v>
      </c>
      <c r="B529" s="9" t="s">
        <v>7689</v>
      </c>
      <c r="C529" s="9" t="s">
        <v>6923</v>
      </c>
      <c r="D529" s="87" t="s">
        <v>6461</v>
      </c>
      <c r="E529" s="9" t="s">
        <v>6924</v>
      </c>
      <c r="F529" s="9" t="s">
        <v>6925</v>
      </c>
      <c r="G529" s="9" t="s">
        <v>383</v>
      </c>
      <c r="H529" s="9" t="s">
        <v>427</v>
      </c>
      <c r="I529" s="87" t="s">
        <v>6405</v>
      </c>
      <c r="J529" s="87" t="s">
        <v>6810</v>
      </c>
      <c r="K529" s="87" t="s">
        <v>6931</v>
      </c>
      <c r="L529" s="87" t="s">
        <v>6372</v>
      </c>
      <c r="M529" s="87" t="s">
        <v>6583</v>
      </c>
      <c r="N529" s="9" t="s">
        <v>7034</v>
      </c>
      <c r="O529" s="87" t="s">
        <v>6239</v>
      </c>
      <c r="P529" s="9" t="s">
        <v>6243</v>
      </c>
      <c r="Q529" s="87" t="s">
        <v>3764</v>
      </c>
      <c r="R529" s="87" t="s">
        <v>6810</v>
      </c>
      <c r="S529" s="87" t="s">
        <v>7035</v>
      </c>
      <c r="T529" s="87" t="s">
        <v>6341</v>
      </c>
    </row>
    <row r="530" spans="1:20" ht="15.75" customHeight="1">
      <c r="A530" s="9" t="s">
        <v>2893</v>
      </c>
      <c r="B530" s="9" t="s">
        <v>7689</v>
      </c>
      <c r="C530" s="9" t="s">
        <v>7228</v>
      </c>
      <c r="D530" s="87" t="s">
        <v>6237</v>
      </c>
      <c r="E530" s="9" t="s">
        <v>6924</v>
      </c>
      <c r="F530" s="9" t="s">
        <v>11</v>
      </c>
      <c r="G530" s="9" t="s">
        <v>383</v>
      </c>
      <c r="H530" s="9" t="s">
        <v>426</v>
      </c>
      <c r="I530" s="87" t="s">
        <v>6405</v>
      </c>
      <c r="J530" s="87" t="s">
        <v>6264</v>
      </c>
      <c r="K530" s="87" t="s">
        <v>6264</v>
      </c>
      <c r="L530" s="87" t="s">
        <v>6397</v>
      </c>
      <c r="M530" s="87" t="s">
        <v>6584</v>
      </c>
      <c r="N530" s="9" t="s">
        <v>7300</v>
      </c>
      <c r="O530" s="87" t="s">
        <v>6313</v>
      </c>
      <c r="P530" s="9" t="s">
        <v>6243</v>
      </c>
      <c r="Q530" s="87" t="s">
        <v>6357</v>
      </c>
      <c r="R530" s="87" t="s">
        <v>6264</v>
      </c>
      <c r="S530" s="87" t="s">
        <v>6651</v>
      </c>
      <c r="T530" s="87" t="s">
        <v>6341</v>
      </c>
    </row>
    <row r="531" spans="1:20" ht="15.75" customHeight="1">
      <c r="A531" s="9" t="s">
        <v>2893</v>
      </c>
      <c r="B531" s="9" t="s">
        <v>7690</v>
      </c>
      <c r="C531" s="9" t="s">
        <v>6923</v>
      </c>
      <c r="D531" s="87" t="s">
        <v>6461</v>
      </c>
      <c r="E531" s="9" t="s">
        <v>6924</v>
      </c>
      <c r="F531" s="9" t="s">
        <v>6925</v>
      </c>
      <c r="G531" s="9" t="s">
        <v>383</v>
      </c>
      <c r="H531" s="9" t="s">
        <v>427</v>
      </c>
      <c r="I531" s="87" t="s">
        <v>6405</v>
      </c>
      <c r="J531" s="87" t="s">
        <v>6810</v>
      </c>
      <c r="K531" s="87" t="s">
        <v>6931</v>
      </c>
      <c r="L531" s="87" t="s">
        <v>6372</v>
      </c>
      <c r="M531" s="87" t="s">
        <v>6584</v>
      </c>
      <c r="N531" s="9" t="s">
        <v>7034</v>
      </c>
      <c r="O531" s="87" t="s">
        <v>6239</v>
      </c>
      <c r="P531" s="9" t="s">
        <v>6243</v>
      </c>
      <c r="Q531" s="87" t="s">
        <v>3764</v>
      </c>
      <c r="R531" s="87" t="s">
        <v>6810</v>
      </c>
      <c r="S531" s="87" t="s">
        <v>7035</v>
      </c>
      <c r="T531" s="87" t="s">
        <v>6341</v>
      </c>
    </row>
    <row r="532" spans="1:20" ht="15.75" customHeight="1">
      <c r="A532" s="9" t="s">
        <v>2893</v>
      </c>
      <c r="B532" s="9" t="s">
        <v>7690</v>
      </c>
      <c r="C532" s="9" t="s">
        <v>7228</v>
      </c>
      <c r="D532" s="87" t="s">
        <v>6237</v>
      </c>
      <c r="E532" s="9" t="s">
        <v>6924</v>
      </c>
      <c r="F532" s="9" t="s">
        <v>11</v>
      </c>
      <c r="G532" s="9" t="s">
        <v>383</v>
      </c>
      <c r="H532" s="9" t="s">
        <v>426</v>
      </c>
      <c r="I532" s="87" t="s">
        <v>6405</v>
      </c>
      <c r="J532" s="87" t="s">
        <v>6264</v>
      </c>
      <c r="K532" s="87" t="s">
        <v>6264</v>
      </c>
      <c r="L532" s="87" t="s">
        <v>6397</v>
      </c>
      <c r="M532" s="87" t="s">
        <v>6585</v>
      </c>
      <c r="N532" s="9" t="s">
        <v>7300</v>
      </c>
      <c r="O532" s="87" t="s">
        <v>6313</v>
      </c>
      <c r="P532" s="9" t="s">
        <v>6243</v>
      </c>
      <c r="Q532" s="87" t="s">
        <v>6357</v>
      </c>
      <c r="R532" s="87" t="s">
        <v>6264</v>
      </c>
      <c r="S532" s="87" t="s">
        <v>6651</v>
      </c>
      <c r="T532" s="87" t="s">
        <v>6341</v>
      </c>
    </row>
    <row r="533" spans="1:20" ht="15.75" customHeight="1">
      <c r="A533" s="9" t="s">
        <v>2852</v>
      </c>
      <c r="B533" s="9" t="s">
        <v>7692</v>
      </c>
      <c r="C533" s="9" t="s">
        <v>6236</v>
      </c>
      <c r="D533" s="87" t="s">
        <v>6393</v>
      </c>
      <c r="E533" s="9" t="s">
        <v>431</v>
      </c>
      <c r="F533" s="9" t="s">
        <v>368</v>
      </c>
      <c r="G533" s="9" t="s">
        <v>436</v>
      </c>
      <c r="H533" s="9" t="s">
        <v>434</v>
      </c>
      <c r="I533" s="87" t="s">
        <v>6237</v>
      </c>
      <c r="J533" s="87" t="s">
        <v>6498</v>
      </c>
      <c r="K533" s="87" t="s">
        <v>6348</v>
      </c>
      <c r="L533" s="87" t="s">
        <v>6240</v>
      </c>
      <c r="M533" s="87" t="s">
        <v>6634</v>
      </c>
      <c r="N533" s="9" t="s">
        <v>7109</v>
      </c>
      <c r="O533" s="87" t="s">
        <v>6348</v>
      </c>
      <c r="P533" s="9" t="s">
        <v>6243</v>
      </c>
      <c r="Q533" s="87" t="s">
        <v>5381</v>
      </c>
      <c r="R533" s="87" t="s">
        <v>6498</v>
      </c>
      <c r="S533" s="87" t="s">
        <v>6327</v>
      </c>
      <c r="T533" s="87" t="s">
        <v>6397</v>
      </c>
    </row>
    <row r="534" spans="1:20" ht="15.75" customHeight="1">
      <c r="A534" s="9" t="s">
        <v>2852</v>
      </c>
      <c r="B534" s="9" t="s">
        <v>7692</v>
      </c>
      <c r="C534" s="9" t="s">
        <v>6236</v>
      </c>
      <c r="D534" s="87" t="s">
        <v>6393</v>
      </c>
      <c r="E534" s="9" t="s">
        <v>431</v>
      </c>
      <c r="F534" s="9" t="s">
        <v>368</v>
      </c>
      <c r="G534" s="9" t="s">
        <v>436</v>
      </c>
      <c r="H534" s="9" t="s">
        <v>434</v>
      </c>
      <c r="I534" s="87" t="s">
        <v>6237</v>
      </c>
      <c r="J534" s="87" t="s">
        <v>6498</v>
      </c>
      <c r="K534" s="87" t="s">
        <v>6433</v>
      </c>
      <c r="L534" s="87" t="s">
        <v>6240</v>
      </c>
      <c r="M534" s="87" t="s">
        <v>6721</v>
      </c>
      <c r="N534" s="9" t="s">
        <v>7082</v>
      </c>
      <c r="O534" s="87" t="s">
        <v>6433</v>
      </c>
      <c r="P534" s="9" t="s">
        <v>6243</v>
      </c>
      <c r="Q534" s="87" t="s">
        <v>6305</v>
      </c>
      <c r="R534" s="87" t="s">
        <v>6498</v>
      </c>
      <c r="S534" s="87" t="s">
        <v>6479</v>
      </c>
      <c r="T534" s="87" t="s">
        <v>6645</v>
      </c>
    </row>
    <row r="535" spans="1:20" ht="15.75" customHeight="1">
      <c r="A535" s="9" t="s">
        <v>2852</v>
      </c>
      <c r="B535" s="9" t="s">
        <v>7694</v>
      </c>
      <c r="C535" s="9" t="s">
        <v>6923</v>
      </c>
      <c r="D535" s="87" t="s">
        <v>6327</v>
      </c>
      <c r="E535" s="9" t="s">
        <v>6924</v>
      </c>
      <c r="F535" s="9" t="s">
        <v>6925</v>
      </c>
      <c r="G535" s="9" t="s">
        <v>383</v>
      </c>
      <c r="H535" s="9" t="s">
        <v>444</v>
      </c>
      <c r="I535" s="87" t="s">
        <v>6405</v>
      </c>
      <c r="J535" s="87" t="s">
        <v>6405</v>
      </c>
      <c r="K535" s="87" t="s">
        <v>6926</v>
      </c>
      <c r="L535" s="87" t="s">
        <v>6341</v>
      </c>
      <c r="M535" s="87" t="s">
        <v>6718</v>
      </c>
      <c r="N535" s="9" t="s">
        <v>7952</v>
      </c>
      <c r="O535" s="87" t="s">
        <v>6393</v>
      </c>
      <c r="P535" s="9" t="s">
        <v>6243</v>
      </c>
      <c r="Q535" s="87" t="s">
        <v>6341</v>
      </c>
      <c r="R535" s="87" t="s">
        <v>6405</v>
      </c>
      <c r="S535" s="87" t="s">
        <v>6361</v>
      </c>
      <c r="T535" s="87" t="s">
        <v>6382</v>
      </c>
    </row>
    <row r="536" spans="1:20" ht="15.75" customHeight="1">
      <c r="A536" s="9" t="s">
        <v>2852</v>
      </c>
      <c r="B536" s="9" t="s">
        <v>7693</v>
      </c>
      <c r="C536" s="9" t="s">
        <v>6671</v>
      </c>
      <c r="D536" s="87" t="s">
        <v>6296</v>
      </c>
      <c r="E536" s="9" t="s">
        <v>6672</v>
      </c>
      <c r="F536" s="9" t="s">
        <v>439</v>
      </c>
      <c r="G536" s="9" t="s">
        <v>436</v>
      </c>
      <c r="H536" s="9" t="s">
        <v>440</v>
      </c>
      <c r="I536" s="87" t="s">
        <v>6405</v>
      </c>
      <c r="J536" s="87" t="s">
        <v>6498</v>
      </c>
      <c r="K536" s="87" t="s">
        <v>6498</v>
      </c>
      <c r="L536" s="87" t="s">
        <v>6240</v>
      </c>
      <c r="M536" s="87" t="s">
        <v>6718</v>
      </c>
      <c r="N536" s="9" t="s">
        <v>7158</v>
      </c>
      <c r="O536" s="87" t="s">
        <v>6498</v>
      </c>
      <c r="P536" s="9" t="s">
        <v>6243</v>
      </c>
      <c r="Q536" s="87" t="s">
        <v>4019</v>
      </c>
      <c r="R536" s="87" t="s">
        <v>6498</v>
      </c>
      <c r="S536" s="87" t="s">
        <v>6263</v>
      </c>
      <c r="T536" s="87" t="s">
        <v>6645</v>
      </c>
    </row>
    <row r="537" spans="1:20" ht="15.75" customHeight="1">
      <c r="A537" s="9" t="s">
        <v>2852</v>
      </c>
      <c r="B537" s="9" t="s">
        <v>7694</v>
      </c>
      <c r="C537" s="9" t="s">
        <v>7228</v>
      </c>
      <c r="D537" s="87" t="s">
        <v>6290</v>
      </c>
      <c r="E537" s="9" t="s">
        <v>6924</v>
      </c>
      <c r="F537" s="9" t="s">
        <v>11</v>
      </c>
      <c r="G537" s="9" t="s">
        <v>383</v>
      </c>
      <c r="H537" s="9" t="s">
        <v>426</v>
      </c>
      <c r="I537" s="87" t="s">
        <v>6405</v>
      </c>
      <c r="J537" s="87" t="s">
        <v>6405</v>
      </c>
      <c r="K537" s="87" t="s">
        <v>6405</v>
      </c>
      <c r="L537" s="87" t="s">
        <v>6397</v>
      </c>
      <c r="M537" s="87" t="s">
        <v>6635</v>
      </c>
      <c r="N537" s="9" t="s">
        <v>7581</v>
      </c>
      <c r="O537" s="87" t="s">
        <v>6240</v>
      </c>
      <c r="P537" s="9" t="s">
        <v>6243</v>
      </c>
      <c r="Q537" s="87" t="s">
        <v>6397</v>
      </c>
      <c r="R537" s="87" t="s">
        <v>6405</v>
      </c>
      <c r="S537" s="87" t="s">
        <v>6543</v>
      </c>
      <c r="T537" s="87" t="s">
        <v>6316</v>
      </c>
    </row>
    <row r="538" spans="1:20" ht="15.75" customHeight="1">
      <c r="A538" s="9" t="s">
        <v>2894</v>
      </c>
      <c r="B538" s="9" t="s">
        <v>7695</v>
      </c>
      <c r="C538" s="9" t="s">
        <v>6236</v>
      </c>
      <c r="D538" s="87" t="s">
        <v>6393</v>
      </c>
      <c r="E538" s="9" t="s">
        <v>431</v>
      </c>
      <c r="F538" s="9" t="s">
        <v>368</v>
      </c>
      <c r="G538" s="9" t="s">
        <v>436</v>
      </c>
      <c r="H538" s="9" t="s">
        <v>434</v>
      </c>
      <c r="I538" s="87" t="s">
        <v>6237</v>
      </c>
      <c r="J538" s="87" t="s">
        <v>6479</v>
      </c>
      <c r="K538" s="87" t="s">
        <v>6405</v>
      </c>
      <c r="L538" s="87" t="s">
        <v>6240</v>
      </c>
      <c r="M538" s="87" t="s">
        <v>6582</v>
      </c>
      <c r="N538" s="9" t="s">
        <v>7696</v>
      </c>
      <c r="O538" s="87" t="s">
        <v>6405</v>
      </c>
      <c r="P538" s="9" t="s">
        <v>6243</v>
      </c>
      <c r="Q538" s="87" t="s">
        <v>6240</v>
      </c>
      <c r="R538" s="87" t="s">
        <v>6479</v>
      </c>
      <c r="S538" s="87" t="s">
        <v>6327</v>
      </c>
      <c r="T538" s="87" t="s">
        <v>6327</v>
      </c>
    </row>
    <row r="539" spans="1:20" ht="15.75" customHeight="1">
      <c r="A539" s="9" t="s">
        <v>2894</v>
      </c>
      <c r="B539" s="9" t="s">
        <v>7695</v>
      </c>
      <c r="C539" s="9" t="s">
        <v>6236</v>
      </c>
      <c r="D539" s="87" t="s">
        <v>6393</v>
      </c>
      <c r="E539" s="9" t="s">
        <v>431</v>
      </c>
      <c r="F539" s="9" t="s">
        <v>368</v>
      </c>
      <c r="G539" s="9" t="s">
        <v>436</v>
      </c>
      <c r="H539" s="9" t="s">
        <v>434</v>
      </c>
      <c r="I539" s="87" t="s">
        <v>6237</v>
      </c>
      <c r="J539" s="87" t="s">
        <v>6479</v>
      </c>
      <c r="K539" s="87" t="s">
        <v>6416</v>
      </c>
      <c r="L539" s="87" t="s">
        <v>6240</v>
      </c>
      <c r="M539" s="87" t="s">
        <v>6583</v>
      </c>
      <c r="N539" s="9" t="s">
        <v>7411</v>
      </c>
      <c r="O539" s="87" t="s">
        <v>6416</v>
      </c>
      <c r="P539" s="9" t="s">
        <v>6243</v>
      </c>
      <c r="Q539" s="87" t="s">
        <v>6758</v>
      </c>
      <c r="R539" s="87" t="s">
        <v>6479</v>
      </c>
      <c r="S539" s="87" t="s">
        <v>6411</v>
      </c>
      <c r="T539" s="87" t="s">
        <v>6645</v>
      </c>
    </row>
    <row r="540" spans="1:20" ht="15.75" customHeight="1">
      <c r="A540" s="9" t="s">
        <v>2894</v>
      </c>
      <c r="B540" s="9" t="s">
        <v>7697</v>
      </c>
      <c r="C540" s="9" t="s">
        <v>6671</v>
      </c>
      <c r="D540" s="87" t="s">
        <v>6296</v>
      </c>
      <c r="E540" s="9" t="s">
        <v>6672</v>
      </c>
      <c r="F540" s="9" t="s">
        <v>439</v>
      </c>
      <c r="G540" s="9" t="s">
        <v>436</v>
      </c>
      <c r="H540" s="9" t="s">
        <v>440</v>
      </c>
      <c r="I540" s="87" t="s">
        <v>6405</v>
      </c>
      <c r="J540" s="87" t="s">
        <v>6306</v>
      </c>
      <c r="K540" s="87" t="s">
        <v>6497</v>
      </c>
      <c r="L540" s="87" t="s">
        <v>6240</v>
      </c>
      <c r="M540" s="87" t="s">
        <v>6584</v>
      </c>
      <c r="N540" s="9" t="s">
        <v>7165</v>
      </c>
      <c r="O540" s="87" t="s">
        <v>6497</v>
      </c>
      <c r="P540" s="9" t="s">
        <v>6243</v>
      </c>
      <c r="Q540" s="87" t="s">
        <v>6714</v>
      </c>
      <c r="R540" s="87" t="s">
        <v>6306</v>
      </c>
      <c r="S540" s="87" t="s">
        <v>6327</v>
      </c>
      <c r="T540" s="87" t="s">
        <v>6271</v>
      </c>
    </row>
    <row r="541" spans="1:20" ht="15.75" customHeight="1">
      <c r="A541" s="9" t="s">
        <v>2894</v>
      </c>
      <c r="B541" s="9" t="s">
        <v>7698</v>
      </c>
      <c r="C541" s="9" t="s">
        <v>6923</v>
      </c>
      <c r="D541" s="87" t="s">
        <v>6327</v>
      </c>
      <c r="E541" s="9" t="s">
        <v>6924</v>
      </c>
      <c r="F541" s="9" t="s">
        <v>6925</v>
      </c>
      <c r="G541" s="9" t="s">
        <v>383</v>
      </c>
      <c r="H541" s="9" t="s">
        <v>444</v>
      </c>
      <c r="I541" s="87" t="s">
        <v>6405</v>
      </c>
      <c r="J541" s="87" t="s">
        <v>6251</v>
      </c>
      <c r="K541" s="87" t="s">
        <v>6926</v>
      </c>
      <c r="L541" s="87" t="s">
        <v>6484</v>
      </c>
      <c r="M541" s="87" t="s">
        <v>6585</v>
      </c>
      <c r="N541" s="9" t="s">
        <v>7699</v>
      </c>
      <c r="O541" s="87" t="s">
        <v>6810</v>
      </c>
      <c r="P541" s="9" t="s">
        <v>6243</v>
      </c>
      <c r="Q541" s="87" t="s">
        <v>6484</v>
      </c>
      <c r="R541" s="87" t="s">
        <v>6251</v>
      </c>
      <c r="S541" s="87" t="s">
        <v>6405</v>
      </c>
      <c r="T541" s="87" t="s">
        <v>6810</v>
      </c>
    </row>
    <row r="542" spans="1:20" ht="15.75" customHeight="1">
      <c r="A542" s="9" t="s">
        <v>2894</v>
      </c>
      <c r="B542" s="9" t="s">
        <v>7697</v>
      </c>
      <c r="C542" s="9" t="s">
        <v>6671</v>
      </c>
      <c r="D542" s="87" t="s">
        <v>6296</v>
      </c>
      <c r="E542" s="9" t="s">
        <v>6672</v>
      </c>
      <c r="F542" s="9" t="s">
        <v>439</v>
      </c>
      <c r="G542" s="9" t="s">
        <v>436</v>
      </c>
      <c r="H542" s="9" t="s">
        <v>440</v>
      </c>
      <c r="I542" s="87" t="s">
        <v>6405</v>
      </c>
      <c r="J542" s="87" t="s">
        <v>6306</v>
      </c>
      <c r="K542" s="87" t="s">
        <v>6414</v>
      </c>
      <c r="L542" s="87" t="s">
        <v>6240</v>
      </c>
      <c r="M542" s="87" t="s">
        <v>6585</v>
      </c>
      <c r="N542" s="9" t="s">
        <v>7166</v>
      </c>
      <c r="O542" s="87" t="s">
        <v>6414</v>
      </c>
      <c r="P542" s="9" t="s">
        <v>6243</v>
      </c>
      <c r="Q542" s="87" t="s">
        <v>6416</v>
      </c>
      <c r="R542" s="87" t="s">
        <v>6306</v>
      </c>
      <c r="S542" s="87" t="s">
        <v>6284</v>
      </c>
      <c r="T542" s="87" t="s">
        <v>6645</v>
      </c>
    </row>
    <row r="543" spans="1:20" ht="15.75" customHeight="1">
      <c r="A543" s="9" t="s">
        <v>2894</v>
      </c>
      <c r="B543" s="9" t="s">
        <v>7700</v>
      </c>
      <c r="C543" s="9" t="s">
        <v>6923</v>
      </c>
      <c r="D543" s="87" t="s">
        <v>6327</v>
      </c>
      <c r="E543" s="9" t="s">
        <v>6924</v>
      </c>
      <c r="F543" s="9" t="s">
        <v>6925</v>
      </c>
      <c r="G543" s="9" t="s">
        <v>383</v>
      </c>
      <c r="H543" s="9" t="s">
        <v>444</v>
      </c>
      <c r="I543" s="87" t="s">
        <v>6405</v>
      </c>
      <c r="J543" s="87" t="s">
        <v>6251</v>
      </c>
      <c r="K543" s="87" t="s">
        <v>6926</v>
      </c>
      <c r="L543" s="87" t="s">
        <v>6484</v>
      </c>
      <c r="M543" s="87" t="s">
        <v>6590</v>
      </c>
      <c r="N543" s="9" t="s">
        <v>7699</v>
      </c>
      <c r="O543" s="87" t="s">
        <v>6810</v>
      </c>
      <c r="P543" s="9" t="s">
        <v>6243</v>
      </c>
      <c r="Q543" s="87" t="s">
        <v>6484</v>
      </c>
      <c r="R543" s="87" t="s">
        <v>6251</v>
      </c>
      <c r="S543" s="87" t="s">
        <v>6405</v>
      </c>
      <c r="T543" s="87" t="s">
        <v>6810</v>
      </c>
    </row>
    <row r="544" spans="1:20" ht="15.75" customHeight="1">
      <c r="A544" s="9" t="s">
        <v>2894</v>
      </c>
      <c r="B544" s="9" t="s">
        <v>7702</v>
      </c>
      <c r="C544" s="9" t="s">
        <v>6923</v>
      </c>
      <c r="D544" s="87" t="s">
        <v>6327</v>
      </c>
      <c r="E544" s="9" t="s">
        <v>6924</v>
      </c>
      <c r="F544" s="9" t="s">
        <v>6925</v>
      </c>
      <c r="G544" s="9" t="s">
        <v>383</v>
      </c>
      <c r="H544" s="9" t="s">
        <v>444</v>
      </c>
      <c r="I544" s="87" t="s">
        <v>6405</v>
      </c>
      <c r="J544" s="87" t="s">
        <v>6251</v>
      </c>
      <c r="K544" s="87" t="s">
        <v>6926</v>
      </c>
      <c r="L544" s="87" t="s">
        <v>6484</v>
      </c>
      <c r="M544" s="87" t="s">
        <v>6591</v>
      </c>
      <c r="N544" s="9" t="s">
        <v>7953</v>
      </c>
      <c r="O544" s="87" t="s">
        <v>6810</v>
      </c>
      <c r="P544" s="9" t="s">
        <v>6243</v>
      </c>
      <c r="Q544" s="87" t="s">
        <v>6484</v>
      </c>
      <c r="R544" s="87" t="s">
        <v>6251</v>
      </c>
      <c r="S544" s="87" t="s">
        <v>6264</v>
      </c>
      <c r="T544" s="87" t="s">
        <v>6435</v>
      </c>
    </row>
    <row r="545" spans="1:20" ht="15.75" customHeight="1">
      <c r="A545" s="9" t="s">
        <v>2894</v>
      </c>
      <c r="B545" s="9" t="s">
        <v>7702</v>
      </c>
      <c r="C545" s="9" t="s">
        <v>7228</v>
      </c>
      <c r="D545" s="87" t="s">
        <v>6290</v>
      </c>
      <c r="E545" s="9" t="s">
        <v>6924</v>
      </c>
      <c r="F545" s="9" t="s">
        <v>11</v>
      </c>
      <c r="G545" s="9" t="s">
        <v>383</v>
      </c>
      <c r="H545" s="9" t="s">
        <v>426</v>
      </c>
      <c r="I545" s="87" t="s">
        <v>6405</v>
      </c>
      <c r="J545" s="87" t="s">
        <v>6405</v>
      </c>
      <c r="K545" s="87" t="s">
        <v>6405</v>
      </c>
      <c r="L545" s="87" t="s">
        <v>6287</v>
      </c>
      <c r="M545" s="87" t="s">
        <v>6592</v>
      </c>
      <c r="N545" s="9" t="s">
        <v>7954</v>
      </c>
      <c r="O545" s="87" t="s">
        <v>6296</v>
      </c>
      <c r="P545" s="9" t="s">
        <v>6243</v>
      </c>
      <c r="Q545" s="87" t="s">
        <v>6287</v>
      </c>
      <c r="R545" s="87" t="s">
        <v>6405</v>
      </c>
      <c r="S545" s="87" t="s">
        <v>6302</v>
      </c>
      <c r="T545" s="87" t="s">
        <v>6606</v>
      </c>
    </row>
    <row r="546" spans="1:20" ht="15.75" customHeight="1">
      <c r="A546" s="9" t="s">
        <v>2894</v>
      </c>
      <c r="B546" s="9" t="s">
        <v>7700</v>
      </c>
      <c r="C546" s="9" t="s">
        <v>7228</v>
      </c>
      <c r="D546" s="87" t="s">
        <v>6290</v>
      </c>
      <c r="E546" s="9" t="s">
        <v>6924</v>
      </c>
      <c r="F546" s="9" t="s">
        <v>11</v>
      </c>
      <c r="G546" s="9" t="s">
        <v>383</v>
      </c>
      <c r="H546" s="9" t="s">
        <v>426</v>
      </c>
      <c r="I546" s="87" t="s">
        <v>6405</v>
      </c>
      <c r="J546" s="87" t="s">
        <v>6405</v>
      </c>
      <c r="K546" s="87" t="s">
        <v>6405</v>
      </c>
      <c r="L546" s="87" t="s">
        <v>6287</v>
      </c>
      <c r="M546" s="87" t="s">
        <v>6592</v>
      </c>
      <c r="N546" s="9" t="s">
        <v>7701</v>
      </c>
      <c r="O546" s="87" t="s">
        <v>6296</v>
      </c>
      <c r="P546" s="9" t="s">
        <v>6243</v>
      </c>
      <c r="Q546" s="87" t="s">
        <v>6287</v>
      </c>
      <c r="R546" s="87" t="s">
        <v>6405</v>
      </c>
      <c r="S546" s="87" t="s">
        <v>6392</v>
      </c>
      <c r="T546" s="87" t="s">
        <v>6277</v>
      </c>
    </row>
    <row r="547" spans="1:20" ht="15.75" customHeight="1">
      <c r="A547" s="9" t="s">
        <v>2894</v>
      </c>
      <c r="B547" s="9" t="s">
        <v>7698</v>
      </c>
      <c r="C547" s="9" t="s">
        <v>7228</v>
      </c>
      <c r="D547" s="87" t="s">
        <v>6290</v>
      </c>
      <c r="E547" s="9" t="s">
        <v>6924</v>
      </c>
      <c r="F547" s="9" t="s">
        <v>11</v>
      </c>
      <c r="G547" s="9" t="s">
        <v>383</v>
      </c>
      <c r="H547" s="9" t="s">
        <v>426</v>
      </c>
      <c r="I547" s="87" t="s">
        <v>6405</v>
      </c>
      <c r="J547" s="87" t="s">
        <v>6405</v>
      </c>
      <c r="K547" s="87" t="s">
        <v>6405</v>
      </c>
      <c r="L547" s="87" t="s">
        <v>6287</v>
      </c>
      <c r="M547" s="87" t="s">
        <v>6592</v>
      </c>
      <c r="N547" s="9" t="s">
        <v>7651</v>
      </c>
      <c r="O547" s="87" t="s">
        <v>6296</v>
      </c>
      <c r="P547" s="9" t="s">
        <v>6243</v>
      </c>
      <c r="Q547" s="87" t="s">
        <v>6287</v>
      </c>
      <c r="R547" s="87" t="s">
        <v>6405</v>
      </c>
      <c r="S547" s="87" t="s">
        <v>6300</v>
      </c>
      <c r="T547" s="87" t="s">
        <v>6341</v>
      </c>
    </row>
    <row r="548" spans="1:20" ht="15.75" customHeight="1">
      <c r="A548" s="9" t="s">
        <v>2894</v>
      </c>
      <c r="B548" s="9" t="s">
        <v>7955</v>
      </c>
      <c r="C548" s="9" t="s">
        <v>6923</v>
      </c>
      <c r="D548" s="87" t="s">
        <v>6327</v>
      </c>
      <c r="E548" s="9" t="s">
        <v>6924</v>
      </c>
      <c r="F548" s="9" t="s">
        <v>6925</v>
      </c>
      <c r="G548" s="9" t="s">
        <v>383</v>
      </c>
      <c r="H548" s="9" t="s">
        <v>444</v>
      </c>
      <c r="I548" s="87" t="s">
        <v>6405</v>
      </c>
      <c r="J548" s="87" t="s">
        <v>6251</v>
      </c>
      <c r="K548" s="87" t="s">
        <v>7033</v>
      </c>
      <c r="L548" s="87" t="s">
        <v>6484</v>
      </c>
      <c r="M548" s="87" t="s">
        <v>6592</v>
      </c>
      <c r="N548" s="9" t="s">
        <v>6979</v>
      </c>
      <c r="O548" s="87" t="s">
        <v>6498</v>
      </c>
      <c r="P548" s="9" t="s">
        <v>6243</v>
      </c>
      <c r="Q548" s="87" t="s">
        <v>4019</v>
      </c>
      <c r="R548" s="87" t="s">
        <v>6251</v>
      </c>
      <c r="S548" s="87" t="s">
        <v>6392</v>
      </c>
      <c r="T548" s="87" t="s">
        <v>6341</v>
      </c>
    </row>
    <row r="549" spans="1:20" ht="15.75" customHeight="1">
      <c r="A549" s="9" t="s">
        <v>2894</v>
      </c>
      <c r="B549" s="9" t="s">
        <v>7955</v>
      </c>
      <c r="C549" s="9" t="s">
        <v>7228</v>
      </c>
      <c r="D549" s="87" t="s">
        <v>6290</v>
      </c>
      <c r="E549" s="9" t="s">
        <v>6924</v>
      </c>
      <c r="F549" s="9" t="s">
        <v>11</v>
      </c>
      <c r="G549" s="9" t="s">
        <v>383</v>
      </c>
      <c r="H549" s="9" t="s">
        <v>426</v>
      </c>
      <c r="I549" s="87" t="s">
        <v>6405</v>
      </c>
      <c r="J549" s="87" t="s">
        <v>6237</v>
      </c>
      <c r="K549" s="87" t="s">
        <v>6237</v>
      </c>
      <c r="L549" s="87" t="s">
        <v>6287</v>
      </c>
      <c r="M549" s="87" t="s">
        <v>6597</v>
      </c>
      <c r="N549" s="9" t="s">
        <v>7159</v>
      </c>
      <c r="O549" s="87" t="s">
        <v>6263</v>
      </c>
      <c r="P549" s="9" t="s">
        <v>6243</v>
      </c>
      <c r="Q549" s="87" t="s">
        <v>3699</v>
      </c>
      <c r="R549" s="87" t="s">
        <v>6237</v>
      </c>
      <c r="S549" s="87" t="s">
        <v>6245</v>
      </c>
      <c r="T549" s="87" t="s">
        <v>6341</v>
      </c>
    </row>
    <row r="550" spans="1:20" ht="15.75" customHeight="1">
      <c r="A550" s="9" t="s">
        <v>3007</v>
      </c>
      <c r="B550" s="9" t="s">
        <v>7704</v>
      </c>
      <c r="C550" s="9" t="s">
        <v>6236</v>
      </c>
      <c r="D550" s="87" t="s">
        <v>6393</v>
      </c>
      <c r="E550" s="9" t="s">
        <v>431</v>
      </c>
      <c r="F550" s="9" t="s">
        <v>368</v>
      </c>
      <c r="G550" s="9" t="s">
        <v>436</v>
      </c>
      <c r="H550" s="9" t="s">
        <v>434</v>
      </c>
      <c r="I550" s="87" t="s">
        <v>6237</v>
      </c>
      <c r="J550" s="87" t="s">
        <v>6238</v>
      </c>
      <c r="K550" s="87" t="s">
        <v>6619</v>
      </c>
      <c r="L550" s="87" t="s">
        <v>6240</v>
      </c>
      <c r="M550" s="87" t="s">
        <v>6721</v>
      </c>
      <c r="N550" s="9" t="s">
        <v>7705</v>
      </c>
      <c r="O550" s="87" t="s">
        <v>6619</v>
      </c>
      <c r="P550" s="9" t="s">
        <v>6243</v>
      </c>
      <c r="Q550" s="87" t="s">
        <v>6852</v>
      </c>
      <c r="R550" s="87" t="s">
        <v>6238</v>
      </c>
      <c r="S550" s="87" t="s">
        <v>6327</v>
      </c>
      <c r="T550" s="87" t="s">
        <v>6416</v>
      </c>
    </row>
    <row r="551" spans="1:20" ht="15.75" customHeight="1">
      <c r="A551" s="9" t="s">
        <v>3007</v>
      </c>
      <c r="B551" s="9" t="s">
        <v>7704</v>
      </c>
      <c r="C551" s="9" t="s">
        <v>6236</v>
      </c>
      <c r="D551" s="87" t="s">
        <v>6393</v>
      </c>
      <c r="E551" s="9" t="s">
        <v>431</v>
      </c>
      <c r="F551" s="9" t="s">
        <v>368</v>
      </c>
      <c r="G551" s="9" t="s">
        <v>436</v>
      </c>
      <c r="H551" s="9" t="s">
        <v>434</v>
      </c>
      <c r="I551" s="87" t="s">
        <v>6237</v>
      </c>
      <c r="J551" s="87" t="s">
        <v>6238</v>
      </c>
      <c r="K551" s="87" t="s">
        <v>6413</v>
      </c>
      <c r="L551" s="87" t="s">
        <v>6240</v>
      </c>
      <c r="M551" s="87" t="s">
        <v>6718</v>
      </c>
      <c r="N551" s="9" t="s">
        <v>7565</v>
      </c>
      <c r="O551" s="87" t="s">
        <v>6413</v>
      </c>
      <c r="P551" s="9" t="s">
        <v>6243</v>
      </c>
      <c r="Q551" s="87" t="s">
        <v>7484</v>
      </c>
      <c r="R551" s="87" t="s">
        <v>6238</v>
      </c>
      <c r="S551" s="87" t="s">
        <v>6428</v>
      </c>
      <c r="T551" s="87" t="s">
        <v>6645</v>
      </c>
    </row>
    <row r="552" spans="1:20" ht="15.75" customHeight="1">
      <c r="A552" s="9" t="s">
        <v>3007</v>
      </c>
      <c r="B552" s="9" t="s">
        <v>7707</v>
      </c>
      <c r="C552" s="9" t="s">
        <v>6923</v>
      </c>
      <c r="D552" s="87" t="s">
        <v>6264</v>
      </c>
      <c r="E552" s="9" t="s">
        <v>6924</v>
      </c>
      <c r="F552" s="9" t="s">
        <v>6925</v>
      </c>
      <c r="G552" s="9" t="s">
        <v>383</v>
      </c>
      <c r="H552" s="9" t="s">
        <v>449</v>
      </c>
      <c r="I552" s="87" t="s">
        <v>6405</v>
      </c>
      <c r="J552" s="87" t="s">
        <v>6264</v>
      </c>
      <c r="K552" s="87" t="s">
        <v>6926</v>
      </c>
      <c r="L552" s="87" t="s">
        <v>6278</v>
      </c>
      <c r="M552" s="87" t="s">
        <v>6635</v>
      </c>
      <c r="N552" s="9" t="s">
        <v>7956</v>
      </c>
      <c r="O552" s="87" t="s">
        <v>6397</v>
      </c>
      <c r="P552" s="9" t="s">
        <v>6243</v>
      </c>
      <c r="Q552" s="87" t="s">
        <v>6278</v>
      </c>
      <c r="R552" s="87" t="s">
        <v>6264</v>
      </c>
      <c r="S552" s="87" t="s">
        <v>7035</v>
      </c>
      <c r="T552" s="87" t="s">
        <v>6245</v>
      </c>
    </row>
    <row r="553" spans="1:20" ht="15.75" customHeight="1">
      <c r="A553" s="9" t="s">
        <v>3007</v>
      </c>
      <c r="B553" s="9" t="s">
        <v>7706</v>
      </c>
      <c r="C553" s="9" t="s">
        <v>6671</v>
      </c>
      <c r="D553" s="87" t="s">
        <v>6296</v>
      </c>
      <c r="E553" s="9" t="s">
        <v>6672</v>
      </c>
      <c r="F553" s="9" t="s">
        <v>439</v>
      </c>
      <c r="G553" s="9" t="s">
        <v>436</v>
      </c>
      <c r="H553" s="9" t="s">
        <v>440</v>
      </c>
      <c r="I553" s="87" t="s">
        <v>6405</v>
      </c>
      <c r="J553" s="87" t="s">
        <v>6497</v>
      </c>
      <c r="K553" s="87" t="s">
        <v>6497</v>
      </c>
      <c r="L553" s="87" t="s">
        <v>6240</v>
      </c>
      <c r="M553" s="87" t="s">
        <v>6635</v>
      </c>
      <c r="N553" s="9" t="s">
        <v>7113</v>
      </c>
      <c r="O553" s="87" t="s">
        <v>6497</v>
      </c>
      <c r="P553" s="9" t="s">
        <v>6243</v>
      </c>
      <c r="Q553" s="87" t="s">
        <v>6714</v>
      </c>
      <c r="R553" s="87" t="s">
        <v>6497</v>
      </c>
      <c r="S553" s="87" t="s">
        <v>6397</v>
      </c>
      <c r="T553" s="87" t="s">
        <v>6645</v>
      </c>
    </row>
    <row r="554" spans="1:20" ht="15.75" customHeight="1">
      <c r="A554" s="9" t="s">
        <v>3007</v>
      </c>
      <c r="B554" s="9" t="s">
        <v>7707</v>
      </c>
      <c r="C554" s="9" t="s">
        <v>7228</v>
      </c>
      <c r="D554" s="87" t="s">
        <v>6405</v>
      </c>
      <c r="E554" s="9" t="s">
        <v>6924</v>
      </c>
      <c r="F554" s="9" t="s">
        <v>11</v>
      </c>
      <c r="G554" s="9" t="s">
        <v>383</v>
      </c>
      <c r="H554" s="9" t="s">
        <v>426</v>
      </c>
      <c r="I554" s="87" t="s">
        <v>6405</v>
      </c>
      <c r="J554" s="87" t="s">
        <v>6405</v>
      </c>
      <c r="K554" s="87" t="s">
        <v>6405</v>
      </c>
      <c r="L554" s="87" t="s">
        <v>6255</v>
      </c>
      <c r="M554" s="87" t="s">
        <v>6710</v>
      </c>
      <c r="N554" s="9" t="s">
        <v>7400</v>
      </c>
      <c r="O554" s="87" t="s">
        <v>6461</v>
      </c>
      <c r="P554" s="9" t="s">
        <v>6243</v>
      </c>
      <c r="Q554" s="87" t="s">
        <v>6255</v>
      </c>
      <c r="R554" s="87" t="s">
        <v>6405</v>
      </c>
      <c r="S554" s="87" t="s">
        <v>6287</v>
      </c>
      <c r="T554" s="87" t="s">
        <v>6341</v>
      </c>
    </row>
    <row r="555" spans="1:20" ht="15.75" customHeight="1">
      <c r="A555" s="9" t="s">
        <v>3007</v>
      </c>
      <c r="B555" s="9" t="s">
        <v>7957</v>
      </c>
      <c r="C555" s="9" t="s">
        <v>6923</v>
      </c>
      <c r="D555" s="87" t="s">
        <v>6264</v>
      </c>
      <c r="E555" s="9" t="s">
        <v>6924</v>
      </c>
      <c r="F555" s="9" t="s">
        <v>6925</v>
      </c>
      <c r="G555" s="9" t="s">
        <v>383</v>
      </c>
      <c r="H555" s="9" t="s">
        <v>449</v>
      </c>
      <c r="I555" s="87" t="s">
        <v>6405</v>
      </c>
      <c r="J555" s="87" t="s">
        <v>6264</v>
      </c>
      <c r="K555" s="87" t="s">
        <v>6939</v>
      </c>
      <c r="L555" s="87" t="s">
        <v>6278</v>
      </c>
      <c r="M555" s="87" t="s">
        <v>6710</v>
      </c>
      <c r="N555" s="9" t="s">
        <v>6989</v>
      </c>
      <c r="O555" s="87" t="s">
        <v>6293</v>
      </c>
      <c r="P555" s="9" t="s">
        <v>6243</v>
      </c>
      <c r="Q555" s="87" t="s">
        <v>4828</v>
      </c>
      <c r="R555" s="87" t="s">
        <v>6264</v>
      </c>
      <c r="S555" s="87" t="s">
        <v>6413</v>
      </c>
      <c r="T555" s="87" t="s">
        <v>6341</v>
      </c>
    </row>
    <row r="556" spans="1:20" ht="15.75" customHeight="1">
      <c r="A556" s="9" t="s">
        <v>3007</v>
      </c>
      <c r="B556" s="9" t="s">
        <v>7957</v>
      </c>
      <c r="C556" s="9" t="s">
        <v>7228</v>
      </c>
      <c r="D556" s="87" t="s">
        <v>6405</v>
      </c>
      <c r="E556" s="9" t="s">
        <v>6924</v>
      </c>
      <c r="F556" s="9" t="s">
        <v>11</v>
      </c>
      <c r="G556" s="9" t="s">
        <v>383</v>
      </c>
      <c r="H556" s="9" t="s">
        <v>426</v>
      </c>
      <c r="I556" s="87" t="s">
        <v>6405</v>
      </c>
      <c r="J556" s="87" t="s">
        <v>6334</v>
      </c>
      <c r="K556" s="87" t="s">
        <v>6334</v>
      </c>
      <c r="L556" s="87" t="s">
        <v>6255</v>
      </c>
      <c r="M556" s="87" t="s">
        <v>6637</v>
      </c>
      <c r="N556" s="9" t="s">
        <v>7245</v>
      </c>
      <c r="O556" s="87" t="s">
        <v>6327</v>
      </c>
      <c r="P556" s="9" t="s">
        <v>6243</v>
      </c>
      <c r="Q556" s="87" t="s">
        <v>6392</v>
      </c>
      <c r="R556" s="87" t="s">
        <v>6334</v>
      </c>
      <c r="S556" s="87" t="s">
        <v>6500</v>
      </c>
      <c r="T556" s="87" t="s">
        <v>6341</v>
      </c>
    </row>
    <row r="557" spans="1:20" ht="15.75" customHeight="1">
      <c r="A557" s="9" t="s">
        <v>2891</v>
      </c>
      <c r="B557" s="9" t="s">
        <v>7708</v>
      </c>
      <c r="C557" s="9" t="s">
        <v>6236</v>
      </c>
      <c r="D557" s="87" t="s">
        <v>6393</v>
      </c>
      <c r="E557" s="9" t="s">
        <v>431</v>
      </c>
      <c r="F557" s="9" t="s">
        <v>368</v>
      </c>
      <c r="G557" s="9" t="s">
        <v>436</v>
      </c>
      <c r="H557" s="9" t="s">
        <v>434</v>
      </c>
      <c r="I557" s="87" t="s">
        <v>6237</v>
      </c>
      <c r="J557" s="87" t="s">
        <v>6245</v>
      </c>
      <c r="K557" s="87" t="s">
        <v>6245</v>
      </c>
      <c r="L557" s="87" t="s">
        <v>6240</v>
      </c>
      <c r="M557" s="87" t="s">
        <v>6568</v>
      </c>
      <c r="N557" s="9" t="s">
        <v>7709</v>
      </c>
      <c r="O557" s="87" t="s">
        <v>6245</v>
      </c>
      <c r="P557" s="9" t="s">
        <v>6243</v>
      </c>
      <c r="Q557" s="87" t="s">
        <v>6238</v>
      </c>
      <c r="R557" s="87" t="s">
        <v>6245</v>
      </c>
      <c r="S557" s="87" t="s">
        <v>6326</v>
      </c>
      <c r="T557" s="87" t="s">
        <v>6287</v>
      </c>
    </row>
    <row r="558" spans="1:20" ht="15.75" customHeight="1">
      <c r="A558" s="9" t="s">
        <v>2891</v>
      </c>
      <c r="B558" s="9" t="s">
        <v>7711</v>
      </c>
      <c r="C558" s="9" t="s">
        <v>6923</v>
      </c>
      <c r="D558" s="87" t="s">
        <v>6327</v>
      </c>
      <c r="E558" s="9" t="s">
        <v>6924</v>
      </c>
      <c r="F558" s="9" t="s">
        <v>6925</v>
      </c>
      <c r="G558" s="9" t="s">
        <v>383</v>
      </c>
      <c r="H558" s="9" t="s">
        <v>444</v>
      </c>
      <c r="I558" s="87" t="s">
        <v>6405</v>
      </c>
      <c r="J558" s="87" t="s">
        <v>6405</v>
      </c>
      <c r="K558" s="87" t="s">
        <v>6926</v>
      </c>
      <c r="L558" s="87" t="s">
        <v>6341</v>
      </c>
      <c r="M558" s="87" t="s">
        <v>6581</v>
      </c>
      <c r="N558" s="9" t="s">
        <v>7958</v>
      </c>
      <c r="O558" s="87" t="s">
        <v>6393</v>
      </c>
      <c r="P558" s="9" t="s">
        <v>6243</v>
      </c>
      <c r="Q558" s="87" t="s">
        <v>6341</v>
      </c>
      <c r="R558" s="87" t="s">
        <v>6405</v>
      </c>
      <c r="S558" s="87" t="s">
        <v>6290</v>
      </c>
      <c r="T558" s="87" t="s">
        <v>6570</v>
      </c>
    </row>
    <row r="559" spans="1:20" ht="15.75" customHeight="1">
      <c r="A559" s="9" t="s">
        <v>2891</v>
      </c>
      <c r="B559" s="9" t="s">
        <v>7710</v>
      </c>
      <c r="C559" s="9" t="s">
        <v>6671</v>
      </c>
      <c r="D559" s="87" t="s">
        <v>6296</v>
      </c>
      <c r="E559" s="9" t="s">
        <v>6672</v>
      </c>
      <c r="F559" s="9" t="s">
        <v>439</v>
      </c>
      <c r="G559" s="9" t="s">
        <v>436</v>
      </c>
      <c r="H559" s="9" t="s">
        <v>440</v>
      </c>
      <c r="I559" s="87" t="s">
        <v>6405</v>
      </c>
      <c r="J559" s="87" t="s">
        <v>6273</v>
      </c>
      <c r="K559" s="87" t="s">
        <v>6273</v>
      </c>
      <c r="L559" s="87" t="s">
        <v>6240</v>
      </c>
      <c r="M559" s="87" t="s">
        <v>6581</v>
      </c>
      <c r="N559" s="9" t="s">
        <v>7172</v>
      </c>
      <c r="O559" s="87" t="s">
        <v>6273</v>
      </c>
      <c r="P559" s="9" t="s">
        <v>6243</v>
      </c>
      <c r="Q559" s="87" t="s">
        <v>6276</v>
      </c>
      <c r="R559" s="87" t="s">
        <v>6273</v>
      </c>
      <c r="S559" s="87" t="s">
        <v>6280</v>
      </c>
      <c r="T559" s="87" t="s">
        <v>6382</v>
      </c>
    </row>
    <row r="560" spans="1:20" ht="15.75" customHeight="1">
      <c r="A560" s="9" t="s">
        <v>2891</v>
      </c>
      <c r="B560" s="9" t="s">
        <v>7711</v>
      </c>
      <c r="C560" s="9" t="s">
        <v>7228</v>
      </c>
      <c r="D560" s="87" t="s">
        <v>6290</v>
      </c>
      <c r="E560" s="9" t="s">
        <v>6924</v>
      </c>
      <c r="F560" s="9" t="s">
        <v>11</v>
      </c>
      <c r="G560" s="9" t="s">
        <v>383</v>
      </c>
      <c r="H560" s="9" t="s">
        <v>426</v>
      </c>
      <c r="I560" s="87" t="s">
        <v>6405</v>
      </c>
      <c r="J560" s="87" t="s">
        <v>6405</v>
      </c>
      <c r="K560" s="87" t="s">
        <v>6405</v>
      </c>
      <c r="L560" s="87" t="s">
        <v>6397</v>
      </c>
      <c r="M560" s="87" t="s">
        <v>6582</v>
      </c>
      <c r="N560" s="9" t="s">
        <v>7262</v>
      </c>
      <c r="O560" s="87" t="s">
        <v>6240</v>
      </c>
      <c r="P560" s="9" t="s">
        <v>6243</v>
      </c>
      <c r="Q560" s="87" t="s">
        <v>6397</v>
      </c>
      <c r="R560" s="87" t="s">
        <v>6405</v>
      </c>
      <c r="S560" s="87" t="s">
        <v>6651</v>
      </c>
      <c r="T560" s="87" t="s">
        <v>6416</v>
      </c>
    </row>
    <row r="561" spans="1:20" ht="15.75" customHeight="1">
      <c r="A561" s="9" t="s">
        <v>2911</v>
      </c>
      <c r="B561" s="9" t="s">
        <v>7713</v>
      </c>
      <c r="C561" s="9" t="s">
        <v>6236</v>
      </c>
      <c r="D561" s="87" t="s">
        <v>6393</v>
      </c>
      <c r="E561" s="9" t="s">
        <v>431</v>
      </c>
      <c r="F561" s="9" t="s">
        <v>368</v>
      </c>
      <c r="G561" s="9" t="s">
        <v>436</v>
      </c>
      <c r="H561" s="9" t="s">
        <v>434</v>
      </c>
      <c r="I561" s="87" t="s">
        <v>6237</v>
      </c>
      <c r="J561" s="87" t="s">
        <v>6562</v>
      </c>
      <c r="K561" s="87" t="s">
        <v>6414</v>
      </c>
      <c r="L561" s="87" t="s">
        <v>6240</v>
      </c>
      <c r="M561" s="87" t="s">
        <v>6581</v>
      </c>
      <c r="N561" s="9" t="s">
        <v>7100</v>
      </c>
      <c r="O561" s="87" t="s">
        <v>6414</v>
      </c>
      <c r="P561" s="9" t="s">
        <v>6243</v>
      </c>
      <c r="Q561" s="87" t="s">
        <v>6416</v>
      </c>
      <c r="R561" s="87" t="s">
        <v>6562</v>
      </c>
      <c r="S561" s="87" t="s">
        <v>6327</v>
      </c>
      <c r="T561" s="87" t="s">
        <v>6570</v>
      </c>
    </row>
    <row r="562" spans="1:20" ht="15.75" customHeight="1">
      <c r="A562" s="9" t="s">
        <v>2911</v>
      </c>
      <c r="B562" s="9" t="s">
        <v>7713</v>
      </c>
      <c r="C562" s="9" t="s">
        <v>6236</v>
      </c>
      <c r="D562" s="87" t="s">
        <v>6393</v>
      </c>
      <c r="E562" s="9" t="s">
        <v>431</v>
      </c>
      <c r="F562" s="9" t="s">
        <v>368</v>
      </c>
      <c r="G562" s="9" t="s">
        <v>436</v>
      </c>
      <c r="H562" s="9" t="s">
        <v>434</v>
      </c>
      <c r="I562" s="87" t="s">
        <v>6237</v>
      </c>
      <c r="J562" s="87" t="s">
        <v>6562</v>
      </c>
      <c r="K562" s="87" t="s">
        <v>6341</v>
      </c>
      <c r="L562" s="87" t="s">
        <v>6240</v>
      </c>
      <c r="M562" s="87" t="s">
        <v>6582</v>
      </c>
      <c r="N562" s="9" t="s">
        <v>7714</v>
      </c>
      <c r="O562" s="87" t="s">
        <v>6341</v>
      </c>
      <c r="P562" s="9" t="s">
        <v>6243</v>
      </c>
      <c r="Q562" s="87" t="s">
        <v>6703</v>
      </c>
      <c r="R562" s="87" t="s">
        <v>6562</v>
      </c>
      <c r="S562" s="87" t="s">
        <v>6642</v>
      </c>
      <c r="T562" s="87" t="s">
        <v>6645</v>
      </c>
    </row>
    <row r="563" spans="1:20" ht="15.75" customHeight="1">
      <c r="A563" s="9" t="s">
        <v>2911</v>
      </c>
      <c r="B563" s="9" t="s">
        <v>7715</v>
      </c>
      <c r="C563" s="9" t="s">
        <v>6671</v>
      </c>
      <c r="D563" s="87" t="s">
        <v>6296</v>
      </c>
      <c r="E563" s="9" t="s">
        <v>6672</v>
      </c>
      <c r="F563" s="9" t="s">
        <v>439</v>
      </c>
      <c r="G563" s="9" t="s">
        <v>436</v>
      </c>
      <c r="H563" s="9" t="s">
        <v>440</v>
      </c>
      <c r="I563" s="87" t="s">
        <v>6405</v>
      </c>
      <c r="J563" s="87" t="s">
        <v>6341</v>
      </c>
      <c r="K563" s="87" t="s">
        <v>6342</v>
      </c>
      <c r="L563" s="87" t="s">
        <v>6240</v>
      </c>
      <c r="M563" s="87" t="s">
        <v>6583</v>
      </c>
      <c r="N563" s="9" t="s">
        <v>7028</v>
      </c>
      <c r="O563" s="87" t="s">
        <v>6342</v>
      </c>
      <c r="P563" s="9" t="s">
        <v>6243</v>
      </c>
      <c r="Q563" s="87" t="s">
        <v>6345</v>
      </c>
      <c r="R563" s="87" t="s">
        <v>6341</v>
      </c>
      <c r="S563" s="87" t="s">
        <v>6327</v>
      </c>
      <c r="T563" s="87" t="s">
        <v>6267</v>
      </c>
    </row>
    <row r="564" spans="1:20" ht="15.75" customHeight="1">
      <c r="A564" s="9" t="s">
        <v>2911</v>
      </c>
      <c r="B564" s="9" t="s">
        <v>7716</v>
      </c>
      <c r="C564" s="9" t="s">
        <v>6923</v>
      </c>
      <c r="D564" s="87" t="s">
        <v>6327</v>
      </c>
      <c r="E564" s="9" t="s">
        <v>6924</v>
      </c>
      <c r="F564" s="9" t="s">
        <v>6925</v>
      </c>
      <c r="G564" s="9" t="s">
        <v>383</v>
      </c>
      <c r="H564" s="9" t="s">
        <v>444</v>
      </c>
      <c r="I564" s="87" t="s">
        <v>6405</v>
      </c>
      <c r="J564" s="87" t="s">
        <v>6414</v>
      </c>
      <c r="K564" s="87" t="s">
        <v>6926</v>
      </c>
      <c r="L564" s="87" t="s">
        <v>5381</v>
      </c>
      <c r="M564" s="87" t="s">
        <v>6584</v>
      </c>
      <c r="N564" s="9" t="s">
        <v>7717</v>
      </c>
      <c r="O564" s="87" t="s">
        <v>6348</v>
      </c>
      <c r="P564" s="9" t="s">
        <v>6243</v>
      </c>
      <c r="Q564" s="87" t="s">
        <v>5381</v>
      </c>
      <c r="R564" s="87" t="s">
        <v>6414</v>
      </c>
      <c r="S564" s="87" t="s">
        <v>6405</v>
      </c>
      <c r="T564" s="87" t="s">
        <v>6348</v>
      </c>
    </row>
    <row r="565" spans="1:20" ht="15.75" customHeight="1">
      <c r="A565" s="9" t="s">
        <v>2911</v>
      </c>
      <c r="B565" s="9" t="s">
        <v>7715</v>
      </c>
      <c r="C565" s="9" t="s">
        <v>6671</v>
      </c>
      <c r="D565" s="87" t="s">
        <v>6296</v>
      </c>
      <c r="E565" s="9" t="s">
        <v>6672</v>
      </c>
      <c r="F565" s="9" t="s">
        <v>439</v>
      </c>
      <c r="G565" s="9" t="s">
        <v>436</v>
      </c>
      <c r="H565" s="9" t="s">
        <v>440</v>
      </c>
      <c r="I565" s="87" t="s">
        <v>6405</v>
      </c>
      <c r="J565" s="87" t="s">
        <v>6341</v>
      </c>
      <c r="K565" s="87" t="s">
        <v>6642</v>
      </c>
      <c r="L565" s="87" t="s">
        <v>6240</v>
      </c>
      <c r="M565" s="87" t="s">
        <v>6584</v>
      </c>
      <c r="N565" s="9" t="s">
        <v>7062</v>
      </c>
      <c r="O565" s="87" t="s">
        <v>6642</v>
      </c>
      <c r="P565" s="9" t="s">
        <v>6243</v>
      </c>
      <c r="Q565" s="87" t="s">
        <v>6445</v>
      </c>
      <c r="R565" s="87" t="s">
        <v>6341</v>
      </c>
      <c r="S565" s="87" t="s">
        <v>6341</v>
      </c>
      <c r="T565" s="87" t="s">
        <v>6645</v>
      </c>
    </row>
    <row r="566" spans="1:20" ht="15.75" customHeight="1">
      <c r="A566" s="9" t="s">
        <v>2911</v>
      </c>
      <c r="B566" s="9" t="s">
        <v>7718</v>
      </c>
      <c r="C566" s="9" t="s">
        <v>6923</v>
      </c>
      <c r="D566" s="87" t="s">
        <v>6327</v>
      </c>
      <c r="E566" s="9" t="s">
        <v>6924</v>
      </c>
      <c r="F566" s="9" t="s">
        <v>6925</v>
      </c>
      <c r="G566" s="9" t="s">
        <v>383</v>
      </c>
      <c r="H566" s="9" t="s">
        <v>444</v>
      </c>
      <c r="I566" s="87" t="s">
        <v>6405</v>
      </c>
      <c r="J566" s="87" t="s">
        <v>6414</v>
      </c>
      <c r="K566" s="87" t="s">
        <v>6926</v>
      </c>
      <c r="L566" s="87" t="s">
        <v>5381</v>
      </c>
      <c r="M566" s="87" t="s">
        <v>6585</v>
      </c>
      <c r="N566" s="9" t="s">
        <v>7464</v>
      </c>
      <c r="O566" s="87" t="s">
        <v>6348</v>
      </c>
      <c r="P566" s="9" t="s">
        <v>6243</v>
      </c>
      <c r="Q566" s="87" t="s">
        <v>5381</v>
      </c>
      <c r="R566" s="87" t="s">
        <v>6414</v>
      </c>
      <c r="S566" s="87" t="s">
        <v>6290</v>
      </c>
      <c r="T566" s="87" t="s">
        <v>6411</v>
      </c>
    </row>
    <row r="567" spans="1:20" ht="15.75" customHeight="1">
      <c r="A567" s="9" t="s">
        <v>2911</v>
      </c>
      <c r="B567" s="9" t="s">
        <v>7719</v>
      </c>
      <c r="C567" s="9" t="s">
        <v>6923</v>
      </c>
      <c r="D567" s="87" t="s">
        <v>6327</v>
      </c>
      <c r="E567" s="9" t="s">
        <v>6924</v>
      </c>
      <c r="F567" s="9" t="s">
        <v>6925</v>
      </c>
      <c r="G567" s="9" t="s">
        <v>383</v>
      </c>
      <c r="H567" s="9" t="s">
        <v>444</v>
      </c>
      <c r="I567" s="87" t="s">
        <v>6405</v>
      </c>
      <c r="J567" s="87" t="s">
        <v>6414</v>
      </c>
      <c r="K567" s="87" t="s">
        <v>6926</v>
      </c>
      <c r="L567" s="87" t="s">
        <v>5381</v>
      </c>
      <c r="M567" s="87" t="s">
        <v>6590</v>
      </c>
      <c r="N567" s="9" t="s">
        <v>7464</v>
      </c>
      <c r="O567" s="87" t="s">
        <v>6348</v>
      </c>
      <c r="P567" s="9" t="s">
        <v>6243</v>
      </c>
      <c r="Q567" s="87" t="s">
        <v>5381</v>
      </c>
      <c r="R567" s="87" t="s">
        <v>6414</v>
      </c>
      <c r="S567" s="87" t="s">
        <v>6290</v>
      </c>
      <c r="T567" s="87" t="s">
        <v>6411</v>
      </c>
    </row>
    <row r="568" spans="1:20" ht="15.75" customHeight="1">
      <c r="A568" s="9" t="s">
        <v>2911</v>
      </c>
      <c r="B568" s="9" t="s">
        <v>7719</v>
      </c>
      <c r="C568" s="9" t="s">
        <v>7228</v>
      </c>
      <c r="D568" s="87" t="s">
        <v>6290</v>
      </c>
      <c r="E568" s="9" t="s">
        <v>6924</v>
      </c>
      <c r="F568" s="9" t="s">
        <v>11</v>
      </c>
      <c r="G568" s="9" t="s">
        <v>383</v>
      </c>
      <c r="H568" s="9" t="s">
        <v>426</v>
      </c>
      <c r="I568" s="87" t="s">
        <v>6405</v>
      </c>
      <c r="J568" s="87" t="s">
        <v>6405</v>
      </c>
      <c r="K568" s="87" t="s">
        <v>6405</v>
      </c>
      <c r="L568" s="87" t="s">
        <v>6357</v>
      </c>
      <c r="M568" s="87" t="s">
        <v>6591</v>
      </c>
      <c r="N568" s="9" t="s">
        <v>7720</v>
      </c>
      <c r="O568" s="87" t="s">
        <v>6313</v>
      </c>
      <c r="P568" s="9" t="s">
        <v>6243</v>
      </c>
      <c r="Q568" s="87" t="s">
        <v>6357</v>
      </c>
      <c r="R568" s="87" t="s">
        <v>6405</v>
      </c>
      <c r="S568" s="87" t="s">
        <v>6313</v>
      </c>
      <c r="T568" s="87" t="s">
        <v>6280</v>
      </c>
    </row>
    <row r="569" spans="1:20" ht="15.75" customHeight="1">
      <c r="A569" s="9" t="s">
        <v>2911</v>
      </c>
      <c r="B569" s="9" t="s">
        <v>7718</v>
      </c>
      <c r="C569" s="9" t="s">
        <v>7228</v>
      </c>
      <c r="D569" s="87" t="s">
        <v>6290</v>
      </c>
      <c r="E569" s="9" t="s">
        <v>6924</v>
      </c>
      <c r="F569" s="9" t="s">
        <v>11</v>
      </c>
      <c r="G569" s="9" t="s">
        <v>383</v>
      </c>
      <c r="H569" s="9" t="s">
        <v>426</v>
      </c>
      <c r="I569" s="87" t="s">
        <v>6405</v>
      </c>
      <c r="J569" s="87" t="s">
        <v>6405</v>
      </c>
      <c r="K569" s="87" t="s">
        <v>6405</v>
      </c>
      <c r="L569" s="87" t="s">
        <v>6357</v>
      </c>
      <c r="M569" s="87" t="s">
        <v>6591</v>
      </c>
      <c r="N569" s="9" t="s">
        <v>7721</v>
      </c>
      <c r="O569" s="87" t="s">
        <v>6313</v>
      </c>
      <c r="P569" s="9" t="s">
        <v>6243</v>
      </c>
      <c r="Q569" s="87" t="s">
        <v>6357</v>
      </c>
      <c r="R569" s="87" t="s">
        <v>6405</v>
      </c>
      <c r="S569" s="87" t="s">
        <v>6255</v>
      </c>
      <c r="T569" s="87" t="s">
        <v>6486</v>
      </c>
    </row>
    <row r="570" spans="1:20" ht="15.75" customHeight="1">
      <c r="A570" s="9" t="s">
        <v>2911</v>
      </c>
      <c r="B570" s="9" t="s">
        <v>7716</v>
      </c>
      <c r="C570" s="9" t="s">
        <v>7228</v>
      </c>
      <c r="D570" s="87" t="s">
        <v>6290</v>
      </c>
      <c r="E570" s="9" t="s">
        <v>6924</v>
      </c>
      <c r="F570" s="9" t="s">
        <v>11</v>
      </c>
      <c r="G570" s="9" t="s">
        <v>383</v>
      </c>
      <c r="H570" s="9" t="s">
        <v>426</v>
      </c>
      <c r="I570" s="87" t="s">
        <v>6405</v>
      </c>
      <c r="J570" s="87" t="s">
        <v>6405</v>
      </c>
      <c r="K570" s="87" t="s">
        <v>6405</v>
      </c>
      <c r="L570" s="87" t="s">
        <v>6357</v>
      </c>
      <c r="M570" s="87" t="s">
        <v>6591</v>
      </c>
      <c r="N570" s="9" t="s">
        <v>7722</v>
      </c>
      <c r="O570" s="87" t="s">
        <v>6313</v>
      </c>
      <c r="P570" s="9" t="s">
        <v>6243</v>
      </c>
      <c r="Q570" s="87" t="s">
        <v>6357</v>
      </c>
      <c r="R570" s="87" t="s">
        <v>6405</v>
      </c>
      <c r="S570" s="87" t="s">
        <v>6484</v>
      </c>
      <c r="T570" s="87" t="s">
        <v>6606</v>
      </c>
    </row>
    <row r="571" spans="1:20" ht="15.75" customHeight="1">
      <c r="A571" s="9" t="s">
        <v>2911</v>
      </c>
      <c r="B571" s="9" t="s">
        <v>7723</v>
      </c>
      <c r="C571" s="9" t="s">
        <v>6923</v>
      </c>
      <c r="D571" s="87" t="s">
        <v>6327</v>
      </c>
      <c r="E571" s="9" t="s">
        <v>6924</v>
      </c>
      <c r="F571" s="9" t="s">
        <v>6925</v>
      </c>
      <c r="G571" s="9" t="s">
        <v>383</v>
      </c>
      <c r="H571" s="9" t="s">
        <v>444</v>
      </c>
      <c r="I571" s="87" t="s">
        <v>6405</v>
      </c>
      <c r="J571" s="87" t="s">
        <v>6414</v>
      </c>
      <c r="K571" s="87" t="s">
        <v>7703</v>
      </c>
      <c r="L571" s="87" t="s">
        <v>5381</v>
      </c>
      <c r="M571" s="87" t="s">
        <v>6591</v>
      </c>
      <c r="N571" s="9" t="s">
        <v>7724</v>
      </c>
      <c r="O571" s="87" t="s">
        <v>5381</v>
      </c>
      <c r="P571" s="9" t="s">
        <v>6243</v>
      </c>
      <c r="Q571" s="87" t="s">
        <v>4081</v>
      </c>
      <c r="R571" s="87" t="s">
        <v>6414</v>
      </c>
      <c r="S571" s="87" t="s">
        <v>6327</v>
      </c>
      <c r="T571" s="87" t="s">
        <v>6651</v>
      </c>
    </row>
    <row r="572" spans="1:20" ht="15.75" customHeight="1">
      <c r="A572" s="9" t="s">
        <v>2911</v>
      </c>
      <c r="B572" s="9" t="s">
        <v>7723</v>
      </c>
      <c r="C572" s="9" t="s">
        <v>7228</v>
      </c>
      <c r="D572" s="87" t="s">
        <v>6290</v>
      </c>
      <c r="E572" s="9" t="s">
        <v>6924</v>
      </c>
      <c r="F572" s="9" t="s">
        <v>11</v>
      </c>
      <c r="G572" s="9" t="s">
        <v>383</v>
      </c>
      <c r="H572" s="9" t="s">
        <v>426</v>
      </c>
      <c r="I572" s="87" t="s">
        <v>6405</v>
      </c>
      <c r="J572" s="87" t="s">
        <v>6240</v>
      </c>
      <c r="K572" s="87" t="s">
        <v>6240</v>
      </c>
      <c r="L572" s="87" t="s">
        <v>6357</v>
      </c>
      <c r="M572" s="87" t="s">
        <v>6592</v>
      </c>
      <c r="N572" s="9" t="s">
        <v>7725</v>
      </c>
      <c r="O572" s="87" t="s">
        <v>6357</v>
      </c>
      <c r="P572" s="9" t="s">
        <v>6547</v>
      </c>
      <c r="Q572" s="87" t="s">
        <v>6565</v>
      </c>
      <c r="R572" s="87" t="s">
        <v>6240</v>
      </c>
      <c r="S572" s="87" t="s">
        <v>6348</v>
      </c>
      <c r="T572" s="87" t="s">
        <v>6373</v>
      </c>
    </row>
    <row r="573" spans="1:20" ht="15.75" customHeight="1">
      <c r="A573" s="9" t="s">
        <v>2911</v>
      </c>
      <c r="B573" s="9" t="s">
        <v>7726</v>
      </c>
      <c r="C573" s="9" t="s">
        <v>6923</v>
      </c>
      <c r="D573" s="87" t="s">
        <v>6327</v>
      </c>
      <c r="E573" s="9" t="s">
        <v>6924</v>
      </c>
      <c r="F573" s="9" t="s">
        <v>6925</v>
      </c>
      <c r="G573" s="9" t="s">
        <v>383</v>
      </c>
      <c r="H573" s="9" t="s">
        <v>444</v>
      </c>
      <c r="I573" s="87" t="s">
        <v>6405</v>
      </c>
      <c r="J573" s="87" t="s">
        <v>6414</v>
      </c>
      <c r="K573" s="87" t="s">
        <v>6965</v>
      </c>
      <c r="L573" s="87" t="s">
        <v>5381</v>
      </c>
      <c r="M573" s="87" t="s">
        <v>6592</v>
      </c>
      <c r="N573" s="9" t="s">
        <v>6945</v>
      </c>
      <c r="O573" s="87" t="s">
        <v>6500</v>
      </c>
      <c r="P573" s="9" t="s">
        <v>6547</v>
      </c>
      <c r="Q573" s="87" t="s">
        <v>3749</v>
      </c>
      <c r="R573" s="87" t="s">
        <v>6414</v>
      </c>
      <c r="S573" s="87" t="s">
        <v>6327</v>
      </c>
      <c r="T573" s="87" t="s">
        <v>6341</v>
      </c>
    </row>
    <row r="574" spans="1:20" ht="15.75" customHeight="1">
      <c r="A574" s="9" t="s">
        <v>2911</v>
      </c>
      <c r="B574" s="9" t="s">
        <v>7726</v>
      </c>
      <c r="C574" s="9" t="s">
        <v>7228</v>
      </c>
      <c r="D574" s="87" t="s">
        <v>6290</v>
      </c>
      <c r="E574" s="9" t="s">
        <v>6924</v>
      </c>
      <c r="F574" s="9" t="s">
        <v>11</v>
      </c>
      <c r="G574" s="9" t="s">
        <v>383</v>
      </c>
      <c r="H574" s="9" t="s">
        <v>426</v>
      </c>
      <c r="I574" s="87" t="s">
        <v>6405</v>
      </c>
      <c r="J574" s="87" t="s">
        <v>6461</v>
      </c>
      <c r="K574" s="87" t="s">
        <v>6461</v>
      </c>
      <c r="L574" s="87" t="s">
        <v>6357</v>
      </c>
      <c r="M574" s="87" t="s">
        <v>6597</v>
      </c>
      <c r="N574" s="9" t="s">
        <v>7024</v>
      </c>
      <c r="O574" s="87" t="s">
        <v>6287</v>
      </c>
      <c r="P574" s="9" t="s">
        <v>6547</v>
      </c>
      <c r="Q574" s="87" t="s">
        <v>3734</v>
      </c>
      <c r="R574" s="87" t="s">
        <v>6461</v>
      </c>
      <c r="S574" s="87" t="s">
        <v>6461</v>
      </c>
      <c r="T574" s="87" t="s">
        <v>6341</v>
      </c>
    </row>
    <row r="575" spans="1:20" ht="15.75" customHeight="1">
      <c r="A575" s="9" t="s">
        <v>2911</v>
      </c>
      <c r="B575" s="9" t="s">
        <v>7727</v>
      </c>
      <c r="C575" s="9" t="s">
        <v>6923</v>
      </c>
      <c r="D575" s="87" t="s">
        <v>6327</v>
      </c>
      <c r="E575" s="9" t="s">
        <v>6924</v>
      </c>
      <c r="F575" s="9" t="s">
        <v>6925</v>
      </c>
      <c r="G575" s="9" t="s">
        <v>383</v>
      </c>
      <c r="H575" s="9" t="s">
        <v>444</v>
      </c>
      <c r="I575" s="87" t="s">
        <v>6405</v>
      </c>
      <c r="J575" s="87" t="s">
        <v>6414</v>
      </c>
      <c r="K575" s="87" t="s">
        <v>6931</v>
      </c>
      <c r="L575" s="87" t="s">
        <v>5381</v>
      </c>
      <c r="M575" s="87" t="s">
        <v>6597</v>
      </c>
      <c r="N575" s="9" t="s">
        <v>6946</v>
      </c>
      <c r="O575" s="87" t="s">
        <v>6302</v>
      </c>
      <c r="P575" s="9" t="s">
        <v>6547</v>
      </c>
      <c r="Q575" s="87" t="s">
        <v>6464</v>
      </c>
      <c r="R575" s="87" t="s">
        <v>6414</v>
      </c>
      <c r="S575" s="87" t="s">
        <v>6409</v>
      </c>
      <c r="T575" s="87" t="s">
        <v>6341</v>
      </c>
    </row>
    <row r="576" spans="1:20" ht="15.75" customHeight="1">
      <c r="A576" s="9" t="s">
        <v>2911</v>
      </c>
      <c r="B576" s="9" t="s">
        <v>7727</v>
      </c>
      <c r="C576" s="9" t="s">
        <v>7228</v>
      </c>
      <c r="D576" s="87" t="s">
        <v>6290</v>
      </c>
      <c r="E576" s="9" t="s">
        <v>6924</v>
      </c>
      <c r="F576" s="9" t="s">
        <v>11</v>
      </c>
      <c r="G576" s="9" t="s">
        <v>383</v>
      </c>
      <c r="H576" s="9" t="s">
        <v>426</v>
      </c>
      <c r="I576" s="87" t="s">
        <v>6405</v>
      </c>
      <c r="J576" s="87" t="s">
        <v>6264</v>
      </c>
      <c r="K576" s="87" t="s">
        <v>6264</v>
      </c>
      <c r="L576" s="87" t="s">
        <v>6357</v>
      </c>
      <c r="M576" s="87" t="s">
        <v>6601</v>
      </c>
      <c r="N576" s="9" t="s">
        <v>7025</v>
      </c>
      <c r="O576" s="87" t="s">
        <v>6484</v>
      </c>
      <c r="P576" s="9" t="s">
        <v>6547</v>
      </c>
      <c r="Q576" s="87" t="s">
        <v>6375</v>
      </c>
      <c r="R576" s="87" t="s">
        <v>6264</v>
      </c>
      <c r="S576" s="87" t="s">
        <v>6455</v>
      </c>
      <c r="T576" s="87" t="s">
        <v>6341</v>
      </c>
    </row>
    <row r="577" spans="1:20" ht="15.75" customHeight="1">
      <c r="A577" s="9" t="s">
        <v>2899</v>
      </c>
      <c r="B577" s="9" t="s">
        <v>7728</v>
      </c>
      <c r="C577" s="9" t="s">
        <v>6236</v>
      </c>
      <c r="D577" s="87" t="s">
        <v>6393</v>
      </c>
      <c r="E577" s="9" t="s">
        <v>431</v>
      </c>
      <c r="F577" s="9" t="s">
        <v>368</v>
      </c>
      <c r="G577" s="9" t="s">
        <v>436</v>
      </c>
      <c r="H577" s="9" t="s">
        <v>434</v>
      </c>
      <c r="I577" s="87" t="s">
        <v>6237</v>
      </c>
      <c r="J577" s="87" t="s">
        <v>6299</v>
      </c>
      <c r="K577" s="87" t="s">
        <v>6299</v>
      </c>
      <c r="L577" s="87" t="s">
        <v>6240</v>
      </c>
      <c r="M577" s="87" t="s">
        <v>6597</v>
      </c>
      <c r="N577" s="9" t="s">
        <v>7729</v>
      </c>
      <c r="O577" s="87" t="s">
        <v>6299</v>
      </c>
      <c r="P577" s="9" t="s">
        <v>6243</v>
      </c>
      <c r="Q577" s="87" t="s">
        <v>3231</v>
      </c>
      <c r="R577" s="87" t="s">
        <v>6299</v>
      </c>
      <c r="S577" s="87" t="s">
        <v>6313</v>
      </c>
      <c r="T577" s="87" t="s">
        <v>6409</v>
      </c>
    </row>
    <row r="578" spans="1:20" ht="15.75" customHeight="1">
      <c r="A578" s="9" t="s">
        <v>2899</v>
      </c>
      <c r="B578" s="9" t="s">
        <v>7730</v>
      </c>
      <c r="C578" s="9" t="s">
        <v>6671</v>
      </c>
      <c r="D578" s="87" t="s">
        <v>6296</v>
      </c>
      <c r="E578" s="9" t="s">
        <v>6672</v>
      </c>
      <c r="F578" s="9" t="s">
        <v>439</v>
      </c>
      <c r="G578" s="9" t="s">
        <v>436</v>
      </c>
      <c r="H578" s="9" t="s">
        <v>440</v>
      </c>
      <c r="I578" s="87" t="s">
        <v>6405</v>
      </c>
      <c r="J578" s="87" t="s">
        <v>6329</v>
      </c>
      <c r="K578" s="87" t="s">
        <v>6329</v>
      </c>
      <c r="L578" s="87" t="s">
        <v>6240</v>
      </c>
      <c r="M578" s="87" t="s">
        <v>6601</v>
      </c>
      <c r="N578" s="9" t="s">
        <v>7731</v>
      </c>
      <c r="O578" s="87" t="s">
        <v>6329</v>
      </c>
      <c r="P578" s="9" t="s">
        <v>6243</v>
      </c>
      <c r="Q578" s="87" t="s">
        <v>6448</v>
      </c>
      <c r="R578" s="87" t="s">
        <v>6329</v>
      </c>
      <c r="S578" s="87" t="s">
        <v>6387</v>
      </c>
      <c r="T578" s="87" t="s">
        <v>6440</v>
      </c>
    </row>
    <row r="579" spans="1:20" ht="15.75" customHeight="1">
      <c r="A579" s="9" t="s">
        <v>2899</v>
      </c>
      <c r="B579" s="9" t="s">
        <v>7732</v>
      </c>
      <c r="C579" s="9" t="s">
        <v>6923</v>
      </c>
      <c r="D579" s="87" t="s">
        <v>6461</v>
      </c>
      <c r="E579" s="9" t="s">
        <v>6924</v>
      </c>
      <c r="F579" s="9" t="s">
        <v>6925</v>
      </c>
      <c r="G579" s="9" t="s">
        <v>383</v>
      </c>
      <c r="H579" s="9" t="s">
        <v>427</v>
      </c>
      <c r="I579" s="87" t="s">
        <v>6405</v>
      </c>
      <c r="J579" s="87" t="s">
        <v>6405</v>
      </c>
      <c r="K579" s="87" t="s">
        <v>6926</v>
      </c>
      <c r="L579" s="87" t="s">
        <v>3231</v>
      </c>
      <c r="M579" s="87" t="s">
        <v>6730</v>
      </c>
      <c r="N579" s="9" t="s">
        <v>7121</v>
      </c>
      <c r="O579" s="87" t="s">
        <v>6299</v>
      </c>
      <c r="P579" s="9" t="s">
        <v>6243</v>
      </c>
      <c r="Q579" s="87" t="s">
        <v>3231</v>
      </c>
      <c r="R579" s="87" t="s">
        <v>6405</v>
      </c>
      <c r="S579" s="87" t="s">
        <v>6400</v>
      </c>
      <c r="T579" s="87" t="s">
        <v>6341</v>
      </c>
    </row>
    <row r="580" spans="1:20" ht="15.75" customHeight="1">
      <c r="A580" s="9" t="s">
        <v>2899</v>
      </c>
      <c r="B580" s="9" t="s">
        <v>7732</v>
      </c>
      <c r="C580" s="9" t="s">
        <v>7228</v>
      </c>
      <c r="D580" s="87" t="s">
        <v>6237</v>
      </c>
      <c r="E580" s="9" t="s">
        <v>6924</v>
      </c>
      <c r="F580" s="9" t="s">
        <v>11</v>
      </c>
      <c r="G580" s="9" t="s">
        <v>383</v>
      </c>
      <c r="H580" s="9" t="s">
        <v>426</v>
      </c>
      <c r="I580" s="87" t="s">
        <v>6405</v>
      </c>
      <c r="J580" s="87" t="s">
        <v>6405</v>
      </c>
      <c r="K580" s="87" t="s">
        <v>6405</v>
      </c>
      <c r="L580" s="87" t="s">
        <v>6397</v>
      </c>
      <c r="M580" s="87" t="s">
        <v>6634</v>
      </c>
      <c r="N580" s="9" t="s">
        <v>7289</v>
      </c>
      <c r="O580" s="87" t="s">
        <v>6240</v>
      </c>
      <c r="P580" s="9" t="s">
        <v>6243</v>
      </c>
      <c r="Q580" s="87" t="s">
        <v>6397</v>
      </c>
      <c r="R580" s="87" t="s">
        <v>6405</v>
      </c>
      <c r="S580" s="87" t="s">
        <v>6284</v>
      </c>
      <c r="T580" s="87" t="s">
        <v>6341</v>
      </c>
    </row>
    <row r="581" spans="1:20" ht="15.75" customHeight="1">
      <c r="A581" s="9" t="s">
        <v>2902</v>
      </c>
      <c r="B581" s="9" t="s">
        <v>7733</v>
      </c>
      <c r="C581" s="9" t="s">
        <v>6236</v>
      </c>
      <c r="D581" s="87" t="s">
        <v>6393</v>
      </c>
      <c r="E581" s="9" t="s">
        <v>431</v>
      </c>
      <c r="F581" s="9" t="s">
        <v>368</v>
      </c>
      <c r="G581" s="9" t="s">
        <v>436</v>
      </c>
      <c r="H581" s="9" t="s">
        <v>434</v>
      </c>
      <c r="I581" s="87" t="s">
        <v>6264</v>
      </c>
      <c r="J581" s="87" t="s">
        <v>6239</v>
      </c>
      <c r="K581" s="87" t="s">
        <v>6273</v>
      </c>
      <c r="L581" s="87" t="s">
        <v>6240</v>
      </c>
      <c r="M581" s="87" t="s">
        <v>6592</v>
      </c>
      <c r="N581" s="9" t="s">
        <v>7184</v>
      </c>
      <c r="O581" s="87" t="s">
        <v>6273</v>
      </c>
      <c r="P581" s="9" t="s">
        <v>6243</v>
      </c>
      <c r="Q581" s="87" t="s">
        <v>6276</v>
      </c>
      <c r="R581" s="87" t="s">
        <v>6239</v>
      </c>
      <c r="S581" s="87" t="s">
        <v>6327</v>
      </c>
      <c r="T581" s="87" t="s">
        <v>6409</v>
      </c>
    </row>
    <row r="582" spans="1:20" ht="15.75" customHeight="1">
      <c r="A582" s="9" t="s">
        <v>2902</v>
      </c>
      <c r="B582" s="9" t="s">
        <v>7735</v>
      </c>
      <c r="C582" s="9" t="s">
        <v>6923</v>
      </c>
      <c r="D582" s="87" t="s">
        <v>6461</v>
      </c>
      <c r="E582" s="9" t="s">
        <v>6924</v>
      </c>
      <c r="F582" s="9" t="s">
        <v>6925</v>
      </c>
      <c r="G582" s="9" t="s">
        <v>383</v>
      </c>
      <c r="H582" s="9" t="s">
        <v>427</v>
      </c>
      <c r="I582" s="87" t="s">
        <v>6405</v>
      </c>
      <c r="J582" s="87" t="s">
        <v>6421</v>
      </c>
      <c r="K582" s="87" t="s">
        <v>6926</v>
      </c>
      <c r="L582" s="87" t="s">
        <v>6594</v>
      </c>
      <c r="M582" s="87" t="s">
        <v>6597</v>
      </c>
      <c r="N582" s="9" t="s">
        <v>7959</v>
      </c>
      <c r="O582" s="87" t="s">
        <v>6535</v>
      </c>
      <c r="P582" s="9" t="s">
        <v>6243</v>
      </c>
      <c r="Q582" s="87" t="s">
        <v>6594</v>
      </c>
      <c r="R582" s="87" t="s">
        <v>6421</v>
      </c>
      <c r="S582" s="87" t="s">
        <v>6421</v>
      </c>
      <c r="T582" s="87" t="s">
        <v>6409</v>
      </c>
    </row>
    <row r="583" spans="1:20" ht="15.75" customHeight="1">
      <c r="A583" s="9" t="s">
        <v>2902</v>
      </c>
      <c r="B583" s="9" t="s">
        <v>7733</v>
      </c>
      <c r="C583" s="9" t="s">
        <v>6236</v>
      </c>
      <c r="D583" s="87" t="s">
        <v>6393</v>
      </c>
      <c r="E583" s="9" t="s">
        <v>431</v>
      </c>
      <c r="F583" s="9" t="s">
        <v>368</v>
      </c>
      <c r="G583" s="9" t="s">
        <v>436</v>
      </c>
      <c r="H583" s="9" t="s">
        <v>434</v>
      </c>
      <c r="I583" s="87" t="s">
        <v>6264</v>
      </c>
      <c r="J583" s="87" t="s">
        <v>6239</v>
      </c>
      <c r="K583" s="87" t="s">
        <v>6361</v>
      </c>
      <c r="L583" s="87" t="s">
        <v>6240</v>
      </c>
      <c r="M583" s="87" t="s">
        <v>6597</v>
      </c>
      <c r="N583" s="9" t="s">
        <v>7734</v>
      </c>
      <c r="O583" s="87" t="s">
        <v>6361</v>
      </c>
      <c r="P583" s="9" t="s">
        <v>6243</v>
      </c>
      <c r="Q583" s="87" t="s">
        <v>6363</v>
      </c>
      <c r="R583" s="87" t="s">
        <v>6239</v>
      </c>
      <c r="S583" s="87" t="s">
        <v>6250</v>
      </c>
      <c r="T583" s="87" t="s">
        <v>6645</v>
      </c>
    </row>
    <row r="584" spans="1:20" ht="15.75" customHeight="1">
      <c r="A584" s="9" t="s">
        <v>2902</v>
      </c>
      <c r="B584" s="9" t="s">
        <v>7735</v>
      </c>
      <c r="C584" s="9" t="s">
        <v>7228</v>
      </c>
      <c r="D584" s="87" t="s">
        <v>6237</v>
      </c>
      <c r="E584" s="9" t="s">
        <v>6924</v>
      </c>
      <c r="F584" s="9" t="s">
        <v>11</v>
      </c>
      <c r="G584" s="9" t="s">
        <v>383</v>
      </c>
      <c r="H584" s="9" t="s">
        <v>426</v>
      </c>
      <c r="I584" s="87" t="s">
        <v>6405</v>
      </c>
      <c r="J584" s="87" t="s">
        <v>6405</v>
      </c>
      <c r="K584" s="87" t="s">
        <v>6405</v>
      </c>
      <c r="L584" s="87" t="s">
        <v>6397</v>
      </c>
      <c r="M584" s="87" t="s">
        <v>6601</v>
      </c>
      <c r="N584" s="9" t="s">
        <v>7960</v>
      </c>
      <c r="O584" s="87" t="s">
        <v>6240</v>
      </c>
      <c r="P584" s="9" t="s">
        <v>6243</v>
      </c>
      <c r="Q584" s="87" t="s">
        <v>6397</v>
      </c>
      <c r="R584" s="87" t="s">
        <v>6405</v>
      </c>
      <c r="S584" s="87" t="s">
        <v>6290</v>
      </c>
      <c r="T584" s="87" t="s">
        <v>6348</v>
      </c>
    </row>
    <row r="585" spans="1:20" ht="15.75" customHeight="1">
      <c r="A585" s="9" t="s">
        <v>2902</v>
      </c>
      <c r="B585" s="9" t="s">
        <v>7737</v>
      </c>
      <c r="C585" s="9" t="s">
        <v>6923</v>
      </c>
      <c r="D585" s="87" t="s">
        <v>6461</v>
      </c>
      <c r="E585" s="9" t="s">
        <v>6924</v>
      </c>
      <c r="F585" s="9" t="s">
        <v>6925</v>
      </c>
      <c r="G585" s="9" t="s">
        <v>383</v>
      </c>
      <c r="H585" s="9" t="s">
        <v>427</v>
      </c>
      <c r="I585" s="87" t="s">
        <v>6405</v>
      </c>
      <c r="J585" s="87" t="s">
        <v>6421</v>
      </c>
      <c r="K585" s="87" t="s">
        <v>6926</v>
      </c>
      <c r="L585" s="87" t="s">
        <v>6594</v>
      </c>
      <c r="M585" s="87" t="s">
        <v>6601</v>
      </c>
      <c r="N585" s="9" t="s">
        <v>7961</v>
      </c>
      <c r="O585" s="87" t="s">
        <v>6535</v>
      </c>
      <c r="P585" s="9" t="s">
        <v>6243</v>
      </c>
      <c r="Q585" s="87" t="s">
        <v>6594</v>
      </c>
      <c r="R585" s="87" t="s">
        <v>6421</v>
      </c>
      <c r="S585" s="87" t="s">
        <v>6313</v>
      </c>
      <c r="T585" s="87" t="s">
        <v>6361</v>
      </c>
    </row>
    <row r="586" spans="1:20" ht="15.75" customHeight="1">
      <c r="A586" s="9" t="s">
        <v>2902</v>
      </c>
      <c r="B586" s="9" t="s">
        <v>7737</v>
      </c>
      <c r="C586" s="9" t="s">
        <v>7228</v>
      </c>
      <c r="D586" s="87" t="s">
        <v>6237</v>
      </c>
      <c r="E586" s="9" t="s">
        <v>6924</v>
      </c>
      <c r="F586" s="9" t="s">
        <v>11</v>
      </c>
      <c r="G586" s="9" t="s">
        <v>383</v>
      </c>
      <c r="H586" s="9" t="s">
        <v>426</v>
      </c>
      <c r="I586" s="87" t="s">
        <v>6405</v>
      </c>
      <c r="J586" s="87" t="s">
        <v>6405</v>
      </c>
      <c r="K586" s="87" t="s">
        <v>6405</v>
      </c>
      <c r="L586" s="87" t="s">
        <v>6397</v>
      </c>
      <c r="M586" s="87" t="s">
        <v>6613</v>
      </c>
      <c r="N586" s="9" t="s">
        <v>7962</v>
      </c>
      <c r="O586" s="87" t="s">
        <v>6240</v>
      </c>
      <c r="P586" s="9" t="s">
        <v>6243</v>
      </c>
      <c r="Q586" s="87" t="s">
        <v>6397</v>
      </c>
      <c r="R586" s="87" t="s">
        <v>6405</v>
      </c>
      <c r="S586" s="87" t="s">
        <v>6322</v>
      </c>
      <c r="T586" s="87" t="s">
        <v>6445</v>
      </c>
    </row>
    <row r="587" spans="1:20" ht="15.75" customHeight="1">
      <c r="A587" s="9" t="s">
        <v>2902</v>
      </c>
      <c r="B587" s="9" t="s">
        <v>7739</v>
      </c>
      <c r="C587" s="9" t="s">
        <v>6923</v>
      </c>
      <c r="D587" s="87" t="s">
        <v>6461</v>
      </c>
      <c r="E587" s="9" t="s">
        <v>6924</v>
      </c>
      <c r="F587" s="9" t="s">
        <v>6925</v>
      </c>
      <c r="G587" s="9" t="s">
        <v>383</v>
      </c>
      <c r="H587" s="9" t="s">
        <v>427</v>
      </c>
      <c r="I587" s="87" t="s">
        <v>6405</v>
      </c>
      <c r="J587" s="87" t="s">
        <v>6421</v>
      </c>
      <c r="K587" s="87" t="s">
        <v>6939</v>
      </c>
      <c r="L587" s="87" t="s">
        <v>6594</v>
      </c>
      <c r="M587" s="87" t="s">
        <v>6613</v>
      </c>
      <c r="N587" s="9" t="s">
        <v>7760</v>
      </c>
      <c r="O587" s="87" t="s">
        <v>6300</v>
      </c>
      <c r="P587" s="9" t="s">
        <v>6243</v>
      </c>
      <c r="Q587" s="87" t="s">
        <v>3861</v>
      </c>
      <c r="R587" s="87" t="s">
        <v>6421</v>
      </c>
      <c r="S587" s="87" t="s">
        <v>6297</v>
      </c>
      <c r="T587" s="87" t="s">
        <v>6416</v>
      </c>
    </row>
    <row r="588" spans="1:20" ht="15.75" customHeight="1">
      <c r="A588" s="9" t="s">
        <v>2902</v>
      </c>
      <c r="B588" s="9" t="s">
        <v>7739</v>
      </c>
      <c r="C588" s="9" t="s">
        <v>7228</v>
      </c>
      <c r="D588" s="87" t="s">
        <v>6237</v>
      </c>
      <c r="E588" s="9" t="s">
        <v>6924</v>
      </c>
      <c r="F588" s="9" t="s">
        <v>11</v>
      </c>
      <c r="G588" s="9" t="s">
        <v>383</v>
      </c>
      <c r="H588" s="9" t="s">
        <v>426</v>
      </c>
      <c r="I588" s="87" t="s">
        <v>6405</v>
      </c>
      <c r="J588" s="87" t="s">
        <v>6334</v>
      </c>
      <c r="K588" s="87" t="s">
        <v>6334</v>
      </c>
      <c r="L588" s="87" t="s">
        <v>6397</v>
      </c>
      <c r="M588" s="87" t="s">
        <v>6616</v>
      </c>
      <c r="N588" s="9" t="s">
        <v>7648</v>
      </c>
      <c r="O588" s="87" t="s">
        <v>6290</v>
      </c>
      <c r="P588" s="9" t="s">
        <v>6243</v>
      </c>
      <c r="Q588" s="87" t="s">
        <v>6293</v>
      </c>
      <c r="R588" s="87" t="s">
        <v>6334</v>
      </c>
      <c r="S588" s="87" t="s">
        <v>6651</v>
      </c>
      <c r="T588" s="87" t="s">
        <v>6287</v>
      </c>
    </row>
    <row r="589" spans="1:20" ht="15.75" customHeight="1">
      <c r="A589" s="9" t="s">
        <v>2902</v>
      </c>
      <c r="B589" s="9" t="s">
        <v>7740</v>
      </c>
      <c r="C589" s="9" t="s">
        <v>6923</v>
      </c>
      <c r="D589" s="87" t="s">
        <v>6461</v>
      </c>
      <c r="E589" s="9" t="s">
        <v>6924</v>
      </c>
      <c r="F589" s="9" t="s">
        <v>6925</v>
      </c>
      <c r="G589" s="9" t="s">
        <v>383</v>
      </c>
      <c r="H589" s="9" t="s">
        <v>427</v>
      </c>
      <c r="I589" s="87" t="s">
        <v>6405</v>
      </c>
      <c r="J589" s="87" t="s">
        <v>6421</v>
      </c>
      <c r="K589" s="87" t="s">
        <v>6939</v>
      </c>
      <c r="L589" s="87" t="s">
        <v>6594</v>
      </c>
      <c r="M589" s="87" t="s">
        <v>6616</v>
      </c>
      <c r="N589" s="9" t="s">
        <v>6981</v>
      </c>
      <c r="O589" s="87" t="s">
        <v>6300</v>
      </c>
      <c r="P589" s="9" t="s">
        <v>6243</v>
      </c>
      <c r="Q589" s="87" t="s">
        <v>3861</v>
      </c>
      <c r="R589" s="87" t="s">
        <v>6421</v>
      </c>
      <c r="S589" s="87" t="s">
        <v>6296</v>
      </c>
      <c r="T589" s="87" t="s">
        <v>6341</v>
      </c>
    </row>
    <row r="590" spans="1:20" ht="15.75" customHeight="1">
      <c r="A590" s="9" t="s">
        <v>2902</v>
      </c>
      <c r="B590" s="9" t="s">
        <v>7740</v>
      </c>
      <c r="C590" s="9" t="s">
        <v>7228</v>
      </c>
      <c r="D590" s="87" t="s">
        <v>6237</v>
      </c>
      <c r="E590" s="9" t="s">
        <v>6924</v>
      </c>
      <c r="F590" s="9" t="s">
        <v>11</v>
      </c>
      <c r="G590" s="9" t="s">
        <v>383</v>
      </c>
      <c r="H590" s="9" t="s">
        <v>426</v>
      </c>
      <c r="I590" s="87" t="s">
        <v>6405</v>
      </c>
      <c r="J590" s="87" t="s">
        <v>6334</v>
      </c>
      <c r="K590" s="87" t="s">
        <v>6334</v>
      </c>
      <c r="L590" s="87" t="s">
        <v>6397</v>
      </c>
      <c r="M590" s="87" t="s">
        <v>6620</v>
      </c>
      <c r="N590" s="9" t="s">
        <v>7268</v>
      </c>
      <c r="O590" s="87" t="s">
        <v>6290</v>
      </c>
      <c r="P590" s="9" t="s">
        <v>6243</v>
      </c>
      <c r="Q590" s="87" t="s">
        <v>6293</v>
      </c>
      <c r="R590" s="87" t="s">
        <v>6334</v>
      </c>
      <c r="S590" s="87" t="s">
        <v>6479</v>
      </c>
      <c r="T590" s="87" t="s">
        <v>6341</v>
      </c>
    </row>
    <row r="591" spans="1:20" ht="15.75" customHeight="1">
      <c r="A591" s="9" t="s">
        <v>2902</v>
      </c>
      <c r="B591" s="9" t="s">
        <v>7741</v>
      </c>
      <c r="C591" s="9" t="s">
        <v>6923</v>
      </c>
      <c r="D591" s="87" t="s">
        <v>6461</v>
      </c>
      <c r="E591" s="9" t="s">
        <v>6924</v>
      </c>
      <c r="F591" s="9" t="s">
        <v>6925</v>
      </c>
      <c r="G591" s="9" t="s">
        <v>383</v>
      </c>
      <c r="H591" s="9" t="s">
        <v>427</v>
      </c>
      <c r="I591" s="87" t="s">
        <v>6405</v>
      </c>
      <c r="J591" s="87" t="s">
        <v>6421</v>
      </c>
      <c r="K591" s="87" t="s">
        <v>6939</v>
      </c>
      <c r="L591" s="87" t="s">
        <v>6594</v>
      </c>
      <c r="M591" s="87" t="s">
        <v>6620</v>
      </c>
      <c r="N591" s="9" t="s">
        <v>6981</v>
      </c>
      <c r="O591" s="87" t="s">
        <v>6300</v>
      </c>
      <c r="P591" s="9" t="s">
        <v>6243</v>
      </c>
      <c r="Q591" s="87" t="s">
        <v>3861</v>
      </c>
      <c r="R591" s="87" t="s">
        <v>6421</v>
      </c>
      <c r="S591" s="87" t="s">
        <v>6296</v>
      </c>
      <c r="T591" s="87" t="s">
        <v>6341</v>
      </c>
    </row>
    <row r="592" spans="1:20" ht="15.75" customHeight="1">
      <c r="A592" s="9" t="s">
        <v>2902</v>
      </c>
      <c r="B592" s="9" t="s">
        <v>7741</v>
      </c>
      <c r="C592" s="9" t="s">
        <v>7228</v>
      </c>
      <c r="D592" s="87" t="s">
        <v>6237</v>
      </c>
      <c r="E592" s="9" t="s">
        <v>6924</v>
      </c>
      <c r="F592" s="9" t="s">
        <v>11</v>
      </c>
      <c r="G592" s="9" t="s">
        <v>383</v>
      </c>
      <c r="H592" s="9" t="s">
        <v>426</v>
      </c>
      <c r="I592" s="87" t="s">
        <v>6405</v>
      </c>
      <c r="J592" s="87" t="s">
        <v>6334</v>
      </c>
      <c r="K592" s="87" t="s">
        <v>6334</v>
      </c>
      <c r="L592" s="87" t="s">
        <v>6397</v>
      </c>
      <c r="M592" s="87" t="s">
        <v>6624</v>
      </c>
      <c r="N592" s="9" t="s">
        <v>7268</v>
      </c>
      <c r="O592" s="87" t="s">
        <v>6290</v>
      </c>
      <c r="P592" s="9" t="s">
        <v>6243</v>
      </c>
      <c r="Q592" s="87" t="s">
        <v>6293</v>
      </c>
      <c r="R592" s="87" t="s">
        <v>6334</v>
      </c>
      <c r="S592" s="87" t="s">
        <v>6479</v>
      </c>
      <c r="T592" s="87" t="s">
        <v>6341</v>
      </c>
    </row>
    <row r="593" spans="1:20" ht="15.75" customHeight="1">
      <c r="A593" s="9" t="s">
        <v>2902</v>
      </c>
      <c r="B593" s="9" t="s">
        <v>7742</v>
      </c>
      <c r="C593" s="9" t="s">
        <v>6923</v>
      </c>
      <c r="D593" s="87" t="s">
        <v>6461</v>
      </c>
      <c r="E593" s="9" t="s">
        <v>6924</v>
      </c>
      <c r="F593" s="9" t="s">
        <v>6925</v>
      </c>
      <c r="G593" s="9" t="s">
        <v>383</v>
      </c>
      <c r="H593" s="9" t="s">
        <v>427</v>
      </c>
      <c r="I593" s="87" t="s">
        <v>6405</v>
      </c>
      <c r="J593" s="87" t="s">
        <v>6421</v>
      </c>
      <c r="K593" s="87" t="s">
        <v>6939</v>
      </c>
      <c r="L593" s="87" t="s">
        <v>6594</v>
      </c>
      <c r="M593" s="87" t="s">
        <v>6624</v>
      </c>
      <c r="N593" s="9" t="s">
        <v>6981</v>
      </c>
      <c r="O593" s="87" t="s">
        <v>6300</v>
      </c>
      <c r="P593" s="9" t="s">
        <v>6243</v>
      </c>
      <c r="Q593" s="87" t="s">
        <v>3861</v>
      </c>
      <c r="R593" s="87" t="s">
        <v>6421</v>
      </c>
      <c r="S593" s="87" t="s">
        <v>6296</v>
      </c>
      <c r="T593" s="87" t="s">
        <v>6341</v>
      </c>
    </row>
    <row r="594" spans="1:20" ht="15.75" customHeight="1">
      <c r="A594" s="9" t="s">
        <v>2902</v>
      </c>
      <c r="B594" s="9" t="s">
        <v>7742</v>
      </c>
      <c r="C594" s="9" t="s">
        <v>7228</v>
      </c>
      <c r="D594" s="87" t="s">
        <v>6237</v>
      </c>
      <c r="E594" s="9" t="s">
        <v>6924</v>
      </c>
      <c r="F594" s="9" t="s">
        <v>11</v>
      </c>
      <c r="G594" s="9" t="s">
        <v>383</v>
      </c>
      <c r="H594" s="9" t="s">
        <v>426</v>
      </c>
      <c r="I594" s="87" t="s">
        <v>6405</v>
      </c>
      <c r="J594" s="87" t="s">
        <v>6334</v>
      </c>
      <c r="K594" s="87" t="s">
        <v>6334</v>
      </c>
      <c r="L594" s="87" t="s">
        <v>6397</v>
      </c>
      <c r="M594" s="87" t="s">
        <v>6628</v>
      </c>
      <c r="N594" s="9" t="s">
        <v>7268</v>
      </c>
      <c r="O594" s="87" t="s">
        <v>6290</v>
      </c>
      <c r="P594" s="9" t="s">
        <v>6243</v>
      </c>
      <c r="Q594" s="87" t="s">
        <v>6293</v>
      </c>
      <c r="R594" s="87" t="s">
        <v>6334</v>
      </c>
      <c r="S594" s="87" t="s">
        <v>6479</v>
      </c>
      <c r="T594" s="87" t="s">
        <v>6341</v>
      </c>
    </row>
    <row r="595" spans="1:20" ht="15.75" customHeight="1">
      <c r="A595" s="9" t="s">
        <v>2902</v>
      </c>
      <c r="B595" s="9" t="s">
        <v>7743</v>
      </c>
      <c r="C595" s="9" t="s">
        <v>6923</v>
      </c>
      <c r="D595" s="87" t="s">
        <v>6461</v>
      </c>
      <c r="E595" s="9" t="s">
        <v>6924</v>
      </c>
      <c r="F595" s="9" t="s">
        <v>6925</v>
      </c>
      <c r="G595" s="9" t="s">
        <v>383</v>
      </c>
      <c r="H595" s="9" t="s">
        <v>427</v>
      </c>
      <c r="I595" s="87" t="s">
        <v>6405</v>
      </c>
      <c r="J595" s="87" t="s">
        <v>6421</v>
      </c>
      <c r="K595" s="87" t="s">
        <v>6939</v>
      </c>
      <c r="L595" s="87" t="s">
        <v>6594</v>
      </c>
      <c r="M595" s="87" t="s">
        <v>6628</v>
      </c>
      <c r="N595" s="9" t="s">
        <v>6981</v>
      </c>
      <c r="O595" s="87" t="s">
        <v>6300</v>
      </c>
      <c r="P595" s="9" t="s">
        <v>6243</v>
      </c>
      <c r="Q595" s="87" t="s">
        <v>3861</v>
      </c>
      <c r="R595" s="87" t="s">
        <v>6421</v>
      </c>
      <c r="S595" s="87" t="s">
        <v>6296</v>
      </c>
      <c r="T595" s="87" t="s">
        <v>6341</v>
      </c>
    </row>
    <row r="596" spans="1:20" ht="15.75" customHeight="1">
      <c r="A596" s="9" t="s">
        <v>2902</v>
      </c>
      <c r="B596" s="9" t="s">
        <v>7743</v>
      </c>
      <c r="C596" s="9" t="s">
        <v>7228</v>
      </c>
      <c r="D596" s="87" t="s">
        <v>6237</v>
      </c>
      <c r="E596" s="9" t="s">
        <v>6924</v>
      </c>
      <c r="F596" s="9" t="s">
        <v>11</v>
      </c>
      <c r="G596" s="9" t="s">
        <v>383</v>
      </c>
      <c r="H596" s="9" t="s">
        <v>426</v>
      </c>
      <c r="I596" s="87" t="s">
        <v>6405</v>
      </c>
      <c r="J596" s="87" t="s">
        <v>6334</v>
      </c>
      <c r="K596" s="87" t="s">
        <v>6334</v>
      </c>
      <c r="L596" s="87" t="s">
        <v>6397</v>
      </c>
      <c r="M596" s="87" t="s">
        <v>6633</v>
      </c>
      <c r="N596" s="9" t="s">
        <v>7268</v>
      </c>
      <c r="O596" s="87" t="s">
        <v>6290</v>
      </c>
      <c r="P596" s="9" t="s">
        <v>6243</v>
      </c>
      <c r="Q596" s="87" t="s">
        <v>6293</v>
      </c>
      <c r="R596" s="87" t="s">
        <v>6334</v>
      </c>
      <c r="S596" s="87" t="s">
        <v>6479</v>
      </c>
      <c r="T596" s="87" t="s">
        <v>6341</v>
      </c>
    </row>
    <row r="597" spans="1:20" ht="15.75" customHeight="1">
      <c r="A597" s="9" t="s">
        <v>2902</v>
      </c>
      <c r="B597" s="9" t="s">
        <v>7744</v>
      </c>
      <c r="C597" s="9" t="s">
        <v>6923</v>
      </c>
      <c r="D597" s="87" t="s">
        <v>6461</v>
      </c>
      <c r="E597" s="9" t="s">
        <v>6924</v>
      </c>
      <c r="F597" s="9" t="s">
        <v>6925</v>
      </c>
      <c r="G597" s="9" t="s">
        <v>383</v>
      </c>
      <c r="H597" s="9" t="s">
        <v>427</v>
      </c>
      <c r="I597" s="87" t="s">
        <v>6405</v>
      </c>
      <c r="J597" s="87" t="s">
        <v>6421</v>
      </c>
      <c r="K597" s="87" t="s">
        <v>6939</v>
      </c>
      <c r="L597" s="87" t="s">
        <v>6594</v>
      </c>
      <c r="M597" s="87" t="s">
        <v>6633</v>
      </c>
      <c r="N597" s="9" t="s">
        <v>6981</v>
      </c>
      <c r="O597" s="87" t="s">
        <v>6300</v>
      </c>
      <c r="P597" s="9" t="s">
        <v>6243</v>
      </c>
      <c r="Q597" s="87" t="s">
        <v>3861</v>
      </c>
      <c r="R597" s="87" t="s">
        <v>6421</v>
      </c>
      <c r="S597" s="87" t="s">
        <v>6296</v>
      </c>
      <c r="T597" s="87" t="s">
        <v>6341</v>
      </c>
    </row>
    <row r="598" spans="1:20" ht="15.75" customHeight="1">
      <c r="A598" s="9" t="s">
        <v>2902</v>
      </c>
      <c r="B598" s="9" t="s">
        <v>7744</v>
      </c>
      <c r="C598" s="9" t="s">
        <v>7228</v>
      </c>
      <c r="D598" s="87" t="s">
        <v>6237</v>
      </c>
      <c r="E598" s="9" t="s">
        <v>6924</v>
      </c>
      <c r="F598" s="9" t="s">
        <v>11</v>
      </c>
      <c r="G598" s="9" t="s">
        <v>383</v>
      </c>
      <c r="H598" s="9" t="s">
        <v>426</v>
      </c>
      <c r="I598" s="87" t="s">
        <v>6405</v>
      </c>
      <c r="J598" s="87" t="s">
        <v>6334</v>
      </c>
      <c r="K598" s="87" t="s">
        <v>6334</v>
      </c>
      <c r="L598" s="87" t="s">
        <v>6397</v>
      </c>
      <c r="M598" s="87" t="s">
        <v>6737</v>
      </c>
      <c r="N598" s="9" t="s">
        <v>7268</v>
      </c>
      <c r="O598" s="87" t="s">
        <v>6290</v>
      </c>
      <c r="P598" s="9" t="s">
        <v>6243</v>
      </c>
      <c r="Q598" s="87" t="s">
        <v>6293</v>
      </c>
      <c r="R598" s="87" t="s">
        <v>6334</v>
      </c>
      <c r="S598" s="87" t="s">
        <v>6479</v>
      </c>
      <c r="T598" s="87" t="s">
        <v>6341</v>
      </c>
    </row>
    <row r="599" spans="1:20" ht="15.75" customHeight="1">
      <c r="A599" s="9" t="s">
        <v>2902</v>
      </c>
      <c r="B599" s="9" t="s">
        <v>7963</v>
      </c>
      <c r="C599" s="9" t="s">
        <v>6923</v>
      </c>
      <c r="D599" s="87" t="s">
        <v>6461</v>
      </c>
      <c r="E599" s="9" t="s">
        <v>6924</v>
      </c>
      <c r="F599" s="9" t="s">
        <v>6925</v>
      </c>
      <c r="G599" s="9" t="s">
        <v>383</v>
      </c>
      <c r="H599" s="9" t="s">
        <v>427</v>
      </c>
      <c r="I599" s="87" t="s">
        <v>6405</v>
      </c>
      <c r="J599" s="87" t="s">
        <v>6421</v>
      </c>
      <c r="K599" s="87" t="s">
        <v>6939</v>
      </c>
      <c r="L599" s="87" t="s">
        <v>6594</v>
      </c>
      <c r="M599" s="87" t="s">
        <v>6737</v>
      </c>
      <c r="N599" s="9" t="s">
        <v>6981</v>
      </c>
      <c r="O599" s="87" t="s">
        <v>6300</v>
      </c>
      <c r="P599" s="9" t="s">
        <v>6243</v>
      </c>
      <c r="Q599" s="87" t="s">
        <v>3861</v>
      </c>
      <c r="R599" s="87" t="s">
        <v>6421</v>
      </c>
      <c r="S599" s="87" t="s">
        <v>6296</v>
      </c>
      <c r="T599" s="87" t="s">
        <v>6341</v>
      </c>
    </row>
    <row r="600" spans="1:20" ht="15.75" customHeight="1">
      <c r="A600" s="9" t="s">
        <v>2902</v>
      </c>
      <c r="B600" s="9" t="s">
        <v>7963</v>
      </c>
      <c r="C600" s="9" t="s">
        <v>7228</v>
      </c>
      <c r="D600" s="87" t="s">
        <v>6237</v>
      </c>
      <c r="E600" s="9" t="s">
        <v>6924</v>
      </c>
      <c r="F600" s="9" t="s">
        <v>11</v>
      </c>
      <c r="G600" s="9" t="s">
        <v>383</v>
      </c>
      <c r="H600" s="9" t="s">
        <v>426</v>
      </c>
      <c r="I600" s="87" t="s">
        <v>6405</v>
      </c>
      <c r="J600" s="87" t="s">
        <v>6334</v>
      </c>
      <c r="K600" s="87" t="s">
        <v>6334</v>
      </c>
      <c r="L600" s="87" t="s">
        <v>6397</v>
      </c>
      <c r="M600" s="87" t="s">
        <v>6730</v>
      </c>
      <c r="N600" s="9" t="s">
        <v>7268</v>
      </c>
      <c r="O600" s="87" t="s">
        <v>6290</v>
      </c>
      <c r="P600" s="9" t="s">
        <v>6243</v>
      </c>
      <c r="Q600" s="87" t="s">
        <v>6293</v>
      </c>
      <c r="R600" s="87" t="s">
        <v>6334</v>
      </c>
      <c r="S600" s="87" t="s">
        <v>6479</v>
      </c>
      <c r="T600" s="87" t="s">
        <v>6341</v>
      </c>
    </row>
    <row r="601" spans="1:20" ht="15.75" customHeight="1">
      <c r="A601" s="9" t="s">
        <v>2926</v>
      </c>
      <c r="B601" s="9" t="s">
        <v>7745</v>
      </c>
      <c r="C601" s="9" t="s">
        <v>6236</v>
      </c>
      <c r="D601" s="87" t="s">
        <v>6393</v>
      </c>
      <c r="E601" s="9" t="s">
        <v>431</v>
      </c>
      <c r="F601" s="9" t="s">
        <v>368</v>
      </c>
      <c r="G601" s="9" t="s">
        <v>436</v>
      </c>
      <c r="H601" s="9" t="s">
        <v>434</v>
      </c>
      <c r="I601" s="87" t="s">
        <v>6237</v>
      </c>
      <c r="J601" s="87" t="s">
        <v>6255</v>
      </c>
      <c r="K601" s="87" t="s">
        <v>6255</v>
      </c>
      <c r="L601" s="87" t="s">
        <v>6240</v>
      </c>
      <c r="M601" s="87" t="s">
        <v>6692</v>
      </c>
      <c r="N601" s="9" t="s">
        <v>7145</v>
      </c>
      <c r="O601" s="87" t="s">
        <v>6255</v>
      </c>
      <c r="P601" s="9" t="s">
        <v>6243</v>
      </c>
      <c r="Q601" s="87" t="s">
        <v>4947</v>
      </c>
      <c r="R601" s="87" t="s">
        <v>6255</v>
      </c>
      <c r="S601" s="87" t="s">
        <v>6300</v>
      </c>
      <c r="T601" s="87" t="s">
        <v>6645</v>
      </c>
    </row>
    <row r="602" spans="1:20" ht="15.75" customHeight="1">
      <c r="A602" s="9" t="s">
        <v>2926</v>
      </c>
      <c r="B602" s="9" t="s">
        <v>7746</v>
      </c>
      <c r="C602" s="9" t="s">
        <v>6671</v>
      </c>
      <c r="D602" s="87" t="s">
        <v>6296</v>
      </c>
      <c r="E602" s="9" t="s">
        <v>6672</v>
      </c>
      <c r="F602" s="9" t="s">
        <v>439</v>
      </c>
      <c r="G602" s="9" t="s">
        <v>436</v>
      </c>
      <c r="H602" s="9" t="s">
        <v>440</v>
      </c>
      <c r="I602" s="87" t="s">
        <v>6405</v>
      </c>
      <c r="J602" s="87" t="s">
        <v>6245</v>
      </c>
      <c r="K602" s="87" t="s">
        <v>6245</v>
      </c>
      <c r="L602" s="87" t="s">
        <v>6240</v>
      </c>
      <c r="M602" s="87" t="s">
        <v>6691</v>
      </c>
      <c r="N602" s="9" t="s">
        <v>7000</v>
      </c>
      <c r="O602" s="87" t="s">
        <v>6245</v>
      </c>
      <c r="P602" s="9" t="s">
        <v>6243</v>
      </c>
      <c r="Q602" s="87" t="s">
        <v>6238</v>
      </c>
      <c r="R602" s="87" t="s">
        <v>6245</v>
      </c>
      <c r="S602" s="87" t="s">
        <v>6500</v>
      </c>
      <c r="T602" s="87" t="s">
        <v>6645</v>
      </c>
    </row>
    <row r="603" spans="1:20" ht="15.75" customHeight="1">
      <c r="A603" s="9" t="s">
        <v>2926</v>
      </c>
      <c r="B603" s="9" t="s">
        <v>7747</v>
      </c>
      <c r="C603" s="9" t="s">
        <v>6923</v>
      </c>
      <c r="D603" s="87" t="s">
        <v>6327</v>
      </c>
      <c r="E603" s="9" t="s">
        <v>6924</v>
      </c>
      <c r="F603" s="9" t="s">
        <v>6925</v>
      </c>
      <c r="G603" s="9" t="s">
        <v>383</v>
      </c>
      <c r="H603" s="9" t="s">
        <v>444</v>
      </c>
      <c r="I603" s="87" t="s">
        <v>6405</v>
      </c>
      <c r="J603" s="87" t="s">
        <v>6405</v>
      </c>
      <c r="K603" s="87" t="s">
        <v>6926</v>
      </c>
      <c r="L603" s="87" t="s">
        <v>5381</v>
      </c>
      <c r="M603" s="87" t="s">
        <v>6656</v>
      </c>
      <c r="N603" s="9" t="s">
        <v>7964</v>
      </c>
      <c r="O603" s="87" t="s">
        <v>6348</v>
      </c>
      <c r="P603" s="9" t="s">
        <v>6243</v>
      </c>
      <c r="Q603" s="87" t="s">
        <v>5381</v>
      </c>
      <c r="R603" s="87" t="s">
        <v>6405</v>
      </c>
      <c r="S603" s="87" t="s">
        <v>6268</v>
      </c>
      <c r="T603" s="87" t="s">
        <v>6535</v>
      </c>
    </row>
    <row r="604" spans="1:20" ht="15.75" customHeight="1">
      <c r="A604" s="9" t="s">
        <v>2926</v>
      </c>
      <c r="B604" s="9" t="s">
        <v>7747</v>
      </c>
      <c r="C604" s="9" t="s">
        <v>7228</v>
      </c>
      <c r="D604" s="87" t="s">
        <v>6290</v>
      </c>
      <c r="E604" s="9" t="s">
        <v>6924</v>
      </c>
      <c r="F604" s="9" t="s">
        <v>11</v>
      </c>
      <c r="G604" s="9" t="s">
        <v>383</v>
      </c>
      <c r="H604" s="9" t="s">
        <v>426</v>
      </c>
      <c r="I604" s="87" t="s">
        <v>6405</v>
      </c>
      <c r="J604" s="87" t="s">
        <v>6405</v>
      </c>
      <c r="K604" s="87" t="s">
        <v>6405</v>
      </c>
      <c r="L604" s="87" t="s">
        <v>6293</v>
      </c>
      <c r="M604" s="87" t="s">
        <v>6657</v>
      </c>
      <c r="N604" s="9" t="s">
        <v>7965</v>
      </c>
      <c r="O604" s="87" t="s">
        <v>6290</v>
      </c>
      <c r="P604" s="9" t="s">
        <v>6243</v>
      </c>
      <c r="Q604" s="87" t="s">
        <v>6293</v>
      </c>
      <c r="R604" s="87" t="s">
        <v>6405</v>
      </c>
      <c r="S604" s="87" t="s">
        <v>6263</v>
      </c>
      <c r="T604" s="87" t="s">
        <v>6651</v>
      </c>
    </row>
    <row r="605" spans="1:20" ht="15.75" customHeight="1">
      <c r="A605" s="9" t="s">
        <v>2920</v>
      </c>
      <c r="B605" s="9" t="s">
        <v>7749</v>
      </c>
      <c r="C605" s="9" t="s">
        <v>6236</v>
      </c>
      <c r="D605" s="87" t="s">
        <v>6393</v>
      </c>
      <c r="E605" s="9" t="s">
        <v>431</v>
      </c>
      <c r="F605" s="9" t="s">
        <v>368</v>
      </c>
      <c r="G605" s="9" t="s">
        <v>436</v>
      </c>
      <c r="H605" s="9" t="s">
        <v>434</v>
      </c>
      <c r="I605" s="87" t="s">
        <v>6237</v>
      </c>
      <c r="J605" s="87" t="s">
        <v>6299</v>
      </c>
      <c r="K605" s="87" t="s">
        <v>6334</v>
      </c>
      <c r="L605" s="87" t="s">
        <v>6240</v>
      </c>
      <c r="M605" s="87" t="s">
        <v>6563</v>
      </c>
      <c r="N605" s="9" t="s">
        <v>7056</v>
      </c>
      <c r="O605" s="87" t="s">
        <v>6334</v>
      </c>
      <c r="P605" s="9" t="s">
        <v>6243</v>
      </c>
      <c r="Q605" s="87" t="s">
        <v>6290</v>
      </c>
      <c r="R605" s="87" t="s">
        <v>6299</v>
      </c>
      <c r="S605" s="87" t="s">
        <v>6327</v>
      </c>
      <c r="T605" s="87" t="s">
        <v>6642</v>
      </c>
    </row>
    <row r="606" spans="1:20" ht="15.75" customHeight="1">
      <c r="A606" s="9" t="s">
        <v>2920</v>
      </c>
      <c r="B606" s="9" t="s">
        <v>7749</v>
      </c>
      <c r="C606" s="9" t="s">
        <v>6236</v>
      </c>
      <c r="D606" s="87" t="s">
        <v>6393</v>
      </c>
      <c r="E606" s="9" t="s">
        <v>431</v>
      </c>
      <c r="F606" s="9" t="s">
        <v>368</v>
      </c>
      <c r="G606" s="9" t="s">
        <v>436</v>
      </c>
      <c r="H606" s="9" t="s">
        <v>434</v>
      </c>
      <c r="I606" s="87" t="s">
        <v>6237</v>
      </c>
      <c r="J606" s="87" t="s">
        <v>6299</v>
      </c>
      <c r="K606" s="87" t="s">
        <v>6346</v>
      </c>
      <c r="L606" s="87" t="s">
        <v>6240</v>
      </c>
      <c r="M606" s="87" t="s">
        <v>6566</v>
      </c>
      <c r="N606" s="9" t="s">
        <v>6972</v>
      </c>
      <c r="O606" s="87" t="s">
        <v>6346</v>
      </c>
      <c r="P606" s="9" t="s">
        <v>6243</v>
      </c>
      <c r="Q606" s="87" t="s">
        <v>6366</v>
      </c>
      <c r="R606" s="87" t="s">
        <v>6299</v>
      </c>
      <c r="S606" s="87" t="s">
        <v>5381</v>
      </c>
      <c r="T606" s="87" t="s">
        <v>6645</v>
      </c>
    </row>
    <row r="607" spans="1:20" ht="15.75" customHeight="1">
      <c r="A607" s="9" t="s">
        <v>2920</v>
      </c>
      <c r="B607" s="9" t="s">
        <v>7751</v>
      </c>
      <c r="C607" s="9" t="s">
        <v>6923</v>
      </c>
      <c r="D607" s="87" t="s">
        <v>6264</v>
      </c>
      <c r="E607" s="9" t="s">
        <v>6924</v>
      </c>
      <c r="F607" s="9" t="s">
        <v>6925</v>
      </c>
      <c r="G607" s="9" t="s">
        <v>383</v>
      </c>
      <c r="H607" s="9" t="s">
        <v>449</v>
      </c>
      <c r="I607" s="87" t="s">
        <v>6405</v>
      </c>
      <c r="J607" s="87" t="s">
        <v>6405</v>
      </c>
      <c r="K607" s="87" t="s">
        <v>6926</v>
      </c>
      <c r="L607" s="87" t="s">
        <v>4947</v>
      </c>
      <c r="M607" s="87" t="s">
        <v>6568</v>
      </c>
      <c r="N607" s="9" t="s">
        <v>7966</v>
      </c>
      <c r="O607" s="87" t="s">
        <v>6255</v>
      </c>
      <c r="P607" s="9" t="s">
        <v>6243</v>
      </c>
      <c r="Q607" s="87" t="s">
        <v>4947</v>
      </c>
      <c r="R607" s="87" t="s">
        <v>6405</v>
      </c>
      <c r="S607" s="87" t="s">
        <v>6411</v>
      </c>
      <c r="T607" s="87" t="s">
        <v>6330</v>
      </c>
    </row>
    <row r="608" spans="1:20" ht="15.75" customHeight="1">
      <c r="A608" s="9" t="s">
        <v>2920</v>
      </c>
      <c r="B608" s="9" t="s">
        <v>7750</v>
      </c>
      <c r="C608" s="9" t="s">
        <v>6671</v>
      </c>
      <c r="D608" s="87" t="s">
        <v>6296</v>
      </c>
      <c r="E608" s="9" t="s">
        <v>6672</v>
      </c>
      <c r="F608" s="9" t="s">
        <v>439</v>
      </c>
      <c r="G608" s="9" t="s">
        <v>436</v>
      </c>
      <c r="H608" s="9" t="s">
        <v>440</v>
      </c>
      <c r="I608" s="87" t="s">
        <v>6405</v>
      </c>
      <c r="J608" s="87" t="s">
        <v>6250</v>
      </c>
      <c r="K608" s="87" t="s">
        <v>6250</v>
      </c>
      <c r="L608" s="87" t="s">
        <v>6240</v>
      </c>
      <c r="M608" s="87" t="s">
        <v>6568</v>
      </c>
      <c r="N608" s="9" t="s">
        <v>7182</v>
      </c>
      <c r="O608" s="87" t="s">
        <v>6250</v>
      </c>
      <c r="P608" s="9" t="s">
        <v>6243</v>
      </c>
      <c r="Q608" s="87" t="s">
        <v>6320</v>
      </c>
      <c r="R608" s="87" t="s">
        <v>6250</v>
      </c>
      <c r="S608" s="87" t="s">
        <v>6361</v>
      </c>
      <c r="T608" s="87" t="s">
        <v>6645</v>
      </c>
    </row>
    <row r="609" spans="1:20" ht="15.75" customHeight="1">
      <c r="A609" s="9" t="s">
        <v>2920</v>
      </c>
      <c r="B609" s="9" t="s">
        <v>7751</v>
      </c>
      <c r="C609" s="9" t="s">
        <v>7228</v>
      </c>
      <c r="D609" s="87" t="s">
        <v>6405</v>
      </c>
      <c r="E609" s="9" t="s">
        <v>6924</v>
      </c>
      <c r="F609" s="9" t="s">
        <v>11</v>
      </c>
      <c r="G609" s="9" t="s">
        <v>383</v>
      </c>
      <c r="H609" s="9" t="s">
        <v>426</v>
      </c>
      <c r="I609" s="87" t="s">
        <v>6405</v>
      </c>
      <c r="J609" s="87" t="s">
        <v>6405</v>
      </c>
      <c r="K609" s="87" t="s">
        <v>6405</v>
      </c>
      <c r="L609" s="87" t="s">
        <v>6255</v>
      </c>
      <c r="M609" s="87" t="s">
        <v>6581</v>
      </c>
      <c r="N609" s="9" t="s">
        <v>7752</v>
      </c>
      <c r="O609" s="87" t="s">
        <v>6461</v>
      </c>
      <c r="P609" s="9" t="s">
        <v>6243</v>
      </c>
      <c r="Q609" s="87" t="s">
        <v>6255</v>
      </c>
      <c r="R609" s="87" t="s">
        <v>6405</v>
      </c>
      <c r="S609" s="87" t="s">
        <v>6316</v>
      </c>
      <c r="T609" s="87" t="s">
        <v>6416</v>
      </c>
    </row>
    <row r="610" spans="1:20" ht="15.75" customHeight="1">
      <c r="A610" s="9" t="s">
        <v>3025</v>
      </c>
      <c r="B610" s="9" t="s">
        <v>7753</v>
      </c>
      <c r="C610" s="9" t="s">
        <v>6236</v>
      </c>
      <c r="D610" s="87" t="s">
        <v>6393</v>
      </c>
      <c r="E610" s="9" t="s">
        <v>431</v>
      </c>
      <c r="F610" s="9" t="s">
        <v>368</v>
      </c>
      <c r="G610" s="9" t="s">
        <v>436</v>
      </c>
      <c r="H610" s="9" t="s">
        <v>434</v>
      </c>
      <c r="I610" s="87" t="s">
        <v>6237</v>
      </c>
      <c r="J610" s="87" t="s">
        <v>6484</v>
      </c>
      <c r="K610" s="87" t="s">
        <v>6327</v>
      </c>
      <c r="L610" s="87" t="s">
        <v>6240</v>
      </c>
      <c r="M610" s="87" t="s">
        <v>6620</v>
      </c>
      <c r="N610" s="9" t="s">
        <v>7196</v>
      </c>
      <c r="O610" s="87" t="s">
        <v>6327</v>
      </c>
      <c r="P610" s="9" t="s">
        <v>6243</v>
      </c>
      <c r="Q610" s="87" t="s">
        <v>6392</v>
      </c>
      <c r="R610" s="87" t="s">
        <v>6484</v>
      </c>
      <c r="S610" s="87" t="s">
        <v>6327</v>
      </c>
      <c r="T610" s="87" t="s">
        <v>6411</v>
      </c>
    </row>
    <row r="611" spans="1:20" ht="15.75" customHeight="1">
      <c r="A611" s="9" t="s">
        <v>3025</v>
      </c>
      <c r="B611" s="9" t="s">
        <v>7753</v>
      </c>
      <c r="C611" s="9" t="s">
        <v>6236</v>
      </c>
      <c r="D611" s="87" t="s">
        <v>6393</v>
      </c>
      <c r="E611" s="9" t="s">
        <v>431</v>
      </c>
      <c r="F611" s="9" t="s">
        <v>368</v>
      </c>
      <c r="G611" s="9" t="s">
        <v>436</v>
      </c>
      <c r="H611" s="9" t="s">
        <v>434</v>
      </c>
      <c r="I611" s="87" t="s">
        <v>6237</v>
      </c>
      <c r="J611" s="87" t="s">
        <v>6484</v>
      </c>
      <c r="K611" s="87" t="s">
        <v>6329</v>
      </c>
      <c r="L611" s="87" t="s">
        <v>6240</v>
      </c>
      <c r="M611" s="87" t="s">
        <v>6624</v>
      </c>
      <c r="N611" s="9" t="s">
        <v>7154</v>
      </c>
      <c r="O611" s="87" t="s">
        <v>6329</v>
      </c>
      <c r="P611" s="9" t="s">
        <v>6243</v>
      </c>
      <c r="Q611" s="87" t="s">
        <v>6448</v>
      </c>
      <c r="R611" s="87" t="s">
        <v>6484</v>
      </c>
      <c r="S611" s="87" t="s">
        <v>6357</v>
      </c>
      <c r="T611" s="87" t="s">
        <v>6645</v>
      </c>
    </row>
    <row r="612" spans="1:20" ht="15.75" customHeight="1">
      <c r="A612" s="9" t="s">
        <v>3025</v>
      </c>
      <c r="B612" s="9" t="s">
        <v>7755</v>
      </c>
      <c r="C612" s="9" t="s">
        <v>6923</v>
      </c>
      <c r="D612" s="87" t="s">
        <v>6327</v>
      </c>
      <c r="E612" s="9" t="s">
        <v>6924</v>
      </c>
      <c r="F612" s="9" t="s">
        <v>6925</v>
      </c>
      <c r="G612" s="9" t="s">
        <v>383</v>
      </c>
      <c r="H612" s="9" t="s">
        <v>444</v>
      </c>
      <c r="I612" s="87" t="s">
        <v>6405</v>
      </c>
      <c r="J612" s="87" t="s">
        <v>6405</v>
      </c>
      <c r="K612" s="87" t="s">
        <v>6926</v>
      </c>
      <c r="L612" s="87" t="s">
        <v>6366</v>
      </c>
      <c r="M612" s="87" t="s">
        <v>6628</v>
      </c>
      <c r="N612" s="9" t="s">
        <v>7967</v>
      </c>
      <c r="O612" s="87" t="s">
        <v>6346</v>
      </c>
      <c r="P612" s="9" t="s">
        <v>6243</v>
      </c>
      <c r="Q612" s="87" t="s">
        <v>6366</v>
      </c>
      <c r="R612" s="87" t="s">
        <v>6405</v>
      </c>
      <c r="S612" s="87" t="s">
        <v>6313</v>
      </c>
      <c r="T612" s="87" t="s">
        <v>6330</v>
      </c>
    </row>
    <row r="613" spans="1:20" ht="15.75" customHeight="1">
      <c r="A613" s="9" t="s">
        <v>3025</v>
      </c>
      <c r="B613" s="9" t="s">
        <v>7754</v>
      </c>
      <c r="C613" s="9" t="s">
        <v>6671</v>
      </c>
      <c r="D613" s="87" t="s">
        <v>6296</v>
      </c>
      <c r="E613" s="9" t="s">
        <v>6672</v>
      </c>
      <c r="F613" s="9" t="s">
        <v>439</v>
      </c>
      <c r="G613" s="9" t="s">
        <v>436</v>
      </c>
      <c r="H613" s="9" t="s">
        <v>440</v>
      </c>
      <c r="I613" s="87" t="s">
        <v>6405</v>
      </c>
      <c r="J613" s="87" t="s">
        <v>6250</v>
      </c>
      <c r="K613" s="87" t="s">
        <v>6250</v>
      </c>
      <c r="L613" s="87" t="s">
        <v>6240</v>
      </c>
      <c r="M613" s="87" t="s">
        <v>6628</v>
      </c>
      <c r="N613" s="9" t="s">
        <v>7182</v>
      </c>
      <c r="O613" s="87" t="s">
        <v>6250</v>
      </c>
      <c r="P613" s="9" t="s">
        <v>6243</v>
      </c>
      <c r="Q613" s="87" t="s">
        <v>6320</v>
      </c>
      <c r="R613" s="87" t="s">
        <v>6250</v>
      </c>
      <c r="S613" s="87" t="s">
        <v>6361</v>
      </c>
      <c r="T613" s="87" t="s">
        <v>6645</v>
      </c>
    </row>
    <row r="614" spans="1:20" ht="15.75" customHeight="1">
      <c r="A614" s="9" t="s">
        <v>2934</v>
      </c>
      <c r="B614" s="9" t="s">
        <v>7757</v>
      </c>
      <c r="C614" s="9" t="s">
        <v>6236</v>
      </c>
      <c r="D614" s="87" t="s">
        <v>6393</v>
      </c>
      <c r="E614" s="9" t="s">
        <v>431</v>
      </c>
      <c r="F614" s="9" t="s">
        <v>368</v>
      </c>
      <c r="G614" s="9" t="s">
        <v>436</v>
      </c>
      <c r="H614" s="9" t="s">
        <v>434</v>
      </c>
      <c r="I614" s="87" t="s">
        <v>6237</v>
      </c>
      <c r="J614" s="87" t="s">
        <v>6305</v>
      </c>
      <c r="K614" s="87" t="s">
        <v>6401</v>
      </c>
      <c r="L614" s="87" t="s">
        <v>6240</v>
      </c>
      <c r="M614" s="87" t="s">
        <v>6624</v>
      </c>
      <c r="N614" s="9" t="s">
        <v>7188</v>
      </c>
      <c r="O614" s="87" t="s">
        <v>6401</v>
      </c>
      <c r="P614" s="9" t="s">
        <v>6243</v>
      </c>
      <c r="Q614" s="87" t="s">
        <v>6403</v>
      </c>
      <c r="R614" s="87" t="s">
        <v>6305</v>
      </c>
      <c r="S614" s="87" t="s">
        <v>6327</v>
      </c>
      <c r="T614" s="87" t="s">
        <v>6619</v>
      </c>
    </row>
    <row r="615" spans="1:20" ht="15.75" customHeight="1">
      <c r="A615" s="9" t="s">
        <v>2934</v>
      </c>
      <c r="B615" s="9" t="s">
        <v>7757</v>
      </c>
      <c r="C615" s="9" t="s">
        <v>6236</v>
      </c>
      <c r="D615" s="87" t="s">
        <v>6393</v>
      </c>
      <c r="E615" s="9" t="s">
        <v>431</v>
      </c>
      <c r="F615" s="9" t="s">
        <v>368</v>
      </c>
      <c r="G615" s="9" t="s">
        <v>436</v>
      </c>
      <c r="H615" s="9" t="s">
        <v>434</v>
      </c>
      <c r="I615" s="87" t="s">
        <v>6237</v>
      </c>
      <c r="J615" s="87" t="s">
        <v>6305</v>
      </c>
      <c r="K615" s="87" t="s">
        <v>6376</v>
      </c>
      <c r="L615" s="87" t="s">
        <v>6240</v>
      </c>
      <c r="M615" s="87" t="s">
        <v>6628</v>
      </c>
      <c r="N615" s="9" t="s">
        <v>6960</v>
      </c>
      <c r="O615" s="87" t="s">
        <v>6376</v>
      </c>
      <c r="P615" s="9" t="s">
        <v>6243</v>
      </c>
      <c r="Q615" s="87" t="s">
        <v>6379</v>
      </c>
      <c r="R615" s="87" t="s">
        <v>6305</v>
      </c>
      <c r="S615" s="87" t="s">
        <v>6322</v>
      </c>
      <c r="T615" s="87" t="s">
        <v>6645</v>
      </c>
    </row>
    <row r="616" spans="1:20" ht="15.75" customHeight="1">
      <c r="A616" s="9" t="s">
        <v>2934</v>
      </c>
      <c r="B616" s="9" t="s">
        <v>7759</v>
      </c>
      <c r="C616" s="9" t="s">
        <v>6923</v>
      </c>
      <c r="D616" s="87" t="s">
        <v>6327</v>
      </c>
      <c r="E616" s="9" t="s">
        <v>6924</v>
      </c>
      <c r="F616" s="9" t="s">
        <v>6925</v>
      </c>
      <c r="G616" s="9" t="s">
        <v>383</v>
      </c>
      <c r="H616" s="9" t="s">
        <v>444</v>
      </c>
      <c r="I616" s="87" t="s">
        <v>6405</v>
      </c>
      <c r="J616" s="87" t="s">
        <v>6264</v>
      </c>
      <c r="K616" s="87" t="s">
        <v>6926</v>
      </c>
      <c r="L616" s="87" t="s">
        <v>6270</v>
      </c>
      <c r="M616" s="87" t="s">
        <v>6633</v>
      </c>
      <c r="N616" s="9" t="s">
        <v>7890</v>
      </c>
      <c r="O616" s="87" t="s">
        <v>6268</v>
      </c>
      <c r="P616" s="9" t="s">
        <v>6243</v>
      </c>
      <c r="Q616" s="87" t="s">
        <v>6270</v>
      </c>
      <c r="R616" s="87" t="s">
        <v>6264</v>
      </c>
      <c r="S616" s="87" t="s">
        <v>6251</v>
      </c>
      <c r="T616" s="87" t="s">
        <v>6295</v>
      </c>
    </row>
    <row r="617" spans="1:20" ht="15.75" customHeight="1">
      <c r="A617" s="9" t="s">
        <v>2934</v>
      </c>
      <c r="B617" s="9" t="s">
        <v>7758</v>
      </c>
      <c r="C617" s="9" t="s">
        <v>6671</v>
      </c>
      <c r="D617" s="87" t="s">
        <v>6296</v>
      </c>
      <c r="E617" s="9" t="s">
        <v>6672</v>
      </c>
      <c r="F617" s="9" t="s">
        <v>439</v>
      </c>
      <c r="G617" s="9" t="s">
        <v>436</v>
      </c>
      <c r="H617" s="9" t="s">
        <v>440</v>
      </c>
      <c r="I617" s="87" t="s">
        <v>6405</v>
      </c>
      <c r="J617" s="87" t="s">
        <v>6357</v>
      </c>
      <c r="K617" s="87" t="s">
        <v>6357</v>
      </c>
      <c r="L617" s="87" t="s">
        <v>6240</v>
      </c>
      <c r="M617" s="87" t="s">
        <v>6633</v>
      </c>
      <c r="N617" s="9" t="s">
        <v>7027</v>
      </c>
      <c r="O617" s="87" t="s">
        <v>6357</v>
      </c>
      <c r="P617" s="9" t="s">
        <v>6243</v>
      </c>
      <c r="Q617" s="87" t="s">
        <v>6565</v>
      </c>
      <c r="R617" s="87" t="s">
        <v>6357</v>
      </c>
      <c r="S617" s="87" t="s">
        <v>6329</v>
      </c>
      <c r="T617" s="87" t="s">
        <v>6645</v>
      </c>
    </row>
    <row r="618" spans="1:20" ht="15.75" customHeight="1">
      <c r="A618" s="9" t="s">
        <v>2934</v>
      </c>
      <c r="B618" s="9" t="s">
        <v>7759</v>
      </c>
      <c r="C618" s="9" t="s">
        <v>7228</v>
      </c>
      <c r="D618" s="87" t="s">
        <v>6290</v>
      </c>
      <c r="E618" s="9" t="s">
        <v>6924</v>
      </c>
      <c r="F618" s="9" t="s">
        <v>11</v>
      </c>
      <c r="G618" s="9" t="s">
        <v>383</v>
      </c>
      <c r="H618" s="9" t="s">
        <v>426</v>
      </c>
      <c r="I618" s="87" t="s">
        <v>6405</v>
      </c>
      <c r="J618" s="87" t="s">
        <v>6405</v>
      </c>
      <c r="K618" s="87" t="s">
        <v>6405</v>
      </c>
      <c r="L618" s="87" t="s">
        <v>6397</v>
      </c>
      <c r="M618" s="87" t="s">
        <v>6737</v>
      </c>
      <c r="N618" s="9" t="s">
        <v>7968</v>
      </c>
      <c r="O618" s="87" t="s">
        <v>6240</v>
      </c>
      <c r="P618" s="9" t="s">
        <v>6243</v>
      </c>
      <c r="Q618" s="87" t="s">
        <v>6397</v>
      </c>
      <c r="R618" s="87" t="s">
        <v>6405</v>
      </c>
      <c r="S618" s="87" t="s">
        <v>6280</v>
      </c>
      <c r="T618" s="87" t="s">
        <v>6329</v>
      </c>
    </row>
    <row r="619" spans="1:20" ht="15.75" customHeight="1">
      <c r="A619" s="9" t="s">
        <v>2934</v>
      </c>
      <c r="B619" s="9" t="s">
        <v>7969</v>
      </c>
      <c r="C619" s="9" t="s">
        <v>6923</v>
      </c>
      <c r="D619" s="87" t="s">
        <v>6327</v>
      </c>
      <c r="E619" s="9" t="s">
        <v>6924</v>
      </c>
      <c r="F619" s="9" t="s">
        <v>6925</v>
      </c>
      <c r="G619" s="9" t="s">
        <v>383</v>
      </c>
      <c r="H619" s="9" t="s">
        <v>444</v>
      </c>
      <c r="I619" s="87" t="s">
        <v>6405</v>
      </c>
      <c r="J619" s="87" t="s">
        <v>6264</v>
      </c>
      <c r="K619" s="87" t="s">
        <v>6939</v>
      </c>
      <c r="L619" s="87" t="s">
        <v>6270</v>
      </c>
      <c r="M619" s="87" t="s">
        <v>6737</v>
      </c>
      <c r="N619" s="9" t="s">
        <v>7970</v>
      </c>
      <c r="O619" s="87" t="s">
        <v>6330</v>
      </c>
      <c r="P619" s="9" t="s">
        <v>6243</v>
      </c>
      <c r="Q619" s="87" t="s">
        <v>6332</v>
      </c>
      <c r="R619" s="87" t="s">
        <v>6264</v>
      </c>
      <c r="S619" s="87" t="s">
        <v>6323</v>
      </c>
      <c r="T619" s="87" t="s">
        <v>6416</v>
      </c>
    </row>
    <row r="620" spans="1:20" ht="15.75" customHeight="1">
      <c r="A620" s="9" t="s">
        <v>2934</v>
      </c>
      <c r="B620" s="9" t="s">
        <v>7969</v>
      </c>
      <c r="C620" s="9" t="s">
        <v>7228</v>
      </c>
      <c r="D620" s="87" t="s">
        <v>6290</v>
      </c>
      <c r="E620" s="9" t="s">
        <v>6924</v>
      </c>
      <c r="F620" s="9" t="s">
        <v>11</v>
      </c>
      <c r="G620" s="9" t="s">
        <v>383</v>
      </c>
      <c r="H620" s="9" t="s">
        <v>426</v>
      </c>
      <c r="I620" s="87" t="s">
        <v>6405</v>
      </c>
      <c r="J620" s="87" t="s">
        <v>6334</v>
      </c>
      <c r="K620" s="87" t="s">
        <v>6334</v>
      </c>
      <c r="L620" s="87" t="s">
        <v>6397</v>
      </c>
      <c r="M620" s="87" t="s">
        <v>6730</v>
      </c>
      <c r="N620" s="9" t="s">
        <v>7971</v>
      </c>
      <c r="O620" s="87" t="s">
        <v>6290</v>
      </c>
      <c r="P620" s="9" t="s">
        <v>6243</v>
      </c>
      <c r="Q620" s="87" t="s">
        <v>6293</v>
      </c>
      <c r="R620" s="87" t="s">
        <v>6334</v>
      </c>
      <c r="S620" s="87" t="s">
        <v>6543</v>
      </c>
      <c r="T620" s="87" t="s">
        <v>6416</v>
      </c>
    </row>
    <row r="621" spans="1:20" ht="15.75" customHeight="1">
      <c r="A621" s="9" t="s">
        <v>2846</v>
      </c>
      <c r="B621" s="9" t="s">
        <v>7762</v>
      </c>
      <c r="C621" s="9" t="s">
        <v>6236</v>
      </c>
      <c r="D621" s="87" t="s">
        <v>6393</v>
      </c>
      <c r="E621" s="9" t="s">
        <v>431</v>
      </c>
      <c r="F621" s="9" t="s">
        <v>368</v>
      </c>
      <c r="G621" s="9" t="s">
        <v>436</v>
      </c>
      <c r="H621" s="9" t="s">
        <v>434</v>
      </c>
      <c r="I621" s="87" t="s">
        <v>6264</v>
      </c>
      <c r="J621" s="87" t="s">
        <v>6299</v>
      </c>
      <c r="K621" s="87" t="s">
        <v>4953</v>
      </c>
      <c r="L621" s="87" t="s">
        <v>6240</v>
      </c>
      <c r="M621" s="87" t="s">
        <v>6737</v>
      </c>
      <c r="N621" s="9" t="s">
        <v>7186</v>
      </c>
      <c r="O621" s="87" t="s">
        <v>4953</v>
      </c>
      <c r="P621" s="9" t="s">
        <v>6243</v>
      </c>
      <c r="Q621" s="87" t="s">
        <v>6306</v>
      </c>
      <c r="R621" s="87" t="s">
        <v>6299</v>
      </c>
      <c r="S621" s="87" t="s">
        <v>6327</v>
      </c>
      <c r="T621" s="87" t="s">
        <v>6259</v>
      </c>
    </row>
    <row r="622" spans="1:20" ht="15.75" customHeight="1">
      <c r="A622" s="9" t="s">
        <v>2846</v>
      </c>
      <c r="B622" s="9" t="s">
        <v>7762</v>
      </c>
      <c r="C622" s="9" t="s">
        <v>6236</v>
      </c>
      <c r="D622" s="87" t="s">
        <v>6393</v>
      </c>
      <c r="E622" s="9" t="s">
        <v>431</v>
      </c>
      <c r="F622" s="9" t="s">
        <v>368</v>
      </c>
      <c r="G622" s="9" t="s">
        <v>436</v>
      </c>
      <c r="H622" s="9" t="s">
        <v>434</v>
      </c>
      <c r="I622" s="87" t="s">
        <v>6264</v>
      </c>
      <c r="J622" s="87" t="s">
        <v>6299</v>
      </c>
      <c r="K622" s="87" t="s">
        <v>4953</v>
      </c>
      <c r="L622" s="87" t="s">
        <v>6240</v>
      </c>
      <c r="M622" s="87" t="s">
        <v>6730</v>
      </c>
      <c r="N622" s="9" t="s">
        <v>7080</v>
      </c>
      <c r="O622" s="87" t="s">
        <v>4953</v>
      </c>
      <c r="P622" s="9" t="s">
        <v>6243</v>
      </c>
      <c r="Q622" s="87" t="s">
        <v>6306</v>
      </c>
      <c r="R622" s="87" t="s">
        <v>6299</v>
      </c>
      <c r="S622" s="87" t="s">
        <v>6373</v>
      </c>
      <c r="T622" s="87" t="s">
        <v>6645</v>
      </c>
    </row>
    <row r="623" spans="1:20" ht="15.75" customHeight="1">
      <c r="A623" s="9" t="s">
        <v>2846</v>
      </c>
      <c r="B623" s="9" t="s">
        <v>7764</v>
      </c>
      <c r="C623" s="9" t="s">
        <v>6923</v>
      </c>
      <c r="D623" s="87" t="s">
        <v>6264</v>
      </c>
      <c r="E623" s="9" t="s">
        <v>6924</v>
      </c>
      <c r="F623" s="9" t="s">
        <v>6925</v>
      </c>
      <c r="G623" s="9" t="s">
        <v>383</v>
      </c>
      <c r="H623" s="9" t="s">
        <v>449</v>
      </c>
      <c r="I623" s="87" t="s">
        <v>6405</v>
      </c>
      <c r="J623" s="87" t="s">
        <v>6405</v>
      </c>
      <c r="K623" s="87" t="s">
        <v>6926</v>
      </c>
      <c r="L623" s="87" t="s">
        <v>6306</v>
      </c>
      <c r="M623" s="87" t="s">
        <v>6634</v>
      </c>
      <c r="N623" s="9" t="s">
        <v>7972</v>
      </c>
      <c r="O623" s="87" t="s">
        <v>4953</v>
      </c>
      <c r="P623" s="9" t="s">
        <v>6243</v>
      </c>
      <c r="Q623" s="87" t="s">
        <v>6306</v>
      </c>
      <c r="R623" s="87" t="s">
        <v>6405</v>
      </c>
      <c r="S623" s="87" t="s">
        <v>6486</v>
      </c>
      <c r="T623" s="87" t="s">
        <v>6401</v>
      </c>
    </row>
    <row r="624" spans="1:20" ht="15.75" customHeight="1">
      <c r="A624" s="9" t="s">
        <v>2846</v>
      </c>
      <c r="B624" s="9" t="s">
        <v>7763</v>
      </c>
      <c r="C624" s="9" t="s">
        <v>6671</v>
      </c>
      <c r="D624" s="87" t="s">
        <v>6296</v>
      </c>
      <c r="E624" s="9" t="s">
        <v>6672</v>
      </c>
      <c r="F624" s="9" t="s">
        <v>439</v>
      </c>
      <c r="G624" s="9" t="s">
        <v>436</v>
      </c>
      <c r="H624" s="9" t="s">
        <v>440</v>
      </c>
      <c r="I624" s="87" t="s">
        <v>6405</v>
      </c>
      <c r="J624" s="87" t="s">
        <v>6346</v>
      </c>
      <c r="K624" s="87" t="s">
        <v>6346</v>
      </c>
      <c r="L624" s="87" t="s">
        <v>6240</v>
      </c>
      <c r="M624" s="87" t="s">
        <v>6634</v>
      </c>
      <c r="N624" s="9" t="s">
        <v>6972</v>
      </c>
      <c r="O624" s="87" t="s">
        <v>6346</v>
      </c>
      <c r="P624" s="9" t="s">
        <v>6243</v>
      </c>
      <c r="Q624" s="87" t="s">
        <v>6366</v>
      </c>
      <c r="R624" s="87" t="s">
        <v>6346</v>
      </c>
      <c r="S624" s="87" t="s">
        <v>5381</v>
      </c>
      <c r="T624" s="87" t="s">
        <v>6645</v>
      </c>
    </row>
    <row r="625" spans="1:20" ht="15.75" customHeight="1">
      <c r="A625" s="9" t="s">
        <v>2846</v>
      </c>
      <c r="B625" s="9" t="s">
        <v>7764</v>
      </c>
      <c r="C625" s="9" t="s">
        <v>7228</v>
      </c>
      <c r="D625" s="87" t="s">
        <v>6405</v>
      </c>
      <c r="E625" s="9" t="s">
        <v>6924</v>
      </c>
      <c r="F625" s="9" t="s">
        <v>11</v>
      </c>
      <c r="G625" s="9" t="s">
        <v>383</v>
      </c>
      <c r="H625" s="9" t="s">
        <v>426</v>
      </c>
      <c r="I625" s="87" t="s">
        <v>6405</v>
      </c>
      <c r="J625" s="87" t="s">
        <v>6405</v>
      </c>
      <c r="K625" s="87" t="s">
        <v>6405</v>
      </c>
      <c r="L625" s="87" t="s">
        <v>6397</v>
      </c>
      <c r="M625" s="87" t="s">
        <v>6721</v>
      </c>
      <c r="N625" s="9" t="s">
        <v>7973</v>
      </c>
      <c r="O625" s="87" t="s">
        <v>6240</v>
      </c>
      <c r="P625" s="9" t="s">
        <v>6243</v>
      </c>
      <c r="Q625" s="87" t="s">
        <v>6397</v>
      </c>
      <c r="R625" s="87" t="s">
        <v>6405</v>
      </c>
      <c r="S625" s="87" t="s">
        <v>6401</v>
      </c>
      <c r="T625" s="87" t="s">
        <v>6326</v>
      </c>
    </row>
    <row r="626" spans="1:20" ht="15.75" customHeight="1">
      <c r="A626" s="9" t="s">
        <v>3014</v>
      </c>
      <c r="B626" s="9" t="s">
        <v>7766</v>
      </c>
      <c r="C626" s="9" t="s">
        <v>6236</v>
      </c>
      <c r="D626" s="87" t="s">
        <v>6393</v>
      </c>
      <c r="E626" s="9" t="s">
        <v>431</v>
      </c>
      <c r="F626" s="9" t="s">
        <v>368</v>
      </c>
      <c r="G626" s="9" t="s">
        <v>436</v>
      </c>
      <c r="H626" s="9" t="s">
        <v>434</v>
      </c>
      <c r="I626" s="87" t="s">
        <v>6237</v>
      </c>
      <c r="J626" s="87" t="s">
        <v>6238</v>
      </c>
      <c r="K626" s="87" t="s">
        <v>6416</v>
      </c>
      <c r="L626" s="87" t="s">
        <v>6240</v>
      </c>
      <c r="M626" s="87" t="s">
        <v>6633</v>
      </c>
      <c r="N626" s="9" t="s">
        <v>7147</v>
      </c>
      <c r="O626" s="87" t="s">
        <v>6416</v>
      </c>
      <c r="P626" s="9" t="s">
        <v>6243</v>
      </c>
      <c r="Q626" s="87" t="s">
        <v>6758</v>
      </c>
      <c r="R626" s="87" t="s">
        <v>6238</v>
      </c>
      <c r="S626" s="87" t="s">
        <v>6327</v>
      </c>
      <c r="T626" s="87" t="s">
        <v>6239</v>
      </c>
    </row>
    <row r="627" spans="1:20" ht="15.75" customHeight="1">
      <c r="A627" s="9" t="s">
        <v>3014</v>
      </c>
      <c r="B627" s="9" t="s">
        <v>7766</v>
      </c>
      <c r="C627" s="9" t="s">
        <v>6236</v>
      </c>
      <c r="D627" s="87" t="s">
        <v>6393</v>
      </c>
      <c r="E627" s="9" t="s">
        <v>431</v>
      </c>
      <c r="F627" s="9" t="s">
        <v>368</v>
      </c>
      <c r="G627" s="9" t="s">
        <v>436</v>
      </c>
      <c r="H627" s="9" t="s">
        <v>434</v>
      </c>
      <c r="I627" s="87" t="s">
        <v>6237</v>
      </c>
      <c r="J627" s="87" t="s">
        <v>6238</v>
      </c>
      <c r="K627" s="87" t="s">
        <v>6254</v>
      </c>
      <c r="L627" s="87" t="s">
        <v>6240</v>
      </c>
      <c r="M627" s="87" t="s">
        <v>6737</v>
      </c>
      <c r="N627" s="9" t="s">
        <v>7767</v>
      </c>
      <c r="O627" s="87" t="s">
        <v>6254</v>
      </c>
      <c r="P627" s="9" t="s">
        <v>6243</v>
      </c>
      <c r="Q627" s="87" t="s">
        <v>5968</v>
      </c>
      <c r="R627" s="87" t="s">
        <v>6238</v>
      </c>
      <c r="S627" s="87" t="s">
        <v>6555</v>
      </c>
      <c r="T627" s="87" t="s">
        <v>6645</v>
      </c>
    </row>
    <row r="628" spans="1:20" ht="15.75" customHeight="1">
      <c r="A628" s="9" t="s">
        <v>3014</v>
      </c>
      <c r="B628" s="9" t="s">
        <v>7769</v>
      </c>
      <c r="C628" s="9" t="s">
        <v>6923</v>
      </c>
      <c r="D628" s="87" t="s">
        <v>6327</v>
      </c>
      <c r="E628" s="9" t="s">
        <v>6924</v>
      </c>
      <c r="F628" s="9" t="s">
        <v>6925</v>
      </c>
      <c r="G628" s="9" t="s">
        <v>383</v>
      </c>
      <c r="H628" s="9" t="s">
        <v>444</v>
      </c>
      <c r="I628" s="87" t="s">
        <v>6405</v>
      </c>
      <c r="J628" s="87" t="s">
        <v>6405</v>
      </c>
      <c r="K628" s="87" t="s">
        <v>6926</v>
      </c>
      <c r="L628" s="87" t="s">
        <v>6416</v>
      </c>
      <c r="M628" s="87" t="s">
        <v>6730</v>
      </c>
      <c r="N628" s="9" t="s">
        <v>7974</v>
      </c>
      <c r="O628" s="87" t="s">
        <v>6414</v>
      </c>
      <c r="P628" s="9" t="s">
        <v>6243</v>
      </c>
      <c r="Q628" s="87" t="s">
        <v>6416</v>
      </c>
      <c r="R628" s="87" t="s">
        <v>6405</v>
      </c>
      <c r="S628" s="87" t="s">
        <v>6421</v>
      </c>
      <c r="T628" s="87" t="s">
        <v>6295</v>
      </c>
    </row>
    <row r="629" spans="1:20" ht="15.75" customHeight="1">
      <c r="A629" s="9" t="s">
        <v>3014</v>
      </c>
      <c r="B629" s="9" t="s">
        <v>7768</v>
      </c>
      <c r="C629" s="9" t="s">
        <v>6671</v>
      </c>
      <c r="D629" s="87" t="s">
        <v>6296</v>
      </c>
      <c r="E629" s="9" t="s">
        <v>6672</v>
      </c>
      <c r="F629" s="9" t="s">
        <v>439</v>
      </c>
      <c r="G629" s="9" t="s">
        <v>436</v>
      </c>
      <c r="H629" s="9" t="s">
        <v>440</v>
      </c>
      <c r="I629" s="87" t="s">
        <v>6405</v>
      </c>
      <c r="J629" s="87" t="s">
        <v>6357</v>
      </c>
      <c r="K629" s="87" t="s">
        <v>6357</v>
      </c>
      <c r="L629" s="87" t="s">
        <v>6240</v>
      </c>
      <c r="M629" s="87" t="s">
        <v>6730</v>
      </c>
      <c r="N629" s="9" t="s">
        <v>7027</v>
      </c>
      <c r="O629" s="87" t="s">
        <v>6357</v>
      </c>
      <c r="P629" s="9" t="s">
        <v>6243</v>
      </c>
      <c r="Q629" s="87" t="s">
        <v>6565</v>
      </c>
      <c r="R629" s="87" t="s">
        <v>6357</v>
      </c>
      <c r="S629" s="87" t="s">
        <v>6329</v>
      </c>
      <c r="T629" s="87" t="s">
        <v>6645</v>
      </c>
    </row>
    <row r="630" spans="1:20" ht="15.75" customHeight="1">
      <c r="A630" s="9" t="s">
        <v>3014</v>
      </c>
      <c r="B630" s="9" t="s">
        <v>7769</v>
      </c>
      <c r="C630" s="9" t="s">
        <v>7228</v>
      </c>
      <c r="D630" s="87" t="s">
        <v>6290</v>
      </c>
      <c r="E630" s="9" t="s">
        <v>6924</v>
      </c>
      <c r="F630" s="9" t="s">
        <v>11</v>
      </c>
      <c r="G630" s="9" t="s">
        <v>383</v>
      </c>
      <c r="H630" s="9" t="s">
        <v>426</v>
      </c>
      <c r="I630" s="87" t="s">
        <v>6405</v>
      </c>
      <c r="J630" s="87" t="s">
        <v>6405</v>
      </c>
      <c r="K630" s="87" t="s">
        <v>6405</v>
      </c>
      <c r="L630" s="87" t="s">
        <v>6397</v>
      </c>
      <c r="M630" s="87" t="s">
        <v>6634</v>
      </c>
      <c r="N630" s="9" t="s">
        <v>7262</v>
      </c>
      <c r="O630" s="87" t="s">
        <v>6240</v>
      </c>
      <c r="P630" s="9" t="s">
        <v>6243</v>
      </c>
      <c r="Q630" s="87" t="s">
        <v>6397</v>
      </c>
      <c r="R630" s="87" t="s">
        <v>6405</v>
      </c>
      <c r="S630" s="87" t="s">
        <v>6651</v>
      </c>
      <c r="T630" s="87" t="s">
        <v>6416</v>
      </c>
    </row>
    <row r="631" spans="1:20" ht="15.75" customHeight="1">
      <c r="A631" s="9" t="s">
        <v>2847</v>
      </c>
      <c r="B631" s="9" t="s">
        <v>7771</v>
      </c>
      <c r="C631" s="9" t="s">
        <v>6236</v>
      </c>
      <c r="D631" s="87" t="s">
        <v>6393</v>
      </c>
      <c r="E631" s="9" t="s">
        <v>431</v>
      </c>
      <c r="F631" s="9" t="s">
        <v>368</v>
      </c>
      <c r="G631" s="9" t="s">
        <v>436</v>
      </c>
      <c r="H631" s="9" t="s">
        <v>434</v>
      </c>
      <c r="I631" s="87" t="s">
        <v>6334</v>
      </c>
      <c r="J631" s="87" t="s">
        <v>6580</v>
      </c>
      <c r="K631" s="87" t="s">
        <v>6497</v>
      </c>
      <c r="L631" s="87" t="s">
        <v>6240</v>
      </c>
      <c r="M631" s="87" t="s">
        <v>6585</v>
      </c>
      <c r="N631" s="9" t="s">
        <v>7165</v>
      </c>
      <c r="O631" s="87" t="s">
        <v>6497</v>
      </c>
      <c r="P631" s="9" t="s">
        <v>6243</v>
      </c>
      <c r="Q631" s="87" t="s">
        <v>6714</v>
      </c>
      <c r="R631" s="87" t="s">
        <v>6580</v>
      </c>
      <c r="S631" s="87" t="s">
        <v>6327</v>
      </c>
      <c r="T631" s="87" t="s">
        <v>6271</v>
      </c>
    </row>
    <row r="632" spans="1:20" ht="15.75" customHeight="1">
      <c r="A632" s="9" t="s">
        <v>2847</v>
      </c>
      <c r="B632" s="9" t="s">
        <v>7771</v>
      </c>
      <c r="C632" s="9" t="s">
        <v>6236</v>
      </c>
      <c r="D632" s="87" t="s">
        <v>6393</v>
      </c>
      <c r="E632" s="9" t="s">
        <v>431</v>
      </c>
      <c r="F632" s="9" t="s">
        <v>368</v>
      </c>
      <c r="G632" s="9" t="s">
        <v>436</v>
      </c>
      <c r="H632" s="9" t="s">
        <v>434</v>
      </c>
      <c r="I632" s="87" t="s">
        <v>6334</v>
      </c>
      <c r="J632" s="87" t="s">
        <v>6580</v>
      </c>
      <c r="K632" s="87" t="s">
        <v>6239</v>
      </c>
      <c r="L632" s="87" t="s">
        <v>6240</v>
      </c>
      <c r="M632" s="87" t="s">
        <v>6590</v>
      </c>
      <c r="N632" s="9" t="s">
        <v>6928</v>
      </c>
      <c r="O632" s="87" t="s">
        <v>6239</v>
      </c>
      <c r="P632" s="9" t="s">
        <v>6243</v>
      </c>
      <c r="Q632" s="87" t="s">
        <v>3764</v>
      </c>
      <c r="R632" s="87" t="s">
        <v>6580</v>
      </c>
      <c r="S632" s="87" t="s">
        <v>6327</v>
      </c>
      <c r="T632" s="87" t="s">
        <v>6645</v>
      </c>
    </row>
    <row r="633" spans="1:20" ht="15.75" customHeight="1">
      <c r="A633" s="9" t="s">
        <v>2847</v>
      </c>
      <c r="B633" s="9" t="s">
        <v>7771</v>
      </c>
      <c r="C633" s="9" t="s">
        <v>6236</v>
      </c>
      <c r="D633" s="87" t="s">
        <v>6393</v>
      </c>
      <c r="E633" s="9" t="s">
        <v>431</v>
      </c>
      <c r="F633" s="9" t="s">
        <v>368</v>
      </c>
      <c r="G633" s="9" t="s">
        <v>436</v>
      </c>
      <c r="H633" s="9" t="s">
        <v>434</v>
      </c>
      <c r="I633" s="87" t="s">
        <v>6334</v>
      </c>
      <c r="J633" s="87" t="s">
        <v>6580</v>
      </c>
      <c r="K633" s="87" t="s">
        <v>6239</v>
      </c>
      <c r="L633" s="87" t="s">
        <v>6240</v>
      </c>
      <c r="M633" s="87" t="s">
        <v>6591</v>
      </c>
      <c r="N633" s="9" t="s">
        <v>6928</v>
      </c>
      <c r="O633" s="87" t="s">
        <v>6239</v>
      </c>
      <c r="P633" s="9" t="s">
        <v>6243</v>
      </c>
      <c r="Q633" s="87" t="s">
        <v>3764</v>
      </c>
      <c r="R633" s="87" t="s">
        <v>6580</v>
      </c>
      <c r="S633" s="87" t="s">
        <v>6327</v>
      </c>
      <c r="T633" s="87" t="s">
        <v>6645</v>
      </c>
    </row>
    <row r="634" spans="1:20" ht="15.75" customHeight="1">
      <c r="A634" s="9" t="s">
        <v>2847</v>
      </c>
      <c r="B634" s="9" t="s">
        <v>7771</v>
      </c>
      <c r="C634" s="9" t="s">
        <v>6236</v>
      </c>
      <c r="D634" s="87" t="s">
        <v>6393</v>
      </c>
      <c r="E634" s="9" t="s">
        <v>431</v>
      </c>
      <c r="F634" s="9" t="s">
        <v>368</v>
      </c>
      <c r="G634" s="9" t="s">
        <v>436</v>
      </c>
      <c r="H634" s="9" t="s">
        <v>434</v>
      </c>
      <c r="I634" s="87" t="s">
        <v>6334</v>
      </c>
      <c r="J634" s="87" t="s">
        <v>6580</v>
      </c>
      <c r="K634" s="87" t="s">
        <v>6361</v>
      </c>
      <c r="L634" s="87" t="s">
        <v>6240</v>
      </c>
      <c r="M634" s="87" t="s">
        <v>6592</v>
      </c>
      <c r="N634" s="9" t="s">
        <v>7734</v>
      </c>
      <c r="O634" s="87" t="s">
        <v>6361</v>
      </c>
      <c r="P634" s="9" t="s">
        <v>6243</v>
      </c>
      <c r="Q634" s="87" t="s">
        <v>6363</v>
      </c>
      <c r="R634" s="87" t="s">
        <v>6580</v>
      </c>
      <c r="S634" s="87" t="s">
        <v>6250</v>
      </c>
      <c r="T634" s="87" t="s">
        <v>6645</v>
      </c>
    </row>
    <row r="635" spans="1:20" ht="15.75" customHeight="1">
      <c r="A635" s="9" t="s">
        <v>2847</v>
      </c>
      <c r="B635" s="9" t="s">
        <v>7772</v>
      </c>
      <c r="C635" s="9" t="s">
        <v>6671</v>
      </c>
      <c r="D635" s="87" t="s">
        <v>6296</v>
      </c>
      <c r="E635" s="9" t="s">
        <v>6672</v>
      </c>
      <c r="F635" s="9" t="s">
        <v>439</v>
      </c>
      <c r="G635" s="9" t="s">
        <v>436</v>
      </c>
      <c r="H635" s="9" t="s">
        <v>440</v>
      </c>
      <c r="I635" s="87" t="s">
        <v>6405</v>
      </c>
      <c r="J635" s="87" t="s">
        <v>6567</v>
      </c>
      <c r="K635" s="87" t="s">
        <v>6239</v>
      </c>
      <c r="L635" s="87" t="s">
        <v>6240</v>
      </c>
      <c r="M635" s="87" t="s">
        <v>6597</v>
      </c>
      <c r="N635" s="9" t="s">
        <v>6928</v>
      </c>
      <c r="O635" s="87" t="s">
        <v>6239</v>
      </c>
      <c r="P635" s="9" t="s">
        <v>6243</v>
      </c>
      <c r="Q635" s="87" t="s">
        <v>3764</v>
      </c>
      <c r="R635" s="87" t="s">
        <v>6567</v>
      </c>
      <c r="S635" s="87" t="s">
        <v>6327</v>
      </c>
      <c r="T635" s="87" t="s">
        <v>6645</v>
      </c>
    </row>
    <row r="636" spans="1:20" ht="15.75" customHeight="1">
      <c r="A636" s="9" t="s">
        <v>2847</v>
      </c>
      <c r="B636" s="9" t="s">
        <v>7773</v>
      </c>
      <c r="C636" s="9" t="s">
        <v>6923</v>
      </c>
      <c r="D636" s="87" t="s">
        <v>6264</v>
      </c>
      <c r="E636" s="9" t="s">
        <v>6924</v>
      </c>
      <c r="F636" s="9" t="s">
        <v>6925</v>
      </c>
      <c r="G636" s="9" t="s">
        <v>383</v>
      </c>
      <c r="H636" s="9" t="s">
        <v>449</v>
      </c>
      <c r="I636" s="87" t="s">
        <v>6405</v>
      </c>
      <c r="J636" s="87" t="s">
        <v>6264</v>
      </c>
      <c r="K636" s="87" t="s">
        <v>6939</v>
      </c>
      <c r="L636" s="87" t="s">
        <v>4947</v>
      </c>
      <c r="M636" s="87" t="s">
        <v>6601</v>
      </c>
      <c r="N636" s="9" t="s">
        <v>7975</v>
      </c>
      <c r="O636" s="87" t="s">
        <v>6392</v>
      </c>
      <c r="P636" s="9" t="s">
        <v>6243</v>
      </c>
      <c r="Q636" s="87" t="s">
        <v>3236</v>
      </c>
      <c r="R636" s="87" t="s">
        <v>6264</v>
      </c>
      <c r="S636" s="87" t="s">
        <v>6290</v>
      </c>
      <c r="T636" s="87" t="s">
        <v>6440</v>
      </c>
    </row>
    <row r="637" spans="1:20" ht="15.75" customHeight="1">
      <c r="A637" s="9" t="s">
        <v>2847</v>
      </c>
      <c r="B637" s="9" t="s">
        <v>7772</v>
      </c>
      <c r="C637" s="9" t="s">
        <v>6671</v>
      </c>
      <c r="D637" s="87" t="s">
        <v>6296</v>
      </c>
      <c r="E637" s="9" t="s">
        <v>6672</v>
      </c>
      <c r="F637" s="9" t="s">
        <v>439</v>
      </c>
      <c r="G637" s="9" t="s">
        <v>436</v>
      </c>
      <c r="H637" s="9" t="s">
        <v>440</v>
      </c>
      <c r="I637" s="87" t="s">
        <v>6405</v>
      </c>
      <c r="J637" s="87" t="s">
        <v>6567</v>
      </c>
      <c r="K637" s="87" t="s">
        <v>6346</v>
      </c>
      <c r="L637" s="87" t="s">
        <v>6240</v>
      </c>
      <c r="M637" s="87" t="s">
        <v>6601</v>
      </c>
      <c r="N637" s="9" t="s">
        <v>6972</v>
      </c>
      <c r="O637" s="87" t="s">
        <v>6346</v>
      </c>
      <c r="P637" s="9" t="s">
        <v>6243</v>
      </c>
      <c r="Q637" s="87" t="s">
        <v>6366</v>
      </c>
      <c r="R637" s="87" t="s">
        <v>6567</v>
      </c>
      <c r="S637" s="87" t="s">
        <v>5381</v>
      </c>
      <c r="T637" s="87" t="s">
        <v>6645</v>
      </c>
    </row>
    <row r="638" spans="1:20" ht="15.75" customHeight="1">
      <c r="A638" s="9" t="s">
        <v>2847</v>
      </c>
      <c r="B638" s="9" t="s">
        <v>7773</v>
      </c>
      <c r="C638" s="9" t="s">
        <v>7228</v>
      </c>
      <c r="D638" s="87" t="s">
        <v>6405</v>
      </c>
      <c r="E638" s="9" t="s">
        <v>6924</v>
      </c>
      <c r="F638" s="9" t="s">
        <v>11</v>
      </c>
      <c r="G638" s="9" t="s">
        <v>383</v>
      </c>
      <c r="H638" s="9" t="s">
        <v>426</v>
      </c>
      <c r="I638" s="87" t="s">
        <v>6405</v>
      </c>
      <c r="J638" s="87" t="s">
        <v>6334</v>
      </c>
      <c r="K638" s="87" t="s">
        <v>6334</v>
      </c>
      <c r="L638" s="87" t="s">
        <v>6397</v>
      </c>
      <c r="M638" s="87" t="s">
        <v>6613</v>
      </c>
      <c r="N638" s="9" t="s">
        <v>7268</v>
      </c>
      <c r="O638" s="87" t="s">
        <v>6290</v>
      </c>
      <c r="P638" s="9" t="s">
        <v>6243</v>
      </c>
      <c r="Q638" s="87" t="s">
        <v>6293</v>
      </c>
      <c r="R638" s="87" t="s">
        <v>6334</v>
      </c>
      <c r="S638" s="87" t="s">
        <v>6479</v>
      </c>
      <c r="T638" s="87" t="s">
        <v>6341</v>
      </c>
    </row>
    <row r="639" spans="1:20" ht="15.75" customHeight="1">
      <c r="A639" s="9" t="s">
        <v>2847</v>
      </c>
      <c r="B639" s="9" t="s">
        <v>7976</v>
      </c>
      <c r="C639" s="9" t="s">
        <v>6923</v>
      </c>
      <c r="D639" s="87" t="s">
        <v>6264</v>
      </c>
      <c r="E639" s="9" t="s">
        <v>6924</v>
      </c>
      <c r="F639" s="9" t="s">
        <v>6925</v>
      </c>
      <c r="G639" s="9" t="s">
        <v>383</v>
      </c>
      <c r="H639" s="9" t="s">
        <v>449</v>
      </c>
      <c r="I639" s="87" t="s">
        <v>6405</v>
      </c>
      <c r="J639" s="87" t="s">
        <v>6264</v>
      </c>
      <c r="K639" s="87" t="s">
        <v>6926</v>
      </c>
      <c r="L639" s="87" t="s">
        <v>4947</v>
      </c>
      <c r="M639" s="87" t="s">
        <v>6613</v>
      </c>
      <c r="N639" s="9" t="s">
        <v>7180</v>
      </c>
      <c r="O639" s="87" t="s">
        <v>6255</v>
      </c>
      <c r="P639" s="9" t="s">
        <v>6243</v>
      </c>
      <c r="Q639" s="87" t="s">
        <v>4947</v>
      </c>
      <c r="R639" s="87" t="s">
        <v>6264</v>
      </c>
      <c r="S639" s="87" t="s">
        <v>6360</v>
      </c>
      <c r="T639" s="87" t="s">
        <v>6341</v>
      </c>
    </row>
    <row r="640" spans="1:20" ht="15.75" customHeight="1">
      <c r="A640" s="9" t="s">
        <v>2847</v>
      </c>
      <c r="B640" s="9" t="s">
        <v>7976</v>
      </c>
      <c r="C640" s="9" t="s">
        <v>7228</v>
      </c>
      <c r="D640" s="87" t="s">
        <v>6405</v>
      </c>
      <c r="E640" s="9" t="s">
        <v>6924</v>
      </c>
      <c r="F640" s="9" t="s">
        <v>11</v>
      </c>
      <c r="G640" s="9" t="s">
        <v>383</v>
      </c>
      <c r="H640" s="9" t="s">
        <v>426</v>
      </c>
      <c r="I640" s="87" t="s">
        <v>6405</v>
      </c>
      <c r="J640" s="87" t="s">
        <v>6405</v>
      </c>
      <c r="K640" s="87" t="s">
        <v>6405</v>
      </c>
      <c r="L640" s="87" t="s">
        <v>6397</v>
      </c>
      <c r="M640" s="87" t="s">
        <v>6616</v>
      </c>
      <c r="N640" s="9" t="s">
        <v>7289</v>
      </c>
      <c r="O640" s="87" t="s">
        <v>6240</v>
      </c>
      <c r="P640" s="9" t="s">
        <v>6243</v>
      </c>
      <c r="Q640" s="87" t="s">
        <v>6397</v>
      </c>
      <c r="R640" s="87" t="s">
        <v>6405</v>
      </c>
      <c r="S640" s="87" t="s">
        <v>6284</v>
      </c>
      <c r="T640" s="87" t="s">
        <v>6341</v>
      </c>
    </row>
    <row r="641" spans="1:20" ht="15.75" customHeight="1">
      <c r="A641" s="9" t="s">
        <v>2922</v>
      </c>
      <c r="B641" s="9" t="s">
        <v>7774</v>
      </c>
      <c r="C641" s="9" t="s">
        <v>6236</v>
      </c>
      <c r="D641" s="87" t="s">
        <v>6393</v>
      </c>
      <c r="E641" s="9" t="s">
        <v>431</v>
      </c>
      <c r="F641" s="9" t="s">
        <v>368</v>
      </c>
      <c r="G641" s="9" t="s">
        <v>436</v>
      </c>
      <c r="H641" s="9" t="s">
        <v>434</v>
      </c>
      <c r="I641" s="87" t="s">
        <v>6237</v>
      </c>
      <c r="J641" s="87" t="s">
        <v>6323</v>
      </c>
      <c r="K641" s="87" t="s">
        <v>6323</v>
      </c>
      <c r="L641" s="87" t="s">
        <v>6240</v>
      </c>
      <c r="M641" s="87" t="s">
        <v>6763</v>
      </c>
      <c r="N641" s="9" t="s">
        <v>7775</v>
      </c>
      <c r="O641" s="87" t="s">
        <v>6323</v>
      </c>
      <c r="P641" s="9" t="s">
        <v>6243</v>
      </c>
      <c r="Q641" s="87" t="s">
        <v>5374</v>
      </c>
      <c r="R641" s="87" t="s">
        <v>6323</v>
      </c>
      <c r="S641" s="87" t="s">
        <v>6413</v>
      </c>
      <c r="T641" s="87" t="s">
        <v>6314</v>
      </c>
    </row>
    <row r="642" spans="1:20" ht="15.75" customHeight="1">
      <c r="A642" s="9" t="s">
        <v>2922</v>
      </c>
      <c r="B642" s="9" t="s">
        <v>7777</v>
      </c>
      <c r="C642" s="9" t="s">
        <v>6923</v>
      </c>
      <c r="D642" s="87" t="s">
        <v>6264</v>
      </c>
      <c r="E642" s="9" t="s">
        <v>6924</v>
      </c>
      <c r="F642" s="9" t="s">
        <v>6925</v>
      </c>
      <c r="G642" s="9" t="s">
        <v>383</v>
      </c>
      <c r="H642" s="9" t="s">
        <v>449</v>
      </c>
      <c r="I642" s="87" t="s">
        <v>6405</v>
      </c>
      <c r="J642" s="87" t="s">
        <v>6405</v>
      </c>
      <c r="K642" s="87" t="s">
        <v>6926</v>
      </c>
      <c r="L642" s="87" t="s">
        <v>6238</v>
      </c>
      <c r="M642" s="87" t="s">
        <v>6648</v>
      </c>
      <c r="N642" s="9" t="s">
        <v>7880</v>
      </c>
      <c r="O642" s="87" t="s">
        <v>6245</v>
      </c>
      <c r="P642" s="9" t="s">
        <v>6547</v>
      </c>
      <c r="Q642" s="87" t="s">
        <v>6238</v>
      </c>
      <c r="R642" s="87" t="s">
        <v>6405</v>
      </c>
      <c r="S642" s="87" t="s">
        <v>6392</v>
      </c>
      <c r="T642" s="87" t="s">
        <v>6497</v>
      </c>
    </row>
    <row r="643" spans="1:20" ht="15.75" customHeight="1">
      <c r="A643" s="9" t="s">
        <v>2922</v>
      </c>
      <c r="B643" s="9" t="s">
        <v>7776</v>
      </c>
      <c r="C643" s="9" t="s">
        <v>6671</v>
      </c>
      <c r="D643" s="87" t="s">
        <v>6296</v>
      </c>
      <c r="E643" s="9" t="s">
        <v>6672</v>
      </c>
      <c r="F643" s="9" t="s">
        <v>439</v>
      </c>
      <c r="G643" s="9" t="s">
        <v>436</v>
      </c>
      <c r="H643" s="9" t="s">
        <v>440</v>
      </c>
      <c r="I643" s="87" t="s">
        <v>6405</v>
      </c>
      <c r="J643" s="87" t="s">
        <v>6245</v>
      </c>
      <c r="K643" s="87" t="s">
        <v>6245</v>
      </c>
      <c r="L643" s="87" t="s">
        <v>6240</v>
      </c>
      <c r="M643" s="87" t="s">
        <v>6648</v>
      </c>
      <c r="N643" s="9" t="s">
        <v>7000</v>
      </c>
      <c r="O643" s="87" t="s">
        <v>6245</v>
      </c>
      <c r="P643" s="9" t="s">
        <v>6547</v>
      </c>
      <c r="Q643" s="87" t="s">
        <v>6238</v>
      </c>
      <c r="R643" s="87" t="s">
        <v>6245</v>
      </c>
      <c r="S643" s="87" t="s">
        <v>6500</v>
      </c>
      <c r="T643" s="87" t="s">
        <v>6645</v>
      </c>
    </row>
    <row r="644" spans="1:20" ht="15.75" customHeight="1">
      <c r="A644" s="9" t="s">
        <v>2922</v>
      </c>
      <c r="B644" s="9" t="s">
        <v>7777</v>
      </c>
      <c r="C644" s="9" t="s">
        <v>7228</v>
      </c>
      <c r="D644" s="87" t="s">
        <v>6405</v>
      </c>
      <c r="E644" s="9" t="s">
        <v>6924</v>
      </c>
      <c r="F644" s="9" t="s">
        <v>11</v>
      </c>
      <c r="G644" s="9" t="s">
        <v>383</v>
      </c>
      <c r="H644" s="9" t="s">
        <v>426</v>
      </c>
      <c r="I644" s="87" t="s">
        <v>6405</v>
      </c>
      <c r="J644" s="87" t="s">
        <v>6405</v>
      </c>
      <c r="K644" s="87" t="s">
        <v>6405</v>
      </c>
      <c r="L644" s="87" t="s">
        <v>6293</v>
      </c>
      <c r="M644" s="87" t="s">
        <v>6649</v>
      </c>
      <c r="N644" s="9" t="s">
        <v>7268</v>
      </c>
      <c r="O644" s="87" t="s">
        <v>6290</v>
      </c>
      <c r="P644" s="9" t="s">
        <v>6547</v>
      </c>
      <c r="Q644" s="87" t="s">
        <v>6293</v>
      </c>
      <c r="R644" s="87" t="s">
        <v>6405</v>
      </c>
      <c r="S644" s="87" t="s">
        <v>6479</v>
      </c>
      <c r="T644" s="87" t="s">
        <v>6341</v>
      </c>
    </row>
    <row r="645" spans="1:20" ht="15.75" customHeight="1">
      <c r="A645" s="9" t="s">
        <v>2840</v>
      </c>
      <c r="B645" s="9" t="s">
        <v>7778</v>
      </c>
      <c r="C645" s="9" t="s">
        <v>6236</v>
      </c>
      <c r="D645" s="87" t="s">
        <v>6393</v>
      </c>
      <c r="E645" s="9" t="s">
        <v>431</v>
      </c>
      <c r="F645" s="9" t="s">
        <v>368</v>
      </c>
      <c r="G645" s="9" t="s">
        <v>436</v>
      </c>
      <c r="H645" s="9" t="s">
        <v>434</v>
      </c>
      <c r="I645" s="87" t="s">
        <v>6264</v>
      </c>
      <c r="J645" s="87" t="s">
        <v>6392</v>
      </c>
      <c r="K645" s="87" t="s">
        <v>6370</v>
      </c>
      <c r="L645" s="87" t="s">
        <v>6240</v>
      </c>
      <c r="M645" s="87" t="s">
        <v>6628</v>
      </c>
      <c r="N645" s="9" t="s">
        <v>6968</v>
      </c>
      <c r="O645" s="87" t="s">
        <v>6370</v>
      </c>
      <c r="P645" s="9" t="s">
        <v>6243</v>
      </c>
      <c r="Q645" s="87" t="s">
        <v>6381</v>
      </c>
      <c r="R645" s="87" t="s">
        <v>6392</v>
      </c>
      <c r="S645" s="87" t="s">
        <v>6327</v>
      </c>
      <c r="T645" s="87" t="s">
        <v>6392</v>
      </c>
    </row>
    <row r="646" spans="1:20" ht="15.75" customHeight="1">
      <c r="A646" s="9" t="s">
        <v>2840</v>
      </c>
      <c r="B646" s="9" t="s">
        <v>7779</v>
      </c>
      <c r="C646" s="9" t="s">
        <v>6923</v>
      </c>
      <c r="D646" s="87" t="s">
        <v>6264</v>
      </c>
      <c r="E646" s="9" t="s">
        <v>6924</v>
      </c>
      <c r="F646" s="9" t="s">
        <v>6925</v>
      </c>
      <c r="G646" s="9" t="s">
        <v>383</v>
      </c>
      <c r="H646" s="9" t="s">
        <v>449</v>
      </c>
      <c r="I646" s="87" t="s">
        <v>6405</v>
      </c>
      <c r="J646" s="87" t="s">
        <v>6405</v>
      </c>
      <c r="K646" s="87" t="s">
        <v>6926</v>
      </c>
      <c r="L646" s="87" t="s">
        <v>4947</v>
      </c>
      <c r="M646" s="87" t="s">
        <v>6633</v>
      </c>
      <c r="N646" s="9" t="s">
        <v>7451</v>
      </c>
      <c r="O646" s="87" t="s">
        <v>6255</v>
      </c>
      <c r="P646" s="9" t="s">
        <v>6243</v>
      </c>
      <c r="Q646" s="87" t="s">
        <v>4947</v>
      </c>
      <c r="R646" s="87" t="s">
        <v>6405</v>
      </c>
      <c r="S646" s="87" t="s">
        <v>6400</v>
      </c>
      <c r="T646" s="87" t="s">
        <v>6416</v>
      </c>
    </row>
    <row r="647" spans="1:20" ht="15.75" customHeight="1">
      <c r="A647" s="9" t="s">
        <v>2840</v>
      </c>
      <c r="B647" s="9" t="s">
        <v>7778</v>
      </c>
      <c r="C647" s="9" t="s">
        <v>6236</v>
      </c>
      <c r="D647" s="87" t="s">
        <v>6393</v>
      </c>
      <c r="E647" s="9" t="s">
        <v>431</v>
      </c>
      <c r="F647" s="9" t="s">
        <v>368</v>
      </c>
      <c r="G647" s="9" t="s">
        <v>436</v>
      </c>
      <c r="H647" s="9" t="s">
        <v>434</v>
      </c>
      <c r="I647" s="87" t="s">
        <v>6264</v>
      </c>
      <c r="J647" s="87" t="s">
        <v>6392</v>
      </c>
      <c r="K647" s="87" t="s">
        <v>6435</v>
      </c>
      <c r="L647" s="87" t="s">
        <v>6240</v>
      </c>
      <c r="M647" s="87" t="s">
        <v>6633</v>
      </c>
      <c r="N647" s="9" t="s">
        <v>7007</v>
      </c>
      <c r="O647" s="87" t="s">
        <v>6435</v>
      </c>
      <c r="P647" s="9" t="s">
        <v>6243</v>
      </c>
      <c r="Q647" s="87" t="s">
        <v>6250</v>
      </c>
      <c r="R647" s="87" t="s">
        <v>6392</v>
      </c>
      <c r="S647" s="87" t="s">
        <v>6733</v>
      </c>
      <c r="T647" s="87" t="s">
        <v>6645</v>
      </c>
    </row>
    <row r="648" spans="1:20" ht="15.75" customHeight="1">
      <c r="A648" s="9" t="s">
        <v>2840</v>
      </c>
      <c r="B648" s="9" t="s">
        <v>7779</v>
      </c>
      <c r="C648" s="9" t="s">
        <v>7228</v>
      </c>
      <c r="D648" s="87" t="s">
        <v>6405</v>
      </c>
      <c r="E648" s="9" t="s">
        <v>6924</v>
      </c>
      <c r="F648" s="9" t="s">
        <v>11</v>
      </c>
      <c r="G648" s="9" t="s">
        <v>383</v>
      </c>
      <c r="H648" s="9" t="s">
        <v>426</v>
      </c>
      <c r="I648" s="87" t="s">
        <v>6405</v>
      </c>
      <c r="J648" s="87" t="s">
        <v>6405</v>
      </c>
      <c r="K648" s="87" t="s">
        <v>6405</v>
      </c>
      <c r="L648" s="87" t="s">
        <v>6397</v>
      </c>
      <c r="M648" s="87" t="s">
        <v>6737</v>
      </c>
      <c r="N648" s="9" t="s">
        <v>7977</v>
      </c>
      <c r="O648" s="87" t="s">
        <v>6240</v>
      </c>
      <c r="P648" s="9" t="s">
        <v>6243</v>
      </c>
      <c r="Q648" s="87" t="s">
        <v>6397</v>
      </c>
      <c r="R648" s="87" t="s">
        <v>6405</v>
      </c>
      <c r="S648" s="87" t="s">
        <v>6245</v>
      </c>
      <c r="T648" s="87" t="s">
        <v>6570</v>
      </c>
    </row>
    <row r="649" spans="1:20" ht="15.75" customHeight="1">
      <c r="A649" s="9" t="s">
        <v>2876</v>
      </c>
      <c r="B649" s="9" t="s">
        <v>7781</v>
      </c>
      <c r="C649" s="9" t="s">
        <v>6236</v>
      </c>
      <c r="D649" s="87" t="s">
        <v>6393</v>
      </c>
      <c r="E649" s="9" t="s">
        <v>431</v>
      </c>
      <c r="F649" s="9" t="s">
        <v>368</v>
      </c>
      <c r="G649" s="9" t="s">
        <v>436</v>
      </c>
      <c r="H649" s="9" t="s">
        <v>434</v>
      </c>
      <c r="I649" s="87" t="s">
        <v>6237</v>
      </c>
      <c r="J649" s="87" t="s">
        <v>6316</v>
      </c>
      <c r="K649" s="87" t="s">
        <v>6543</v>
      </c>
      <c r="L649" s="87" t="s">
        <v>6240</v>
      </c>
      <c r="M649" s="87" t="s">
        <v>6730</v>
      </c>
      <c r="N649" s="9" t="s">
        <v>7457</v>
      </c>
      <c r="O649" s="87" t="s">
        <v>6543</v>
      </c>
      <c r="P649" s="9" t="s">
        <v>6243</v>
      </c>
      <c r="Q649" s="87" t="s">
        <v>7458</v>
      </c>
      <c r="R649" s="87" t="s">
        <v>6316</v>
      </c>
      <c r="S649" s="87" t="s">
        <v>6327</v>
      </c>
      <c r="T649" s="87" t="s">
        <v>6367</v>
      </c>
    </row>
    <row r="650" spans="1:20" ht="15.75" customHeight="1">
      <c r="A650" s="9" t="s">
        <v>2876</v>
      </c>
      <c r="B650" s="9" t="s">
        <v>7781</v>
      </c>
      <c r="C650" s="9" t="s">
        <v>6236</v>
      </c>
      <c r="D650" s="87" t="s">
        <v>6393</v>
      </c>
      <c r="E650" s="9" t="s">
        <v>431</v>
      </c>
      <c r="F650" s="9" t="s">
        <v>368</v>
      </c>
      <c r="G650" s="9" t="s">
        <v>436</v>
      </c>
      <c r="H650" s="9" t="s">
        <v>434</v>
      </c>
      <c r="I650" s="87" t="s">
        <v>6237</v>
      </c>
      <c r="J650" s="87" t="s">
        <v>6316</v>
      </c>
      <c r="K650" s="87" t="s">
        <v>6237</v>
      </c>
      <c r="L650" s="87" t="s">
        <v>6240</v>
      </c>
      <c r="M650" s="87" t="s">
        <v>6634</v>
      </c>
      <c r="N650" s="9" t="s">
        <v>6967</v>
      </c>
      <c r="O650" s="87" t="s">
        <v>6237</v>
      </c>
      <c r="P650" s="9" t="s">
        <v>6243</v>
      </c>
      <c r="Q650" s="87" t="s">
        <v>4953</v>
      </c>
      <c r="R650" s="87" t="s">
        <v>6316</v>
      </c>
      <c r="S650" s="87" t="s">
        <v>6424</v>
      </c>
      <c r="T650" s="87" t="s">
        <v>6645</v>
      </c>
    </row>
    <row r="651" spans="1:20" ht="15.75" customHeight="1">
      <c r="A651" s="9" t="s">
        <v>2876</v>
      </c>
      <c r="B651" s="9" t="s">
        <v>7783</v>
      </c>
      <c r="C651" s="9" t="s">
        <v>6923</v>
      </c>
      <c r="D651" s="87" t="s">
        <v>6327</v>
      </c>
      <c r="E651" s="9" t="s">
        <v>6924</v>
      </c>
      <c r="F651" s="9" t="s">
        <v>6925</v>
      </c>
      <c r="G651" s="9" t="s">
        <v>383</v>
      </c>
      <c r="H651" s="9" t="s">
        <v>444</v>
      </c>
      <c r="I651" s="87" t="s">
        <v>6405</v>
      </c>
      <c r="J651" s="87" t="s">
        <v>6405</v>
      </c>
      <c r="K651" s="87" t="s">
        <v>6926</v>
      </c>
      <c r="L651" s="87" t="s">
        <v>6474</v>
      </c>
      <c r="M651" s="87" t="s">
        <v>6721</v>
      </c>
      <c r="N651" s="9" t="s">
        <v>7978</v>
      </c>
      <c r="O651" s="87" t="s">
        <v>6528</v>
      </c>
      <c r="P651" s="9" t="s">
        <v>6243</v>
      </c>
      <c r="Q651" s="87" t="s">
        <v>6474</v>
      </c>
      <c r="R651" s="87" t="s">
        <v>6405</v>
      </c>
      <c r="S651" s="87" t="s">
        <v>6405</v>
      </c>
      <c r="T651" s="87" t="s">
        <v>6528</v>
      </c>
    </row>
    <row r="652" spans="1:20" ht="15.75" customHeight="1">
      <c r="A652" s="9" t="s">
        <v>2876</v>
      </c>
      <c r="B652" s="9" t="s">
        <v>7782</v>
      </c>
      <c r="C652" s="9" t="s">
        <v>6671</v>
      </c>
      <c r="D652" s="87" t="s">
        <v>6296</v>
      </c>
      <c r="E652" s="9" t="s">
        <v>6672</v>
      </c>
      <c r="F652" s="9" t="s">
        <v>439</v>
      </c>
      <c r="G652" s="9" t="s">
        <v>436</v>
      </c>
      <c r="H652" s="9" t="s">
        <v>440</v>
      </c>
      <c r="I652" s="87" t="s">
        <v>6405</v>
      </c>
      <c r="J652" s="87" t="s">
        <v>6479</v>
      </c>
      <c r="K652" s="87" t="s">
        <v>6479</v>
      </c>
      <c r="L652" s="87" t="s">
        <v>6240</v>
      </c>
      <c r="M652" s="87" t="s">
        <v>6721</v>
      </c>
      <c r="N652" s="9" t="s">
        <v>7134</v>
      </c>
      <c r="O652" s="87" t="s">
        <v>6479</v>
      </c>
      <c r="P652" s="9" t="s">
        <v>6243</v>
      </c>
      <c r="Q652" s="87" t="s">
        <v>5417</v>
      </c>
      <c r="R652" s="87" t="s">
        <v>6479</v>
      </c>
      <c r="S652" s="87" t="s">
        <v>6433</v>
      </c>
      <c r="T652" s="87" t="s">
        <v>6645</v>
      </c>
    </row>
    <row r="653" spans="1:20" ht="15.75" customHeight="1">
      <c r="A653" s="9" t="s">
        <v>2876</v>
      </c>
      <c r="B653" s="9" t="s">
        <v>7783</v>
      </c>
      <c r="C653" s="9" t="s">
        <v>7228</v>
      </c>
      <c r="D653" s="87" t="s">
        <v>6290</v>
      </c>
      <c r="E653" s="9" t="s">
        <v>6924</v>
      </c>
      <c r="F653" s="9" t="s">
        <v>11</v>
      </c>
      <c r="G653" s="9" t="s">
        <v>383</v>
      </c>
      <c r="H653" s="9" t="s">
        <v>426</v>
      </c>
      <c r="I653" s="87" t="s">
        <v>6405</v>
      </c>
      <c r="J653" s="87" t="s">
        <v>6405</v>
      </c>
      <c r="K653" s="87" t="s">
        <v>6405</v>
      </c>
      <c r="L653" s="87" t="s">
        <v>4953</v>
      </c>
      <c r="M653" s="87" t="s">
        <v>6718</v>
      </c>
      <c r="N653" s="9" t="s">
        <v>7785</v>
      </c>
      <c r="O653" s="87" t="s">
        <v>6237</v>
      </c>
      <c r="P653" s="9" t="s">
        <v>6243</v>
      </c>
      <c r="Q653" s="87" t="s">
        <v>4953</v>
      </c>
      <c r="R653" s="87" t="s">
        <v>6405</v>
      </c>
      <c r="S653" s="87" t="s">
        <v>6277</v>
      </c>
      <c r="T653" s="87" t="s">
        <v>6316</v>
      </c>
    </row>
    <row r="654" spans="1:20" ht="15.75" customHeight="1">
      <c r="A654" s="9" t="s">
        <v>2912</v>
      </c>
      <c r="B654" s="9" t="s">
        <v>7788</v>
      </c>
      <c r="C654" s="9" t="s">
        <v>6923</v>
      </c>
      <c r="D654" s="87" t="s">
        <v>6327</v>
      </c>
      <c r="E654" s="9" t="s">
        <v>6924</v>
      </c>
      <c r="F654" s="9" t="s">
        <v>6925</v>
      </c>
      <c r="G654" s="9" t="s">
        <v>383</v>
      </c>
      <c r="H654" s="9" t="s">
        <v>444</v>
      </c>
      <c r="I654" s="87" t="s">
        <v>6405</v>
      </c>
      <c r="J654" s="87" t="s">
        <v>6405</v>
      </c>
      <c r="K654" s="87" t="s">
        <v>6926</v>
      </c>
      <c r="L654" s="87" t="s">
        <v>6474</v>
      </c>
      <c r="M654" s="87" t="s">
        <v>6737</v>
      </c>
      <c r="N654" s="9" t="s">
        <v>7949</v>
      </c>
      <c r="O654" s="87" t="s">
        <v>6528</v>
      </c>
      <c r="P654" s="9" t="s">
        <v>6243</v>
      </c>
      <c r="Q654" s="87" t="s">
        <v>6474</v>
      </c>
      <c r="R654" s="87" t="s">
        <v>6405</v>
      </c>
      <c r="S654" s="87" t="s">
        <v>6264</v>
      </c>
      <c r="T654" s="87" t="s">
        <v>6411</v>
      </c>
    </row>
    <row r="655" spans="1:20" ht="15.75" customHeight="1">
      <c r="A655" s="9" t="s">
        <v>2912</v>
      </c>
      <c r="B655" s="9" t="s">
        <v>7786</v>
      </c>
      <c r="C655" s="9" t="s">
        <v>6236</v>
      </c>
      <c r="D655" s="87" t="s">
        <v>6393</v>
      </c>
      <c r="E655" s="9" t="s">
        <v>431</v>
      </c>
      <c r="F655" s="9" t="s">
        <v>368</v>
      </c>
      <c r="G655" s="9" t="s">
        <v>436</v>
      </c>
      <c r="H655" s="9" t="s">
        <v>434</v>
      </c>
      <c r="I655" s="87" t="s">
        <v>6237</v>
      </c>
      <c r="J655" s="87" t="s">
        <v>6346</v>
      </c>
      <c r="K655" s="87" t="s">
        <v>6346</v>
      </c>
      <c r="L655" s="87" t="s">
        <v>6240</v>
      </c>
      <c r="M655" s="87" t="s">
        <v>6737</v>
      </c>
      <c r="N655" s="9" t="s">
        <v>7787</v>
      </c>
      <c r="O655" s="87" t="s">
        <v>6346</v>
      </c>
      <c r="P655" s="9" t="s">
        <v>6243</v>
      </c>
      <c r="Q655" s="87" t="s">
        <v>6366</v>
      </c>
      <c r="R655" s="87" t="s">
        <v>6346</v>
      </c>
      <c r="S655" s="87" t="s">
        <v>6254</v>
      </c>
      <c r="T655" s="87" t="s">
        <v>6263</v>
      </c>
    </row>
    <row r="656" spans="1:20" ht="15.75" customHeight="1">
      <c r="A656" s="9" t="s">
        <v>2989</v>
      </c>
      <c r="B656" s="9" t="s">
        <v>7790</v>
      </c>
      <c r="C656" s="9" t="s">
        <v>6236</v>
      </c>
      <c r="D656" s="87" t="s">
        <v>6393</v>
      </c>
      <c r="E656" s="9" t="s">
        <v>431</v>
      </c>
      <c r="F656" s="9" t="s">
        <v>368</v>
      </c>
      <c r="G656" s="9" t="s">
        <v>436</v>
      </c>
      <c r="H656" s="9" t="s">
        <v>434</v>
      </c>
      <c r="I656" s="87" t="s">
        <v>6264</v>
      </c>
      <c r="J656" s="87" t="s">
        <v>6437</v>
      </c>
      <c r="K656" s="87" t="s">
        <v>6256</v>
      </c>
      <c r="L656" s="87" t="s">
        <v>6240</v>
      </c>
      <c r="M656" s="87" t="s">
        <v>6649</v>
      </c>
      <c r="N656" s="9" t="s">
        <v>7791</v>
      </c>
      <c r="O656" s="87" t="s">
        <v>6256</v>
      </c>
      <c r="P656" s="9" t="s">
        <v>6243</v>
      </c>
      <c r="Q656" s="87" t="s">
        <v>6258</v>
      </c>
      <c r="R656" s="87" t="s">
        <v>6437</v>
      </c>
      <c r="S656" s="87" t="s">
        <v>6327</v>
      </c>
      <c r="T656" s="87" t="s">
        <v>6306</v>
      </c>
    </row>
    <row r="657" spans="1:20" ht="15.75" customHeight="1">
      <c r="A657" s="9" t="s">
        <v>2989</v>
      </c>
      <c r="B657" s="9" t="s">
        <v>7790</v>
      </c>
      <c r="C657" s="9" t="s">
        <v>6236</v>
      </c>
      <c r="D657" s="87" t="s">
        <v>6393</v>
      </c>
      <c r="E657" s="9" t="s">
        <v>431</v>
      </c>
      <c r="F657" s="9" t="s">
        <v>368</v>
      </c>
      <c r="G657" s="9" t="s">
        <v>436</v>
      </c>
      <c r="H657" s="9" t="s">
        <v>434</v>
      </c>
      <c r="I657" s="87" t="s">
        <v>6264</v>
      </c>
      <c r="J657" s="87" t="s">
        <v>6437</v>
      </c>
      <c r="K657" s="87" t="s">
        <v>4953</v>
      </c>
      <c r="L657" s="87" t="s">
        <v>6240</v>
      </c>
      <c r="M657" s="87" t="s">
        <v>6650</v>
      </c>
      <c r="N657" s="9" t="s">
        <v>7080</v>
      </c>
      <c r="O657" s="87" t="s">
        <v>4953</v>
      </c>
      <c r="P657" s="9" t="s">
        <v>6243</v>
      </c>
      <c r="Q657" s="87" t="s">
        <v>6306</v>
      </c>
      <c r="R657" s="87" t="s">
        <v>6437</v>
      </c>
      <c r="S657" s="87" t="s">
        <v>6373</v>
      </c>
      <c r="T657" s="87" t="s">
        <v>6645</v>
      </c>
    </row>
    <row r="658" spans="1:20" ht="15.75" customHeight="1">
      <c r="A658" s="9" t="s">
        <v>2989</v>
      </c>
      <c r="B658" s="9" t="s">
        <v>7792</v>
      </c>
      <c r="C658" s="9" t="s">
        <v>6923</v>
      </c>
      <c r="D658" s="87" t="s">
        <v>6461</v>
      </c>
      <c r="E658" s="9" t="s">
        <v>6924</v>
      </c>
      <c r="F658" s="9" t="s">
        <v>6925</v>
      </c>
      <c r="G658" s="9" t="s">
        <v>383</v>
      </c>
      <c r="H658" s="9" t="s">
        <v>427</v>
      </c>
      <c r="I658" s="87" t="s">
        <v>6405</v>
      </c>
      <c r="J658" s="87" t="s">
        <v>6237</v>
      </c>
      <c r="K658" s="87" t="s">
        <v>6926</v>
      </c>
      <c r="L658" s="87" t="s">
        <v>3231</v>
      </c>
      <c r="M658" s="87" t="s">
        <v>6694</v>
      </c>
      <c r="N658" s="9" t="s">
        <v>7979</v>
      </c>
      <c r="O658" s="87" t="s">
        <v>6299</v>
      </c>
      <c r="P658" s="9" t="s">
        <v>6243</v>
      </c>
      <c r="Q658" s="87" t="s">
        <v>3231</v>
      </c>
      <c r="R658" s="87" t="s">
        <v>6237</v>
      </c>
      <c r="S658" s="87" t="s">
        <v>6411</v>
      </c>
      <c r="T658" s="87" t="s">
        <v>6428</v>
      </c>
    </row>
    <row r="659" spans="1:20" ht="15.75" customHeight="1">
      <c r="A659" s="9" t="s">
        <v>2989</v>
      </c>
      <c r="B659" s="9" t="s">
        <v>7792</v>
      </c>
      <c r="C659" s="9" t="s">
        <v>7228</v>
      </c>
      <c r="D659" s="87" t="s">
        <v>6237</v>
      </c>
      <c r="E659" s="9" t="s">
        <v>6924</v>
      </c>
      <c r="F659" s="9" t="s">
        <v>11</v>
      </c>
      <c r="G659" s="9" t="s">
        <v>383</v>
      </c>
      <c r="H659" s="9" t="s">
        <v>426</v>
      </c>
      <c r="I659" s="87" t="s">
        <v>6405</v>
      </c>
      <c r="J659" s="87" t="s">
        <v>6405</v>
      </c>
      <c r="K659" s="87" t="s">
        <v>6405</v>
      </c>
      <c r="L659" s="87" t="s">
        <v>6299</v>
      </c>
      <c r="M659" s="87" t="s">
        <v>7063</v>
      </c>
      <c r="N659" s="9" t="s">
        <v>7980</v>
      </c>
      <c r="O659" s="87" t="s">
        <v>6297</v>
      </c>
      <c r="P659" s="9" t="s">
        <v>6243</v>
      </c>
      <c r="Q659" s="87" t="s">
        <v>6299</v>
      </c>
      <c r="R659" s="87" t="s">
        <v>6405</v>
      </c>
      <c r="S659" s="87" t="s">
        <v>6333</v>
      </c>
      <c r="T659" s="87" t="s">
        <v>6357</v>
      </c>
    </row>
    <row r="660" spans="1:20" ht="15.75" customHeight="1">
      <c r="A660" s="9" t="s">
        <v>2989</v>
      </c>
      <c r="B660" s="9" t="s">
        <v>7793</v>
      </c>
      <c r="C660" s="9" t="s">
        <v>6923</v>
      </c>
      <c r="D660" s="87" t="s">
        <v>6461</v>
      </c>
      <c r="E660" s="9" t="s">
        <v>6924</v>
      </c>
      <c r="F660" s="9" t="s">
        <v>6925</v>
      </c>
      <c r="G660" s="9" t="s">
        <v>383</v>
      </c>
      <c r="H660" s="9" t="s">
        <v>427</v>
      </c>
      <c r="I660" s="87" t="s">
        <v>6405</v>
      </c>
      <c r="J660" s="87" t="s">
        <v>6237</v>
      </c>
      <c r="K660" s="87" t="s">
        <v>6939</v>
      </c>
      <c r="L660" s="87" t="s">
        <v>3231</v>
      </c>
      <c r="M660" s="87" t="s">
        <v>7063</v>
      </c>
      <c r="N660" s="9" t="s">
        <v>7198</v>
      </c>
      <c r="O660" s="87" t="s">
        <v>6316</v>
      </c>
      <c r="P660" s="9" t="s">
        <v>6243</v>
      </c>
      <c r="Q660" s="87" t="s">
        <v>3240</v>
      </c>
      <c r="R660" s="87" t="s">
        <v>6237</v>
      </c>
      <c r="S660" s="87" t="s">
        <v>6421</v>
      </c>
      <c r="T660" s="87" t="s">
        <v>6341</v>
      </c>
    </row>
    <row r="661" spans="1:20" ht="15.75" customHeight="1">
      <c r="A661" s="9" t="s">
        <v>2989</v>
      </c>
      <c r="B661" s="9" t="s">
        <v>7793</v>
      </c>
      <c r="C661" s="9" t="s">
        <v>7228</v>
      </c>
      <c r="D661" s="87" t="s">
        <v>6237</v>
      </c>
      <c r="E661" s="9" t="s">
        <v>6924</v>
      </c>
      <c r="F661" s="9" t="s">
        <v>11</v>
      </c>
      <c r="G661" s="9" t="s">
        <v>383</v>
      </c>
      <c r="H661" s="9" t="s">
        <v>426</v>
      </c>
      <c r="I661" s="87" t="s">
        <v>6405</v>
      </c>
      <c r="J661" s="87" t="s">
        <v>6334</v>
      </c>
      <c r="K661" s="87" t="s">
        <v>6334</v>
      </c>
      <c r="L661" s="87" t="s">
        <v>6299</v>
      </c>
      <c r="M661" s="87" t="s">
        <v>6692</v>
      </c>
      <c r="N661" s="9" t="s">
        <v>7357</v>
      </c>
      <c r="O661" s="87" t="s">
        <v>6421</v>
      </c>
      <c r="P661" s="9" t="s">
        <v>6243</v>
      </c>
      <c r="Q661" s="87" t="s">
        <v>6316</v>
      </c>
      <c r="R661" s="87" t="s">
        <v>6334</v>
      </c>
      <c r="S661" s="87" t="s">
        <v>6316</v>
      </c>
      <c r="T661" s="87" t="s">
        <v>6341</v>
      </c>
    </row>
    <row r="662" spans="1:20" ht="15.75" customHeight="1">
      <c r="A662" s="9" t="s">
        <v>2989</v>
      </c>
      <c r="B662" s="9" t="s">
        <v>7981</v>
      </c>
      <c r="C662" s="9" t="s">
        <v>6923</v>
      </c>
      <c r="D662" s="87" t="s">
        <v>6461</v>
      </c>
      <c r="E662" s="9" t="s">
        <v>6924</v>
      </c>
      <c r="F662" s="9" t="s">
        <v>6925</v>
      </c>
      <c r="G662" s="9" t="s">
        <v>383</v>
      </c>
      <c r="H662" s="9" t="s">
        <v>427</v>
      </c>
      <c r="I662" s="87" t="s">
        <v>6405</v>
      </c>
      <c r="J662" s="87" t="s">
        <v>6237</v>
      </c>
      <c r="K662" s="87" t="s">
        <v>6926</v>
      </c>
      <c r="L662" s="87" t="s">
        <v>3231</v>
      </c>
      <c r="M662" s="87" t="s">
        <v>6692</v>
      </c>
      <c r="N662" s="9" t="s">
        <v>7121</v>
      </c>
      <c r="O662" s="87" t="s">
        <v>6299</v>
      </c>
      <c r="P662" s="9" t="s">
        <v>6243</v>
      </c>
      <c r="Q662" s="87" t="s">
        <v>3231</v>
      </c>
      <c r="R662" s="87" t="s">
        <v>6237</v>
      </c>
      <c r="S662" s="87" t="s">
        <v>6400</v>
      </c>
      <c r="T662" s="87" t="s">
        <v>6341</v>
      </c>
    </row>
    <row r="663" spans="1:20" ht="15.75" customHeight="1">
      <c r="A663" s="9" t="s">
        <v>2989</v>
      </c>
      <c r="B663" s="9" t="s">
        <v>7981</v>
      </c>
      <c r="C663" s="9" t="s">
        <v>7228</v>
      </c>
      <c r="D663" s="87" t="s">
        <v>6237</v>
      </c>
      <c r="E663" s="9" t="s">
        <v>6924</v>
      </c>
      <c r="F663" s="9" t="s">
        <v>11</v>
      </c>
      <c r="G663" s="9" t="s">
        <v>383</v>
      </c>
      <c r="H663" s="9" t="s">
        <v>426</v>
      </c>
      <c r="I663" s="87" t="s">
        <v>6405</v>
      </c>
      <c r="J663" s="87" t="s">
        <v>6405</v>
      </c>
      <c r="K663" s="87" t="s">
        <v>6405</v>
      </c>
      <c r="L663" s="87" t="s">
        <v>6299</v>
      </c>
      <c r="M663" s="87" t="s">
        <v>6691</v>
      </c>
      <c r="N663" s="9" t="s">
        <v>7982</v>
      </c>
      <c r="O663" s="87" t="s">
        <v>6297</v>
      </c>
      <c r="P663" s="9" t="s">
        <v>6243</v>
      </c>
      <c r="Q663" s="87" t="s">
        <v>6299</v>
      </c>
      <c r="R663" s="87" t="s">
        <v>6405</v>
      </c>
      <c r="S663" s="87" t="s">
        <v>6373</v>
      </c>
      <c r="T663" s="87" t="s">
        <v>6341</v>
      </c>
    </row>
    <row r="664" spans="1:20" ht="15.75" customHeight="1">
      <c r="A664" s="9" t="s">
        <v>3008</v>
      </c>
      <c r="B664" s="9" t="s">
        <v>7796</v>
      </c>
      <c r="C664" s="9" t="s">
        <v>6923</v>
      </c>
      <c r="D664" s="87" t="s">
        <v>6327</v>
      </c>
      <c r="E664" s="9" t="s">
        <v>6924</v>
      </c>
      <c r="F664" s="9" t="s">
        <v>6925</v>
      </c>
      <c r="G664" s="9" t="s">
        <v>383</v>
      </c>
      <c r="H664" s="9" t="s">
        <v>444</v>
      </c>
      <c r="I664" s="87" t="s">
        <v>6405</v>
      </c>
      <c r="J664" s="87" t="s">
        <v>6334</v>
      </c>
      <c r="K664" s="87" t="s">
        <v>6926</v>
      </c>
      <c r="L664" s="87" t="s">
        <v>6474</v>
      </c>
      <c r="M664" s="87" t="s">
        <v>6634</v>
      </c>
      <c r="N664" s="9" t="s">
        <v>7983</v>
      </c>
      <c r="O664" s="87" t="s">
        <v>6528</v>
      </c>
      <c r="P664" s="9" t="s">
        <v>6243</v>
      </c>
      <c r="Q664" s="87" t="s">
        <v>6474</v>
      </c>
      <c r="R664" s="87" t="s">
        <v>6334</v>
      </c>
      <c r="S664" s="87" t="s">
        <v>6240</v>
      </c>
      <c r="T664" s="87" t="s">
        <v>6397</v>
      </c>
    </row>
    <row r="665" spans="1:20" ht="15.75" customHeight="1">
      <c r="A665" s="9" t="s">
        <v>3008</v>
      </c>
      <c r="B665" s="9" t="s">
        <v>7794</v>
      </c>
      <c r="C665" s="9" t="s">
        <v>6236</v>
      </c>
      <c r="D665" s="87" t="s">
        <v>6393</v>
      </c>
      <c r="E665" s="9" t="s">
        <v>431</v>
      </c>
      <c r="F665" s="9" t="s">
        <v>368</v>
      </c>
      <c r="G665" s="9" t="s">
        <v>436</v>
      </c>
      <c r="H665" s="9" t="s">
        <v>434</v>
      </c>
      <c r="I665" s="87" t="s">
        <v>6237</v>
      </c>
      <c r="J665" s="87" t="s">
        <v>6300</v>
      </c>
      <c r="K665" s="87" t="s">
        <v>6300</v>
      </c>
      <c r="L665" s="87" t="s">
        <v>6240</v>
      </c>
      <c r="M665" s="87" t="s">
        <v>6634</v>
      </c>
      <c r="N665" s="9" t="s">
        <v>7795</v>
      </c>
      <c r="O665" s="87" t="s">
        <v>6300</v>
      </c>
      <c r="P665" s="9" t="s">
        <v>6243</v>
      </c>
      <c r="Q665" s="87" t="s">
        <v>3861</v>
      </c>
      <c r="R665" s="87" t="s">
        <v>6300</v>
      </c>
      <c r="S665" s="87" t="s">
        <v>6268</v>
      </c>
      <c r="T665" s="87" t="s">
        <v>6417</v>
      </c>
    </row>
    <row r="666" spans="1:20" ht="15.75" customHeight="1">
      <c r="A666" s="9" t="s">
        <v>3008</v>
      </c>
      <c r="B666" s="9" t="s">
        <v>7796</v>
      </c>
      <c r="C666" s="9" t="s">
        <v>6923</v>
      </c>
      <c r="D666" s="87" t="s">
        <v>6327</v>
      </c>
      <c r="E666" s="9" t="s">
        <v>6924</v>
      </c>
      <c r="F666" s="9" t="s">
        <v>6925</v>
      </c>
      <c r="G666" s="9" t="s">
        <v>383</v>
      </c>
      <c r="H666" s="9" t="s">
        <v>444</v>
      </c>
      <c r="I666" s="87" t="s">
        <v>6405</v>
      </c>
      <c r="J666" s="87" t="s">
        <v>6334</v>
      </c>
      <c r="K666" s="87" t="s">
        <v>6926</v>
      </c>
      <c r="L666" s="87" t="s">
        <v>6474</v>
      </c>
      <c r="M666" s="87" t="s">
        <v>6721</v>
      </c>
      <c r="N666" s="9" t="s">
        <v>7984</v>
      </c>
      <c r="O666" s="87" t="s">
        <v>6528</v>
      </c>
      <c r="P666" s="9" t="s">
        <v>6243</v>
      </c>
      <c r="Q666" s="87" t="s">
        <v>6474</v>
      </c>
      <c r="R666" s="87" t="s">
        <v>6334</v>
      </c>
      <c r="S666" s="87" t="s">
        <v>6302</v>
      </c>
      <c r="T666" s="87" t="s">
        <v>6428</v>
      </c>
    </row>
    <row r="667" spans="1:20" ht="15.75" customHeight="1">
      <c r="A667" s="9" t="s">
        <v>3027</v>
      </c>
      <c r="B667" s="9" t="s">
        <v>7798</v>
      </c>
      <c r="C667" s="9" t="s">
        <v>6236</v>
      </c>
      <c r="D667" s="87" t="s">
        <v>6393</v>
      </c>
      <c r="E667" s="9" t="s">
        <v>431</v>
      </c>
      <c r="F667" s="9" t="s">
        <v>368</v>
      </c>
      <c r="G667" s="9" t="s">
        <v>436</v>
      </c>
      <c r="H667" s="9" t="s">
        <v>434</v>
      </c>
      <c r="I667" s="87" t="s">
        <v>6237</v>
      </c>
      <c r="J667" s="87" t="s">
        <v>6239</v>
      </c>
      <c r="K667" s="87" t="s">
        <v>6330</v>
      </c>
      <c r="L667" s="87" t="s">
        <v>6240</v>
      </c>
      <c r="M667" s="87" t="s">
        <v>6635</v>
      </c>
      <c r="N667" s="9" t="s">
        <v>7799</v>
      </c>
      <c r="O667" s="87" t="s">
        <v>6330</v>
      </c>
      <c r="P667" s="9" t="s">
        <v>6243</v>
      </c>
      <c r="Q667" s="87" t="s">
        <v>6332</v>
      </c>
      <c r="R667" s="87" t="s">
        <v>6239</v>
      </c>
      <c r="S667" s="87" t="s">
        <v>6327</v>
      </c>
      <c r="T667" s="87" t="s">
        <v>6401</v>
      </c>
    </row>
    <row r="668" spans="1:20" ht="15.75" customHeight="1">
      <c r="A668" s="9" t="s">
        <v>3027</v>
      </c>
      <c r="B668" s="9" t="s">
        <v>7800</v>
      </c>
      <c r="C668" s="9" t="s">
        <v>6923</v>
      </c>
      <c r="D668" s="87" t="s">
        <v>6327</v>
      </c>
      <c r="E668" s="9" t="s">
        <v>6924</v>
      </c>
      <c r="F668" s="9" t="s">
        <v>6925</v>
      </c>
      <c r="G668" s="9" t="s">
        <v>383</v>
      </c>
      <c r="H668" s="9" t="s">
        <v>444</v>
      </c>
      <c r="I668" s="87" t="s">
        <v>6405</v>
      </c>
      <c r="J668" s="87" t="s">
        <v>6264</v>
      </c>
      <c r="K668" s="87" t="s">
        <v>6926</v>
      </c>
      <c r="L668" s="87" t="s">
        <v>6573</v>
      </c>
      <c r="M668" s="87" t="s">
        <v>6710</v>
      </c>
      <c r="N668" s="9" t="s">
        <v>7985</v>
      </c>
      <c r="O668" s="87" t="s">
        <v>6570</v>
      </c>
      <c r="P668" s="9" t="s">
        <v>6243</v>
      </c>
      <c r="Q668" s="87" t="s">
        <v>6573</v>
      </c>
      <c r="R668" s="87" t="s">
        <v>6264</v>
      </c>
      <c r="S668" s="87" t="s">
        <v>6397</v>
      </c>
      <c r="T668" s="87" t="s">
        <v>6330</v>
      </c>
    </row>
    <row r="669" spans="1:20" ht="15.75" customHeight="1">
      <c r="A669" s="9" t="s">
        <v>3027</v>
      </c>
      <c r="B669" s="9" t="s">
        <v>7798</v>
      </c>
      <c r="C669" s="9" t="s">
        <v>6236</v>
      </c>
      <c r="D669" s="87" t="s">
        <v>6393</v>
      </c>
      <c r="E669" s="9" t="s">
        <v>431</v>
      </c>
      <c r="F669" s="9" t="s">
        <v>368</v>
      </c>
      <c r="G669" s="9" t="s">
        <v>436</v>
      </c>
      <c r="H669" s="9" t="s">
        <v>434</v>
      </c>
      <c r="I669" s="87" t="s">
        <v>6237</v>
      </c>
      <c r="J669" s="87" t="s">
        <v>6239</v>
      </c>
      <c r="K669" s="87" t="s">
        <v>6486</v>
      </c>
      <c r="L669" s="87" t="s">
        <v>6240</v>
      </c>
      <c r="M669" s="87" t="s">
        <v>6710</v>
      </c>
      <c r="N669" s="9" t="s">
        <v>6969</v>
      </c>
      <c r="O669" s="87" t="s">
        <v>6486</v>
      </c>
      <c r="P669" s="9" t="s">
        <v>6243</v>
      </c>
      <c r="Q669" s="87" t="s">
        <v>5079</v>
      </c>
      <c r="R669" s="87" t="s">
        <v>6239</v>
      </c>
      <c r="S669" s="87" t="s">
        <v>6526</v>
      </c>
      <c r="T669" s="87" t="s">
        <v>6645</v>
      </c>
    </row>
    <row r="670" spans="1:20" ht="15.75" customHeight="1">
      <c r="A670" s="9" t="s">
        <v>3027</v>
      </c>
      <c r="B670" s="9" t="s">
        <v>7800</v>
      </c>
      <c r="C670" s="9" t="s">
        <v>7228</v>
      </c>
      <c r="D670" s="87" t="s">
        <v>6290</v>
      </c>
      <c r="E670" s="9" t="s">
        <v>6924</v>
      </c>
      <c r="F670" s="9" t="s">
        <v>11</v>
      </c>
      <c r="G670" s="9" t="s">
        <v>383</v>
      </c>
      <c r="H670" s="9" t="s">
        <v>426</v>
      </c>
      <c r="I670" s="87" t="s">
        <v>6405</v>
      </c>
      <c r="J670" s="87" t="s">
        <v>6405</v>
      </c>
      <c r="K670" s="87" t="s">
        <v>6405</v>
      </c>
      <c r="L670" s="87" t="s">
        <v>6254</v>
      </c>
      <c r="M670" s="87" t="s">
        <v>6637</v>
      </c>
      <c r="N670" s="9" t="s">
        <v>7986</v>
      </c>
      <c r="O670" s="87" t="s">
        <v>6251</v>
      </c>
      <c r="P670" s="9" t="s">
        <v>6243</v>
      </c>
      <c r="Q670" s="87" t="s">
        <v>6254</v>
      </c>
      <c r="R670" s="87" t="s">
        <v>6405</v>
      </c>
      <c r="S670" s="87" t="s">
        <v>6404</v>
      </c>
      <c r="T670" s="87" t="s">
        <v>6401</v>
      </c>
    </row>
    <row r="671" spans="1:20" ht="15.75" customHeight="1">
      <c r="A671" s="9" t="s">
        <v>3027</v>
      </c>
      <c r="B671" s="9" t="s">
        <v>7802</v>
      </c>
      <c r="C671" s="9" t="s">
        <v>6923</v>
      </c>
      <c r="D671" s="87" t="s">
        <v>6327</v>
      </c>
      <c r="E671" s="9" t="s">
        <v>6924</v>
      </c>
      <c r="F671" s="9" t="s">
        <v>6925</v>
      </c>
      <c r="G671" s="9" t="s">
        <v>383</v>
      </c>
      <c r="H671" s="9" t="s">
        <v>444</v>
      </c>
      <c r="I671" s="87" t="s">
        <v>6405</v>
      </c>
      <c r="J671" s="87" t="s">
        <v>6264</v>
      </c>
      <c r="K671" s="87" t="s">
        <v>6939</v>
      </c>
      <c r="L671" s="87" t="s">
        <v>6573</v>
      </c>
      <c r="M671" s="87" t="s">
        <v>6637</v>
      </c>
      <c r="N671" s="9" t="s">
        <v>7913</v>
      </c>
      <c r="O671" s="87" t="s">
        <v>6400</v>
      </c>
      <c r="P671" s="9" t="s">
        <v>6243</v>
      </c>
      <c r="Q671" s="87" t="s">
        <v>3870</v>
      </c>
      <c r="R671" s="87" t="s">
        <v>6264</v>
      </c>
      <c r="S671" s="87" t="s">
        <v>6299</v>
      </c>
      <c r="T671" s="87" t="s">
        <v>6341</v>
      </c>
    </row>
    <row r="672" spans="1:20" ht="15.75" customHeight="1">
      <c r="A672" s="9" t="s">
        <v>3027</v>
      </c>
      <c r="B672" s="9" t="s">
        <v>7802</v>
      </c>
      <c r="C672" s="9" t="s">
        <v>7228</v>
      </c>
      <c r="D672" s="87" t="s">
        <v>6290</v>
      </c>
      <c r="E672" s="9" t="s">
        <v>6924</v>
      </c>
      <c r="F672" s="9" t="s">
        <v>11</v>
      </c>
      <c r="G672" s="9" t="s">
        <v>383</v>
      </c>
      <c r="H672" s="9" t="s">
        <v>426</v>
      </c>
      <c r="I672" s="87" t="s">
        <v>6405</v>
      </c>
      <c r="J672" s="87" t="s">
        <v>6334</v>
      </c>
      <c r="K672" s="87" t="s">
        <v>6334</v>
      </c>
      <c r="L672" s="87" t="s">
        <v>6254</v>
      </c>
      <c r="M672" s="87" t="s">
        <v>6638</v>
      </c>
      <c r="N672" s="9" t="s">
        <v>6966</v>
      </c>
      <c r="O672" s="87" t="s">
        <v>6348</v>
      </c>
      <c r="P672" s="9" t="s">
        <v>6547</v>
      </c>
      <c r="Q672" s="87" t="s">
        <v>5381</v>
      </c>
      <c r="R672" s="87" t="s">
        <v>6334</v>
      </c>
      <c r="S672" s="87" t="s">
        <v>6342</v>
      </c>
      <c r="T672" s="87" t="s">
        <v>6341</v>
      </c>
    </row>
    <row r="673" spans="1:20" ht="15.75" customHeight="1">
      <c r="A673" s="9" t="s">
        <v>2971</v>
      </c>
      <c r="B673" s="9" t="s">
        <v>7803</v>
      </c>
      <c r="C673" s="9" t="s">
        <v>6236</v>
      </c>
      <c r="D673" s="87" t="s">
        <v>6393</v>
      </c>
      <c r="E673" s="9" t="s">
        <v>431</v>
      </c>
      <c r="F673" s="9" t="s">
        <v>368</v>
      </c>
      <c r="G673" s="9" t="s">
        <v>436</v>
      </c>
      <c r="H673" s="9" t="s">
        <v>434</v>
      </c>
      <c r="I673" s="87" t="s">
        <v>6237</v>
      </c>
      <c r="J673" s="87" t="s">
        <v>6306</v>
      </c>
      <c r="K673" s="87" t="s">
        <v>6239</v>
      </c>
      <c r="L673" s="87" t="s">
        <v>6240</v>
      </c>
      <c r="M673" s="87" t="s">
        <v>6628</v>
      </c>
      <c r="N673" s="9" t="s">
        <v>6928</v>
      </c>
      <c r="O673" s="87" t="s">
        <v>6239</v>
      </c>
      <c r="P673" s="9" t="s">
        <v>6547</v>
      </c>
      <c r="Q673" s="87" t="s">
        <v>3764</v>
      </c>
      <c r="R673" s="87" t="s">
        <v>6306</v>
      </c>
      <c r="S673" s="87" t="s">
        <v>6327</v>
      </c>
      <c r="T673" s="87" t="s">
        <v>6645</v>
      </c>
    </row>
    <row r="674" spans="1:20" ht="15.75" customHeight="1">
      <c r="A674" s="9" t="s">
        <v>2971</v>
      </c>
      <c r="B674" s="9" t="s">
        <v>7803</v>
      </c>
      <c r="C674" s="9" t="s">
        <v>6236</v>
      </c>
      <c r="D674" s="87" t="s">
        <v>6393</v>
      </c>
      <c r="E674" s="9" t="s">
        <v>431</v>
      </c>
      <c r="F674" s="9" t="s">
        <v>368</v>
      </c>
      <c r="G674" s="9" t="s">
        <v>436</v>
      </c>
      <c r="H674" s="9" t="s">
        <v>434</v>
      </c>
      <c r="I674" s="87" t="s">
        <v>6237</v>
      </c>
      <c r="J674" s="87" t="s">
        <v>6306</v>
      </c>
      <c r="K674" s="87" t="s">
        <v>6237</v>
      </c>
      <c r="L674" s="87" t="s">
        <v>6240</v>
      </c>
      <c r="M674" s="87" t="s">
        <v>6633</v>
      </c>
      <c r="N674" s="9" t="s">
        <v>6967</v>
      </c>
      <c r="O674" s="87" t="s">
        <v>6237</v>
      </c>
      <c r="P674" s="9" t="s">
        <v>6547</v>
      </c>
      <c r="Q674" s="87" t="s">
        <v>4953</v>
      </c>
      <c r="R674" s="87" t="s">
        <v>6306</v>
      </c>
      <c r="S674" s="87" t="s">
        <v>6424</v>
      </c>
      <c r="T674" s="87" t="s">
        <v>6645</v>
      </c>
    </row>
    <row r="675" spans="1:20" ht="15.75" customHeight="1">
      <c r="A675" s="9" t="s">
        <v>2971</v>
      </c>
      <c r="B675" s="9" t="s">
        <v>7804</v>
      </c>
      <c r="C675" s="9" t="s">
        <v>6671</v>
      </c>
      <c r="D675" s="87" t="s">
        <v>6296</v>
      </c>
      <c r="E675" s="9" t="s">
        <v>6672</v>
      </c>
      <c r="F675" s="9" t="s">
        <v>439</v>
      </c>
      <c r="G675" s="9" t="s">
        <v>436</v>
      </c>
      <c r="H675" s="9" t="s">
        <v>440</v>
      </c>
      <c r="I675" s="87" t="s">
        <v>6405</v>
      </c>
      <c r="J675" s="87" t="s">
        <v>6267</v>
      </c>
      <c r="K675" s="87" t="s">
        <v>6267</v>
      </c>
      <c r="L675" s="87" t="s">
        <v>6240</v>
      </c>
      <c r="M675" s="87" t="s">
        <v>6737</v>
      </c>
      <c r="N675" s="9" t="s">
        <v>7128</v>
      </c>
      <c r="O675" s="87" t="s">
        <v>6267</v>
      </c>
      <c r="P675" s="9" t="s">
        <v>6547</v>
      </c>
      <c r="Q675" s="87" t="s">
        <v>6506</v>
      </c>
      <c r="R675" s="87" t="s">
        <v>6267</v>
      </c>
      <c r="S675" s="87" t="s">
        <v>6313</v>
      </c>
      <c r="T675" s="87" t="s">
        <v>6645</v>
      </c>
    </row>
    <row r="676" spans="1:20" ht="15.75" customHeight="1">
      <c r="A676" s="9" t="s">
        <v>2971</v>
      </c>
      <c r="B676" s="9" t="s">
        <v>7805</v>
      </c>
      <c r="C676" s="9" t="s">
        <v>6923</v>
      </c>
      <c r="D676" s="87" t="s">
        <v>6264</v>
      </c>
      <c r="E676" s="9" t="s">
        <v>6924</v>
      </c>
      <c r="F676" s="9" t="s">
        <v>6925</v>
      </c>
      <c r="G676" s="9" t="s">
        <v>383</v>
      </c>
      <c r="H676" s="9" t="s">
        <v>449</v>
      </c>
      <c r="I676" s="87" t="s">
        <v>6405</v>
      </c>
      <c r="J676" s="87" t="s">
        <v>6405</v>
      </c>
      <c r="K676" s="87" t="s">
        <v>6926</v>
      </c>
      <c r="L676" s="87" t="s">
        <v>6573</v>
      </c>
      <c r="M676" s="87" t="s">
        <v>6730</v>
      </c>
      <c r="N676" s="9" t="s">
        <v>6970</v>
      </c>
      <c r="O676" s="87" t="s">
        <v>6570</v>
      </c>
      <c r="P676" s="9" t="s">
        <v>6547</v>
      </c>
      <c r="Q676" s="87" t="s">
        <v>6573</v>
      </c>
      <c r="R676" s="87" t="s">
        <v>6405</v>
      </c>
      <c r="S676" s="87" t="s">
        <v>6333</v>
      </c>
      <c r="T676" s="87" t="s">
        <v>6341</v>
      </c>
    </row>
    <row r="677" spans="1:20" ht="15.75" customHeight="1">
      <c r="A677" s="9" t="s">
        <v>2971</v>
      </c>
      <c r="B677" s="9" t="s">
        <v>7805</v>
      </c>
      <c r="C677" s="9" t="s">
        <v>7228</v>
      </c>
      <c r="D677" s="87" t="s">
        <v>6405</v>
      </c>
      <c r="E677" s="9" t="s">
        <v>6924</v>
      </c>
      <c r="F677" s="9" t="s">
        <v>11</v>
      </c>
      <c r="G677" s="9" t="s">
        <v>383</v>
      </c>
      <c r="H677" s="9" t="s">
        <v>426</v>
      </c>
      <c r="I677" s="87" t="s">
        <v>6405</v>
      </c>
      <c r="J677" s="87" t="s">
        <v>6405</v>
      </c>
      <c r="K677" s="87" t="s">
        <v>6405</v>
      </c>
      <c r="L677" s="87" t="s">
        <v>6392</v>
      </c>
      <c r="M677" s="87" t="s">
        <v>6634</v>
      </c>
      <c r="N677" s="9" t="s">
        <v>7245</v>
      </c>
      <c r="O677" s="87" t="s">
        <v>6327</v>
      </c>
      <c r="P677" s="9" t="s">
        <v>6547</v>
      </c>
      <c r="Q677" s="87" t="s">
        <v>6392</v>
      </c>
      <c r="R677" s="87" t="s">
        <v>6405</v>
      </c>
      <c r="S677" s="87" t="s">
        <v>6500</v>
      </c>
      <c r="T677" s="87" t="s">
        <v>6341</v>
      </c>
    </row>
    <row r="678" spans="1:20" ht="15.75" customHeight="1">
      <c r="A678" s="9" t="s">
        <v>2977</v>
      </c>
      <c r="B678" s="9" t="s">
        <v>7806</v>
      </c>
      <c r="C678" s="9" t="s">
        <v>6236</v>
      </c>
      <c r="D678" s="87" t="s">
        <v>6393</v>
      </c>
      <c r="E678" s="9" t="s">
        <v>431</v>
      </c>
      <c r="F678" s="9" t="s">
        <v>368</v>
      </c>
      <c r="G678" s="9" t="s">
        <v>436</v>
      </c>
      <c r="H678" s="9" t="s">
        <v>434</v>
      </c>
      <c r="I678" s="87" t="s">
        <v>6237</v>
      </c>
      <c r="J678" s="87" t="s">
        <v>6348</v>
      </c>
      <c r="K678" s="87" t="s">
        <v>6348</v>
      </c>
      <c r="L678" s="87" t="s">
        <v>6240</v>
      </c>
      <c r="M678" s="87" t="s">
        <v>6718</v>
      </c>
      <c r="N678" s="9" t="s">
        <v>7807</v>
      </c>
      <c r="O678" s="87" t="s">
        <v>6348</v>
      </c>
      <c r="P678" s="9" t="s">
        <v>6243</v>
      </c>
      <c r="Q678" s="87" t="s">
        <v>5381</v>
      </c>
      <c r="R678" s="87" t="s">
        <v>6348</v>
      </c>
      <c r="S678" s="87" t="s">
        <v>6260</v>
      </c>
      <c r="T678" s="87" t="s">
        <v>6322</v>
      </c>
    </row>
    <row r="679" spans="1:20" ht="15.75" customHeight="1">
      <c r="A679" s="9" t="s">
        <v>2977</v>
      </c>
      <c r="B679" s="9" t="s">
        <v>7808</v>
      </c>
      <c r="C679" s="9" t="s">
        <v>6671</v>
      </c>
      <c r="D679" s="87" t="s">
        <v>6296</v>
      </c>
      <c r="E679" s="9" t="s">
        <v>6672</v>
      </c>
      <c r="F679" s="9" t="s">
        <v>439</v>
      </c>
      <c r="G679" s="9" t="s">
        <v>436</v>
      </c>
      <c r="H679" s="9" t="s">
        <v>440</v>
      </c>
      <c r="I679" s="87" t="s">
        <v>6405</v>
      </c>
      <c r="J679" s="87" t="s">
        <v>6297</v>
      </c>
      <c r="K679" s="87" t="s">
        <v>6297</v>
      </c>
      <c r="L679" s="87" t="s">
        <v>6240</v>
      </c>
      <c r="M679" s="87" t="s">
        <v>6635</v>
      </c>
      <c r="N679" s="9" t="s">
        <v>7202</v>
      </c>
      <c r="O679" s="87" t="s">
        <v>6297</v>
      </c>
      <c r="P679" s="9" t="s">
        <v>6243</v>
      </c>
      <c r="Q679" s="87" t="s">
        <v>6299</v>
      </c>
      <c r="R679" s="87" t="s">
        <v>6297</v>
      </c>
      <c r="S679" s="87" t="s">
        <v>6414</v>
      </c>
      <c r="T679" s="87" t="s">
        <v>6245</v>
      </c>
    </row>
    <row r="680" spans="1:20" ht="15.75" customHeight="1">
      <c r="A680" s="9" t="s">
        <v>2977</v>
      </c>
      <c r="B680" s="9" t="s">
        <v>7809</v>
      </c>
      <c r="C680" s="9" t="s">
        <v>6923</v>
      </c>
      <c r="D680" s="87" t="s">
        <v>6461</v>
      </c>
      <c r="E680" s="9" t="s">
        <v>6924</v>
      </c>
      <c r="F680" s="9" t="s">
        <v>6925</v>
      </c>
      <c r="G680" s="9" t="s">
        <v>383</v>
      </c>
      <c r="H680" s="9" t="s">
        <v>427</v>
      </c>
      <c r="I680" s="87" t="s">
        <v>6405</v>
      </c>
      <c r="J680" s="87" t="s">
        <v>6405</v>
      </c>
      <c r="K680" s="87" t="s">
        <v>6926</v>
      </c>
      <c r="L680" s="87" t="s">
        <v>6248</v>
      </c>
      <c r="M680" s="87" t="s">
        <v>6710</v>
      </c>
      <c r="N680" s="9" t="s">
        <v>7987</v>
      </c>
      <c r="O680" s="87" t="s">
        <v>6387</v>
      </c>
      <c r="P680" s="9" t="s">
        <v>6243</v>
      </c>
      <c r="Q680" s="87" t="s">
        <v>6248</v>
      </c>
      <c r="R680" s="87" t="s">
        <v>6405</v>
      </c>
      <c r="S680" s="87" t="s">
        <v>6361</v>
      </c>
      <c r="T680" s="87" t="s">
        <v>6256</v>
      </c>
    </row>
    <row r="681" spans="1:20" ht="15.75" customHeight="1">
      <c r="A681" s="9" t="s">
        <v>2977</v>
      </c>
      <c r="B681" s="9" t="s">
        <v>7809</v>
      </c>
      <c r="C681" s="9" t="s">
        <v>7228</v>
      </c>
      <c r="D681" s="87" t="s">
        <v>6237</v>
      </c>
      <c r="E681" s="9" t="s">
        <v>6924</v>
      </c>
      <c r="F681" s="9" t="s">
        <v>11</v>
      </c>
      <c r="G681" s="9" t="s">
        <v>383</v>
      </c>
      <c r="H681" s="9" t="s">
        <v>426</v>
      </c>
      <c r="I681" s="87" t="s">
        <v>6405</v>
      </c>
      <c r="J681" s="87" t="s">
        <v>6405</v>
      </c>
      <c r="K681" s="87" t="s">
        <v>6405</v>
      </c>
      <c r="L681" s="87" t="s">
        <v>6316</v>
      </c>
      <c r="M681" s="87" t="s">
        <v>6637</v>
      </c>
      <c r="N681" s="9" t="s">
        <v>7988</v>
      </c>
      <c r="O681" s="87" t="s">
        <v>6421</v>
      </c>
      <c r="P681" s="9" t="s">
        <v>6243</v>
      </c>
      <c r="Q681" s="87" t="s">
        <v>6316</v>
      </c>
      <c r="R681" s="87" t="s">
        <v>6405</v>
      </c>
      <c r="S681" s="87" t="s">
        <v>6333</v>
      </c>
      <c r="T681" s="87" t="s">
        <v>6497</v>
      </c>
    </row>
    <row r="682" spans="1:20" ht="15.75" customHeight="1">
      <c r="A682" s="9" t="s">
        <v>2874</v>
      </c>
      <c r="B682" s="9" t="s">
        <v>7812</v>
      </c>
      <c r="C682" s="9" t="s">
        <v>6236</v>
      </c>
      <c r="D682" s="87" t="s">
        <v>6393</v>
      </c>
      <c r="E682" s="9" t="s">
        <v>431</v>
      </c>
      <c r="F682" s="9" t="s">
        <v>368</v>
      </c>
      <c r="G682" s="9" t="s">
        <v>436</v>
      </c>
      <c r="H682" s="9" t="s">
        <v>434</v>
      </c>
      <c r="I682" s="87" t="s">
        <v>6237</v>
      </c>
      <c r="J682" s="87" t="s">
        <v>6316</v>
      </c>
      <c r="K682" s="87" t="s">
        <v>6498</v>
      </c>
      <c r="L682" s="87" t="s">
        <v>6240</v>
      </c>
      <c r="M682" s="87" t="s">
        <v>6718</v>
      </c>
      <c r="N682" s="9" t="s">
        <v>7155</v>
      </c>
      <c r="O682" s="87" t="s">
        <v>6498</v>
      </c>
      <c r="P682" s="9" t="s">
        <v>6243</v>
      </c>
      <c r="Q682" s="87" t="s">
        <v>4019</v>
      </c>
      <c r="R682" s="87" t="s">
        <v>6316</v>
      </c>
      <c r="S682" s="87" t="s">
        <v>6327</v>
      </c>
      <c r="T682" s="87" t="s">
        <v>6376</v>
      </c>
    </row>
    <row r="683" spans="1:20" ht="15.75" customHeight="1">
      <c r="A683" s="9" t="s">
        <v>2874</v>
      </c>
      <c r="B683" s="9" t="s">
        <v>7812</v>
      </c>
      <c r="C683" s="9" t="s">
        <v>6236</v>
      </c>
      <c r="D683" s="87" t="s">
        <v>6393</v>
      </c>
      <c r="E683" s="9" t="s">
        <v>431</v>
      </c>
      <c r="F683" s="9" t="s">
        <v>368</v>
      </c>
      <c r="G683" s="9" t="s">
        <v>436</v>
      </c>
      <c r="H683" s="9" t="s">
        <v>434</v>
      </c>
      <c r="I683" s="87" t="s">
        <v>6237</v>
      </c>
      <c r="J683" s="87" t="s">
        <v>6316</v>
      </c>
      <c r="K683" s="87" t="s">
        <v>6486</v>
      </c>
      <c r="L683" s="87" t="s">
        <v>6240</v>
      </c>
      <c r="M683" s="87" t="s">
        <v>6635</v>
      </c>
      <c r="N683" s="9" t="s">
        <v>6969</v>
      </c>
      <c r="O683" s="87" t="s">
        <v>6486</v>
      </c>
      <c r="P683" s="9" t="s">
        <v>6243</v>
      </c>
      <c r="Q683" s="87" t="s">
        <v>5079</v>
      </c>
      <c r="R683" s="87" t="s">
        <v>6316</v>
      </c>
      <c r="S683" s="87" t="s">
        <v>6526</v>
      </c>
      <c r="T683" s="87" t="s">
        <v>6645</v>
      </c>
    </row>
    <row r="684" spans="1:20" ht="15.75" customHeight="1">
      <c r="A684" s="9" t="s">
        <v>2874</v>
      </c>
      <c r="B684" s="9" t="s">
        <v>7814</v>
      </c>
      <c r="C684" s="9" t="s">
        <v>6923</v>
      </c>
      <c r="D684" s="87" t="s">
        <v>6327</v>
      </c>
      <c r="E684" s="9" t="s">
        <v>6924</v>
      </c>
      <c r="F684" s="9" t="s">
        <v>6925</v>
      </c>
      <c r="G684" s="9" t="s">
        <v>383</v>
      </c>
      <c r="H684" s="9" t="s">
        <v>444</v>
      </c>
      <c r="I684" s="87" t="s">
        <v>6405</v>
      </c>
      <c r="J684" s="87" t="s">
        <v>6405</v>
      </c>
      <c r="K684" s="87" t="s">
        <v>6926</v>
      </c>
      <c r="L684" s="87" t="s">
        <v>6474</v>
      </c>
      <c r="M684" s="87" t="s">
        <v>6710</v>
      </c>
      <c r="N684" s="9" t="s">
        <v>7978</v>
      </c>
      <c r="O684" s="87" t="s">
        <v>6528</v>
      </c>
      <c r="P684" s="9" t="s">
        <v>6243</v>
      </c>
      <c r="Q684" s="87" t="s">
        <v>6474</v>
      </c>
      <c r="R684" s="87" t="s">
        <v>6405</v>
      </c>
      <c r="S684" s="87" t="s">
        <v>6405</v>
      </c>
      <c r="T684" s="87" t="s">
        <v>6528</v>
      </c>
    </row>
    <row r="685" spans="1:20" ht="15.75" customHeight="1">
      <c r="A685" s="9" t="s">
        <v>2874</v>
      </c>
      <c r="B685" s="9" t="s">
        <v>7813</v>
      </c>
      <c r="C685" s="9" t="s">
        <v>6671</v>
      </c>
      <c r="D685" s="87" t="s">
        <v>6296</v>
      </c>
      <c r="E685" s="9" t="s">
        <v>6672</v>
      </c>
      <c r="F685" s="9" t="s">
        <v>439</v>
      </c>
      <c r="G685" s="9" t="s">
        <v>436</v>
      </c>
      <c r="H685" s="9" t="s">
        <v>440</v>
      </c>
      <c r="I685" s="87" t="s">
        <v>6405</v>
      </c>
      <c r="J685" s="87" t="s">
        <v>6479</v>
      </c>
      <c r="K685" s="87" t="s">
        <v>6479</v>
      </c>
      <c r="L685" s="87" t="s">
        <v>6240</v>
      </c>
      <c r="M685" s="87" t="s">
        <v>6710</v>
      </c>
      <c r="N685" s="9" t="s">
        <v>7134</v>
      </c>
      <c r="O685" s="87" t="s">
        <v>6479</v>
      </c>
      <c r="P685" s="9" t="s">
        <v>6243</v>
      </c>
      <c r="Q685" s="87" t="s">
        <v>5417</v>
      </c>
      <c r="R685" s="87" t="s">
        <v>6479</v>
      </c>
      <c r="S685" s="87" t="s">
        <v>6433</v>
      </c>
      <c r="T685" s="87" t="s">
        <v>6645</v>
      </c>
    </row>
    <row r="686" spans="1:20" ht="15.75" customHeight="1">
      <c r="A686" s="9" t="s">
        <v>2874</v>
      </c>
      <c r="B686" s="9" t="s">
        <v>7814</v>
      </c>
      <c r="C686" s="9" t="s">
        <v>7228</v>
      </c>
      <c r="D686" s="87" t="s">
        <v>6290</v>
      </c>
      <c r="E686" s="9" t="s">
        <v>6924</v>
      </c>
      <c r="F686" s="9" t="s">
        <v>11</v>
      </c>
      <c r="G686" s="9" t="s">
        <v>383</v>
      </c>
      <c r="H686" s="9" t="s">
        <v>426</v>
      </c>
      <c r="I686" s="87" t="s">
        <v>6405</v>
      </c>
      <c r="J686" s="87" t="s">
        <v>6405</v>
      </c>
      <c r="K686" s="87" t="s">
        <v>6405</v>
      </c>
      <c r="L686" s="87" t="s">
        <v>4953</v>
      </c>
      <c r="M686" s="87" t="s">
        <v>6637</v>
      </c>
      <c r="N686" s="9" t="s">
        <v>7989</v>
      </c>
      <c r="O686" s="87" t="s">
        <v>6237</v>
      </c>
      <c r="P686" s="9" t="s">
        <v>6243</v>
      </c>
      <c r="Q686" s="87" t="s">
        <v>4953</v>
      </c>
      <c r="R686" s="87" t="s">
        <v>6405</v>
      </c>
      <c r="S686" s="87" t="s">
        <v>6526</v>
      </c>
      <c r="T686" s="87" t="s">
        <v>6326</v>
      </c>
    </row>
    <row r="687" spans="1:20" ht="15.75" customHeight="1">
      <c r="A687" s="9" t="s">
        <v>2913</v>
      </c>
      <c r="B687" s="9" t="s">
        <v>7817</v>
      </c>
      <c r="C687" s="9" t="s">
        <v>6923</v>
      </c>
      <c r="D687" s="87" t="s">
        <v>6461</v>
      </c>
      <c r="E687" s="9" t="s">
        <v>6924</v>
      </c>
      <c r="F687" s="9" t="s">
        <v>6925</v>
      </c>
      <c r="G687" s="9" t="s">
        <v>383</v>
      </c>
      <c r="H687" s="9" t="s">
        <v>427</v>
      </c>
      <c r="I687" s="87" t="s">
        <v>6405</v>
      </c>
      <c r="J687" s="87" t="s">
        <v>6334</v>
      </c>
      <c r="K687" s="87" t="s">
        <v>6926</v>
      </c>
      <c r="L687" s="87" t="s">
        <v>6627</v>
      </c>
      <c r="M687" s="87" t="s">
        <v>6647</v>
      </c>
      <c r="N687" s="9" t="s">
        <v>7990</v>
      </c>
      <c r="O687" s="87" t="s">
        <v>6455</v>
      </c>
      <c r="P687" s="9" t="s">
        <v>6243</v>
      </c>
      <c r="Q687" s="87" t="s">
        <v>6627</v>
      </c>
      <c r="R687" s="87" t="s">
        <v>6334</v>
      </c>
      <c r="S687" s="87" t="s">
        <v>6451</v>
      </c>
      <c r="T687" s="87" t="s">
        <v>6277</v>
      </c>
    </row>
    <row r="688" spans="1:20" ht="15.75" customHeight="1">
      <c r="A688" s="9" t="s">
        <v>2913</v>
      </c>
      <c r="B688" s="9" t="s">
        <v>7816</v>
      </c>
      <c r="C688" s="9" t="s">
        <v>6236</v>
      </c>
      <c r="D688" s="87" t="s">
        <v>6393</v>
      </c>
      <c r="E688" s="9" t="s">
        <v>431</v>
      </c>
      <c r="F688" s="9" t="s">
        <v>368</v>
      </c>
      <c r="G688" s="9" t="s">
        <v>436</v>
      </c>
      <c r="H688" s="9" t="s">
        <v>434</v>
      </c>
      <c r="I688" s="87" t="s">
        <v>6264</v>
      </c>
      <c r="J688" s="87" t="s">
        <v>6255</v>
      </c>
      <c r="K688" s="87" t="s">
        <v>6255</v>
      </c>
      <c r="L688" s="87" t="s">
        <v>6240</v>
      </c>
      <c r="M688" s="87" t="s">
        <v>6647</v>
      </c>
      <c r="N688" s="9" t="s">
        <v>7145</v>
      </c>
      <c r="O688" s="87" t="s">
        <v>6255</v>
      </c>
      <c r="P688" s="9" t="s">
        <v>6243</v>
      </c>
      <c r="Q688" s="87" t="s">
        <v>4947</v>
      </c>
      <c r="R688" s="87" t="s">
        <v>6255</v>
      </c>
      <c r="S688" s="87" t="s">
        <v>6300</v>
      </c>
      <c r="T688" s="87" t="s">
        <v>6645</v>
      </c>
    </row>
    <row r="689" spans="1:20" ht="15.75" customHeight="1">
      <c r="A689" s="9" t="s">
        <v>2913</v>
      </c>
      <c r="B689" s="9" t="s">
        <v>7817</v>
      </c>
      <c r="C689" s="9" t="s">
        <v>7228</v>
      </c>
      <c r="D689" s="87" t="s">
        <v>6237</v>
      </c>
      <c r="E689" s="9" t="s">
        <v>6924</v>
      </c>
      <c r="F689" s="9" t="s">
        <v>11</v>
      </c>
      <c r="G689" s="9" t="s">
        <v>383</v>
      </c>
      <c r="H689" s="9" t="s">
        <v>426</v>
      </c>
      <c r="I689" s="87" t="s">
        <v>6405</v>
      </c>
      <c r="J689" s="87" t="s">
        <v>6405</v>
      </c>
      <c r="K689" s="87" t="s">
        <v>6405</v>
      </c>
      <c r="L689" s="87" t="s">
        <v>6357</v>
      </c>
      <c r="M689" s="87" t="s">
        <v>6648</v>
      </c>
      <c r="N689" s="9" t="s">
        <v>7300</v>
      </c>
      <c r="O689" s="87" t="s">
        <v>6313</v>
      </c>
      <c r="P689" s="9" t="s">
        <v>6243</v>
      </c>
      <c r="Q689" s="87" t="s">
        <v>6357</v>
      </c>
      <c r="R689" s="87" t="s">
        <v>6405</v>
      </c>
      <c r="S689" s="87" t="s">
        <v>6651</v>
      </c>
      <c r="T689" s="87" t="s">
        <v>6341</v>
      </c>
    </row>
    <row r="690" spans="1:20" ht="15.75" customHeight="1">
      <c r="A690" s="9" t="s">
        <v>2913</v>
      </c>
      <c r="B690" s="9" t="s">
        <v>7818</v>
      </c>
      <c r="C690" s="9" t="s">
        <v>6923</v>
      </c>
      <c r="D690" s="87" t="s">
        <v>6461</v>
      </c>
      <c r="E690" s="9" t="s">
        <v>6924</v>
      </c>
      <c r="F690" s="9" t="s">
        <v>6925</v>
      </c>
      <c r="G690" s="9" t="s">
        <v>383</v>
      </c>
      <c r="H690" s="9" t="s">
        <v>427</v>
      </c>
      <c r="I690" s="87" t="s">
        <v>6405</v>
      </c>
      <c r="J690" s="87" t="s">
        <v>6334</v>
      </c>
      <c r="K690" s="87" t="s">
        <v>6926</v>
      </c>
      <c r="L690" s="87" t="s">
        <v>6627</v>
      </c>
      <c r="M690" s="87" t="s">
        <v>6648</v>
      </c>
      <c r="N690" s="9" t="s">
        <v>7206</v>
      </c>
      <c r="O690" s="87" t="s">
        <v>6455</v>
      </c>
      <c r="P690" s="9" t="s">
        <v>6243</v>
      </c>
      <c r="Q690" s="87" t="s">
        <v>6627</v>
      </c>
      <c r="R690" s="87" t="s">
        <v>6334</v>
      </c>
      <c r="S690" s="87" t="s">
        <v>6484</v>
      </c>
      <c r="T690" s="87" t="s">
        <v>6341</v>
      </c>
    </row>
    <row r="691" spans="1:20" ht="15.75" customHeight="1">
      <c r="A691" s="9" t="s">
        <v>2913</v>
      </c>
      <c r="B691" s="9" t="s">
        <v>7818</v>
      </c>
      <c r="C691" s="9" t="s">
        <v>7228</v>
      </c>
      <c r="D691" s="87" t="s">
        <v>6237</v>
      </c>
      <c r="E691" s="9" t="s">
        <v>6924</v>
      </c>
      <c r="F691" s="9" t="s">
        <v>11</v>
      </c>
      <c r="G691" s="9" t="s">
        <v>383</v>
      </c>
      <c r="H691" s="9" t="s">
        <v>426</v>
      </c>
      <c r="I691" s="87" t="s">
        <v>6405</v>
      </c>
      <c r="J691" s="87" t="s">
        <v>6405</v>
      </c>
      <c r="K691" s="87" t="s">
        <v>6405</v>
      </c>
      <c r="L691" s="87" t="s">
        <v>6357</v>
      </c>
      <c r="M691" s="87" t="s">
        <v>6649</v>
      </c>
      <c r="N691" s="9" t="s">
        <v>7300</v>
      </c>
      <c r="O691" s="87" t="s">
        <v>6313</v>
      </c>
      <c r="P691" s="9" t="s">
        <v>6243</v>
      </c>
      <c r="Q691" s="87" t="s">
        <v>6357</v>
      </c>
      <c r="R691" s="87" t="s">
        <v>6405</v>
      </c>
      <c r="S691" s="87" t="s">
        <v>6651</v>
      </c>
      <c r="T691" s="87" t="s">
        <v>6341</v>
      </c>
    </row>
    <row r="692" spans="1:20" ht="15.75" customHeight="1">
      <c r="A692" s="9" t="s">
        <v>2892</v>
      </c>
      <c r="B692" s="9" t="s">
        <v>7819</v>
      </c>
      <c r="C692" s="9" t="s">
        <v>6236</v>
      </c>
      <c r="D692" s="87" t="s">
        <v>6393</v>
      </c>
      <c r="E692" s="9" t="s">
        <v>431</v>
      </c>
      <c r="F692" s="9" t="s">
        <v>368</v>
      </c>
      <c r="G692" s="9" t="s">
        <v>436</v>
      </c>
      <c r="H692" s="9" t="s">
        <v>434</v>
      </c>
      <c r="I692" s="87" t="s">
        <v>6237</v>
      </c>
      <c r="J692" s="87" t="s">
        <v>6376</v>
      </c>
      <c r="K692" s="87" t="s">
        <v>6376</v>
      </c>
      <c r="L692" s="87" t="s">
        <v>6240</v>
      </c>
      <c r="M692" s="87" t="s">
        <v>6710</v>
      </c>
      <c r="N692" s="9" t="s">
        <v>7820</v>
      </c>
      <c r="O692" s="87" t="s">
        <v>6376</v>
      </c>
      <c r="P692" s="9" t="s">
        <v>6243</v>
      </c>
      <c r="Q692" s="87" t="s">
        <v>6379</v>
      </c>
      <c r="R692" s="87" t="s">
        <v>6376</v>
      </c>
      <c r="S692" s="87" t="s">
        <v>6414</v>
      </c>
      <c r="T692" s="87" t="s">
        <v>6401</v>
      </c>
    </row>
    <row r="693" spans="1:20" ht="15.75" customHeight="1">
      <c r="A693" s="9" t="s">
        <v>2892</v>
      </c>
      <c r="B693" s="9" t="s">
        <v>7822</v>
      </c>
      <c r="C693" s="9" t="s">
        <v>6923</v>
      </c>
      <c r="D693" s="87" t="s">
        <v>6461</v>
      </c>
      <c r="E693" s="9" t="s">
        <v>6924</v>
      </c>
      <c r="F693" s="9" t="s">
        <v>6925</v>
      </c>
      <c r="G693" s="9" t="s">
        <v>383</v>
      </c>
      <c r="H693" s="9" t="s">
        <v>427</v>
      </c>
      <c r="I693" s="87" t="s">
        <v>6405</v>
      </c>
      <c r="J693" s="87" t="s">
        <v>6334</v>
      </c>
      <c r="K693" s="87" t="s">
        <v>6926</v>
      </c>
      <c r="L693" s="87" t="s">
        <v>6372</v>
      </c>
      <c r="M693" s="87" t="s">
        <v>6637</v>
      </c>
      <c r="N693" s="9" t="s">
        <v>7991</v>
      </c>
      <c r="O693" s="87" t="s">
        <v>6295</v>
      </c>
      <c r="P693" s="9" t="s">
        <v>6243</v>
      </c>
      <c r="Q693" s="87" t="s">
        <v>6372</v>
      </c>
      <c r="R693" s="87" t="s">
        <v>6334</v>
      </c>
      <c r="S693" s="87" t="s">
        <v>6397</v>
      </c>
      <c r="T693" s="87" t="s">
        <v>6400</v>
      </c>
    </row>
    <row r="694" spans="1:20" ht="15.75" customHeight="1">
      <c r="A694" s="9" t="s">
        <v>2892</v>
      </c>
      <c r="B694" s="9" t="s">
        <v>7821</v>
      </c>
      <c r="C694" s="9" t="s">
        <v>6671</v>
      </c>
      <c r="D694" s="87" t="s">
        <v>6296</v>
      </c>
      <c r="E694" s="9" t="s">
        <v>6672</v>
      </c>
      <c r="F694" s="9" t="s">
        <v>439</v>
      </c>
      <c r="G694" s="9" t="s">
        <v>436</v>
      </c>
      <c r="H694" s="9" t="s">
        <v>440</v>
      </c>
      <c r="I694" s="87" t="s">
        <v>6405</v>
      </c>
      <c r="J694" s="87" t="s">
        <v>6260</v>
      </c>
      <c r="K694" s="87" t="s">
        <v>6260</v>
      </c>
      <c r="L694" s="87" t="s">
        <v>6240</v>
      </c>
      <c r="M694" s="87" t="s">
        <v>6637</v>
      </c>
      <c r="N694" s="9" t="s">
        <v>6948</v>
      </c>
      <c r="O694" s="87" t="s">
        <v>6260</v>
      </c>
      <c r="P694" s="9" t="s">
        <v>6243</v>
      </c>
      <c r="Q694" s="87" t="s">
        <v>4014</v>
      </c>
      <c r="R694" s="87" t="s">
        <v>6260</v>
      </c>
      <c r="S694" s="87" t="s">
        <v>6392</v>
      </c>
      <c r="T694" s="87" t="s">
        <v>6645</v>
      </c>
    </row>
    <row r="695" spans="1:20" ht="15.75" customHeight="1">
      <c r="A695" s="9" t="s">
        <v>2892</v>
      </c>
      <c r="B695" s="9" t="s">
        <v>7822</v>
      </c>
      <c r="C695" s="9" t="s">
        <v>7228</v>
      </c>
      <c r="D695" s="87" t="s">
        <v>6237</v>
      </c>
      <c r="E695" s="9" t="s">
        <v>6924</v>
      </c>
      <c r="F695" s="9" t="s">
        <v>11</v>
      </c>
      <c r="G695" s="9" t="s">
        <v>383</v>
      </c>
      <c r="H695" s="9" t="s">
        <v>426</v>
      </c>
      <c r="I695" s="87" t="s">
        <v>6405</v>
      </c>
      <c r="J695" s="87" t="s">
        <v>6405</v>
      </c>
      <c r="K695" s="87" t="s">
        <v>6405</v>
      </c>
      <c r="L695" s="87" t="s">
        <v>6484</v>
      </c>
      <c r="M695" s="87" t="s">
        <v>6638</v>
      </c>
      <c r="N695" s="9" t="s">
        <v>7046</v>
      </c>
      <c r="O695" s="87" t="s">
        <v>6810</v>
      </c>
      <c r="P695" s="9" t="s">
        <v>6243</v>
      </c>
      <c r="Q695" s="87" t="s">
        <v>6484</v>
      </c>
      <c r="R695" s="87" t="s">
        <v>6405</v>
      </c>
      <c r="S695" s="87" t="s">
        <v>6367</v>
      </c>
      <c r="T695" s="87" t="s">
        <v>6341</v>
      </c>
    </row>
    <row r="696" spans="1:20" ht="15.75" customHeight="1">
      <c r="A696" s="9" t="s">
        <v>2892</v>
      </c>
      <c r="B696" s="9" t="s">
        <v>7992</v>
      </c>
      <c r="C696" s="9" t="s">
        <v>6923</v>
      </c>
      <c r="D696" s="87" t="s">
        <v>6461</v>
      </c>
      <c r="E696" s="9" t="s">
        <v>6924</v>
      </c>
      <c r="F696" s="9" t="s">
        <v>6925</v>
      </c>
      <c r="G696" s="9" t="s">
        <v>383</v>
      </c>
      <c r="H696" s="9" t="s">
        <v>427</v>
      </c>
      <c r="I696" s="87" t="s">
        <v>6405</v>
      </c>
      <c r="J696" s="87" t="s">
        <v>6334</v>
      </c>
      <c r="K696" s="87" t="s">
        <v>6926</v>
      </c>
      <c r="L696" s="87" t="s">
        <v>6372</v>
      </c>
      <c r="M696" s="87" t="s">
        <v>6638</v>
      </c>
      <c r="N696" s="9" t="s">
        <v>6984</v>
      </c>
      <c r="O696" s="87" t="s">
        <v>6295</v>
      </c>
      <c r="P696" s="9" t="s">
        <v>6243</v>
      </c>
      <c r="Q696" s="87" t="s">
        <v>6372</v>
      </c>
      <c r="R696" s="87" t="s">
        <v>6334</v>
      </c>
      <c r="S696" s="87" t="s">
        <v>6526</v>
      </c>
      <c r="T696" s="87" t="s">
        <v>6341</v>
      </c>
    </row>
    <row r="697" spans="1:20" ht="15.75" customHeight="1">
      <c r="A697" s="9" t="s">
        <v>2892</v>
      </c>
      <c r="B697" s="9" t="s">
        <v>7992</v>
      </c>
      <c r="C697" s="9" t="s">
        <v>7228</v>
      </c>
      <c r="D697" s="87" t="s">
        <v>6237</v>
      </c>
      <c r="E697" s="9" t="s">
        <v>6924</v>
      </c>
      <c r="F697" s="9" t="s">
        <v>11</v>
      </c>
      <c r="G697" s="9" t="s">
        <v>383</v>
      </c>
      <c r="H697" s="9" t="s">
        <v>426</v>
      </c>
      <c r="I697" s="87" t="s">
        <v>6405</v>
      </c>
      <c r="J697" s="87" t="s">
        <v>6405</v>
      </c>
      <c r="K697" s="87" t="s">
        <v>6405</v>
      </c>
      <c r="L697" s="87" t="s">
        <v>6484</v>
      </c>
      <c r="M697" s="87" t="s">
        <v>6763</v>
      </c>
      <c r="N697" s="9" t="s">
        <v>7046</v>
      </c>
      <c r="O697" s="87" t="s">
        <v>6810</v>
      </c>
      <c r="P697" s="9" t="s">
        <v>6243</v>
      </c>
      <c r="Q697" s="87" t="s">
        <v>6484</v>
      </c>
      <c r="R697" s="87" t="s">
        <v>6405</v>
      </c>
      <c r="S697" s="87" t="s">
        <v>6367</v>
      </c>
      <c r="T697" s="87" t="s">
        <v>6341</v>
      </c>
    </row>
    <row r="698" spans="1:20" ht="15.75" customHeight="1">
      <c r="A698" s="9" t="s">
        <v>2880</v>
      </c>
      <c r="B698" s="9" t="s">
        <v>7823</v>
      </c>
      <c r="C698" s="9" t="s">
        <v>6236</v>
      </c>
      <c r="D698" s="87" t="s">
        <v>6393</v>
      </c>
      <c r="E698" s="9" t="s">
        <v>431</v>
      </c>
      <c r="F698" s="9" t="s">
        <v>368</v>
      </c>
      <c r="G698" s="9" t="s">
        <v>436</v>
      </c>
      <c r="H698" s="9" t="s">
        <v>434</v>
      </c>
      <c r="I698" s="87" t="s">
        <v>6237</v>
      </c>
      <c r="J698" s="87" t="s">
        <v>6264</v>
      </c>
      <c r="K698" s="87" t="s">
        <v>6264</v>
      </c>
      <c r="L698" s="87" t="s">
        <v>6240</v>
      </c>
      <c r="M698" s="87" t="s">
        <v>6737</v>
      </c>
      <c r="N698" s="9" t="s">
        <v>7824</v>
      </c>
      <c r="O698" s="87" t="s">
        <v>6264</v>
      </c>
      <c r="P698" s="9" t="s">
        <v>6243</v>
      </c>
      <c r="Q698" s="87" t="s">
        <v>6313</v>
      </c>
      <c r="R698" s="87" t="s">
        <v>6264</v>
      </c>
      <c r="S698" s="87" t="s">
        <v>6295</v>
      </c>
      <c r="T698" s="87" t="s">
        <v>6323</v>
      </c>
    </row>
    <row r="699" spans="1:20" ht="15.75" customHeight="1">
      <c r="A699" s="9" t="s">
        <v>2880</v>
      </c>
      <c r="B699" s="9" t="s">
        <v>7825</v>
      </c>
      <c r="C699" s="9" t="s">
        <v>6671</v>
      </c>
      <c r="D699" s="87" t="s">
        <v>6296</v>
      </c>
      <c r="E699" s="9" t="s">
        <v>6672</v>
      </c>
      <c r="F699" s="9" t="s">
        <v>439</v>
      </c>
      <c r="G699" s="9" t="s">
        <v>436</v>
      </c>
      <c r="H699" s="9" t="s">
        <v>440</v>
      </c>
      <c r="I699" s="87" t="s">
        <v>6405</v>
      </c>
      <c r="J699" s="87" t="s">
        <v>6405</v>
      </c>
      <c r="K699" s="87" t="s">
        <v>6405</v>
      </c>
      <c r="L699" s="87" t="s">
        <v>6240</v>
      </c>
      <c r="M699" s="87" t="s">
        <v>6730</v>
      </c>
      <c r="N699" s="9" t="s">
        <v>7209</v>
      </c>
      <c r="O699" s="87" t="s">
        <v>6405</v>
      </c>
      <c r="P699" s="9" t="s">
        <v>6243</v>
      </c>
      <c r="Q699" s="87" t="s">
        <v>6240</v>
      </c>
      <c r="R699" s="87" t="s">
        <v>6405</v>
      </c>
      <c r="S699" s="87" t="s">
        <v>6295</v>
      </c>
      <c r="T699" s="87" t="s">
        <v>6295</v>
      </c>
    </row>
    <row r="700" spans="1:20" ht="15.75" customHeight="1">
      <c r="A700" s="9" t="s">
        <v>2880</v>
      </c>
      <c r="B700" s="9" t="s">
        <v>7826</v>
      </c>
      <c r="C700" s="9" t="s">
        <v>6923</v>
      </c>
      <c r="D700" s="87" t="s">
        <v>6327</v>
      </c>
      <c r="E700" s="9" t="s">
        <v>6924</v>
      </c>
      <c r="F700" s="9" t="s">
        <v>6925</v>
      </c>
      <c r="G700" s="9" t="s">
        <v>383</v>
      </c>
      <c r="H700" s="9" t="s">
        <v>444</v>
      </c>
      <c r="I700" s="87" t="s">
        <v>6405</v>
      </c>
      <c r="J700" s="87" t="s">
        <v>6405</v>
      </c>
      <c r="K700" s="87" t="s">
        <v>6926</v>
      </c>
      <c r="L700" s="87" t="s">
        <v>6416</v>
      </c>
      <c r="M700" s="87" t="s">
        <v>6634</v>
      </c>
      <c r="N700" s="9" t="s">
        <v>7770</v>
      </c>
      <c r="O700" s="87" t="s">
        <v>6414</v>
      </c>
      <c r="P700" s="9" t="s">
        <v>6243</v>
      </c>
      <c r="Q700" s="87" t="s">
        <v>6416</v>
      </c>
      <c r="R700" s="87" t="s">
        <v>6405</v>
      </c>
      <c r="S700" s="87" t="s">
        <v>6526</v>
      </c>
      <c r="T700" s="87" t="s">
        <v>6316</v>
      </c>
    </row>
    <row r="701" spans="1:20" ht="15.75" customHeight="1">
      <c r="A701" s="9" t="s">
        <v>2880</v>
      </c>
      <c r="B701" s="9" t="s">
        <v>7826</v>
      </c>
      <c r="C701" s="9" t="s">
        <v>7228</v>
      </c>
      <c r="D701" s="87" t="s">
        <v>6290</v>
      </c>
      <c r="E701" s="9" t="s">
        <v>6924</v>
      </c>
      <c r="F701" s="9" t="s">
        <v>11</v>
      </c>
      <c r="G701" s="9" t="s">
        <v>383</v>
      </c>
      <c r="H701" s="9" t="s">
        <v>426</v>
      </c>
      <c r="I701" s="87" t="s">
        <v>6405</v>
      </c>
      <c r="J701" s="87" t="s">
        <v>6405</v>
      </c>
      <c r="K701" s="87" t="s">
        <v>6405</v>
      </c>
      <c r="L701" s="87" t="s">
        <v>6445</v>
      </c>
      <c r="M701" s="87" t="s">
        <v>6721</v>
      </c>
      <c r="N701" s="9" t="s">
        <v>7993</v>
      </c>
      <c r="O701" s="87" t="s">
        <v>6642</v>
      </c>
      <c r="P701" s="9" t="s">
        <v>6243</v>
      </c>
      <c r="Q701" s="87" t="s">
        <v>6445</v>
      </c>
      <c r="R701" s="87" t="s">
        <v>6405</v>
      </c>
      <c r="S701" s="87" t="s">
        <v>6333</v>
      </c>
      <c r="T701" s="87" t="s">
        <v>6316</v>
      </c>
    </row>
    <row r="702" spans="1:20" ht="15.75" customHeight="1">
      <c r="A702" s="9" t="s">
        <v>2991</v>
      </c>
      <c r="B702" s="9" t="s">
        <v>7829</v>
      </c>
      <c r="C702" s="9" t="s">
        <v>6236</v>
      </c>
      <c r="D702" s="87" t="s">
        <v>6393</v>
      </c>
      <c r="E702" s="9" t="s">
        <v>431</v>
      </c>
      <c r="F702" s="9" t="s">
        <v>368</v>
      </c>
      <c r="G702" s="9" t="s">
        <v>436</v>
      </c>
      <c r="H702" s="9" t="s">
        <v>434</v>
      </c>
      <c r="I702" s="87" t="s">
        <v>6237</v>
      </c>
      <c r="J702" s="87" t="s">
        <v>6565</v>
      </c>
      <c r="K702" s="87" t="s">
        <v>6264</v>
      </c>
      <c r="L702" s="87" t="s">
        <v>6240</v>
      </c>
      <c r="M702" s="87" t="s">
        <v>6597</v>
      </c>
      <c r="N702" s="9" t="s">
        <v>7123</v>
      </c>
      <c r="O702" s="87" t="s">
        <v>6264</v>
      </c>
      <c r="P702" s="9" t="s">
        <v>6243</v>
      </c>
      <c r="Q702" s="87" t="s">
        <v>6313</v>
      </c>
      <c r="R702" s="87" t="s">
        <v>6565</v>
      </c>
      <c r="S702" s="87" t="s">
        <v>6327</v>
      </c>
      <c r="T702" s="87" t="s">
        <v>6348</v>
      </c>
    </row>
    <row r="703" spans="1:20" ht="15.75" customHeight="1">
      <c r="A703" s="9" t="s">
        <v>2991</v>
      </c>
      <c r="B703" s="9" t="s">
        <v>7829</v>
      </c>
      <c r="C703" s="9" t="s">
        <v>6236</v>
      </c>
      <c r="D703" s="87" t="s">
        <v>6393</v>
      </c>
      <c r="E703" s="9" t="s">
        <v>431</v>
      </c>
      <c r="F703" s="9" t="s">
        <v>368</v>
      </c>
      <c r="G703" s="9" t="s">
        <v>436</v>
      </c>
      <c r="H703" s="9" t="s">
        <v>434</v>
      </c>
      <c r="I703" s="87" t="s">
        <v>6237</v>
      </c>
      <c r="J703" s="87" t="s">
        <v>6565</v>
      </c>
      <c r="K703" s="87" t="s">
        <v>6239</v>
      </c>
      <c r="L703" s="87" t="s">
        <v>6240</v>
      </c>
      <c r="M703" s="87" t="s">
        <v>6601</v>
      </c>
      <c r="N703" s="9" t="s">
        <v>6928</v>
      </c>
      <c r="O703" s="87" t="s">
        <v>6239</v>
      </c>
      <c r="P703" s="9" t="s">
        <v>6243</v>
      </c>
      <c r="Q703" s="87" t="s">
        <v>3764</v>
      </c>
      <c r="R703" s="87" t="s">
        <v>6565</v>
      </c>
      <c r="S703" s="87" t="s">
        <v>6327</v>
      </c>
      <c r="T703" s="87" t="s">
        <v>6645</v>
      </c>
    </row>
    <row r="704" spans="1:20" ht="15.75" customHeight="1">
      <c r="A704" s="9" t="s">
        <v>2991</v>
      </c>
      <c r="B704" s="9" t="s">
        <v>7829</v>
      </c>
      <c r="C704" s="9" t="s">
        <v>6236</v>
      </c>
      <c r="D704" s="87" t="s">
        <v>6393</v>
      </c>
      <c r="E704" s="9" t="s">
        <v>431</v>
      </c>
      <c r="F704" s="9" t="s">
        <v>368</v>
      </c>
      <c r="G704" s="9" t="s">
        <v>436</v>
      </c>
      <c r="H704" s="9" t="s">
        <v>434</v>
      </c>
      <c r="I704" s="87" t="s">
        <v>6237</v>
      </c>
      <c r="J704" s="87" t="s">
        <v>6565</v>
      </c>
      <c r="K704" s="87" t="s">
        <v>6239</v>
      </c>
      <c r="L704" s="87" t="s">
        <v>6240</v>
      </c>
      <c r="M704" s="87" t="s">
        <v>6613</v>
      </c>
      <c r="N704" s="9" t="s">
        <v>6928</v>
      </c>
      <c r="O704" s="87" t="s">
        <v>6239</v>
      </c>
      <c r="P704" s="9" t="s">
        <v>6243</v>
      </c>
      <c r="Q704" s="87" t="s">
        <v>3764</v>
      </c>
      <c r="R704" s="87" t="s">
        <v>6565</v>
      </c>
      <c r="S704" s="87" t="s">
        <v>6327</v>
      </c>
      <c r="T704" s="87" t="s">
        <v>6645</v>
      </c>
    </row>
    <row r="705" spans="1:20" ht="15.75" customHeight="1">
      <c r="A705" s="9" t="s">
        <v>2991</v>
      </c>
      <c r="B705" s="9" t="s">
        <v>7829</v>
      </c>
      <c r="C705" s="9" t="s">
        <v>6236</v>
      </c>
      <c r="D705" s="87" t="s">
        <v>6393</v>
      </c>
      <c r="E705" s="9" t="s">
        <v>431</v>
      </c>
      <c r="F705" s="9" t="s">
        <v>368</v>
      </c>
      <c r="G705" s="9" t="s">
        <v>436</v>
      </c>
      <c r="H705" s="9" t="s">
        <v>434</v>
      </c>
      <c r="I705" s="87" t="s">
        <v>6237</v>
      </c>
      <c r="J705" s="87" t="s">
        <v>6565</v>
      </c>
      <c r="K705" s="87" t="s">
        <v>6239</v>
      </c>
      <c r="L705" s="87" t="s">
        <v>6240</v>
      </c>
      <c r="M705" s="87" t="s">
        <v>6616</v>
      </c>
      <c r="N705" s="9" t="s">
        <v>6928</v>
      </c>
      <c r="O705" s="87" t="s">
        <v>6239</v>
      </c>
      <c r="P705" s="9" t="s">
        <v>6243</v>
      </c>
      <c r="Q705" s="87" t="s">
        <v>3764</v>
      </c>
      <c r="R705" s="87" t="s">
        <v>6565</v>
      </c>
      <c r="S705" s="87" t="s">
        <v>6327</v>
      </c>
      <c r="T705" s="87" t="s">
        <v>6645</v>
      </c>
    </row>
    <row r="706" spans="1:20" ht="15.75" customHeight="1">
      <c r="A706" s="9" t="s">
        <v>2991</v>
      </c>
      <c r="B706" s="9" t="s">
        <v>7829</v>
      </c>
      <c r="C706" s="9" t="s">
        <v>6236</v>
      </c>
      <c r="D706" s="87" t="s">
        <v>6393</v>
      </c>
      <c r="E706" s="9" t="s">
        <v>431</v>
      </c>
      <c r="F706" s="9" t="s">
        <v>368</v>
      </c>
      <c r="G706" s="9" t="s">
        <v>436</v>
      </c>
      <c r="H706" s="9" t="s">
        <v>434</v>
      </c>
      <c r="I706" s="87" t="s">
        <v>6237</v>
      </c>
      <c r="J706" s="87" t="s">
        <v>6565</v>
      </c>
      <c r="K706" s="87" t="s">
        <v>6500</v>
      </c>
      <c r="L706" s="87" t="s">
        <v>6240</v>
      </c>
      <c r="M706" s="87" t="s">
        <v>6620</v>
      </c>
      <c r="N706" s="9" t="s">
        <v>7148</v>
      </c>
      <c r="O706" s="87" t="s">
        <v>6500</v>
      </c>
      <c r="P706" s="9" t="s">
        <v>6243</v>
      </c>
      <c r="Q706" s="87" t="s">
        <v>3749</v>
      </c>
      <c r="R706" s="87" t="s">
        <v>6565</v>
      </c>
      <c r="S706" s="87" t="s">
        <v>6245</v>
      </c>
      <c r="T706" s="87" t="s">
        <v>6645</v>
      </c>
    </row>
    <row r="707" spans="1:20" ht="15.75" customHeight="1">
      <c r="A707" s="9" t="s">
        <v>2991</v>
      </c>
      <c r="B707" s="9" t="s">
        <v>7830</v>
      </c>
      <c r="C707" s="9" t="s">
        <v>6923</v>
      </c>
      <c r="D707" s="87" t="s">
        <v>6461</v>
      </c>
      <c r="E707" s="9" t="s">
        <v>6924</v>
      </c>
      <c r="F707" s="9" t="s">
        <v>6925</v>
      </c>
      <c r="G707" s="9" t="s">
        <v>383</v>
      </c>
      <c r="H707" s="9" t="s">
        <v>427</v>
      </c>
      <c r="I707" s="87" t="s">
        <v>6405</v>
      </c>
      <c r="J707" s="87" t="s">
        <v>6290</v>
      </c>
      <c r="K707" s="87" t="s">
        <v>6926</v>
      </c>
      <c r="L707" s="87" t="s">
        <v>6372</v>
      </c>
      <c r="M707" s="87" t="s">
        <v>6730</v>
      </c>
      <c r="N707" s="9" t="s">
        <v>7212</v>
      </c>
      <c r="O707" s="87" t="s">
        <v>6295</v>
      </c>
      <c r="P707" s="9" t="s">
        <v>6243</v>
      </c>
      <c r="Q707" s="87" t="s">
        <v>6372</v>
      </c>
      <c r="R707" s="87" t="s">
        <v>6290</v>
      </c>
      <c r="S707" s="87" t="s">
        <v>6245</v>
      </c>
      <c r="T707" s="87" t="s">
        <v>6250</v>
      </c>
    </row>
    <row r="708" spans="1:20" ht="15.75" customHeight="1">
      <c r="A708" s="9" t="s">
        <v>2991</v>
      </c>
      <c r="B708" s="9" t="s">
        <v>7830</v>
      </c>
      <c r="C708" s="9" t="s">
        <v>7228</v>
      </c>
      <c r="D708" s="87" t="s">
        <v>6237</v>
      </c>
      <c r="E708" s="9" t="s">
        <v>6924</v>
      </c>
      <c r="F708" s="9" t="s">
        <v>11</v>
      </c>
      <c r="G708" s="9" t="s">
        <v>383</v>
      </c>
      <c r="H708" s="9" t="s">
        <v>426</v>
      </c>
      <c r="I708" s="87" t="s">
        <v>6405</v>
      </c>
      <c r="J708" s="87" t="s">
        <v>6405</v>
      </c>
      <c r="K708" s="87" t="s">
        <v>6405</v>
      </c>
      <c r="L708" s="87" t="s">
        <v>6397</v>
      </c>
      <c r="M708" s="87" t="s">
        <v>6634</v>
      </c>
      <c r="N708" s="9" t="s">
        <v>7583</v>
      </c>
      <c r="O708" s="87" t="s">
        <v>6240</v>
      </c>
      <c r="P708" s="9" t="s">
        <v>6243</v>
      </c>
      <c r="Q708" s="87" t="s">
        <v>6397</v>
      </c>
      <c r="R708" s="87" t="s">
        <v>6405</v>
      </c>
      <c r="S708" s="87" t="s">
        <v>6479</v>
      </c>
      <c r="T708" s="87" t="s">
        <v>6287</v>
      </c>
    </row>
    <row r="709" spans="1:20" ht="15.75" customHeight="1">
      <c r="A709" s="9" t="s">
        <v>2991</v>
      </c>
      <c r="B709" s="9" t="s">
        <v>7831</v>
      </c>
      <c r="C709" s="9" t="s">
        <v>6923</v>
      </c>
      <c r="D709" s="87" t="s">
        <v>6461</v>
      </c>
      <c r="E709" s="9" t="s">
        <v>6924</v>
      </c>
      <c r="F709" s="9" t="s">
        <v>6925</v>
      </c>
      <c r="G709" s="9" t="s">
        <v>383</v>
      </c>
      <c r="H709" s="9" t="s">
        <v>427</v>
      </c>
      <c r="I709" s="87" t="s">
        <v>6405</v>
      </c>
      <c r="J709" s="87" t="s">
        <v>6290</v>
      </c>
      <c r="K709" s="87" t="s">
        <v>6931</v>
      </c>
      <c r="L709" s="87" t="s">
        <v>6372</v>
      </c>
      <c r="M709" s="87" t="s">
        <v>6634</v>
      </c>
      <c r="N709" s="9" t="s">
        <v>7034</v>
      </c>
      <c r="O709" s="87" t="s">
        <v>6239</v>
      </c>
      <c r="P709" s="9" t="s">
        <v>6243</v>
      </c>
      <c r="Q709" s="87" t="s">
        <v>3764</v>
      </c>
      <c r="R709" s="87" t="s">
        <v>6290</v>
      </c>
      <c r="S709" s="87" t="s">
        <v>7035</v>
      </c>
      <c r="T709" s="87" t="s">
        <v>6341</v>
      </c>
    </row>
    <row r="710" spans="1:20" ht="15.75" customHeight="1">
      <c r="A710" s="9" t="s">
        <v>2991</v>
      </c>
      <c r="B710" s="9" t="s">
        <v>7831</v>
      </c>
      <c r="C710" s="9" t="s">
        <v>7228</v>
      </c>
      <c r="D710" s="87" t="s">
        <v>6237</v>
      </c>
      <c r="E710" s="9" t="s">
        <v>6924</v>
      </c>
      <c r="F710" s="9" t="s">
        <v>11</v>
      </c>
      <c r="G710" s="9" t="s">
        <v>383</v>
      </c>
      <c r="H710" s="9" t="s">
        <v>426</v>
      </c>
      <c r="I710" s="87" t="s">
        <v>6405</v>
      </c>
      <c r="J710" s="87" t="s">
        <v>6264</v>
      </c>
      <c r="K710" s="87" t="s">
        <v>6264</v>
      </c>
      <c r="L710" s="87" t="s">
        <v>6397</v>
      </c>
      <c r="M710" s="87" t="s">
        <v>6721</v>
      </c>
      <c r="N710" s="9" t="s">
        <v>7300</v>
      </c>
      <c r="O710" s="87" t="s">
        <v>6313</v>
      </c>
      <c r="P710" s="9" t="s">
        <v>6243</v>
      </c>
      <c r="Q710" s="87" t="s">
        <v>6357</v>
      </c>
      <c r="R710" s="87" t="s">
        <v>6264</v>
      </c>
      <c r="S710" s="87" t="s">
        <v>6651</v>
      </c>
      <c r="T710" s="87" t="s">
        <v>6341</v>
      </c>
    </row>
    <row r="711" spans="1:20" ht="15.75" customHeight="1">
      <c r="A711" s="9" t="s">
        <v>2991</v>
      </c>
      <c r="B711" s="9" t="s">
        <v>7832</v>
      </c>
      <c r="C711" s="9" t="s">
        <v>6923</v>
      </c>
      <c r="D711" s="87" t="s">
        <v>6461</v>
      </c>
      <c r="E711" s="9" t="s">
        <v>6924</v>
      </c>
      <c r="F711" s="9" t="s">
        <v>6925</v>
      </c>
      <c r="G711" s="9" t="s">
        <v>383</v>
      </c>
      <c r="H711" s="9" t="s">
        <v>427</v>
      </c>
      <c r="I711" s="87" t="s">
        <v>6405</v>
      </c>
      <c r="J711" s="87" t="s">
        <v>6290</v>
      </c>
      <c r="K711" s="87" t="s">
        <v>6931</v>
      </c>
      <c r="L711" s="87" t="s">
        <v>6372</v>
      </c>
      <c r="M711" s="87" t="s">
        <v>6721</v>
      </c>
      <c r="N711" s="9" t="s">
        <v>7034</v>
      </c>
      <c r="O711" s="87" t="s">
        <v>6239</v>
      </c>
      <c r="P711" s="9" t="s">
        <v>6243</v>
      </c>
      <c r="Q711" s="87" t="s">
        <v>3764</v>
      </c>
      <c r="R711" s="87" t="s">
        <v>6290</v>
      </c>
      <c r="S711" s="87" t="s">
        <v>7035</v>
      </c>
      <c r="T711" s="87" t="s">
        <v>6341</v>
      </c>
    </row>
    <row r="712" spans="1:20" ht="15.75" customHeight="1">
      <c r="A712" s="9" t="s">
        <v>2991</v>
      </c>
      <c r="B712" s="9" t="s">
        <v>7832</v>
      </c>
      <c r="C712" s="9" t="s">
        <v>7228</v>
      </c>
      <c r="D712" s="87" t="s">
        <v>6237</v>
      </c>
      <c r="E712" s="9" t="s">
        <v>6924</v>
      </c>
      <c r="F712" s="9" t="s">
        <v>11</v>
      </c>
      <c r="G712" s="9" t="s">
        <v>383</v>
      </c>
      <c r="H712" s="9" t="s">
        <v>426</v>
      </c>
      <c r="I712" s="87" t="s">
        <v>6405</v>
      </c>
      <c r="J712" s="87" t="s">
        <v>6264</v>
      </c>
      <c r="K712" s="87" t="s">
        <v>6264</v>
      </c>
      <c r="L712" s="87" t="s">
        <v>6397</v>
      </c>
      <c r="M712" s="87" t="s">
        <v>6718</v>
      </c>
      <c r="N712" s="9" t="s">
        <v>7300</v>
      </c>
      <c r="O712" s="87" t="s">
        <v>6313</v>
      </c>
      <c r="P712" s="9" t="s">
        <v>6243</v>
      </c>
      <c r="Q712" s="87" t="s">
        <v>6357</v>
      </c>
      <c r="R712" s="87" t="s">
        <v>6264</v>
      </c>
      <c r="S712" s="87" t="s">
        <v>6651</v>
      </c>
      <c r="T712" s="87" t="s">
        <v>6341</v>
      </c>
    </row>
    <row r="713" spans="1:20" ht="15.75" customHeight="1">
      <c r="A713" s="9" t="s">
        <v>2991</v>
      </c>
      <c r="B713" s="9" t="s">
        <v>7833</v>
      </c>
      <c r="C713" s="9" t="s">
        <v>6923</v>
      </c>
      <c r="D713" s="87" t="s">
        <v>6461</v>
      </c>
      <c r="E713" s="9" t="s">
        <v>6924</v>
      </c>
      <c r="F713" s="9" t="s">
        <v>6925</v>
      </c>
      <c r="G713" s="9" t="s">
        <v>383</v>
      </c>
      <c r="H713" s="9" t="s">
        <v>427</v>
      </c>
      <c r="I713" s="87" t="s">
        <v>6405</v>
      </c>
      <c r="J713" s="87" t="s">
        <v>6290</v>
      </c>
      <c r="K713" s="87" t="s">
        <v>6931</v>
      </c>
      <c r="L713" s="87" t="s">
        <v>6372</v>
      </c>
      <c r="M713" s="87" t="s">
        <v>6718</v>
      </c>
      <c r="N713" s="9" t="s">
        <v>7034</v>
      </c>
      <c r="O713" s="87" t="s">
        <v>6239</v>
      </c>
      <c r="P713" s="9" t="s">
        <v>6243</v>
      </c>
      <c r="Q713" s="87" t="s">
        <v>3764</v>
      </c>
      <c r="R713" s="87" t="s">
        <v>6290</v>
      </c>
      <c r="S713" s="87" t="s">
        <v>7035</v>
      </c>
      <c r="T713" s="87" t="s">
        <v>6341</v>
      </c>
    </row>
    <row r="714" spans="1:20" ht="15.75" customHeight="1">
      <c r="A714" s="9" t="s">
        <v>2991</v>
      </c>
      <c r="B714" s="9" t="s">
        <v>7833</v>
      </c>
      <c r="C714" s="9" t="s">
        <v>7228</v>
      </c>
      <c r="D714" s="87" t="s">
        <v>6237</v>
      </c>
      <c r="E714" s="9" t="s">
        <v>6924</v>
      </c>
      <c r="F714" s="9" t="s">
        <v>11</v>
      </c>
      <c r="G714" s="9" t="s">
        <v>383</v>
      </c>
      <c r="H714" s="9" t="s">
        <v>426</v>
      </c>
      <c r="I714" s="87" t="s">
        <v>6405</v>
      </c>
      <c r="J714" s="87" t="s">
        <v>6264</v>
      </c>
      <c r="K714" s="87" t="s">
        <v>6264</v>
      </c>
      <c r="L714" s="87" t="s">
        <v>6397</v>
      </c>
      <c r="M714" s="87" t="s">
        <v>6635</v>
      </c>
      <c r="N714" s="9" t="s">
        <v>7300</v>
      </c>
      <c r="O714" s="87" t="s">
        <v>6313</v>
      </c>
      <c r="P714" s="9" t="s">
        <v>6243</v>
      </c>
      <c r="Q714" s="87" t="s">
        <v>6357</v>
      </c>
      <c r="R714" s="87" t="s">
        <v>6264</v>
      </c>
      <c r="S714" s="87" t="s">
        <v>6651</v>
      </c>
      <c r="T714" s="87" t="s">
        <v>6341</v>
      </c>
    </row>
    <row r="715" spans="1:20" ht="15.75" customHeight="1">
      <c r="A715" s="9" t="s">
        <v>2972</v>
      </c>
      <c r="B715" s="9" t="s">
        <v>7834</v>
      </c>
      <c r="C715" s="9" t="s">
        <v>6236</v>
      </c>
      <c r="D715" s="87" t="s">
        <v>6393</v>
      </c>
      <c r="E715" s="9" t="s">
        <v>431</v>
      </c>
      <c r="F715" s="9" t="s">
        <v>368</v>
      </c>
      <c r="G715" s="9" t="s">
        <v>436</v>
      </c>
      <c r="H715" s="9" t="s">
        <v>434</v>
      </c>
      <c r="I715" s="87" t="s">
        <v>6240</v>
      </c>
      <c r="J715" s="87" t="s">
        <v>6299</v>
      </c>
      <c r="K715" s="87" t="s">
        <v>6323</v>
      </c>
      <c r="L715" s="87" t="s">
        <v>6240</v>
      </c>
      <c r="M715" s="87" t="s">
        <v>6763</v>
      </c>
      <c r="N715" s="9" t="s">
        <v>7532</v>
      </c>
      <c r="O715" s="87" t="s">
        <v>6323</v>
      </c>
      <c r="P715" s="9" t="s">
        <v>6243</v>
      </c>
      <c r="Q715" s="87" t="s">
        <v>5374</v>
      </c>
      <c r="R715" s="87" t="s">
        <v>6299</v>
      </c>
      <c r="S715" s="87" t="s">
        <v>6327</v>
      </c>
      <c r="T715" s="87" t="s">
        <v>6484</v>
      </c>
    </row>
    <row r="716" spans="1:20" ht="15.75" customHeight="1">
      <c r="A716" s="9" t="s">
        <v>2972</v>
      </c>
      <c r="B716" s="9" t="s">
        <v>7834</v>
      </c>
      <c r="C716" s="9" t="s">
        <v>6236</v>
      </c>
      <c r="D716" s="87" t="s">
        <v>6393</v>
      </c>
      <c r="E716" s="9" t="s">
        <v>431</v>
      </c>
      <c r="F716" s="9" t="s">
        <v>368</v>
      </c>
      <c r="G716" s="9" t="s">
        <v>436</v>
      </c>
      <c r="H716" s="9" t="s">
        <v>434</v>
      </c>
      <c r="I716" s="87" t="s">
        <v>6240</v>
      </c>
      <c r="J716" s="87" t="s">
        <v>6299</v>
      </c>
      <c r="K716" s="87" t="s">
        <v>6461</v>
      </c>
      <c r="L716" s="87" t="s">
        <v>6240</v>
      </c>
      <c r="M716" s="87" t="s">
        <v>6700</v>
      </c>
      <c r="N716" s="9" t="s">
        <v>7835</v>
      </c>
      <c r="O716" s="87" t="s">
        <v>6461</v>
      </c>
      <c r="P716" s="9" t="s">
        <v>6243</v>
      </c>
      <c r="Q716" s="87" t="s">
        <v>6255</v>
      </c>
      <c r="R716" s="87" t="s">
        <v>6299</v>
      </c>
      <c r="S716" s="87" t="s">
        <v>6313</v>
      </c>
      <c r="T716" s="87" t="s">
        <v>4953</v>
      </c>
    </row>
    <row r="717" spans="1:20" ht="15.75" customHeight="1">
      <c r="A717" s="9" t="s">
        <v>2972</v>
      </c>
      <c r="B717" s="9" t="s">
        <v>7837</v>
      </c>
      <c r="C717" s="9" t="s">
        <v>6923</v>
      </c>
      <c r="D717" s="87" t="s">
        <v>6264</v>
      </c>
      <c r="E717" s="9" t="s">
        <v>6924</v>
      </c>
      <c r="F717" s="9" t="s">
        <v>6925</v>
      </c>
      <c r="G717" s="9" t="s">
        <v>383</v>
      </c>
      <c r="H717" s="9" t="s">
        <v>449</v>
      </c>
      <c r="I717" s="87" t="s">
        <v>6405</v>
      </c>
      <c r="J717" s="87" t="s">
        <v>6405</v>
      </c>
      <c r="K717" s="87" t="s">
        <v>6926</v>
      </c>
      <c r="L717" s="87" t="s">
        <v>6372</v>
      </c>
      <c r="M717" s="87" t="s">
        <v>6699</v>
      </c>
      <c r="N717" s="9" t="s">
        <v>7994</v>
      </c>
      <c r="O717" s="87" t="s">
        <v>6295</v>
      </c>
      <c r="P717" s="9" t="s">
        <v>6243</v>
      </c>
      <c r="Q717" s="87" t="s">
        <v>6372</v>
      </c>
      <c r="R717" s="87" t="s">
        <v>6405</v>
      </c>
      <c r="S717" s="87" t="s">
        <v>6413</v>
      </c>
      <c r="T717" s="87" t="s">
        <v>6277</v>
      </c>
    </row>
    <row r="718" spans="1:20" ht="15.75" customHeight="1">
      <c r="A718" s="9" t="s">
        <v>2972</v>
      </c>
      <c r="B718" s="9" t="s">
        <v>7836</v>
      </c>
      <c r="C718" s="9" t="s">
        <v>6671</v>
      </c>
      <c r="D718" s="87" t="s">
        <v>6296</v>
      </c>
      <c r="E718" s="9" t="s">
        <v>6672</v>
      </c>
      <c r="F718" s="9" t="s">
        <v>439</v>
      </c>
      <c r="G718" s="9" t="s">
        <v>436</v>
      </c>
      <c r="H718" s="9" t="s">
        <v>440</v>
      </c>
      <c r="I718" s="87" t="s">
        <v>6405</v>
      </c>
      <c r="J718" s="87" t="s">
        <v>6255</v>
      </c>
      <c r="K718" s="87" t="s">
        <v>6255</v>
      </c>
      <c r="L718" s="87" t="s">
        <v>6240</v>
      </c>
      <c r="M718" s="87" t="s">
        <v>6699</v>
      </c>
      <c r="N718" s="9" t="s">
        <v>7145</v>
      </c>
      <c r="O718" s="87" t="s">
        <v>6255</v>
      </c>
      <c r="P718" s="9" t="s">
        <v>6243</v>
      </c>
      <c r="Q718" s="87" t="s">
        <v>4947</v>
      </c>
      <c r="R718" s="87" t="s">
        <v>6255</v>
      </c>
      <c r="S718" s="87" t="s">
        <v>6300</v>
      </c>
      <c r="T718" s="87" t="s">
        <v>6645</v>
      </c>
    </row>
    <row r="719" spans="1:20" ht="15.75" customHeight="1">
      <c r="A719" s="9" t="s">
        <v>2972</v>
      </c>
      <c r="B719" s="9" t="s">
        <v>7837</v>
      </c>
      <c r="C719" s="9" t="s">
        <v>7228</v>
      </c>
      <c r="D719" s="87" t="s">
        <v>6405</v>
      </c>
      <c r="E719" s="9" t="s">
        <v>6924</v>
      </c>
      <c r="F719" s="9" t="s">
        <v>11</v>
      </c>
      <c r="G719" s="9" t="s">
        <v>383</v>
      </c>
      <c r="H719" s="9" t="s">
        <v>426</v>
      </c>
      <c r="I719" s="87" t="s">
        <v>6405</v>
      </c>
      <c r="J719" s="87" t="s">
        <v>6405</v>
      </c>
      <c r="K719" s="87" t="s">
        <v>6405</v>
      </c>
      <c r="L719" s="87" t="s">
        <v>6250</v>
      </c>
      <c r="M719" s="87" t="s">
        <v>6696</v>
      </c>
      <c r="N719" s="9" t="s">
        <v>7838</v>
      </c>
      <c r="O719" s="87" t="s">
        <v>6435</v>
      </c>
      <c r="P719" s="9" t="s">
        <v>6243</v>
      </c>
      <c r="Q719" s="87" t="s">
        <v>6250</v>
      </c>
      <c r="R719" s="87" t="s">
        <v>6405</v>
      </c>
      <c r="S719" s="87" t="s">
        <v>6484</v>
      </c>
      <c r="T719" s="87" t="s">
        <v>6250</v>
      </c>
    </row>
    <row r="720" spans="1:20" ht="15.75" customHeight="1">
      <c r="A720" s="9" t="s">
        <v>2909</v>
      </c>
      <c r="B720" s="9" t="s">
        <v>7839</v>
      </c>
      <c r="C720" s="9" t="s">
        <v>6236</v>
      </c>
      <c r="D720" s="87" t="s">
        <v>6393</v>
      </c>
      <c r="E720" s="9" t="s">
        <v>431</v>
      </c>
      <c r="F720" s="9" t="s">
        <v>368</v>
      </c>
      <c r="G720" s="9" t="s">
        <v>436</v>
      </c>
      <c r="H720" s="9" t="s">
        <v>434</v>
      </c>
      <c r="I720" s="87" t="s">
        <v>6237</v>
      </c>
      <c r="J720" s="87" t="s">
        <v>4947</v>
      </c>
      <c r="K720" s="87" t="s">
        <v>6239</v>
      </c>
      <c r="L720" s="87" t="s">
        <v>6240</v>
      </c>
      <c r="M720" s="87" t="s">
        <v>6704</v>
      </c>
      <c r="N720" s="9" t="s">
        <v>6928</v>
      </c>
      <c r="O720" s="87" t="s">
        <v>6239</v>
      </c>
      <c r="P720" s="9" t="s">
        <v>6243</v>
      </c>
      <c r="Q720" s="87" t="s">
        <v>3764</v>
      </c>
      <c r="R720" s="87" t="s">
        <v>4947</v>
      </c>
      <c r="S720" s="87" t="s">
        <v>6327</v>
      </c>
      <c r="T720" s="87" t="s">
        <v>6645</v>
      </c>
    </row>
    <row r="721" spans="1:20" ht="15.75" customHeight="1">
      <c r="A721" s="9" t="s">
        <v>2909</v>
      </c>
      <c r="B721" s="9" t="s">
        <v>7839</v>
      </c>
      <c r="C721" s="9" t="s">
        <v>6236</v>
      </c>
      <c r="D721" s="87" t="s">
        <v>6393</v>
      </c>
      <c r="E721" s="9" t="s">
        <v>431</v>
      </c>
      <c r="F721" s="9" t="s">
        <v>368</v>
      </c>
      <c r="G721" s="9" t="s">
        <v>436</v>
      </c>
      <c r="H721" s="9" t="s">
        <v>434</v>
      </c>
      <c r="I721" s="87" t="s">
        <v>6237</v>
      </c>
      <c r="J721" s="87" t="s">
        <v>4947</v>
      </c>
      <c r="K721" s="87" t="s">
        <v>6409</v>
      </c>
      <c r="L721" s="87" t="s">
        <v>6240</v>
      </c>
      <c r="M721" s="87" t="s">
        <v>6697</v>
      </c>
      <c r="N721" s="9" t="s">
        <v>7151</v>
      </c>
      <c r="O721" s="87" t="s">
        <v>6409</v>
      </c>
      <c r="P721" s="9" t="s">
        <v>6243</v>
      </c>
      <c r="Q721" s="87" t="s">
        <v>6489</v>
      </c>
      <c r="R721" s="87" t="s">
        <v>4947</v>
      </c>
      <c r="S721" s="87" t="s">
        <v>6409</v>
      </c>
      <c r="T721" s="87" t="s">
        <v>6645</v>
      </c>
    </row>
    <row r="722" spans="1:20" ht="15.75" customHeight="1">
      <c r="A722" s="9" t="s">
        <v>2909</v>
      </c>
      <c r="B722" s="9" t="s">
        <v>7840</v>
      </c>
      <c r="C722" s="9" t="s">
        <v>6671</v>
      </c>
      <c r="D722" s="87" t="s">
        <v>6296</v>
      </c>
      <c r="E722" s="9" t="s">
        <v>6672</v>
      </c>
      <c r="F722" s="9" t="s">
        <v>439</v>
      </c>
      <c r="G722" s="9" t="s">
        <v>436</v>
      </c>
      <c r="H722" s="9" t="s">
        <v>440</v>
      </c>
      <c r="I722" s="87" t="s">
        <v>6405</v>
      </c>
      <c r="J722" s="87" t="s">
        <v>6562</v>
      </c>
      <c r="K722" s="87" t="s">
        <v>6239</v>
      </c>
      <c r="L722" s="87" t="s">
        <v>6240</v>
      </c>
      <c r="M722" s="87" t="s">
        <v>6690</v>
      </c>
      <c r="N722" s="9" t="s">
        <v>6928</v>
      </c>
      <c r="O722" s="87" t="s">
        <v>6239</v>
      </c>
      <c r="P722" s="9" t="s">
        <v>6243</v>
      </c>
      <c r="Q722" s="87" t="s">
        <v>3764</v>
      </c>
      <c r="R722" s="87" t="s">
        <v>6562</v>
      </c>
      <c r="S722" s="87" t="s">
        <v>6327</v>
      </c>
      <c r="T722" s="87" t="s">
        <v>6645</v>
      </c>
    </row>
    <row r="723" spans="1:20" ht="15.75" customHeight="1">
      <c r="A723" s="9" t="s">
        <v>2909</v>
      </c>
      <c r="B723" s="9" t="s">
        <v>7841</v>
      </c>
      <c r="C723" s="9" t="s">
        <v>6923</v>
      </c>
      <c r="D723" s="87" t="s">
        <v>6264</v>
      </c>
      <c r="E723" s="9" t="s">
        <v>6924</v>
      </c>
      <c r="F723" s="9" t="s">
        <v>6925</v>
      </c>
      <c r="G723" s="9" t="s">
        <v>383</v>
      </c>
      <c r="H723" s="9" t="s">
        <v>449</v>
      </c>
      <c r="I723" s="87" t="s">
        <v>6405</v>
      </c>
      <c r="J723" s="87" t="s">
        <v>6405</v>
      </c>
      <c r="K723" s="87" t="s">
        <v>6926</v>
      </c>
      <c r="L723" s="87" t="s">
        <v>6306</v>
      </c>
      <c r="M723" s="87" t="s">
        <v>6686</v>
      </c>
      <c r="N723" s="9" t="s">
        <v>7995</v>
      </c>
      <c r="O723" s="87" t="s">
        <v>4953</v>
      </c>
      <c r="P723" s="9" t="s">
        <v>6243</v>
      </c>
      <c r="Q723" s="87" t="s">
        <v>6306</v>
      </c>
      <c r="R723" s="87" t="s">
        <v>6405</v>
      </c>
      <c r="S723" s="87" t="s">
        <v>6263</v>
      </c>
      <c r="T723" s="87" t="s">
        <v>6284</v>
      </c>
    </row>
    <row r="724" spans="1:20" ht="15.75" customHeight="1">
      <c r="A724" s="9" t="s">
        <v>2909</v>
      </c>
      <c r="B724" s="9" t="s">
        <v>7842</v>
      </c>
      <c r="C724" s="9" t="s">
        <v>6923</v>
      </c>
      <c r="D724" s="87" t="s">
        <v>6461</v>
      </c>
      <c r="E724" s="9" t="s">
        <v>6924</v>
      </c>
      <c r="F724" s="9" t="s">
        <v>6925</v>
      </c>
      <c r="G724" s="9" t="s">
        <v>383</v>
      </c>
      <c r="H724" s="9" t="s">
        <v>427</v>
      </c>
      <c r="I724" s="87" t="s">
        <v>6405</v>
      </c>
      <c r="J724" s="87" t="s">
        <v>6405</v>
      </c>
      <c r="K724" s="87" t="s">
        <v>6926</v>
      </c>
      <c r="L724" s="87" t="s">
        <v>6305</v>
      </c>
      <c r="M724" s="87" t="s">
        <v>6686</v>
      </c>
      <c r="N724" s="9" t="s">
        <v>7996</v>
      </c>
      <c r="O724" s="87" t="s">
        <v>6433</v>
      </c>
      <c r="P724" s="9" t="s">
        <v>6243</v>
      </c>
      <c r="Q724" s="87" t="s">
        <v>6305</v>
      </c>
      <c r="R724" s="87" t="s">
        <v>6405</v>
      </c>
      <c r="S724" s="87" t="s">
        <v>5381</v>
      </c>
      <c r="T724" s="87" t="s">
        <v>6284</v>
      </c>
    </row>
    <row r="725" spans="1:20" ht="15.75" customHeight="1">
      <c r="A725" s="9" t="s">
        <v>2909</v>
      </c>
      <c r="B725" s="9" t="s">
        <v>7840</v>
      </c>
      <c r="C725" s="9" t="s">
        <v>6671</v>
      </c>
      <c r="D725" s="87" t="s">
        <v>6296</v>
      </c>
      <c r="E725" s="9" t="s">
        <v>6672</v>
      </c>
      <c r="F725" s="9" t="s">
        <v>439</v>
      </c>
      <c r="G725" s="9" t="s">
        <v>436</v>
      </c>
      <c r="H725" s="9" t="s">
        <v>440</v>
      </c>
      <c r="I725" s="87" t="s">
        <v>6405</v>
      </c>
      <c r="J725" s="87" t="s">
        <v>6562</v>
      </c>
      <c r="K725" s="87" t="s">
        <v>6421</v>
      </c>
      <c r="L725" s="87" t="s">
        <v>6240</v>
      </c>
      <c r="M725" s="87" t="s">
        <v>6686</v>
      </c>
      <c r="N725" s="9" t="s">
        <v>7214</v>
      </c>
      <c r="O725" s="87" t="s">
        <v>6421</v>
      </c>
      <c r="P725" s="9" t="s">
        <v>6243</v>
      </c>
      <c r="Q725" s="87" t="s">
        <v>6316</v>
      </c>
      <c r="R725" s="87" t="s">
        <v>6562</v>
      </c>
      <c r="S725" s="87" t="s">
        <v>6532</v>
      </c>
      <c r="T725" s="87" t="s">
        <v>6645</v>
      </c>
    </row>
    <row r="726" spans="1:20" ht="15.75" customHeight="1">
      <c r="A726" s="9" t="s">
        <v>2908</v>
      </c>
      <c r="B726" s="9" t="s">
        <v>7843</v>
      </c>
      <c r="C726" s="9" t="s">
        <v>6236</v>
      </c>
      <c r="D726" s="87" t="s">
        <v>6393</v>
      </c>
      <c r="E726" s="9" t="s">
        <v>431</v>
      </c>
      <c r="F726" s="9" t="s">
        <v>368</v>
      </c>
      <c r="G726" s="9" t="s">
        <v>436</v>
      </c>
      <c r="H726" s="9" t="s">
        <v>434</v>
      </c>
      <c r="I726" s="87" t="s">
        <v>6264</v>
      </c>
      <c r="J726" s="87" t="s">
        <v>6660</v>
      </c>
      <c r="K726" s="87" t="s">
        <v>6239</v>
      </c>
      <c r="L726" s="87" t="s">
        <v>6240</v>
      </c>
      <c r="M726" s="87" t="s">
        <v>6661</v>
      </c>
      <c r="N726" s="9" t="s">
        <v>6928</v>
      </c>
      <c r="O726" s="87" t="s">
        <v>6239</v>
      </c>
      <c r="P726" s="9" t="s">
        <v>6243</v>
      </c>
      <c r="Q726" s="87" t="s">
        <v>3764</v>
      </c>
      <c r="R726" s="87" t="s">
        <v>6660</v>
      </c>
      <c r="S726" s="87" t="s">
        <v>6327</v>
      </c>
      <c r="T726" s="87" t="s">
        <v>6645</v>
      </c>
    </row>
    <row r="727" spans="1:20" ht="15.75" customHeight="1">
      <c r="A727" s="9" t="s">
        <v>2908</v>
      </c>
      <c r="B727" s="9" t="s">
        <v>7843</v>
      </c>
      <c r="C727" s="9" t="s">
        <v>6236</v>
      </c>
      <c r="D727" s="87" t="s">
        <v>6393</v>
      </c>
      <c r="E727" s="9" t="s">
        <v>431</v>
      </c>
      <c r="F727" s="9" t="s">
        <v>368</v>
      </c>
      <c r="G727" s="9" t="s">
        <v>436</v>
      </c>
      <c r="H727" s="9" t="s">
        <v>434</v>
      </c>
      <c r="I727" s="87" t="s">
        <v>6264</v>
      </c>
      <c r="J727" s="87" t="s">
        <v>6660</v>
      </c>
      <c r="K727" s="87" t="s">
        <v>6239</v>
      </c>
      <c r="L727" s="87" t="s">
        <v>6240</v>
      </c>
      <c r="M727" s="87" t="s">
        <v>6662</v>
      </c>
      <c r="N727" s="9" t="s">
        <v>6928</v>
      </c>
      <c r="O727" s="87" t="s">
        <v>6239</v>
      </c>
      <c r="P727" s="9" t="s">
        <v>6243</v>
      </c>
      <c r="Q727" s="87" t="s">
        <v>3764</v>
      </c>
      <c r="R727" s="87" t="s">
        <v>6660</v>
      </c>
      <c r="S727" s="87" t="s">
        <v>6327</v>
      </c>
      <c r="T727" s="87" t="s">
        <v>6645</v>
      </c>
    </row>
    <row r="728" spans="1:20" ht="15.75" customHeight="1">
      <c r="A728" s="9" t="s">
        <v>2908</v>
      </c>
      <c r="B728" s="9" t="s">
        <v>7843</v>
      </c>
      <c r="C728" s="9" t="s">
        <v>6236</v>
      </c>
      <c r="D728" s="87" t="s">
        <v>6393</v>
      </c>
      <c r="E728" s="9" t="s">
        <v>431</v>
      </c>
      <c r="F728" s="9" t="s">
        <v>368</v>
      </c>
      <c r="G728" s="9" t="s">
        <v>436</v>
      </c>
      <c r="H728" s="9" t="s">
        <v>434</v>
      </c>
      <c r="I728" s="87" t="s">
        <v>6264</v>
      </c>
      <c r="J728" s="87" t="s">
        <v>6660</v>
      </c>
      <c r="K728" s="87" t="s">
        <v>6526</v>
      </c>
      <c r="L728" s="87" t="s">
        <v>6240</v>
      </c>
      <c r="M728" s="87" t="s">
        <v>6663</v>
      </c>
      <c r="N728" s="9" t="s">
        <v>6938</v>
      </c>
      <c r="O728" s="87" t="s">
        <v>6526</v>
      </c>
      <c r="P728" s="9" t="s">
        <v>6243</v>
      </c>
      <c r="Q728" s="87" t="s">
        <v>4023</v>
      </c>
      <c r="R728" s="87" t="s">
        <v>6660</v>
      </c>
      <c r="S728" s="87" t="s">
        <v>6486</v>
      </c>
      <c r="T728" s="87" t="s">
        <v>6645</v>
      </c>
    </row>
    <row r="729" spans="1:20" ht="15.75" customHeight="1">
      <c r="A729" s="9" t="s">
        <v>2908</v>
      </c>
      <c r="B729" s="9" t="s">
        <v>7844</v>
      </c>
      <c r="C729" s="9" t="s">
        <v>6671</v>
      </c>
      <c r="D729" s="87" t="s">
        <v>6296</v>
      </c>
      <c r="E729" s="9" t="s">
        <v>6672</v>
      </c>
      <c r="F729" s="9" t="s">
        <v>439</v>
      </c>
      <c r="G729" s="9" t="s">
        <v>436</v>
      </c>
      <c r="H729" s="9" t="s">
        <v>440</v>
      </c>
      <c r="I729" s="87" t="s">
        <v>6405</v>
      </c>
      <c r="J729" s="87" t="s">
        <v>6680</v>
      </c>
      <c r="K729" s="87" t="s">
        <v>6239</v>
      </c>
      <c r="L729" s="87" t="s">
        <v>6240</v>
      </c>
      <c r="M729" s="87" t="s">
        <v>6684</v>
      </c>
      <c r="N729" s="9" t="s">
        <v>6928</v>
      </c>
      <c r="O729" s="87" t="s">
        <v>6239</v>
      </c>
      <c r="P729" s="9" t="s">
        <v>6243</v>
      </c>
      <c r="Q729" s="87" t="s">
        <v>3764</v>
      </c>
      <c r="R729" s="87" t="s">
        <v>6680</v>
      </c>
      <c r="S729" s="87" t="s">
        <v>6327</v>
      </c>
      <c r="T729" s="87" t="s">
        <v>6645</v>
      </c>
    </row>
    <row r="730" spans="1:20" ht="15.75" customHeight="1">
      <c r="A730" s="9" t="s">
        <v>2908</v>
      </c>
      <c r="B730" s="9" t="s">
        <v>7844</v>
      </c>
      <c r="C730" s="9" t="s">
        <v>6671</v>
      </c>
      <c r="D730" s="87" t="s">
        <v>6296</v>
      </c>
      <c r="E730" s="9" t="s">
        <v>6672</v>
      </c>
      <c r="F730" s="9" t="s">
        <v>439</v>
      </c>
      <c r="G730" s="9" t="s">
        <v>436</v>
      </c>
      <c r="H730" s="9" t="s">
        <v>440</v>
      </c>
      <c r="I730" s="87" t="s">
        <v>6405</v>
      </c>
      <c r="J730" s="87" t="s">
        <v>6680</v>
      </c>
      <c r="K730" s="87" t="s">
        <v>6239</v>
      </c>
      <c r="L730" s="87" t="s">
        <v>6240</v>
      </c>
      <c r="M730" s="87" t="s">
        <v>6683</v>
      </c>
      <c r="N730" s="9" t="s">
        <v>6928</v>
      </c>
      <c r="O730" s="87" t="s">
        <v>6239</v>
      </c>
      <c r="P730" s="9" t="s">
        <v>6243</v>
      </c>
      <c r="Q730" s="87" t="s">
        <v>3764</v>
      </c>
      <c r="R730" s="87" t="s">
        <v>6680</v>
      </c>
      <c r="S730" s="87" t="s">
        <v>6327</v>
      </c>
      <c r="T730" s="87" t="s">
        <v>6645</v>
      </c>
    </row>
    <row r="731" spans="1:20" ht="15.75" customHeight="1">
      <c r="A731" s="9" t="s">
        <v>2908</v>
      </c>
      <c r="B731" s="9" t="s">
        <v>7844</v>
      </c>
      <c r="C731" s="9" t="s">
        <v>6671</v>
      </c>
      <c r="D731" s="87" t="s">
        <v>6296</v>
      </c>
      <c r="E731" s="9" t="s">
        <v>6672</v>
      </c>
      <c r="F731" s="9" t="s">
        <v>439</v>
      </c>
      <c r="G731" s="9" t="s">
        <v>436</v>
      </c>
      <c r="H731" s="9" t="s">
        <v>440</v>
      </c>
      <c r="I731" s="87" t="s">
        <v>6405</v>
      </c>
      <c r="J731" s="87" t="s">
        <v>6680</v>
      </c>
      <c r="K731" s="87" t="s">
        <v>6440</v>
      </c>
      <c r="L731" s="87" t="s">
        <v>6240</v>
      </c>
      <c r="M731" s="87" t="s">
        <v>6681</v>
      </c>
      <c r="N731" s="9" t="s">
        <v>7216</v>
      </c>
      <c r="O731" s="87" t="s">
        <v>6440</v>
      </c>
      <c r="P731" s="9" t="s">
        <v>6243</v>
      </c>
      <c r="Q731" s="87" t="s">
        <v>5063</v>
      </c>
      <c r="R731" s="87" t="s">
        <v>6680</v>
      </c>
      <c r="S731" s="87" t="s">
        <v>6535</v>
      </c>
      <c r="T731" s="87" t="s">
        <v>6645</v>
      </c>
    </row>
    <row r="732" spans="1:20" ht="15.75" customHeight="1">
      <c r="A732" s="9" t="s">
        <v>2908</v>
      </c>
      <c r="B732" s="9" t="s">
        <v>7845</v>
      </c>
      <c r="C732" s="9" t="s">
        <v>6923</v>
      </c>
      <c r="D732" s="87" t="s">
        <v>6264</v>
      </c>
      <c r="E732" s="9" t="s">
        <v>6924</v>
      </c>
      <c r="F732" s="9" t="s">
        <v>6925</v>
      </c>
      <c r="G732" s="9" t="s">
        <v>383</v>
      </c>
      <c r="H732" s="9" t="s">
        <v>449</v>
      </c>
      <c r="I732" s="87" t="s">
        <v>6405</v>
      </c>
      <c r="J732" s="87" t="s">
        <v>6264</v>
      </c>
      <c r="K732" s="87" t="s">
        <v>6926</v>
      </c>
      <c r="L732" s="87" t="s">
        <v>6852</v>
      </c>
      <c r="M732" s="87" t="s">
        <v>7217</v>
      </c>
      <c r="N732" s="9" t="s">
        <v>7218</v>
      </c>
      <c r="O732" s="87" t="s">
        <v>6619</v>
      </c>
      <c r="P732" s="9" t="s">
        <v>6243</v>
      </c>
      <c r="Q732" s="87" t="s">
        <v>6852</v>
      </c>
      <c r="R732" s="87" t="s">
        <v>6264</v>
      </c>
      <c r="S732" s="87" t="s">
        <v>6433</v>
      </c>
      <c r="T732" s="87" t="s">
        <v>6341</v>
      </c>
    </row>
    <row r="733" spans="1:20" ht="15.75" customHeight="1">
      <c r="A733" s="9" t="s">
        <v>2908</v>
      </c>
      <c r="B733" s="9" t="s">
        <v>7845</v>
      </c>
      <c r="C733" s="9" t="s">
        <v>7228</v>
      </c>
      <c r="D733" s="87" t="s">
        <v>6405</v>
      </c>
      <c r="E733" s="9" t="s">
        <v>6924</v>
      </c>
      <c r="F733" s="9" t="s">
        <v>11</v>
      </c>
      <c r="G733" s="9" t="s">
        <v>383</v>
      </c>
      <c r="H733" s="9" t="s">
        <v>426</v>
      </c>
      <c r="I733" s="87" t="s">
        <v>6405</v>
      </c>
      <c r="J733" s="87" t="s">
        <v>6405</v>
      </c>
      <c r="K733" s="87" t="s">
        <v>6405</v>
      </c>
      <c r="L733" s="87" t="s">
        <v>6397</v>
      </c>
      <c r="M733" s="87" t="s">
        <v>7219</v>
      </c>
      <c r="N733" s="9" t="s">
        <v>7289</v>
      </c>
      <c r="O733" s="87" t="s">
        <v>6240</v>
      </c>
      <c r="P733" s="9" t="s">
        <v>6243</v>
      </c>
      <c r="Q733" s="87" t="s">
        <v>6397</v>
      </c>
      <c r="R733" s="87" t="s">
        <v>6405</v>
      </c>
      <c r="S733" s="87" t="s">
        <v>6284</v>
      </c>
      <c r="T733" s="87" t="s">
        <v>6341</v>
      </c>
    </row>
    <row r="734" spans="1:20" ht="15.75" customHeight="1">
      <c r="A734" s="9" t="s">
        <v>2908</v>
      </c>
      <c r="B734" s="9" t="s">
        <v>7846</v>
      </c>
      <c r="C734" s="9" t="s">
        <v>6923</v>
      </c>
      <c r="D734" s="87" t="s">
        <v>6264</v>
      </c>
      <c r="E734" s="9" t="s">
        <v>6924</v>
      </c>
      <c r="F734" s="9" t="s">
        <v>6925</v>
      </c>
      <c r="G734" s="9" t="s">
        <v>383</v>
      </c>
      <c r="H734" s="9" t="s">
        <v>449</v>
      </c>
      <c r="I734" s="87" t="s">
        <v>6405</v>
      </c>
      <c r="J734" s="87" t="s">
        <v>6264</v>
      </c>
      <c r="K734" s="87" t="s">
        <v>6926</v>
      </c>
      <c r="L734" s="87" t="s">
        <v>6852</v>
      </c>
      <c r="M734" s="87" t="s">
        <v>7219</v>
      </c>
      <c r="N734" s="9" t="s">
        <v>7218</v>
      </c>
      <c r="O734" s="87" t="s">
        <v>6619</v>
      </c>
      <c r="P734" s="9" t="s">
        <v>6243</v>
      </c>
      <c r="Q734" s="87" t="s">
        <v>6852</v>
      </c>
      <c r="R734" s="87" t="s">
        <v>6264</v>
      </c>
      <c r="S734" s="87" t="s">
        <v>6433</v>
      </c>
      <c r="T734" s="87" t="s">
        <v>6341</v>
      </c>
    </row>
    <row r="735" spans="1:20" ht="15.75" customHeight="1">
      <c r="A735" s="9" t="s">
        <v>2908</v>
      </c>
      <c r="B735" s="9" t="s">
        <v>7846</v>
      </c>
      <c r="C735" s="9" t="s">
        <v>7228</v>
      </c>
      <c r="D735" s="87" t="s">
        <v>6405</v>
      </c>
      <c r="E735" s="9" t="s">
        <v>6924</v>
      </c>
      <c r="F735" s="9" t="s">
        <v>11</v>
      </c>
      <c r="G735" s="9" t="s">
        <v>383</v>
      </c>
      <c r="H735" s="9" t="s">
        <v>426</v>
      </c>
      <c r="I735" s="87" t="s">
        <v>6405</v>
      </c>
      <c r="J735" s="87" t="s">
        <v>6405</v>
      </c>
      <c r="K735" s="87" t="s">
        <v>6405</v>
      </c>
      <c r="L735" s="87" t="s">
        <v>6397</v>
      </c>
      <c r="M735" s="87" t="s">
        <v>6665</v>
      </c>
      <c r="N735" s="9" t="s">
        <v>7289</v>
      </c>
      <c r="O735" s="87" t="s">
        <v>6240</v>
      </c>
      <c r="P735" s="9" t="s">
        <v>6243</v>
      </c>
      <c r="Q735" s="87" t="s">
        <v>6397</v>
      </c>
      <c r="R735" s="87" t="s">
        <v>6405</v>
      </c>
      <c r="S735" s="87" t="s">
        <v>6284</v>
      </c>
      <c r="T735" s="87" t="s">
        <v>6341</v>
      </c>
    </row>
    <row r="736" spans="1:20" ht="15.75" customHeight="1">
      <c r="A736" s="9" t="s">
        <v>2908</v>
      </c>
      <c r="B736" s="9" t="s">
        <v>7847</v>
      </c>
      <c r="C736" s="9" t="s">
        <v>6923</v>
      </c>
      <c r="D736" s="87" t="s">
        <v>6264</v>
      </c>
      <c r="E736" s="9" t="s">
        <v>6924</v>
      </c>
      <c r="F736" s="9" t="s">
        <v>6925</v>
      </c>
      <c r="G736" s="9" t="s">
        <v>383</v>
      </c>
      <c r="H736" s="9" t="s">
        <v>449</v>
      </c>
      <c r="I736" s="87" t="s">
        <v>6405</v>
      </c>
      <c r="J736" s="87" t="s">
        <v>6264</v>
      </c>
      <c r="K736" s="87" t="s">
        <v>6926</v>
      </c>
      <c r="L736" s="87" t="s">
        <v>6852</v>
      </c>
      <c r="M736" s="87" t="s">
        <v>6665</v>
      </c>
      <c r="N736" s="9" t="s">
        <v>7218</v>
      </c>
      <c r="O736" s="87" t="s">
        <v>6619</v>
      </c>
      <c r="P736" s="9" t="s">
        <v>6243</v>
      </c>
      <c r="Q736" s="87" t="s">
        <v>6852</v>
      </c>
      <c r="R736" s="87" t="s">
        <v>6264</v>
      </c>
      <c r="S736" s="87" t="s">
        <v>6433</v>
      </c>
      <c r="T736" s="87" t="s">
        <v>6341</v>
      </c>
    </row>
    <row r="737" spans="1:20" ht="15.75" customHeight="1">
      <c r="A737" s="9" t="s">
        <v>2908</v>
      </c>
      <c r="B737" s="9" t="s">
        <v>7847</v>
      </c>
      <c r="C737" s="9" t="s">
        <v>7228</v>
      </c>
      <c r="D737" s="87" t="s">
        <v>6405</v>
      </c>
      <c r="E737" s="9" t="s">
        <v>6924</v>
      </c>
      <c r="F737" s="9" t="s">
        <v>11</v>
      </c>
      <c r="G737" s="9" t="s">
        <v>383</v>
      </c>
      <c r="H737" s="9" t="s">
        <v>426</v>
      </c>
      <c r="I737" s="87" t="s">
        <v>6405</v>
      </c>
      <c r="J737" s="87" t="s">
        <v>6405</v>
      </c>
      <c r="K737" s="87" t="s">
        <v>6405</v>
      </c>
      <c r="L737" s="87" t="s">
        <v>6397</v>
      </c>
      <c r="M737" s="87" t="s">
        <v>6677</v>
      </c>
      <c r="N737" s="9" t="s">
        <v>7289</v>
      </c>
      <c r="O737" s="87" t="s">
        <v>6240</v>
      </c>
      <c r="P737" s="9" t="s">
        <v>6243</v>
      </c>
      <c r="Q737" s="87" t="s">
        <v>6397</v>
      </c>
      <c r="R737" s="87" t="s">
        <v>6405</v>
      </c>
      <c r="S737" s="87" t="s">
        <v>6284</v>
      </c>
      <c r="T737" s="87" t="s">
        <v>6341</v>
      </c>
    </row>
    <row r="738" spans="1:20" ht="15.75" customHeight="1">
      <c r="A738" s="9" t="s">
        <v>2919</v>
      </c>
      <c r="B738" s="9" t="s">
        <v>7848</v>
      </c>
      <c r="C738" s="9" t="s">
        <v>6236</v>
      </c>
      <c r="D738" s="87" t="s">
        <v>6393</v>
      </c>
      <c r="E738" s="9" t="s">
        <v>431</v>
      </c>
      <c r="F738" s="9" t="s">
        <v>368</v>
      </c>
      <c r="G738" s="9" t="s">
        <v>436</v>
      </c>
      <c r="H738" s="9" t="s">
        <v>434</v>
      </c>
      <c r="I738" s="87" t="s">
        <v>6237</v>
      </c>
      <c r="J738" s="87" t="s">
        <v>6238</v>
      </c>
      <c r="K738" s="87" t="s">
        <v>6239</v>
      </c>
      <c r="L738" s="87" t="s">
        <v>6240</v>
      </c>
      <c r="M738" s="87" t="s">
        <v>6677</v>
      </c>
      <c r="N738" s="9" t="s">
        <v>6928</v>
      </c>
      <c r="O738" s="87" t="s">
        <v>6239</v>
      </c>
      <c r="P738" s="9" t="s">
        <v>6243</v>
      </c>
      <c r="Q738" s="87" t="s">
        <v>3764</v>
      </c>
      <c r="R738" s="87" t="s">
        <v>6238</v>
      </c>
      <c r="S738" s="87" t="s">
        <v>6327</v>
      </c>
      <c r="T738" s="87" t="s">
        <v>6645</v>
      </c>
    </row>
    <row r="739" spans="1:20" ht="15.75" customHeight="1">
      <c r="A739" s="9" t="s">
        <v>2919</v>
      </c>
      <c r="B739" s="9" t="s">
        <v>7849</v>
      </c>
      <c r="C739" s="9" t="s">
        <v>6923</v>
      </c>
      <c r="D739" s="87" t="s">
        <v>6461</v>
      </c>
      <c r="E739" s="9" t="s">
        <v>6924</v>
      </c>
      <c r="F739" s="9" t="s">
        <v>6925</v>
      </c>
      <c r="G739" s="9" t="s">
        <v>383</v>
      </c>
      <c r="H739" s="9" t="s">
        <v>427</v>
      </c>
      <c r="I739" s="87" t="s">
        <v>6405</v>
      </c>
      <c r="J739" s="87" t="s">
        <v>6334</v>
      </c>
      <c r="K739" s="87" t="s">
        <v>6939</v>
      </c>
      <c r="L739" s="87" t="s">
        <v>4019</v>
      </c>
      <c r="M739" s="87" t="s">
        <v>6688</v>
      </c>
      <c r="N739" s="9" t="s">
        <v>7997</v>
      </c>
      <c r="O739" s="87" t="s">
        <v>6263</v>
      </c>
      <c r="P739" s="9" t="s">
        <v>6243</v>
      </c>
      <c r="Q739" s="87" t="s">
        <v>3699</v>
      </c>
      <c r="R739" s="87" t="s">
        <v>6334</v>
      </c>
      <c r="S739" s="87" t="s">
        <v>6327</v>
      </c>
      <c r="T739" s="87" t="s">
        <v>6497</v>
      </c>
    </row>
    <row r="740" spans="1:20" ht="15.75" customHeight="1">
      <c r="A740" s="9" t="s">
        <v>2919</v>
      </c>
      <c r="B740" s="9" t="s">
        <v>7851</v>
      </c>
      <c r="C740" s="9" t="s">
        <v>6923</v>
      </c>
      <c r="D740" s="87" t="s">
        <v>6810</v>
      </c>
      <c r="E740" s="9" t="s">
        <v>6924</v>
      </c>
      <c r="F740" s="9" t="s">
        <v>6925</v>
      </c>
      <c r="G740" s="9" t="s">
        <v>383</v>
      </c>
      <c r="H740" s="9" t="s">
        <v>430</v>
      </c>
      <c r="I740" s="87" t="s">
        <v>6405</v>
      </c>
      <c r="J740" s="87" t="s">
        <v>6405</v>
      </c>
      <c r="K740" s="87" t="s">
        <v>6926</v>
      </c>
      <c r="L740" s="87" t="s">
        <v>4014</v>
      </c>
      <c r="M740" s="87" t="s">
        <v>6688</v>
      </c>
      <c r="N740" s="9" t="s">
        <v>7998</v>
      </c>
      <c r="O740" s="87" t="s">
        <v>6260</v>
      </c>
      <c r="P740" s="9" t="s">
        <v>6243</v>
      </c>
      <c r="Q740" s="87" t="s">
        <v>4014</v>
      </c>
      <c r="R740" s="87" t="s">
        <v>6405</v>
      </c>
      <c r="S740" s="87" t="s">
        <v>6498</v>
      </c>
      <c r="T740" s="87" t="s">
        <v>6497</v>
      </c>
    </row>
    <row r="741" spans="1:20" ht="15.75" customHeight="1">
      <c r="A741" s="9" t="s">
        <v>2919</v>
      </c>
      <c r="B741" s="9" t="s">
        <v>7848</v>
      </c>
      <c r="C741" s="9" t="s">
        <v>6236</v>
      </c>
      <c r="D741" s="87" t="s">
        <v>6393</v>
      </c>
      <c r="E741" s="9" t="s">
        <v>431</v>
      </c>
      <c r="F741" s="9" t="s">
        <v>368</v>
      </c>
      <c r="G741" s="9" t="s">
        <v>436</v>
      </c>
      <c r="H741" s="9" t="s">
        <v>434</v>
      </c>
      <c r="I741" s="87" t="s">
        <v>6237</v>
      </c>
      <c r="J741" s="87" t="s">
        <v>6238</v>
      </c>
      <c r="K741" s="87" t="s">
        <v>6245</v>
      </c>
      <c r="L741" s="87" t="s">
        <v>6240</v>
      </c>
      <c r="M741" s="87" t="s">
        <v>6688</v>
      </c>
      <c r="N741" s="9" t="s">
        <v>7000</v>
      </c>
      <c r="O741" s="87" t="s">
        <v>6245</v>
      </c>
      <c r="P741" s="9" t="s">
        <v>6243</v>
      </c>
      <c r="Q741" s="87" t="s">
        <v>6238</v>
      </c>
      <c r="R741" s="87" t="s">
        <v>6238</v>
      </c>
      <c r="S741" s="87" t="s">
        <v>6500</v>
      </c>
      <c r="T741" s="87" t="s">
        <v>6645</v>
      </c>
    </row>
    <row r="742" spans="1:20" ht="15.75" customHeight="1">
      <c r="A742" s="9" t="s">
        <v>2919</v>
      </c>
      <c r="B742" s="9" t="s">
        <v>7849</v>
      </c>
      <c r="C742" s="9" t="s">
        <v>7228</v>
      </c>
      <c r="D742" s="87" t="s">
        <v>6237</v>
      </c>
      <c r="E742" s="9" t="s">
        <v>6924</v>
      </c>
      <c r="F742" s="9" t="s">
        <v>11</v>
      </c>
      <c r="G742" s="9" t="s">
        <v>383</v>
      </c>
      <c r="H742" s="9" t="s">
        <v>426</v>
      </c>
      <c r="I742" s="87" t="s">
        <v>6405</v>
      </c>
      <c r="J742" s="87" t="s">
        <v>6334</v>
      </c>
      <c r="K742" s="87" t="s">
        <v>6334</v>
      </c>
      <c r="L742" s="87" t="s">
        <v>6474</v>
      </c>
      <c r="M742" s="87" t="s">
        <v>6670</v>
      </c>
      <c r="N742" s="9" t="s">
        <v>7258</v>
      </c>
      <c r="O742" s="87" t="s">
        <v>6302</v>
      </c>
      <c r="P742" s="9" t="s">
        <v>6243</v>
      </c>
      <c r="Q742" s="87" t="s">
        <v>6464</v>
      </c>
      <c r="R742" s="87" t="s">
        <v>6334</v>
      </c>
      <c r="S742" s="87" t="s">
        <v>6329</v>
      </c>
      <c r="T742" s="87" t="s">
        <v>6619</v>
      </c>
    </row>
    <row r="743" spans="1:20" ht="15.75" customHeight="1">
      <c r="A743" s="9" t="s">
        <v>2919</v>
      </c>
      <c r="B743" s="9" t="s">
        <v>7851</v>
      </c>
      <c r="C743" s="9" t="s">
        <v>7228</v>
      </c>
      <c r="D743" s="87" t="s">
        <v>6237</v>
      </c>
      <c r="E743" s="9" t="s">
        <v>6924</v>
      </c>
      <c r="F743" s="9" t="s">
        <v>11</v>
      </c>
      <c r="G743" s="9" t="s">
        <v>383</v>
      </c>
      <c r="H743" s="9" t="s">
        <v>426</v>
      </c>
      <c r="I743" s="87" t="s">
        <v>6405</v>
      </c>
      <c r="J743" s="87" t="s">
        <v>6405</v>
      </c>
      <c r="K743" s="87" t="s">
        <v>6405</v>
      </c>
      <c r="L743" s="87" t="s">
        <v>6474</v>
      </c>
      <c r="M743" s="87" t="s">
        <v>6670</v>
      </c>
      <c r="N743" s="9" t="s">
        <v>7194</v>
      </c>
      <c r="O743" s="87" t="s">
        <v>6528</v>
      </c>
      <c r="P743" s="9" t="s">
        <v>6243</v>
      </c>
      <c r="Q743" s="87" t="s">
        <v>6474</v>
      </c>
      <c r="R743" s="87" t="s">
        <v>6405</v>
      </c>
      <c r="S743" s="87" t="s">
        <v>6357</v>
      </c>
      <c r="T743" s="87" t="s">
        <v>6341</v>
      </c>
    </row>
    <row r="744" spans="1:20" ht="15.75" customHeight="1">
      <c r="A744" s="9" t="s">
        <v>2963</v>
      </c>
      <c r="B744" s="9" t="s">
        <v>7853</v>
      </c>
      <c r="C744" s="9" t="s">
        <v>6236</v>
      </c>
      <c r="D744" s="87" t="s">
        <v>6393</v>
      </c>
      <c r="E744" s="9" t="s">
        <v>431</v>
      </c>
      <c r="F744" s="9" t="s">
        <v>368</v>
      </c>
      <c r="G744" s="9" t="s">
        <v>436</v>
      </c>
      <c r="H744" s="9" t="s">
        <v>434</v>
      </c>
      <c r="I744" s="87" t="s">
        <v>6237</v>
      </c>
      <c r="J744" s="87" t="s">
        <v>6451</v>
      </c>
      <c r="K744" s="87" t="s">
        <v>6451</v>
      </c>
      <c r="L744" s="87" t="s">
        <v>6240</v>
      </c>
      <c r="M744" s="87" t="s">
        <v>6665</v>
      </c>
      <c r="N744" s="9" t="s">
        <v>7220</v>
      </c>
      <c r="O744" s="87" t="s">
        <v>6451</v>
      </c>
      <c r="P744" s="9" t="s">
        <v>6243</v>
      </c>
      <c r="Q744" s="87" t="s">
        <v>6410</v>
      </c>
      <c r="R744" s="87" t="s">
        <v>6451</v>
      </c>
      <c r="S744" s="87" t="s">
        <v>6651</v>
      </c>
      <c r="T744" s="87" t="s">
        <v>6645</v>
      </c>
    </row>
    <row r="745" spans="1:20" ht="15.75" customHeight="1">
      <c r="A745" s="9" t="s">
        <v>2963</v>
      </c>
      <c r="B745" s="9" t="s">
        <v>7855</v>
      </c>
      <c r="C745" s="9" t="s">
        <v>6923</v>
      </c>
      <c r="D745" s="87" t="s">
        <v>6461</v>
      </c>
      <c r="E745" s="9" t="s">
        <v>6924</v>
      </c>
      <c r="F745" s="9" t="s">
        <v>6925</v>
      </c>
      <c r="G745" s="9" t="s">
        <v>383</v>
      </c>
      <c r="H745" s="9" t="s">
        <v>427</v>
      </c>
      <c r="I745" s="87" t="s">
        <v>6405</v>
      </c>
      <c r="J745" s="87" t="s">
        <v>6405</v>
      </c>
      <c r="K745" s="87" t="s">
        <v>6926</v>
      </c>
      <c r="L745" s="87" t="s">
        <v>6372</v>
      </c>
      <c r="M745" s="87" t="s">
        <v>6677</v>
      </c>
      <c r="N745" s="9" t="s">
        <v>7999</v>
      </c>
      <c r="O745" s="87" t="s">
        <v>6295</v>
      </c>
      <c r="P745" s="9" t="s">
        <v>6243</v>
      </c>
      <c r="Q745" s="87" t="s">
        <v>6372</v>
      </c>
      <c r="R745" s="87" t="s">
        <v>6405</v>
      </c>
      <c r="S745" s="87" t="s">
        <v>6260</v>
      </c>
      <c r="T745" s="87" t="s">
        <v>6314</v>
      </c>
    </row>
    <row r="746" spans="1:20" ht="15.75" customHeight="1">
      <c r="A746" s="9" t="s">
        <v>2963</v>
      </c>
      <c r="B746" s="9" t="s">
        <v>7854</v>
      </c>
      <c r="C746" s="9" t="s">
        <v>6671</v>
      </c>
      <c r="D746" s="87" t="s">
        <v>6296</v>
      </c>
      <c r="E746" s="9" t="s">
        <v>6672</v>
      </c>
      <c r="F746" s="9" t="s">
        <v>439</v>
      </c>
      <c r="G746" s="9" t="s">
        <v>436</v>
      </c>
      <c r="H746" s="9" t="s">
        <v>440</v>
      </c>
      <c r="I746" s="87" t="s">
        <v>6405</v>
      </c>
      <c r="J746" s="87" t="s">
        <v>6570</v>
      </c>
      <c r="K746" s="87" t="s">
        <v>6570</v>
      </c>
      <c r="L746" s="87" t="s">
        <v>6240</v>
      </c>
      <c r="M746" s="87" t="s">
        <v>6677</v>
      </c>
      <c r="N746" s="9" t="s">
        <v>7221</v>
      </c>
      <c r="O746" s="87" t="s">
        <v>6570</v>
      </c>
      <c r="P746" s="9" t="s">
        <v>6243</v>
      </c>
      <c r="Q746" s="87" t="s">
        <v>6573</v>
      </c>
      <c r="R746" s="87" t="s">
        <v>6570</v>
      </c>
      <c r="S746" s="87" t="s">
        <v>6316</v>
      </c>
      <c r="T746" s="87" t="s">
        <v>6645</v>
      </c>
    </row>
    <row r="747" spans="1:20" ht="15.75" customHeight="1">
      <c r="A747" s="9" t="s">
        <v>2963</v>
      </c>
      <c r="B747" s="9" t="s">
        <v>7855</v>
      </c>
      <c r="C747" s="9" t="s">
        <v>7228</v>
      </c>
      <c r="D747" s="87" t="s">
        <v>6237</v>
      </c>
      <c r="E747" s="9" t="s">
        <v>6924</v>
      </c>
      <c r="F747" s="9" t="s">
        <v>11</v>
      </c>
      <c r="G747" s="9" t="s">
        <v>383</v>
      </c>
      <c r="H747" s="9" t="s">
        <v>426</v>
      </c>
      <c r="I747" s="87" t="s">
        <v>6405</v>
      </c>
      <c r="J747" s="87" t="s">
        <v>6405</v>
      </c>
      <c r="K747" s="87" t="s">
        <v>6405</v>
      </c>
      <c r="L747" s="87" t="s">
        <v>6484</v>
      </c>
      <c r="M747" s="87" t="s">
        <v>6688</v>
      </c>
      <c r="N747" s="9" t="s">
        <v>7046</v>
      </c>
      <c r="O747" s="87" t="s">
        <v>6810</v>
      </c>
      <c r="P747" s="9" t="s">
        <v>6243</v>
      </c>
      <c r="Q747" s="87" t="s">
        <v>6484</v>
      </c>
      <c r="R747" s="87" t="s">
        <v>6405</v>
      </c>
      <c r="S747" s="87" t="s">
        <v>6367</v>
      </c>
      <c r="T747" s="87" t="s">
        <v>6341</v>
      </c>
    </row>
    <row r="748" spans="1:20" ht="15.75" customHeight="1">
      <c r="A748" s="9" t="s">
        <v>2945</v>
      </c>
      <c r="B748" s="9" t="s">
        <v>7856</v>
      </c>
      <c r="C748" s="9" t="s">
        <v>6236</v>
      </c>
      <c r="D748" s="87" t="s">
        <v>6393</v>
      </c>
      <c r="E748" s="9" t="s">
        <v>431</v>
      </c>
      <c r="F748" s="9" t="s">
        <v>368</v>
      </c>
      <c r="G748" s="9" t="s">
        <v>436</v>
      </c>
      <c r="H748" s="9" t="s">
        <v>434</v>
      </c>
      <c r="I748" s="87" t="s">
        <v>6237</v>
      </c>
      <c r="J748" s="87" t="s">
        <v>6238</v>
      </c>
      <c r="K748" s="87" t="s">
        <v>6239</v>
      </c>
      <c r="L748" s="87" t="s">
        <v>6240</v>
      </c>
      <c r="M748" s="87" t="s">
        <v>6241</v>
      </c>
      <c r="N748" s="9" t="s">
        <v>6928</v>
      </c>
      <c r="O748" s="87" t="s">
        <v>6239</v>
      </c>
      <c r="P748" s="9" t="s">
        <v>6243</v>
      </c>
      <c r="Q748" s="87" t="s">
        <v>3764</v>
      </c>
      <c r="R748" s="87" t="s">
        <v>6238</v>
      </c>
      <c r="S748" s="87" t="s">
        <v>6327</v>
      </c>
      <c r="T748" s="87" t="s">
        <v>6645</v>
      </c>
    </row>
    <row r="749" spans="1:20" ht="15.75" customHeight="1">
      <c r="A749" s="9" t="s">
        <v>2945</v>
      </c>
      <c r="B749" s="9" t="s">
        <v>7856</v>
      </c>
      <c r="C749" s="9" t="s">
        <v>6236</v>
      </c>
      <c r="D749" s="87" t="s">
        <v>6393</v>
      </c>
      <c r="E749" s="9" t="s">
        <v>431</v>
      </c>
      <c r="F749" s="9" t="s">
        <v>368</v>
      </c>
      <c r="G749" s="9" t="s">
        <v>436</v>
      </c>
      <c r="H749" s="9" t="s">
        <v>434</v>
      </c>
      <c r="I749" s="87" t="s">
        <v>6237</v>
      </c>
      <c r="J749" s="87" t="s">
        <v>6238</v>
      </c>
      <c r="K749" s="87" t="s">
        <v>6245</v>
      </c>
      <c r="L749" s="87" t="s">
        <v>6240</v>
      </c>
      <c r="M749" s="87" t="s">
        <v>6246</v>
      </c>
      <c r="N749" s="9" t="s">
        <v>7000</v>
      </c>
      <c r="O749" s="87" t="s">
        <v>6245</v>
      </c>
      <c r="P749" s="9" t="s">
        <v>6243</v>
      </c>
      <c r="Q749" s="87" t="s">
        <v>6238</v>
      </c>
      <c r="R749" s="87" t="s">
        <v>6238</v>
      </c>
      <c r="S749" s="87" t="s">
        <v>6500</v>
      </c>
      <c r="T749" s="87" t="s">
        <v>6645</v>
      </c>
    </row>
    <row r="750" spans="1:20" ht="15.75" customHeight="1">
      <c r="A750" s="9" t="s">
        <v>2945</v>
      </c>
      <c r="B750" s="9" t="s">
        <v>7858</v>
      </c>
      <c r="C750" s="9" t="s">
        <v>6923</v>
      </c>
      <c r="D750" s="87" t="s">
        <v>6327</v>
      </c>
      <c r="E750" s="9" t="s">
        <v>6924</v>
      </c>
      <c r="F750" s="9" t="s">
        <v>6925</v>
      </c>
      <c r="G750" s="9" t="s">
        <v>383</v>
      </c>
      <c r="H750" s="9" t="s">
        <v>444</v>
      </c>
      <c r="I750" s="87" t="s">
        <v>6405</v>
      </c>
      <c r="J750" s="87" t="s">
        <v>6405</v>
      </c>
      <c r="K750" s="87" t="s">
        <v>6926</v>
      </c>
      <c r="L750" s="87" t="s">
        <v>6416</v>
      </c>
      <c r="M750" s="87" t="s">
        <v>6673</v>
      </c>
      <c r="N750" s="9" t="s">
        <v>7974</v>
      </c>
      <c r="O750" s="87" t="s">
        <v>6414</v>
      </c>
      <c r="P750" s="9" t="s">
        <v>6243</v>
      </c>
      <c r="Q750" s="87" t="s">
        <v>6416</v>
      </c>
      <c r="R750" s="87" t="s">
        <v>6405</v>
      </c>
      <c r="S750" s="87" t="s">
        <v>6421</v>
      </c>
      <c r="T750" s="87" t="s">
        <v>6295</v>
      </c>
    </row>
    <row r="751" spans="1:20" ht="15.75" customHeight="1">
      <c r="A751" s="9" t="s">
        <v>2945</v>
      </c>
      <c r="B751" s="9" t="s">
        <v>7857</v>
      </c>
      <c r="C751" s="9" t="s">
        <v>6671</v>
      </c>
      <c r="D751" s="87" t="s">
        <v>6296</v>
      </c>
      <c r="E751" s="9" t="s">
        <v>6672</v>
      </c>
      <c r="F751" s="9" t="s">
        <v>439</v>
      </c>
      <c r="G751" s="9" t="s">
        <v>436</v>
      </c>
      <c r="H751" s="9" t="s">
        <v>440</v>
      </c>
      <c r="I751" s="87" t="s">
        <v>6405</v>
      </c>
      <c r="J751" s="87" t="s">
        <v>6357</v>
      </c>
      <c r="K751" s="87" t="s">
        <v>6357</v>
      </c>
      <c r="L751" s="87" t="s">
        <v>6240</v>
      </c>
      <c r="M751" s="87" t="s">
        <v>6673</v>
      </c>
      <c r="N751" s="9" t="s">
        <v>7027</v>
      </c>
      <c r="O751" s="87" t="s">
        <v>6357</v>
      </c>
      <c r="P751" s="9" t="s">
        <v>6243</v>
      </c>
      <c r="Q751" s="87" t="s">
        <v>6565</v>
      </c>
      <c r="R751" s="87" t="s">
        <v>6357</v>
      </c>
      <c r="S751" s="87" t="s">
        <v>6329</v>
      </c>
      <c r="T751" s="87" t="s">
        <v>6645</v>
      </c>
    </row>
    <row r="752" spans="1:20" ht="15.75" customHeight="1">
      <c r="A752" s="9" t="s">
        <v>2945</v>
      </c>
      <c r="B752" s="9" t="s">
        <v>7858</v>
      </c>
      <c r="C752" s="9" t="s">
        <v>7228</v>
      </c>
      <c r="D752" s="87" t="s">
        <v>6290</v>
      </c>
      <c r="E752" s="9" t="s">
        <v>6924</v>
      </c>
      <c r="F752" s="9" t="s">
        <v>11</v>
      </c>
      <c r="G752" s="9" t="s">
        <v>383</v>
      </c>
      <c r="H752" s="9" t="s">
        <v>426</v>
      </c>
      <c r="I752" s="87" t="s">
        <v>6405</v>
      </c>
      <c r="J752" s="87" t="s">
        <v>6405</v>
      </c>
      <c r="K752" s="87" t="s">
        <v>6405</v>
      </c>
      <c r="L752" s="87" t="s">
        <v>6397</v>
      </c>
      <c r="M752" s="87" t="s">
        <v>7222</v>
      </c>
      <c r="N752" s="9" t="s">
        <v>7289</v>
      </c>
      <c r="O752" s="87" t="s">
        <v>6240</v>
      </c>
      <c r="P752" s="9" t="s">
        <v>6243</v>
      </c>
      <c r="Q752" s="87" t="s">
        <v>6397</v>
      </c>
      <c r="R752" s="87" t="s">
        <v>6405</v>
      </c>
      <c r="S752" s="87" t="s">
        <v>6284</v>
      </c>
      <c r="T752" s="87" t="s">
        <v>6341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2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FF00"/>
    <outlinePr summaryBelow="0" summaryRight="0"/>
  </sheetPr>
  <dimension ref="A1:AA1000"/>
  <sheetViews>
    <sheetView workbookViewId="0"/>
  </sheetViews>
  <sheetFormatPr defaultColWidth="12.61328125" defaultRowHeight="15" customHeight="1"/>
  <cols>
    <col min="1" max="2" width="12.61328125" customWidth="1"/>
    <col min="3" max="3" width="25.4609375" customWidth="1"/>
    <col min="4" max="6" width="12.61328125" customWidth="1"/>
    <col min="12" max="15" width="7.15234375" customWidth="1"/>
    <col min="19" max="19" width="20.84375" customWidth="1"/>
    <col min="21" max="21" width="19.4609375" customWidth="1"/>
    <col min="22" max="24" width="15.15234375" customWidth="1"/>
  </cols>
  <sheetData>
    <row r="1" spans="1:27" ht="15.75" customHeight="1">
      <c r="A1" s="92" t="s">
        <v>0</v>
      </c>
      <c r="B1" s="93" t="s">
        <v>29</v>
      </c>
      <c r="C1" s="93" t="s">
        <v>411</v>
      </c>
      <c r="D1" s="93" t="s">
        <v>8000</v>
      </c>
      <c r="E1" s="93" t="s">
        <v>6225</v>
      </c>
      <c r="F1" s="93" t="s">
        <v>381</v>
      </c>
      <c r="G1" s="93" t="s">
        <v>414</v>
      </c>
      <c r="H1" s="93" t="s">
        <v>360</v>
      </c>
      <c r="I1" s="93" t="s">
        <v>6224</v>
      </c>
      <c r="J1" s="93" t="s">
        <v>415</v>
      </c>
      <c r="K1" s="93" t="s">
        <v>1000</v>
      </c>
      <c r="L1" s="93" t="s">
        <v>8001</v>
      </c>
      <c r="M1" s="93" t="s">
        <v>8002</v>
      </c>
      <c r="N1" s="93" t="s">
        <v>8003</v>
      </c>
      <c r="O1" s="93" t="s">
        <v>8004</v>
      </c>
      <c r="P1" s="93" t="s">
        <v>420</v>
      </c>
      <c r="Q1" s="93" t="s">
        <v>421</v>
      </c>
      <c r="R1" s="93" t="s">
        <v>9</v>
      </c>
      <c r="S1" s="93" t="s">
        <v>8005</v>
      </c>
      <c r="T1" s="93" t="s">
        <v>8006</v>
      </c>
      <c r="U1" s="93" t="s">
        <v>8007</v>
      </c>
      <c r="V1" s="93" t="s">
        <v>8008</v>
      </c>
      <c r="W1" s="93" t="s">
        <v>8009</v>
      </c>
      <c r="X1" s="93" t="s">
        <v>380</v>
      </c>
      <c r="Y1" s="93" t="s">
        <v>5</v>
      </c>
      <c r="Z1" s="93" t="s">
        <v>6</v>
      </c>
      <c r="AA1" s="43"/>
    </row>
    <row r="2" spans="1:27" ht="15.75" hidden="1" customHeight="1">
      <c r="A2" s="94" t="s">
        <v>2945</v>
      </c>
      <c r="B2" s="94" t="s">
        <v>471</v>
      </c>
      <c r="C2" s="94" t="s">
        <v>32</v>
      </c>
      <c r="D2" s="95">
        <v>10000</v>
      </c>
      <c r="E2" s="94" t="s">
        <v>442</v>
      </c>
      <c r="F2" s="94" t="s">
        <v>33</v>
      </c>
      <c r="G2" s="95">
        <v>10</v>
      </c>
      <c r="H2" s="94" t="s">
        <v>11</v>
      </c>
      <c r="I2" s="94" t="s">
        <v>7228</v>
      </c>
      <c r="J2" s="94" t="s">
        <v>426</v>
      </c>
      <c r="K2" s="95">
        <v>25</v>
      </c>
      <c r="L2" s="95">
        <v>4.9000000000000004</v>
      </c>
      <c r="M2" s="94"/>
      <c r="N2" s="96">
        <v>105000</v>
      </c>
      <c r="O2" s="95">
        <v>21428</v>
      </c>
      <c r="P2" s="95">
        <v>1</v>
      </c>
      <c r="Q2" s="94" t="s">
        <v>383</v>
      </c>
      <c r="R2" s="95">
        <v>1</v>
      </c>
      <c r="S2" s="95">
        <v>25</v>
      </c>
      <c r="T2" s="95">
        <v>0</v>
      </c>
      <c r="U2" s="95">
        <v>0</v>
      </c>
      <c r="V2" s="95">
        <v>110</v>
      </c>
      <c r="W2" s="95">
        <v>1085</v>
      </c>
      <c r="X2" s="97">
        <v>45266.375</v>
      </c>
      <c r="Y2" s="97">
        <v>44862.375</v>
      </c>
      <c r="Z2" s="97">
        <v>44876.375</v>
      </c>
      <c r="AA2" s="98"/>
    </row>
    <row r="3" spans="1:27" ht="15.75" hidden="1" customHeight="1">
      <c r="A3" s="94" t="s">
        <v>2945</v>
      </c>
      <c r="B3" s="94" t="s">
        <v>471</v>
      </c>
      <c r="C3" s="94" t="s">
        <v>32</v>
      </c>
      <c r="D3" s="95">
        <v>10000</v>
      </c>
      <c r="E3" s="94" t="s">
        <v>442</v>
      </c>
      <c r="F3" s="94" t="s">
        <v>33</v>
      </c>
      <c r="G3" s="95">
        <v>11</v>
      </c>
      <c r="H3" s="94" t="s">
        <v>12</v>
      </c>
      <c r="I3" s="94" t="s">
        <v>6923</v>
      </c>
      <c r="J3" s="94" t="s">
        <v>444</v>
      </c>
      <c r="K3" s="95">
        <v>70</v>
      </c>
      <c r="L3" s="95">
        <v>4.9000000000000004</v>
      </c>
      <c r="M3" s="94"/>
      <c r="N3" s="96">
        <v>105000</v>
      </c>
      <c r="O3" s="95">
        <v>21428</v>
      </c>
      <c r="P3" s="95">
        <v>1</v>
      </c>
      <c r="Q3" s="94" t="s">
        <v>383</v>
      </c>
      <c r="R3" s="95">
        <v>1</v>
      </c>
      <c r="S3" s="95">
        <v>70</v>
      </c>
      <c r="T3" s="95">
        <v>0</v>
      </c>
      <c r="U3" s="95">
        <v>0</v>
      </c>
      <c r="V3" s="95">
        <v>110</v>
      </c>
      <c r="W3" s="95">
        <v>1085</v>
      </c>
      <c r="X3" s="97">
        <v>45266.375</v>
      </c>
      <c r="Y3" s="97">
        <v>44862.375</v>
      </c>
      <c r="Z3" s="97">
        <v>44876.375</v>
      </c>
      <c r="AA3" s="98"/>
    </row>
    <row r="4" spans="1:27" ht="15.75" hidden="1" customHeight="1">
      <c r="A4" s="94" t="s">
        <v>2945</v>
      </c>
      <c r="B4" s="94" t="s">
        <v>471</v>
      </c>
      <c r="C4" s="94" t="s">
        <v>32</v>
      </c>
      <c r="D4" s="95">
        <v>10000</v>
      </c>
      <c r="E4" s="94" t="s">
        <v>442</v>
      </c>
      <c r="F4" s="94" t="s">
        <v>33</v>
      </c>
      <c r="G4" s="95">
        <v>12</v>
      </c>
      <c r="H4" s="94" t="s">
        <v>13</v>
      </c>
      <c r="I4" s="94" t="s">
        <v>6923</v>
      </c>
      <c r="J4" s="94" t="s">
        <v>444</v>
      </c>
      <c r="K4" s="95">
        <v>15</v>
      </c>
      <c r="L4" s="95">
        <v>4.9000000000000004</v>
      </c>
      <c r="M4" s="94"/>
      <c r="N4" s="96">
        <v>105000</v>
      </c>
      <c r="O4" s="95">
        <v>21428</v>
      </c>
      <c r="P4" s="95">
        <v>1</v>
      </c>
      <c r="Q4" s="94" t="s">
        <v>383</v>
      </c>
      <c r="R4" s="95">
        <v>1</v>
      </c>
      <c r="S4" s="95">
        <v>15</v>
      </c>
      <c r="T4" s="95">
        <v>0</v>
      </c>
      <c r="U4" s="95">
        <v>0</v>
      </c>
      <c r="V4" s="95">
        <v>110</v>
      </c>
      <c r="W4" s="95">
        <v>1085</v>
      </c>
      <c r="X4" s="97">
        <v>45266.375</v>
      </c>
      <c r="Y4" s="97">
        <v>44862.375</v>
      </c>
      <c r="Z4" s="97">
        <v>44876.375</v>
      </c>
      <c r="AA4" s="98"/>
    </row>
    <row r="5" spans="1:27" ht="15.75" hidden="1" customHeight="1">
      <c r="A5" s="94" t="s">
        <v>2945</v>
      </c>
      <c r="B5" s="94" t="s">
        <v>471</v>
      </c>
      <c r="C5" s="94" t="s">
        <v>32</v>
      </c>
      <c r="D5" s="95">
        <v>10000</v>
      </c>
      <c r="E5" s="94" t="s">
        <v>431</v>
      </c>
      <c r="F5" s="94" t="s">
        <v>433</v>
      </c>
      <c r="G5" s="95">
        <v>18</v>
      </c>
      <c r="H5" s="94" t="s">
        <v>439</v>
      </c>
      <c r="I5" s="94" t="s">
        <v>6671</v>
      </c>
      <c r="J5" s="94" t="s">
        <v>440</v>
      </c>
      <c r="K5" s="95">
        <v>60</v>
      </c>
      <c r="L5" s="94"/>
      <c r="M5" s="95">
        <v>1600</v>
      </c>
      <c r="N5" s="94" t="s">
        <v>435</v>
      </c>
      <c r="O5" s="94"/>
      <c r="P5" s="95">
        <v>1</v>
      </c>
      <c r="Q5" s="94" t="s">
        <v>436</v>
      </c>
      <c r="R5" s="95">
        <v>0</v>
      </c>
      <c r="S5" s="95">
        <v>0</v>
      </c>
      <c r="T5" s="95">
        <v>375</v>
      </c>
      <c r="U5" s="95">
        <v>75</v>
      </c>
      <c r="V5" s="95">
        <v>975</v>
      </c>
      <c r="W5" s="95">
        <v>1085</v>
      </c>
      <c r="X5" s="97">
        <v>45266.375</v>
      </c>
      <c r="Y5" s="97">
        <v>44862.375</v>
      </c>
      <c r="Z5" s="97">
        <v>44876.375</v>
      </c>
      <c r="AA5" s="98"/>
    </row>
    <row r="6" spans="1:27" ht="15.75" hidden="1" customHeight="1">
      <c r="A6" s="94" t="s">
        <v>2945</v>
      </c>
      <c r="B6" s="94" t="s">
        <v>471</v>
      </c>
      <c r="C6" s="94" t="s">
        <v>32</v>
      </c>
      <c r="D6" s="95">
        <v>10000</v>
      </c>
      <c r="E6" s="94" t="s">
        <v>431</v>
      </c>
      <c r="F6" s="94" t="s">
        <v>433</v>
      </c>
      <c r="G6" s="95">
        <v>19</v>
      </c>
      <c r="H6" s="94" t="s">
        <v>368</v>
      </c>
      <c r="I6" s="94" t="s">
        <v>6236</v>
      </c>
      <c r="J6" s="94" t="s">
        <v>434</v>
      </c>
      <c r="K6" s="95">
        <v>60</v>
      </c>
      <c r="L6" s="94"/>
      <c r="M6" s="95">
        <v>1000</v>
      </c>
      <c r="N6" s="94" t="s">
        <v>435</v>
      </c>
      <c r="O6" s="94"/>
      <c r="P6" s="95">
        <v>4</v>
      </c>
      <c r="Q6" s="94" t="s">
        <v>436</v>
      </c>
      <c r="R6" s="95">
        <v>0</v>
      </c>
      <c r="S6" s="95">
        <v>0</v>
      </c>
      <c r="T6" s="95">
        <v>600</v>
      </c>
      <c r="U6" s="95">
        <v>120</v>
      </c>
      <c r="V6" s="95">
        <v>975</v>
      </c>
      <c r="W6" s="95">
        <v>1085</v>
      </c>
      <c r="X6" s="97">
        <v>45266.375</v>
      </c>
      <c r="Y6" s="97">
        <v>44862.375</v>
      </c>
      <c r="Z6" s="97">
        <v>44876.375</v>
      </c>
      <c r="AA6" s="98"/>
    </row>
    <row r="7" spans="1:27" ht="15.75" hidden="1" customHeight="1">
      <c r="A7" s="94" t="s">
        <v>2963</v>
      </c>
      <c r="B7" s="94" t="s">
        <v>775</v>
      </c>
      <c r="C7" s="94" t="s">
        <v>80</v>
      </c>
      <c r="D7" s="95">
        <v>1700</v>
      </c>
      <c r="E7" s="94" t="s">
        <v>424</v>
      </c>
      <c r="F7" s="94" t="s">
        <v>48</v>
      </c>
      <c r="G7" s="95">
        <v>4</v>
      </c>
      <c r="H7" s="94" t="s">
        <v>11</v>
      </c>
      <c r="I7" s="94" t="s">
        <v>7228</v>
      </c>
      <c r="J7" s="94" t="s">
        <v>426</v>
      </c>
      <c r="K7" s="95">
        <v>45</v>
      </c>
      <c r="L7" s="95">
        <v>30</v>
      </c>
      <c r="M7" s="94"/>
      <c r="N7" s="95">
        <v>52000</v>
      </c>
      <c r="O7" s="95">
        <v>1733</v>
      </c>
      <c r="P7" s="95">
        <v>1</v>
      </c>
      <c r="Q7" s="94" t="s">
        <v>383</v>
      </c>
      <c r="R7" s="95">
        <v>1</v>
      </c>
      <c r="S7" s="95">
        <v>45</v>
      </c>
      <c r="T7" s="95">
        <v>0</v>
      </c>
      <c r="U7" s="95">
        <v>0</v>
      </c>
      <c r="V7" s="95">
        <v>205</v>
      </c>
      <c r="W7" s="95">
        <v>474</v>
      </c>
      <c r="X7" s="97">
        <v>44971.375</v>
      </c>
      <c r="Y7" s="97">
        <v>44957.375</v>
      </c>
      <c r="Z7" s="97">
        <v>44886.375</v>
      </c>
      <c r="AA7" s="98"/>
    </row>
    <row r="8" spans="1:27" ht="15.75" hidden="1" customHeight="1">
      <c r="A8" s="94" t="s">
        <v>2963</v>
      </c>
      <c r="B8" s="94" t="s">
        <v>775</v>
      </c>
      <c r="C8" s="94" t="s">
        <v>80</v>
      </c>
      <c r="D8" s="95">
        <v>1700</v>
      </c>
      <c r="E8" s="94" t="s">
        <v>424</v>
      </c>
      <c r="F8" s="94" t="s">
        <v>48</v>
      </c>
      <c r="G8" s="95">
        <v>5</v>
      </c>
      <c r="H8" s="94" t="s">
        <v>12</v>
      </c>
      <c r="I8" s="94" t="s">
        <v>6923</v>
      </c>
      <c r="J8" s="94" t="s">
        <v>427</v>
      </c>
      <c r="K8" s="95">
        <v>130</v>
      </c>
      <c r="L8" s="95">
        <v>30</v>
      </c>
      <c r="M8" s="94"/>
      <c r="N8" s="95">
        <v>52000</v>
      </c>
      <c r="O8" s="95">
        <v>1733</v>
      </c>
      <c r="P8" s="95">
        <v>1</v>
      </c>
      <c r="Q8" s="94" t="s">
        <v>383</v>
      </c>
      <c r="R8" s="95">
        <v>1</v>
      </c>
      <c r="S8" s="95">
        <v>130</v>
      </c>
      <c r="T8" s="95">
        <v>0</v>
      </c>
      <c r="U8" s="95">
        <v>0</v>
      </c>
      <c r="V8" s="95">
        <v>205</v>
      </c>
      <c r="W8" s="95">
        <v>474</v>
      </c>
      <c r="X8" s="97">
        <v>44971.375</v>
      </c>
      <c r="Y8" s="97">
        <v>44957.375</v>
      </c>
      <c r="Z8" s="97">
        <v>44886.375</v>
      </c>
      <c r="AA8" s="98"/>
    </row>
    <row r="9" spans="1:27" ht="15.75" hidden="1" customHeight="1">
      <c r="A9" s="94" t="s">
        <v>2963</v>
      </c>
      <c r="B9" s="94" t="s">
        <v>775</v>
      </c>
      <c r="C9" s="94" t="s">
        <v>80</v>
      </c>
      <c r="D9" s="95">
        <v>1700</v>
      </c>
      <c r="E9" s="94" t="s">
        <v>424</v>
      </c>
      <c r="F9" s="94" t="s">
        <v>48</v>
      </c>
      <c r="G9" s="95">
        <v>6</v>
      </c>
      <c r="H9" s="94" t="s">
        <v>13</v>
      </c>
      <c r="I9" s="94" t="s">
        <v>6923</v>
      </c>
      <c r="J9" s="94" t="s">
        <v>427</v>
      </c>
      <c r="K9" s="95">
        <v>30</v>
      </c>
      <c r="L9" s="95">
        <v>30</v>
      </c>
      <c r="M9" s="94"/>
      <c r="N9" s="95">
        <v>52000</v>
      </c>
      <c r="O9" s="95">
        <v>1733</v>
      </c>
      <c r="P9" s="95">
        <v>1</v>
      </c>
      <c r="Q9" s="94" t="s">
        <v>383</v>
      </c>
      <c r="R9" s="95">
        <v>1</v>
      </c>
      <c r="S9" s="95">
        <v>30</v>
      </c>
      <c r="T9" s="95">
        <v>0</v>
      </c>
      <c r="U9" s="95">
        <v>0</v>
      </c>
      <c r="V9" s="95">
        <v>205</v>
      </c>
      <c r="W9" s="95">
        <v>474</v>
      </c>
      <c r="X9" s="97">
        <v>44971.375</v>
      </c>
      <c r="Y9" s="97">
        <v>44957.375</v>
      </c>
      <c r="Z9" s="97">
        <v>44886.375</v>
      </c>
      <c r="AA9" s="98"/>
    </row>
    <row r="10" spans="1:27" ht="15.75" hidden="1" customHeight="1">
      <c r="A10" s="94" t="s">
        <v>2963</v>
      </c>
      <c r="B10" s="94" t="s">
        <v>775</v>
      </c>
      <c r="C10" s="94" t="s">
        <v>80</v>
      </c>
      <c r="D10" s="95">
        <v>1700</v>
      </c>
      <c r="E10" s="94" t="s">
        <v>431</v>
      </c>
      <c r="F10" s="94" t="s">
        <v>433</v>
      </c>
      <c r="G10" s="95">
        <v>18</v>
      </c>
      <c r="H10" s="94" t="s">
        <v>439</v>
      </c>
      <c r="I10" s="94" t="s">
        <v>6671</v>
      </c>
      <c r="J10" s="94" t="s">
        <v>440</v>
      </c>
      <c r="K10" s="95">
        <v>60</v>
      </c>
      <c r="L10" s="94"/>
      <c r="M10" s="95">
        <v>750</v>
      </c>
      <c r="N10" s="99" t="s">
        <v>435</v>
      </c>
      <c r="O10" s="94"/>
      <c r="P10" s="95">
        <v>1</v>
      </c>
      <c r="Q10" s="94" t="s">
        <v>436</v>
      </c>
      <c r="R10" s="95">
        <v>0</v>
      </c>
      <c r="S10" s="95">
        <v>0</v>
      </c>
      <c r="T10" s="95">
        <v>136</v>
      </c>
      <c r="U10" s="95">
        <v>28</v>
      </c>
      <c r="V10" s="95">
        <v>269</v>
      </c>
      <c r="W10" s="95">
        <v>474</v>
      </c>
      <c r="X10" s="97">
        <v>44971.375</v>
      </c>
      <c r="Y10" s="97">
        <v>44957.375</v>
      </c>
      <c r="Z10" s="97">
        <v>44886.375</v>
      </c>
      <c r="AA10" s="98"/>
    </row>
    <row r="11" spans="1:27" ht="15.75" hidden="1" customHeight="1">
      <c r="A11" s="94" t="s">
        <v>2963</v>
      </c>
      <c r="B11" s="94" t="s">
        <v>775</v>
      </c>
      <c r="C11" s="94" t="s">
        <v>80</v>
      </c>
      <c r="D11" s="95">
        <v>1700</v>
      </c>
      <c r="E11" s="94" t="s">
        <v>431</v>
      </c>
      <c r="F11" s="94" t="s">
        <v>433</v>
      </c>
      <c r="G11" s="95">
        <v>19</v>
      </c>
      <c r="H11" s="94" t="s">
        <v>368</v>
      </c>
      <c r="I11" s="94" t="s">
        <v>6236</v>
      </c>
      <c r="J11" s="94" t="s">
        <v>434</v>
      </c>
      <c r="K11" s="95">
        <v>60</v>
      </c>
      <c r="L11" s="94"/>
      <c r="M11" s="95">
        <v>770</v>
      </c>
      <c r="N11" s="99" t="s">
        <v>435</v>
      </c>
      <c r="O11" s="94"/>
      <c r="P11" s="95">
        <v>4</v>
      </c>
      <c r="Q11" s="94" t="s">
        <v>436</v>
      </c>
      <c r="R11" s="95">
        <v>0</v>
      </c>
      <c r="S11" s="95">
        <v>0</v>
      </c>
      <c r="T11" s="95">
        <v>133</v>
      </c>
      <c r="U11" s="95">
        <v>27</v>
      </c>
      <c r="V11" s="95">
        <v>269</v>
      </c>
      <c r="W11" s="95">
        <v>474</v>
      </c>
      <c r="X11" s="97">
        <v>44971.375</v>
      </c>
      <c r="Y11" s="97">
        <v>44957.375</v>
      </c>
      <c r="Z11" s="97">
        <v>44886.375</v>
      </c>
      <c r="AA11" s="98"/>
    </row>
    <row r="12" spans="1:27" ht="15.75" hidden="1" customHeight="1">
      <c r="A12" s="94" t="s">
        <v>2919</v>
      </c>
      <c r="B12" s="94" t="s">
        <v>824</v>
      </c>
      <c r="C12" s="94" t="s">
        <v>133</v>
      </c>
      <c r="D12" s="95">
        <v>10000</v>
      </c>
      <c r="E12" s="94" t="s">
        <v>424</v>
      </c>
      <c r="F12" s="94" t="s">
        <v>48</v>
      </c>
      <c r="G12" s="95">
        <v>4</v>
      </c>
      <c r="H12" s="94" t="s">
        <v>11</v>
      </c>
      <c r="I12" s="94" t="s">
        <v>7228</v>
      </c>
      <c r="J12" s="94" t="s">
        <v>426</v>
      </c>
      <c r="K12" s="95">
        <v>105</v>
      </c>
      <c r="L12" s="95">
        <v>10.1</v>
      </c>
      <c r="M12" s="94"/>
      <c r="N12" s="96">
        <v>52000</v>
      </c>
      <c r="O12" s="95">
        <v>5148</v>
      </c>
      <c r="P12" s="95">
        <v>1</v>
      </c>
      <c r="Q12" s="94" t="s">
        <v>383</v>
      </c>
      <c r="R12" s="95">
        <v>2</v>
      </c>
      <c r="S12" s="95">
        <v>210</v>
      </c>
      <c r="T12" s="95">
        <v>0</v>
      </c>
      <c r="U12" s="95">
        <v>0</v>
      </c>
      <c r="V12" s="95">
        <v>915</v>
      </c>
      <c r="W12" s="95">
        <v>1515</v>
      </c>
      <c r="X12" s="97">
        <v>44970.375</v>
      </c>
      <c r="Y12" s="97">
        <v>44726.375</v>
      </c>
      <c r="Z12" s="97">
        <v>44726.375</v>
      </c>
      <c r="AA12" s="98"/>
    </row>
    <row r="13" spans="1:27" ht="15.75" hidden="1" customHeight="1">
      <c r="A13" s="94" t="s">
        <v>2919</v>
      </c>
      <c r="B13" s="94" t="s">
        <v>824</v>
      </c>
      <c r="C13" s="94" t="s">
        <v>133</v>
      </c>
      <c r="D13" s="95">
        <v>10000</v>
      </c>
      <c r="E13" s="94" t="s">
        <v>424</v>
      </c>
      <c r="F13" s="94" t="s">
        <v>48</v>
      </c>
      <c r="G13" s="95">
        <v>5</v>
      </c>
      <c r="H13" s="94" t="s">
        <v>12</v>
      </c>
      <c r="I13" s="94" t="s">
        <v>6923</v>
      </c>
      <c r="J13" s="94" t="s">
        <v>427</v>
      </c>
      <c r="K13" s="95">
        <v>150</v>
      </c>
      <c r="L13" s="95">
        <v>10.1</v>
      </c>
      <c r="M13" s="94"/>
      <c r="N13" s="96">
        <v>52000</v>
      </c>
      <c r="O13" s="95">
        <v>5148</v>
      </c>
      <c r="P13" s="95">
        <v>1</v>
      </c>
      <c r="Q13" s="94" t="s">
        <v>383</v>
      </c>
      <c r="R13" s="95">
        <v>2</v>
      </c>
      <c r="S13" s="95">
        <v>300</v>
      </c>
      <c r="T13" s="95">
        <v>0</v>
      </c>
      <c r="U13" s="95">
        <v>0</v>
      </c>
      <c r="V13" s="95">
        <v>915</v>
      </c>
      <c r="W13" s="95">
        <v>1515</v>
      </c>
      <c r="X13" s="97">
        <v>44970.375</v>
      </c>
      <c r="Y13" s="97">
        <v>44726.375</v>
      </c>
      <c r="Z13" s="97">
        <v>44726.375</v>
      </c>
      <c r="AA13" s="98"/>
    </row>
    <row r="14" spans="1:27" ht="15.75" hidden="1" customHeight="1">
      <c r="A14" s="94" t="s">
        <v>2919</v>
      </c>
      <c r="B14" s="94" t="s">
        <v>824</v>
      </c>
      <c r="C14" s="94" t="s">
        <v>133</v>
      </c>
      <c r="D14" s="95">
        <v>10000</v>
      </c>
      <c r="E14" s="94" t="s">
        <v>424</v>
      </c>
      <c r="F14" s="94" t="s">
        <v>48</v>
      </c>
      <c r="G14" s="95">
        <v>6</v>
      </c>
      <c r="H14" s="94" t="s">
        <v>13</v>
      </c>
      <c r="I14" s="94" t="s">
        <v>6923</v>
      </c>
      <c r="J14" s="94" t="s">
        <v>427</v>
      </c>
      <c r="K14" s="95">
        <v>30</v>
      </c>
      <c r="L14" s="95">
        <v>10.1</v>
      </c>
      <c r="M14" s="94"/>
      <c r="N14" s="95">
        <v>52000</v>
      </c>
      <c r="O14" s="95">
        <v>5148</v>
      </c>
      <c r="P14" s="95">
        <v>1</v>
      </c>
      <c r="Q14" s="94" t="s">
        <v>383</v>
      </c>
      <c r="R14" s="95">
        <v>2</v>
      </c>
      <c r="S14" s="95">
        <v>30</v>
      </c>
      <c r="T14" s="95">
        <v>0</v>
      </c>
      <c r="U14" s="95">
        <v>0</v>
      </c>
      <c r="V14" s="95">
        <v>915</v>
      </c>
      <c r="W14" s="95">
        <v>1515</v>
      </c>
      <c r="X14" s="97">
        <v>44970.375</v>
      </c>
      <c r="Y14" s="97">
        <v>44726.375</v>
      </c>
      <c r="Z14" s="97">
        <v>44726.375</v>
      </c>
      <c r="AA14" s="98"/>
    </row>
    <row r="15" spans="1:27" ht="15.75" hidden="1" customHeight="1">
      <c r="A15" s="94" t="s">
        <v>2919</v>
      </c>
      <c r="B15" s="94" t="s">
        <v>824</v>
      </c>
      <c r="C15" s="94" t="s">
        <v>133</v>
      </c>
      <c r="D15" s="95">
        <v>10000</v>
      </c>
      <c r="E15" s="94" t="s">
        <v>424</v>
      </c>
      <c r="F15" s="94" t="s">
        <v>74</v>
      </c>
      <c r="G15" s="95">
        <v>7</v>
      </c>
      <c r="H15" s="94" t="s">
        <v>11</v>
      </c>
      <c r="I15" s="94" t="s">
        <v>7228</v>
      </c>
      <c r="J15" s="94" t="s">
        <v>426</v>
      </c>
      <c r="K15" s="95">
        <v>135</v>
      </c>
      <c r="L15" s="95">
        <v>10.1</v>
      </c>
      <c r="M15" s="94"/>
      <c r="N15" s="96">
        <v>103000</v>
      </c>
      <c r="O15" s="95">
        <v>10198</v>
      </c>
      <c r="P15" s="95">
        <v>1</v>
      </c>
      <c r="Q15" s="94" t="s">
        <v>383</v>
      </c>
      <c r="R15" s="95">
        <v>1</v>
      </c>
      <c r="S15" s="95">
        <v>135</v>
      </c>
      <c r="T15" s="95">
        <v>0</v>
      </c>
      <c r="U15" s="95">
        <v>0</v>
      </c>
      <c r="V15" s="95">
        <v>915</v>
      </c>
      <c r="W15" s="95">
        <v>1515</v>
      </c>
      <c r="X15" s="97">
        <v>44970.375</v>
      </c>
      <c r="Y15" s="97">
        <v>44726.375</v>
      </c>
      <c r="Z15" s="97">
        <v>44726.375</v>
      </c>
      <c r="AA15" s="98"/>
    </row>
    <row r="16" spans="1:27" ht="15.75" hidden="1" customHeight="1">
      <c r="A16" s="94" t="s">
        <v>2919</v>
      </c>
      <c r="B16" s="94" t="s">
        <v>824</v>
      </c>
      <c r="C16" s="94" t="s">
        <v>133</v>
      </c>
      <c r="D16" s="95">
        <v>10000</v>
      </c>
      <c r="E16" s="94" t="s">
        <v>424</v>
      </c>
      <c r="F16" s="94" t="s">
        <v>74</v>
      </c>
      <c r="G16" s="95">
        <v>8</v>
      </c>
      <c r="H16" s="94" t="s">
        <v>12</v>
      </c>
      <c r="I16" s="94" t="s">
        <v>6923</v>
      </c>
      <c r="J16" s="94" t="s">
        <v>430</v>
      </c>
      <c r="K16" s="95">
        <v>200</v>
      </c>
      <c r="L16" s="95">
        <v>10.1</v>
      </c>
      <c r="M16" s="94"/>
      <c r="N16" s="96">
        <v>103000</v>
      </c>
      <c r="O16" s="95">
        <v>10198</v>
      </c>
      <c r="P16" s="95">
        <v>1</v>
      </c>
      <c r="Q16" s="94" t="s">
        <v>383</v>
      </c>
      <c r="R16" s="95">
        <v>1</v>
      </c>
      <c r="S16" s="95">
        <v>200</v>
      </c>
      <c r="T16" s="95">
        <v>0</v>
      </c>
      <c r="U16" s="95">
        <v>0</v>
      </c>
      <c r="V16" s="95">
        <v>915</v>
      </c>
      <c r="W16" s="95">
        <v>1515</v>
      </c>
      <c r="X16" s="97">
        <v>44970.375</v>
      </c>
      <c r="Y16" s="97">
        <v>44726.375</v>
      </c>
      <c r="Z16" s="97">
        <v>44726.375</v>
      </c>
      <c r="AA16" s="98"/>
    </row>
    <row r="17" spans="1:27" ht="15.75" hidden="1" customHeight="1">
      <c r="A17" s="94" t="s">
        <v>2919</v>
      </c>
      <c r="B17" s="94" t="s">
        <v>824</v>
      </c>
      <c r="C17" s="94" t="s">
        <v>133</v>
      </c>
      <c r="D17" s="95">
        <v>10000</v>
      </c>
      <c r="E17" s="94" t="s">
        <v>424</v>
      </c>
      <c r="F17" s="94" t="s">
        <v>74</v>
      </c>
      <c r="G17" s="95">
        <v>9</v>
      </c>
      <c r="H17" s="94" t="s">
        <v>13</v>
      </c>
      <c r="I17" s="94" t="s">
        <v>6923</v>
      </c>
      <c r="J17" s="94" t="s">
        <v>430</v>
      </c>
      <c r="K17" s="95">
        <v>40</v>
      </c>
      <c r="L17" s="95">
        <v>10.1</v>
      </c>
      <c r="M17" s="94"/>
      <c r="N17" s="96">
        <v>103000</v>
      </c>
      <c r="O17" s="95">
        <v>10198</v>
      </c>
      <c r="P17" s="95">
        <v>1</v>
      </c>
      <c r="Q17" s="94" t="s">
        <v>383</v>
      </c>
      <c r="R17" s="95">
        <v>1</v>
      </c>
      <c r="S17" s="95">
        <v>40</v>
      </c>
      <c r="T17" s="95">
        <v>0</v>
      </c>
      <c r="U17" s="95">
        <v>0</v>
      </c>
      <c r="V17" s="95">
        <v>915</v>
      </c>
      <c r="W17" s="95">
        <v>1515</v>
      </c>
      <c r="X17" s="97">
        <v>44970.375</v>
      </c>
      <c r="Y17" s="97">
        <v>44726.375</v>
      </c>
      <c r="Z17" s="97">
        <v>44726.375</v>
      </c>
      <c r="AA17" s="98"/>
    </row>
    <row r="18" spans="1:27" ht="15.75" hidden="1" customHeight="1">
      <c r="A18" s="94" t="s">
        <v>2919</v>
      </c>
      <c r="B18" s="94" t="s">
        <v>824</v>
      </c>
      <c r="C18" s="94" t="s">
        <v>133</v>
      </c>
      <c r="D18" s="95">
        <v>10000</v>
      </c>
      <c r="E18" s="94" t="s">
        <v>431</v>
      </c>
      <c r="F18" s="94" t="s">
        <v>433</v>
      </c>
      <c r="G18" s="95">
        <v>19</v>
      </c>
      <c r="H18" s="94" t="s">
        <v>368</v>
      </c>
      <c r="I18" s="94" t="s">
        <v>6236</v>
      </c>
      <c r="J18" s="94" t="s">
        <v>434</v>
      </c>
      <c r="K18" s="95">
        <v>60</v>
      </c>
      <c r="L18" s="94"/>
      <c r="M18" s="95">
        <v>1000</v>
      </c>
      <c r="N18" s="99" t="s">
        <v>435</v>
      </c>
      <c r="O18" s="94"/>
      <c r="P18" s="95">
        <v>4</v>
      </c>
      <c r="Q18" s="94" t="s">
        <v>436</v>
      </c>
      <c r="R18" s="95">
        <v>0</v>
      </c>
      <c r="S18" s="95">
        <v>0</v>
      </c>
      <c r="T18" s="95">
        <v>600</v>
      </c>
      <c r="U18" s="95">
        <v>120</v>
      </c>
      <c r="V18" s="95">
        <v>600</v>
      </c>
      <c r="W18" s="95">
        <v>1515</v>
      </c>
      <c r="X18" s="97">
        <v>44970.375</v>
      </c>
      <c r="Y18" s="97">
        <v>44726.375</v>
      </c>
      <c r="Z18" s="97">
        <v>44726.375</v>
      </c>
      <c r="AA18" s="98"/>
    </row>
    <row r="19" spans="1:27" ht="15.75" hidden="1" customHeight="1">
      <c r="A19" s="94" t="s">
        <v>2908</v>
      </c>
      <c r="B19" s="94" t="s">
        <v>751</v>
      </c>
      <c r="C19" s="94" t="s">
        <v>60</v>
      </c>
      <c r="D19" s="95">
        <v>10000</v>
      </c>
      <c r="E19" s="94" t="s">
        <v>442</v>
      </c>
      <c r="F19" s="94" t="s">
        <v>40</v>
      </c>
      <c r="G19" s="95">
        <v>1</v>
      </c>
      <c r="H19" s="94" t="s">
        <v>11</v>
      </c>
      <c r="I19" s="94" t="s">
        <v>7228</v>
      </c>
      <c r="J19" s="94" t="s">
        <v>426</v>
      </c>
      <c r="K19" s="95">
        <v>25</v>
      </c>
      <c r="L19" s="95">
        <v>100</v>
      </c>
      <c r="M19" s="94"/>
      <c r="N19" s="95">
        <v>367500</v>
      </c>
      <c r="O19" s="95">
        <v>3675</v>
      </c>
      <c r="P19" s="95">
        <v>1</v>
      </c>
      <c r="Q19" s="94" t="s">
        <v>383</v>
      </c>
      <c r="R19" s="95">
        <v>3</v>
      </c>
      <c r="S19" s="95">
        <v>75</v>
      </c>
      <c r="T19" s="95">
        <v>0</v>
      </c>
      <c r="U19" s="95">
        <v>0</v>
      </c>
      <c r="V19" s="95">
        <v>1185</v>
      </c>
      <c r="W19" s="95">
        <v>3767</v>
      </c>
      <c r="X19" s="97">
        <v>44981.375</v>
      </c>
      <c r="Y19" s="97">
        <v>44959.375</v>
      </c>
      <c r="Z19" s="97">
        <v>44922.375</v>
      </c>
      <c r="AA19" s="98"/>
    </row>
    <row r="20" spans="1:27" ht="15.75" hidden="1" customHeight="1">
      <c r="A20" s="94" t="s">
        <v>2908</v>
      </c>
      <c r="B20" s="94" t="s">
        <v>751</v>
      </c>
      <c r="C20" s="94" t="s">
        <v>60</v>
      </c>
      <c r="D20" s="95">
        <v>10000</v>
      </c>
      <c r="E20" s="94" t="s">
        <v>442</v>
      </c>
      <c r="F20" s="94" t="s">
        <v>40</v>
      </c>
      <c r="G20" s="95">
        <v>2</v>
      </c>
      <c r="H20" s="94" t="s">
        <v>12</v>
      </c>
      <c r="I20" s="94" t="s">
        <v>6923</v>
      </c>
      <c r="J20" s="94" t="s">
        <v>449</v>
      </c>
      <c r="K20" s="95">
        <v>320</v>
      </c>
      <c r="L20" s="95">
        <v>100</v>
      </c>
      <c r="M20" s="94"/>
      <c r="N20" s="95">
        <v>367500</v>
      </c>
      <c r="O20" s="95">
        <v>3675</v>
      </c>
      <c r="P20" s="95">
        <v>1</v>
      </c>
      <c r="Q20" s="94" t="s">
        <v>383</v>
      </c>
      <c r="R20" s="95">
        <v>3</v>
      </c>
      <c r="S20" s="95">
        <v>960</v>
      </c>
      <c r="T20" s="95">
        <v>0</v>
      </c>
      <c r="U20" s="95">
        <v>0</v>
      </c>
      <c r="V20" s="95">
        <v>1185</v>
      </c>
      <c r="W20" s="95">
        <v>3767</v>
      </c>
      <c r="X20" s="97">
        <v>44981.375</v>
      </c>
      <c r="Y20" s="97">
        <v>44959.375</v>
      </c>
      <c r="Z20" s="97">
        <v>44922.375</v>
      </c>
      <c r="AA20" s="98"/>
    </row>
    <row r="21" spans="1:27" ht="15.75" hidden="1" customHeight="1">
      <c r="A21" s="94" t="s">
        <v>2908</v>
      </c>
      <c r="B21" s="94" t="s">
        <v>751</v>
      </c>
      <c r="C21" s="94" t="s">
        <v>60</v>
      </c>
      <c r="D21" s="95">
        <v>10000</v>
      </c>
      <c r="E21" s="94" t="s">
        <v>442</v>
      </c>
      <c r="F21" s="94" t="s">
        <v>40</v>
      </c>
      <c r="G21" s="95">
        <v>3</v>
      </c>
      <c r="H21" s="94" t="s">
        <v>13</v>
      </c>
      <c r="I21" s="94" t="s">
        <v>6923</v>
      </c>
      <c r="J21" s="94" t="s">
        <v>449</v>
      </c>
      <c r="K21" s="95">
        <v>50</v>
      </c>
      <c r="L21" s="95">
        <v>100</v>
      </c>
      <c r="M21" s="94"/>
      <c r="N21" s="95">
        <v>367500</v>
      </c>
      <c r="O21" s="95">
        <v>3675</v>
      </c>
      <c r="P21" s="95">
        <v>1</v>
      </c>
      <c r="Q21" s="94" t="s">
        <v>383</v>
      </c>
      <c r="R21" s="95">
        <v>3</v>
      </c>
      <c r="S21" s="95">
        <v>150</v>
      </c>
      <c r="T21" s="95">
        <v>0</v>
      </c>
      <c r="U21" s="95">
        <v>0</v>
      </c>
      <c r="V21" s="95">
        <v>1185</v>
      </c>
      <c r="W21" s="95">
        <v>3767</v>
      </c>
      <c r="X21" s="97">
        <v>44981.375</v>
      </c>
      <c r="Y21" s="97">
        <v>44959.375</v>
      </c>
      <c r="Z21" s="97">
        <v>44922.375</v>
      </c>
      <c r="AA21" s="98"/>
    </row>
    <row r="22" spans="1:27" ht="15.75" hidden="1" customHeight="1">
      <c r="A22" s="94" t="s">
        <v>2908</v>
      </c>
      <c r="B22" s="94" t="s">
        <v>751</v>
      </c>
      <c r="C22" s="94" t="s">
        <v>60</v>
      </c>
      <c r="D22" s="95">
        <v>10000</v>
      </c>
      <c r="E22" s="94" t="s">
        <v>431</v>
      </c>
      <c r="F22" s="94" t="s">
        <v>433</v>
      </c>
      <c r="G22" s="95">
        <v>18</v>
      </c>
      <c r="H22" s="94" t="s">
        <v>439</v>
      </c>
      <c r="I22" s="94" t="s">
        <v>6671</v>
      </c>
      <c r="J22" s="94" t="s">
        <v>440</v>
      </c>
      <c r="K22" s="95">
        <v>60</v>
      </c>
      <c r="L22" s="94"/>
      <c r="M22" s="95">
        <v>460</v>
      </c>
      <c r="N22" s="94" t="s">
        <v>435</v>
      </c>
      <c r="O22" s="94"/>
      <c r="P22" s="95">
        <v>1</v>
      </c>
      <c r="Q22" s="94" t="s">
        <v>436</v>
      </c>
      <c r="R22" s="95">
        <v>0</v>
      </c>
      <c r="S22" s="95">
        <v>0</v>
      </c>
      <c r="T22" s="95">
        <v>1305</v>
      </c>
      <c r="U22" s="95">
        <v>261</v>
      </c>
      <c r="V22" s="95">
        <v>2582</v>
      </c>
      <c r="W22" s="95">
        <v>3767</v>
      </c>
      <c r="X22" s="97">
        <v>44981.375</v>
      </c>
      <c r="Y22" s="97">
        <v>44959.375</v>
      </c>
      <c r="Z22" s="97">
        <v>44922.375</v>
      </c>
      <c r="AA22" s="98"/>
    </row>
    <row r="23" spans="1:27" ht="15.75" hidden="1" customHeight="1">
      <c r="A23" s="94" t="s">
        <v>2908</v>
      </c>
      <c r="B23" s="94" t="s">
        <v>751</v>
      </c>
      <c r="C23" s="94" t="s">
        <v>60</v>
      </c>
      <c r="D23" s="95">
        <v>10000</v>
      </c>
      <c r="E23" s="94" t="s">
        <v>431</v>
      </c>
      <c r="F23" s="94" t="s">
        <v>433</v>
      </c>
      <c r="G23" s="95">
        <v>19</v>
      </c>
      <c r="H23" s="94" t="s">
        <v>368</v>
      </c>
      <c r="I23" s="94" t="s">
        <v>6236</v>
      </c>
      <c r="J23" s="94" t="s">
        <v>434</v>
      </c>
      <c r="K23" s="95">
        <v>60</v>
      </c>
      <c r="L23" s="94"/>
      <c r="M23" s="95">
        <v>470</v>
      </c>
      <c r="N23" s="99" t="s">
        <v>435</v>
      </c>
      <c r="O23" s="94"/>
      <c r="P23" s="95">
        <v>3</v>
      </c>
      <c r="Q23" s="94" t="s">
        <v>436</v>
      </c>
      <c r="R23" s="95">
        <v>0</v>
      </c>
      <c r="S23" s="95">
        <v>0</v>
      </c>
      <c r="T23" s="95">
        <v>1277</v>
      </c>
      <c r="U23" s="95">
        <v>256</v>
      </c>
      <c r="V23" s="95">
        <v>2582</v>
      </c>
      <c r="W23" s="95">
        <v>3767</v>
      </c>
      <c r="X23" s="97">
        <v>44981.375</v>
      </c>
      <c r="Y23" s="97">
        <v>44959.375</v>
      </c>
      <c r="Z23" s="97">
        <v>44922.375</v>
      </c>
      <c r="AA23" s="98"/>
    </row>
    <row r="24" spans="1:27" ht="15.75" hidden="1" customHeight="1">
      <c r="A24" s="94" t="s">
        <v>2909</v>
      </c>
      <c r="B24" s="94" t="s">
        <v>596</v>
      </c>
      <c r="C24" s="94" t="s">
        <v>39</v>
      </c>
      <c r="D24" s="95">
        <v>10184</v>
      </c>
      <c r="E24" s="94" t="s">
        <v>442</v>
      </c>
      <c r="F24" s="94" t="s">
        <v>40</v>
      </c>
      <c r="G24" s="95">
        <v>2</v>
      </c>
      <c r="H24" s="94" t="s">
        <v>12</v>
      </c>
      <c r="I24" s="94" t="s">
        <v>6923</v>
      </c>
      <c r="J24" s="94" t="s">
        <v>449</v>
      </c>
      <c r="K24" s="95">
        <v>70</v>
      </c>
      <c r="L24" s="95">
        <v>11.7</v>
      </c>
      <c r="M24" s="94"/>
      <c r="N24" s="95">
        <v>400000</v>
      </c>
      <c r="O24" s="95">
        <v>34188</v>
      </c>
      <c r="P24" s="95">
        <v>1</v>
      </c>
      <c r="Q24" s="94" t="s">
        <v>383</v>
      </c>
      <c r="R24" s="95">
        <v>1</v>
      </c>
      <c r="S24" s="95">
        <v>70</v>
      </c>
      <c r="T24" s="95">
        <v>0</v>
      </c>
      <c r="U24" s="95">
        <v>0</v>
      </c>
      <c r="V24" s="95">
        <v>170</v>
      </c>
      <c r="W24" s="95">
        <v>1582</v>
      </c>
      <c r="X24" s="97">
        <v>44991.375</v>
      </c>
      <c r="Y24" s="97">
        <v>44915.375</v>
      </c>
      <c r="Z24" s="97">
        <v>44960.375</v>
      </c>
      <c r="AA24" s="98"/>
    </row>
    <row r="25" spans="1:27" ht="15.75" hidden="1" customHeight="1">
      <c r="A25" s="94" t="s">
        <v>2909</v>
      </c>
      <c r="B25" s="94" t="s">
        <v>596</v>
      </c>
      <c r="C25" s="94" t="s">
        <v>39</v>
      </c>
      <c r="D25" s="95">
        <v>10184</v>
      </c>
      <c r="E25" s="94" t="s">
        <v>442</v>
      </c>
      <c r="F25" s="94" t="s">
        <v>40</v>
      </c>
      <c r="G25" s="95">
        <v>3</v>
      </c>
      <c r="H25" s="94" t="s">
        <v>13</v>
      </c>
      <c r="I25" s="94" t="s">
        <v>6923</v>
      </c>
      <c r="J25" s="94" t="s">
        <v>449</v>
      </c>
      <c r="K25" s="95">
        <v>30</v>
      </c>
      <c r="L25" s="95">
        <v>11.7</v>
      </c>
      <c r="M25" s="94"/>
      <c r="N25" s="95">
        <v>400000</v>
      </c>
      <c r="O25" s="95">
        <v>34188</v>
      </c>
      <c r="P25" s="95">
        <v>1</v>
      </c>
      <c r="Q25" s="94" t="s">
        <v>383</v>
      </c>
      <c r="R25" s="95">
        <v>1</v>
      </c>
      <c r="S25" s="95">
        <v>30</v>
      </c>
      <c r="T25" s="95">
        <v>0</v>
      </c>
      <c r="U25" s="95">
        <v>0</v>
      </c>
      <c r="V25" s="95">
        <v>170</v>
      </c>
      <c r="W25" s="95">
        <v>1582</v>
      </c>
      <c r="X25" s="97">
        <v>44991.375</v>
      </c>
      <c r="Y25" s="97">
        <v>44915.375</v>
      </c>
      <c r="Z25" s="97">
        <v>44960.375</v>
      </c>
      <c r="AA25" s="98"/>
    </row>
    <row r="26" spans="1:27" ht="15.75" hidden="1" customHeight="1">
      <c r="A26" s="94" t="s">
        <v>2909</v>
      </c>
      <c r="B26" s="94" t="s">
        <v>596</v>
      </c>
      <c r="C26" s="94" t="s">
        <v>39</v>
      </c>
      <c r="D26" s="95">
        <v>10184</v>
      </c>
      <c r="E26" s="94" t="s">
        <v>424</v>
      </c>
      <c r="F26" s="94" t="s">
        <v>48</v>
      </c>
      <c r="G26" s="95">
        <v>5</v>
      </c>
      <c r="H26" s="94" t="s">
        <v>12</v>
      </c>
      <c r="I26" s="94" t="s">
        <v>6923</v>
      </c>
      <c r="J26" s="94" t="s">
        <v>427</v>
      </c>
      <c r="K26" s="95">
        <v>80</v>
      </c>
      <c r="L26" s="95">
        <v>2.8</v>
      </c>
      <c r="M26" s="94"/>
      <c r="N26" s="95">
        <v>42500</v>
      </c>
      <c r="O26" s="95">
        <v>15178</v>
      </c>
      <c r="P26" s="95">
        <v>1</v>
      </c>
      <c r="Q26" s="94" t="s">
        <v>383</v>
      </c>
      <c r="R26" s="95">
        <v>1</v>
      </c>
      <c r="S26" s="95">
        <v>80</v>
      </c>
      <c r="T26" s="95">
        <v>0</v>
      </c>
      <c r="U26" s="95">
        <v>0</v>
      </c>
      <c r="V26" s="95">
        <v>110</v>
      </c>
      <c r="W26" s="95">
        <v>1582</v>
      </c>
      <c r="X26" s="97">
        <v>44991.375</v>
      </c>
      <c r="Y26" s="97">
        <v>44915.375</v>
      </c>
      <c r="Z26" s="97">
        <v>44960.375</v>
      </c>
      <c r="AA26" s="98"/>
    </row>
    <row r="27" spans="1:27" ht="15.75" hidden="1" customHeight="1">
      <c r="A27" s="94" t="s">
        <v>2909</v>
      </c>
      <c r="B27" s="94" t="s">
        <v>596</v>
      </c>
      <c r="C27" s="94" t="s">
        <v>39</v>
      </c>
      <c r="D27" s="95">
        <v>10184</v>
      </c>
      <c r="E27" s="94" t="s">
        <v>424</v>
      </c>
      <c r="F27" s="94" t="s">
        <v>48</v>
      </c>
      <c r="G27" s="95">
        <v>6</v>
      </c>
      <c r="H27" s="94" t="s">
        <v>13</v>
      </c>
      <c r="I27" s="94" t="s">
        <v>6923</v>
      </c>
      <c r="J27" s="94" t="s">
        <v>427</v>
      </c>
      <c r="K27" s="95">
        <v>30</v>
      </c>
      <c r="L27" s="95">
        <v>2.8</v>
      </c>
      <c r="M27" s="94"/>
      <c r="N27" s="96">
        <v>42500</v>
      </c>
      <c r="O27" s="95">
        <v>15178</v>
      </c>
      <c r="P27" s="95">
        <v>1</v>
      </c>
      <c r="Q27" s="94" t="s">
        <v>383</v>
      </c>
      <c r="R27" s="95">
        <v>1</v>
      </c>
      <c r="S27" s="95">
        <v>30</v>
      </c>
      <c r="T27" s="95">
        <v>0</v>
      </c>
      <c r="U27" s="95">
        <v>0</v>
      </c>
      <c r="V27" s="95">
        <v>110</v>
      </c>
      <c r="W27" s="95">
        <v>1582</v>
      </c>
      <c r="X27" s="97">
        <v>44991.375</v>
      </c>
      <c r="Y27" s="97">
        <v>44915.375</v>
      </c>
      <c r="Z27" s="97">
        <v>44960.375</v>
      </c>
      <c r="AA27" s="98"/>
    </row>
    <row r="28" spans="1:27" ht="15.75" hidden="1" customHeight="1">
      <c r="A28" s="94" t="s">
        <v>2909</v>
      </c>
      <c r="B28" s="94" t="s">
        <v>596</v>
      </c>
      <c r="C28" s="94" t="s">
        <v>39</v>
      </c>
      <c r="D28" s="95">
        <v>10184</v>
      </c>
      <c r="E28" s="94" t="s">
        <v>431</v>
      </c>
      <c r="F28" s="94" t="s">
        <v>433</v>
      </c>
      <c r="G28" s="95">
        <v>18</v>
      </c>
      <c r="H28" s="94" t="s">
        <v>439</v>
      </c>
      <c r="I28" s="94" t="s">
        <v>6671</v>
      </c>
      <c r="J28" s="94" t="s">
        <v>440</v>
      </c>
      <c r="K28" s="95">
        <v>60</v>
      </c>
      <c r="L28" s="94"/>
      <c r="M28" s="95">
        <v>1100</v>
      </c>
      <c r="N28" s="99" t="s">
        <v>435</v>
      </c>
      <c r="O28" s="94"/>
      <c r="P28" s="95">
        <v>1</v>
      </c>
      <c r="Q28" s="94" t="s">
        <v>436</v>
      </c>
      <c r="R28" s="95">
        <v>0</v>
      </c>
      <c r="S28" s="95">
        <v>0</v>
      </c>
      <c r="T28" s="95">
        <v>556</v>
      </c>
      <c r="U28" s="95">
        <v>112</v>
      </c>
      <c r="V28" s="95">
        <v>1302</v>
      </c>
      <c r="W28" s="95">
        <v>1582</v>
      </c>
      <c r="X28" s="97">
        <v>44991.375</v>
      </c>
      <c r="Y28" s="97">
        <v>44915.375</v>
      </c>
      <c r="Z28" s="97">
        <v>44960.375</v>
      </c>
      <c r="AA28" s="98"/>
    </row>
    <row r="29" spans="1:27" ht="15.75" hidden="1" customHeight="1">
      <c r="A29" s="94" t="s">
        <v>2909</v>
      </c>
      <c r="B29" s="94" t="s">
        <v>596</v>
      </c>
      <c r="C29" s="94" t="s">
        <v>39</v>
      </c>
      <c r="D29" s="95">
        <v>10184</v>
      </c>
      <c r="E29" s="94" t="s">
        <v>431</v>
      </c>
      <c r="F29" s="94" t="s">
        <v>433</v>
      </c>
      <c r="G29" s="95">
        <v>19</v>
      </c>
      <c r="H29" s="94" t="s">
        <v>368</v>
      </c>
      <c r="I29" s="94" t="s">
        <v>6236</v>
      </c>
      <c r="J29" s="94" t="s">
        <v>434</v>
      </c>
      <c r="K29" s="95">
        <v>60</v>
      </c>
      <c r="L29" s="94"/>
      <c r="M29" s="95">
        <v>820</v>
      </c>
      <c r="N29" s="99" t="s">
        <v>435</v>
      </c>
      <c r="O29" s="94"/>
      <c r="P29" s="95">
        <v>4</v>
      </c>
      <c r="Q29" s="94" t="s">
        <v>436</v>
      </c>
      <c r="R29" s="95">
        <v>0</v>
      </c>
      <c r="S29" s="95">
        <v>0</v>
      </c>
      <c r="T29" s="95">
        <v>746</v>
      </c>
      <c r="U29" s="95">
        <v>150</v>
      </c>
      <c r="V29" s="95">
        <v>1302</v>
      </c>
      <c r="W29" s="95">
        <v>1582</v>
      </c>
      <c r="X29" s="97">
        <v>44991.375</v>
      </c>
      <c r="Y29" s="97">
        <v>44915.375</v>
      </c>
      <c r="Z29" s="97">
        <v>44960.375</v>
      </c>
      <c r="AA29" s="98"/>
    </row>
    <row r="30" spans="1:27" ht="15.75" hidden="1" customHeight="1">
      <c r="A30" s="94" t="s">
        <v>2972</v>
      </c>
      <c r="B30" s="94" t="s">
        <v>772</v>
      </c>
      <c r="C30" s="94" t="s">
        <v>84</v>
      </c>
      <c r="D30" s="95">
        <v>2000</v>
      </c>
      <c r="E30" s="94" t="s">
        <v>442</v>
      </c>
      <c r="F30" s="94" t="s">
        <v>40</v>
      </c>
      <c r="G30" s="95">
        <v>1</v>
      </c>
      <c r="H30" s="94" t="s">
        <v>11</v>
      </c>
      <c r="I30" s="94" t="s">
        <v>7228</v>
      </c>
      <c r="J30" s="94" t="s">
        <v>426</v>
      </c>
      <c r="K30" s="95">
        <v>55</v>
      </c>
      <c r="L30" s="95">
        <v>100</v>
      </c>
      <c r="M30" s="94"/>
      <c r="N30" s="95">
        <v>410000</v>
      </c>
      <c r="O30" s="95">
        <v>4100</v>
      </c>
      <c r="P30" s="95">
        <v>1</v>
      </c>
      <c r="Q30" s="94" t="s">
        <v>383</v>
      </c>
      <c r="R30" s="95">
        <v>1</v>
      </c>
      <c r="S30" s="95">
        <v>55</v>
      </c>
      <c r="T30" s="95">
        <v>0</v>
      </c>
      <c r="U30" s="95">
        <v>0</v>
      </c>
      <c r="V30" s="95">
        <v>215</v>
      </c>
      <c r="W30" s="95">
        <v>565</v>
      </c>
      <c r="X30" s="97">
        <v>45035.375</v>
      </c>
      <c r="Y30" s="97">
        <v>44993.375</v>
      </c>
      <c r="Z30" s="97">
        <v>44972.375</v>
      </c>
      <c r="AA30" s="98"/>
    </row>
    <row r="31" spans="1:27" ht="15.75" hidden="1" customHeight="1">
      <c r="A31" s="94" t="s">
        <v>2972</v>
      </c>
      <c r="B31" s="94" t="s">
        <v>772</v>
      </c>
      <c r="C31" s="94" t="s">
        <v>84</v>
      </c>
      <c r="D31" s="95">
        <v>2000</v>
      </c>
      <c r="E31" s="94" t="s">
        <v>442</v>
      </c>
      <c r="F31" s="94" t="s">
        <v>40</v>
      </c>
      <c r="G31" s="95">
        <v>2</v>
      </c>
      <c r="H31" s="94" t="s">
        <v>12</v>
      </c>
      <c r="I31" s="94" t="s">
        <v>6923</v>
      </c>
      <c r="J31" s="94" t="s">
        <v>449</v>
      </c>
      <c r="K31" s="95">
        <v>130</v>
      </c>
      <c r="L31" s="95">
        <v>100</v>
      </c>
      <c r="M31" s="94"/>
      <c r="N31" s="95">
        <v>410000</v>
      </c>
      <c r="O31" s="95">
        <v>4100</v>
      </c>
      <c r="P31" s="95">
        <v>1</v>
      </c>
      <c r="Q31" s="94" t="s">
        <v>383</v>
      </c>
      <c r="R31" s="95">
        <v>1</v>
      </c>
      <c r="S31" s="95">
        <v>130</v>
      </c>
      <c r="T31" s="95">
        <v>0</v>
      </c>
      <c r="U31" s="95">
        <v>0</v>
      </c>
      <c r="V31" s="95">
        <v>215</v>
      </c>
      <c r="W31" s="95">
        <v>565</v>
      </c>
      <c r="X31" s="97">
        <v>45035.375</v>
      </c>
      <c r="Y31" s="97">
        <v>44993.375</v>
      </c>
      <c r="Z31" s="97">
        <v>44972.375</v>
      </c>
      <c r="AA31" s="98"/>
    </row>
    <row r="32" spans="1:27" ht="15.75" hidden="1" customHeight="1">
      <c r="A32" s="94" t="s">
        <v>2972</v>
      </c>
      <c r="B32" s="94" t="s">
        <v>772</v>
      </c>
      <c r="C32" s="94" t="s">
        <v>84</v>
      </c>
      <c r="D32" s="95">
        <v>2000</v>
      </c>
      <c r="E32" s="94" t="s">
        <v>442</v>
      </c>
      <c r="F32" s="94" t="s">
        <v>40</v>
      </c>
      <c r="G32" s="95">
        <v>3</v>
      </c>
      <c r="H32" s="94" t="s">
        <v>13</v>
      </c>
      <c r="I32" s="94" t="s">
        <v>6923</v>
      </c>
      <c r="J32" s="94" t="s">
        <v>449</v>
      </c>
      <c r="K32" s="95">
        <v>30</v>
      </c>
      <c r="L32" s="95">
        <v>100</v>
      </c>
      <c r="M32" s="94"/>
      <c r="N32" s="95">
        <v>410000</v>
      </c>
      <c r="O32" s="95">
        <v>4100</v>
      </c>
      <c r="P32" s="95">
        <v>1</v>
      </c>
      <c r="Q32" s="94" t="s">
        <v>383</v>
      </c>
      <c r="R32" s="95">
        <v>1</v>
      </c>
      <c r="S32" s="95">
        <v>30</v>
      </c>
      <c r="T32" s="95">
        <v>0</v>
      </c>
      <c r="U32" s="95">
        <v>0</v>
      </c>
      <c r="V32" s="95">
        <v>215</v>
      </c>
      <c r="W32" s="95">
        <v>565</v>
      </c>
      <c r="X32" s="97">
        <v>45035.375</v>
      </c>
      <c r="Y32" s="97">
        <v>44993.375</v>
      </c>
      <c r="Z32" s="97">
        <v>44972.375</v>
      </c>
      <c r="AA32" s="98"/>
    </row>
    <row r="33" spans="1:27" ht="15.75" hidden="1" customHeight="1">
      <c r="A33" s="94" t="s">
        <v>2972</v>
      </c>
      <c r="B33" s="94" t="s">
        <v>772</v>
      </c>
      <c r="C33" s="94" t="s">
        <v>84</v>
      </c>
      <c r="D33" s="95">
        <v>2000</v>
      </c>
      <c r="E33" s="94" t="s">
        <v>431</v>
      </c>
      <c r="F33" s="94" t="s">
        <v>433</v>
      </c>
      <c r="G33" s="95">
        <v>18</v>
      </c>
      <c r="H33" s="94" t="s">
        <v>439</v>
      </c>
      <c r="I33" s="94" t="s">
        <v>6671</v>
      </c>
      <c r="J33" s="94" t="s">
        <v>440</v>
      </c>
      <c r="K33" s="95">
        <v>60</v>
      </c>
      <c r="L33" s="94"/>
      <c r="M33" s="95">
        <v>800</v>
      </c>
      <c r="N33" s="94" t="s">
        <v>435</v>
      </c>
      <c r="O33" s="94"/>
      <c r="P33" s="95">
        <v>1</v>
      </c>
      <c r="Q33" s="94" t="s">
        <v>436</v>
      </c>
      <c r="R33" s="95">
        <v>0</v>
      </c>
      <c r="S33" s="95">
        <v>0</v>
      </c>
      <c r="T33" s="95">
        <v>150</v>
      </c>
      <c r="U33" s="95">
        <v>30</v>
      </c>
      <c r="V33" s="95">
        <v>350</v>
      </c>
      <c r="W33" s="95">
        <v>565</v>
      </c>
      <c r="X33" s="97">
        <v>45035.375</v>
      </c>
      <c r="Y33" s="97">
        <v>44993.375</v>
      </c>
      <c r="Z33" s="97">
        <v>44972.375</v>
      </c>
      <c r="AA33" s="98"/>
    </row>
    <row r="34" spans="1:27" ht="15.75" hidden="1" customHeight="1">
      <c r="A34" s="94" t="s">
        <v>2972</v>
      </c>
      <c r="B34" s="94" t="s">
        <v>772</v>
      </c>
      <c r="C34" s="94" t="s">
        <v>84</v>
      </c>
      <c r="D34" s="95">
        <v>2000</v>
      </c>
      <c r="E34" s="94" t="s">
        <v>431</v>
      </c>
      <c r="F34" s="94" t="s">
        <v>433</v>
      </c>
      <c r="G34" s="95">
        <v>19</v>
      </c>
      <c r="H34" s="94" t="s">
        <v>368</v>
      </c>
      <c r="I34" s="94" t="s">
        <v>6236</v>
      </c>
      <c r="J34" s="94" t="s">
        <v>434</v>
      </c>
      <c r="K34" s="95">
        <v>60</v>
      </c>
      <c r="L34" s="94"/>
      <c r="M34" s="95">
        <v>600</v>
      </c>
      <c r="N34" s="94" t="s">
        <v>435</v>
      </c>
      <c r="O34" s="94"/>
      <c r="P34" s="95">
        <v>5</v>
      </c>
      <c r="Q34" s="94" t="s">
        <v>436</v>
      </c>
      <c r="R34" s="95">
        <v>0</v>
      </c>
      <c r="S34" s="95">
        <v>0</v>
      </c>
      <c r="T34" s="95">
        <v>200</v>
      </c>
      <c r="U34" s="95">
        <v>40</v>
      </c>
      <c r="V34" s="95">
        <v>350</v>
      </c>
      <c r="W34" s="95">
        <v>565</v>
      </c>
      <c r="X34" s="97">
        <v>45035.375</v>
      </c>
      <c r="Y34" s="97">
        <v>44993.375</v>
      </c>
      <c r="Z34" s="97">
        <v>44972.375</v>
      </c>
      <c r="AA34" s="98"/>
    </row>
    <row r="35" spans="1:27" ht="15.75" hidden="1" customHeight="1">
      <c r="A35" s="94" t="s">
        <v>2991</v>
      </c>
      <c r="B35" s="94" t="s">
        <v>589</v>
      </c>
      <c r="C35" s="94" t="s">
        <v>94</v>
      </c>
      <c r="D35" s="95">
        <v>25000</v>
      </c>
      <c r="E35" s="94" t="s">
        <v>424</v>
      </c>
      <c r="F35" s="94" t="s">
        <v>48</v>
      </c>
      <c r="G35" s="95">
        <v>4</v>
      </c>
      <c r="H35" s="94" t="s">
        <v>11</v>
      </c>
      <c r="I35" s="94" t="s">
        <v>7228</v>
      </c>
      <c r="J35" s="94" t="s">
        <v>426</v>
      </c>
      <c r="K35" s="95">
        <v>25</v>
      </c>
      <c r="L35" s="95">
        <v>20</v>
      </c>
      <c r="M35" s="94"/>
      <c r="N35" s="96">
        <v>52000</v>
      </c>
      <c r="O35" s="95">
        <v>2600</v>
      </c>
      <c r="P35" s="95">
        <v>1</v>
      </c>
      <c r="Q35" s="94" t="s">
        <v>383</v>
      </c>
      <c r="R35" s="95">
        <v>10</v>
      </c>
      <c r="S35" s="95">
        <v>250</v>
      </c>
      <c r="T35" s="95">
        <v>0</v>
      </c>
      <c r="U35" s="95">
        <v>0</v>
      </c>
      <c r="V35" s="95">
        <v>1580</v>
      </c>
      <c r="W35" s="95">
        <v>3455</v>
      </c>
      <c r="X35" s="97">
        <v>45057.375</v>
      </c>
      <c r="Y35" s="97">
        <v>45027.375</v>
      </c>
      <c r="Z35" s="97">
        <v>45040.375</v>
      </c>
      <c r="AA35" s="98"/>
    </row>
    <row r="36" spans="1:27" ht="15.75" hidden="1" customHeight="1">
      <c r="A36" s="94" t="s">
        <v>2991</v>
      </c>
      <c r="B36" s="94" t="s">
        <v>589</v>
      </c>
      <c r="C36" s="94" t="s">
        <v>94</v>
      </c>
      <c r="D36" s="95">
        <v>25000</v>
      </c>
      <c r="E36" s="94" t="s">
        <v>424</v>
      </c>
      <c r="F36" s="94" t="s">
        <v>48</v>
      </c>
      <c r="G36" s="95">
        <v>5</v>
      </c>
      <c r="H36" s="94" t="s">
        <v>12</v>
      </c>
      <c r="I36" s="94" t="s">
        <v>6923</v>
      </c>
      <c r="J36" s="94" t="s">
        <v>427</v>
      </c>
      <c r="K36" s="95">
        <v>130</v>
      </c>
      <c r="L36" s="95">
        <v>20</v>
      </c>
      <c r="M36" s="94"/>
      <c r="N36" s="96">
        <v>52000</v>
      </c>
      <c r="O36" s="95">
        <v>2600</v>
      </c>
      <c r="P36" s="95">
        <v>1</v>
      </c>
      <c r="Q36" s="94" t="s">
        <v>383</v>
      </c>
      <c r="R36" s="95">
        <v>10</v>
      </c>
      <c r="S36" s="95">
        <v>1300</v>
      </c>
      <c r="T36" s="95">
        <v>0</v>
      </c>
      <c r="U36" s="95">
        <v>0</v>
      </c>
      <c r="V36" s="95">
        <v>1580</v>
      </c>
      <c r="W36" s="95">
        <v>3455</v>
      </c>
      <c r="X36" s="97">
        <v>45057.375</v>
      </c>
      <c r="Y36" s="97">
        <v>45027.375</v>
      </c>
      <c r="Z36" s="97">
        <v>45040.375</v>
      </c>
      <c r="AA36" s="98"/>
    </row>
    <row r="37" spans="1:27" ht="15.75" hidden="1" customHeight="1">
      <c r="A37" s="94" t="s">
        <v>2991</v>
      </c>
      <c r="B37" s="94" t="s">
        <v>589</v>
      </c>
      <c r="C37" s="94" t="s">
        <v>94</v>
      </c>
      <c r="D37" s="95">
        <v>25000</v>
      </c>
      <c r="E37" s="94" t="s">
        <v>424</v>
      </c>
      <c r="F37" s="94" t="s">
        <v>48</v>
      </c>
      <c r="G37" s="95">
        <v>6</v>
      </c>
      <c r="H37" s="94" t="s">
        <v>13</v>
      </c>
      <c r="I37" s="94" t="s">
        <v>6923</v>
      </c>
      <c r="J37" s="94" t="s">
        <v>427</v>
      </c>
      <c r="K37" s="95">
        <v>30</v>
      </c>
      <c r="L37" s="95">
        <v>20</v>
      </c>
      <c r="M37" s="94"/>
      <c r="N37" s="95">
        <v>52000</v>
      </c>
      <c r="O37" s="95">
        <v>2600</v>
      </c>
      <c r="P37" s="95">
        <v>1</v>
      </c>
      <c r="Q37" s="94" t="s">
        <v>383</v>
      </c>
      <c r="R37" s="95">
        <v>10</v>
      </c>
      <c r="S37" s="95">
        <v>30</v>
      </c>
      <c r="T37" s="95">
        <v>0</v>
      </c>
      <c r="U37" s="95">
        <v>0</v>
      </c>
      <c r="V37" s="95">
        <v>1580</v>
      </c>
      <c r="W37" s="95">
        <v>3455</v>
      </c>
      <c r="X37" s="97">
        <v>45057.375</v>
      </c>
      <c r="Y37" s="97">
        <v>45027.375</v>
      </c>
      <c r="Z37" s="97">
        <v>45040.375</v>
      </c>
      <c r="AA37" s="98"/>
    </row>
    <row r="38" spans="1:27" ht="15.75" hidden="1" customHeight="1">
      <c r="A38" s="94" t="s">
        <v>2991</v>
      </c>
      <c r="B38" s="94" t="s">
        <v>589</v>
      </c>
      <c r="C38" s="94" t="s">
        <v>94</v>
      </c>
      <c r="D38" s="95">
        <v>25000</v>
      </c>
      <c r="E38" s="94" t="s">
        <v>431</v>
      </c>
      <c r="F38" s="94" t="s">
        <v>433</v>
      </c>
      <c r="G38" s="95">
        <v>19</v>
      </c>
      <c r="H38" s="94" t="s">
        <v>368</v>
      </c>
      <c r="I38" s="94" t="s">
        <v>6236</v>
      </c>
      <c r="J38" s="94" t="s">
        <v>434</v>
      </c>
      <c r="K38" s="95">
        <v>60</v>
      </c>
      <c r="L38" s="94"/>
      <c r="M38" s="95">
        <v>800</v>
      </c>
      <c r="N38" s="99" t="s">
        <v>435</v>
      </c>
      <c r="O38" s="94"/>
      <c r="P38" s="95">
        <v>4</v>
      </c>
      <c r="Q38" s="94" t="s">
        <v>436</v>
      </c>
      <c r="R38" s="95">
        <v>0</v>
      </c>
      <c r="S38" s="95">
        <v>0</v>
      </c>
      <c r="T38" s="95">
        <v>1875</v>
      </c>
      <c r="U38" s="95">
        <v>375</v>
      </c>
      <c r="V38" s="95">
        <v>1875</v>
      </c>
      <c r="W38" s="95">
        <v>3455</v>
      </c>
      <c r="X38" s="97">
        <v>45057.375</v>
      </c>
      <c r="Y38" s="97">
        <v>45027.375</v>
      </c>
      <c r="Z38" s="97">
        <v>45040.375</v>
      </c>
      <c r="AA38" s="98"/>
    </row>
    <row r="39" spans="1:27" ht="15.75" hidden="1" customHeight="1">
      <c r="A39" s="94" t="s">
        <v>2880</v>
      </c>
      <c r="B39" s="94" t="s">
        <v>456</v>
      </c>
      <c r="C39" s="94" t="s">
        <v>36</v>
      </c>
      <c r="D39" s="95">
        <v>70</v>
      </c>
      <c r="E39" s="94" t="s">
        <v>442</v>
      </c>
      <c r="F39" s="94" t="s">
        <v>33</v>
      </c>
      <c r="G39" s="95">
        <v>10</v>
      </c>
      <c r="H39" s="94" t="s">
        <v>11</v>
      </c>
      <c r="I39" s="94" t="s">
        <v>7228</v>
      </c>
      <c r="J39" s="94" t="s">
        <v>426</v>
      </c>
      <c r="K39" s="95">
        <v>65</v>
      </c>
      <c r="L39" s="95">
        <v>99.1</v>
      </c>
      <c r="M39" s="94"/>
      <c r="N39" s="95">
        <v>18000</v>
      </c>
      <c r="O39" s="95">
        <v>181</v>
      </c>
      <c r="P39" s="95">
        <v>1</v>
      </c>
      <c r="Q39" s="94" t="s">
        <v>383</v>
      </c>
      <c r="R39" s="95">
        <v>1</v>
      </c>
      <c r="S39" s="95">
        <v>65</v>
      </c>
      <c r="T39" s="95">
        <v>0</v>
      </c>
      <c r="U39" s="95">
        <v>0</v>
      </c>
      <c r="V39" s="95">
        <v>150</v>
      </c>
      <c r="W39" s="95">
        <v>166</v>
      </c>
      <c r="X39" s="97">
        <v>45051.375</v>
      </c>
      <c r="Y39" s="97">
        <v>45027.375</v>
      </c>
      <c r="Z39" s="97">
        <v>45001.375</v>
      </c>
      <c r="AA39" s="98"/>
    </row>
    <row r="40" spans="1:27" ht="15.75" hidden="1" customHeight="1">
      <c r="A40" s="94" t="s">
        <v>2880</v>
      </c>
      <c r="B40" s="94" t="s">
        <v>456</v>
      </c>
      <c r="C40" s="94" t="s">
        <v>36</v>
      </c>
      <c r="D40" s="95">
        <v>70</v>
      </c>
      <c r="E40" s="94" t="s">
        <v>442</v>
      </c>
      <c r="F40" s="94" t="s">
        <v>33</v>
      </c>
      <c r="G40" s="95">
        <v>11</v>
      </c>
      <c r="H40" s="94" t="s">
        <v>12</v>
      </c>
      <c r="I40" s="94" t="s">
        <v>6923</v>
      </c>
      <c r="J40" s="94" t="s">
        <v>444</v>
      </c>
      <c r="K40" s="95">
        <v>65</v>
      </c>
      <c r="L40" s="95">
        <v>99.1</v>
      </c>
      <c r="M40" s="94"/>
      <c r="N40" s="95">
        <v>18000</v>
      </c>
      <c r="O40" s="95">
        <v>181</v>
      </c>
      <c r="P40" s="95">
        <v>1</v>
      </c>
      <c r="Q40" s="94" t="s">
        <v>383</v>
      </c>
      <c r="R40" s="95">
        <v>1</v>
      </c>
      <c r="S40" s="95">
        <v>65</v>
      </c>
      <c r="T40" s="95">
        <v>0</v>
      </c>
      <c r="U40" s="95">
        <v>0</v>
      </c>
      <c r="V40" s="95">
        <v>150</v>
      </c>
      <c r="W40" s="95">
        <v>166</v>
      </c>
      <c r="X40" s="97">
        <v>45051.375</v>
      </c>
      <c r="Y40" s="97">
        <v>45027.375</v>
      </c>
      <c r="Z40" s="97">
        <v>45001.375</v>
      </c>
      <c r="AA40" s="98"/>
    </row>
    <row r="41" spans="1:27" ht="15.75" hidden="1" customHeight="1">
      <c r="A41" s="94" t="s">
        <v>2880</v>
      </c>
      <c r="B41" s="94" t="s">
        <v>456</v>
      </c>
      <c r="C41" s="94" t="s">
        <v>36</v>
      </c>
      <c r="D41" s="95">
        <v>70</v>
      </c>
      <c r="E41" s="94" t="s">
        <v>442</v>
      </c>
      <c r="F41" s="94" t="s">
        <v>33</v>
      </c>
      <c r="G41" s="95">
        <v>12</v>
      </c>
      <c r="H41" s="94" t="s">
        <v>13</v>
      </c>
      <c r="I41" s="94" t="s">
        <v>6923</v>
      </c>
      <c r="J41" s="94" t="s">
        <v>444</v>
      </c>
      <c r="K41" s="95">
        <v>20</v>
      </c>
      <c r="L41" s="95">
        <v>99.1</v>
      </c>
      <c r="M41" s="94"/>
      <c r="N41" s="95">
        <v>18000</v>
      </c>
      <c r="O41" s="95">
        <v>181</v>
      </c>
      <c r="P41" s="95">
        <v>1</v>
      </c>
      <c r="Q41" s="94" t="s">
        <v>383</v>
      </c>
      <c r="R41" s="95">
        <v>1</v>
      </c>
      <c r="S41" s="95">
        <v>20</v>
      </c>
      <c r="T41" s="95">
        <v>0</v>
      </c>
      <c r="U41" s="95">
        <v>0</v>
      </c>
      <c r="V41" s="95">
        <v>150</v>
      </c>
      <c r="W41" s="95">
        <v>166</v>
      </c>
      <c r="X41" s="97">
        <v>45051.375</v>
      </c>
      <c r="Y41" s="97">
        <v>45027.375</v>
      </c>
      <c r="Z41" s="97">
        <v>45001.375</v>
      </c>
      <c r="AA41" s="98"/>
    </row>
    <row r="42" spans="1:27" ht="15.75" hidden="1" customHeight="1">
      <c r="A42" s="94" t="s">
        <v>2880</v>
      </c>
      <c r="B42" s="94" t="s">
        <v>456</v>
      </c>
      <c r="C42" s="94" t="s">
        <v>36</v>
      </c>
      <c r="D42" s="95">
        <v>70</v>
      </c>
      <c r="E42" s="94" t="s">
        <v>431</v>
      </c>
      <c r="F42" s="94" t="s">
        <v>433</v>
      </c>
      <c r="G42" s="95">
        <v>18</v>
      </c>
      <c r="H42" s="94" t="s">
        <v>439</v>
      </c>
      <c r="I42" s="94" t="s">
        <v>6671</v>
      </c>
      <c r="J42" s="94" t="s">
        <v>440</v>
      </c>
      <c r="K42" s="95">
        <v>60</v>
      </c>
      <c r="L42" s="94"/>
      <c r="M42" s="95">
        <v>1000</v>
      </c>
      <c r="N42" s="94" t="s">
        <v>435</v>
      </c>
      <c r="O42" s="94"/>
      <c r="P42" s="95">
        <v>1</v>
      </c>
      <c r="Q42" s="94" t="s">
        <v>436</v>
      </c>
      <c r="R42" s="95">
        <v>0</v>
      </c>
      <c r="S42" s="95">
        <v>0</v>
      </c>
      <c r="T42" s="95">
        <v>5</v>
      </c>
      <c r="U42" s="95">
        <v>1</v>
      </c>
      <c r="V42" s="95">
        <v>16</v>
      </c>
      <c r="W42" s="95">
        <v>166</v>
      </c>
      <c r="X42" s="97">
        <v>45051.375</v>
      </c>
      <c r="Y42" s="97">
        <v>45027.375</v>
      </c>
      <c r="Z42" s="97">
        <v>45001.375</v>
      </c>
      <c r="AA42" s="98"/>
    </row>
    <row r="43" spans="1:27" ht="15.75" hidden="1" customHeight="1">
      <c r="A43" s="94" t="s">
        <v>2880</v>
      </c>
      <c r="B43" s="94" t="s">
        <v>456</v>
      </c>
      <c r="C43" s="94" t="s">
        <v>36</v>
      </c>
      <c r="D43" s="95">
        <v>70</v>
      </c>
      <c r="E43" s="94" t="s">
        <v>431</v>
      </c>
      <c r="F43" s="94" t="s">
        <v>433</v>
      </c>
      <c r="G43" s="95">
        <v>19</v>
      </c>
      <c r="H43" s="94" t="s">
        <v>368</v>
      </c>
      <c r="I43" s="94" t="s">
        <v>6236</v>
      </c>
      <c r="J43" s="94" t="s">
        <v>434</v>
      </c>
      <c r="K43" s="95">
        <v>60</v>
      </c>
      <c r="L43" s="94"/>
      <c r="M43" s="95">
        <v>390</v>
      </c>
      <c r="N43" s="94" t="s">
        <v>435</v>
      </c>
      <c r="O43" s="94"/>
      <c r="P43" s="95">
        <v>4</v>
      </c>
      <c r="Q43" s="94" t="s">
        <v>436</v>
      </c>
      <c r="R43" s="95">
        <v>0</v>
      </c>
      <c r="S43" s="95">
        <v>0</v>
      </c>
      <c r="T43" s="95">
        <v>11</v>
      </c>
      <c r="U43" s="95">
        <v>3</v>
      </c>
      <c r="V43" s="95">
        <v>16</v>
      </c>
      <c r="W43" s="95">
        <v>166</v>
      </c>
      <c r="X43" s="97">
        <v>45051.375</v>
      </c>
      <c r="Y43" s="97">
        <v>45027.375</v>
      </c>
      <c r="Z43" s="97">
        <v>45001.375</v>
      </c>
      <c r="AA43" s="98"/>
    </row>
    <row r="44" spans="1:27" ht="15.75" hidden="1" customHeight="1">
      <c r="A44" s="94" t="s">
        <v>2892</v>
      </c>
      <c r="B44" s="94" t="s">
        <v>775</v>
      </c>
      <c r="C44" s="94" t="s">
        <v>80</v>
      </c>
      <c r="D44" s="95">
        <v>3000</v>
      </c>
      <c r="E44" s="94" t="s">
        <v>424</v>
      </c>
      <c r="F44" s="94" t="s">
        <v>48</v>
      </c>
      <c r="G44" s="95">
        <v>4</v>
      </c>
      <c r="H44" s="94" t="s">
        <v>11</v>
      </c>
      <c r="I44" s="94" t="s">
        <v>7228</v>
      </c>
      <c r="J44" s="94" t="s">
        <v>426</v>
      </c>
      <c r="K44" s="95">
        <v>45</v>
      </c>
      <c r="L44" s="95">
        <v>30</v>
      </c>
      <c r="M44" s="94"/>
      <c r="N44" s="96">
        <v>52000</v>
      </c>
      <c r="O44" s="95">
        <v>1733</v>
      </c>
      <c r="P44" s="95">
        <v>1</v>
      </c>
      <c r="Q44" s="94" t="s">
        <v>383</v>
      </c>
      <c r="R44" s="95">
        <v>2</v>
      </c>
      <c r="S44" s="95">
        <v>90</v>
      </c>
      <c r="T44" s="95">
        <v>0</v>
      </c>
      <c r="U44" s="95">
        <v>0</v>
      </c>
      <c r="V44" s="95">
        <v>380</v>
      </c>
      <c r="W44" s="95">
        <v>854</v>
      </c>
      <c r="X44" s="97">
        <v>45042.375</v>
      </c>
      <c r="Y44" s="97">
        <v>45008.375</v>
      </c>
      <c r="Z44" s="97">
        <v>45030.375</v>
      </c>
      <c r="AA44" s="98"/>
    </row>
    <row r="45" spans="1:27" ht="15.75" hidden="1" customHeight="1">
      <c r="A45" s="94" t="s">
        <v>2892</v>
      </c>
      <c r="B45" s="94" t="s">
        <v>775</v>
      </c>
      <c r="C45" s="94" t="s">
        <v>80</v>
      </c>
      <c r="D45" s="95">
        <v>3000</v>
      </c>
      <c r="E45" s="94" t="s">
        <v>424</v>
      </c>
      <c r="F45" s="94" t="s">
        <v>48</v>
      </c>
      <c r="G45" s="95">
        <v>5</v>
      </c>
      <c r="H45" s="94" t="s">
        <v>12</v>
      </c>
      <c r="I45" s="94" t="s">
        <v>6923</v>
      </c>
      <c r="J45" s="94" t="s">
        <v>427</v>
      </c>
      <c r="K45" s="95">
        <v>130</v>
      </c>
      <c r="L45" s="95">
        <v>30</v>
      </c>
      <c r="M45" s="94"/>
      <c r="N45" s="96">
        <v>52000</v>
      </c>
      <c r="O45" s="95">
        <v>1733</v>
      </c>
      <c r="P45" s="95">
        <v>1</v>
      </c>
      <c r="Q45" s="94" t="s">
        <v>383</v>
      </c>
      <c r="R45" s="95">
        <v>2</v>
      </c>
      <c r="S45" s="95">
        <v>260</v>
      </c>
      <c r="T45" s="95">
        <v>0</v>
      </c>
      <c r="U45" s="95">
        <v>0</v>
      </c>
      <c r="V45" s="95">
        <v>380</v>
      </c>
      <c r="W45" s="95">
        <v>854</v>
      </c>
      <c r="X45" s="97">
        <v>45042.375</v>
      </c>
      <c r="Y45" s="97">
        <v>45008.375</v>
      </c>
      <c r="Z45" s="97">
        <v>45030.375</v>
      </c>
      <c r="AA45" s="98"/>
    </row>
    <row r="46" spans="1:27" ht="15.75" hidden="1" customHeight="1">
      <c r="A46" s="94" t="s">
        <v>2892</v>
      </c>
      <c r="B46" s="94" t="s">
        <v>775</v>
      </c>
      <c r="C46" s="94" t="s">
        <v>80</v>
      </c>
      <c r="D46" s="95">
        <v>3000</v>
      </c>
      <c r="E46" s="94" t="s">
        <v>424</v>
      </c>
      <c r="F46" s="94" t="s">
        <v>48</v>
      </c>
      <c r="G46" s="95">
        <v>6</v>
      </c>
      <c r="H46" s="94" t="s">
        <v>13</v>
      </c>
      <c r="I46" s="94" t="s">
        <v>6923</v>
      </c>
      <c r="J46" s="94" t="s">
        <v>427</v>
      </c>
      <c r="K46" s="95">
        <v>30</v>
      </c>
      <c r="L46" s="95">
        <v>30</v>
      </c>
      <c r="M46" s="94"/>
      <c r="N46" s="96">
        <v>52000</v>
      </c>
      <c r="O46" s="95">
        <v>1733</v>
      </c>
      <c r="P46" s="95">
        <v>1</v>
      </c>
      <c r="Q46" s="94" t="s">
        <v>383</v>
      </c>
      <c r="R46" s="95">
        <v>2</v>
      </c>
      <c r="S46" s="95">
        <v>30</v>
      </c>
      <c r="T46" s="95">
        <v>0</v>
      </c>
      <c r="U46" s="95">
        <v>0</v>
      </c>
      <c r="V46" s="95">
        <v>380</v>
      </c>
      <c r="W46" s="95">
        <v>854</v>
      </c>
      <c r="X46" s="97">
        <v>45042.375</v>
      </c>
      <c r="Y46" s="97">
        <v>45008.375</v>
      </c>
      <c r="Z46" s="97">
        <v>45030.375</v>
      </c>
      <c r="AA46" s="98"/>
    </row>
    <row r="47" spans="1:27" ht="15.75" hidden="1" customHeight="1">
      <c r="A47" s="94" t="s">
        <v>2892</v>
      </c>
      <c r="B47" s="94" t="s">
        <v>775</v>
      </c>
      <c r="C47" s="94" t="s">
        <v>80</v>
      </c>
      <c r="D47" s="95">
        <v>3000</v>
      </c>
      <c r="E47" s="94" t="s">
        <v>431</v>
      </c>
      <c r="F47" s="94" t="s">
        <v>433</v>
      </c>
      <c r="G47" s="95">
        <v>18</v>
      </c>
      <c r="H47" s="94" t="s">
        <v>439</v>
      </c>
      <c r="I47" s="94" t="s">
        <v>6671</v>
      </c>
      <c r="J47" s="94" t="s">
        <v>440</v>
      </c>
      <c r="K47" s="95">
        <v>60</v>
      </c>
      <c r="L47" s="94"/>
      <c r="M47" s="95">
        <v>750</v>
      </c>
      <c r="N47" s="99" t="s">
        <v>435</v>
      </c>
      <c r="O47" s="94"/>
      <c r="P47" s="95">
        <v>1</v>
      </c>
      <c r="Q47" s="94" t="s">
        <v>436</v>
      </c>
      <c r="R47" s="95">
        <v>0</v>
      </c>
      <c r="S47" s="95">
        <v>0</v>
      </c>
      <c r="T47" s="95">
        <v>240</v>
      </c>
      <c r="U47" s="95">
        <v>48</v>
      </c>
      <c r="V47" s="95">
        <v>474</v>
      </c>
      <c r="W47" s="95">
        <v>854</v>
      </c>
      <c r="X47" s="97">
        <v>45042.375</v>
      </c>
      <c r="Y47" s="97">
        <v>45008.375</v>
      </c>
      <c r="Z47" s="97">
        <v>45030.375</v>
      </c>
      <c r="AA47" s="98"/>
    </row>
    <row r="48" spans="1:27" ht="15.75" hidden="1" customHeight="1">
      <c r="A48" s="94" t="s">
        <v>2892</v>
      </c>
      <c r="B48" s="94" t="s">
        <v>775</v>
      </c>
      <c r="C48" s="94" t="s">
        <v>80</v>
      </c>
      <c r="D48" s="95">
        <v>3000</v>
      </c>
      <c r="E48" s="94" t="s">
        <v>431</v>
      </c>
      <c r="F48" s="94" t="s">
        <v>433</v>
      </c>
      <c r="G48" s="95">
        <v>19</v>
      </c>
      <c r="H48" s="94" t="s">
        <v>368</v>
      </c>
      <c r="I48" s="94" t="s">
        <v>6236</v>
      </c>
      <c r="J48" s="94" t="s">
        <v>434</v>
      </c>
      <c r="K48" s="95">
        <v>60</v>
      </c>
      <c r="L48" s="94"/>
      <c r="M48" s="95">
        <v>770</v>
      </c>
      <c r="N48" s="94" t="s">
        <v>435</v>
      </c>
      <c r="O48" s="94"/>
      <c r="P48" s="95">
        <v>4</v>
      </c>
      <c r="Q48" s="94" t="s">
        <v>436</v>
      </c>
      <c r="R48" s="95">
        <v>0</v>
      </c>
      <c r="S48" s="95">
        <v>0</v>
      </c>
      <c r="T48" s="95">
        <v>234</v>
      </c>
      <c r="U48" s="95">
        <v>47</v>
      </c>
      <c r="V48" s="95">
        <v>474</v>
      </c>
      <c r="W48" s="95">
        <v>854</v>
      </c>
      <c r="X48" s="97">
        <v>45042.375</v>
      </c>
      <c r="Y48" s="97">
        <v>45008.375</v>
      </c>
      <c r="Z48" s="97">
        <v>45030.375</v>
      </c>
      <c r="AA48" s="98"/>
    </row>
    <row r="49" spans="1:27" ht="15.75" hidden="1" customHeight="1">
      <c r="A49" s="94" t="s">
        <v>2913</v>
      </c>
      <c r="B49" s="94" t="s">
        <v>867</v>
      </c>
      <c r="C49" s="94" t="s">
        <v>54</v>
      </c>
      <c r="D49" s="95">
        <v>2000</v>
      </c>
      <c r="E49" s="94" t="s">
        <v>424</v>
      </c>
      <c r="F49" s="94" t="s">
        <v>48</v>
      </c>
      <c r="G49" s="95">
        <v>4</v>
      </c>
      <c r="H49" s="94" t="s">
        <v>11</v>
      </c>
      <c r="I49" s="94" t="s">
        <v>7228</v>
      </c>
      <c r="J49" s="94" t="s">
        <v>426</v>
      </c>
      <c r="K49" s="95">
        <v>75</v>
      </c>
      <c r="L49" s="95">
        <v>31.45</v>
      </c>
      <c r="M49" s="94"/>
      <c r="N49" s="96">
        <v>44000</v>
      </c>
      <c r="O49" s="95">
        <v>1399</v>
      </c>
      <c r="P49" s="95">
        <v>1</v>
      </c>
      <c r="Q49" s="94" t="s">
        <v>383</v>
      </c>
      <c r="R49" s="95">
        <v>2</v>
      </c>
      <c r="S49" s="95">
        <v>150</v>
      </c>
      <c r="T49" s="95">
        <v>0</v>
      </c>
      <c r="U49" s="95">
        <v>0</v>
      </c>
      <c r="V49" s="95">
        <v>570</v>
      </c>
      <c r="W49" s="95">
        <v>720</v>
      </c>
      <c r="X49" s="97">
        <v>45030.375</v>
      </c>
      <c r="Y49" s="97">
        <v>45015.375</v>
      </c>
      <c r="Z49" s="97">
        <v>44973.375</v>
      </c>
      <c r="AA49" s="98"/>
    </row>
    <row r="50" spans="1:27" ht="15.75" hidden="1" customHeight="1">
      <c r="A50" s="94" t="s">
        <v>2913</v>
      </c>
      <c r="B50" s="94" t="s">
        <v>867</v>
      </c>
      <c r="C50" s="94" t="s">
        <v>54</v>
      </c>
      <c r="D50" s="95">
        <v>2000</v>
      </c>
      <c r="E50" s="94" t="s">
        <v>424</v>
      </c>
      <c r="F50" s="94" t="s">
        <v>48</v>
      </c>
      <c r="G50" s="95">
        <v>5</v>
      </c>
      <c r="H50" s="94" t="s">
        <v>12</v>
      </c>
      <c r="I50" s="94" t="s">
        <v>6923</v>
      </c>
      <c r="J50" s="94" t="s">
        <v>427</v>
      </c>
      <c r="K50" s="95">
        <v>165</v>
      </c>
      <c r="L50" s="95">
        <v>31.45</v>
      </c>
      <c r="M50" s="94"/>
      <c r="N50" s="96">
        <v>44000</v>
      </c>
      <c r="O50" s="95">
        <v>1399</v>
      </c>
      <c r="P50" s="95">
        <v>1</v>
      </c>
      <c r="Q50" s="94" t="s">
        <v>383</v>
      </c>
      <c r="R50" s="95">
        <v>2</v>
      </c>
      <c r="S50" s="95">
        <v>330</v>
      </c>
      <c r="T50" s="95">
        <v>0</v>
      </c>
      <c r="U50" s="95">
        <v>0</v>
      </c>
      <c r="V50" s="95">
        <v>570</v>
      </c>
      <c r="W50" s="95">
        <v>720</v>
      </c>
      <c r="X50" s="97">
        <v>45030.375</v>
      </c>
      <c r="Y50" s="97">
        <v>45015.375</v>
      </c>
      <c r="Z50" s="97">
        <v>44973.375</v>
      </c>
      <c r="AA50" s="98"/>
    </row>
    <row r="51" spans="1:27" ht="15.75" hidden="1" customHeight="1">
      <c r="A51" s="94" t="s">
        <v>2913</v>
      </c>
      <c r="B51" s="94" t="s">
        <v>867</v>
      </c>
      <c r="C51" s="94" t="s">
        <v>54</v>
      </c>
      <c r="D51" s="95">
        <v>2000</v>
      </c>
      <c r="E51" s="94" t="s">
        <v>424</v>
      </c>
      <c r="F51" s="94" t="s">
        <v>48</v>
      </c>
      <c r="G51" s="95">
        <v>6</v>
      </c>
      <c r="H51" s="94" t="s">
        <v>13</v>
      </c>
      <c r="I51" s="94" t="s">
        <v>6923</v>
      </c>
      <c r="J51" s="94" t="s">
        <v>427</v>
      </c>
      <c r="K51" s="95">
        <v>90</v>
      </c>
      <c r="L51" s="95">
        <v>31.45</v>
      </c>
      <c r="M51" s="94"/>
      <c r="N51" s="95">
        <v>44000</v>
      </c>
      <c r="O51" s="95">
        <v>1399</v>
      </c>
      <c r="P51" s="95">
        <v>1</v>
      </c>
      <c r="Q51" s="94" t="s">
        <v>383</v>
      </c>
      <c r="R51" s="95">
        <v>2</v>
      </c>
      <c r="S51" s="95">
        <v>90</v>
      </c>
      <c r="T51" s="95">
        <v>0</v>
      </c>
      <c r="U51" s="95">
        <v>0</v>
      </c>
      <c r="V51" s="95">
        <v>570</v>
      </c>
      <c r="W51" s="95">
        <v>720</v>
      </c>
      <c r="X51" s="97">
        <v>45030.375</v>
      </c>
      <c r="Y51" s="97">
        <v>45015.375</v>
      </c>
      <c r="Z51" s="97">
        <v>44973.375</v>
      </c>
      <c r="AA51" s="98"/>
    </row>
    <row r="52" spans="1:27" ht="15.75" hidden="1" customHeight="1">
      <c r="A52" s="94" t="s">
        <v>2913</v>
      </c>
      <c r="B52" s="94" t="s">
        <v>867</v>
      </c>
      <c r="C52" s="94" t="s">
        <v>54</v>
      </c>
      <c r="D52" s="95">
        <v>2000</v>
      </c>
      <c r="E52" s="94" t="s">
        <v>431</v>
      </c>
      <c r="F52" s="94" t="s">
        <v>433</v>
      </c>
      <c r="G52" s="95">
        <v>19</v>
      </c>
      <c r="H52" s="94" t="s">
        <v>368</v>
      </c>
      <c r="I52" s="94" t="s">
        <v>6236</v>
      </c>
      <c r="J52" s="94" t="s">
        <v>434</v>
      </c>
      <c r="K52" s="95">
        <v>60</v>
      </c>
      <c r="L52" s="94"/>
      <c r="M52" s="95">
        <v>800</v>
      </c>
      <c r="N52" s="99" t="s">
        <v>435</v>
      </c>
      <c r="O52" s="94"/>
      <c r="P52" s="95">
        <v>3</v>
      </c>
      <c r="Q52" s="94" t="s">
        <v>436</v>
      </c>
      <c r="R52" s="95">
        <v>0</v>
      </c>
      <c r="S52" s="95">
        <v>0</v>
      </c>
      <c r="T52" s="95">
        <v>150</v>
      </c>
      <c r="U52" s="95">
        <v>30</v>
      </c>
      <c r="V52" s="95">
        <v>150</v>
      </c>
      <c r="W52" s="95">
        <v>720</v>
      </c>
      <c r="X52" s="97">
        <v>45030.375</v>
      </c>
      <c r="Y52" s="97">
        <v>45015.375</v>
      </c>
      <c r="Z52" s="97">
        <v>44973.375</v>
      </c>
      <c r="AA52" s="98"/>
    </row>
    <row r="53" spans="1:27" ht="15.75" hidden="1" customHeight="1">
      <c r="A53" s="94" t="s">
        <v>2874</v>
      </c>
      <c r="B53" s="94" t="s">
        <v>488</v>
      </c>
      <c r="C53" s="94" t="s">
        <v>57</v>
      </c>
      <c r="D53" s="95">
        <v>10000</v>
      </c>
      <c r="E53" s="94" t="s">
        <v>442</v>
      </c>
      <c r="F53" s="94" t="s">
        <v>33</v>
      </c>
      <c r="G53" s="95">
        <v>10</v>
      </c>
      <c r="H53" s="94" t="s">
        <v>11</v>
      </c>
      <c r="I53" s="94" t="s">
        <v>7228</v>
      </c>
      <c r="J53" s="94" t="s">
        <v>426</v>
      </c>
      <c r="K53" s="95">
        <v>20</v>
      </c>
      <c r="L53" s="95">
        <v>5</v>
      </c>
      <c r="M53" s="94"/>
      <c r="N53" s="96">
        <v>107000</v>
      </c>
      <c r="O53" s="95">
        <v>21400</v>
      </c>
      <c r="P53" s="95">
        <v>1</v>
      </c>
      <c r="Q53" s="94" t="s">
        <v>383</v>
      </c>
      <c r="R53" s="95">
        <v>1</v>
      </c>
      <c r="S53" s="95">
        <v>20</v>
      </c>
      <c r="T53" s="95">
        <v>0</v>
      </c>
      <c r="U53" s="95">
        <v>0</v>
      </c>
      <c r="V53" s="95">
        <v>125</v>
      </c>
      <c r="W53" s="95">
        <v>954</v>
      </c>
      <c r="X53" s="97">
        <v>45044.375</v>
      </c>
      <c r="Y53" s="97">
        <v>44987.375</v>
      </c>
      <c r="Z53" s="97">
        <v>44939.375</v>
      </c>
      <c r="AA53" s="98"/>
    </row>
    <row r="54" spans="1:27" ht="15.75" hidden="1" customHeight="1">
      <c r="A54" s="94" t="s">
        <v>2874</v>
      </c>
      <c r="B54" s="94" t="s">
        <v>488</v>
      </c>
      <c r="C54" s="94" t="s">
        <v>57</v>
      </c>
      <c r="D54" s="95">
        <v>10000</v>
      </c>
      <c r="E54" s="94" t="s">
        <v>442</v>
      </c>
      <c r="F54" s="94" t="s">
        <v>33</v>
      </c>
      <c r="G54" s="95">
        <v>11</v>
      </c>
      <c r="H54" s="94" t="s">
        <v>12</v>
      </c>
      <c r="I54" s="94" t="s">
        <v>6923</v>
      </c>
      <c r="J54" s="94" t="s">
        <v>444</v>
      </c>
      <c r="K54" s="95">
        <v>80</v>
      </c>
      <c r="L54" s="95">
        <v>5</v>
      </c>
      <c r="M54" s="94"/>
      <c r="N54" s="96">
        <v>107000</v>
      </c>
      <c r="O54" s="95">
        <v>21400</v>
      </c>
      <c r="P54" s="95">
        <v>1</v>
      </c>
      <c r="Q54" s="94" t="s">
        <v>383</v>
      </c>
      <c r="R54" s="95">
        <v>1</v>
      </c>
      <c r="S54" s="95">
        <v>80</v>
      </c>
      <c r="T54" s="95">
        <v>0</v>
      </c>
      <c r="U54" s="95">
        <v>0</v>
      </c>
      <c r="V54" s="95">
        <v>125</v>
      </c>
      <c r="W54" s="95">
        <v>954</v>
      </c>
      <c r="X54" s="97">
        <v>45044.375</v>
      </c>
      <c r="Y54" s="97">
        <v>44987.375</v>
      </c>
      <c r="Z54" s="97">
        <v>44939.375</v>
      </c>
      <c r="AA54" s="98"/>
    </row>
    <row r="55" spans="1:27" ht="15.75" hidden="1" customHeight="1">
      <c r="A55" s="94" t="s">
        <v>2874</v>
      </c>
      <c r="B55" s="94" t="s">
        <v>488</v>
      </c>
      <c r="C55" s="94" t="s">
        <v>57</v>
      </c>
      <c r="D55" s="95">
        <v>10000</v>
      </c>
      <c r="E55" s="94" t="s">
        <v>442</v>
      </c>
      <c r="F55" s="94" t="s">
        <v>33</v>
      </c>
      <c r="G55" s="95">
        <v>12</v>
      </c>
      <c r="H55" s="94" t="s">
        <v>13</v>
      </c>
      <c r="I55" s="94" t="s">
        <v>6923</v>
      </c>
      <c r="J55" s="94" t="s">
        <v>444</v>
      </c>
      <c r="K55" s="95">
        <v>25</v>
      </c>
      <c r="L55" s="95">
        <v>5</v>
      </c>
      <c r="M55" s="94"/>
      <c r="N55" s="96">
        <v>107000</v>
      </c>
      <c r="O55" s="95">
        <v>21400</v>
      </c>
      <c r="P55" s="95">
        <v>1</v>
      </c>
      <c r="Q55" s="94" t="s">
        <v>383</v>
      </c>
      <c r="R55" s="95">
        <v>1</v>
      </c>
      <c r="S55" s="95">
        <v>25</v>
      </c>
      <c r="T55" s="95">
        <v>0</v>
      </c>
      <c r="U55" s="95">
        <v>0</v>
      </c>
      <c r="V55" s="95">
        <v>125</v>
      </c>
      <c r="W55" s="95">
        <v>954</v>
      </c>
      <c r="X55" s="97">
        <v>45044.375</v>
      </c>
      <c r="Y55" s="97">
        <v>44987.375</v>
      </c>
      <c r="Z55" s="97">
        <v>44939.375</v>
      </c>
      <c r="AA55" s="98"/>
    </row>
    <row r="56" spans="1:27" ht="15.75" hidden="1" customHeight="1">
      <c r="A56" s="94" t="s">
        <v>2874</v>
      </c>
      <c r="B56" s="94" t="s">
        <v>488</v>
      </c>
      <c r="C56" s="94" t="s">
        <v>57</v>
      </c>
      <c r="D56" s="95">
        <v>10000</v>
      </c>
      <c r="E56" s="94" t="s">
        <v>431</v>
      </c>
      <c r="F56" s="94" t="s">
        <v>433</v>
      </c>
      <c r="G56" s="95">
        <v>18</v>
      </c>
      <c r="H56" s="94" t="s">
        <v>439</v>
      </c>
      <c r="I56" s="94" t="s">
        <v>6671</v>
      </c>
      <c r="J56" s="94" t="s">
        <v>440</v>
      </c>
      <c r="K56" s="95">
        <v>60</v>
      </c>
      <c r="L56" s="94"/>
      <c r="M56" s="95">
        <v>1400</v>
      </c>
      <c r="N56" s="94" t="s">
        <v>435</v>
      </c>
      <c r="O56" s="94"/>
      <c r="P56" s="95">
        <v>1</v>
      </c>
      <c r="Q56" s="94" t="s">
        <v>436</v>
      </c>
      <c r="R56" s="95">
        <v>0</v>
      </c>
      <c r="S56" s="95">
        <v>0</v>
      </c>
      <c r="T56" s="95">
        <v>429</v>
      </c>
      <c r="U56" s="95">
        <v>86</v>
      </c>
      <c r="V56" s="95">
        <v>829</v>
      </c>
      <c r="W56" s="95">
        <v>954</v>
      </c>
      <c r="X56" s="97">
        <v>45044.375</v>
      </c>
      <c r="Y56" s="97">
        <v>44987.375</v>
      </c>
      <c r="Z56" s="97">
        <v>44939.375</v>
      </c>
      <c r="AA56" s="98"/>
    </row>
    <row r="57" spans="1:27" ht="15.75" hidden="1" customHeight="1">
      <c r="A57" s="94" t="s">
        <v>2874</v>
      </c>
      <c r="B57" s="94" t="s">
        <v>488</v>
      </c>
      <c r="C57" s="94" t="s">
        <v>57</v>
      </c>
      <c r="D57" s="95">
        <v>10000</v>
      </c>
      <c r="E57" s="94" t="s">
        <v>431</v>
      </c>
      <c r="F57" s="94" t="s">
        <v>433</v>
      </c>
      <c r="G57" s="95">
        <v>19</v>
      </c>
      <c r="H57" s="94" t="s">
        <v>368</v>
      </c>
      <c r="I57" s="94" t="s">
        <v>6236</v>
      </c>
      <c r="J57" s="94" t="s">
        <v>434</v>
      </c>
      <c r="K57" s="95">
        <v>60</v>
      </c>
      <c r="L57" s="94"/>
      <c r="M57" s="95">
        <v>1500</v>
      </c>
      <c r="N57" s="94" t="s">
        <v>435</v>
      </c>
      <c r="O57" s="94"/>
      <c r="P57" s="95">
        <v>4</v>
      </c>
      <c r="Q57" s="94" t="s">
        <v>436</v>
      </c>
      <c r="R57" s="95">
        <v>0</v>
      </c>
      <c r="S57" s="95">
        <v>0</v>
      </c>
      <c r="T57" s="95">
        <v>400</v>
      </c>
      <c r="U57" s="95">
        <v>80</v>
      </c>
      <c r="V57" s="95">
        <v>829</v>
      </c>
      <c r="W57" s="95">
        <v>954</v>
      </c>
      <c r="X57" s="97">
        <v>45044.375</v>
      </c>
      <c r="Y57" s="97">
        <v>44987.375</v>
      </c>
      <c r="Z57" s="97">
        <v>44939.375</v>
      </c>
      <c r="AA57" s="98"/>
    </row>
    <row r="58" spans="1:27" ht="15.75" hidden="1" customHeight="1">
      <c r="A58" s="94" t="s">
        <v>2977</v>
      </c>
      <c r="B58" s="94" t="s">
        <v>537</v>
      </c>
      <c r="C58" s="94" t="s">
        <v>103</v>
      </c>
      <c r="D58" s="95">
        <v>1000</v>
      </c>
      <c r="E58" s="94" t="s">
        <v>424</v>
      </c>
      <c r="F58" s="94" t="s">
        <v>48</v>
      </c>
      <c r="G58" s="95">
        <v>4</v>
      </c>
      <c r="H58" s="94" t="s">
        <v>11</v>
      </c>
      <c r="I58" s="94" t="s">
        <v>7228</v>
      </c>
      <c r="J58" s="94" t="s">
        <v>426</v>
      </c>
      <c r="K58" s="95">
        <v>80</v>
      </c>
      <c r="L58" s="95">
        <v>49.7</v>
      </c>
      <c r="M58" s="94"/>
      <c r="N58" s="96">
        <v>52000</v>
      </c>
      <c r="O58" s="95">
        <v>1046</v>
      </c>
      <c r="P58" s="95">
        <v>1</v>
      </c>
      <c r="Q58" s="94" t="s">
        <v>383</v>
      </c>
      <c r="R58" s="95">
        <v>1</v>
      </c>
      <c r="S58" s="95">
        <v>80</v>
      </c>
      <c r="T58" s="95">
        <v>0</v>
      </c>
      <c r="U58" s="95">
        <v>0</v>
      </c>
      <c r="V58" s="95">
        <v>280</v>
      </c>
      <c r="W58" s="95">
        <v>387</v>
      </c>
      <c r="X58" s="97">
        <v>45044.375</v>
      </c>
      <c r="Y58" s="97">
        <v>45016.375</v>
      </c>
      <c r="Z58" s="97">
        <v>45036.375</v>
      </c>
      <c r="AA58" s="98"/>
    </row>
    <row r="59" spans="1:27" ht="15.75" hidden="1" customHeight="1">
      <c r="A59" s="94" t="s">
        <v>2977</v>
      </c>
      <c r="B59" s="94" t="s">
        <v>537</v>
      </c>
      <c r="C59" s="94" t="s">
        <v>103</v>
      </c>
      <c r="D59" s="95">
        <v>1000</v>
      </c>
      <c r="E59" s="94" t="s">
        <v>424</v>
      </c>
      <c r="F59" s="94" t="s">
        <v>48</v>
      </c>
      <c r="G59" s="95">
        <v>5</v>
      </c>
      <c r="H59" s="94" t="s">
        <v>12</v>
      </c>
      <c r="I59" s="94" t="s">
        <v>6923</v>
      </c>
      <c r="J59" s="94" t="s">
        <v>427</v>
      </c>
      <c r="K59" s="95">
        <v>140</v>
      </c>
      <c r="L59" s="95">
        <v>49.7</v>
      </c>
      <c r="M59" s="94"/>
      <c r="N59" s="96">
        <v>52000</v>
      </c>
      <c r="O59" s="95">
        <v>1046</v>
      </c>
      <c r="P59" s="95">
        <v>1</v>
      </c>
      <c r="Q59" s="94" t="s">
        <v>383</v>
      </c>
      <c r="R59" s="95">
        <v>1</v>
      </c>
      <c r="S59" s="95">
        <v>140</v>
      </c>
      <c r="T59" s="95">
        <v>0</v>
      </c>
      <c r="U59" s="95">
        <v>0</v>
      </c>
      <c r="V59" s="95">
        <v>280</v>
      </c>
      <c r="W59" s="95">
        <v>387</v>
      </c>
      <c r="X59" s="97">
        <v>45044.375</v>
      </c>
      <c r="Y59" s="97">
        <v>45016.375</v>
      </c>
      <c r="Z59" s="97">
        <v>45036.375</v>
      </c>
      <c r="AA59" s="98"/>
    </row>
    <row r="60" spans="1:27" ht="15.75" hidden="1" customHeight="1">
      <c r="A60" s="94" t="s">
        <v>2977</v>
      </c>
      <c r="B60" s="94" t="s">
        <v>537</v>
      </c>
      <c r="C60" s="94" t="s">
        <v>103</v>
      </c>
      <c r="D60" s="95">
        <v>1000</v>
      </c>
      <c r="E60" s="94" t="s">
        <v>424</v>
      </c>
      <c r="F60" s="94" t="s">
        <v>48</v>
      </c>
      <c r="G60" s="95">
        <v>6</v>
      </c>
      <c r="H60" s="94" t="s">
        <v>13</v>
      </c>
      <c r="I60" s="94" t="s">
        <v>6923</v>
      </c>
      <c r="J60" s="94" t="s">
        <v>427</v>
      </c>
      <c r="K60" s="95">
        <v>45</v>
      </c>
      <c r="L60" s="95">
        <v>49.7</v>
      </c>
      <c r="M60" s="94"/>
      <c r="N60" s="96">
        <v>52000</v>
      </c>
      <c r="O60" s="95">
        <v>1046</v>
      </c>
      <c r="P60" s="95">
        <v>1</v>
      </c>
      <c r="Q60" s="94" t="s">
        <v>383</v>
      </c>
      <c r="R60" s="95">
        <v>1</v>
      </c>
      <c r="S60" s="95">
        <v>60</v>
      </c>
      <c r="T60" s="95">
        <v>0</v>
      </c>
      <c r="U60" s="95">
        <v>0</v>
      </c>
      <c r="V60" s="95">
        <v>280</v>
      </c>
      <c r="W60" s="95">
        <v>387</v>
      </c>
      <c r="X60" s="97">
        <v>45044.375</v>
      </c>
      <c r="Y60" s="97">
        <v>45016.375</v>
      </c>
      <c r="Z60" s="97">
        <v>45036.375</v>
      </c>
      <c r="AA60" s="98"/>
    </row>
    <row r="61" spans="1:27" ht="15.75" hidden="1" customHeight="1">
      <c r="A61" s="94" t="s">
        <v>2977</v>
      </c>
      <c r="B61" s="94" t="s">
        <v>537</v>
      </c>
      <c r="C61" s="94" t="s">
        <v>103</v>
      </c>
      <c r="D61" s="95">
        <v>1000</v>
      </c>
      <c r="E61" s="94" t="s">
        <v>431</v>
      </c>
      <c r="F61" s="94" t="s">
        <v>433</v>
      </c>
      <c r="G61" s="95">
        <v>18</v>
      </c>
      <c r="H61" s="94" t="s">
        <v>439</v>
      </c>
      <c r="I61" s="94" t="s">
        <v>6671</v>
      </c>
      <c r="J61" s="94" t="s">
        <v>440</v>
      </c>
      <c r="K61" s="95">
        <v>60</v>
      </c>
      <c r="L61" s="94"/>
      <c r="M61" s="95">
        <v>1500</v>
      </c>
      <c r="N61" s="94" t="s">
        <v>435</v>
      </c>
      <c r="O61" s="94"/>
      <c r="P61" s="95">
        <v>1</v>
      </c>
      <c r="Q61" s="94" t="s">
        <v>436</v>
      </c>
      <c r="R61" s="95">
        <v>0</v>
      </c>
      <c r="S61" s="95">
        <v>0</v>
      </c>
      <c r="T61" s="95">
        <v>40</v>
      </c>
      <c r="U61" s="95">
        <v>8</v>
      </c>
      <c r="V61" s="95">
        <v>107</v>
      </c>
      <c r="W61" s="95">
        <v>387</v>
      </c>
      <c r="X61" s="97">
        <v>45044.375</v>
      </c>
      <c r="Y61" s="97">
        <v>45016.375</v>
      </c>
      <c r="Z61" s="97">
        <v>45036.375</v>
      </c>
      <c r="AA61" s="98"/>
    </row>
    <row r="62" spans="1:27" ht="15.75" hidden="1" customHeight="1">
      <c r="A62" s="94" t="s">
        <v>2977</v>
      </c>
      <c r="B62" s="94" t="s">
        <v>537</v>
      </c>
      <c r="C62" s="94" t="s">
        <v>103</v>
      </c>
      <c r="D62" s="95">
        <v>1000</v>
      </c>
      <c r="E62" s="94" t="s">
        <v>431</v>
      </c>
      <c r="F62" s="94" t="s">
        <v>433</v>
      </c>
      <c r="G62" s="95">
        <v>19</v>
      </c>
      <c r="H62" s="94" t="s">
        <v>368</v>
      </c>
      <c r="I62" s="94" t="s">
        <v>6236</v>
      </c>
      <c r="J62" s="94" t="s">
        <v>434</v>
      </c>
      <c r="K62" s="95">
        <v>60</v>
      </c>
      <c r="L62" s="94"/>
      <c r="M62" s="95">
        <v>900</v>
      </c>
      <c r="N62" s="99" t="s">
        <v>435</v>
      </c>
      <c r="O62" s="94"/>
      <c r="P62" s="95">
        <v>4</v>
      </c>
      <c r="Q62" s="94" t="s">
        <v>436</v>
      </c>
      <c r="R62" s="95">
        <v>0</v>
      </c>
      <c r="S62" s="95">
        <v>0</v>
      </c>
      <c r="T62" s="95">
        <v>67</v>
      </c>
      <c r="U62" s="95">
        <v>14</v>
      </c>
      <c r="V62" s="95">
        <v>107</v>
      </c>
      <c r="W62" s="95">
        <v>387</v>
      </c>
      <c r="X62" s="97">
        <v>45044.375</v>
      </c>
      <c r="Y62" s="97">
        <v>45016.375</v>
      </c>
      <c r="Z62" s="97">
        <v>45036.375</v>
      </c>
      <c r="AA62" s="98"/>
    </row>
    <row r="63" spans="1:27" ht="15.75" hidden="1" customHeight="1">
      <c r="A63" s="94" t="s">
        <v>2971</v>
      </c>
      <c r="B63" s="94" t="s">
        <v>485</v>
      </c>
      <c r="C63" s="94" t="s">
        <v>235</v>
      </c>
      <c r="D63" s="95">
        <v>10000</v>
      </c>
      <c r="E63" s="94" t="s">
        <v>442</v>
      </c>
      <c r="F63" s="94" t="s">
        <v>40</v>
      </c>
      <c r="G63" s="95">
        <v>1</v>
      </c>
      <c r="H63" s="94" t="s">
        <v>11</v>
      </c>
      <c r="I63" s="94" t="s">
        <v>7228</v>
      </c>
      <c r="J63" s="94" t="s">
        <v>426</v>
      </c>
      <c r="K63" s="95">
        <v>60</v>
      </c>
      <c r="L63" s="95">
        <v>31.4</v>
      </c>
      <c r="M63" s="94"/>
      <c r="N63" s="96">
        <v>412000</v>
      </c>
      <c r="O63" s="95">
        <v>13121</v>
      </c>
      <c r="P63" s="95">
        <v>1</v>
      </c>
      <c r="Q63" s="94" t="s">
        <v>383</v>
      </c>
      <c r="R63" s="95">
        <v>1</v>
      </c>
      <c r="S63" s="95">
        <v>60</v>
      </c>
      <c r="T63" s="95">
        <v>0</v>
      </c>
      <c r="U63" s="95">
        <v>0</v>
      </c>
      <c r="V63" s="95">
        <v>200</v>
      </c>
      <c r="W63" s="95">
        <v>1162</v>
      </c>
      <c r="X63" s="97">
        <v>45041.375</v>
      </c>
      <c r="Y63" s="97">
        <v>45083.375</v>
      </c>
      <c r="Z63" s="97">
        <v>45086.375</v>
      </c>
      <c r="AA63" s="98"/>
    </row>
    <row r="64" spans="1:27" ht="15.75" hidden="1" customHeight="1">
      <c r="A64" s="94" t="s">
        <v>2971</v>
      </c>
      <c r="B64" s="94" t="s">
        <v>485</v>
      </c>
      <c r="C64" s="94" t="s">
        <v>235</v>
      </c>
      <c r="D64" s="95">
        <v>10000</v>
      </c>
      <c r="E64" s="94" t="s">
        <v>442</v>
      </c>
      <c r="F64" s="94" t="s">
        <v>40</v>
      </c>
      <c r="G64" s="95">
        <v>2</v>
      </c>
      <c r="H64" s="94" t="s">
        <v>12</v>
      </c>
      <c r="I64" s="94" t="s">
        <v>6923</v>
      </c>
      <c r="J64" s="94" t="s">
        <v>449</v>
      </c>
      <c r="K64" s="95">
        <v>110</v>
      </c>
      <c r="L64" s="95">
        <v>31.4</v>
      </c>
      <c r="M64" s="94"/>
      <c r="N64" s="96">
        <v>412000</v>
      </c>
      <c r="O64" s="95">
        <v>13121</v>
      </c>
      <c r="P64" s="95">
        <v>1</v>
      </c>
      <c r="Q64" s="94" t="s">
        <v>383</v>
      </c>
      <c r="R64" s="95">
        <v>1</v>
      </c>
      <c r="S64" s="95">
        <v>110</v>
      </c>
      <c r="T64" s="95">
        <v>0</v>
      </c>
      <c r="U64" s="95">
        <v>0</v>
      </c>
      <c r="V64" s="95">
        <v>200</v>
      </c>
      <c r="W64" s="95">
        <v>1162</v>
      </c>
      <c r="X64" s="97">
        <v>45041.375</v>
      </c>
      <c r="Y64" s="97">
        <v>45083.375</v>
      </c>
      <c r="Z64" s="97">
        <v>45086.375</v>
      </c>
      <c r="AA64" s="98"/>
    </row>
    <row r="65" spans="1:27" ht="15.75" hidden="1" customHeight="1">
      <c r="A65" s="94" t="s">
        <v>2971</v>
      </c>
      <c r="B65" s="94" t="s">
        <v>485</v>
      </c>
      <c r="C65" s="94" t="s">
        <v>235</v>
      </c>
      <c r="D65" s="95">
        <v>10000</v>
      </c>
      <c r="E65" s="94" t="s">
        <v>442</v>
      </c>
      <c r="F65" s="94" t="s">
        <v>40</v>
      </c>
      <c r="G65" s="95">
        <v>3</v>
      </c>
      <c r="H65" s="94" t="s">
        <v>13</v>
      </c>
      <c r="I65" s="94" t="s">
        <v>6923</v>
      </c>
      <c r="J65" s="94" t="s">
        <v>449</v>
      </c>
      <c r="K65" s="95">
        <v>30</v>
      </c>
      <c r="L65" s="95">
        <v>31.4</v>
      </c>
      <c r="M65" s="94"/>
      <c r="N65" s="96">
        <v>412000</v>
      </c>
      <c r="O65" s="95">
        <v>13121</v>
      </c>
      <c r="P65" s="95">
        <v>1</v>
      </c>
      <c r="Q65" s="94" t="s">
        <v>383</v>
      </c>
      <c r="R65" s="95">
        <v>1</v>
      </c>
      <c r="S65" s="95">
        <v>30</v>
      </c>
      <c r="T65" s="95">
        <v>0</v>
      </c>
      <c r="U65" s="95">
        <v>0</v>
      </c>
      <c r="V65" s="95">
        <v>200</v>
      </c>
      <c r="W65" s="95">
        <v>1162</v>
      </c>
      <c r="X65" s="97">
        <v>45041.375</v>
      </c>
      <c r="Y65" s="97">
        <v>45083.375</v>
      </c>
      <c r="Z65" s="97">
        <v>45086.375</v>
      </c>
      <c r="AA65" s="98"/>
    </row>
    <row r="66" spans="1:27" ht="15.75" hidden="1" customHeight="1">
      <c r="A66" s="94" t="s">
        <v>2971</v>
      </c>
      <c r="B66" s="94" t="s">
        <v>485</v>
      </c>
      <c r="C66" s="94" t="s">
        <v>235</v>
      </c>
      <c r="D66" s="95">
        <v>10000</v>
      </c>
      <c r="E66" s="94" t="s">
        <v>431</v>
      </c>
      <c r="F66" s="94" t="s">
        <v>433</v>
      </c>
      <c r="G66" s="95">
        <v>18</v>
      </c>
      <c r="H66" s="94" t="s">
        <v>439</v>
      </c>
      <c r="I66" s="94" t="s">
        <v>6671</v>
      </c>
      <c r="J66" s="94" t="s">
        <v>440</v>
      </c>
      <c r="K66" s="95">
        <v>60</v>
      </c>
      <c r="L66" s="94"/>
      <c r="M66" s="95">
        <v>1300</v>
      </c>
      <c r="N66" s="94" t="s">
        <v>435</v>
      </c>
      <c r="O66" s="94"/>
      <c r="P66" s="95">
        <v>1</v>
      </c>
      <c r="Q66" s="94" t="s">
        <v>436</v>
      </c>
      <c r="R66" s="95">
        <v>0</v>
      </c>
      <c r="S66" s="95">
        <v>0</v>
      </c>
      <c r="T66" s="95">
        <v>462</v>
      </c>
      <c r="U66" s="95">
        <v>93</v>
      </c>
      <c r="V66" s="95">
        <v>962</v>
      </c>
      <c r="W66" s="95">
        <v>1162</v>
      </c>
      <c r="X66" s="97">
        <v>45041.375</v>
      </c>
      <c r="Y66" s="97">
        <v>45083.375</v>
      </c>
      <c r="Z66" s="97">
        <v>45086.375</v>
      </c>
      <c r="AA66" s="98"/>
    </row>
    <row r="67" spans="1:27" ht="15.75" hidden="1" customHeight="1">
      <c r="A67" s="94" t="s">
        <v>2971</v>
      </c>
      <c r="B67" s="94" t="s">
        <v>485</v>
      </c>
      <c r="C67" s="94" t="s">
        <v>235</v>
      </c>
      <c r="D67" s="95">
        <v>10000</v>
      </c>
      <c r="E67" s="94" t="s">
        <v>431</v>
      </c>
      <c r="F67" s="94" t="s">
        <v>433</v>
      </c>
      <c r="G67" s="95">
        <v>19</v>
      </c>
      <c r="H67" s="94" t="s">
        <v>368</v>
      </c>
      <c r="I67" s="94" t="s">
        <v>6236</v>
      </c>
      <c r="J67" s="94" t="s">
        <v>434</v>
      </c>
      <c r="K67" s="95">
        <v>60</v>
      </c>
      <c r="L67" s="94"/>
      <c r="M67" s="95">
        <v>1200</v>
      </c>
      <c r="N67" s="94" t="s">
        <v>435</v>
      </c>
      <c r="O67" s="94"/>
      <c r="P67" s="95">
        <v>4</v>
      </c>
      <c r="Q67" s="94" t="s">
        <v>436</v>
      </c>
      <c r="R67" s="95">
        <v>0</v>
      </c>
      <c r="S67" s="95">
        <v>0</v>
      </c>
      <c r="T67" s="95">
        <v>500</v>
      </c>
      <c r="U67" s="95">
        <v>100</v>
      </c>
      <c r="V67" s="95">
        <v>962</v>
      </c>
      <c r="W67" s="95">
        <v>1162</v>
      </c>
      <c r="X67" s="97">
        <v>45041.375</v>
      </c>
      <c r="Y67" s="97">
        <v>45083.375</v>
      </c>
      <c r="Z67" s="97">
        <v>45086.375</v>
      </c>
      <c r="AA67" s="98"/>
    </row>
    <row r="68" spans="1:27" ht="15.75" hidden="1" customHeight="1">
      <c r="A68" s="94" t="s">
        <v>3027</v>
      </c>
      <c r="B68" s="94" t="s">
        <v>509</v>
      </c>
      <c r="C68" s="94" t="s">
        <v>44</v>
      </c>
      <c r="D68" s="95">
        <v>6000</v>
      </c>
      <c r="E68" s="94" t="s">
        <v>424</v>
      </c>
      <c r="F68" s="94" t="s">
        <v>33</v>
      </c>
      <c r="G68" s="95">
        <v>10</v>
      </c>
      <c r="H68" s="94" t="s">
        <v>11</v>
      </c>
      <c r="I68" s="94" t="s">
        <v>7228</v>
      </c>
      <c r="J68" s="94" t="s">
        <v>426</v>
      </c>
      <c r="K68" s="95">
        <v>35</v>
      </c>
      <c r="L68" s="95">
        <v>30</v>
      </c>
      <c r="M68" s="94"/>
      <c r="N68" s="95">
        <v>70000</v>
      </c>
      <c r="O68" s="95">
        <v>2333</v>
      </c>
      <c r="P68" s="95">
        <v>1</v>
      </c>
      <c r="Q68" s="94" t="s">
        <v>383</v>
      </c>
      <c r="R68" s="95">
        <v>3</v>
      </c>
      <c r="S68" s="95">
        <v>105</v>
      </c>
      <c r="T68" s="95">
        <v>0</v>
      </c>
      <c r="U68" s="95">
        <v>0</v>
      </c>
      <c r="V68" s="95">
        <v>525</v>
      </c>
      <c r="W68" s="95">
        <v>1005</v>
      </c>
      <c r="X68" s="97">
        <v>45043.375</v>
      </c>
      <c r="Y68" s="97">
        <v>45027.375</v>
      </c>
      <c r="Z68" s="97">
        <v>45002.375</v>
      </c>
      <c r="AA68" s="98"/>
    </row>
    <row r="69" spans="1:27" ht="15.75" hidden="1" customHeight="1">
      <c r="A69" s="94" t="s">
        <v>3027</v>
      </c>
      <c r="B69" s="94" t="s">
        <v>509</v>
      </c>
      <c r="C69" s="94" t="s">
        <v>44</v>
      </c>
      <c r="D69" s="95">
        <v>6000</v>
      </c>
      <c r="E69" s="94" t="s">
        <v>424</v>
      </c>
      <c r="F69" s="94" t="s">
        <v>33</v>
      </c>
      <c r="G69" s="95">
        <v>11</v>
      </c>
      <c r="H69" s="94" t="s">
        <v>12</v>
      </c>
      <c r="I69" s="94" t="s">
        <v>6923</v>
      </c>
      <c r="J69" s="94" t="s">
        <v>444</v>
      </c>
      <c r="K69" s="95">
        <v>125</v>
      </c>
      <c r="L69" s="95">
        <v>30</v>
      </c>
      <c r="M69" s="94"/>
      <c r="N69" s="96">
        <v>70000</v>
      </c>
      <c r="O69" s="95">
        <v>2333</v>
      </c>
      <c r="P69" s="95">
        <v>1</v>
      </c>
      <c r="Q69" s="94" t="s">
        <v>383</v>
      </c>
      <c r="R69" s="95">
        <v>3</v>
      </c>
      <c r="S69" s="95">
        <v>375</v>
      </c>
      <c r="T69" s="95">
        <v>0</v>
      </c>
      <c r="U69" s="95">
        <v>0</v>
      </c>
      <c r="V69" s="95">
        <v>525</v>
      </c>
      <c r="W69" s="95">
        <v>1005</v>
      </c>
      <c r="X69" s="97">
        <v>45043.375</v>
      </c>
      <c r="Y69" s="97">
        <v>45027.375</v>
      </c>
      <c r="Z69" s="97">
        <v>45002.375</v>
      </c>
      <c r="AA69" s="98"/>
    </row>
    <row r="70" spans="1:27" ht="15.75" hidden="1" customHeight="1">
      <c r="A70" s="94" t="s">
        <v>3027</v>
      </c>
      <c r="B70" s="94" t="s">
        <v>509</v>
      </c>
      <c r="C70" s="94" t="s">
        <v>44</v>
      </c>
      <c r="D70" s="95">
        <v>6000</v>
      </c>
      <c r="E70" s="94" t="s">
        <v>424</v>
      </c>
      <c r="F70" s="94" t="s">
        <v>33</v>
      </c>
      <c r="G70" s="95">
        <v>12</v>
      </c>
      <c r="H70" s="94" t="s">
        <v>13</v>
      </c>
      <c r="I70" s="94" t="s">
        <v>6923</v>
      </c>
      <c r="J70" s="94" t="s">
        <v>444</v>
      </c>
      <c r="K70" s="95">
        <v>15</v>
      </c>
      <c r="L70" s="95">
        <v>30</v>
      </c>
      <c r="M70" s="94"/>
      <c r="N70" s="96">
        <v>70000</v>
      </c>
      <c r="O70" s="95">
        <v>2333</v>
      </c>
      <c r="P70" s="95">
        <v>1</v>
      </c>
      <c r="Q70" s="94" t="s">
        <v>383</v>
      </c>
      <c r="R70" s="95">
        <v>3</v>
      </c>
      <c r="S70" s="95">
        <v>45</v>
      </c>
      <c r="T70" s="95">
        <v>0</v>
      </c>
      <c r="U70" s="95">
        <v>0</v>
      </c>
      <c r="V70" s="95">
        <v>525</v>
      </c>
      <c r="W70" s="95">
        <v>1005</v>
      </c>
      <c r="X70" s="97">
        <v>45043.375</v>
      </c>
      <c r="Y70" s="97">
        <v>45027.375</v>
      </c>
      <c r="Z70" s="97">
        <v>45002.375</v>
      </c>
      <c r="AA70" s="98"/>
    </row>
    <row r="71" spans="1:27" ht="15.75" hidden="1" customHeight="1">
      <c r="A71" s="94" t="s">
        <v>3027</v>
      </c>
      <c r="B71" s="94" t="s">
        <v>509</v>
      </c>
      <c r="C71" s="94" t="s">
        <v>44</v>
      </c>
      <c r="D71" s="95">
        <v>6000</v>
      </c>
      <c r="E71" s="94" t="s">
        <v>431</v>
      </c>
      <c r="F71" s="94" t="s">
        <v>433</v>
      </c>
      <c r="G71" s="95">
        <v>19</v>
      </c>
      <c r="H71" s="94" t="s">
        <v>368</v>
      </c>
      <c r="I71" s="94" t="s">
        <v>6236</v>
      </c>
      <c r="J71" s="94" t="s">
        <v>434</v>
      </c>
      <c r="K71" s="95">
        <v>60</v>
      </c>
      <c r="L71" s="94"/>
      <c r="M71" s="95">
        <v>750</v>
      </c>
      <c r="N71" s="99" t="s">
        <v>435</v>
      </c>
      <c r="O71" s="94"/>
      <c r="P71" s="95">
        <v>4</v>
      </c>
      <c r="Q71" s="94" t="s">
        <v>436</v>
      </c>
      <c r="R71" s="95">
        <v>0</v>
      </c>
      <c r="S71" s="95">
        <v>0</v>
      </c>
      <c r="T71" s="95">
        <v>480</v>
      </c>
      <c r="U71" s="95">
        <v>96</v>
      </c>
      <c r="V71" s="95">
        <v>480</v>
      </c>
      <c r="W71" s="95">
        <v>1005</v>
      </c>
      <c r="X71" s="97">
        <v>45043.375</v>
      </c>
      <c r="Y71" s="97">
        <v>45027.375</v>
      </c>
      <c r="Z71" s="97">
        <v>45002.375</v>
      </c>
      <c r="AA71" s="98"/>
    </row>
    <row r="72" spans="1:27" ht="15.75" hidden="1" customHeight="1">
      <c r="A72" s="94" t="s">
        <v>3008</v>
      </c>
      <c r="B72" s="94" t="s">
        <v>843</v>
      </c>
      <c r="C72" s="94" t="s">
        <v>63</v>
      </c>
      <c r="D72" s="95">
        <v>6500</v>
      </c>
      <c r="E72" s="94" t="s">
        <v>442</v>
      </c>
      <c r="F72" s="94" t="s">
        <v>33</v>
      </c>
      <c r="G72" s="95">
        <v>11</v>
      </c>
      <c r="H72" s="94" t="s">
        <v>12</v>
      </c>
      <c r="I72" s="94" t="s">
        <v>6923</v>
      </c>
      <c r="J72" s="94" t="s">
        <v>444</v>
      </c>
      <c r="K72" s="95">
        <v>90</v>
      </c>
      <c r="L72" s="95">
        <v>15</v>
      </c>
      <c r="M72" s="94"/>
      <c r="N72" s="96">
        <v>81000</v>
      </c>
      <c r="O72" s="95">
        <v>5400</v>
      </c>
      <c r="P72" s="95">
        <v>1</v>
      </c>
      <c r="Q72" s="94" t="s">
        <v>383</v>
      </c>
      <c r="R72" s="95">
        <v>2</v>
      </c>
      <c r="S72" s="95">
        <v>180</v>
      </c>
      <c r="T72" s="95">
        <v>0</v>
      </c>
      <c r="U72" s="95">
        <v>0</v>
      </c>
      <c r="V72" s="95">
        <v>210</v>
      </c>
      <c r="W72" s="95">
        <v>600</v>
      </c>
      <c r="X72" s="97">
        <v>45050.375</v>
      </c>
      <c r="Y72" s="97">
        <v>44993.375</v>
      </c>
      <c r="Z72" s="97">
        <v>45044.375</v>
      </c>
      <c r="AA72" s="98"/>
    </row>
    <row r="73" spans="1:27" ht="15.75" hidden="1" customHeight="1">
      <c r="A73" s="94" t="s">
        <v>3008</v>
      </c>
      <c r="B73" s="94" t="s">
        <v>843</v>
      </c>
      <c r="C73" s="94" t="s">
        <v>63</v>
      </c>
      <c r="D73" s="95">
        <v>6500</v>
      </c>
      <c r="E73" s="94" t="s">
        <v>442</v>
      </c>
      <c r="F73" s="94" t="s">
        <v>33</v>
      </c>
      <c r="G73" s="95">
        <v>12</v>
      </c>
      <c r="H73" s="94" t="s">
        <v>13</v>
      </c>
      <c r="I73" s="94" t="s">
        <v>6923</v>
      </c>
      <c r="J73" s="94" t="s">
        <v>444</v>
      </c>
      <c r="K73" s="95">
        <v>15</v>
      </c>
      <c r="L73" s="95">
        <v>15</v>
      </c>
      <c r="M73" s="94"/>
      <c r="N73" s="95">
        <v>81000</v>
      </c>
      <c r="O73" s="95">
        <v>5400</v>
      </c>
      <c r="P73" s="95">
        <v>1</v>
      </c>
      <c r="Q73" s="94" t="s">
        <v>383</v>
      </c>
      <c r="R73" s="95">
        <v>2</v>
      </c>
      <c r="S73" s="95">
        <v>30</v>
      </c>
      <c r="T73" s="95">
        <v>0</v>
      </c>
      <c r="U73" s="95">
        <v>0</v>
      </c>
      <c r="V73" s="95">
        <v>210</v>
      </c>
      <c r="W73" s="95">
        <v>600</v>
      </c>
      <c r="X73" s="97">
        <v>45050.375</v>
      </c>
      <c r="Y73" s="97">
        <v>44993.375</v>
      </c>
      <c r="Z73" s="97">
        <v>45044.375</v>
      </c>
      <c r="AA73" s="98"/>
    </row>
    <row r="74" spans="1:27" ht="15.75" hidden="1" customHeight="1">
      <c r="A74" s="94" t="s">
        <v>3008</v>
      </c>
      <c r="B74" s="94" t="s">
        <v>843</v>
      </c>
      <c r="C74" s="94" t="s">
        <v>63</v>
      </c>
      <c r="D74" s="95">
        <v>6500</v>
      </c>
      <c r="E74" s="94" t="s">
        <v>431</v>
      </c>
      <c r="F74" s="94" t="s">
        <v>433</v>
      </c>
      <c r="G74" s="95">
        <v>19</v>
      </c>
      <c r="H74" s="94" t="s">
        <v>368</v>
      </c>
      <c r="I74" s="94" t="s">
        <v>6236</v>
      </c>
      <c r="J74" s="94" t="s">
        <v>434</v>
      </c>
      <c r="K74" s="95">
        <v>60</v>
      </c>
      <c r="L74" s="94"/>
      <c r="M74" s="95">
        <v>1000</v>
      </c>
      <c r="N74" s="99" t="s">
        <v>435</v>
      </c>
      <c r="O74" s="94"/>
      <c r="P74" s="95">
        <v>4</v>
      </c>
      <c r="Q74" s="94" t="s">
        <v>436</v>
      </c>
      <c r="R74" s="95">
        <v>0</v>
      </c>
      <c r="S74" s="95">
        <v>0</v>
      </c>
      <c r="T74" s="95">
        <v>390</v>
      </c>
      <c r="U74" s="95">
        <v>78</v>
      </c>
      <c r="V74" s="95">
        <v>390</v>
      </c>
      <c r="W74" s="95">
        <v>600</v>
      </c>
      <c r="X74" s="97">
        <v>45050.375</v>
      </c>
      <c r="Y74" s="97">
        <v>44993.375</v>
      </c>
      <c r="Z74" s="97">
        <v>45044.375</v>
      </c>
      <c r="AA74" s="98"/>
    </row>
    <row r="75" spans="1:27" ht="15.75" hidden="1" customHeight="1">
      <c r="A75" s="94" t="s">
        <v>2989</v>
      </c>
      <c r="B75" s="94" t="s">
        <v>844</v>
      </c>
      <c r="C75" s="94" t="s">
        <v>47</v>
      </c>
      <c r="D75" s="95">
        <v>3783</v>
      </c>
      <c r="E75" s="94" t="s">
        <v>424</v>
      </c>
      <c r="F75" s="94" t="s">
        <v>48</v>
      </c>
      <c r="G75" s="95">
        <v>4</v>
      </c>
      <c r="H75" s="94" t="s">
        <v>11</v>
      </c>
      <c r="I75" s="94" t="s">
        <v>7228</v>
      </c>
      <c r="J75" s="94" t="s">
        <v>426</v>
      </c>
      <c r="K75" s="95">
        <v>40</v>
      </c>
      <c r="L75" s="95">
        <v>42.5</v>
      </c>
      <c r="M75" s="94"/>
      <c r="N75" s="96">
        <v>52000</v>
      </c>
      <c r="O75" s="95">
        <v>1223</v>
      </c>
      <c r="P75" s="95">
        <v>1</v>
      </c>
      <c r="Q75" s="94" t="s">
        <v>383</v>
      </c>
      <c r="R75" s="95">
        <v>4</v>
      </c>
      <c r="S75" s="95">
        <v>160</v>
      </c>
      <c r="T75" s="95">
        <v>0</v>
      </c>
      <c r="U75" s="95">
        <v>0</v>
      </c>
      <c r="V75" s="95">
        <v>780</v>
      </c>
      <c r="W75" s="95">
        <v>1321</v>
      </c>
      <c r="X75" s="97">
        <v>45026.375</v>
      </c>
      <c r="Y75" s="97">
        <v>44959.375</v>
      </c>
      <c r="Z75" s="97">
        <v>44974.375</v>
      </c>
      <c r="AA75" s="98"/>
    </row>
    <row r="76" spans="1:27" ht="15.75" hidden="1" customHeight="1">
      <c r="A76" s="94" t="s">
        <v>2989</v>
      </c>
      <c r="B76" s="94" t="s">
        <v>844</v>
      </c>
      <c r="C76" s="94" t="s">
        <v>47</v>
      </c>
      <c r="D76" s="95">
        <v>3783</v>
      </c>
      <c r="E76" s="94" t="s">
        <v>424</v>
      </c>
      <c r="F76" s="94" t="s">
        <v>48</v>
      </c>
      <c r="G76" s="95">
        <v>5</v>
      </c>
      <c r="H76" s="94" t="s">
        <v>12</v>
      </c>
      <c r="I76" s="94" t="s">
        <v>6923</v>
      </c>
      <c r="J76" s="94" t="s">
        <v>427</v>
      </c>
      <c r="K76" s="95">
        <v>140</v>
      </c>
      <c r="L76" s="95">
        <v>42.5</v>
      </c>
      <c r="M76" s="94"/>
      <c r="N76" s="95">
        <v>52000</v>
      </c>
      <c r="O76" s="95">
        <v>1223</v>
      </c>
      <c r="P76" s="95">
        <v>1</v>
      </c>
      <c r="Q76" s="94" t="s">
        <v>383</v>
      </c>
      <c r="R76" s="95">
        <v>4</v>
      </c>
      <c r="S76" s="95">
        <v>560</v>
      </c>
      <c r="T76" s="95">
        <v>0</v>
      </c>
      <c r="U76" s="95">
        <v>0</v>
      </c>
      <c r="V76" s="95">
        <v>780</v>
      </c>
      <c r="W76" s="95">
        <v>1321</v>
      </c>
      <c r="X76" s="97">
        <v>45026.375</v>
      </c>
      <c r="Y76" s="97">
        <v>44959.375</v>
      </c>
      <c r="Z76" s="97">
        <v>44974.375</v>
      </c>
      <c r="AA76" s="98"/>
    </row>
    <row r="77" spans="1:27" ht="15.75" hidden="1" customHeight="1">
      <c r="A77" s="94" t="s">
        <v>2989</v>
      </c>
      <c r="B77" s="94" t="s">
        <v>844</v>
      </c>
      <c r="C77" s="94" t="s">
        <v>47</v>
      </c>
      <c r="D77" s="95">
        <v>3783</v>
      </c>
      <c r="E77" s="94" t="s">
        <v>424</v>
      </c>
      <c r="F77" s="94" t="s">
        <v>48</v>
      </c>
      <c r="G77" s="95">
        <v>6</v>
      </c>
      <c r="H77" s="94" t="s">
        <v>13</v>
      </c>
      <c r="I77" s="94" t="s">
        <v>6923</v>
      </c>
      <c r="J77" s="94" t="s">
        <v>427</v>
      </c>
      <c r="K77" s="95">
        <v>60</v>
      </c>
      <c r="L77" s="95">
        <v>42.5</v>
      </c>
      <c r="M77" s="94"/>
      <c r="N77" s="96">
        <v>52000</v>
      </c>
      <c r="O77" s="95">
        <v>1223</v>
      </c>
      <c r="P77" s="95">
        <v>1</v>
      </c>
      <c r="Q77" s="94" t="s">
        <v>383</v>
      </c>
      <c r="R77" s="95">
        <v>4</v>
      </c>
      <c r="S77" s="95">
        <v>60</v>
      </c>
      <c r="T77" s="95">
        <v>0</v>
      </c>
      <c r="U77" s="95">
        <v>0</v>
      </c>
      <c r="V77" s="95">
        <v>780</v>
      </c>
      <c r="W77" s="95">
        <v>1321</v>
      </c>
      <c r="X77" s="97">
        <v>45026.375</v>
      </c>
      <c r="Y77" s="97">
        <v>44959.375</v>
      </c>
      <c r="Z77" s="97">
        <v>44974.375</v>
      </c>
      <c r="AA77" s="98"/>
    </row>
    <row r="78" spans="1:27" ht="15.75" hidden="1" customHeight="1">
      <c r="A78" s="94" t="s">
        <v>2989</v>
      </c>
      <c r="B78" s="94" t="s">
        <v>844</v>
      </c>
      <c r="C78" s="94" t="s">
        <v>47</v>
      </c>
      <c r="D78" s="95">
        <v>3783</v>
      </c>
      <c r="E78" s="94" t="s">
        <v>431</v>
      </c>
      <c r="F78" s="94" t="s">
        <v>433</v>
      </c>
      <c r="G78" s="95">
        <v>19</v>
      </c>
      <c r="H78" s="94" t="s">
        <v>368</v>
      </c>
      <c r="I78" s="94" t="s">
        <v>6236</v>
      </c>
      <c r="J78" s="94" t="s">
        <v>434</v>
      </c>
      <c r="K78" s="95">
        <v>60</v>
      </c>
      <c r="L78" s="94"/>
      <c r="M78" s="95">
        <v>420</v>
      </c>
      <c r="N78" s="99" t="s">
        <v>435</v>
      </c>
      <c r="O78" s="94"/>
      <c r="P78" s="95">
        <v>3</v>
      </c>
      <c r="Q78" s="94" t="s">
        <v>436</v>
      </c>
      <c r="R78" s="95">
        <v>0</v>
      </c>
      <c r="S78" s="95">
        <v>0</v>
      </c>
      <c r="T78" s="95">
        <v>541</v>
      </c>
      <c r="U78" s="95">
        <v>109</v>
      </c>
      <c r="V78" s="95">
        <v>541</v>
      </c>
      <c r="W78" s="95">
        <v>1321</v>
      </c>
      <c r="X78" s="97">
        <v>45026.375</v>
      </c>
      <c r="Y78" s="97">
        <v>44959.375</v>
      </c>
      <c r="Z78" s="97">
        <v>44974.375</v>
      </c>
      <c r="AA78" s="98"/>
    </row>
    <row r="79" spans="1:27" ht="15.75" hidden="1" customHeight="1">
      <c r="A79" s="94" t="s">
        <v>2912</v>
      </c>
      <c r="B79" s="94" t="s">
        <v>843</v>
      </c>
      <c r="C79" s="94" t="s">
        <v>63</v>
      </c>
      <c r="D79" s="95">
        <v>3100</v>
      </c>
      <c r="E79" s="94" t="s">
        <v>442</v>
      </c>
      <c r="F79" s="94" t="s">
        <v>33</v>
      </c>
      <c r="G79" s="95">
        <v>11</v>
      </c>
      <c r="H79" s="94" t="s">
        <v>12</v>
      </c>
      <c r="I79" s="94" t="s">
        <v>6923</v>
      </c>
      <c r="J79" s="94" t="s">
        <v>444</v>
      </c>
      <c r="K79" s="95">
        <v>90</v>
      </c>
      <c r="L79" s="95">
        <v>15</v>
      </c>
      <c r="M79" s="94"/>
      <c r="N79" s="96">
        <v>81000</v>
      </c>
      <c r="O79" s="95">
        <v>5400</v>
      </c>
      <c r="P79" s="95">
        <v>1</v>
      </c>
      <c r="Q79" s="94" t="s">
        <v>383</v>
      </c>
      <c r="R79" s="95">
        <v>1</v>
      </c>
      <c r="S79" s="95">
        <v>90</v>
      </c>
      <c r="T79" s="95">
        <v>0</v>
      </c>
      <c r="U79" s="95">
        <v>0</v>
      </c>
      <c r="V79" s="95">
        <v>105</v>
      </c>
      <c r="W79" s="95">
        <v>291</v>
      </c>
      <c r="X79" s="97">
        <v>45054.375</v>
      </c>
      <c r="Y79" s="97">
        <v>44973.375</v>
      </c>
      <c r="Z79" s="97">
        <v>45044.375</v>
      </c>
      <c r="AA79" s="98"/>
    </row>
    <row r="80" spans="1:27" ht="15.75" hidden="1" customHeight="1">
      <c r="A80" s="94" t="s">
        <v>2912</v>
      </c>
      <c r="B80" s="94" t="s">
        <v>843</v>
      </c>
      <c r="C80" s="94" t="s">
        <v>63</v>
      </c>
      <c r="D80" s="95">
        <v>3100</v>
      </c>
      <c r="E80" s="94" t="s">
        <v>442</v>
      </c>
      <c r="F80" s="94" t="s">
        <v>33</v>
      </c>
      <c r="G80" s="95">
        <v>12</v>
      </c>
      <c r="H80" s="94" t="s">
        <v>13</v>
      </c>
      <c r="I80" s="94" t="s">
        <v>6923</v>
      </c>
      <c r="J80" s="94" t="s">
        <v>444</v>
      </c>
      <c r="K80" s="95">
        <v>15</v>
      </c>
      <c r="L80" s="95">
        <v>15</v>
      </c>
      <c r="M80" s="94"/>
      <c r="N80" s="95">
        <v>81000</v>
      </c>
      <c r="O80" s="95">
        <v>5400</v>
      </c>
      <c r="P80" s="95">
        <v>1</v>
      </c>
      <c r="Q80" s="94" t="s">
        <v>383</v>
      </c>
      <c r="R80" s="95">
        <v>1</v>
      </c>
      <c r="S80" s="95">
        <v>15</v>
      </c>
      <c r="T80" s="95">
        <v>0</v>
      </c>
      <c r="U80" s="95">
        <v>0</v>
      </c>
      <c r="V80" s="95">
        <v>105</v>
      </c>
      <c r="W80" s="95">
        <v>291</v>
      </c>
      <c r="X80" s="97">
        <v>45054.375</v>
      </c>
      <c r="Y80" s="97">
        <v>44973.375</v>
      </c>
      <c r="Z80" s="97">
        <v>45044.375</v>
      </c>
      <c r="AA80" s="98"/>
    </row>
    <row r="81" spans="1:27" ht="15.75" hidden="1" customHeight="1">
      <c r="A81" s="94" t="s">
        <v>2912</v>
      </c>
      <c r="B81" s="94" t="s">
        <v>843</v>
      </c>
      <c r="C81" s="94" t="s">
        <v>63</v>
      </c>
      <c r="D81" s="95">
        <v>3100</v>
      </c>
      <c r="E81" s="94" t="s">
        <v>431</v>
      </c>
      <c r="F81" s="94" t="s">
        <v>433</v>
      </c>
      <c r="G81" s="95">
        <v>19</v>
      </c>
      <c r="H81" s="94" t="s">
        <v>368</v>
      </c>
      <c r="I81" s="94" t="s">
        <v>6236</v>
      </c>
      <c r="J81" s="94" t="s">
        <v>434</v>
      </c>
      <c r="K81" s="95">
        <v>60</v>
      </c>
      <c r="L81" s="94"/>
      <c r="M81" s="95">
        <v>1000</v>
      </c>
      <c r="N81" s="94" t="s">
        <v>435</v>
      </c>
      <c r="O81" s="94"/>
      <c r="P81" s="95">
        <v>4</v>
      </c>
      <c r="Q81" s="94" t="s">
        <v>436</v>
      </c>
      <c r="R81" s="95">
        <v>0</v>
      </c>
      <c r="S81" s="95">
        <v>0</v>
      </c>
      <c r="T81" s="95">
        <v>186</v>
      </c>
      <c r="U81" s="95">
        <v>38</v>
      </c>
      <c r="V81" s="95">
        <v>186</v>
      </c>
      <c r="W81" s="95">
        <v>291</v>
      </c>
      <c r="X81" s="97">
        <v>45054.375</v>
      </c>
      <c r="Y81" s="97">
        <v>44973.375</v>
      </c>
      <c r="Z81" s="97">
        <v>45044.375</v>
      </c>
      <c r="AA81" s="98"/>
    </row>
    <row r="82" spans="1:27" ht="15.75" hidden="1" customHeight="1">
      <c r="A82" s="94" t="s">
        <v>2876</v>
      </c>
      <c r="B82" s="94" t="s">
        <v>488</v>
      </c>
      <c r="C82" s="94" t="s">
        <v>57</v>
      </c>
      <c r="D82" s="95">
        <v>10000</v>
      </c>
      <c r="E82" s="94" t="s">
        <v>442</v>
      </c>
      <c r="F82" s="94" t="s">
        <v>33</v>
      </c>
      <c r="G82" s="95">
        <v>10</v>
      </c>
      <c r="H82" s="94" t="s">
        <v>11</v>
      </c>
      <c r="I82" s="94" t="s">
        <v>7228</v>
      </c>
      <c r="J82" s="94" t="s">
        <v>426</v>
      </c>
      <c r="K82" s="95">
        <v>20</v>
      </c>
      <c r="L82" s="95">
        <v>5</v>
      </c>
      <c r="M82" s="94"/>
      <c r="N82" s="96">
        <v>107000</v>
      </c>
      <c r="O82" s="95">
        <v>21400</v>
      </c>
      <c r="P82" s="95">
        <v>1</v>
      </c>
      <c r="Q82" s="94" t="s">
        <v>383</v>
      </c>
      <c r="R82" s="95">
        <v>1</v>
      </c>
      <c r="S82" s="95">
        <v>20</v>
      </c>
      <c r="T82" s="95">
        <v>0</v>
      </c>
      <c r="U82" s="95">
        <v>0</v>
      </c>
      <c r="V82" s="95">
        <v>125</v>
      </c>
      <c r="W82" s="95">
        <v>954</v>
      </c>
      <c r="X82" s="97">
        <v>45050.375</v>
      </c>
      <c r="Y82" s="97">
        <v>44987.375</v>
      </c>
      <c r="Z82" s="97">
        <v>44939.375</v>
      </c>
      <c r="AA82" s="98"/>
    </row>
    <row r="83" spans="1:27" ht="15.75" hidden="1" customHeight="1">
      <c r="A83" s="94" t="s">
        <v>2876</v>
      </c>
      <c r="B83" s="94" t="s">
        <v>488</v>
      </c>
      <c r="C83" s="94" t="s">
        <v>57</v>
      </c>
      <c r="D83" s="95">
        <v>10000</v>
      </c>
      <c r="E83" s="94" t="s">
        <v>442</v>
      </c>
      <c r="F83" s="94" t="s">
        <v>33</v>
      </c>
      <c r="G83" s="95">
        <v>11</v>
      </c>
      <c r="H83" s="94" t="s">
        <v>12</v>
      </c>
      <c r="I83" s="94" t="s">
        <v>6923</v>
      </c>
      <c r="J83" s="94" t="s">
        <v>444</v>
      </c>
      <c r="K83" s="95">
        <v>80</v>
      </c>
      <c r="L83" s="95">
        <v>5</v>
      </c>
      <c r="M83" s="94"/>
      <c r="N83" s="96">
        <v>107000</v>
      </c>
      <c r="O83" s="95">
        <v>21400</v>
      </c>
      <c r="P83" s="95">
        <v>1</v>
      </c>
      <c r="Q83" s="94" t="s">
        <v>383</v>
      </c>
      <c r="R83" s="95">
        <v>1</v>
      </c>
      <c r="S83" s="95">
        <v>80</v>
      </c>
      <c r="T83" s="95">
        <v>0</v>
      </c>
      <c r="U83" s="95">
        <v>0</v>
      </c>
      <c r="V83" s="95">
        <v>125</v>
      </c>
      <c r="W83" s="95">
        <v>954</v>
      </c>
      <c r="X83" s="97">
        <v>45050.375</v>
      </c>
      <c r="Y83" s="97">
        <v>44987.375</v>
      </c>
      <c r="Z83" s="97">
        <v>44939.375</v>
      </c>
      <c r="AA83" s="98"/>
    </row>
    <row r="84" spans="1:27" ht="15.75" hidden="1" customHeight="1">
      <c r="A84" s="94" t="s">
        <v>2876</v>
      </c>
      <c r="B84" s="94" t="s">
        <v>488</v>
      </c>
      <c r="C84" s="94" t="s">
        <v>57</v>
      </c>
      <c r="D84" s="95">
        <v>10000</v>
      </c>
      <c r="E84" s="94" t="s">
        <v>442</v>
      </c>
      <c r="F84" s="94" t="s">
        <v>33</v>
      </c>
      <c r="G84" s="95">
        <v>12</v>
      </c>
      <c r="H84" s="94" t="s">
        <v>13</v>
      </c>
      <c r="I84" s="94" t="s">
        <v>6923</v>
      </c>
      <c r="J84" s="94" t="s">
        <v>444</v>
      </c>
      <c r="K84" s="95">
        <v>25</v>
      </c>
      <c r="L84" s="95">
        <v>5</v>
      </c>
      <c r="M84" s="94"/>
      <c r="N84" s="95">
        <v>107000</v>
      </c>
      <c r="O84" s="95">
        <v>21400</v>
      </c>
      <c r="P84" s="95">
        <v>1</v>
      </c>
      <c r="Q84" s="94" t="s">
        <v>383</v>
      </c>
      <c r="R84" s="95">
        <v>1</v>
      </c>
      <c r="S84" s="95">
        <v>25</v>
      </c>
      <c r="T84" s="95">
        <v>0</v>
      </c>
      <c r="U84" s="95">
        <v>0</v>
      </c>
      <c r="V84" s="95">
        <v>125</v>
      </c>
      <c r="W84" s="95">
        <v>954</v>
      </c>
      <c r="X84" s="97">
        <v>45050.375</v>
      </c>
      <c r="Y84" s="97">
        <v>44987.375</v>
      </c>
      <c r="Z84" s="97">
        <v>44939.375</v>
      </c>
      <c r="AA84" s="98"/>
    </row>
    <row r="85" spans="1:27" ht="15.75" hidden="1" customHeight="1">
      <c r="A85" s="94" t="s">
        <v>2876</v>
      </c>
      <c r="B85" s="94" t="s">
        <v>488</v>
      </c>
      <c r="C85" s="94" t="s">
        <v>57</v>
      </c>
      <c r="D85" s="95">
        <v>10000</v>
      </c>
      <c r="E85" s="94" t="s">
        <v>431</v>
      </c>
      <c r="F85" s="94" t="s">
        <v>433</v>
      </c>
      <c r="G85" s="95">
        <v>18</v>
      </c>
      <c r="H85" s="94" t="s">
        <v>439</v>
      </c>
      <c r="I85" s="94" t="s">
        <v>6671</v>
      </c>
      <c r="J85" s="94" t="s">
        <v>440</v>
      </c>
      <c r="K85" s="95">
        <v>60</v>
      </c>
      <c r="L85" s="94"/>
      <c r="M85" s="95">
        <v>1400</v>
      </c>
      <c r="N85" s="94" t="s">
        <v>435</v>
      </c>
      <c r="O85" s="94"/>
      <c r="P85" s="95">
        <v>1</v>
      </c>
      <c r="Q85" s="94" t="s">
        <v>436</v>
      </c>
      <c r="R85" s="95">
        <v>0</v>
      </c>
      <c r="S85" s="95">
        <v>0</v>
      </c>
      <c r="T85" s="95">
        <v>429</v>
      </c>
      <c r="U85" s="95">
        <v>86</v>
      </c>
      <c r="V85" s="95">
        <v>829</v>
      </c>
      <c r="W85" s="95">
        <v>954</v>
      </c>
      <c r="X85" s="97">
        <v>45050.375</v>
      </c>
      <c r="Y85" s="97">
        <v>44987.375</v>
      </c>
      <c r="Z85" s="97">
        <v>44939.375</v>
      </c>
      <c r="AA85" s="98"/>
    </row>
    <row r="86" spans="1:27" ht="15.75" hidden="1" customHeight="1">
      <c r="A86" s="94" t="s">
        <v>2876</v>
      </c>
      <c r="B86" s="94" t="s">
        <v>488</v>
      </c>
      <c r="C86" s="94" t="s">
        <v>57</v>
      </c>
      <c r="D86" s="95">
        <v>10000</v>
      </c>
      <c r="E86" s="94" t="s">
        <v>431</v>
      </c>
      <c r="F86" s="94" t="s">
        <v>433</v>
      </c>
      <c r="G86" s="95">
        <v>19</v>
      </c>
      <c r="H86" s="94" t="s">
        <v>368</v>
      </c>
      <c r="I86" s="94" t="s">
        <v>6236</v>
      </c>
      <c r="J86" s="94" t="s">
        <v>434</v>
      </c>
      <c r="K86" s="95">
        <v>60</v>
      </c>
      <c r="L86" s="94"/>
      <c r="M86" s="95">
        <v>1500</v>
      </c>
      <c r="N86" s="94" t="s">
        <v>435</v>
      </c>
      <c r="O86" s="94"/>
      <c r="P86" s="95">
        <v>4</v>
      </c>
      <c r="Q86" s="94" t="s">
        <v>436</v>
      </c>
      <c r="R86" s="95">
        <v>0</v>
      </c>
      <c r="S86" s="95">
        <v>0</v>
      </c>
      <c r="T86" s="95">
        <v>400</v>
      </c>
      <c r="U86" s="95">
        <v>80</v>
      </c>
      <c r="V86" s="95">
        <v>829</v>
      </c>
      <c r="W86" s="95">
        <v>954</v>
      </c>
      <c r="X86" s="97">
        <v>45050.375</v>
      </c>
      <c r="Y86" s="97">
        <v>44987.375</v>
      </c>
      <c r="Z86" s="97">
        <v>44939.375</v>
      </c>
      <c r="AA86" s="98"/>
    </row>
    <row r="87" spans="1:27" ht="15.75" hidden="1" customHeight="1">
      <c r="A87" s="94" t="s">
        <v>2840</v>
      </c>
      <c r="B87" s="94" t="s">
        <v>604</v>
      </c>
      <c r="C87" s="94" t="s">
        <v>91</v>
      </c>
      <c r="D87" s="95">
        <v>5000</v>
      </c>
      <c r="E87" s="94" t="s">
        <v>442</v>
      </c>
      <c r="F87" s="94" t="s">
        <v>40</v>
      </c>
      <c r="G87" s="95">
        <v>1</v>
      </c>
      <c r="H87" s="94" t="s">
        <v>11</v>
      </c>
      <c r="I87" s="94" t="s">
        <v>7228</v>
      </c>
      <c r="J87" s="94" t="s">
        <v>426</v>
      </c>
      <c r="K87" s="95">
        <v>25</v>
      </c>
      <c r="L87" s="95">
        <v>28.3</v>
      </c>
      <c r="M87" s="94"/>
      <c r="N87" s="96">
        <v>412000</v>
      </c>
      <c r="O87" s="95">
        <v>14558</v>
      </c>
      <c r="P87" s="95">
        <v>1</v>
      </c>
      <c r="Q87" s="94" t="s">
        <v>383</v>
      </c>
      <c r="R87" s="95">
        <v>1</v>
      </c>
      <c r="S87" s="95">
        <v>25</v>
      </c>
      <c r="T87" s="95">
        <v>0</v>
      </c>
      <c r="U87" s="95">
        <v>0</v>
      </c>
      <c r="V87" s="95">
        <v>175</v>
      </c>
      <c r="W87" s="95">
        <v>475</v>
      </c>
      <c r="X87" s="97">
        <v>45055.375</v>
      </c>
      <c r="Y87" s="97">
        <v>45016.375</v>
      </c>
      <c r="Z87" s="97">
        <v>45044.375</v>
      </c>
      <c r="AA87" s="98"/>
    </row>
    <row r="88" spans="1:27" ht="15.75" hidden="1" customHeight="1">
      <c r="A88" s="94" t="s">
        <v>2840</v>
      </c>
      <c r="B88" s="94" t="s">
        <v>604</v>
      </c>
      <c r="C88" s="94" t="s">
        <v>91</v>
      </c>
      <c r="D88" s="95">
        <v>5000</v>
      </c>
      <c r="E88" s="94" t="s">
        <v>442</v>
      </c>
      <c r="F88" s="94" t="s">
        <v>40</v>
      </c>
      <c r="G88" s="95">
        <v>2</v>
      </c>
      <c r="H88" s="94" t="s">
        <v>12</v>
      </c>
      <c r="I88" s="94" t="s">
        <v>6923</v>
      </c>
      <c r="J88" s="94" t="s">
        <v>449</v>
      </c>
      <c r="K88" s="95">
        <v>120</v>
      </c>
      <c r="L88" s="95">
        <v>28.3</v>
      </c>
      <c r="M88" s="94"/>
      <c r="N88" s="95">
        <v>412000</v>
      </c>
      <c r="O88" s="95">
        <v>14558</v>
      </c>
      <c r="P88" s="95">
        <v>1</v>
      </c>
      <c r="Q88" s="94" t="s">
        <v>383</v>
      </c>
      <c r="R88" s="95">
        <v>1</v>
      </c>
      <c r="S88" s="95">
        <v>120</v>
      </c>
      <c r="T88" s="95">
        <v>0</v>
      </c>
      <c r="U88" s="95">
        <v>0</v>
      </c>
      <c r="V88" s="95">
        <v>175</v>
      </c>
      <c r="W88" s="95">
        <v>475</v>
      </c>
      <c r="X88" s="97">
        <v>45055.375</v>
      </c>
      <c r="Y88" s="97">
        <v>45016.375</v>
      </c>
      <c r="Z88" s="97">
        <v>45044.375</v>
      </c>
      <c r="AA88" s="98"/>
    </row>
    <row r="89" spans="1:27" ht="15.75" hidden="1" customHeight="1">
      <c r="A89" s="94" t="s">
        <v>2840</v>
      </c>
      <c r="B89" s="94" t="s">
        <v>604</v>
      </c>
      <c r="C89" s="94" t="s">
        <v>91</v>
      </c>
      <c r="D89" s="95">
        <v>5000</v>
      </c>
      <c r="E89" s="94" t="s">
        <v>442</v>
      </c>
      <c r="F89" s="94" t="s">
        <v>40</v>
      </c>
      <c r="G89" s="95">
        <v>3</v>
      </c>
      <c r="H89" s="94" t="s">
        <v>13</v>
      </c>
      <c r="I89" s="94" t="s">
        <v>6923</v>
      </c>
      <c r="J89" s="94" t="s">
        <v>449</v>
      </c>
      <c r="K89" s="95">
        <v>30</v>
      </c>
      <c r="L89" s="95">
        <v>28.3</v>
      </c>
      <c r="M89" s="94"/>
      <c r="N89" s="96">
        <v>412000</v>
      </c>
      <c r="O89" s="95">
        <v>14558</v>
      </c>
      <c r="P89" s="95">
        <v>1</v>
      </c>
      <c r="Q89" s="94" t="s">
        <v>383</v>
      </c>
      <c r="R89" s="95">
        <v>1</v>
      </c>
      <c r="S89" s="95">
        <v>30</v>
      </c>
      <c r="T89" s="95">
        <v>0</v>
      </c>
      <c r="U89" s="95">
        <v>0</v>
      </c>
      <c r="V89" s="95">
        <v>175</v>
      </c>
      <c r="W89" s="95">
        <v>475</v>
      </c>
      <c r="X89" s="97">
        <v>45055.375</v>
      </c>
      <c r="Y89" s="97">
        <v>45016.375</v>
      </c>
      <c r="Z89" s="97">
        <v>45044.375</v>
      </c>
      <c r="AA89" s="98"/>
    </row>
    <row r="90" spans="1:27" ht="15.75" hidden="1" customHeight="1">
      <c r="A90" s="94" t="s">
        <v>2840</v>
      </c>
      <c r="B90" s="94" t="s">
        <v>604</v>
      </c>
      <c r="C90" s="94" t="s">
        <v>91</v>
      </c>
      <c r="D90" s="95">
        <v>5000</v>
      </c>
      <c r="E90" s="94" t="s">
        <v>431</v>
      </c>
      <c r="F90" s="94" t="s">
        <v>433</v>
      </c>
      <c r="G90" s="95">
        <v>19</v>
      </c>
      <c r="H90" s="94" t="s">
        <v>368</v>
      </c>
      <c r="I90" s="94" t="s">
        <v>6236</v>
      </c>
      <c r="J90" s="94" t="s">
        <v>434</v>
      </c>
      <c r="K90" s="95">
        <v>60</v>
      </c>
      <c r="L90" s="94"/>
      <c r="M90" s="95">
        <v>1000</v>
      </c>
      <c r="N90" s="99" t="s">
        <v>435</v>
      </c>
      <c r="O90" s="94"/>
      <c r="P90" s="95">
        <v>3</v>
      </c>
      <c r="Q90" s="94" t="s">
        <v>436</v>
      </c>
      <c r="R90" s="95">
        <v>0</v>
      </c>
      <c r="S90" s="95">
        <v>0</v>
      </c>
      <c r="T90" s="95">
        <v>300</v>
      </c>
      <c r="U90" s="95">
        <v>60</v>
      </c>
      <c r="V90" s="95">
        <v>300</v>
      </c>
      <c r="W90" s="95">
        <v>475</v>
      </c>
      <c r="X90" s="97">
        <v>45055.375</v>
      </c>
      <c r="Y90" s="97">
        <v>45016.375</v>
      </c>
      <c r="Z90" s="97">
        <v>45044.375</v>
      </c>
      <c r="AA90" s="98"/>
    </row>
    <row r="91" spans="1:27" ht="15.75" hidden="1" customHeight="1">
      <c r="A91" s="94" t="s">
        <v>2922</v>
      </c>
      <c r="B91" s="94" t="s">
        <v>507</v>
      </c>
      <c r="C91" s="94" t="s">
        <v>51</v>
      </c>
      <c r="D91" s="95">
        <v>2544</v>
      </c>
      <c r="E91" s="94" t="s">
        <v>442</v>
      </c>
      <c r="F91" s="94" t="s">
        <v>40</v>
      </c>
      <c r="G91" s="95">
        <v>1</v>
      </c>
      <c r="H91" s="94" t="s">
        <v>11</v>
      </c>
      <c r="I91" s="94" t="s">
        <v>7228</v>
      </c>
      <c r="J91" s="94" t="s">
        <v>426</v>
      </c>
      <c r="K91" s="95">
        <v>50</v>
      </c>
      <c r="L91" s="95">
        <v>90</v>
      </c>
      <c r="M91" s="94"/>
      <c r="N91" s="96">
        <v>367000</v>
      </c>
      <c r="O91" s="95">
        <v>4077</v>
      </c>
      <c r="P91" s="95">
        <v>1</v>
      </c>
      <c r="Q91" s="94" t="s">
        <v>383</v>
      </c>
      <c r="R91" s="95">
        <v>1</v>
      </c>
      <c r="S91" s="95">
        <v>50</v>
      </c>
      <c r="T91" s="95">
        <v>0</v>
      </c>
      <c r="U91" s="95">
        <v>0</v>
      </c>
      <c r="V91" s="95">
        <v>170</v>
      </c>
      <c r="W91" s="95">
        <v>458</v>
      </c>
      <c r="X91" s="97">
        <v>45040.375</v>
      </c>
      <c r="Y91" s="97">
        <v>45022.375</v>
      </c>
      <c r="Z91" s="97">
        <v>44979.375</v>
      </c>
      <c r="AA91" s="98"/>
    </row>
    <row r="92" spans="1:27" ht="15.75" hidden="1" customHeight="1">
      <c r="A92" s="94" t="s">
        <v>2922</v>
      </c>
      <c r="B92" s="94" t="s">
        <v>507</v>
      </c>
      <c r="C92" s="94" t="s">
        <v>51</v>
      </c>
      <c r="D92" s="95">
        <v>2544</v>
      </c>
      <c r="E92" s="94" t="s">
        <v>442</v>
      </c>
      <c r="F92" s="94" t="s">
        <v>40</v>
      </c>
      <c r="G92" s="95">
        <v>2</v>
      </c>
      <c r="H92" s="94" t="s">
        <v>12</v>
      </c>
      <c r="I92" s="94" t="s">
        <v>6923</v>
      </c>
      <c r="J92" s="94" t="s">
        <v>449</v>
      </c>
      <c r="K92" s="95">
        <v>90</v>
      </c>
      <c r="L92" s="95">
        <v>90</v>
      </c>
      <c r="M92" s="94"/>
      <c r="N92" s="95">
        <v>367000</v>
      </c>
      <c r="O92" s="95">
        <v>4077</v>
      </c>
      <c r="P92" s="95">
        <v>1</v>
      </c>
      <c r="Q92" s="94" t="s">
        <v>383</v>
      </c>
      <c r="R92" s="95">
        <v>1</v>
      </c>
      <c r="S92" s="95">
        <v>90</v>
      </c>
      <c r="T92" s="95">
        <v>0</v>
      </c>
      <c r="U92" s="95">
        <v>0</v>
      </c>
      <c r="V92" s="95">
        <v>170</v>
      </c>
      <c r="W92" s="95">
        <v>458</v>
      </c>
      <c r="X92" s="97">
        <v>45040.375</v>
      </c>
      <c r="Y92" s="97">
        <v>45022.375</v>
      </c>
      <c r="Z92" s="97">
        <v>44979.375</v>
      </c>
      <c r="AA92" s="98"/>
    </row>
    <row r="93" spans="1:27" ht="15.75" hidden="1" customHeight="1">
      <c r="A93" s="94" t="s">
        <v>2922</v>
      </c>
      <c r="B93" s="94" t="s">
        <v>507</v>
      </c>
      <c r="C93" s="94" t="s">
        <v>51</v>
      </c>
      <c r="D93" s="95">
        <v>2544</v>
      </c>
      <c r="E93" s="94" t="s">
        <v>442</v>
      </c>
      <c r="F93" s="94" t="s">
        <v>40</v>
      </c>
      <c r="G93" s="95">
        <v>3</v>
      </c>
      <c r="H93" s="94" t="s">
        <v>13</v>
      </c>
      <c r="I93" s="94" t="s">
        <v>6923</v>
      </c>
      <c r="J93" s="94" t="s">
        <v>449</v>
      </c>
      <c r="K93" s="95">
        <v>30</v>
      </c>
      <c r="L93" s="95">
        <v>90</v>
      </c>
      <c r="M93" s="94"/>
      <c r="N93" s="95">
        <v>367000</v>
      </c>
      <c r="O93" s="95">
        <v>4077</v>
      </c>
      <c r="P93" s="95">
        <v>1</v>
      </c>
      <c r="Q93" s="94" t="s">
        <v>383</v>
      </c>
      <c r="R93" s="95">
        <v>1</v>
      </c>
      <c r="S93" s="95">
        <v>30</v>
      </c>
      <c r="T93" s="95">
        <v>0</v>
      </c>
      <c r="U93" s="95">
        <v>0</v>
      </c>
      <c r="V93" s="95">
        <v>170</v>
      </c>
      <c r="W93" s="95">
        <v>458</v>
      </c>
      <c r="X93" s="97">
        <v>45040.375</v>
      </c>
      <c r="Y93" s="97">
        <v>45022.375</v>
      </c>
      <c r="Z93" s="97">
        <v>44979.375</v>
      </c>
      <c r="AA93" s="98"/>
    </row>
    <row r="94" spans="1:27" ht="15.75" hidden="1" customHeight="1">
      <c r="A94" s="94" t="s">
        <v>2922</v>
      </c>
      <c r="B94" s="94" t="s">
        <v>507</v>
      </c>
      <c r="C94" s="94" t="s">
        <v>51</v>
      </c>
      <c r="D94" s="95">
        <v>2544</v>
      </c>
      <c r="E94" s="94" t="s">
        <v>431</v>
      </c>
      <c r="F94" s="94" t="s">
        <v>433</v>
      </c>
      <c r="G94" s="95">
        <v>18</v>
      </c>
      <c r="H94" s="94" t="s">
        <v>439</v>
      </c>
      <c r="I94" s="94" t="s">
        <v>6671</v>
      </c>
      <c r="J94" s="94" t="s">
        <v>440</v>
      </c>
      <c r="K94" s="95">
        <v>60</v>
      </c>
      <c r="L94" s="94"/>
      <c r="M94" s="95">
        <v>1300</v>
      </c>
      <c r="N94" s="94" t="s">
        <v>435</v>
      </c>
      <c r="O94" s="94"/>
      <c r="P94" s="95">
        <v>1</v>
      </c>
      <c r="Q94" s="94" t="s">
        <v>436</v>
      </c>
      <c r="R94" s="95">
        <v>0</v>
      </c>
      <c r="S94" s="95">
        <v>0</v>
      </c>
      <c r="T94" s="95">
        <v>118</v>
      </c>
      <c r="U94" s="95">
        <v>24</v>
      </c>
      <c r="V94" s="95">
        <v>288</v>
      </c>
      <c r="W94" s="95">
        <v>458</v>
      </c>
      <c r="X94" s="97">
        <v>45040.375</v>
      </c>
      <c r="Y94" s="97">
        <v>45022.375</v>
      </c>
      <c r="Z94" s="97">
        <v>44979.375</v>
      </c>
      <c r="AA94" s="98"/>
    </row>
    <row r="95" spans="1:27" ht="15.75" hidden="1" customHeight="1">
      <c r="A95" s="94" t="s">
        <v>2922</v>
      </c>
      <c r="B95" s="94" t="s">
        <v>507</v>
      </c>
      <c r="C95" s="94" t="s">
        <v>51</v>
      </c>
      <c r="D95" s="95">
        <v>2544</v>
      </c>
      <c r="E95" s="94" t="s">
        <v>431</v>
      </c>
      <c r="F95" s="94" t="s">
        <v>433</v>
      </c>
      <c r="G95" s="95">
        <v>19</v>
      </c>
      <c r="H95" s="94" t="s">
        <v>368</v>
      </c>
      <c r="I95" s="94" t="s">
        <v>6236</v>
      </c>
      <c r="J95" s="94" t="s">
        <v>434</v>
      </c>
      <c r="K95" s="95">
        <v>60</v>
      </c>
      <c r="L95" s="94"/>
      <c r="M95" s="95">
        <v>900</v>
      </c>
      <c r="N95" s="99" t="s">
        <v>435</v>
      </c>
      <c r="O95" s="94"/>
      <c r="P95" s="95">
        <v>4</v>
      </c>
      <c r="Q95" s="94" t="s">
        <v>436</v>
      </c>
      <c r="R95" s="95">
        <v>0</v>
      </c>
      <c r="S95" s="95">
        <v>0</v>
      </c>
      <c r="T95" s="95">
        <v>170</v>
      </c>
      <c r="U95" s="95">
        <v>34</v>
      </c>
      <c r="V95" s="95">
        <v>288</v>
      </c>
      <c r="W95" s="95">
        <v>458</v>
      </c>
      <c r="X95" s="97">
        <v>45040.375</v>
      </c>
      <c r="Y95" s="97">
        <v>45022.375</v>
      </c>
      <c r="Z95" s="97">
        <v>44979.375</v>
      </c>
      <c r="AA95" s="98"/>
    </row>
    <row r="96" spans="1:27" ht="15.75" hidden="1" customHeight="1">
      <c r="A96" s="94" t="s">
        <v>2847</v>
      </c>
      <c r="B96" s="94" t="s">
        <v>942</v>
      </c>
      <c r="C96" s="94" t="s">
        <v>69</v>
      </c>
      <c r="D96" s="95">
        <v>30000</v>
      </c>
      <c r="E96" s="94" t="s">
        <v>442</v>
      </c>
      <c r="F96" s="94" t="s">
        <v>40</v>
      </c>
      <c r="G96" s="95">
        <v>1</v>
      </c>
      <c r="H96" s="94" t="s">
        <v>11</v>
      </c>
      <c r="I96" s="94" t="s">
        <v>7228</v>
      </c>
      <c r="J96" s="94" t="s">
        <v>426</v>
      </c>
      <c r="K96" s="95">
        <v>25</v>
      </c>
      <c r="L96" s="95">
        <v>31</v>
      </c>
      <c r="M96" s="94"/>
      <c r="N96" s="95">
        <v>400000</v>
      </c>
      <c r="O96" s="95">
        <v>12903</v>
      </c>
      <c r="P96" s="95">
        <v>1</v>
      </c>
      <c r="Q96" s="94" t="s">
        <v>383</v>
      </c>
      <c r="R96" s="95">
        <v>3</v>
      </c>
      <c r="S96" s="95">
        <v>75</v>
      </c>
      <c r="T96" s="95">
        <v>0</v>
      </c>
      <c r="U96" s="95">
        <v>0</v>
      </c>
      <c r="V96" s="95">
        <v>525</v>
      </c>
      <c r="W96" s="95">
        <v>2829</v>
      </c>
      <c r="X96" s="97">
        <v>45062.375</v>
      </c>
      <c r="Y96" s="97">
        <v>45009.375</v>
      </c>
      <c r="Z96" s="97">
        <v>45044.375</v>
      </c>
      <c r="AA96" s="98"/>
    </row>
    <row r="97" spans="1:27" ht="15.75" hidden="1" customHeight="1">
      <c r="A97" s="94" t="s">
        <v>2847</v>
      </c>
      <c r="B97" s="94" t="s">
        <v>942</v>
      </c>
      <c r="C97" s="94" t="s">
        <v>69</v>
      </c>
      <c r="D97" s="95">
        <v>30000</v>
      </c>
      <c r="E97" s="94" t="s">
        <v>442</v>
      </c>
      <c r="F97" s="94" t="s">
        <v>40</v>
      </c>
      <c r="G97" s="95">
        <v>2</v>
      </c>
      <c r="H97" s="94" t="s">
        <v>12</v>
      </c>
      <c r="I97" s="94" t="s">
        <v>6923</v>
      </c>
      <c r="J97" s="94" t="s">
        <v>449</v>
      </c>
      <c r="K97" s="95">
        <v>120</v>
      </c>
      <c r="L97" s="95">
        <v>31</v>
      </c>
      <c r="M97" s="94"/>
      <c r="N97" s="95">
        <v>400000</v>
      </c>
      <c r="O97" s="95">
        <v>12903</v>
      </c>
      <c r="P97" s="95">
        <v>1</v>
      </c>
      <c r="Q97" s="94" t="s">
        <v>383</v>
      </c>
      <c r="R97" s="95">
        <v>3</v>
      </c>
      <c r="S97" s="95">
        <v>360</v>
      </c>
      <c r="T97" s="95">
        <v>0</v>
      </c>
      <c r="U97" s="95">
        <v>0</v>
      </c>
      <c r="V97" s="95">
        <v>525</v>
      </c>
      <c r="W97" s="95">
        <v>2829</v>
      </c>
      <c r="X97" s="97">
        <v>45062.375</v>
      </c>
      <c r="Y97" s="97">
        <v>45009.375</v>
      </c>
      <c r="Z97" s="97">
        <v>45044.375</v>
      </c>
      <c r="AA97" s="98"/>
    </row>
    <row r="98" spans="1:27" ht="15.75" hidden="1" customHeight="1">
      <c r="A98" s="94" t="s">
        <v>2847</v>
      </c>
      <c r="B98" s="94" t="s">
        <v>942</v>
      </c>
      <c r="C98" s="94" t="s">
        <v>69</v>
      </c>
      <c r="D98" s="95">
        <v>30000</v>
      </c>
      <c r="E98" s="94" t="s">
        <v>442</v>
      </c>
      <c r="F98" s="94" t="s">
        <v>40</v>
      </c>
      <c r="G98" s="95">
        <v>3</v>
      </c>
      <c r="H98" s="94" t="s">
        <v>13</v>
      </c>
      <c r="I98" s="94" t="s">
        <v>6923</v>
      </c>
      <c r="J98" s="94" t="s">
        <v>449</v>
      </c>
      <c r="K98" s="95">
        <v>30</v>
      </c>
      <c r="L98" s="95">
        <v>31</v>
      </c>
      <c r="M98" s="94"/>
      <c r="N98" s="96">
        <v>400000</v>
      </c>
      <c r="O98" s="95">
        <v>12903</v>
      </c>
      <c r="P98" s="95">
        <v>1</v>
      </c>
      <c r="Q98" s="94" t="s">
        <v>383</v>
      </c>
      <c r="R98" s="95">
        <v>3</v>
      </c>
      <c r="S98" s="95">
        <v>90</v>
      </c>
      <c r="T98" s="95">
        <v>0</v>
      </c>
      <c r="U98" s="95">
        <v>0</v>
      </c>
      <c r="V98" s="95">
        <v>525</v>
      </c>
      <c r="W98" s="95">
        <v>2829</v>
      </c>
      <c r="X98" s="97">
        <v>45062.375</v>
      </c>
      <c r="Y98" s="97">
        <v>45009.375</v>
      </c>
      <c r="Z98" s="97">
        <v>45044.375</v>
      </c>
      <c r="AA98" s="98"/>
    </row>
    <row r="99" spans="1:27" ht="15.75" hidden="1" customHeight="1">
      <c r="A99" s="94" t="s">
        <v>2847</v>
      </c>
      <c r="B99" s="94" t="s">
        <v>942</v>
      </c>
      <c r="C99" s="94" t="s">
        <v>69</v>
      </c>
      <c r="D99" s="95">
        <v>30000</v>
      </c>
      <c r="E99" s="94" t="s">
        <v>431</v>
      </c>
      <c r="F99" s="94" t="s">
        <v>433</v>
      </c>
      <c r="G99" s="95">
        <v>18</v>
      </c>
      <c r="H99" s="94" t="s">
        <v>439</v>
      </c>
      <c r="I99" s="94" t="s">
        <v>6671</v>
      </c>
      <c r="J99" s="94" t="s">
        <v>440</v>
      </c>
      <c r="K99" s="95">
        <v>60</v>
      </c>
      <c r="L99" s="94"/>
      <c r="M99" s="95">
        <v>2700</v>
      </c>
      <c r="N99" s="99" t="s">
        <v>435</v>
      </c>
      <c r="O99" s="94"/>
      <c r="P99" s="95">
        <v>1</v>
      </c>
      <c r="Q99" s="94" t="s">
        <v>436</v>
      </c>
      <c r="R99" s="95">
        <v>0</v>
      </c>
      <c r="S99" s="95">
        <v>0</v>
      </c>
      <c r="T99" s="95">
        <v>667</v>
      </c>
      <c r="U99" s="95">
        <v>134</v>
      </c>
      <c r="V99" s="95">
        <v>2304</v>
      </c>
      <c r="W99" s="95">
        <v>2829</v>
      </c>
      <c r="X99" s="97">
        <v>45062.375</v>
      </c>
      <c r="Y99" s="97">
        <v>45009.375</v>
      </c>
      <c r="Z99" s="97">
        <v>45044.375</v>
      </c>
      <c r="AA99" s="98"/>
    </row>
    <row r="100" spans="1:27" ht="15.75" hidden="1" customHeight="1">
      <c r="A100" s="94" t="s">
        <v>2847</v>
      </c>
      <c r="B100" s="94" t="s">
        <v>942</v>
      </c>
      <c r="C100" s="94" t="s">
        <v>69</v>
      </c>
      <c r="D100" s="95">
        <v>30000</v>
      </c>
      <c r="E100" s="94" t="s">
        <v>431</v>
      </c>
      <c r="F100" s="94" t="s">
        <v>433</v>
      </c>
      <c r="G100" s="95">
        <v>19</v>
      </c>
      <c r="H100" s="94" t="s">
        <v>368</v>
      </c>
      <c r="I100" s="94" t="s">
        <v>6236</v>
      </c>
      <c r="J100" s="94" t="s">
        <v>434</v>
      </c>
      <c r="K100" s="95">
        <v>60</v>
      </c>
      <c r="L100" s="94"/>
      <c r="M100" s="95">
        <v>1100</v>
      </c>
      <c r="N100" s="99" t="s">
        <v>435</v>
      </c>
      <c r="O100" s="94"/>
      <c r="P100" s="95">
        <v>2</v>
      </c>
      <c r="Q100" s="94" t="s">
        <v>436</v>
      </c>
      <c r="R100" s="95">
        <v>0</v>
      </c>
      <c r="S100" s="95">
        <v>0</v>
      </c>
      <c r="T100" s="95">
        <v>1637</v>
      </c>
      <c r="U100" s="95">
        <v>328</v>
      </c>
      <c r="V100" s="95">
        <v>2304</v>
      </c>
      <c r="W100" s="95">
        <v>2829</v>
      </c>
      <c r="X100" s="97">
        <v>45062.375</v>
      </c>
      <c r="Y100" s="97">
        <v>45009.375</v>
      </c>
      <c r="Z100" s="97">
        <v>45044.375</v>
      </c>
      <c r="AA100" s="98"/>
    </row>
    <row r="101" spans="1:27" ht="15.75" hidden="1" customHeight="1">
      <c r="A101" s="94" t="s">
        <v>3014</v>
      </c>
      <c r="B101" s="94" t="s">
        <v>471</v>
      </c>
      <c r="C101" s="94" t="s">
        <v>32</v>
      </c>
      <c r="D101" s="95">
        <v>10000</v>
      </c>
      <c r="E101" s="94" t="s">
        <v>442</v>
      </c>
      <c r="F101" s="94" t="s">
        <v>33</v>
      </c>
      <c r="G101" s="95">
        <v>10</v>
      </c>
      <c r="H101" s="94" t="s">
        <v>11</v>
      </c>
      <c r="I101" s="94" t="s">
        <v>7228</v>
      </c>
      <c r="J101" s="94" t="s">
        <v>426</v>
      </c>
      <c r="K101" s="95">
        <v>25</v>
      </c>
      <c r="L101" s="95">
        <v>4.9000000000000004</v>
      </c>
      <c r="M101" s="94"/>
      <c r="N101" s="95">
        <v>105000</v>
      </c>
      <c r="O101" s="95">
        <v>21428</v>
      </c>
      <c r="P101" s="95">
        <v>1</v>
      </c>
      <c r="Q101" s="94" t="s">
        <v>383</v>
      </c>
      <c r="R101" s="95">
        <v>1</v>
      </c>
      <c r="S101" s="95">
        <v>25</v>
      </c>
      <c r="T101" s="95">
        <v>0</v>
      </c>
      <c r="U101" s="95">
        <v>0</v>
      </c>
      <c r="V101" s="95">
        <v>110</v>
      </c>
      <c r="W101" s="95">
        <v>1085</v>
      </c>
      <c r="X101" s="97">
        <v>45054.375</v>
      </c>
      <c r="Y101" s="97">
        <v>44993.375</v>
      </c>
      <c r="Z101" s="97">
        <v>45030.375</v>
      </c>
      <c r="AA101" s="98"/>
    </row>
    <row r="102" spans="1:27" ht="15.75" hidden="1" customHeight="1">
      <c r="A102" s="94" t="s">
        <v>3014</v>
      </c>
      <c r="B102" s="94" t="s">
        <v>471</v>
      </c>
      <c r="C102" s="94" t="s">
        <v>32</v>
      </c>
      <c r="D102" s="95">
        <v>10000</v>
      </c>
      <c r="E102" s="94" t="s">
        <v>442</v>
      </c>
      <c r="F102" s="94" t="s">
        <v>33</v>
      </c>
      <c r="G102" s="95">
        <v>11</v>
      </c>
      <c r="H102" s="94" t="s">
        <v>12</v>
      </c>
      <c r="I102" s="94" t="s">
        <v>6923</v>
      </c>
      <c r="J102" s="94" t="s">
        <v>444</v>
      </c>
      <c r="K102" s="95">
        <v>70</v>
      </c>
      <c r="L102" s="95">
        <v>4.9000000000000004</v>
      </c>
      <c r="M102" s="94"/>
      <c r="N102" s="95">
        <v>105000</v>
      </c>
      <c r="O102" s="95">
        <v>21428</v>
      </c>
      <c r="P102" s="95">
        <v>1</v>
      </c>
      <c r="Q102" s="94" t="s">
        <v>383</v>
      </c>
      <c r="R102" s="95">
        <v>1</v>
      </c>
      <c r="S102" s="95">
        <v>70</v>
      </c>
      <c r="T102" s="95">
        <v>0</v>
      </c>
      <c r="U102" s="95">
        <v>0</v>
      </c>
      <c r="V102" s="95">
        <v>110</v>
      </c>
      <c r="W102" s="95">
        <v>1085</v>
      </c>
      <c r="X102" s="97">
        <v>45054.375</v>
      </c>
      <c r="Y102" s="97">
        <v>44993.375</v>
      </c>
      <c r="Z102" s="97">
        <v>45030.375</v>
      </c>
      <c r="AA102" s="98"/>
    </row>
    <row r="103" spans="1:27" ht="15.75" hidden="1" customHeight="1">
      <c r="A103" s="94" t="s">
        <v>3014</v>
      </c>
      <c r="B103" s="94" t="s">
        <v>471</v>
      </c>
      <c r="C103" s="94" t="s">
        <v>32</v>
      </c>
      <c r="D103" s="95">
        <v>10000</v>
      </c>
      <c r="E103" s="94" t="s">
        <v>442</v>
      </c>
      <c r="F103" s="94" t="s">
        <v>33</v>
      </c>
      <c r="G103" s="95">
        <v>12</v>
      </c>
      <c r="H103" s="94" t="s">
        <v>13</v>
      </c>
      <c r="I103" s="94" t="s">
        <v>6923</v>
      </c>
      <c r="J103" s="94" t="s">
        <v>444</v>
      </c>
      <c r="K103" s="95">
        <v>15</v>
      </c>
      <c r="L103" s="95">
        <v>4.9000000000000004</v>
      </c>
      <c r="M103" s="94"/>
      <c r="N103" s="95">
        <v>105000</v>
      </c>
      <c r="O103" s="95">
        <v>21428</v>
      </c>
      <c r="P103" s="95">
        <v>1</v>
      </c>
      <c r="Q103" s="94" t="s">
        <v>383</v>
      </c>
      <c r="R103" s="95">
        <v>1</v>
      </c>
      <c r="S103" s="95">
        <v>15</v>
      </c>
      <c r="T103" s="95">
        <v>0</v>
      </c>
      <c r="U103" s="95">
        <v>0</v>
      </c>
      <c r="V103" s="95">
        <v>110</v>
      </c>
      <c r="W103" s="95">
        <v>1085</v>
      </c>
      <c r="X103" s="97">
        <v>45054.375</v>
      </c>
      <c r="Y103" s="97">
        <v>44993.375</v>
      </c>
      <c r="Z103" s="97">
        <v>45030.375</v>
      </c>
      <c r="AA103" s="98"/>
    </row>
    <row r="104" spans="1:27" ht="15.75" hidden="1" customHeight="1">
      <c r="A104" s="94" t="s">
        <v>3014</v>
      </c>
      <c r="B104" s="94" t="s">
        <v>471</v>
      </c>
      <c r="C104" s="94" t="s">
        <v>32</v>
      </c>
      <c r="D104" s="95">
        <v>10000</v>
      </c>
      <c r="E104" s="94" t="s">
        <v>431</v>
      </c>
      <c r="F104" s="94" t="s">
        <v>433</v>
      </c>
      <c r="G104" s="95">
        <v>18</v>
      </c>
      <c r="H104" s="94" t="s">
        <v>439</v>
      </c>
      <c r="I104" s="94" t="s">
        <v>6671</v>
      </c>
      <c r="J104" s="94" t="s">
        <v>440</v>
      </c>
      <c r="K104" s="95">
        <v>60</v>
      </c>
      <c r="L104" s="94"/>
      <c r="M104" s="95">
        <v>1600</v>
      </c>
      <c r="N104" s="99" t="s">
        <v>435</v>
      </c>
      <c r="O104" s="94"/>
      <c r="P104" s="95">
        <v>1</v>
      </c>
      <c r="Q104" s="94" t="s">
        <v>436</v>
      </c>
      <c r="R104" s="95">
        <v>0</v>
      </c>
      <c r="S104" s="95">
        <v>0</v>
      </c>
      <c r="T104" s="95">
        <v>375</v>
      </c>
      <c r="U104" s="95">
        <v>75</v>
      </c>
      <c r="V104" s="95">
        <v>975</v>
      </c>
      <c r="W104" s="95">
        <v>1085</v>
      </c>
      <c r="X104" s="97">
        <v>45054.375</v>
      </c>
      <c r="Y104" s="97">
        <v>44993.375</v>
      </c>
      <c r="Z104" s="97">
        <v>45030.375</v>
      </c>
      <c r="AA104" s="98"/>
    </row>
    <row r="105" spans="1:27" ht="15.75" hidden="1" customHeight="1">
      <c r="A105" s="94" t="s">
        <v>3014</v>
      </c>
      <c r="B105" s="94" t="s">
        <v>471</v>
      </c>
      <c r="C105" s="94" t="s">
        <v>32</v>
      </c>
      <c r="D105" s="95">
        <v>10000</v>
      </c>
      <c r="E105" s="94" t="s">
        <v>431</v>
      </c>
      <c r="F105" s="94" t="s">
        <v>433</v>
      </c>
      <c r="G105" s="95">
        <v>19</v>
      </c>
      <c r="H105" s="94" t="s">
        <v>368</v>
      </c>
      <c r="I105" s="94" t="s">
        <v>6236</v>
      </c>
      <c r="J105" s="94" t="s">
        <v>434</v>
      </c>
      <c r="K105" s="95">
        <v>60</v>
      </c>
      <c r="L105" s="94"/>
      <c r="M105" s="95">
        <v>1000</v>
      </c>
      <c r="N105" s="99" t="s">
        <v>435</v>
      </c>
      <c r="O105" s="94"/>
      <c r="P105" s="95">
        <v>4</v>
      </c>
      <c r="Q105" s="94" t="s">
        <v>436</v>
      </c>
      <c r="R105" s="95">
        <v>0</v>
      </c>
      <c r="S105" s="95">
        <v>0</v>
      </c>
      <c r="T105" s="95">
        <v>600</v>
      </c>
      <c r="U105" s="95">
        <v>120</v>
      </c>
      <c r="V105" s="95">
        <v>975</v>
      </c>
      <c r="W105" s="95">
        <v>1085</v>
      </c>
      <c r="X105" s="97">
        <v>45054.375</v>
      </c>
      <c r="Y105" s="97">
        <v>44993.375</v>
      </c>
      <c r="Z105" s="97">
        <v>45030.375</v>
      </c>
      <c r="AA105" s="98"/>
    </row>
    <row r="106" spans="1:27" ht="15.75" hidden="1" customHeight="1">
      <c r="A106" s="94" t="s">
        <v>2846</v>
      </c>
      <c r="B106" s="94" t="s">
        <v>470</v>
      </c>
      <c r="C106" s="94" t="s">
        <v>88</v>
      </c>
      <c r="D106" s="95">
        <v>5000</v>
      </c>
      <c r="E106" s="94" t="s">
        <v>442</v>
      </c>
      <c r="F106" s="94" t="s">
        <v>40</v>
      </c>
      <c r="G106" s="95">
        <v>1</v>
      </c>
      <c r="H106" s="94" t="s">
        <v>11</v>
      </c>
      <c r="I106" s="94" t="s">
        <v>7228</v>
      </c>
      <c r="J106" s="94" t="s">
        <v>426</v>
      </c>
      <c r="K106" s="95">
        <v>25</v>
      </c>
      <c r="L106" s="95">
        <v>30.6</v>
      </c>
      <c r="M106" s="94"/>
      <c r="N106" s="96">
        <v>170000</v>
      </c>
      <c r="O106" s="95">
        <v>5555</v>
      </c>
      <c r="P106" s="95">
        <v>1</v>
      </c>
      <c r="Q106" s="94" t="s">
        <v>383</v>
      </c>
      <c r="R106" s="95">
        <v>1</v>
      </c>
      <c r="S106" s="95">
        <v>25</v>
      </c>
      <c r="T106" s="95">
        <v>0</v>
      </c>
      <c r="U106" s="95">
        <v>0</v>
      </c>
      <c r="V106" s="95">
        <v>125</v>
      </c>
      <c r="W106" s="95">
        <v>513</v>
      </c>
      <c r="X106" s="97">
        <v>45050.375</v>
      </c>
      <c r="Y106" s="97">
        <v>44993.375</v>
      </c>
      <c r="Z106" s="97">
        <v>45044.375</v>
      </c>
      <c r="AA106" s="98"/>
    </row>
    <row r="107" spans="1:27" ht="15.75" hidden="1" customHeight="1">
      <c r="A107" s="94" t="s">
        <v>2846</v>
      </c>
      <c r="B107" s="94" t="s">
        <v>470</v>
      </c>
      <c r="C107" s="94" t="s">
        <v>88</v>
      </c>
      <c r="D107" s="95">
        <v>5000</v>
      </c>
      <c r="E107" s="94" t="s">
        <v>442</v>
      </c>
      <c r="F107" s="94" t="s">
        <v>40</v>
      </c>
      <c r="G107" s="95">
        <v>2</v>
      </c>
      <c r="H107" s="94" t="s">
        <v>12</v>
      </c>
      <c r="I107" s="94" t="s">
        <v>6923</v>
      </c>
      <c r="J107" s="94" t="s">
        <v>449</v>
      </c>
      <c r="K107" s="95">
        <v>70</v>
      </c>
      <c r="L107" s="95">
        <v>30.6</v>
      </c>
      <c r="M107" s="94"/>
      <c r="N107" s="96">
        <v>170000</v>
      </c>
      <c r="O107" s="95">
        <v>5555</v>
      </c>
      <c r="P107" s="95">
        <v>1</v>
      </c>
      <c r="Q107" s="94" t="s">
        <v>383</v>
      </c>
      <c r="R107" s="95">
        <v>1</v>
      </c>
      <c r="S107" s="95">
        <v>70</v>
      </c>
      <c r="T107" s="95">
        <v>0</v>
      </c>
      <c r="U107" s="95">
        <v>0</v>
      </c>
      <c r="V107" s="95">
        <v>125</v>
      </c>
      <c r="W107" s="95">
        <v>513</v>
      </c>
      <c r="X107" s="97">
        <v>45050.375</v>
      </c>
      <c r="Y107" s="97">
        <v>44993.375</v>
      </c>
      <c r="Z107" s="97">
        <v>45044.375</v>
      </c>
      <c r="AA107" s="98"/>
    </row>
    <row r="108" spans="1:27" ht="15.75" hidden="1" customHeight="1">
      <c r="A108" s="94" t="s">
        <v>2846</v>
      </c>
      <c r="B108" s="94" t="s">
        <v>470</v>
      </c>
      <c r="C108" s="94" t="s">
        <v>88</v>
      </c>
      <c r="D108" s="95">
        <v>5000</v>
      </c>
      <c r="E108" s="94" t="s">
        <v>442</v>
      </c>
      <c r="F108" s="94" t="s">
        <v>40</v>
      </c>
      <c r="G108" s="95">
        <v>3</v>
      </c>
      <c r="H108" s="94" t="s">
        <v>13</v>
      </c>
      <c r="I108" s="94" t="s">
        <v>6923</v>
      </c>
      <c r="J108" s="94" t="s">
        <v>449</v>
      </c>
      <c r="K108" s="95">
        <v>30</v>
      </c>
      <c r="L108" s="95">
        <v>30.6</v>
      </c>
      <c r="M108" s="94"/>
      <c r="N108" s="96">
        <v>170000</v>
      </c>
      <c r="O108" s="95">
        <v>5555</v>
      </c>
      <c r="P108" s="95">
        <v>1</v>
      </c>
      <c r="Q108" s="94" t="s">
        <v>383</v>
      </c>
      <c r="R108" s="95">
        <v>1</v>
      </c>
      <c r="S108" s="95">
        <v>30</v>
      </c>
      <c r="T108" s="95">
        <v>0</v>
      </c>
      <c r="U108" s="95">
        <v>0</v>
      </c>
      <c r="V108" s="95">
        <v>125</v>
      </c>
      <c r="W108" s="95">
        <v>513</v>
      </c>
      <c r="X108" s="97">
        <v>45050.375</v>
      </c>
      <c r="Y108" s="97">
        <v>44993.375</v>
      </c>
      <c r="Z108" s="97">
        <v>45044.375</v>
      </c>
      <c r="AA108" s="98"/>
    </row>
    <row r="109" spans="1:27" ht="15.75" hidden="1" customHeight="1">
      <c r="A109" s="94" t="s">
        <v>2846</v>
      </c>
      <c r="B109" s="94" t="s">
        <v>470</v>
      </c>
      <c r="C109" s="94" t="s">
        <v>88</v>
      </c>
      <c r="D109" s="95">
        <v>5000</v>
      </c>
      <c r="E109" s="94" t="s">
        <v>431</v>
      </c>
      <c r="F109" s="94" t="s">
        <v>433</v>
      </c>
      <c r="G109" s="95">
        <v>18</v>
      </c>
      <c r="H109" s="94" t="s">
        <v>439</v>
      </c>
      <c r="I109" s="94" t="s">
        <v>6671</v>
      </c>
      <c r="J109" s="94" t="s">
        <v>440</v>
      </c>
      <c r="K109" s="95">
        <v>60</v>
      </c>
      <c r="L109" s="94"/>
      <c r="M109" s="95">
        <v>1600</v>
      </c>
      <c r="N109" s="99" t="s">
        <v>435</v>
      </c>
      <c r="O109" s="94"/>
      <c r="P109" s="95">
        <v>1</v>
      </c>
      <c r="Q109" s="94" t="s">
        <v>436</v>
      </c>
      <c r="R109" s="95">
        <v>0</v>
      </c>
      <c r="S109" s="95">
        <v>0</v>
      </c>
      <c r="T109" s="95">
        <v>188</v>
      </c>
      <c r="U109" s="95">
        <v>38</v>
      </c>
      <c r="V109" s="95">
        <v>388</v>
      </c>
      <c r="W109" s="95">
        <v>513</v>
      </c>
      <c r="X109" s="97">
        <v>45050.375</v>
      </c>
      <c r="Y109" s="97">
        <v>44993.375</v>
      </c>
      <c r="Z109" s="97">
        <v>45044.375</v>
      </c>
      <c r="AA109" s="98"/>
    </row>
    <row r="110" spans="1:27" ht="15.75" hidden="1" customHeight="1">
      <c r="A110" s="94" t="s">
        <v>2846</v>
      </c>
      <c r="B110" s="94" t="s">
        <v>470</v>
      </c>
      <c r="C110" s="94" t="s">
        <v>88</v>
      </c>
      <c r="D110" s="95">
        <v>5000</v>
      </c>
      <c r="E110" s="94" t="s">
        <v>431</v>
      </c>
      <c r="F110" s="94" t="s">
        <v>433</v>
      </c>
      <c r="G110" s="95">
        <v>19</v>
      </c>
      <c r="H110" s="94" t="s">
        <v>368</v>
      </c>
      <c r="I110" s="94" t="s">
        <v>6236</v>
      </c>
      <c r="J110" s="94" t="s">
        <v>434</v>
      </c>
      <c r="K110" s="95">
        <v>60</v>
      </c>
      <c r="L110" s="94"/>
      <c r="M110" s="95">
        <v>1500</v>
      </c>
      <c r="N110" s="99" t="s">
        <v>435</v>
      </c>
      <c r="O110" s="94"/>
      <c r="P110" s="95">
        <v>3</v>
      </c>
      <c r="Q110" s="94" t="s">
        <v>436</v>
      </c>
      <c r="R110" s="95">
        <v>0</v>
      </c>
      <c r="S110" s="95">
        <v>0</v>
      </c>
      <c r="T110" s="95">
        <v>200</v>
      </c>
      <c r="U110" s="95">
        <v>40</v>
      </c>
      <c r="V110" s="95">
        <v>388</v>
      </c>
      <c r="W110" s="95">
        <v>513</v>
      </c>
      <c r="X110" s="97">
        <v>45050.375</v>
      </c>
      <c r="Y110" s="97">
        <v>44993.375</v>
      </c>
      <c r="Z110" s="97">
        <v>45044.375</v>
      </c>
      <c r="AA110" s="98"/>
    </row>
    <row r="111" spans="1:27" ht="15.75" hidden="1" customHeight="1">
      <c r="A111" s="94" t="s">
        <v>2934</v>
      </c>
      <c r="B111" s="94" t="s">
        <v>445</v>
      </c>
      <c r="C111" s="94" t="s">
        <v>77</v>
      </c>
      <c r="D111" s="95">
        <v>10000</v>
      </c>
      <c r="E111" s="94" t="s">
        <v>442</v>
      </c>
      <c r="F111" s="94" t="s">
        <v>33</v>
      </c>
      <c r="G111" s="95">
        <v>10</v>
      </c>
      <c r="H111" s="94" t="s">
        <v>11</v>
      </c>
      <c r="I111" s="94" t="s">
        <v>7228</v>
      </c>
      <c r="J111" s="94" t="s">
        <v>426</v>
      </c>
      <c r="K111" s="95">
        <v>25</v>
      </c>
      <c r="L111" s="95">
        <v>30.2</v>
      </c>
      <c r="M111" s="94"/>
      <c r="N111" s="96">
        <v>103000</v>
      </c>
      <c r="O111" s="95">
        <v>3410</v>
      </c>
      <c r="P111" s="95">
        <v>1</v>
      </c>
      <c r="Q111" s="94" t="s">
        <v>383</v>
      </c>
      <c r="R111" s="95">
        <v>3</v>
      </c>
      <c r="S111" s="95">
        <v>75</v>
      </c>
      <c r="T111" s="95">
        <v>0</v>
      </c>
      <c r="U111" s="95">
        <v>0</v>
      </c>
      <c r="V111" s="95">
        <v>465</v>
      </c>
      <c r="W111" s="95">
        <v>1386</v>
      </c>
      <c r="X111" s="97">
        <v>45055.375</v>
      </c>
      <c r="Y111" s="97">
        <v>45028.375</v>
      </c>
      <c r="Z111" s="97">
        <v>45037.375</v>
      </c>
      <c r="AA111" s="98"/>
    </row>
    <row r="112" spans="1:27" ht="15.75" hidden="1" customHeight="1">
      <c r="A112" s="94" t="s">
        <v>2934</v>
      </c>
      <c r="B112" s="94" t="s">
        <v>445</v>
      </c>
      <c r="C112" s="94" t="s">
        <v>77</v>
      </c>
      <c r="D112" s="95">
        <v>10000</v>
      </c>
      <c r="E112" s="94" t="s">
        <v>442</v>
      </c>
      <c r="F112" s="94" t="s">
        <v>33</v>
      </c>
      <c r="G112" s="95">
        <v>11</v>
      </c>
      <c r="H112" s="94" t="s">
        <v>12</v>
      </c>
      <c r="I112" s="94" t="s">
        <v>6923</v>
      </c>
      <c r="J112" s="94" t="s">
        <v>444</v>
      </c>
      <c r="K112" s="95">
        <v>110</v>
      </c>
      <c r="L112" s="95">
        <v>30.2</v>
      </c>
      <c r="M112" s="94"/>
      <c r="N112" s="95">
        <v>103000</v>
      </c>
      <c r="O112" s="95">
        <v>3410</v>
      </c>
      <c r="P112" s="95">
        <v>1</v>
      </c>
      <c r="Q112" s="94" t="s">
        <v>383</v>
      </c>
      <c r="R112" s="95">
        <v>3</v>
      </c>
      <c r="S112" s="95">
        <v>330</v>
      </c>
      <c r="T112" s="95">
        <v>0</v>
      </c>
      <c r="U112" s="95">
        <v>0</v>
      </c>
      <c r="V112" s="95">
        <v>465</v>
      </c>
      <c r="W112" s="95">
        <v>1386</v>
      </c>
      <c r="X112" s="97">
        <v>45055.375</v>
      </c>
      <c r="Y112" s="97">
        <v>45028.375</v>
      </c>
      <c r="Z112" s="97">
        <v>45037.375</v>
      </c>
      <c r="AA112" s="98"/>
    </row>
    <row r="113" spans="1:27" ht="15.75" hidden="1" customHeight="1">
      <c r="A113" s="94" t="s">
        <v>2934</v>
      </c>
      <c r="B113" s="94" t="s">
        <v>445</v>
      </c>
      <c r="C113" s="94" t="s">
        <v>77</v>
      </c>
      <c r="D113" s="95">
        <v>10000</v>
      </c>
      <c r="E113" s="94" t="s">
        <v>442</v>
      </c>
      <c r="F113" s="94" t="s">
        <v>33</v>
      </c>
      <c r="G113" s="95">
        <v>12</v>
      </c>
      <c r="H113" s="94" t="s">
        <v>13</v>
      </c>
      <c r="I113" s="94" t="s">
        <v>6923</v>
      </c>
      <c r="J113" s="94" t="s">
        <v>444</v>
      </c>
      <c r="K113" s="95">
        <v>20</v>
      </c>
      <c r="L113" s="95">
        <v>30.2</v>
      </c>
      <c r="M113" s="94"/>
      <c r="N113" s="95">
        <v>103000</v>
      </c>
      <c r="O113" s="95">
        <v>3410</v>
      </c>
      <c r="P113" s="95">
        <v>1</v>
      </c>
      <c r="Q113" s="94" t="s">
        <v>383</v>
      </c>
      <c r="R113" s="95">
        <v>3</v>
      </c>
      <c r="S113" s="95">
        <v>60</v>
      </c>
      <c r="T113" s="95">
        <v>0</v>
      </c>
      <c r="U113" s="95">
        <v>0</v>
      </c>
      <c r="V113" s="95">
        <v>465</v>
      </c>
      <c r="W113" s="95">
        <v>1386</v>
      </c>
      <c r="X113" s="97">
        <v>45055.375</v>
      </c>
      <c r="Y113" s="97">
        <v>45028.375</v>
      </c>
      <c r="Z113" s="97">
        <v>45037.375</v>
      </c>
      <c r="AA113" s="98"/>
    </row>
    <row r="114" spans="1:27" ht="15.75" hidden="1" customHeight="1">
      <c r="A114" s="94" t="s">
        <v>2934</v>
      </c>
      <c r="B114" s="94" t="s">
        <v>445</v>
      </c>
      <c r="C114" s="94" t="s">
        <v>77</v>
      </c>
      <c r="D114" s="95">
        <v>10000</v>
      </c>
      <c r="E114" s="94" t="s">
        <v>431</v>
      </c>
      <c r="F114" s="94" t="s">
        <v>433</v>
      </c>
      <c r="G114" s="95">
        <v>18</v>
      </c>
      <c r="H114" s="94" t="s">
        <v>439</v>
      </c>
      <c r="I114" s="94" t="s">
        <v>6671</v>
      </c>
      <c r="J114" s="94" t="s">
        <v>440</v>
      </c>
      <c r="K114" s="95">
        <v>60</v>
      </c>
      <c r="L114" s="94"/>
      <c r="M114" s="95">
        <v>1600</v>
      </c>
      <c r="N114" s="94" t="s">
        <v>435</v>
      </c>
      <c r="O114" s="94"/>
      <c r="P114" s="95">
        <v>1</v>
      </c>
      <c r="Q114" s="94" t="s">
        <v>436</v>
      </c>
      <c r="R114" s="95">
        <v>0</v>
      </c>
      <c r="S114" s="95">
        <v>0</v>
      </c>
      <c r="T114" s="95">
        <v>375</v>
      </c>
      <c r="U114" s="95">
        <v>75</v>
      </c>
      <c r="V114" s="95">
        <v>921</v>
      </c>
      <c r="W114" s="95">
        <v>1386</v>
      </c>
      <c r="X114" s="97">
        <v>45055.375</v>
      </c>
      <c r="Y114" s="97">
        <v>45028.375</v>
      </c>
      <c r="Z114" s="97">
        <v>45037.375</v>
      </c>
      <c r="AA114" s="98"/>
    </row>
    <row r="115" spans="1:27" ht="15.75" hidden="1" customHeight="1">
      <c r="A115" s="94" t="s">
        <v>2934</v>
      </c>
      <c r="B115" s="94" t="s">
        <v>445</v>
      </c>
      <c r="C115" s="94" t="s">
        <v>77</v>
      </c>
      <c r="D115" s="95">
        <v>10000</v>
      </c>
      <c r="E115" s="94" t="s">
        <v>431</v>
      </c>
      <c r="F115" s="94" t="s">
        <v>433</v>
      </c>
      <c r="G115" s="95">
        <v>19</v>
      </c>
      <c r="H115" s="94" t="s">
        <v>368</v>
      </c>
      <c r="I115" s="94" t="s">
        <v>6236</v>
      </c>
      <c r="J115" s="94" t="s">
        <v>434</v>
      </c>
      <c r="K115" s="95">
        <v>60</v>
      </c>
      <c r="L115" s="94"/>
      <c r="M115" s="95">
        <v>1100</v>
      </c>
      <c r="N115" s="99" t="s">
        <v>435</v>
      </c>
      <c r="O115" s="94"/>
      <c r="P115" s="95">
        <v>4</v>
      </c>
      <c r="Q115" s="94" t="s">
        <v>436</v>
      </c>
      <c r="R115" s="95">
        <v>0</v>
      </c>
      <c r="S115" s="95">
        <v>0</v>
      </c>
      <c r="T115" s="95">
        <v>546</v>
      </c>
      <c r="U115" s="95">
        <v>110</v>
      </c>
      <c r="V115" s="95">
        <v>921</v>
      </c>
      <c r="W115" s="95">
        <v>1386</v>
      </c>
      <c r="X115" s="97">
        <v>45055.375</v>
      </c>
      <c r="Y115" s="97">
        <v>45028.375</v>
      </c>
      <c r="Z115" s="97">
        <v>45037.375</v>
      </c>
      <c r="AA115" s="98"/>
    </row>
    <row r="116" spans="1:27" ht="15.75" hidden="1" customHeight="1">
      <c r="A116" s="94" t="s">
        <v>3025</v>
      </c>
      <c r="B116" s="94" t="s">
        <v>888</v>
      </c>
      <c r="C116" s="94" t="s">
        <v>100</v>
      </c>
      <c r="D116" s="95">
        <v>3000</v>
      </c>
      <c r="E116" s="94" t="s">
        <v>442</v>
      </c>
      <c r="F116" s="94" t="s">
        <v>33</v>
      </c>
      <c r="G116" s="95">
        <v>11</v>
      </c>
      <c r="H116" s="94" t="s">
        <v>12</v>
      </c>
      <c r="I116" s="94" t="s">
        <v>6923</v>
      </c>
      <c r="J116" s="94" t="s">
        <v>444</v>
      </c>
      <c r="K116" s="95">
        <v>160</v>
      </c>
      <c r="L116" s="95">
        <v>31.7</v>
      </c>
      <c r="M116" s="94"/>
      <c r="N116" s="96">
        <v>100000</v>
      </c>
      <c r="O116" s="95">
        <v>3154</v>
      </c>
      <c r="P116" s="95">
        <v>1</v>
      </c>
      <c r="Q116" s="94" t="s">
        <v>383</v>
      </c>
      <c r="R116" s="95">
        <v>1</v>
      </c>
      <c r="S116" s="95">
        <v>160</v>
      </c>
      <c r="T116" s="95">
        <v>0</v>
      </c>
      <c r="U116" s="95">
        <v>0</v>
      </c>
      <c r="V116" s="95">
        <v>190</v>
      </c>
      <c r="W116" s="95">
        <v>688</v>
      </c>
      <c r="X116" s="97">
        <v>45056.375</v>
      </c>
      <c r="Y116" s="97">
        <v>45027.375</v>
      </c>
      <c r="Z116" s="97">
        <v>45027.375</v>
      </c>
      <c r="AA116" s="98"/>
    </row>
    <row r="117" spans="1:27" ht="15.75" hidden="1" customHeight="1">
      <c r="A117" s="94" t="s">
        <v>3025</v>
      </c>
      <c r="B117" s="94" t="s">
        <v>888</v>
      </c>
      <c r="C117" s="94" t="s">
        <v>100</v>
      </c>
      <c r="D117" s="95">
        <v>3000</v>
      </c>
      <c r="E117" s="94" t="s">
        <v>442</v>
      </c>
      <c r="F117" s="94" t="s">
        <v>33</v>
      </c>
      <c r="G117" s="95">
        <v>12</v>
      </c>
      <c r="H117" s="94" t="s">
        <v>13</v>
      </c>
      <c r="I117" s="94" t="s">
        <v>6923</v>
      </c>
      <c r="J117" s="94" t="s">
        <v>444</v>
      </c>
      <c r="K117" s="95">
        <v>30</v>
      </c>
      <c r="L117" s="95">
        <v>31.7</v>
      </c>
      <c r="M117" s="94"/>
      <c r="N117" s="96">
        <v>100000</v>
      </c>
      <c r="O117" s="95">
        <v>3154</v>
      </c>
      <c r="P117" s="95">
        <v>1</v>
      </c>
      <c r="Q117" s="94" t="s">
        <v>383</v>
      </c>
      <c r="R117" s="95">
        <v>1</v>
      </c>
      <c r="S117" s="95">
        <v>30</v>
      </c>
      <c r="T117" s="95">
        <v>0</v>
      </c>
      <c r="U117" s="95">
        <v>0</v>
      </c>
      <c r="V117" s="95">
        <v>190</v>
      </c>
      <c r="W117" s="95">
        <v>688</v>
      </c>
      <c r="X117" s="97">
        <v>45056.375</v>
      </c>
      <c r="Y117" s="97">
        <v>45027.375</v>
      </c>
      <c r="Z117" s="97">
        <v>45027.375</v>
      </c>
      <c r="AA117" s="98"/>
    </row>
    <row r="118" spans="1:27" ht="15.75" hidden="1" customHeight="1">
      <c r="A118" s="94" t="s">
        <v>3025</v>
      </c>
      <c r="B118" s="94" t="s">
        <v>888</v>
      </c>
      <c r="C118" s="94" t="s">
        <v>100</v>
      </c>
      <c r="D118" s="95">
        <v>3000</v>
      </c>
      <c r="E118" s="94" t="s">
        <v>431</v>
      </c>
      <c r="F118" s="94" t="s">
        <v>433</v>
      </c>
      <c r="G118" s="95">
        <v>18</v>
      </c>
      <c r="H118" s="94" t="s">
        <v>439</v>
      </c>
      <c r="I118" s="94" t="s">
        <v>6671</v>
      </c>
      <c r="J118" s="94" t="s">
        <v>440</v>
      </c>
      <c r="K118" s="95">
        <v>60</v>
      </c>
      <c r="L118" s="94"/>
      <c r="M118" s="95">
        <v>660</v>
      </c>
      <c r="N118" s="94" t="s">
        <v>435</v>
      </c>
      <c r="O118" s="94"/>
      <c r="P118" s="95">
        <v>1</v>
      </c>
      <c r="Q118" s="94" t="s">
        <v>436</v>
      </c>
      <c r="R118" s="95">
        <v>0</v>
      </c>
      <c r="S118" s="95">
        <v>0</v>
      </c>
      <c r="T118" s="95">
        <v>273</v>
      </c>
      <c r="U118" s="95">
        <v>55</v>
      </c>
      <c r="V118" s="95">
        <v>498</v>
      </c>
      <c r="W118" s="95">
        <v>688</v>
      </c>
      <c r="X118" s="97">
        <v>45056.375</v>
      </c>
      <c r="Y118" s="97">
        <v>45027.375</v>
      </c>
      <c r="Z118" s="97">
        <v>45027.375</v>
      </c>
      <c r="AA118" s="98"/>
    </row>
    <row r="119" spans="1:27" ht="15.75" hidden="1" customHeight="1">
      <c r="A119" s="94" t="s">
        <v>3025</v>
      </c>
      <c r="B119" s="94" t="s">
        <v>888</v>
      </c>
      <c r="C119" s="94" t="s">
        <v>100</v>
      </c>
      <c r="D119" s="95">
        <v>3000</v>
      </c>
      <c r="E119" s="94" t="s">
        <v>431</v>
      </c>
      <c r="F119" s="94" t="s">
        <v>433</v>
      </c>
      <c r="G119" s="95">
        <v>19</v>
      </c>
      <c r="H119" s="94" t="s">
        <v>368</v>
      </c>
      <c r="I119" s="94" t="s">
        <v>6236</v>
      </c>
      <c r="J119" s="94" t="s">
        <v>434</v>
      </c>
      <c r="K119" s="95">
        <v>60</v>
      </c>
      <c r="L119" s="94"/>
      <c r="M119" s="95">
        <v>800</v>
      </c>
      <c r="N119" s="99" t="s">
        <v>435</v>
      </c>
      <c r="O119" s="94"/>
      <c r="P119" s="95">
        <v>4</v>
      </c>
      <c r="Q119" s="94" t="s">
        <v>436</v>
      </c>
      <c r="R119" s="95">
        <v>0</v>
      </c>
      <c r="S119" s="95">
        <v>0</v>
      </c>
      <c r="T119" s="95">
        <v>225</v>
      </c>
      <c r="U119" s="95">
        <v>45</v>
      </c>
      <c r="V119" s="95">
        <v>498</v>
      </c>
      <c r="W119" s="95">
        <v>688</v>
      </c>
      <c r="X119" s="97">
        <v>45056.375</v>
      </c>
      <c r="Y119" s="97">
        <v>45027.375</v>
      </c>
      <c r="Z119" s="97">
        <v>45027.375</v>
      </c>
      <c r="AA119" s="98"/>
    </row>
    <row r="120" spans="1:27" ht="15.75" hidden="1" customHeight="1">
      <c r="A120" s="94" t="s">
        <v>2920</v>
      </c>
      <c r="B120" s="94" t="s">
        <v>767</v>
      </c>
      <c r="C120" s="94" t="s">
        <v>137</v>
      </c>
      <c r="D120" s="95">
        <v>2000</v>
      </c>
      <c r="E120" s="94" t="s">
        <v>442</v>
      </c>
      <c r="F120" s="94" t="s">
        <v>40</v>
      </c>
      <c r="G120" s="95">
        <v>1</v>
      </c>
      <c r="H120" s="94" t="s">
        <v>11</v>
      </c>
      <c r="I120" s="94" t="s">
        <v>7228</v>
      </c>
      <c r="J120" s="94" t="s">
        <v>426</v>
      </c>
      <c r="K120" s="95">
        <v>30</v>
      </c>
      <c r="L120" s="95">
        <v>120</v>
      </c>
      <c r="M120" s="94"/>
      <c r="N120" s="96">
        <v>248000</v>
      </c>
      <c r="O120" s="95">
        <v>2066</v>
      </c>
      <c r="P120" s="95">
        <v>1</v>
      </c>
      <c r="Q120" s="94" t="s">
        <v>383</v>
      </c>
      <c r="R120" s="95">
        <v>1</v>
      </c>
      <c r="S120" s="95">
        <v>30</v>
      </c>
      <c r="T120" s="95">
        <v>0</v>
      </c>
      <c r="U120" s="95">
        <v>0</v>
      </c>
      <c r="V120" s="95">
        <v>180</v>
      </c>
      <c r="W120" s="95">
        <v>653</v>
      </c>
      <c r="X120" s="97">
        <v>45072.375</v>
      </c>
      <c r="Y120" s="97">
        <v>45023.375</v>
      </c>
      <c r="Z120" s="97">
        <v>45065.375</v>
      </c>
      <c r="AA120" s="98"/>
    </row>
    <row r="121" spans="1:27" ht="15.75" hidden="1" customHeight="1">
      <c r="A121" s="94" t="s">
        <v>2920</v>
      </c>
      <c r="B121" s="94" t="s">
        <v>767</v>
      </c>
      <c r="C121" s="94" t="s">
        <v>137</v>
      </c>
      <c r="D121" s="95">
        <v>2000</v>
      </c>
      <c r="E121" s="94" t="s">
        <v>442</v>
      </c>
      <c r="F121" s="94" t="s">
        <v>40</v>
      </c>
      <c r="G121" s="95">
        <v>2</v>
      </c>
      <c r="H121" s="94" t="s">
        <v>12</v>
      </c>
      <c r="I121" s="94" t="s">
        <v>6923</v>
      </c>
      <c r="J121" s="94" t="s">
        <v>449</v>
      </c>
      <c r="K121" s="95">
        <v>120</v>
      </c>
      <c r="L121" s="95">
        <v>120</v>
      </c>
      <c r="M121" s="94"/>
      <c r="N121" s="96">
        <v>248000</v>
      </c>
      <c r="O121" s="95">
        <v>2066</v>
      </c>
      <c r="P121" s="95">
        <v>1</v>
      </c>
      <c r="Q121" s="94" t="s">
        <v>383</v>
      </c>
      <c r="R121" s="95">
        <v>1</v>
      </c>
      <c r="S121" s="95">
        <v>120</v>
      </c>
      <c r="T121" s="95">
        <v>0</v>
      </c>
      <c r="U121" s="95">
        <v>0</v>
      </c>
      <c r="V121" s="95">
        <v>180</v>
      </c>
      <c r="W121" s="95">
        <v>653</v>
      </c>
      <c r="X121" s="97">
        <v>45072.375</v>
      </c>
      <c r="Y121" s="97">
        <v>45023.375</v>
      </c>
      <c r="Z121" s="97">
        <v>45065.375</v>
      </c>
      <c r="AA121" s="98"/>
    </row>
    <row r="122" spans="1:27" ht="15.75" hidden="1" customHeight="1">
      <c r="A122" s="94" t="s">
        <v>2920</v>
      </c>
      <c r="B122" s="94" t="s">
        <v>767</v>
      </c>
      <c r="C122" s="94" t="s">
        <v>137</v>
      </c>
      <c r="D122" s="95">
        <v>2000</v>
      </c>
      <c r="E122" s="94" t="s">
        <v>442</v>
      </c>
      <c r="F122" s="94" t="s">
        <v>40</v>
      </c>
      <c r="G122" s="95">
        <v>3</v>
      </c>
      <c r="H122" s="94" t="s">
        <v>13</v>
      </c>
      <c r="I122" s="94" t="s">
        <v>6923</v>
      </c>
      <c r="J122" s="94" t="s">
        <v>449</v>
      </c>
      <c r="K122" s="95">
        <v>30</v>
      </c>
      <c r="L122" s="95">
        <v>120</v>
      </c>
      <c r="M122" s="94"/>
      <c r="N122" s="96">
        <v>248000</v>
      </c>
      <c r="O122" s="95">
        <v>2066</v>
      </c>
      <c r="P122" s="95">
        <v>1</v>
      </c>
      <c r="Q122" s="94" t="s">
        <v>383</v>
      </c>
      <c r="R122" s="95">
        <v>1</v>
      </c>
      <c r="S122" s="95">
        <v>30</v>
      </c>
      <c r="T122" s="95">
        <v>0</v>
      </c>
      <c r="U122" s="95">
        <v>0</v>
      </c>
      <c r="V122" s="95">
        <v>180</v>
      </c>
      <c r="W122" s="95">
        <v>653</v>
      </c>
      <c r="X122" s="97">
        <v>45072.375</v>
      </c>
      <c r="Y122" s="97">
        <v>45023.375</v>
      </c>
      <c r="Z122" s="97">
        <v>45065.375</v>
      </c>
      <c r="AA122" s="98"/>
    </row>
    <row r="123" spans="1:27" ht="15.75" hidden="1" customHeight="1">
      <c r="A123" s="94" t="s">
        <v>2920</v>
      </c>
      <c r="B123" s="94" t="s">
        <v>767</v>
      </c>
      <c r="C123" s="94" t="s">
        <v>137</v>
      </c>
      <c r="D123" s="95">
        <v>2000</v>
      </c>
      <c r="E123" s="94" t="s">
        <v>431</v>
      </c>
      <c r="F123" s="94" t="s">
        <v>433</v>
      </c>
      <c r="G123" s="95">
        <v>18</v>
      </c>
      <c r="H123" s="94" t="s">
        <v>439</v>
      </c>
      <c r="I123" s="94" t="s">
        <v>6671</v>
      </c>
      <c r="J123" s="94" t="s">
        <v>440</v>
      </c>
      <c r="K123" s="95">
        <v>60</v>
      </c>
      <c r="L123" s="94"/>
      <c r="M123" s="95">
        <v>440</v>
      </c>
      <c r="N123" s="94" t="s">
        <v>435</v>
      </c>
      <c r="O123" s="94"/>
      <c r="P123" s="95">
        <v>1</v>
      </c>
      <c r="Q123" s="94" t="s">
        <v>436</v>
      </c>
      <c r="R123" s="95">
        <v>0</v>
      </c>
      <c r="S123" s="95">
        <v>0</v>
      </c>
      <c r="T123" s="95">
        <v>273</v>
      </c>
      <c r="U123" s="95">
        <v>55</v>
      </c>
      <c r="V123" s="95">
        <v>473</v>
      </c>
      <c r="W123" s="95">
        <v>653</v>
      </c>
      <c r="X123" s="97">
        <v>45072.375</v>
      </c>
      <c r="Y123" s="97">
        <v>45023.375</v>
      </c>
      <c r="Z123" s="97">
        <v>45065.375</v>
      </c>
      <c r="AA123" s="98"/>
    </row>
    <row r="124" spans="1:27" ht="15.75" hidden="1" customHeight="1">
      <c r="A124" s="94" t="s">
        <v>2920</v>
      </c>
      <c r="B124" s="94" t="s">
        <v>767</v>
      </c>
      <c r="C124" s="94" t="s">
        <v>137</v>
      </c>
      <c r="D124" s="95">
        <v>2000</v>
      </c>
      <c r="E124" s="94" t="s">
        <v>431</v>
      </c>
      <c r="F124" s="94" t="s">
        <v>433</v>
      </c>
      <c r="G124" s="95">
        <v>19</v>
      </c>
      <c r="H124" s="94" t="s">
        <v>368</v>
      </c>
      <c r="I124" s="94" t="s">
        <v>6236</v>
      </c>
      <c r="J124" s="94" t="s">
        <v>434</v>
      </c>
      <c r="K124" s="95">
        <v>60</v>
      </c>
      <c r="L124" s="94"/>
      <c r="M124" s="95">
        <v>600</v>
      </c>
      <c r="N124" s="94" t="s">
        <v>435</v>
      </c>
      <c r="O124" s="94"/>
      <c r="P124" s="95">
        <v>4</v>
      </c>
      <c r="Q124" s="94" t="s">
        <v>436</v>
      </c>
      <c r="R124" s="95">
        <v>0</v>
      </c>
      <c r="S124" s="95">
        <v>0</v>
      </c>
      <c r="T124" s="95">
        <v>200</v>
      </c>
      <c r="U124" s="95">
        <v>40</v>
      </c>
      <c r="V124" s="95">
        <v>473</v>
      </c>
      <c r="W124" s="95">
        <v>653</v>
      </c>
      <c r="X124" s="97">
        <v>45072.375</v>
      </c>
      <c r="Y124" s="97">
        <v>45023.375</v>
      </c>
      <c r="Z124" s="97">
        <v>45065.375</v>
      </c>
      <c r="AA124" s="98"/>
    </row>
    <row r="125" spans="1:27" ht="15.75" hidden="1" customHeight="1">
      <c r="A125" s="94" t="s">
        <v>2926</v>
      </c>
      <c r="B125" s="94" t="s">
        <v>964</v>
      </c>
      <c r="C125" s="94" t="s">
        <v>97</v>
      </c>
      <c r="D125" s="95">
        <v>3000</v>
      </c>
      <c r="E125" s="94" t="s">
        <v>442</v>
      </c>
      <c r="F125" s="94" t="s">
        <v>33</v>
      </c>
      <c r="G125" s="95">
        <v>10</v>
      </c>
      <c r="H125" s="94" t="s">
        <v>11</v>
      </c>
      <c r="I125" s="94" t="s">
        <v>7228</v>
      </c>
      <c r="J125" s="94" t="s">
        <v>426</v>
      </c>
      <c r="K125" s="95">
        <v>50</v>
      </c>
      <c r="L125" s="95">
        <v>30.9</v>
      </c>
      <c r="M125" s="94"/>
      <c r="N125" s="96">
        <v>96000</v>
      </c>
      <c r="O125" s="95">
        <v>3106</v>
      </c>
      <c r="P125" s="95">
        <v>1</v>
      </c>
      <c r="Q125" s="94" t="s">
        <v>383</v>
      </c>
      <c r="R125" s="95">
        <v>1</v>
      </c>
      <c r="S125" s="95">
        <v>50</v>
      </c>
      <c r="T125" s="95">
        <v>0</v>
      </c>
      <c r="U125" s="95">
        <v>0</v>
      </c>
      <c r="V125" s="95">
        <v>120</v>
      </c>
      <c r="W125" s="95">
        <v>390</v>
      </c>
      <c r="X125" s="97">
        <v>45012.375</v>
      </c>
      <c r="Y125" s="97">
        <v>44994.375</v>
      </c>
      <c r="Z125" s="97">
        <v>44977.375</v>
      </c>
      <c r="AA125" s="98"/>
    </row>
    <row r="126" spans="1:27" ht="15.75" hidden="1" customHeight="1">
      <c r="A126" s="94" t="s">
        <v>2926</v>
      </c>
      <c r="B126" s="94" t="s">
        <v>964</v>
      </c>
      <c r="C126" s="94" t="s">
        <v>97</v>
      </c>
      <c r="D126" s="95">
        <v>3000</v>
      </c>
      <c r="E126" s="94" t="s">
        <v>442</v>
      </c>
      <c r="F126" s="94" t="s">
        <v>33</v>
      </c>
      <c r="G126" s="95">
        <v>11</v>
      </c>
      <c r="H126" s="94" t="s">
        <v>12</v>
      </c>
      <c r="I126" s="94" t="s">
        <v>6923</v>
      </c>
      <c r="J126" s="94" t="s">
        <v>444</v>
      </c>
      <c r="K126" s="95">
        <v>55</v>
      </c>
      <c r="L126" s="95">
        <v>30.9</v>
      </c>
      <c r="M126" s="94"/>
      <c r="N126" s="96">
        <v>96000</v>
      </c>
      <c r="O126" s="95">
        <v>3106</v>
      </c>
      <c r="P126" s="95">
        <v>1</v>
      </c>
      <c r="Q126" s="94" t="s">
        <v>383</v>
      </c>
      <c r="R126" s="95">
        <v>1</v>
      </c>
      <c r="S126" s="95">
        <v>55</v>
      </c>
      <c r="T126" s="95">
        <v>0</v>
      </c>
      <c r="U126" s="95">
        <v>0</v>
      </c>
      <c r="V126" s="95">
        <v>120</v>
      </c>
      <c r="W126" s="95">
        <v>390</v>
      </c>
      <c r="X126" s="97">
        <v>45012.375</v>
      </c>
      <c r="Y126" s="97">
        <v>44994.375</v>
      </c>
      <c r="Z126" s="97">
        <v>44977.375</v>
      </c>
      <c r="AA126" s="98"/>
    </row>
    <row r="127" spans="1:27" ht="15.75" hidden="1" customHeight="1">
      <c r="A127" s="94" t="s">
        <v>2926</v>
      </c>
      <c r="B127" s="94" t="s">
        <v>964</v>
      </c>
      <c r="C127" s="94" t="s">
        <v>97</v>
      </c>
      <c r="D127" s="95">
        <v>3000</v>
      </c>
      <c r="E127" s="94" t="s">
        <v>442</v>
      </c>
      <c r="F127" s="94" t="s">
        <v>33</v>
      </c>
      <c r="G127" s="95">
        <v>12</v>
      </c>
      <c r="H127" s="94" t="s">
        <v>13</v>
      </c>
      <c r="I127" s="94" t="s">
        <v>6923</v>
      </c>
      <c r="J127" s="94" t="s">
        <v>444</v>
      </c>
      <c r="K127" s="95">
        <v>15</v>
      </c>
      <c r="L127" s="95">
        <v>30.9</v>
      </c>
      <c r="M127" s="94"/>
      <c r="N127" s="95">
        <v>96000</v>
      </c>
      <c r="O127" s="95">
        <v>3106</v>
      </c>
      <c r="P127" s="95">
        <v>1</v>
      </c>
      <c r="Q127" s="94" t="s">
        <v>383</v>
      </c>
      <c r="R127" s="95">
        <v>1</v>
      </c>
      <c r="S127" s="95">
        <v>15</v>
      </c>
      <c r="T127" s="95">
        <v>0</v>
      </c>
      <c r="U127" s="95">
        <v>0</v>
      </c>
      <c r="V127" s="95">
        <v>120</v>
      </c>
      <c r="W127" s="95">
        <v>390</v>
      </c>
      <c r="X127" s="97">
        <v>45012.375</v>
      </c>
      <c r="Y127" s="97">
        <v>44994.375</v>
      </c>
      <c r="Z127" s="97">
        <v>44977.375</v>
      </c>
      <c r="AA127" s="98"/>
    </row>
    <row r="128" spans="1:27" ht="15.75" hidden="1" customHeight="1">
      <c r="A128" s="94" t="s">
        <v>2926</v>
      </c>
      <c r="B128" s="94" t="s">
        <v>964</v>
      </c>
      <c r="C128" s="94" t="s">
        <v>97</v>
      </c>
      <c r="D128" s="95">
        <v>3000</v>
      </c>
      <c r="E128" s="94" t="s">
        <v>431</v>
      </c>
      <c r="F128" s="94" t="s">
        <v>433</v>
      </c>
      <c r="G128" s="95">
        <v>18</v>
      </c>
      <c r="H128" s="94" t="s">
        <v>439</v>
      </c>
      <c r="I128" s="94" t="s">
        <v>6671</v>
      </c>
      <c r="J128" s="94" t="s">
        <v>440</v>
      </c>
      <c r="K128" s="95">
        <v>60</v>
      </c>
      <c r="L128" s="94"/>
      <c r="M128" s="95">
        <v>1500</v>
      </c>
      <c r="N128" s="99" t="s">
        <v>435</v>
      </c>
      <c r="O128" s="94"/>
      <c r="P128" s="95">
        <v>1</v>
      </c>
      <c r="Q128" s="94" t="s">
        <v>436</v>
      </c>
      <c r="R128" s="95">
        <v>0</v>
      </c>
      <c r="S128" s="95">
        <v>0</v>
      </c>
      <c r="T128" s="95">
        <v>120</v>
      </c>
      <c r="U128" s="95">
        <v>24</v>
      </c>
      <c r="V128" s="95">
        <v>270</v>
      </c>
      <c r="W128" s="95">
        <v>390</v>
      </c>
      <c r="X128" s="97">
        <v>45012.375</v>
      </c>
      <c r="Y128" s="97">
        <v>44994.375</v>
      </c>
      <c r="Z128" s="97">
        <v>44977.375</v>
      </c>
      <c r="AA128" s="98"/>
    </row>
    <row r="129" spans="1:27" ht="15.75" hidden="1" customHeight="1">
      <c r="A129" s="94" t="s">
        <v>2926</v>
      </c>
      <c r="B129" s="94" t="s">
        <v>964</v>
      </c>
      <c r="C129" s="94" t="s">
        <v>97</v>
      </c>
      <c r="D129" s="95">
        <v>3000</v>
      </c>
      <c r="E129" s="94" t="s">
        <v>431</v>
      </c>
      <c r="F129" s="94" t="s">
        <v>433</v>
      </c>
      <c r="G129" s="95">
        <v>19</v>
      </c>
      <c r="H129" s="94" t="s">
        <v>368</v>
      </c>
      <c r="I129" s="94" t="s">
        <v>6236</v>
      </c>
      <c r="J129" s="94" t="s">
        <v>434</v>
      </c>
      <c r="K129" s="95">
        <v>60</v>
      </c>
      <c r="L129" s="94"/>
      <c r="M129" s="95">
        <v>1200</v>
      </c>
      <c r="N129" s="99" t="s">
        <v>435</v>
      </c>
      <c r="O129" s="94"/>
      <c r="P129" s="95">
        <v>4</v>
      </c>
      <c r="Q129" s="94" t="s">
        <v>436</v>
      </c>
      <c r="R129" s="95">
        <v>0</v>
      </c>
      <c r="S129" s="95">
        <v>0</v>
      </c>
      <c r="T129" s="95">
        <v>150</v>
      </c>
      <c r="U129" s="95">
        <v>30</v>
      </c>
      <c r="V129" s="95">
        <v>270</v>
      </c>
      <c r="W129" s="95">
        <v>390</v>
      </c>
      <c r="X129" s="97">
        <v>45012.375</v>
      </c>
      <c r="Y129" s="97">
        <v>44994.375</v>
      </c>
      <c r="Z129" s="97">
        <v>44977.375</v>
      </c>
      <c r="AA129" s="98"/>
    </row>
    <row r="130" spans="1:27" ht="15.75" hidden="1" customHeight="1">
      <c r="A130" s="94" t="s">
        <v>2902</v>
      </c>
      <c r="B130" s="94" t="s">
        <v>463</v>
      </c>
      <c r="C130" s="94" t="s">
        <v>118</v>
      </c>
      <c r="D130" s="95">
        <v>4000</v>
      </c>
      <c r="E130" s="94" t="s">
        <v>424</v>
      </c>
      <c r="F130" s="94" t="s">
        <v>48</v>
      </c>
      <c r="G130" s="95">
        <v>4</v>
      </c>
      <c r="H130" s="94" t="s">
        <v>11</v>
      </c>
      <c r="I130" s="94" t="s">
        <v>7228</v>
      </c>
      <c r="J130" s="94" t="s">
        <v>426</v>
      </c>
      <c r="K130" s="95">
        <v>25</v>
      </c>
      <c r="L130" s="95">
        <v>200.9</v>
      </c>
      <c r="M130" s="94"/>
      <c r="N130" s="96">
        <v>52000</v>
      </c>
      <c r="O130" s="95">
        <v>258</v>
      </c>
      <c r="P130" s="95">
        <v>1</v>
      </c>
      <c r="Q130" s="94" t="s">
        <v>383</v>
      </c>
      <c r="R130" s="95">
        <v>16</v>
      </c>
      <c r="S130" s="95">
        <v>400</v>
      </c>
      <c r="T130" s="95">
        <v>0</v>
      </c>
      <c r="U130" s="95">
        <v>0</v>
      </c>
      <c r="V130" s="95">
        <v>3070</v>
      </c>
      <c r="W130" s="95">
        <v>3550</v>
      </c>
      <c r="X130" s="97">
        <v>45061.375</v>
      </c>
      <c r="Y130" s="97">
        <v>45027.375</v>
      </c>
      <c r="Z130" s="97">
        <v>45044.375</v>
      </c>
      <c r="AA130" s="98"/>
    </row>
    <row r="131" spans="1:27" ht="15.75" hidden="1" customHeight="1">
      <c r="A131" s="94" t="s">
        <v>2902</v>
      </c>
      <c r="B131" s="94" t="s">
        <v>463</v>
      </c>
      <c r="C131" s="94" t="s">
        <v>118</v>
      </c>
      <c r="D131" s="95">
        <v>4000</v>
      </c>
      <c r="E131" s="94" t="s">
        <v>424</v>
      </c>
      <c r="F131" s="94" t="s">
        <v>48</v>
      </c>
      <c r="G131" s="95">
        <v>5</v>
      </c>
      <c r="H131" s="94" t="s">
        <v>12</v>
      </c>
      <c r="I131" s="94" t="s">
        <v>6923</v>
      </c>
      <c r="J131" s="94" t="s">
        <v>427</v>
      </c>
      <c r="K131" s="95">
        <v>165</v>
      </c>
      <c r="L131" s="95">
        <v>200.9</v>
      </c>
      <c r="M131" s="94"/>
      <c r="N131" s="95">
        <v>52000</v>
      </c>
      <c r="O131" s="95">
        <v>258</v>
      </c>
      <c r="P131" s="95">
        <v>1</v>
      </c>
      <c r="Q131" s="94" t="s">
        <v>383</v>
      </c>
      <c r="R131" s="95">
        <v>16</v>
      </c>
      <c r="S131" s="95">
        <v>2640</v>
      </c>
      <c r="T131" s="95">
        <v>0</v>
      </c>
      <c r="U131" s="95">
        <v>0</v>
      </c>
      <c r="V131" s="95">
        <v>3070</v>
      </c>
      <c r="W131" s="95">
        <v>3550</v>
      </c>
      <c r="X131" s="97">
        <v>45061.375</v>
      </c>
      <c r="Y131" s="97">
        <v>45027.375</v>
      </c>
      <c r="Z131" s="97">
        <v>45044.375</v>
      </c>
      <c r="AA131" s="98"/>
    </row>
    <row r="132" spans="1:27" ht="15.75" hidden="1" customHeight="1">
      <c r="A132" s="94" t="s">
        <v>2902</v>
      </c>
      <c r="B132" s="94" t="s">
        <v>463</v>
      </c>
      <c r="C132" s="94" t="s">
        <v>118</v>
      </c>
      <c r="D132" s="95">
        <v>4000</v>
      </c>
      <c r="E132" s="94" t="s">
        <v>424</v>
      </c>
      <c r="F132" s="94" t="s">
        <v>48</v>
      </c>
      <c r="G132" s="95">
        <v>6</v>
      </c>
      <c r="H132" s="94" t="s">
        <v>13</v>
      </c>
      <c r="I132" s="94" t="s">
        <v>6923</v>
      </c>
      <c r="J132" s="94" t="s">
        <v>427</v>
      </c>
      <c r="K132" s="95">
        <v>30</v>
      </c>
      <c r="L132" s="95">
        <v>200.9</v>
      </c>
      <c r="M132" s="94"/>
      <c r="N132" s="95">
        <v>52000</v>
      </c>
      <c r="O132" s="95">
        <v>258</v>
      </c>
      <c r="P132" s="95">
        <v>1</v>
      </c>
      <c r="Q132" s="94" t="s">
        <v>383</v>
      </c>
      <c r="R132" s="95">
        <v>16</v>
      </c>
      <c r="S132" s="95">
        <v>30</v>
      </c>
      <c r="T132" s="95">
        <v>0</v>
      </c>
      <c r="U132" s="95">
        <v>0</v>
      </c>
      <c r="V132" s="95">
        <v>3070</v>
      </c>
      <c r="W132" s="95">
        <v>3550</v>
      </c>
      <c r="X132" s="97">
        <v>45061.375</v>
      </c>
      <c r="Y132" s="97">
        <v>45027.375</v>
      </c>
      <c r="Z132" s="97">
        <v>45044.375</v>
      </c>
      <c r="AA132" s="98"/>
    </row>
    <row r="133" spans="1:27" ht="15.75" hidden="1" customHeight="1">
      <c r="A133" s="94" t="s">
        <v>2902</v>
      </c>
      <c r="B133" s="94" t="s">
        <v>463</v>
      </c>
      <c r="C133" s="94" t="s">
        <v>118</v>
      </c>
      <c r="D133" s="95">
        <v>4000</v>
      </c>
      <c r="E133" s="94" t="s">
        <v>431</v>
      </c>
      <c r="F133" s="94" t="s">
        <v>433</v>
      </c>
      <c r="G133" s="95">
        <v>19</v>
      </c>
      <c r="H133" s="94" t="s">
        <v>368</v>
      </c>
      <c r="I133" s="94" t="s">
        <v>6236</v>
      </c>
      <c r="J133" s="94" t="s">
        <v>434</v>
      </c>
      <c r="K133" s="95">
        <v>60</v>
      </c>
      <c r="L133" s="94"/>
      <c r="M133" s="95">
        <v>500</v>
      </c>
      <c r="N133" s="94" t="s">
        <v>435</v>
      </c>
      <c r="O133" s="94"/>
      <c r="P133" s="95">
        <v>3</v>
      </c>
      <c r="Q133" s="94" t="s">
        <v>436</v>
      </c>
      <c r="R133" s="95">
        <v>0</v>
      </c>
      <c r="S133" s="95">
        <v>0</v>
      </c>
      <c r="T133" s="95">
        <v>480</v>
      </c>
      <c r="U133" s="95">
        <v>96</v>
      </c>
      <c r="V133" s="95">
        <v>480</v>
      </c>
      <c r="W133" s="95">
        <v>3550</v>
      </c>
      <c r="X133" s="97">
        <v>45061.375</v>
      </c>
      <c r="Y133" s="97">
        <v>45027.375</v>
      </c>
      <c r="Z133" s="97">
        <v>45044.375</v>
      </c>
      <c r="AA133" s="98"/>
    </row>
    <row r="134" spans="1:27" ht="15.75" hidden="1" customHeight="1">
      <c r="A134" s="94" t="s">
        <v>2899</v>
      </c>
      <c r="B134" s="94" t="s">
        <v>564</v>
      </c>
      <c r="C134" s="94" t="s">
        <v>121</v>
      </c>
      <c r="D134" s="95">
        <v>3000</v>
      </c>
      <c r="E134" s="94" t="s">
        <v>424</v>
      </c>
      <c r="F134" s="94" t="s">
        <v>48</v>
      </c>
      <c r="G134" s="95">
        <v>4</v>
      </c>
      <c r="H134" s="94" t="s">
        <v>11</v>
      </c>
      <c r="I134" s="94" t="s">
        <v>7228</v>
      </c>
      <c r="J134" s="94" t="s">
        <v>426</v>
      </c>
      <c r="K134" s="95">
        <v>25</v>
      </c>
      <c r="L134" s="95">
        <v>15</v>
      </c>
      <c r="M134" s="94"/>
      <c r="N134" s="95">
        <v>52000</v>
      </c>
      <c r="O134" s="95">
        <v>3466</v>
      </c>
      <c r="P134" s="95">
        <v>1</v>
      </c>
      <c r="Q134" s="94" t="s">
        <v>383</v>
      </c>
      <c r="R134" s="95">
        <v>1</v>
      </c>
      <c r="S134" s="95">
        <v>25</v>
      </c>
      <c r="T134" s="95">
        <v>0</v>
      </c>
      <c r="U134" s="95">
        <v>0</v>
      </c>
      <c r="V134" s="95">
        <v>245</v>
      </c>
      <c r="W134" s="95">
        <v>609</v>
      </c>
      <c r="X134" s="97">
        <v>45058.375</v>
      </c>
      <c r="Y134" s="97">
        <v>45027.375</v>
      </c>
      <c r="Z134" s="97">
        <v>45044.375</v>
      </c>
      <c r="AA134" s="98"/>
    </row>
    <row r="135" spans="1:27" ht="15.75" hidden="1" customHeight="1">
      <c r="A135" s="94" t="s">
        <v>2899</v>
      </c>
      <c r="B135" s="94" t="s">
        <v>564</v>
      </c>
      <c r="C135" s="94" t="s">
        <v>121</v>
      </c>
      <c r="D135" s="95">
        <v>3000</v>
      </c>
      <c r="E135" s="94" t="s">
        <v>424</v>
      </c>
      <c r="F135" s="94" t="s">
        <v>48</v>
      </c>
      <c r="G135" s="95">
        <v>5</v>
      </c>
      <c r="H135" s="94" t="s">
        <v>12</v>
      </c>
      <c r="I135" s="94" t="s">
        <v>6923</v>
      </c>
      <c r="J135" s="94" t="s">
        <v>427</v>
      </c>
      <c r="K135" s="95">
        <v>160</v>
      </c>
      <c r="L135" s="95">
        <v>15</v>
      </c>
      <c r="M135" s="94"/>
      <c r="N135" s="95">
        <v>52000</v>
      </c>
      <c r="O135" s="95">
        <v>3466</v>
      </c>
      <c r="P135" s="95">
        <v>1</v>
      </c>
      <c r="Q135" s="94" t="s">
        <v>383</v>
      </c>
      <c r="R135" s="95">
        <v>1</v>
      </c>
      <c r="S135" s="95">
        <v>160</v>
      </c>
      <c r="T135" s="95">
        <v>0</v>
      </c>
      <c r="U135" s="95">
        <v>0</v>
      </c>
      <c r="V135" s="95">
        <v>245</v>
      </c>
      <c r="W135" s="95">
        <v>609</v>
      </c>
      <c r="X135" s="97">
        <v>45058.375</v>
      </c>
      <c r="Y135" s="97">
        <v>45027.375</v>
      </c>
      <c r="Z135" s="97">
        <v>45044.375</v>
      </c>
      <c r="AA135" s="98"/>
    </row>
    <row r="136" spans="1:27" ht="15.75" hidden="1" customHeight="1">
      <c r="A136" s="94" t="s">
        <v>2899</v>
      </c>
      <c r="B136" s="94" t="s">
        <v>564</v>
      </c>
      <c r="C136" s="94" t="s">
        <v>121</v>
      </c>
      <c r="D136" s="95">
        <v>3000</v>
      </c>
      <c r="E136" s="94" t="s">
        <v>424</v>
      </c>
      <c r="F136" s="94" t="s">
        <v>48</v>
      </c>
      <c r="G136" s="95">
        <v>6</v>
      </c>
      <c r="H136" s="94" t="s">
        <v>13</v>
      </c>
      <c r="I136" s="94" t="s">
        <v>6923</v>
      </c>
      <c r="J136" s="94" t="s">
        <v>427</v>
      </c>
      <c r="K136" s="95">
        <v>40</v>
      </c>
      <c r="L136" s="95">
        <v>15</v>
      </c>
      <c r="M136" s="94"/>
      <c r="N136" s="95">
        <v>52000</v>
      </c>
      <c r="O136" s="95">
        <v>3466</v>
      </c>
      <c r="P136" s="95">
        <v>1</v>
      </c>
      <c r="Q136" s="94" t="s">
        <v>383</v>
      </c>
      <c r="R136" s="95">
        <v>1</v>
      </c>
      <c r="S136" s="95">
        <v>60</v>
      </c>
      <c r="T136" s="95">
        <v>0</v>
      </c>
      <c r="U136" s="95">
        <v>0</v>
      </c>
      <c r="V136" s="95">
        <v>245</v>
      </c>
      <c r="W136" s="95">
        <v>609</v>
      </c>
      <c r="X136" s="97">
        <v>45058.375</v>
      </c>
      <c r="Y136" s="97">
        <v>45027.375</v>
      </c>
      <c r="Z136" s="97">
        <v>45044.375</v>
      </c>
      <c r="AA136" s="98"/>
    </row>
    <row r="137" spans="1:27" ht="15.75" hidden="1" customHeight="1">
      <c r="A137" s="94" t="s">
        <v>2899</v>
      </c>
      <c r="B137" s="94" t="s">
        <v>564</v>
      </c>
      <c r="C137" s="94" t="s">
        <v>121</v>
      </c>
      <c r="D137" s="95">
        <v>3000</v>
      </c>
      <c r="E137" s="94" t="s">
        <v>431</v>
      </c>
      <c r="F137" s="94" t="s">
        <v>433</v>
      </c>
      <c r="G137" s="95">
        <v>18</v>
      </c>
      <c r="H137" s="94" t="s">
        <v>439</v>
      </c>
      <c r="I137" s="94" t="s">
        <v>6671</v>
      </c>
      <c r="J137" s="94" t="s">
        <v>440</v>
      </c>
      <c r="K137" s="95">
        <v>60</v>
      </c>
      <c r="L137" s="94"/>
      <c r="M137" s="95">
        <v>1100</v>
      </c>
      <c r="N137" s="94" t="s">
        <v>435</v>
      </c>
      <c r="O137" s="94"/>
      <c r="P137" s="95">
        <v>1</v>
      </c>
      <c r="Q137" s="94" t="s">
        <v>436</v>
      </c>
      <c r="R137" s="95">
        <v>0</v>
      </c>
      <c r="S137" s="95">
        <v>0</v>
      </c>
      <c r="T137" s="95">
        <v>164</v>
      </c>
      <c r="U137" s="95">
        <v>33</v>
      </c>
      <c r="V137" s="95">
        <v>364</v>
      </c>
      <c r="W137" s="95">
        <v>609</v>
      </c>
      <c r="X137" s="97">
        <v>45058.375</v>
      </c>
      <c r="Y137" s="97">
        <v>45027.375</v>
      </c>
      <c r="Z137" s="97">
        <v>45044.375</v>
      </c>
      <c r="AA137" s="98"/>
    </row>
    <row r="138" spans="1:27" ht="15.75" hidden="1" customHeight="1">
      <c r="A138" s="94" t="s">
        <v>2899</v>
      </c>
      <c r="B138" s="94" t="s">
        <v>564</v>
      </c>
      <c r="C138" s="94" t="s">
        <v>121</v>
      </c>
      <c r="D138" s="95">
        <v>3000</v>
      </c>
      <c r="E138" s="94" t="s">
        <v>431</v>
      </c>
      <c r="F138" s="94" t="s">
        <v>433</v>
      </c>
      <c r="G138" s="95">
        <v>19</v>
      </c>
      <c r="H138" s="94" t="s">
        <v>368</v>
      </c>
      <c r="I138" s="94" t="s">
        <v>6236</v>
      </c>
      <c r="J138" s="94" t="s">
        <v>434</v>
      </c>
      <c r="K138" s="95">
        <v>60</v>
      </c>
      <c r="L138" s="94"/>
      <c r="M138" s="95">
        <v>900</v>
      </c>
      <c r="N138" s="99" t="s">
        <v>435</v>
      </c>
      <c r="O138" s="94"/>
      <c r="P138" s="95">
        <v>4</v>
      </c>
      <c r="Q138" s="94" t="s">
        <v>436</v>
      </c>
      <c r="R138" s="95">
        <v>0</v>
      </c>
      <c r="S138" s="95">
        <v>0</v>
      </c>
      <c r="T138" s="95">
        <v>200</v>
      </c>
      <c r="U138" s="95">
        <v>40</v>
      </c>
      <c r="V138" s="95">
        <v>364</v>
      </c>
      <c r="W138" s="95">
        <v>609</v>
      </c>
      <c r="X138" s="97">
        <v>45058.375</v>
      </c>
      <c r="Y138" s="97">
        <v>45027.375</v>
      </c>
      <c r="Z138" s="97">
        <v>45044.375</v>
      </c>
      <c r="AA138" s="98"/>
    </row>
    <row r="139" spans="1:27" ht="15.75" hidden="1" customHeight="1">
      <c r="A139" s="94" t="s">
        <v>2911</v>
      </c>
      <c r="B139" s="94" t="s">
        <v>568</v>
      </c>
      <c r="C139" s="94" t="s">
        <v>112</v>
      </c>
      <c r="D139" s="95">
        <v>4478</v>
      </c>
      <c r="E139" s="94" t="s">
        <v>424</v>
      </c>
      <c r="F139" s="94" t="s">
        <v>33</v>
      </c>
      <c r="G139" s="95">
        <v>10</v>
      </c>
      <c r="H139" s="94" t="s">
        <v>11</v>
      </c>
      <c r="I139" s="94" t="s">
        <v>7228</v>
      </c>
      <c r="J139" s="94" t="s">
        <v>426</v>
      </c>
      <c r="K139" s="95">
        <v>75</v>
      </c>
      <c r="L139" s="95">
        <v>370</v>
      </c>
      <c r="M139" s="94"/>
      <c r="N139" s="96">
        <v>100000</v>
      </c>
      <c r="O139" s="95">
        <v>270</v>
      </c>
      <c r="P139" s="95">
        <v>1</v>
      </c>
      <c r="Q139" s="94" t="s">
        <v>383</v>
      </c>
      <c r="R139" s="95">
        <v>17</v>
      </c>
      <c r="S139" s="95">
        <v>1275</v>
      </c>
      <c r="T139" s="95">
        <v>0</v>
      </c>
      <c r="U139" s="95">
        <v>0</v>
      </c>
      <c r="V139" s="95">
        <v>2465</v>
      </c>
      <c r="W139" s="95">
        <v>3497</v>
      </c>
      <c r="X139" s="97">
        <v>45065.375</v>
      </c>
      <c r="Y139" s="97">
        <v>45050.375</v>
      </c>
      <c r="Z139" s="97">
        <v>45056.375</v>
      </c>
      <c r="AA139" s="98"/>
    </row>
    <row r="140" spans="1:27" ht="15.75" hidden="1" customHeight="1">
      <c r="A140" s="94" t="s">
        <v>2911</v>
      </c>
      <c r="B140" s="94" t="s">
        <v>568</v>
      </c>
      <c r="C140" s="94" t="s">
        <v>112</v>
      </c>
      <c r="D140" s="95">
        <v>4478</v>
      </c>
      <c r="E140" s="94" t="s">
        <v>424</v>
      </c>
      <c r="F140" s="94" t="s">
        <v>33</v>
      </c>
      <c r="G140" s="95">
        <v>11</v>
      </c>
      <c r="H140" s="94" t="s">
        <v>12</v>
      </c>
      <c r="I140" s="94" t="s">
        <v>6923</v>
      </c>
      <c r="J140" s="94" t="s">
        <v>444</v>
      </c>
      <c r="K140" s="95">
        <v>60</v>
      </c>
      <c r="L140" s="95">
        <v>370</v>
      </c>
      <c r="M140" s="94"/>
      <c r="N140" s="96">
        <v>100000</v>
      </c>
      <c r="O140" s="95">
        <v>270</v>
      </c>
      <c r="P140" s="95">
        <v>1</v>
      </c>
      <c r="Q140" s="94" t="s">
        <v>383</v>
      </c>
      <c r="R140" s="95">
        <v>17</v>
      </c>
      <c r="S140" s="95">
        <v>1020</v>
      </c>
      <c r="T140" s="95">
        <v>0</v>
      </c>
      <c r="U140" s="95">
        <v>0</v>
      </c>
      <c r="V140" s="95">
        <v>2465</v>
      </c>
      <c r="W140" s="95">
        <v>3497</v>
      </c>
      <c r="X140" s="97">
        <v>45065.375</v>
      </c>
      <c r="Y140" s="97">
        <v>45050.375</v>
      </c>
      <c r="Z140" s="97">
        <v>45056.375</v>
      </c>
      <c r="AA140" s="98"/>
    </row>
    <row r="141" spans="1:27" ht="15.75" hidden="1" customHeight="1">
      <c r="A141" s="94" t="s">
        <v>2911</v>
      </c>
      <c r="B141" s="94" t="s">
        <v>568</v>
      </c>
      <c r="C141" s="94" t="s">
        <v>112</v>
      </c>
      <c r="D141" s="95">
        <v>4478</v>
      </c>
      <c r="E141" s="94" t="s">
        <v>424</v>
      </c>
      <c r="F141" s="94" t="s">
        <v>33</v>
      </c>
      <c r="G141" s="95">
        <v>12</v>
      </c>
      <c r="H141" s="94" t="s">
        <v>13</v>
      </c>
      <c r="I141" s="94" t="s">
        <v>6923</v>
      </c>
      <c r="J141" s="94" t="s">
        <v>444</v>
      </c>
      <c r="K141" s="95">
        <v>10</v>
      </c>
      <c r="L141" s="95">
        <v>370</v>
      </c>
      <c r="M141" s="94"/>
      <c r="N141" s="95">
        <v>100000</v>
      </c>
      <c r="O141" s="95">
        <v>270</v>
      </c>
      <c r="P141" s="95">
        <v>1</v>
      </c>
      <c r="Q141" s="94" t="s">
        <v>383</v>
      </c>
      <c r="R141" s="95">
        <v>17</v>
      </c>
      <c r="S141" s="95">
        <v>170</v>
      </c>
      <c r="T141" s="95">
        <v>0</v>
      </c>
      <c r="U141" s="95">
        <v>0</v>
      </c>
      <c r="V141" s="95">
        <v>2465</v>
      </c>
      <c r="W141" s="95">
        <v>3497</v>
      </c>
      <c r="X141" s="97">
        <v>45065.375</v>
      </c>
      <c r="Y141" s="97">
        <v>45050.375</v>
      </c>
      <c r="Z141" s="97">
        <v>45056.375</v>
      </c>
      <c r="AA141" s="98"/>
    </row>
    <row r="142" spans="1:27" ht="15.75" hidden="1" customHeight="1">
      <c r="A142" s="94" t="s">
        <v>2911</v>
      </c>
      <c r="B142" s="94" t="s">
        <v>568</v>
      </c>
      <c r="C142" s="94" t="s">
        <v>112</v>
      </c>
      <c r="D142" s="95">
        <v>4478</v>
      </c>
      <c r="E142" s="94" t="s">
        <v>431</v>
      </c>
      <c r="F142" s="94" t="s">
        <v>433</v>
      </c>
      <c r="G142" s="95">
        <v>18</v>
      </c>
      <c r="H142" s="94" t="s">
        <v>439</v>
      </c>
      <c r="I142" s="94" t="s">
        <v>6671</v>
      </c>
      <c r="J142" s="94" t="s">
        <v>440</v>
      </c>
      <c r="K142" s="95">
        <v>60</v>
      </c>
      <c r="L142" s="94"/>
      <c r="M142" s="95">
        <v>570</v>
      </c>
      <c r="N142" s="99" t="s">
        <v>435</v>
      </c>
      <c r="O142" s="94"/>
      <c r="P142" s="95">
        <v>1</v>
      </c>
      <c r="Q142" s="94" t="s">
        <v>436</v>
      </c>
      <c r="R142" s="95">
        <v>0</v>
      </c>
      <c r="S142" s="95">
        <v>0</v>
      </c>
      <c r="T142" s="95">
        <v>472</v>
      </c>
      <c r="U142" s="95">
        <v>95</v>
      </c>
      <c r="V142" s="95">
        <v>1032</v>
      </c>
      <c r="W142" s="95">
        <v>3497</v>
      </c>
      <c r="X142" s="97">
        <v>45065.375</v>
      </c>
      <c r="Y142" s="97">
        <v>45050.375</v>
      </c>
      <c r="Z142" s="97">
        <v>45056.375</v>
      </c>
      <c r="AA142" s="98"/>
    </row>
    <row r="143" spans="1:27" ht="15.75" hidden="1" customHeight="1">
      <c r="A143" s="94" t="s">
        <v>2911</v>
      </c>
      <c r="B143" s="94" t="s">
        <v>568</v>
      </c>
      <c r="C143" s="94" t="s">
        <v>112</v>
      </c>
      <c r="D143" s="95">
        <v>4478</v>
      </c>
      <c r="E143" s="94" t="s">
        <v>431</v>
      </c>
      <c r="F143" s="94" t="s">
        <v>433</v>
      </c>
      <c r="G143" s="95">
        <v>19</v>
      </c>
      <c r="H143" s="94" t="s">
        <v>368</v>
      </c>
      <c r="I143" s="94" t="s">
        <v>6236</v>
      </c>
      <c r="J143" s="94" t="s">
        <v>434</v>
      </c>
      <c r="K143" s="95">
        <v>60</v>
      </c>
      <c r="L143" s="94"/>
      <c r="M143" s="95">
        <v>480</v>
      </c>
      <c r="N143" s="94" t="s">
        <v>435</v>
      </c>
      <c r="O143" s="94"/>
      <c r="P143" s="95">
        <v>4</v>
      </c>
      <c r="Q143" s="94" t="s">
        <v>436</v>
      </c>
      <c r="R143" s="95">
        <v>0</v>
      </c>
      <c r="S143" s="95">
        <v>0</v>
      </c>
      <c r="T143" s="95">
        <v>560</v>
      </c>
      <c r="U143" s="95">
        <v>112</v>
      </c>
      <c r="V143" s="95">
        <v>1032</v>
      </c>
      <c r="W143" s="95">
        <v>3497</v>
      </c>
      <c r="X143" s="97">
        <v>45065.375</v>
      </c>
      <c r="Y143" s="97">
        <v>45050.375</v>
      </c>
      <c r="Z143" s="97">
        <v>45056.375</v>
      </c>
      <c r="AA143" s="98"/>
    </row>
    <row r="144" spans="1:27" ht="15.75" hidden="1" customHeight="1">
      <c r="A144" s="94" t="s">
        <v>2891</v>
      </c>
      <c r="B144" s="94" t="s">
        <v>609</v>
      </c>
      <c r="C144" s="94" t="s">
        <v>115</v>
      </c>
      <c r="D144" s="95">
        <v>2000</v>
      </c>
      <c r="E144" s="94" t="s">
        <v>442</v>
      </c>
      <c r="F144" s="94" t="s">
        <v>33</v>
      </c>
      <c r="G144" s="95">
        <v>10</v>
      </c>
      <c r="H144" s="94" t="s">
        <v>11</v>
      </c>
      <c r="I144" s="94" t="s">
        <v>7228</v>
      </c>
      <c r="J144" s="94" t="s">
        <v>426</v>
      </c>
      <c r="K144" s="95">
        <v>25</v>
      </c>
      <c r="L144" s="95">
        <v>32.4</v>
      </c>
      <c r="M144" s="94"/>
      <c r="N144" s="95">
        <v>100000</v>
      </c>
      <c r="O144" s="95">
        <v>3086</v>
      </c>
      <c r="P144" s="95">
        <v>1</v>
      </c>
      <c r="Q144" s="94" t="s">
        <v>383</v>
      </c>
      <c r="R144" s="95">
        <v>1</v>
      </c>
      <c r="S144" s="95">
        <v>25</v>
      </c>
      <c r="T144" s="95">
        <v>0</v>
      </c>
      <c r="U144" s="95">
        <v>0</v>
      </c>
      <c r="V144" s="95">
        <v>120</v>
      </c>
      <c r="W144" s="95">
        <v>451</v>
      </c>
      <c r="X144" s="97">
        <v>45070.375</v>
      </c>
      <c r="Y144" s="97">
        <v>45051.375</v>
      </c>
      <c r="Z144" s="97">
        <v>45063.375</v>
      </c>
      <c r="AA144" s="98"/>
    </row>
    <row r="145" spans="1:27" ht="15.75" hidden="1" customHeight="1">
      <c r="A145" s="94" t="s">
        <v>2891</v>
      </c>
      <c r="B145" s="94" t="s">
        <v>609</v>
      </c>
      <c r="C145" s="94" t="s">
        <v>115</v>
      </c>
      <c r="D145" s="95">
        <v>2000</v>
      </c>
      <c r="E145" s="94" t="s">
        <v>442</v>
      </c>
      <c r="F145" s="94" t="s">
        <v>33</v>
      </c>
      <c r="G145" s="95">
        <v>11</v>
      </c>
      <c r="H145" s="94" t="s">
        <v>12</v>
      </c>
      <c r="I145" s="94" t="s">
        <v>6923</v>
      </c>
      <c r="J145" s="94" t="s">
        <v>444</v>
      </c>
      <c r="K145" s="95">
        <v>80</v>
      </c>
      <c r="L145" s="95">
        <v>32.4</v>
      </c>
      <c r="M145" s="94"/>
      <c r="N145" s="95">
        <v>100000</v>
      </c>
      <c r="O145" s="95">
        <v>3086</v>
      </c>
      <c r="P145" s="95">
        <v>1</v>
      </c>
      <c r="Q145" s="94" t="s">
        <v>383</v>
      </c>
      <c r="R145" s="95">
        <v>1</v>
      </c>
      <c r="S145" s="95">
        <v>80</v>
      </c>
      <c r="T145" s="95">
        <v>0</v>
      </c>
      <c r="U145" s="95">
        <v>0</v>
      </c>
      <c r="V145" s="95">
        <v>120</v>
      </c>
      <c r="W145" s="95">
        <v>451</v>
      </c>
      <c r="X145" s="97">
        <v>45070.375</v>
      </c>
      <c r="Y145" s="97">
        <v>45051.375</v>
      </c>
      <c r="Z145" s="97">
        <v>45063.375</v>
      </c>
      <c r="AA145" s="98"/>
    </row>
    <row r="146" spans="1:27" ht="15.75" hidden="1" customHeight="1">
      <c r="A146" s="94" t="s">
        <v>2891</v>
      </c>
      <c r="B146" s="94" t="s">
        <v>609</v>
      </c>
      <c r="C146" s="94" t="s">
        <v>115</v>
      </c>
      <c r="D146" s="95">
        <v>2000</v>
      </c>
      <c r="E146" s="94" t="s">
        <v>442</v>
      </c>
      <c r="F146" s="94" t="s">
        <v>33</v>
      </c>
      <c r="G146" s="95">
        <v>12</v>
      </c>
      <c r="H146" s="94" t="s">
        <v>13</v>
      </c>
      <c r="I146" s="94" t="s">
        <v>6923</v>
      </c>
      <c r="J146" s="94" t="s">
        <v>444</v>
      </c>
      <c r="K146" s="95">
        <v>15</v>
      </c>
      <c r="L146" s="95">
        <v>32.4</v>
      </c>
      <c r="M146" s="94"/>
      <c r="N146" s="95">
        <v>100000</v>
      </c>
      <c r="O146" s="95">
        <v>3086</v>
      </c>
      <c r="P146" s="95">
        <v>1</v>
      </c>
      <c r="Q146" s="94" t="s">
        <v>383</v>
      </c>
      <c r="R146" s="95">
        <v>1</v>
      </c>
      <c r="S146" s="95">
        <v>15</v>
      </c>
      <c r="T146" s="95">
        <v>0</v>
      </c>
      <c r="U146" s="95">
        <v>0</v>
      </c>
      <c r="V146" s="95">
        <v>120</v>
      </c>
      <c r="W146" s="95">
        <v>451</v>
      </c>
      <c r="X146" s="97">
        <v>45070.375</v>
      </c>
      <c r="Y146" s="97">
        <v>45051.375</v>
      </c>
      <c r="Z146" s="97">
        <v>45063.375</v>
      </c>
      <c r="AA146" s="98"/>
    </row>
    <row r="147" spans="1:27" ht="15.75" hidden="1" customHeight="1">
      <c r="A147" s="94" t="s">
        <v>2891</v>
      </c>
      <c r="B147" s="94" t="s">
        <v>609</v>
      </c>
      <c r="C147" s="94" t="s">
        <v>115</v>
      </c>
      <c r="D147" s="95">
        <v>2000</v>
      </c>
      <c r="E147" s="94" t="s">
        <v>431</v>
      </c>
      <c r="F147" s="94" t="s">
        <v>433</v>
      </c>
      <c r="G147" s="95">
        <v>18</v>
      </c>
      <c r="H147" s="94" t="s">
        <v>439</v>
      </c>
      <c r="I147" s="94" t="s">
        <v>6671</v>
      </c>
      <c r="J147" s="94" t="s">
        <v>440</v>
      </c>
      <c r="K147" s="95">
        <v>60</v>
      </c>
      <c r="L147" s="94"/>
      <c r="M147" s="95">
        <v>570</v>
      </c>
      <c r="N147" s="94" t="s">
        <v>435</v>
      </c>
      <c r="O147" s="94"/>
      <c r="P147" s="95">
        <v>1</v>
      </c>
      <c r="Q147" s="94" t="s">
        <v>436</v>
      </c>
      <c r="R147" s="95">
        <v>0</v>
      </c>
      <c r="S147" s="95">
        <v>0</v>
      </c>
      <c r="T147" s="95">
        <v>211</v>
      </c>
      <c r="U147" s="95">
        <v>43</v>
      </c>
      <c r="V147" s="95">
        <v>331</v>
      </c>
      <c r="W147" s="95">
        <v>451</v>
      </c>
      <c r="X147" s="97">
        <v>45070.375</v>
      </c>
      <c r="Y147" s="97">
        <v>45051.375</v>
      </c>
      <c r="Z147" s="97">
        <v>45063.375</v>
      </c>
      <c r="AA147" s="98"/>
    </row>
    <row r="148" spans="1:27" ht="15.75" hidden="1" customHeight="1">
      <c r="A148" s="94" t="s">
        <v>2891</v>
      </c>
      <c r="B148" s="94" t="s">
        <v>609</v>
      </c>
      <c r="C148" s="94" t="s">
        <v>115</v>
      </c>
      <c r="D148" s="95">
        <v>2000</v>
      </c>
      <c r="E148" s="94" t="s">
        <v>431</v>
      </c>
      <c r="F148" s="94" t="s">
        <v>433</v>
      </c>
      <c r="G148" s="95">
        <v>19</v>
      </c>
      <c r="H148" s="94" t="s">
        <v>368</v>
      </c>
      <c r="I148" s="94" t="s">
        <v>6236</v>
      </c>
      <c r="J148" s="94" t="s">
        <v>434</v>
      </c>
      <c r="K148" s="95">
        <v>60</v>
      </c>
      <c r="L148" s="94"/>
      <c r="M148" s="95">
        <v>1000</v>
      </c>
      <c r="N148" s="99" t="s">
        <v>435</v>
      </c>
      <c r="O148" s="94"/>
      <c r="P148" s="95">
        <v>4</v>
      </c>
      <c r="Q148" s="94" t="s">
        <v>436</v>
      </c>
      <c r="R148" s="95">
        <v>0</v>
      </c>
      <c r="S148" s="95">
        <v>0</v>
      </c>
      <c r="T148" s="95">
        <v>120</v>
      </c>
      <c r="U148" s="95">
        <v>24</v>
      </c>
      <c r="V148" s="95">
        <v>331</v>
      </c>
      <c r="W148" s="95">
        <v>451</v>
      </c>
      <c r="X148" s="97">
        <v>45070.375</v>
      </c>
      <c r="Y148" s="97">
        <v>45051.375</v>
      </c>
      <c r="Z148" s="97">
        <v>45063.375</v>
      </c>
      <c r="AA148" s="98"/>
    </row>
    <row r="149" spans="1:27" ht="15.75" hidden="1" customHeight="1">
      <c r="A149" s="94" t="s">
        <v>3007</v>
      </c>
      <c r="B149" s="94" t="s">
        <v>560</v>
      </c>
      <c r="C149" s="94" t="s">
        <v>106</v>
      </c>
      <c r="D149" s="95">
        <v>5500</v>
      </c>
      <c r="E149" s="94" t="s">
        <v>442</v>
      </c>
      <c r="F149" s="94" t="s">
        <v>40</v>
      </c>
      <c r="G149" s="95">
        <v>1</v>
      </c>
      <c r="H149" s="94" t="s">
        <v>11</v>
      </c>
      <c r="I149" s="94" t="s">
        <v>7228</v>
      </c>
      <c r="J149" s="94" t="s">
        <v>426</v>
      </c>
      <c r="K149" s="95">
        <v>30</v>
      </c>
      <c r="L149" s="95">
        <v>150</v>
      </c>
      <c r="M149" s="94"/>
      <c r="N149" s="96">
        <v>297000</v>
      </c>
      <c r="O149" s="95">
        <v>1980</v>
      </c>
      <c r="P149" s="95">
        <v>1</v>
      </c>
      <c r="Q149" s="94" t="s">
        <v>383</v>
      </c>
      <c r="R149" s="95">
        <v>3</v>
      </c>
      <c r="S149" s="95">
        <v>90</v>
      </c>
      <c r="T149" s="95">
        <v>0</v>
      </c>
      <c r="U149" s="95">
        <v>0</v>
      </c>
      <c r="V149" s="95">
        <v>465</v>
      </c>
      <c r="W149" s="95">
        <v>1478</v>
      </c>
      <c r="X149" s="97">
        <v>45044.375</v>
      </c>
      <c r="Y149" s="97">
        <v>45026.375</v>
      </c>
      <c r="Z149" s="97">
        <v>45034.375</v>
      </c>
      <c r="AA149" s="98"/>
    </row>
    <row r="150" spans="1:27" ht="15.75" hidden="1" customHeight="1">
      <c r="A150" s="94" t="s">
        <v>3007</v>
      </c>
      <c r="B150" s="94" t="s">
        <v>560</v>
      </c>
      <c r="C150" s="94" t="s">
        <v>106</v>
      </c>
      <c r="D150" s="95">
        <v>5500</v>
      </c>
      <c r="E150" s="94" t="s">
        <v>442</v>
      </c>
      <c r="F150" s="94" t="s">
        <v>40</v>
      </c>
      <c r="G150" s="95">
        <v>2</v>
      </c>
      <c r="H150" s="94" t="s">
        <v>12</v>
      </c>
      <c r="I150" s="94" t="s">
        <v>6923</v>
      </c>
      <c r="J150" s="94" t="s">
        <v>449</v>
      </c>
      <c r="K150" s="95">
        <v>95</v>
      </c>
      <c r="L150" s="95">
        <v>150</v>
      </c>
      <c r="M150" s="94"/>
      <c r="N150" s="96">
        <v>297000</v>
      </c>
      <c r="O150" s="95">
        <v>1980</v>
      </c>
      <c r="P150" s="95">
        <v>1</v>
      </c>
      <c r="Q150" s="94" t="s">
        <v>383</v>
      </c>
      <c r="R150" s="95">
        <v>3</v>
      </c>
      <c r="S150" s="95">
        <v>285</v>
      </c>
      <c r="T150" s="95">
        <v>0</v>
      </c>
      <c r="U150" s="95">
        <v>0</v>
      </c>
      <c r="V150" s="95">
        <v>465</v>
      </c>
      <c r="W150" s="95">
        <v>1478</v>
      </c>
      <c r="X150" s="97">
        <v>45044.375</v>
      </c>
      <c r="Y150" s="97">
        <v>45026.375</v>
      </c>
      <c r="Z150" s="97">
        <v>45034.375</v>
      </c>
      <c r="AA150" s="98"/>
    </row>
    <row r="151" spans="1:27" ht="15.75" hidden="1" customHeight="1">
      <c r="A151" s="94" t="s">
        <v>3007</v>
      </c>
      <c r="B151" s="94" t="s">
        <v>560</v>
      </c>
      <c r="C151" s="94" t="s">
        <v>106</v>
      </c>
      <c r="D151" s="95">
        <v>5500</v>
      </c>
      <c r="E151" s="94" t="s">
        <v>442</v>
      </c>
      <c r="F151" s="94" t="s">
        <v>40</v>
      </c>
      <c r="G151" s="95">
        <v>3</v>
      </c>
      <c r="H151" s="94" t="s">
        <v>13</v>
      </c>
      <c r="I151" s="94" t="s">
        <v>6923</v>
      </c>
      <c r="J151" s="94" t="s">
        <v>449</v>
      </c>
      <c r="K151" s="95">
        <v>30</v>
      </c>
      <c r="L151" s="95">
        <v>150</v>
      </c>
      <c r="M151" s="94"/>
      <c r="N151" s="96">
        <v>297000</v>
      </c>
      <c r="O151" s="95">
        <v>1980</v>
      </c>
      <c r="P151" s="95">
        <v>1</v>
      </c>
      <c r="Q151" s="94" t="s">
        <v>383</v>
      </c>
      <c r="R151" s="95">
        <v>3</v>
      </c>
      <c r="S151" s="95">
        <v>90</v>
      </c>
      <c r="T151" s="95">
        <v>0</v>
      </c>
      <c r="U151" s="95">
        <v>0</v>
      </c>
      <c r="V151" s="95">
        <v>465</v>
      </c>
      <c r="W151" s="95">
        <v>1478</v>
      </c>
      <c r="X151" s="97">
        <v>45044.375</v>
      </c>
      <c r="Y151" s="97">
        <v>45026.375</v>
      </c>
      <c r="Z151" s="97">
        <v>45034.375</v>
      </c>
      <c r="AA151" s="98"/>
    </row>
    <row r="152" spans="1:27" ht="15.75" hidden="1" customHeight="1">
      <c r="A152" s="94" t="s">
        <v>3007</v>
      </c>
      <c r="B152" s="94" t="s">
        <v>560</v>
      </c>
      <c r="C152" s="94" t="s">
        <v>106</v>
      </c>
      <c r="D152" s="95">
        <v>5500</v>
      </c>
      <c r="E152" s="94" t="s">
        <v>431</v>
      </c>
      <c r="F152" s="94" t="s">
        <v>433</v>
      </c>
      <c r="G152" s="95">
        <v>18</v>
      </c>
      <c r="H152" s="94" t="s">
        <v>439</v>
      </c>
      <c r="I152" s="94" t="s">
        <v>6671</v>
      </c>
      <c r="J152" s="94" t="s">
        <v>440</v>
      </c>
      <c r="K152" s="95">
        <v>60</v>
      </c>
      <c r="L152" s="94"/>
      <c r="M152" s="95">
        <v>800</v>
      </c>
      <c r="N152" s="94" t="s">
        <v>435</v>
      </c>
      <c r="O152" s="94"/>
      <c r="P152" s="95">
        <v>1</v>
      </c>
      <c r="Q152" s="94" t="s">
        <v>436</v>
      </c>
      <c r="R152" s="95">
        <v>0</v>
      </c>
      <c r="S152" s="95">
        <v>0</v>
      </c>
      <c r="T152" s="95">
        <v>413</v>
      </c>
      <c r="U152" s="95">
        <v>83</v>
      </c>
      <c r="V152" s="95">
        <v>1013</v>
      </c>
      <c r="W152" s="95">
        <v>1478</v>
      </c>
      <c r="X152" s="97">
        <v>45044.375</v>
      </c>
      <c r="Y152" s="97">
        <v>45026.375</v>
      </c>
      <c r="Z152" s="97">
        <v>45034.375</v>
      </c>
      <c r="AA152" s="98"/>
    </row>
    <row r="153" spans="1:27" ht="15.75" hidden="1" customHeight="1">
      <c r="A153" s="94" t="s">
        <v>3007</v>
      </c>
      <c r="B153" s="94" t="s">
        <v>560</v>
      </c>
      <c r="C153" s="94" t="s">
        <v>106</v>
      </c>
      <c r="D153" s="95">
        <v>5500</v>
      </c>
      <c r="E153" s="94" t="s">
        <v>431</v>
      </c>
      <c r="F153" s="94" t="s">
        <v>433</v>
      </c>
      <c r="G153" s="95">
        <v>19</v>
      </c>
      <c r="H153" s="94" t="s">
        <v>368</v>
      </c>
      <c r="I153" s="94" t="s">
        <v>6236</v>
      </c>
      <c r="J153" s="94" t="s">
        <v>434</v>
      </c>
      <c r="K153" s="95">
        <v>60</v>
      </c>
      <c r="L153" s="94"/>
      <c r="M153" s="95">
        <v>550</v>
      </c>
      <c r="N153" s="99" t="s">
        <v>435</v>
      </c>
      <c r="O153" s="94"/>
      <c r="P153" s="95">
        <v>4</v>
      </c>
      <c r="Q153" s="94" t="s">
        <v>436</v>
      </c>
      <c r="R153" s="95">
        <v>0</v>
      </c>
      <c r="S153" s="95">
        <v>0</v>
      </c>
      <c r="T153" s="95">
        <v>600</v>
      </c>
      <c r="U153" s="95">
        <v>120</v>
      </c>
      <c r="V153" s="95">
        <v>1013</v>
      </c>
      <c r="W153" s="95">
        <v>1478</v>
      </c>
      <c r="X153" s="97">
        <v>45044.375</v>
      </c>
      <c r="Y153" s="97">
        <v>45026.375</v>
      </c>
      <c r="Z153" s="97">
        <v>45034.375</v>
      </c>
      <c r="AA153" s="98"/>
    </row>
    <row r="154" spans="1:27" ht="15.75" hidden="1" customHeight="1">
      <c r="A154" s="94" t="s">
        <v>2894</v>
      </c>
      <c r="B154" s="94" t="s">
        <v>637</v>
      </c>
      <c r="C154" s="94" t="s">
        <v>109</v>
      </c>
      <c r="D154" s="95">
        <v>5000</v>
      </c>
      <c r="E154" s="94" t="s">
        <v>442</v>
      </c>
      <c r="F154" s="94" t="s">
        <v>33</v>
      </c>
      <c r="G154" s="95">
        <v>10</v>
      </c>
      <c r="H154" s="94" t="s">
        <v>11</v>
      </c>
      <c r="I154" s="94" t="s">
        <v>7228</v>
      </c>
      <c r="J154" s="94" t="s">
        <v>426</v>
      </c>
      <c r="K154" s="95">
        <v>90</v>
      </c>
      <c r="L154" s="95">
        <v>128</v>
      </c>
      <c r="M154" s="94"/>
      <c r="N154" s="96">
        <v>105000</v>
      </c>
      <c r="O154" s="95">
        <v>820</v>
      </c>
      <c r="P154" s="95">
        <v>1</v>
      </c>
      <c r="Q154" s="94" t="s">
        <v>383</v>
      </c>
      <c r="R154" s="95">
        <v>7</v>
      </c>
      <c r="S154" s="95">
        <v>630</v>
      </c>
      <c r="T154" s="95">
        <v>0</v>
      </c>
      <c r="U154" s="95">
        <v>0</v>
      </c>
      <c r="V154" s="95">
        <v>945</v>
      </c>
      <c r="W154" s="95">
        <v>1874</v>
      </c>
      <c r="X154" s="97">
        <v>45064.375</v>
      </c>
      <c r="Y154" s="97">
        <v>45027.375</v>
      </c>
      <c r="Z154" s="97">
        <v>45056.375</v>
      </c>
      <c r="AA154" s="98"/>
    </row>
    <row r="155" spans="1:27" ht="15.75" hidden="1" customHeight="1">
      <c r="A155" s="94" t="s">
        <v>2894</v>
      </c>
      <c r="B155" s="94" t="s">
        <v>637</v>
      </c>
      <c r="C155" s="94" t="s">
        <v>109</v>
      </c>
      <c r="D155" s="95">
        <v>5000</v>
      </c>
      <c r="E155" s="94" t="s">
        <v>442</v>
      </c>
      <c r="F155" s="94" t="s">
        <v>33</v>
      </c>
      <c r="G155" s="95">
        <v>11</v>
      </c>
      <c r="H155" s="94" t="s">
        <v>12</v>
      </c>
      <c r="I155" s="94" t="s">
        <v>6923</v>
      </c>
      <c r="J155" s="94" t="s">
        <v>444</v>
      </c>
      <c r="K155" s="95">
        <v>35</v>
      </c>
      <c r="L155" s="95">
        <v>128</v>
      </c>
      <c r="M155" s="94"/>
      <c r="N155" s="96">
        <v>105000</v>
      </c>
      <c r="O155" s="95">
        <v>820</v>
      </c>
      <c r="P155" s="95">
        <v>1</v>
      </c>
      <c r="Q155" s="94" t="s">
        <v>383</v>
      </c>
      <c r="R155" s="95">
        <v>7</v>
      </c>
      <c r="S155" s="95">
        <v>245</v>
      </c>
      <c r="T155" s="95">
        <v>0</v>
      </c>
      <c r="U155" s="95">
        <v>0</v>
      </c>
      <c r="V155" s="95">
        <v>945</v>
      </c>
      <c r="W155" s="95">
        <v>1874</v>
      </c>
      <c r="X155" s="97">
        <v>45064.375</v>
      </c>
      <c r="Y155" s="97">
        <v>45027.375</v>
      </c>
      <c r="Z155" s="97">
        <v>45056.375</v>
      </c>
      <c r="AA155" s="98"/>
    </row>
    <row r="156" spans="1:27" ht="15.75" hidden="1" customHeight="1">
      <c r="A156" s="94" t="s">
        <v>2894</v>
      </c>
      <c r="B156" s="94" t="s">
        <v>637</v>
      </c>
      <c r="C156" s="94" t="s">
        <v>109</v>
      </c>
      <c r="D156" s="95">
        <v>5000</v>
      </c>
      <c r="E156" s="94" t="s">
        <v>442</v>
      </c>
      <c r="F156" s="94" t="s">
        <v>33</v>
      </c>
      <c r="G156" s="95">
        <v>12</v>
      </c>
      <c r="H156" s="94" t="s">
        <v>13</v>
      </c>
      <c r="I156" s="94" t="s">
        <v>6923</v>
      </c>
      <c r="J156" s="94" t="s">
        <v>444</v>
      </c>
      <c r="K156" s="95">
        <v>10</v>
      </c>
      <c r="L156" s="95">
        <v>128</v>
      </c>
      <c r="M156" s="94"/>
      <c r="N156" s="95">
        <v>105000</v>
      </c>
      <c r="O156" s="95">
        <v>820</v>
      </c>
      <c r="P156" s="95">
        <v>1</v>
      </c>
      <c r="Q156" s="94" t="s">
        <v>383</v>
      </c>
      <c r="R156" s="95">
        <v>7</v>
      </c>
      <c r="S156" s="95">
        <v>70</v>
      </c>
      <c r="T156" s="95">
        <v>0</v>
      </c>
      <c r="U156" s="95">
        <v>0</v>
      </c>
      <c r="V156" s="95">
        <v>945</v>
      </c>
      <c r="W156" s="95">
        <v>1874</v>
      </c>
      <c r="X156" s="97">
        <v>45064.375</v>
      </c>
      <c r="Y156" s="97">
        <v>45027.375</v>
      </c>
      <c r="Z156" s="97">
        <v>45056.375</v>
      </c>
      <c r="AA156" s="98"/>
    </row>
    <row r="157" spans="1:27" ht="15.75" hidden="1" customHeight="1">
      <c r="A157" s="94" t="s">
        <v>2894</v>
      </c>
      <c r="B157" s="94" t="s">
        <v>637</v>
      </c>
      <c r="C157" s="94" t="s">
        <v>109</v>
      </c>
      <c r="D157" s="95">
        <v>5000</v>
      </c>
      <c r="E157" s="94" t="s">
        <v>431</v>
      </c>
      <c r="F157" s="94" t="s">
        <v>433</v>
      </c>
      <c r="G157" s="95">
        <v>18</v>
      </c>
      <c r="H157" s="94" t="s">
        <v>439</v>
      </c>
      <c r="I157" s="94" t="s">
        <v>6671</v>
      </c>
      <c r="J157" s="94" t="s">
        <v>440</v>
      </c>
      <c r="K157" s="95">
        <v>60</v>
      </c>
      <c r="L157" s="94"/>
      <c r="M157" s="95">
        <v>600</v>
      </c>
      <c r="N157" s="94" t="s">
        <v>435</v>
      </c>
      <c r="O157" s="94"/>
      <c r="P157" s="95">
        <v>1</v>
      </c>
      <c r="Q157" s="94" t="s">
        <v>436</v>
      </c>
      <c r="R157" s="95">
        <v>0</v>
      </c>
      <c r="S157" s="95">
        <v>0</v>
      </c>
      <c r="T157" s="95">
        <v>500</v>
      </c>
      <c r="U157" s="95">
        <v>100</v>
      </c>
      <c r="V157" s="95">
        <v>929</v>
      </c>
      <c r="W157" s="95">
        <v>1874</v>
      </c>
      <c r="X157" s="97">
        <v>45064.375</v>
      </c>
      <c r="Y157" s="97">
        <v>45027.375</v>
      </c>
      <c r="Z157" s="97">
        <v>45056.375</v>
      </c>
      <c r="AA157" s="98"/>
    </row>
    <row r="158" spans="1:27" ht="15.75" hidden="1" customHeight="1">
      <c r="A158" s="94" t="s">
        <v>2894</v>
      </c>
      <c r="B158" s="94" t="s">
        <v>637</v>
      </c>
      <c r="C158" s="94" t="s">
        <v>109</v>
      </c>
      <c r="D158" s="95">
        <v>5000</v>
      </c>
      <c r="E158" s="94" t="s">
        <v>431</v>
      </c>
      <c r="F158" s="94" t="s">
        <v>433</v>
      </c>
      <c r="G158" s="95">
        <v>19</v>
      </c>
      <c r="H158" s="94" t="s">
        <v>368</v>
      </c>
      <c r="I158" s="94" t="s">
        <v>6236</v>
      </c>
      <c r="J158" s="94" t="s">
        <v>434</v>
      </c>
      <c r="K158" s="95">
        <v>60</v>
      </c>
      <c r="L158" s="94"/>
      <c r="M158" s="95">
        <v>700</v>
      </c>
      <c r="N158" s="99" t="s">
        <v>435</v>
      </c>
      <c r="O158" s="94"/>
      <c r="P158" s="95">
        <v>4</v>
      </c>
      <c r="Q158" s="94" t="s">
        <v>436</v>
      </c>
      <c r="R158" s="95">
        <v>0</v>
      </c>
      <c r="S158" s="95">
        <v>0</v>
      </c>
      <c r="T158" s="95">
        <v>429</v>
      </c>
      <c r="U158" s="95">
        <v>86</v>
      </c>
      <c r="V158" s="95">
        <v>929</v>
      </c>
      <c r="W158" s="95">
        <v>1874</v>
      </c>
      <c r="X158" s="97">
        <v>45064.375</v>
      </c>
      <c r="Y158" s="97">
        <v>45027.375</v>
      </c>
      <c r="Z158" s="97">
        <v>45056.375</v>
      </c>
      <c r="AA158" s="98"/>
    </row>
    <row r="159" spans="1:27" ht="15.75" hidden="1" customHeight="1">
      <c r="A159" s="94" t="s">
        <v>2852</v>
      </c>
      <c r="B159" s="94" t="s">
        <v>706</v>
      </c>
      <c r="C159" s="94" t="s">
        <v>124</v>
      </c>
      <c r="D159" s="95">
        <v>5000</v>
      </c>
      <c r="E159" s="94" t="s">
        <v>442</v>
      </c>
      <c r="F159" s="94" t="s">
        <v>33</v>
      </c>
      <c r="G159" s="95">
        <v>10</v>
      </c>
      <c r="H159" s="94" t="s">
        <v>11</v>
      </c>
      <c r="I159" s="94" t="s">
        <v>7228</v>
      </c>
      <c r="J159" s="94" t="s">
        <v>426</v>
      </c>
      <c r="K159" s="95">
        <v>25</v>
      </c>
      <c r="L159" s="95">
        <v>9.1999999999999993</v>
      </c>
      <c r="M159" s="94"/>
      <c r="N159" s="96">
        <v>48000</v>
      </c>
      <c r="O159" s="95">
        <v>5217</v>
      </c>
      <c r="P159" s="95">
        <v>1</v>
      </c>
      <c r="Q159" s="94" t="s">
        <v>383</v>
      </c>
      <c r="R159" s="95">
        <v>1</v>
      </c>
      <c r="S159" s="95">
        <v>25</v>
      </c>
      <c r="T159" s="95">
        <v>0</v>
      </c>
      <c r="U159" s="95">
        <v>0</v>
      </c>
      <c r="V159" s="95">
        <v>120</v>
      </c>
      <c r="W159" s="95">
        <v>474</v>
      </c>
      <c r="X159" s="97">
        <v>45048.375</v>
      </c>
      <c r="Y159" s="97">
        <v>45027.375</v>
      </c>
      <c r="Z159" s="97">
        <v>44979.375</v>
      </c>
      <c r="AA159" s="98"/>
    </row>
    <row r="160" spans="1:27" ht="15.75" hidden="1" customHeight="1">
      <c r="A160" s="94" t="s">
        <v>2852</v>
      </c>
      <c r="B160" s="94" t="s">
        <v>706</v>
      </c>
      <c r="C160" s="94" t="s">
        <v>124</v>
      </c>
      <c r="D160" s="95">
        <v>5000</v>
      </c>
      <c r="E160" s="94" t="s">
        <v>442</v>
      </c>
      <c r="F160" s="94" t="s">
        <v>33</v>
      </c>
      <c r="G160" s="95">
        <v>11</v>
      </c>
      <c r="H160" s="94" t="s">
        <v>12</v>
      </c>
      <c r="I160" s="94" t="s">
        <v>6923</v>
      </c>
      <c r="J160" s="94" t="s">
        <v>444</v>
      </c>
      <c r="K160" s="95">
        <v>80</v>
      </c>
      <c r="L160" s="95">
        <v>9.1999999999999993</v>
      </c>
      <c r="M160" s="94"/>
      <c r="N160" s="96">
        <v>48000</v>
      </c>
      <c r="O160" s="95">
        <v>5217</v>
      </c>
      <c r="P160" s="95">
        <v>1</v>
      </c>
      <c r="Q160" s="94" t="s">
        <v>383</v>
      </c>
      <c r="R160" s="95">
        <v>1</v>
      </c>
      <c r="S160" s="95">
        <v>80</v>
      </c>
      <c r="T160" s="95">
        <v>0</v>
      </c>
      <c r="U160" s="95">
        <v>0</v>
      </c>
      <c r="V160" s="95">
        <v>120</v>
      </c>
      <c r="W160" s="95">
        <v>474</v>
      </c>
      <c r="X160" s="97">
        <v>45048.375</v>
      </c>
      <c r="Y160" s="97">
        <v>45027.375</v>
      </c>
      <c r="Z160" s="97">
        <v>44979.375</v>
      </c>
      <c r="AA160" s="98"/>
    </row>
    <row r="161" spans="1:27" ht="15.75" hidden="1" customHeight="1">
      <c r="A161" s="94" t="s">
        <v>2852</v>
      </c>
      <c r="B161" s="94" t="s">
        <v>706</v>
      </c>
      <c r="C161" s="94" t="s">
        <v>124</v>
      </c>
      <c r="D161" s="95">
        <v>5000</v>
      </c>
      <c r="E161" s="94" t="s">
        <v>442</v>
      </c>
      <c r="F161" s="94" t="s">
        <v>33</v>
      </c>
      <c r="G161" s="95">
        <v>12</v>
      </c>
      <c r="H161" s="94" t="s">
        <v>13</v>
      </c>
      <c r="I161" s="94" t="s">
        <v>6923</v>
      </c>
      <c r="J161" s="94" t="s">
        <v>444</v>
      </c>
      <c r="K161" s="95">
        <v>15</v>
      </c>
      <c r="L161" s="95">
        <v>9.1999999999999993</v>
      </c>
      <c r="M161" s="94"/>
      <c r="N161" s="95">
        <v>48000</v>
      </c>
      <c r="O161" s="95">
        <v>5217</v>
      </c>
      <c r="P161" s="95">
        <v>1</v>
      </c>
      <c r="Q161" s="94" t="s">
        <v>383</v>
      </c>
      <c r="R161" s="95">
        <v>1</v>
      </c>
      <c r="S161" s="95">
        <v>15</v>
      </c>
      <c r="T161" s="95">
        <v>0</v>
      </c>
      <c r="U161" s="95">
        <v>0</v>
      </c>
      <c r="V161" s="95">
        <v>120</v>
      </c>
      <c r="W161" s="95">
        <v>474</v>
      </c>
      <c r="X161" s="97">
        <v>45048.375</v>
      </c>
      <c r="Y161" s="97">
        <v>45027.375</v>
      </c>
      <c r="Z161" s="97">
        <v>44979.375</v>
      </c>
      <c r="AA161" s="98"/>
    </row>
    <row r="162" spans="1:27" ht="15.75" hidden="1" customHeight="1">
      <c r="A162" s="94" t="s">
        <v>2852</v>
      </c>
      <c r="B162" s="94" t="s">
        <v>706</v>
      </c>
      <c r="C162" s="94" t="s">
        <v>124</v>
      </c>
      <c r="D162" s="95">
        <v>5000</v>
      </c>
      <c r="E162" s="94" t="s">
        <v>431</v>
      </c>
      <c r="F162" s="94" t="s">
        <v>433</v>
      </c>
      <c r="G162" s="95">
        <v>18</v>
      </c>
      <c r="H162" s="94" t="s">
        <v>439</v>
      </c>
      <c r="I162" s="94" t="s">
        <v>6671</v>
      </c>
      <c r="J162" s="94" t="s">
        <v>440</v>
      </c>
      <c r="K162" s="95">
        <v>60</v>
      </c>
      <c r="L162" s="94"/>
      <c r="M162" s="95">
        <v>1700</v>
      </c>
      <c r="N162" s="99" t="s">
        <v>435</v>
      </c>
      <c r="O162" s="94"/>
      <c r="P162" s="95">
        <v>1</v>
      </c>
      <c r="Q162" s="94" t="s">
        <v>436</v>
      </c>
      <c r="R162" s="95">
        <v>0</v>
      </c>
      <c r="S162" s="95">
        <v>0</v>
      </c>
      <c r="T162" s="95">
        <v>177</v>
      </c>
      <c r="U162" s="95">
        <v>36</v>
      </c>
      <c r="V162" s="95">
        <v>354</v>
      </c>
      <c r="W162" s="95">
        <v>474</v>
      </c>
      <c r="X162" s="97">
        <v>45048.375</v>
      </c>
      <c r="Y162" s="97">
        <v>45027.375</v>
      </c>
      <c r="Z162" s="97">
        <v>44979.375</v>
      </c>
      <c r="AA162" s="98"/>
    </row>
    <row r="163" spans="1:27" ht="15.75" hidden="1" customHeight="1">
      <c r="A163" s="94" t="s">
        <v>2852</v>
      </c>
      <c r="B163" s="94" t="s">
        <v>706</v>
      </c>
      <c r="C163" s="94" t="s">
        <v>124</v>
      </c>
      <c r="D163" s="95">
        <v>5000</v>
      </c>
      <c r="E163" s="94" t="s">
        <v>431</v>
      </c>
      <c r="F163" s="94" t="s">
        <v>433</v>
      </c>
      <c r="G163" s="95">
        <v>19</v>
      </c>
      <c r="H163" s="94" t="s">
        <v>368</v>
      </c>
      <c r="I163" s="94" t="s">
        <v>6236</v>
      </c>
      <c r="J163" s="94" t="s">
        <v>434</v>
      </c>
      <c r="K163" s="95">
        <v>60</v>
      </c>
      <c r="L163" s="94"/>
      <c r="M163" s="95">
        <v>1700</v>
      </c>
      <c r="N163" s="99" t="s">
        <v>435</v>
      </c>
      <c r="O163" s="94"/>
      <c r="P163" s="95">
        <v>4</v>
      </c>
      <c r="Q163" s="94" t="s">
        <v>436</v>
      </c>
      <c r="R163" s="95">
        <v>0</v>
      </c>
      <c r="S163" s="95">
        <v>0</v>
      </c>
      <c r="T163" s="95">
        <v>177</v>
      </c>
      <c r="U163" s="95">
        <v>36</v>
      </c>
      <c r="V163" s="95">
        <v>354</v>
      </c>
      <c r="W163" s="95">
        <v>474</v>
      </c>
      <c r="X163" s="97">
        <v>45048.375</v>
      </c>
      <c r="Y163" s="97">
        <v>45027.375</v>
      </c>
      <c r="Z163" s="97">
        <v>44979.375</v>
      </c>
      <c r="AA163" s="98"/>
    </row>
    <row r="164" spans="1:27" ht="15.75" hidden="1" customHeight="1">
      <c r="A164" s="94" t="s">
        <v>2893</v>
      </c>
      <c r="B164" s="94" t="s">
        <v>534</v>
      </c>
      <c r="C164" s="94" t="s">
        <v>143</v>
      </c>
      <c r="D164" s="95">
        <v>2500</v>
      </c>
      <c r="E164" s="94" t="s">
        <v>424</v>
      </c>
      <c r="F164" s="94" t="s">
        <v>48</v>
      </c>
      <c r="G164" s="95">
        <v>4</v>
      </c>
      <c r="H164" s="94" t="s">
        <v>11</v>
      </c>
      <c r="I164" s="94" t="s">
        <v>7228</v>
      </c>
      <c r="J164" s="94" t="s">
        <v>426</v>
      </c>
      <c r="K164" s="95">
        <v>25</v>
      </c>
      <c r="L164" s="95">
        <v>175</v>
      </c>
      <c r="M164" s="94"/>
      <c r="N164" s="95">
        <v>52000</v>
      </c>
      <c r="O164" s="95">
        <v>297</v>
      </c>
      <c r="P164" s="95">
        <v>1</v>
      </c>
      <c r="Q164" s="94" t="s">
        <v>383</v>
      </c>
      <c r="R164" s="95">
        <v>9</v>
      </c>
      <c r="S164" s="95">
        <v>225</v>
      </c>
      <c r="T164" s="95">
        <v>0</v>
      </c>
      <c r="U164" s="95">
        <v>0</v>
      </c>
      <c r="V164" s="95">
        <v>1425</v>
      </c>
      <c r="W164" s="95">
        <v>1913</v>
      </c>
      <c r="X164" s="97">
        <v>45072.375</v>
      </c>
      <c r="Y164" s="97">
        <v>45027.375</v>
      </c>
      <c r="Z164" s="97">
        <v>45058.375</v>
      </c>
      <c r="AA164" s="98"/>
    </row>
    <row r="165" spans="1:27" ht="15.75" hidden="1" customHeight="1">
      <c r="A165" s="94" t="s">
        <v>2893</v>
      </c>
      <c r="B165" s="94" t="s">
        <v>534</v>
      </c>
      <c r="C165" s="94" t="s">
        <v>143</v>
      </c>
      <c r="D165" s="95">
        <v>2500</v>
      </c>
      <c r="E165" s="94" t="s">
        <v>424</v>
      </c>
      <c r="F165" s="94" t="s">
        <v>48</v>
      </c>
      <c r="G165" s="95">
        <v>5</v>
      </c>
      <c r="H165" s="94" t="s">
        <v>12</v>
      </c>
      <c r="I165" s="94" t="s">
        <v>6923</v>
      </c>
      <c r="J165" s="94" t="s">
        <v>427</v>
      </c>
      <c r="K165" s="95">
        <v>130</v>
      </c>
      <c r="L165" s="95">
        <v>175</v>
      </c>
      <c r="M165" s="94"/>
      <c r="N165" s="95">
        <v>52000</v>
      </c>
      <c r="O165" s="95">
        <v>297</v>
      </c>
      <c r="P165" s="95">
        <v>1</v>
      </c>
      <c r="Q165" s="94" t="s">
        <v>383</v>
      </c>
      <c r="R165" s="95">
        <v>9</v>
      </c>
      <c r="S165" s="95">
        <v>1170</v>
      </c>
      <c r="T165" s="95">
        <v>0</v>
      </c>
      <c r="U165" s="95">
        <v>0</v>
      </c>
      <c r="V165" s="95">
        <v>1425</v>
      </c>
      <c r="W165" s="95">
        <v>1913</v>
      </c>
      <c r="X165" s="97">
        <v>45072.375</v>
      </c>
      <c r="Y165" s="97">
        <v>45027.375</v>
      </c>
      <c r="Z165" s="97">
        <v>45058.375</v>
      </c>
      <c r="AA165" s="98"/>
    </row>
    <row r="166" spans="1:27" ht="15.75" hidden="1" customHeight="1">
      <c r="A166" s="94" t="s">
        <v>2893</v>
      </c>
      <c r="B166" s="94" t="s">
        <v>534</v>
      </c>
      <c r="C166" s="94" t="s">
        <v>143</v>
      </c>
      <c r="D166" s="95">
        <v>2500</v>
      </c>
      <c r="E166" s="94" t="s">
        <v>424</v>
      </c>
      <c r="F166" s="94" t="s">
        <v>48</v>
      </c>
      <c r="G166" s="95">
        <v>6</v>
      </c>
      <c r="H166" s="94" t="s">
        <v>13</v>
      </c>
      <c r="I166" s="94" t="s">
        <v>6923</v>
      </c>
      <c r="J166" s="94" t="s">
        <v>427</v>
      </c>
      <c r="K166" s="95">
        <v>30</v>
      </c>
      <c r="L166" s="95">
        <v>175</v>
      </c>
      <c r="M166" s="94"/>
      <c r="N166" s="95">
        <v>52000</v>
      </c>
      <c r="O166" s="95">
        <v>297</v>
      </c>
      <c r="P166" s="95">
        <v>1</v>
      </c>
      <c r="Q166" s="94" t="s">
        <v>383</v>
      </c>
      <c r="R166" s="95">
        <v>9</v>
      </c>
      <c r="S166" s="95">
        <v>30</v>
      </c>
      <c r="T166" s="95">
        <v>0</v>
      </c>
      <c r="U166" s="95">
        <v>0</v>
      </c>
      <c r="V166" s="95">
        <v>1425</v>
      </c>
      <c r="W166" s="95">
        <v>1913</v>
      </c>
      <c r="X166" s="97">
        <v>45072.375</v>
      </c>
      <c r="Y166" s="97">
        <v>45027.375</v>
      </c>
      <c r="Z166" s="97">
        <v>45058.375</v>
      </c>
      <c r="AA166" s="98"/>
    </row>
    <row r="167" spans="1:27" ht="15.75" hidden="1" customHeight="1">
      <c r="A167" s="94" t="s">
        <v>2893</v>
      </c>
      <c r="B167" s="94" t="s">
        <v>534</v>
      </c>
      <c r="C167" s="94" t="s">
        <v>143</v>
      </c>
      <c r="D167" s="95">
        <v>2500</v>
      </c>
      <c r="E167" s="94" t="s">
        <v>431</v>
      </c>
      <c r="F167" s="94" t="s">
        <v>433</v>
      </c>
      <c r="G167" s="95">
        <v>18</v>
      </c>
      <c r="H167" s="94" t="s">
        <v>439</v>
      </c>
      <c r="I167" s="94" t="s">
        <v>6671</v>
      </c>
      <c r="J167" s="94" t="s">
        <v>440</v>
      </c>
      <c r="K167" s="95">
        <v>60</v>
      </c>
      <c r="L167" s="94"/>
      <c r="M167" s="95">
        <v>800</v>
      </c>
      <c r="N167" s="94" t="s">
        <v>435</v>
      </c>
      <c r="O167" s="94"/>
      <c r="P167" s="95">
        <v>1</v>
      </c>
      <c r="Q167" s="94" t="s">
        <v>436</v>
      </c>
      <c r="R167" s="95">
        <v>0</v>
      </c>
      <c r="S167" s="95">
        <v>0</v>
      </c>
      <c r="T167" s="95">
        <v>188</v>
      </c>
      <c r="U167" s="95">
        <v>38</v>
      </c>
      <c r="V167" s="95">
        <v>488</v>
      </c>
      <c r="W167" s="95">
        <v>1913</v>
      </c>
      <c r="X167" s="97">
        <v>45072.375</v>
      </c>
      <c r="Y167" s="97">
        <v>45027.375</v>
      </c>
      <c r="Z167" s="97">
        <v>45058.375</v>
      </c>
      <c r="AA167" s="98"/>
    </row>
    <row r="168" spans="1:27" ht="15.75" hidden="1" customHeight="1">
      <c r="A168" s="94" t="s">
        <v>2893</v>
      </c>
      <c r="B168" s="94" t="s">
        <v>534</v>
      </c>
      <c r="C168" s="94" t="s">
        <v>143</v>
      </c>
      <c r="D168" s="95">
        <v>2500</v>
      </c>
      <c r="E168" s="94" t="s">
        <v>431</v>
      </c>
      <c r="F168" s="94" t="s">
        <v>433</v>
      </c>
      <c r="G168" s="95">
        <v>19</v>
      </c>
      <c r="H168" s="94" t="s">
        <v>368</v>
      </c>
      <c r="I168" s="94" t="s">
        <v>6236</v>
      </c>
      <c r="J168" s="94" t="s">
        <v>434</v>
      </c>
      <c r="K168" s="95">
        <v>60</v>
      </c>
      <c r="L168" s="94"/>
      <c r="M168" s="95">
        <v>500</v>
      </c>
      <c r="N168" s="94" t="s">
        <v>435</v>
      </c>
      <c r="O168" s="94"/>
      <c r="P168" s="95">
        <v>3</v>
      </c>
      <c r="Q168" s="94" t="s">
        <v>436</v>
      </c>
      <c r="R168" s="95">
        <v>0</v>
      </c>
      <c r="S168" s="95">
        <v>0</v>
      </c>
      <c r="T168" s="95">
        <v>300</v>
      </c>
      <c r="U168" s="95">
        <v>60</v>
      </c>
      <c r="V168" s="95">
        <v>488</v>
      </c>
      <c r="W168" s="95">
        <v>1913</v>
      </c>
      <c r="X168" s="97">
        <v>45072.375</v>
      </c>
      <c r="Y168" s="97">
        <v>45027.375</v>
      </c>
      <c r="Z168" s="97">
        <v>45058.375</v>
      </c>
      <c r="AA168" s="98"/>
    </row>
    <row r="169" spans="1:27" ht="15.75" hidden="1" customHeight="1">
      <c r="A169" s="94" t="s">
        <v>3028</v>
      </c>
      <c r="B169" s="94" t="s">
        <v>711</v>
      </c>
      <c r="C169" s="94" t="s">
        <v>165</v>
      </c>
      <c r="D169" s="95">
        <v>1180</v>
      </c>
      <c r="E169" s="94" t="s">
        <v>424</v>
      </c>
      <c r="F169" s="94" t="s">
        <v>48</v>
      </c>
      <c r="G169" s="95">
        <v>4</v>
      </c>
      <c r="H169" s="94" t="s">
        <v>11</v>
      </c>
      <c r="I169" s="94" t="s">
        <v>7228</v>
      </c>
      <c r="J169" s="94" t="s">
        <v>426</v>
      </c>
      <c r="K169" s="95">
        <v>35</v>
      </c>
      <c r="L169" s="95">
        <v>170</v>
      </c>
      <c r="M169" s="94"/>
      <c r="N169" s="95">
        <v>50000</v>
      </c>
      <c r="O169" s="95">
        <v>294</v>
      </c>
      <c r="P169" s="95">
        <v>1</v>
      </c>
      <c r="Q169" s="94" t="s">
        <v>383</v>
      </c>
      <c r="R169" s="95">
        <v>5</v>
      </c>
      <c r="S169" s="95">
        <v>175</v>
      </c>
      <c r="T169" s="95">
        <v>0</v>
      </c>
      <c r="U169" s="95">
        <v>0</v>
      </c>
      <c r="V169" s="95">
        <v>935</v>
      </c>
      <c r="W169" s="95">
        <v>3255</v>
      </c>
      <c r="X169" s="97">
        <v>45070.375</v>
      </c>
      <c r="Y169" s="97">
        <v>45050.375</v>
      </c>
      <c r="Z169" s="97">
        <v>45036.375</v>
      </c>
      <c r="AA169" s="98"/>
    </row>
    <row r="170" spans="1:27" ht="15.75" hidden="1" customHeight="1">
      <c r="A170" s="94" t="s">
        <v>3028</v>
      </c>
      <c r="B170" s="94" t="s">
        <v>711</v>
      </c>
      <c r="C170" s="94" t="s">
        <v>165</v>
      </c>
      <c r="D170" s="95">
        <v>1180</v>
      </c>
      <c r="E170" s="94" t="s">
        <v>424</v>
      </c>
      <c r="F170" s="94" t="s">
        <v>48</v>
      </c>
      <c r="G170" s="95">
        <v>5</v>
      </c>
      <c r="H170" s="94" t="s">
        <v>12</v>
      </c>
      <c r="I170" s="94" t="s">
        <v>6923</v>
      </c>
      <c r="J170" s="94" t="s">
        <v>427</v>
      </c>
      <c r="K170" s="95">
        <v>140</v>
      </c>
      <c r="L170" s="95">
        <v>170</v>
      </c>
      <c r="M170" s="94"/>
      <c r="N170" s="95">
        <v>50000</v>
      </c>
      <c r="O170" s="95">
        <v>294</v>
      </c>
      <c r="P170" s="95">
        <v>1</v>
      </c>
      <c r="Q170" s="94" t="s">
        <v>383</v>
      </c>
      <c r="R170" s="95">
        <v>5</v>
      </c>
      <c r="S170" s="95">
        <v>700</v>
      </c>
      <c r="T170" s="95">
        <v>0</v>
      </c>
      <c r="U170" s="95">
        <v>0</v>
      </c>
      <c r="V170" s="95">
        <v>935</v>
      </c>
      <c r="W170" s="95">
        <v>3255</v>
      </c>
      <c r="X170" s="97">
        <v>45070.375</v>
      </c>
      <c r="Y170" s="97">
        <v>45050.375</v>
      </c>
      <c r="Z170" s="97">
        <v>45036.375</v>
      </c>
      <c r="AA170" s="98"/>
    </row>
    <row r="171" spans="1:27" ht="15.75" hidden="1" customHeight="1">
      <c r="A171" s="94" t="s">
        <v>3028</v>
      </c>
      <c r="B171" s="94" t="s">
        <v>711</v>
      </c>
      <c r="C171" s="94" t="s">
        <v>165</v>
      </c>
      <c r="D171" s="95">
        <v>1180</v>
      </c>
      <c r="E171" s="94" t="s">
        <v>424</v>
      </c>
      <c r="F171" s="94" t="s">
        <v>48</v>
      </c>
      <c r="G171" s="95">
        <v>6</v>
      </c>
      <c r="H171" s="94" t="s">
        <v>13</v>
      </c>
      <c r="I171" s="94" t="s">
        <v>6923</v>
      </c>
      <c r="J171" s="94" t="s">
        <v>427</v>
      </c>
      <c r="K171" s="95">
        <v>40</v>
      </c>
      <c r="L171" s="95">
        <v>170</v>
      </c>
      <c r="M171" s="94"/>
      <c r="N171" s="95">
        <v>50000</v>
      </c>
      <c r="O171" s="95">
        <v>294</v>
      </c>
      <c r="P171" s="95">
        <v>1</v>
      </c>
      <c r="Q171" s="94" t="s">
        <v>383</v>
      </c>
      <c r="R171" s="95">
        <v>5</v>
      </c>
      <c r="S171" s="95">
        <v>60</v>
      </c>
      <c r="T171" s="95">
        <v>0</v>
      </c>
      <c r="U171" s="95">
        <v>0</v>
      </c>
      <c r="V171" s="95">
        <v>935</v>
      </c>
      <c r="W171" s="95">
        <v>3255</v>
      </c>
      <c r="X171" s="97">
        <v>45070.375</v>
      </c>
      <c r="Y171" s="97">
        <v>45050.375</v>
      </c>
      <c r="Z171" s="97">
        <v>45036.375</v>
      </c>
      <c r="AA171" s="98"/>
    </row>
    <row r="172" spans="1:27" ht="15.75" hidden="1" customHeight="1">
      <c r="A172" s="94" t="s">
        <v>3028</v>
      </c>
      <c r="B172" s="94" t="s">
        <v>711</v>
      </c>
      <c r="C172" s="94" t="s">
        <v>165</v>
      </c>
      <c r="D172" s="95">
        <v>1180</v>
      </c>
      <c r="E172" s="94" t="s">
        <v>431</v>
      </c>
      <c r="F172" s="94" t="s">
        <v>433</v>
      </c>
      <c r="G172" s="95">
        <v>18</v>
      </c>
      <c r="H172" s="94" t="s">
        <v>439</v>
      </c>
      <c r="I172" s="94" t="s">
        <v>6671</v>
      </c>
      <c r="J172" s="94" t="s">
        <v>440</v>
      </c>
      <c r="K172" s="95">
        <v>60</v>
      </c>
      <c r="L172" s="94"/>
      <c r="M172" s="95">
        <v>400</v>
      </c>
      <c r="N172" s="94" t="s">
        <v>435</v>
      </c>
      <c r="O172" s="94"/>
      <c r="P172" s="95">
        <v>1</v>
      </c>
      <c r="Q172" s="94" t="s">
        <v>436</v>
      </c>
      <c r="R172" s="95">
        <v>0</v>
      </c>
      <c r="S172" s="95">
        <v>0</v>
      </c>
      <c r="T172" s="95">
        <v>177</v>
      </c>
      <c r="U172" s="95">
        <v>36</v>
      </c>
      <c r="V172" s="95">
        <v>2320</v>
      </c>
      <c r="W172" s="95">
        <v>3255</v>
      </c>
      <c r="X172" s="97">
        <v>45070.375</v>
      </c>
      <c r="Y172" s="97">
        <v>45050.375</v>
      </c>
      <c r="Z172" s="97">
        <v>45036.375</v>
      </c>
      <c r="AA172" s="98"/>
    </row>
    <row r="173" spans="1:27" ht="15.75" hidden="1" customHeight="1">
      <c r="A173" s="94" t="s">
        <v>3028</v>
      </c>
      <c r="B173" s="94" t="s">
        <v>711</v>
      </c>
      <c r="C173" s="94" t="s">
        <v>165</v>
      </c>
      <c r="D173" s="95">
        <v>1180</v>
      </c>
      <c r="E173" s="94" t="s">
        <v>431</v>
      </c>
      <c r="F173" s="94" t="s">
        <v>433</v>
      </c>
      <c r="G173" s="95">
        <v>19</v>
      </c>
      <c r="H173" s="94" t="s">
        <v>368</v>
      </c>
      <c r="I173" s="94" t="s">
        <v>6236</v>
      </c>
      <c r="J173" s="94" t="s">
        <v>434</v>
      </c>
      <c r="K173" s="95">
        <v>60</v>
      </c>
      <c r="L173" s="94"/>
      <c r="M173" s="95">
        <v>190</v>
      </c>
      <c r="N173" s="94" t="s">
        <v>435</v>
      </c>
      <c r="O173" s="94"/>
      <c r="P173" s="95">
        <v>4</v>
      </c>
      <c r="Q173" s="94" t="s">
        <v>436</v>
      </c>
      <c r="R173" s="95">
        <v>0</v>
      </c>
      <c r="S173" s="95">
        <v>0</v>
      </c>
      <c r="T173" s="95">
        <v>373</v>
      </c>
      <c r="U173" s="95">
        <v>75</v>
      </c>
      <c r="V173" s="95">
        <v>2320</v>
      </c>
      <c r="W173" s="95">
        <v>3255</v>
      </c>
      <c r="X173" s="97">
        <v>45070.375</v>
      </c>
      <c r="Y173" s="97">
        <v>45050.375</v>
      </c>
      <c r="Z173" s="97">
        <v>45036.375</v>
      </c>
      <c r="AA173" s="98"/>
    </row>
    <row r="174" spans="1:27" ht="15.75" hidden="1" customHeight="1">
      <c r="A174" s="94" t="s">
        <v>3011</v>
      </c>
      <c r="B174" s="94" t="s">
        <v>544</v>
      </c>
      <c r="C174" s="94" t="s">
        <v>130</v>
      </c>
      <c r="D174" s="95">
        <v>10000</v>
      </c>
      <c r="E174" s="94" t="s">
        <v>424</v>
      </c>
      <c r="F174" s="94" t="s">
        <v>33</v>
      </c>
      <c r="G174" s="95">
        <v>10</v>
      </c>
      <c r="H174" s="94" t="s">
        <v>11</v>
      </c>
      <c r="I174" s="94" t="s">
        <v>7228</v>
      </c>
      <c r="J174" s="94" t="s">
        <v>426</v>
      </c>
      <c r="K174" s="95">
        <v>95</v>
      </c>
      <c r="L174" s="95">
        <v>50</v>
      </c>
      <c r="M174" s="94"/>
      <c r="N174" s="96">
        <v>76000</v>
      </c>
      <c r="O174" s="95">
        <v>1520</v>
      </c>
      <c r="P174" s="95">
        <v>1</v>
      </c>
      <c r="Q174" s="94" t="s">
        <v>383</v>
      </c>
      <c r="R174" s="95">
        <v>7</v>
      </c>
      <c r="S174" s="95">
        <v>665</v>
      </c>
      <c r="T174" s="95">
        <v>0</v>
      </c>
      <c r="U174" s="95">
        <v>0</v>
      </c>
      <c r="V174" s="95">
        <v>1435</v>
      </c>
      <c r="W174" s="95">
        <v>2648</v>
      </c>
      <c r="X174" s="97">
        <v>45069.375</v>
      </c>
      <c r="Y174" s="97">
        <v>45034.375</v>
      </c>
      <c r="Z174" s="97">
        <v>45054.375</v>
      </c>
      <c r="AA174" s="98"/>
    </row>
    <row r="175" spans="1:27" ht="15.75" hidden="1" customHeight="1">
      <c r="A175" s="94" t="s">
        <v>3011</v>
      </c>
      <c r="B175" s="94" t="s">
        <v>544</v>
      </c>
      <c r="C175" s="94" t="s">
        <v>130</v>
      </c>
      <c r="D175" s="95">
        <v>10000</v>
      </c>
      <c r="E175" s="94" t="s">
        <v>424</v>
      </c>
      <c r="F175" s="94" t="s">
        <v>33</v>
      </c>
      <c r="G175" s="95">
        <v>11</v>
      </c>
      <c r="H175" s="94" t="s">
        <v>12</v>
      </c>
      <c r="I175" s="94" t="s">
        <v>6923</v>
      </c>
      <c r="J175" s="94" t="s">
        <v>444</v>
      </c>
      <c r="K175" s="95">
        <v>80</v>
      </c>
      <c r="L175" s="95">
        <v>50</v>
      </c>
      <c r="M175" s="94"/>
      <c r="N175" s="96">
        <v>76000</v>
      </c>
      <c r="O175" s="95">
        <v>1520</v>
      </c>
      <c r="P175" s="95">
        <v>1</v>
      </c>
      <c r="Q175" s="94" t="s">
        <v>383</v>
      </c>
      <c r="R175" s="95">
        <v>7</v>
      </c>
      <c r="S175" s="95">
        <v>560</v>
      </c>
      <c r="T175" s="95">
        <v>0</v>
      </c>
      <c r="U175" s="95">
        <v>0</v>
      </c>
      <c r="V175" s="95">
        <v>1435</v>
      </c>
      <c r="W175" s="95">
        <v>2648</v>
      </c>
      <c r="X175" s="97">
        <v>45069.375</v>
      </c>
      <c r="Y175" s="97">
        <v>45034.375</v>
      </c>
      <c r="Z175" s="97">
        <v>45054.375</v>
      </c>
      <c r="AA175" s="98"/>
    </row>
    <row r="176" spans="1:27" ht="15.75" hidden="1" customHeight="1">
      <c r="A176" s="94" t="s">
        <v>3011</v>
      </c>
      <c r="B176" s="94" t="s">
        <v>544</v>
      </c>
      <c r="C176" s="94" t="s">
        <v>130</v>
      </c>
      <c r="D176" s="95">
        <v>10000</v>
      </c>
      <c r="E176" s="94" t="s">
        <v>424</v>
      </c>
      <c r="F176" s="94" t="s">
        <v>33</v>
      </c>
      <c r="G176" s="95">
        <v>12</v>
      </c>
      <c r="H176" s="94" t="s">
        <v>13</v>
      </c>
      <c r="I176" s="94" t="s">
        <v>6923</v>
      </c>
      <c r="J176" s="94" t="s">
        <v>444</v>
      </c>
      <c r="K176" s="95">
        <v>30</v>
      </c>
      <c r="L176" s="95">
        <v>50</v>
      </c>
      <c r="M176" s="94"/>
      <c r="N176" s="95">
        <v>76000</v>
      </c>
      <c r="O176" s="95">
        <v>1520</v>
      </c>
      <c r="P176" s="95">
        <v>1</v>
      </c>
      <c r="Q176" s="94" t="s">
        <v>383</v>
      </c>
      <c r="R176" s="95">
        <v>7</v>
      </c>
      <c r="S176" s="95">
        <v>210</v>
      </c>
      <c r="T176" s="95">
        <v>0</v>
      </c>
      <c r="U176" s="95">
        <v>0</v>
      </c>
      <c r="V176" s="95">
        <v>1435</v>
      </c>
      <c r="W176" s="95">
        <v>2648</v>
      </c>
      <c r="X176" s="97">
        <v>45069.375</v>
      </c>
      <c r="Y176" s="97">
        <v>45034.375</v>
      </c>
      <c r="Z176" s="97">
        <v>45054.375</v>
      </c>
      <c r="AA176" s="98"/>
    </row>
    <row r="177" spans="1:27" ht="15.75" hidden="1" customHeight="1">
      <c r="A177" s="94" t="s">
        <v>3011</v>
      </c>
      <c r="B177" s="94" t="s">
        <v>544</v>
      </c>
      <c r="C177" s="94" t="s">
        <v>130</v>
      </c>
      <c r="D177" s="95">
        <v>10000</v>
      </c>
      <c r="E177" s="94" t="s">
        <v>431</v>
      </c>
      <c r="F177" s="94" t="s">
        <v>433</v>
      </c>
      <c r="G177" s="95">
        <v>18</v>
      </c>
      <c r="H177" s="94" t="s">
        <v>439</v>
      </c>
      <c r="I177" s="94" t="s">
        <v>6671</v>
      </c>
      <c r="J177" s="94" t="s">
        <v>440</v>
      </c>
      <c r="K177" s="95">
        <v>60</v>
      </c>
      <c r="L177" s="94"/>
      <c r="M177" s="95">
        <v>1100</v>
      </c>
      <c r="N177" s="99" t="s">
        <v>435</v>
      </c>
      <c r="O177" s="94"/>
      <c r="P177" s="95">
        <v>1</v>
      </c>
      <c r="Q177" s="94" t="s">
        <v>436</v>
      </c>
      <c r="R177" s="95">
        <v>0</v>
      </c>
      <c r="S177" s="95">
        <v>0</v>
      </c>
      <c r="T177" s="95">
        <v>546</v>
      </c>
      <c r="U177" s="95">
        <v>110</v>
      </c>
      <c r="V177" s="95">
        <v>1213</v>
      </c>
      <c r="W177" s="95">
        <v>2648</v>
      </c>
      <c r="X177" s="97">
        <v>45069.375</v>
      </c>
      <c r="Y177" s="97">
        <v>45034.375</v>
      </c>
      <c r="Z177" s="97">
        <v>45054.375</v>
      </c>
      <c r="AA177" s="98"/>
    </row>
    <row r="178" spans="1:27" ht="15.75" hidden="1" customHeight="1">
      <c r="A178" s="94" t="s">
        <v>3011</v>
      </c>
      <c r="B178" s="94" t="s">
        <v>544</v>
      </c>
      <c r="C178" s="94" t="s">
        <v>130</v>
      </c>
      <c r="D178" s="95">
        <v>10000</v>
      </c>
      <c r="E178" s="94" t="s">
        <v>431</v>
      </c>
      <c r="F178" s="94" t="s">
        <v>433</v>
      </c>
      <c r="G178" s="95">
        <v>19</v>
      </c>
      <c r="H178" s="94" t="s">
        <v>368</v>
      </c>
      <c r="I178" s="94" t="s">
        <v>6236</v>
      </c>
      <c r="J178" s="94" t="s">
        <v>434</v>
      </c>
      <c r="K178" s="95">
        <v>60</v>
      </c>
      <c r="L178" s="94"/>
      <c r="M178" s="95">
        <v>900</v>
      </c>
      <c r="N178" s="99" t="s">
        <v>435</v>
      </c>
      <c r="O178" s="94"/>
      <c r="P178" s="95">
        <v>4</v>
      </c>
      <c r="Q178" s="94" t="s">
        <v>436</v>
      </c>
      <c r="R178" s="95">
        <v>0</v>
      </c>
      <c r="S178" s="95">
        <v>0</v>
      </c>
      <c r="T178" s="95">
        <v>667</v>
      </c>
      <c r="U178" s="95">
        <v>134</v>
      </c>
      <c r="V178" s="95">
        <v>1213</v>
      </c>
      <c r="W178" s="95">
        <v>2648</v>
      </c>
      <c r="X178" s="97">
        <v>45069.375</v>
      </c>
      <c r="Y178" s="97">
        <v>45034.375</v>
      </c>
      <c r="Z178" s="97">
        <v>45054.375</v>
      </c>
      <c r="AA178" s="98"/>
    </row>
    <row r="179" spans="1:27" ht="15.75" hidden="1" customHeight="1">
      <c r="A179" s="94" t="s">
        <v>2999</v>
      </c>
      <c r="B179" s="94" t="s">
        <v>824</v>
      </c>
      <c r="C179" s="94" t="s">
        <v>133</v>
      </c>
      <c r="D179" s="95">
        <v>10000</v>
      </c>
      <c r="E179" s="94" t="s">
        <v>424</v>
      </c>
      <c r="F179" s="94" t="s">
        <v>48</v>
      </c>
      <c r="G179" s="95">
        <v>4</v>
      </c>
      <c r="H179" s="94" t="s">
        <v>11</v>
      </c>
      <c r="I179" s="94" t="s">
        <v>7228</v>
      </c>
      <c r="J179" s="94" t="s">
        <v>426</v>
      </c>
      <c r="K179" s="95">
        <v>105</v>
      </c>
      <c r="L179" s="95">
        <v>10.1</v>
      </c>
      <c r="M179" s="94"/>
      <c r="N179" s="95">
        <v>52000</v>
      </c>
      <c r="O179" s="95">
        <v>5148</v>
      </c>
      <c r="P179" s="95">
        <v>1</v>
      </c>
      <c r="Q179" s="94" t="s">
        <v>383</v>
      </c>
      <c r="R179" s="95">
        <v>2</v>
      </c>
      <c r="S179" s="95">
        <v>210</v>
      </c>
      <c r="T179" s="95">
        <v>0</v>
      </c>
      <c r="U179" s="95">
        <v>0</v>
      </c>
      <c r="V179" s="95">
        <v>915</v>
      </c>
      <c r="W179" s="95">
        <v>1515</v>
      </c>
      <c r="X179" s="97">
        <v>45063.375</v>
      </c>
      <c r="Y179" s="97">
        <v>45013.375</v>
      </c>
      <c r="Z179" s="97">
        <v>45058.375</v>
      </c>
      <c r="AA179" s="98"/>
    </row>
    <row r="180" spans="1:27" ht="15.75" hidden="1" customHeight="1">
      <c r="A180" s="94" t="s">
        <v>2999</v>
      </c>
      <c r="B180" s="94" t="s">
        <v>824</v>
      </c>
      <c r="C180" s="94" t="s">
        <v>133</v>
      </c>
      <c r="D180" s="95">
        <v>10000</v>
      </c>
      <c r="E180" s="94" t="s">
        <v>424</v>
      </c>
      <c r="F180" s="94" t="s">
        <v>48</v>
      </c>
      <c r="G180" s="95">
        <v>5</v>
      </c>
      <c r="H180" s="94" t="s">
        <v>12</v>
      </c>
      <c r="I180" s="94" t="s">
        <v>6923</v>
      </c>
      <c r="J180" s="94" t="s">
        <v>427</v>
      </c>
      <c r="K180" s="95">
        <v>150</v>
      </c>
      <c r="L180" s="95">
        <v>10.1</v>
      </c>
      <c r="M180" s="94"/>
      <c r="N180" s="96">
        <v>52000</v>
      </c>
      <c r="O180" s="95">
        <v>5148</v>
      </c>
      <c r="P180" s="95">
        <v>1</v>
      </c>
      <c r="Q180" s="94" t="s">
        <v>383</v>
      </c>
      <c r="R180" s="95">
        <v>2</v>
      </c>
      <c r="S180" s="95">
        <v>300</v>
      </c>
      <c r="T180" s="95">
        <v>0</v>
      </c>
      <c r="U180" s="95">
        <v>0</v>
      </c>
      <c r="V180" s="95">
        <v>915</v>
      </c>
      <c r="W180" s="95">
        <v>1515</v>
      </c>
      <c r="X180" s="97">
        <v>45063.375</v>
      </c>
      <c r="Y180" s="97">
        <v>45013.375</v>
      </c>
      <c r="Z180" s="97">
        <v>45058.375</v>
      </c>
      <c r="AA180" s="98"/>
    </row>
    <row r="181" spans="1:27" ht="15.75" hidden="1" customHeight="1">
      <c r="A181" s="94" t="s">
        <v>2999</v>
      </c>
      <c r="B181" s="94" t="s">
        <v>824</v>
      </c>
      <c r="C181" s="94" t="s">
        <v>133</v>
      </c>
      <c r="D181" s="95">
        <v>10000</v>
      </c>
      <c r="E181" s="94" t="s">
        <v>424</v>
      </c>
      <c r="F181" s="94" t="s">
        <v>48</v>
      </c>
      <c r="G181" s="95">
        <v>6</v>
      </c>
      <c r="H181" s="94" t="s">
        <v>13</v>
      </c>
      <c r="I181" s="94" t="s">
        <v>6923</v>
      </c>
      <c r="J181" s="94" t="s">
        <v>427</v>
      </c>
      <c r="K181" s="95">
        <v>30</v>
      </c>
      <c r="L181" s="95">
        <v>10.1</v>
      </c>
      <c r="M181" s="94"/>
      <c r="N181" s="95">
        <v>52000</v>
      </c>
      <c r="O181" s="95">
        <v>5148</v>
      </c>
      <c r="P181" s="95">
        <v>1</v>
      </c>
      <c r="Q181" s="94" t="s">
        <v>383</v>
      </c>
      <c r="R181" s="95">
        <v>2</v>
      </c>
      <c r="S181" s="95">
        <v>30</v>
      </c>
      <c r="T181" s="95">
        <v>0</v>
      </c>
      <c r="U181" s="95">
        <v>0</v>
      </c>
      <c r="V181" s="95">
        <v>915</v>
      </c>
      <c r="W181" s="95">
        <v>1515</v>
      </c>
      <c r="X181" s="97">
        <v>45063.375</v>
      </c>
      <c r="Y181" s="97">
        <v>45013.375</v>
      </c>
      <c r="Z181" s="97">
        <v>45058.375</v>
      </c>
      <c r="AA181" s="98"/>
    </row>
    <row r="182" spans="1:27" ht="15.75" hidden="1" customHeight="1">
      <c r="A182" s="94" t="s">
        <v>2999</v>
      </c>
      <c r="B182" s="94" t="s">
        <v>824</v>
      </c>
      <c r="C182" s="94" t="s">
        <v>133</v>
      </c>
      <c r="D182" s="95">
        <v>10000</v>
      </c>
      <c r="E182" s="94" t="s">
        <v>424</v>
      </c>
      <c r="F182" s="94" t="s">
        <v>74</v>
      </c>
      <c r="G182" s="95">
        <v>7</v>
      </c>
      <c r="H182" s="94" t="s">
        <v>11</v>
      </c>
      <c r="I182" s="94" t="s">
        <v>7228</v>
      </c>
      <c r="J182" s="94" t="s">
        <v>426</v>
      </c>
      <c r="K182" s="95">
        <v>135</v>
      </c>
      <c r="L182" s="95">
        <v>10.1</v>
      </c>
      <c r="M182" s="94"/>
      <c r="N182" s="95">
        <v>103000</v>
      </c>
      <c r="O182" s="95">
        <v>10198</v>
      </c>
      <c r="P182" s="95">
        <v>1</v>
      </c>
      <c r="Q182" s="94" t="s">
        <v>383</v>
      </c>
      <c r="R182" s="95">
        <v>1</v>
      </c>
      <c r="S182" s="95">
        <v>135</v>
      </c>
      <c r="T182" s="95">
        <v>0</v>
      </c>
      <c r="U182" s="95">
        <v>0</v>
      </c>
      <c r="V182" s="95">
        <v>915</v>
      </c>
      <c r="W182" s="95">
        <v>1515</v>
      </c>
      <c r="X182" s="97">
        <v>45063.375</v>
      </c>
      <c r="Y182" s="97">
        <v>45013.375</v>
      </c>
      <c r="Z182" s="97">
        <v>45058.375</v>
      </c>
      <c r="AA182" s="98"/>
    </row>
    <row r="183" spans="1:27" ht="15.75" hidden="1" customHeight="1">
      <c r="A183" s="94" t="s">
        <v>2999</v>
      </c>
      <c r="B183" s="94" t="s">
        <v>824</v>
      </c>
      <c r="C183" s="94" t="s">
        <v>133</v>
      </c>
      <c r="D183" s="95">
        <v>10000</v>
      </c>
      <c r="E183" s="94" t="s">
        <v>424</v>
      </c>
      <c r="F183" s="94" t="s">
        <v>74</v>
      </c>
      <c r="G183" s="95">
        <v>8</v>
      </c>
      <c r="H183" s="94" t="s">
        <v>12</v>
      </c>
      <c r="I183" s="94" t="s">
        <v>6923</v>
      </c>
      <c r="J183" s="94" t="s">
        <v>430</v>
      </c>
      <c r="K183" s="95">
        <v>200</v>
      </c>
      <c r="L183" s="95">
        <v>10.1</v>
      </c>
      <c r="M183" s="94"/>
      <c r="N183" s="95">
        <v>103000</v>
      </c>
      <c r="O183" s="95">
        <v>10198</v>
      </c>
      <c r="P183" s="95">
        <v>1</v>
      </c>
      <c r="Q183" s="94" t="s">
        <v>383</v>
      </c>
      <c r="R183" s="95">
        <v>1</v>
      </c>
      <c r="S183" s="95">
        <v>200</v>
      </c>
      <c r="T183" s="95">
        <v>0</v>
      </c>
      <c r="U183" s="95">
        <v>0</v>
      </c>
      <c r="V183" s="95">
        <v>915</v>
      </c>
      <c r="W183" s="95">
        <v>1515</v>
      </c>
      <c r="X183" s="97">
        <v>45063.375</v>
      </c>
      <c r="Y183" s="97">
        <v>45013.375</v>
      </c>
      <c r="Z183" s="97">
        <v>45058.375</v>
      </c>
      <c r="AA183" s="98"/>
    </row>
    <row r="184" spans="1:27" ht="15.75" hidden="1" customHeight="1">
      <c r="A184" s="94" t="s">
        <v>2999</v>
      </c>
      <c r="B184" s="94" t="s">
        <v>824</v>
      </c>
      <c r="C184" s="94" t="s">
        <v>133</v>
      </c>
      <c r="D184" s="95">
        <v>10000</v>
      </c>
      <c r="E184" s="94" t="s">
        <v>424</v>
      </c>
      <c r="F184" s="94" t="s">
        <v>74</v>
      </c>
      <c r="G184" s="95">
        <v>9</v>
      </c>
      <c r="H184" s="94" t="s">
        <v>13</v>
      </c>
      <c r="I184" s="94" t="s">
        <v>6923</v>
      </c>
      <c r="J184" s="94" t="s">
        <v>430</v>
      </c>
      <c r="K184" s="95">
        <v>40</v>
      </c>
      <c r="L184" s="95">
        <v>10.1</v>
      </c>
      <c r="M184" s="94"/>
      <c r="N184" s="95">
        <v>103000</v>
      </c>
      <c r="O184" s="95">
        <v>10198</v>
      </c>
      <c r="P184" s="95">
        <v>1</v>
      </c>
      <c r="Q184" s="94" t="s">
        <v>383</v>
      </c>
      <c r="R184" s="95">
        <v>1</v>
      </c>
      <c r="S184" s="95">
        <v>40</v>
      </c>
      <c r="T184" s="95">
        <v>0</v>
      </c>
      <c r="U184" s="95">
        <v>0</v>
      </c>
      <c r="V184" s="95">
        <v>915</v>
      </c>
      <c r="W184" s="95">
        <v>1515</v>
      </c>
      <c r="X184" s="97">
        <v>45063.375</v>
      </c>
      <c r="Y184" s="97">
        <v>45013.375</v>
      </c>
      <c r="Z184" s="97">
        <v>45058.375</v>
      </c>
      <c r="AA184" s="98"/>
    </row>
    <row r="185" spans="1:27" ht="15.75" hidden="1" customHeight="1">
      <c r="A185" s="94" t="s">
        <v>2999</v>
      </c>
      <c r="B185" s="94" t="s">
        <v>824</v>
      </c>
      <c r="C185" s="94" t="s">
        <v>133</v>
      </c>
      <c r="D185" s="95">
        <v>10000</v>
      </c>
      <c r="E185" s="94" t="s">
        <v>431</v>
      </c>
      <c r="F185" s="94" t="s">
        <v>433</v>
      </c>
      <c r="G185" s="95">
        <v>19</v>
      </c>
      <c r="H185" s="94" t="s">
        <v>368</v>
      </c>
      <c r="I185" s="94" t="s">
        <v>6236</v>
      </c>
      <c r="J185" s="94" t="s">
        <v>434</v>
      </c>
      <c r="K185" s="95">
        <v>60</v>
      </c>
      <c r="L185" s="94"/>
      <c r="M185" s="95">
        <v>1000</v>
      </c>
      <c r="N185" s="94" t="s">
        <v>435</v>
      </c>
      <c r="O185" s="94"/>
      <c r="P185" s="95">
        <v>4</v>
      </c>
      <c r="Q185" s="94" t="s">
        <v>436</v>
      </c>
      <c r="R185" s="95">
        <v>0</v>
      </c>
      <c r="S185" s="95">
        <v>0</v>
      </c>
      <c r="T185" s="95">
        <v>600</v>
      </c>
      <c r="U185" s="95">
        <v>120</v>
      </c>
      <c r="V185" s="95">
        <v>600</v>
      </c>
      <c r="W185" s="95">
        <v>1515</v>
      </c>
      <c r="X185" s="97">
        <v>45063.375</v>
      </c>
      <c r="Y185" s="97">
        <v>45013.375</v>
      </c>
      <c r="Z185" s="97">
        <v>45058.375</v>
      </c>
      <c r="AA185" s="98"/>
    </row>
    <row r="186" spans="1:27" ht="15.75" hidden="1" customHeight="1">
      <c r="A186" s="94" t="s">
        <v>2951</v>
      </c>
      <c r="B186" s="94" t="s">
        <v>441</v>
      </c>
      <c r="C186" s="94" t="s">
        <v>140</v>
      </c>
      <c r="D186" s="95">
        <v>10000</v>
      </c>
      <c r="E186" s="94" t="s">
        <v>442</v>
      </c>
      <c r="F186" s="94" t="s">
        <v>33</v>
      </c>
      <c r="G186" s="95">
        <v>10</v>
      </c>
      <c r="H186" s="94" t="s">
        <v>11</v>
      </c>
      <c r="I186" s="94" t="s">
        <v>7228</v>
      </c>
      <c r="J186" s="94" t="s">
        <v>426</v>
      </c>
      <c r="K186" s="95">
        <v>25</v>
      </c>
      <c r="L186" s="95">
        <v>10.1</v>
      </c>
      <c r="M186" s="94"/>
      <c r="N186" s="96">
        <v>103000</v>
      </c>
      <c r="O186" s="95">
        <v>10198</v>
      </c>
      <c r="P186" s="95">
        <v>1</v>
      </c>
      <c r="Q186" s="94" t="s">
        <v>383</v>
      </c>
      <c r="R186" s="95">
        <v>1</v>
      </c>
      <c r="S186" s="95">
        <v>25</v>
      </c>
      <c r="T186" s="95">
        <v>0</v>
      </c>
      <c r="U186" s="95">
        <v>0</v>
      </c>
      <c r="V186" s="95">
        <v>155</v>
      </c>
      <c r="W186" s="95">
        <v>755</v>
      </c>
      <c r="X186" s="97">
        <v>45072.375</v>
      </c>
      <c r="Y186" s="97">
        <v>45034.375</v>
      </c>
      <c r="Z186" s="97">
        <v>45065.375</v>
      </c>
      <c r="AA186" s="98"/>
    </row>
    <row r="187" spans="1:27" ht="15.75" hidden="1" customHeight="1">
      <c r="A187" s="94" t="s">
        <v>2951</v>
      </c>
      <c r="B187" s="94" t="s">
        <v>441</v>
      </c>
      <c r="C187" s="94" t="s">
        <v>140</v>
      </c>
      <c r="D187" s="95">
        <v>10000</v>
      </c>
      <c r="E187" s="94" t="s">
        <v>442</v>
      </c>
      <c r="F187" s="94" t="s">
        <v>33</v>
      </c>
      <c r="G187" s="95">
        <v>11</v>
      </c>
      <c r="H187" s="94" t="s">
        <v>12</v>
      </c>
      <c r="I187" s="94" t="s">
        <v>6923</v>
      </c>
      <c r="J187" s="94" t="s">
        <v>444</v>
      </c>
      <c r="K187" s="95">
        <v>110</v>
      </c>
      <c r="L187" s="95">
        <v>10.1</v>
      </c>
      <c r="M187" s="94"/>
      <c r="N187" s="96">
        <v>103000</v>
      </c>
      <c r="O187" s="95">
        <v>10198</v>
      </c>
      <c r="P187" s="95">
        <v>1</v>
      </c>
      <c r="Q187" s="94" t="s">
        <v>383</v>
      </c>
      <c r="R187" s="95">
        <v>1</v>
      </c>
      <c r="S187" s="95">
        <v>110</v>
      </c>
      <c r="T187" s="95">
        <v>0</v>
      </c>
      <c r="U187" s="95">
        <v>0</v>
      </c>
      <c r="V187" s="95">
        <v>155</v>
      </c>
      <c r="W187" s="95">
        <v>755</v>
      </c>
      <c r="X187" s="97">
        <v>45072.375</v>
      </c>
      <c r="Y187" s="97">
        <v>45034.375</v>
      </c>
      <c r="Z187" s="97">
        <v>45065.375</v>
      </c>
      <c r="AA187" s="98"/>
    </row>
    <row r="188" spans="1:27" ht="15.75" hidden="1" customHeight="1">
      <c r="A188" s="94" t="s">
        <v>2951</v>
      </c>
      <c r="B188" s="94" t="s">
        <v>441</v>
      </c>
      <c r="C188" s="94" t="s">
        <v>140</v>
      </c>
      <c r="D188" s="95">
        <v>10000</v>
      </c>
      <c r="E188" s="94" t="s">
        <v>442</v>
      </c>
      <c r="F188" s="94" t="s">
        <v>33</v>
      </c>
      <c r="G188" s="95">
        <v>12</v>
      </c>
      <c r="H188" s="94" t="s">
        <v>13</v>
      </c>
      <c r="I188" s="94" t="s">
        <v>6923</v>
      </c>
      <c r="J188" s="94" t="s">
        <v>444</v>
      </c>
      <c r="K188" s="95">
        <v>20</v>
      </c>
      <c r="L188" s="95">
        <v>10.1</v>
      </c>
      <c r="M188" s="94"/>
      <c r="N188" s="95">
        <v>103000</v>
      </c>
      <c r="O188" s="95">
        <v>10198</v>
      </c>
      <c r="P188" s="95">
        <v>1</v>
      </c>
      <c r="Q188" s="94" t="s">
        <v>383</v>
      </c>
      <c r="R188" s="95">
        <v>1</v>
      </c>
      <c r="S188" s="95">
        <v>20</v>
      </c>
      <c r="T188" s="95">
        <v>0</v>
      </c>
      <c r="U188" s="95">
        <v>0</v>
      </c>
      <c r="V188" s="95">
        <v>155</v>
      </c>
      <c r="W188" s="95">
        <v>755</v>
      </c>
      <c r="X188" s="97">
        <v>45072.375</v>
      </c>
      <c r="Y188" s="97">
        <v>45034.375</v>
      </c>
      <c r="Z188" s="97">
        <v>45065.375</v>
      </c>
      <c r="AA188" s="98"/>
    </row>
    <row r="189" spans="1:27" ht="15.75" hidden="1" customHeight="1">
      <c r="A189" s="94" t="s">
        <v>2951</v>
      </c>
      <c r="B189" s="94" t="s">
        <v>441</v>
      </c>
      <c r="C189" s="94" t="s">
        <v>140</v>
      </c>
      <c r="D189" s="95">
        <v>10000</v>
      </c>
      <c r="E189" s="94" t="s">
        <v>431</v>
      </c>
      <c r="F189" s="94" t="s">
        <v>433</v>
      </c>
      <c r="G189" s="95">
        <v>19</v>
      </c>
      <c r="H189" s="94" t="s">
        <v>368</v>
      </c>
      <c r="I189" s="94" t="s">
        <v>6236</v>
      </c>
      <c r="J189" s="94" t="s">
        <v>434</v>
      </c>
      <c r="K189" s="95">
        <v>60</v>
      </c>
      <c r="L189" s="94"/>
      <c r="M189" s="95">
        <v>1000</v>
      </c>
      <c r="N189" s="94" t="s">
        <v>435</v>
      </c>
      <c r="O189" s="94"/>
      <c r="P189" s="95">
        <v>4</v>
      </c>
      <c r="Q189" s="94" t="s">
        <v>436</v>
      </c>
      <c r="R189" s="95">
        <v>0</v>
      </c>
      <c r="S189" s="95">
        <v>0</v>
      </c>
      <c r="T189" s="95">
        <v>600</v>
      </c>
      <c r="U189" s="95">
        <v>120</v>
      </c>
      <c r="V189" s="95">
        <v>600</v>
      </c>
      <c r="W189" s="95">
        <v>755</v>
      </c>
      <c r="X189" s="97">
        <v>45072.375</v>
      </c>
      <c r="Y189" s="97">
        <v>45034.375</v>
      </c>
      <c r="Z189" s="97">
        <v>45065.375</v>
      </c>
      <c r="AA189" s="98"/>
    </row>
    <row r="190" spans="1:27" ht="15.75" hidden="1" customHeight="1">
      <c r="A190" s="94" t="s">
        <v>2932</v>
      </c>
      <c r="B190" s="94" t="s">
        <v>672</v>
      </c>
      <c r="C190" s="94" t="s">
        <v>146</v>
      </c>
      <c r="D190" s="95">
        <v>11921</v>
      </c>
      <c r="E190" s="94" t="s">
        <v>424</v>
      </c>
      <c r="F190" s="94" t="s">
        <v>48</v>
      </c>
      <c r="G190" s="95">
        <v>4</v>
      </c>
      <c r="H190" s="94" t="s">
        <v>11</v>
      </c>
      <c r="I190" s="94" t="s">
        <v>7228</v>
      </c>
      <c r="J190" s="94" t="s">
        <v>426</v>
      </c>
      <c r="K190" s="95">
        <v>30</v>
      </c>
      <c r="L190" s="95">
        <v>40</v>
      </c>
      <c r="M190" s="94"/>
      <c r="N190" s="95">
        <v>52000</v>
      </c>
      <c r="O190" s="95">
        <v>1300</v>
      </c>
      <c r="P190" s="95">
        <v>1</v>
      </c>
      <c r="Q190" s="94" t="s">
        <v>383</v>
      </c>
      <c r="R190" s="95">
        <v>10</v>
      </c>
      <c r="S190" s="95">
        <v>300</v>
      </c>
      <c r="T190" s="95">
        <v>0</v>
      </c>
      <c r="U190" s="95">
        <v>0</v>
      </c>
      <c r="V190" s="95">
        <v>1580</v>
      </c>
      <c r="W190" s="95">
        <v>2422</v>
      </c>
      <c r="X190" s="97">
        <v>45028.375</v>
      </c>
      <c r="Y190" s="97">
        <v>44987.375</v>
      </c>
      <c r="Z190" s="97">
        <v>45023.375</v>
      </c>
      <c r="AA190" s="98"/>
    </row>
    <row r="191" spans="1:27" ht="15.75" hidden="1" customHeight="1">
      <c r="A191" s="94" t="s">
        <v>2932</v>
      </c>
      <c r="B191" s="94" t="s">
        <v>672</v>
      </c>
      <c r="C191" s="94" t="s">
        <v>146</v>
      </c>
      <c r="D191" s="95">
        <v>11921</v>
      </c>
      <c r="E191" s="94" t="s">
        <v>424</v>
      </c>
      <c r="F191" s="94" t="s">
        <v>48</v>
      </c>
      <c r="G191" s="95">
        <v>5</v>
      </c>
      <c r="H191" s="94" t="s">
        <v>12</v>
      </c>
      <c r="I191" s="94" t="s">
        <v>6923</v>
      </c>
      <c r="J191" s="94" t="s">
        <v>427</v>
      </c>
      <c r="K191" s="95">
        <v>125</v>
      </c>
      <c r="L191" s="95">
        <v>40</v>
      </c>
      <c r="M191" s="94"/>
      <c r="N191" s="96">
        <v>52000</v>
      </c>
      <c r="O191" s="95">
        <v>1300</v>
      </c>
      <c r="P191" s="95">
        <v>1</v>
      </c>
      <c r="Q191" s="94" t="s">
        <v>383</v>
      </c>
      <c r="R191" s="95">
        <v>10</v>
      </c>
      <c r="S191" s="95">
        <v>1250</v>
      </c>
      <c r="T191" s="95">
        <v>0</v>
      </c>
      <c r="U191" s="95">
        <v>0</v>
      </c>
      <c r="V191" s="95">
        <v>1580</v>
      </c>
      <c r="W191" s="95">
        <v>2422</v>
      </c>
      <c r="X191" s="97">
        <v>45028.375</v>
      </c>
      <c r="Y191" s="97">
        <v>44987.375</v>
      </c>
      <c r="Z191" s="97">
        <v>45023.375</v>
      </c>
      <c r="AA191" s="98"/>
    </row>
    <row r="192" spans="1:27" ht="15.75" hidden="1" customHeight="1">
      <c r="A192" s="94" t="s">
        <v>2932</v>
      </c>
      <c r="B192" s="94" t="s">
        <v>672</v>
      </c>
      <c r="C192" s="94" t="s">
        <v>146</v>
      </c>
      <c r="D192" s="95">
        <v>11921</v>
      </c>
      <c r="E192" s="94" t="s">
        <v>424</v>
      </c>
      <c r="F192" s="94" t="s">
        <v>48</v>
      </c>
      <c r="G192" s="95">
        <v>6</v>
      </c>
      <c r="H192" s="94" t="s">
        <v>13</v>
      </c>
      <c r="I192" s="94" t="s">
        <v>6923</v>
      </c>
      <c r="J192" s="94" t="s">
        <v>427</v>
      </c>
      <c r="K192" s="95">
        <v>30</v>
      </c>
      <c r="L192" s="95">
        <v>40</v>
      </c>
      <c r="M192" s="94"/>
      <c r="N192" s="96">
        <v>52000</v>
      </c>
      <c r="O192" s="95">
        <v>1300</v>
      </c>
      <c r="P192" s="95">
        <v>1</v>
      </c>
      <c r="Q192" s="94" t="s">
        <v>383</v>
      </c>
      <c r="R192" s="95">
        <v>10</v>
      </c>
      <c r="S192" s="95">
        <v>30</v>
      </c>
      <c r="T192" s="95">
        <v>0</v>
      </c>
      <c r="U192" s="95">
        <v>0</v>
      </c>
      <c r="V192" s="95">
        <v>1580</v>
      </c>
      <c r="W192" s="95">
        <v>2422</v>
      </c>
      <c r="X192" s="97">
        <v>45028.375</v>
      </c>
      <c r="Y192" s="97">
        <v>44987.375</v>
      </c>
      <c r="Z192" s="97">
        <v>45023.375</v>
      </c>
      <c r="AA192" s="98"/>
    </row>
    <row r="193" spans="1:27" ht="15.75" hidden="1" customHeight="1">
      <c r="A193" s="94" t="s">
        <v>2932</v>
      </c>
      <c r="B193" s="94" t="s">
        <v>672</v>
      </c>
      <c r="C193" s="94" t="s">
        <v>146</v>
      </c>
      <c r="D193" s="95">
        <v>11921</v>
      </c>
      <c r="E193" s="94" t="s">
        <v>431</v>
      </c>
      <c r="F193" s="94" t="s">
        <v>433</v>
      </c>
      <c r="G193" s="95">
        <v>19</v>
      </c>
      <c r="H193" s="94" t="s">
        <v>368</v>
      </c>
      <c r="I193" s="94" t="s">
        <v>6236</v>
      </c>
      <c r="J193" s="94" t="s">
        <v>434</v>
      </c>
      <c r="K193" s="95">
        <v>60</v>
      </c>
      <c r="L193" s="94"/>
      <c r="M193" s="95">
        <v>850</v>
      </c>
      <c r="N193" s="99" t="s">
        <v>435</v>
      </c>
      <c r="O193" s="94"/>
      <c r="P193" s="95">
        <v>4</v>
      </c>
      <c r="Q193" s="94" t="s">
        <v>436</v>
      </c>
      <c r="R193" s="95">
        <v>0</v>
      </c>
      <c r="S193" s="95">
        <v>0</v>
      </c>
      <c r="T193" s="95">
        <v>842</v>
      </c>
      <c r="U193" s="95">
        <v>169</v>
      </c>
      <c r="V193" s="95">
        <v>842</v>
      </c>
      <c r="W193" s="95">
        <v>2422</v>
      </c>
      <c r="X193" s="97">
        <v>45028.375</v>
      </c>
      <c r="Y193" s="97">
        <v>44987.375</v>
      </c>
      <c r="Z193" s="97">
        <v>45023.375</v>
      </c>
      <c r="AA193" s="98"/>
    </row>
    <row r="194" spans="1:27" ht="15.75" hidden="1" customHeight="1">
      <c r="A194" s="94" t="s">
        <v>2953</v>
      </c>
      <c r="B194" s="94" t="s">
        <v>507</v>
      </c>
      <c r="C194" s="94" t="s">
        <v>51</v>
      </c>
      <c r="D194" s="95">
        <v>2385</v>
      </c>
      <c r="E194" s="94" t="s">
        <v>442</v>
      </c>
      <c r="F194" s="94" t="s">
        <v>40</v>
      </c>
      <c r="G194" s="95">
        <v>1</v>
      </c>
      <c r="H194" s="94" t="s">
        <v>11</v>
      </c>
      <c r="I194" s="94" t="s">
        <v>7228</v>
      </c>
      <c r="J194" s="94" t="s">
        <v>426</v>
      </c>
      <c r="K194" s="95">
        <v>50</v>
      </c>
      <c r="L194" s="95">
        <v>90</v>
      </c>
      <c r="M194" s="94"/>
      <c r="N194" s="96">
        <v>367000</v>
      </c>
      <c r="O194" s="95">
        <v>4077</v>
      </c>
      <c r="P194" s="95">
        <v>1</v>
      </c>
      <c r="Q194" s="94" t="s">
        <v>383</v>
      </c>
      <c r="R194" s="95">
        <v>1</v>
      </c>
      <c r="S194" s="95">
        <v>50</v>
      </c>
      <c r="T194" s="95">
        <v>0</v>
      </c>
      <c r="U194" s="95">
        <v>0</v>
      </c>
      <c r="V194" s="95">
        <v>170</v>
      </c>
      <c r="W194" s="95">
        <v>440</v>
      </c>
      <c r="X194" s="97">
        <v>45075.375</v>
      </c>
      <c r="Y194" s="97">
        <v>45022.375</v>
      </c>
      <c r="Z194" s="97">
        <v>45065.375</v>
      </c>
      <c r="AA194" s="98"/>
    </row>
    <row r="195" spans="1:27" ht="15.75" hidden="1" customHeight="1">
      <c r="A195" s="94" t="s">
        <v>2953</v>
      </c>
      <c r="B195" s="94" t="s">
        <v>507</v>
      </c>
      <c r="C195" s="94" t="s">
        <v>51</v>
      </c>
      <c r="D195" s="95">
        <v>2385</v>
      </c>
      <c r="E195" s="94" t="s">
        <v>442</v>
      </c>
      <c r="F195" s="94" t="s">
        <v>40</v>
      </c>
      <c r="G195" s="95">
        <v>2</v>
      </c>
      <c r="H195" s="94" t="s">
        <v>12</v>
      </c>
      <c r="I195" s="94" t="s">
        <v>6923</v>
      </c>
      <c r="J195" s="94" t="s">
        <v>449</v>
      </c>
      <c r="K195" s="95">
        <v>90</v>
      </c>
      <c r="L195" s="95">
        <v>90</v>
      </c>
      <c r="M195" s="94"/>
      <c r="N195" s="95">
        <v>367000</v>
      </c>
      <c r="O195" s="95">
        <v>4077</v>
      </c>
      <c r="P195" s="95">
        <v>1</v>
      </c>
      <c r="Q195" s="94" t="s">
        <v>383</v>
      </c>
      <c r="R195" s="95">
        <v>1</v>
      </c>
      <c r="S195" s="95">
        <v>90</v>
      </c>
      <c r="T195" s="95">
        <v>0</v>
      </c>
      <c r="U195" s="95">
        <v>0</v>
      </c>
      <c r="V195" s="95">
        <v>170</v>
      </c>
      <c r="W195" s="95">
        <v>440</v>
      </c>
      <c r="X195" s="97">
        <v>45075.375</v>
      </c>
      <c r="Y195" s="97">
        <v>45022.375</v>
      </c>
      <c r="Z195" s="97">
        <v>45065.375</v>
      </c>
      <c r="AA195" s="98"/>
    </row>
    <row r="196" spans="1:27" ht="15.75" hidden="1" customHeight="1">
      <c r="A196" s="94" t="s">
        <v>2953</v>
      </c>
      <c r="B196" s="94" t="s">
        <v>507</v>
      </c>
      <c r="C196" s="94" t="s">
        <v>51</v>
      </c>
      <c r="D196" s="95">
        <v>2385</v>
      </c>
      <c r="E196" s="94" t="s">
        <v>442</v>
      </c>
      <c r="F196" s="94" t="s">
        <v>40</v>
      </c>
      <c r="G196" s="95">
        <v>3</v>
      </c>
      <c r="H196" s="94" t="s">
        <v>13</v>
      </c>
      <c r="I196" s="94" t="s">
        <v>6923</v>
      </c>
      <c r="J196" s="94" t="s">
        <v>449</v>
      </c>
      <c r="K196" s="95">
        <v>30</v>
      </c>
      <c r="L196" s="95">
        <v>90</v>
      </c>
      <c r="M196" s="94"/>
      <c r="N196" s="96">
        <v>367000</v>
      </c>
      <c r="O196" s="95">
        <v>4077</v>
      </c>
      <c r="P196" s="95">
        <v>1</v>
      </c>
      <c r="Q196" s="94" t="s">
        <v>383</v>
      </c>
      <c r="R196" s="95">
        <v>1</v>
      </c>
      <c r="S196" s="95">
        <v>30</v>
      </c>
      <c r="T196" s="95">
        <v>0</v>
      </c>
      <c r="U196" s="95">
        <v>0</v>
      </c>
      <c r="V196" s="95">
        <v>170</v>
      </c>
      <c r="W196" s="95">
        <v>440</v>
      </c>
      <c r="X196" s="97">
        <v>45075.375</v>
      </c>
      <c r="Y196" s="97">
        <v>45022.375</v>
      </c>
      <c r="Z196" s="97">
        <v>45065.375</v>
      </c>
      <c r="AA196" s="98"/>
    </row>
    <row r="197" spans="1:27" ht="15.75" hidden="1" customHeight="1">
      <c r="A197" s="94" t="s">
        <v>2953</v>
      </c>
      <c r="B197" s="94" t="s">
        <v>507</v>
      </c>
      <c r="C197" s="94" t="s">
        <v>51</v>
      </c>
      <c r="D197" s="95">
        <v>2385</v>
      </c>
      <c r="E197" s="94" t="s">
        <v>431</v>
      </c>
      <c r="F197" s="94" t="s">
        <v>433</v>
      </c>
      <c r="G197" s="95">
        <v>18</v>
      </c>
      <c r="H197" s="94" t="s">
        <v>439</v>
      </c>
      <c r="I197" s="94" t="s">
        <v>6671</v>
      </c>
      <c r="J197" s="94" t="s">
        <v>440</v>
      </c>
      <c r="K197" s="95">
        <v>60</v>
      </c>
      <c r="L197" s="94"/>
      <c r="M197" s="95">
        <v>1300</v>
      </c>
      <c r="N197" s="99" t="s">
        <v>435</v>
      </c>
      <c r="O197" s="94"/>
      <c r="P197" s="95">
        <v>1</v>
      </c>
      <c r="Q197" s="94" t="s">
        <v>436</v>
      </c>
      <c r="R197" s="95">
        <v>0</v>
      </c>
      <c r="S197" s="95">
        <v>0</v>
      </c>
      <c r="T197" s="95">
        <v>111</v>
      </c>
      <c r="U197" s="95">
        <v>23</v>
      </c>
      <c r="V197" s="95">
        <v>270</v>
      </c>
      <c r="W197" s="95">
        <v>440</v>
      </c>
      <c r="X197" s="97">
        <v>45075.375</v>
      </c>
      <c r="Y197" s="97">
        <v>45022.375</v>
      </c>
      <c r="Z197" s="97">
        <v>45065.375</v>
      </c>
      <c r="AA197" s="98"/>
    </row>
    <row r="198" spans="1:27" ht="15.75" hidden="1" customHeight="1">
      <c r="A198" s="94" t="s">
        <v>2953</v>
      </c>
      <c r="B198" s="94" t="s">
        <v>507</v>
      </c>
      <c r="C198" s="94" t="s">
        <v>51</v>
      </c>
      <c r="D198" s="95">
        <v>2385</v>
      </c>
      <c r="E198" s="94" t="s">
        <v>431</v>
      </c>
      <c r="F198" s="94" t="s">
        <v>433</v>
      </c>
      <c r="G198" s="95">
        <v>19</v>
      </c>
      <c r="H198" s="94" t="s">
        <v>368</v>
      </c>
      <c r="I198" s="94" t="s">
        <v>6236</v>
      </c>
      <c r="J198" s="94" t="s">
        <v>434</v>
      </c>
      <c r="K198" s="95">
        <v>60</v>
      </c>
      <c r="L198" s="94"/>
      <c r="M198" s="95">
        <v>900</v>
      </c>
      <c r="N198" s="99" t="s">
        <v>435</v>
      </c>
      <c r="O198" s="94"/>
      <c r="P198" s="95">
        <v>4</v>
      </c>
      <c r="Q198" s="94" t="s">
        <v>436</v>
      </c>
      <c r="R198" s="95">
        <v>0</v>
      </c>
      <c r="S198" s="95">
        <v>0</v>
      </c>
      <c r="T198" s="95">
        <v>159</v>
      </c>
      <c r="U198" s="95">
        <v>32</v>
      </c>
      <c r="V198" s="95">
        <v>270</v>
      </c>
      <c r="W198" s="95">
        <v>440</v>
      </c>
      <c r="X198" s="97">
        <v>45075.375</v>
      </c>
      <c r="Y198" s="97">
        <v>45022.375</v>
      </c>
      <c r="Z198" s="97">
        <v>45065.375</v>
      </c>
      <c r="AA198" s="98"/>
    </row>
    <row r="199" spans="1:27" ht="15.75" hidden="1" customHeight="1">
      <c r="A199" s="94" t="s">
        <v>2855</v>
      </c>
      <c r="B199" s="94" t="s">
        <v>874</v>
      </c>
      <c r="C199" s="94" t="s">
        <v>149</v>
      </c>
      <c r="D199" s="95">
        <v>640</v>
      </c>
      <c r="E199" s="94" t="s">
        <v>442</v>
      </c>
      <c r="F199" s="94" t="s">
        <v>40</v>
      </c>
      <c r="G199" s="95">
        <v>1</v>
      </c>
      <c r="H199" s="94" t="s">
        <v>11</v>
      </c>
      <c r="I199" s="94" t="s">
        <v>7228</v>
      </c>
      <c r="J199" s="94" t="s">
        <v>426</v>
      </c>
      <c r="K199" s="95">
        <v>25</v>
      </c>
      <c r="L199" s="95">
        <v>250</v>
      </c>
      <c r="M199" s="94"/>
      <c r="N199" s="96">
        <v>412000</v>
      </c>
      <c r="O199" s="95">
        <v>1648</v>
      </c>
      <c r="P199" s="95">
        <v>1</v>
      </c>
      <c r="Q199" s="94" t="s">
        <v>383</v>
      </c>
      <c r="R199" s="95">
        <v>1</v>
      </c>
      <c r="S199" s="95">
        <v>25</v>
      </c>
      <c r="T199" s="95">
        <v>0</v>
      </c>
      <c r="U199" s="95">
        <v>0</v>
      </c>
      <c r="V199" s="95">
        <v>235</v>
      </c>
      <c r="W199" s="95">
        <v>354</v>
      </c>
      <c r="X199" s="97">
        <v>45077.375</v>
      </c>
      <c r="Y199" s="97">
        <v>45050.375</v>
      </c>
      <c r="Z199" s="97">
        <v>45055.375</v>
      </c>
      <c r="AA199" s="98"/>
    </row>
    <row r="200" spans="1:27" ht="15.75" hidden="1" customHeight="1">
      <c r="A200" s="94" t="s">
        <v>2855</v>
      </c>
      <c r="B200" s="94" t="s">
        <v>874</v>
      </c>
      <c r="C200" s="94" t="s">
        <v>149</v>
      </c>
      <c r="D200" s="95">
        <v>640</v>
      </c>
      <c r="E200" s="94" t="s">
        <v>442</v>
      </c>
      <c r="F200" s="94" t="s">
        <v>40</v>
      </c>
      <c r="G200" s="95">
        <v>2</v>
      </c>
      <c r="H200" s="94" t="s">
        <v>12</v>
      </c>
      <c r="I200" s="94" t="s">
        <v>6923</v>
      </c>
      <c r="J200" s="94" t="s">
        <v>449</v>
      </c>
      <c r="K200" s="95">
        <v>180</v>
      </c>
      <c r="L200" s="95">
        <v>250</v>
      </c>
      <c r="M200" s="94"/>
      <c r="N200" s="96">
        <v>412000</v>
      </c>
      <c r="O200" s="95">
        <v>1648</v>
      </c>
      <c r="P200" s="95">
        <v>1</v>
      </c>
      <c r="Q200" s="94" t="s">
        <v>383</v>
      </c>
      <c r="R200" s="95">
        <v>1</v>
      </c>
      <c r="S200" s="95">
        <v>180</v>
      </c>
      <c r="T200" s="95">
        <v>0</v>
      </c>
      <c r="U200" s="95">
        <v>0</v>
      </c>
      <c r="V200" s="95">
        <v>235</v>
      </c>
      <c r="W200" s="95">
        <v>354</v>
      </c>
      <c r="X200" s="97">
        <v>45077.375</v>
      </c>
      <c r="Y200" s="97">
        <v>45050.375</v>
      </c>
      <c r="Z200" s="97">
        <v>45055.375</v>
      </c>
      <c r="AA200" s="98"/>
    </row>
    <row r="201" spans="1:27" ht="15.75" hidden="1" customHeight="1">
      <c r="A201" s="94" t="s">
        <v>2855</v>
      </c>
      <c r="B201" s="94" t="s">
        <v>874</v>
      </c>
      <c r="C201" s="94" t="s">
        <v>149</v>
      </c>
      <c r="D201" s="95">
        <v>640</v>
      </c>
      <c r="E201" s="94" t="s">
        <v>442</v>
      </c>
      <c r="F201" s="94" t="s">
        <v>40</v>
      </c>
      <c r="G201" s="95">
        <v>3</v>
      </c>
      <c r="H201" s="94" t="s">
        <v>13</v>
      </c>
      <c r="I201" s="94" t="s">
        <v>6923</v>
      </c>
      <c r="J201" s="94" t="s">
        <v>449</v>
      </c>
      <c r="K201" s="95">
        <v>30</v>
      </c>
      <c r="L201" s="95">
        <v>250</v>
      </c>
      <c r="M201" s="94"/>
      <c r="N201" s="96">
        <v>412000</v>
      </c>
      <c r="O201" s="95">
        <v>1648</v>
      </c>
      <c r="P201" s="95">
        <v>1</v>
      </c>
      <c r="Q201" s="94" t="s">
        <v>383</v>
      </c>
      <c r="R201" s="95">
        <v>1</v>
      </c>
      <c r="S201" s="95">
        <v>30</v>
      </c>
      <c r="T201" s="95">
        <v>0</v>
      </c>
      <c r="U201" s="95">
        <v>0</v>
      </c>
      <c r="V201" s="95">
        <v>235</v>
      </c>
      <c r="W201" s="95">
        <v>354</v>
      </c>
      <c r="X201" s="97">
        <v>45077.375</v>
      </c>
      <c r="Y201" s="97">
        <v>45050.375</v>
      </c>
      <c r="Z201" s="97">
        <v>45055.375</v>
      </c>
      <c r="AA201" s="98"/>
    </row>
    <row r="202" spans="1:27" ht="15.75" hidden="1" customHeight="1">
      <c r="A202" s="94" t="s">
        <v>2855</v>
      </c>
      <c r="B202" s="94" t="s">
        <v>874</v>
      </c>
      <c r="C202" s="94" t="s">
        <v>149</v>
      </c>
      <c r="D202" s="95">
        <v>640</v>
      </c>
      <c r="E202" s="94" t="s">
        <v>431</v>
      </c>
      <c r="F202" s="94" t="s">
        <v>433</v>
      </c>
      <c r="G202" s="95">
        <v>18</v>
      </c>
      <c r="H202" s="94" t="s">
        <v>439</v>
      </c>
      <c r="I202" s="94" t="s">
        <v>6671</v>
      </c>
      <c r="J202" s="94" t="s">
        <v>440</v>
      </c>
      <c r="K202" s="95">
        <v>60</v>
      </c>
      <c r="L202" s="94"/>
      <c r="M202" s="95">
        <v>990</v>
      </c>
      <c r="N202" s="94" t="s">
        <v>435</v>
      </c>
      <c r="O202" s="94"/>
      <c r="P202" s="95">
        <v>1</v>
      </c>
      <c r="Q202" s="94" t="s">
        <v>436</v>
      </c>
      <c r="R202" s="95">
        <v>0</v>
      </c>
      <c r="S202" s="95">
        <v>0</v>
      </c>
      <c r="T202" s="95">
        <v>39</v>
      </c>
      <c r="U202" s="95">
        <v>8</v>
      </c>
      <c r="V202" s="95">
        <v>119</v>
      </c>
      <c r="W202" s="95">
        <v>354</v>
      </c>
      <c r="X202" s="97">
        <v>45077.375</v>
      </c>
      <c r="Y202" s="97">
        <v>45050.375</v>
      </c>
      <c r="Z202" s="97">
        <v>45055.375</v>
      </c>
      <c r="AA202" s="98"/>
    </row>
    <row r="203" spans="1:27" ht="15.75" hidden="1" customHeight="1">
      <c r="A203" s="94" t="s">
        <v>2855</v>
      </c>
      <c r="B203" s="94" t="s">
        <v>874</v>
      </c>
      <c r="C203" s="94" t="s">
        <v>149</v>
      </c>
      <c r="D203" s="95">
        <v>640</v>
      </c>
      <c r="E203" s="94" t="s">
        <v>431</v>
      </c>
      <c r="F203" s="94" t="s">
        <v>433</v>
      </c>
      <c r="G203" s="95">
        <v>19</v>
      </c>
      <c r="H203" s="94" t="s">
        <v>368</v>
      </c>
      <c r="I203" s="94" t="s">
        <v>6236</v>
      </c>
      <c r="J203" s="94" t="s">
        <v>434</v>
      </c>
      <c r="K203" s="95">
        <v>60</v>
      </c>
      <c r="L203" s="94"/>
      <c r="M203" s="95">
        <v>480</v>
      </c>
      <c r="N203" s="99" t="s">
        <v>435</v>
      </c>
      <c r="O203" s="94"/>
      <c r="P203" s="95">
        <v>3</v>
      </c>
      <c r="Q203" s="94" t="s">
        <v>436</v>
      </c>
      <c r="R203" s="95">
        <v>0</v>
      </c>
      <c r="S203" s="95">
        <v>0</v>
      </c>
      <c r="T203" s="95">
        <v>80</v>
      </c>
      <c r="U203" s="95">
        <v>16</v>
      </c>
      <c r="V203" s="95">
        <v>119</v>
      </c>
      <c r="W203" s="95">
        <v>354</v>
      </c>
      <c r="X203" s="97">
        <v>45077.375</v>
      </c>
      <c r="Y203" s="97">
        <v>45050.375</v>
      </c>
      <c r="Z203" s="97">
        <v>45055.375</v>
      </c>
      <c r="AA203" s="98"/>
    </row>
    <row r="204" spans="1:27" ht="15.75" hidden="1" customHeight="1">
      <c r="A204" s="94" t="s">
        <v>2872</v>
      </c>
      <c r="B204" s="94" t="s">
        <v>875</v>
      </c>
      <c r="C204" s="94" t="s">
        <v>152</v>
      </c>
      <c r="D204" s="95">
        <v>200</v>
      </c>
      <c r="E204" s="94" t="s">
        <v>442</v>
      </c>
      <c r="F204" s="94" t="s">
        <v>40</v>
      </c>
      <c r="G204" s="95">
        <v>1</v>
      </c>
      <c r="H204" s="94" t="s">
        <v>11</v>
      </c>
      <c r="I204" s="94" t="s">
        <v>7228</v>
      </c>
      <c r="J204" s="94" t="s">
        <v>426</v>
      </c>
      <c r="K204" s="95">
        <v>25</v>
      </c>
      <c r="L204" s="95">
        <v>500</v>
      </c>
      <c r="M204" s="94"/>
      <c r="N204" s="96">
        <v>412000</v>
      </c>
      <c r="O204" s="95">
        <v>824</v>
      </c>
      <c r="P204" s="95">
        <v>1</v>
      </c>
      <c r="Q204" s="94" t="s">
        <v>383</v>
      </c>
      <c r="R204" s="95">
        <v>1</v>
      </c>
      <c r="S204" s="95">
        <v>25</v>
      </c>
      <c r="T204" s="95">
        <v>0</v>
      </c>
      <c r="U204" s="95">
        <v>0</v>
      </c>
      <c r="V204" s="95">
        <v>235</v>
      </c>
      <c r="W204" s="95">
        <v>286</v>
      </c>
      <c r="X204" s="97">
        <v>45077.375</v>
      </c>
      <c r="Y204" s="97">
        <v>45050.375</v>
      </c>
      <c r="Z204" s="97">
        <v>45044.375</v>
      </c>
      <c r="AA204" s="98"/>
    </row>
    <row r="205" spans="1:27" ht="15.75" hidden="1" customHeight="1">
      <c r="A205" s="94" t="s">
        <v>2872</v>
      </c>
      <c r="B205" s="94" t="s">
        <v>875</v>
      </c>
      <c r="C205" s="94" t="s">
        <v>152</v>
      </c>
      <c r="D205" s="95">
        <v>200</v>
      </c>
      <c r="E205" s="94" t="s">
        <v>442</v>
      </c>
      <c r="F205" s="94" t="s">
        <v>40</v>
      </c>
      <c r="G205" s="95">
        <v>2</v>
      </c>
      <c r="H205" s="94" t="s">
        <v>12</v>
      </c>
      <c r="I205" s="94" t="s">
        <v>6923</v>
      </c>
      <c r="J205" s="94" t="s">
        <v>449</v>
      </c>
      <c r="K205" s="95">
        <v>180</v>
      </c>
      <c r="L205" s="95">
        <v>500</v>
      </c>
      <c r="M205" s="94"/>
      <c r="N205" s="96">
        <v>412000</v>
      </c>
      <c r="O205" s="95">
        <v>824</v>
      </c>
      <c r="P205" s="95">
        <v>1</v>
      </c>
      <c r="Q205" s="94" t="s">
        <v>383</v>
      </c>
      <c r="R205" s="95">
        <v>1</v>
      </c>
      <c r="S205" s="95">
        <v>180</v>
      </c>
      <c r="T205" s="95">
        <v>0</v>
      </c>
      <c r="U205" s="95">
        <v>0</v>
      </c>
      <c r="V205" s="95">
        <v>235</v>
      </c>
      <c r="W205" s="95">
        <v>286</v>
      </c>
      <c r="X205" s="97">
        <v>45077.375</v>
      </c>
      <c r="Y205" s="97">
        <v>45050.375</v>
      </c>
      <c r="Z205" s="97">
        <v>45044.375</v>
      </c>
      <c r="AA205" s="98"/>
    </row>
    <row r="206" spans="1:27" ht="15.75" hidden="1" customHeight="1">
      <c r="A206" s="94" t="s">
        <v>2872</v>
      </c>
      <c r="B206" s="94" t="s">
        <v>875</v>
      </c>
      <c r="C206" s="94" t="s">
        <v>152</v>
      </c>
      <c r="D206" s="95">
        <v>200</v>
      </c>
      <c r="E206" s="94" t="s">
        <v>442</v>
      </c>
      <c r="F206" s="94" t="s">
        <v>40</v>
      </c>
      <c r="G206" s="95">
        <v>3</v>
      </c>
      <c r="H206" s="94" t="s">
        <v>13</v>
      </c>
      <c r="I206" s="94" t="s">
        <v>6923</v>
      </c>
      <c r="J206" s="94" t="s">
        <v>449</v>
      </c>
      <c r="K206" s="95">
        <v>30</v>
      </c>
      <c r="L206" s="95">
        <v>500</v>
      </c>
      <c r="M206" s="94"/>
      <c r="N206" s="95">
        <v>412000</v>
      </c>
      <c r="O206" s="95">
        <v>824</v>
      </c>
      <c r="P206" s="95">
        <v>1</v>
      </c>
      <c r="Q206" s="94" t="s">
        <v>383</v>
      </c>
      <c r="R206" s="95">
        <v>1</v>
      </c>
      <c r="S206" s="95">
        <v>30</v>
      </c>
      <c r="T206" s="95">
        <v>0</v>
      </c>
      <c r="U206" s="95">
        <v>0</v>
      </c>
      <c r="V206" s="95">
        <v>235</v>
      </c>
      <c r="W206" s="95">
        <v>286</v>
      </c>
      <c r="X206" s="97">
        <v>45077.375</v>
      </c>
      <c r="Y206" s="97">
        <v>45050.375</v>
      </c>
      <c r="Z206" s="97">
        <v>45044.375</v>
      </c>
      <c r="AA206" s="98"/>
    </row>
    <row r="207" spans="1:27" ht="15.75" hidden="1" customHeight="1">
      <c r="A207" s="94" t="s">
        <v>2872</v>
      </c>
      <c r="B207" s="94" t="s">
        <v>875</v>
      </c>
      <c r="C207" s="94" t="s">
        <v>152</v>
      </c>
      <c r="D207" s="95">
        <v>200</v>
      </c>
      <c r="E207" s="94" t="s">
        <v>431</v>
      </c>
      <c r="F207" s="94" t="s">
        <v>433</v>
      </c>
      <c r="G207" s="95">
        <v>18</v>
      </c>
      <c r="H207" s="94" t="s">
        <v>439</v>
      </c>
      <c r="I207" s="94" t="s">
        <v>6671</v>
      </c>
      <c r="J207" s="94" t="s">
        <v>440</v>
      </c>
      <c r="K207" s="95">
        <v>60</v>
      </c>
      <c r="L207" s="94"/>
      <c r="M207" s="95">
        <v>770</v>
      </c>
      <c r="N207" s="94" t="s">
        <v>435</v>
      </c>
      <c r="O207" s="94"/>
      <c r="P207" s="95">
        <v>1</v>
      </c>
      <c r="Q207" s="94" t="s">
        <v>436</v>
      </c>
      <c r="R207" s="95">
        <v>0</v>
      </c>
      <c r="S207" s="95">
        <v>0</v>
      </c>
      <c r="T207" s="95">
        <v>16</v>
      </c>
      <c r="U207" s="95">
        <v>4</v>
      </c>
      <c r="V207" s="95">
        <v>51</v>
      </c>
      <c r="W207" s="95">
        <v>286</v>
      </c>
      <c r="X207" s="97">
        <v>45077.375</v>
      </c>
      <c r="Y207" s="97">
        <v>45050.375</v>
      </c>
      <c r="Z207" s="97">
        <v>45044.375</v>
      </c>
      <c r="AA207" s="98"/>
    </row>
    <row r="208" spans="1:27" ht="15.75" hidden="1" customHeight="1">
      <c r="A208" s="94" t="s">
        <v>2872</v>
      </c>
      <c r="B208" s="94" t="s">
        <v>875</v>
      </c>
      <c r="C208" s="94" t="s">
        <v>152</v>
      </c>
      <c r="D208" s="95">
        <v>200</v>
      </c>
      <c r="E208" s="94" t="s">
        <v>431</v>
      </c>
      <c r="F208" s="94" t="s">
        <v>433</v>
      </c>
      <c r="G208" s="95">
        <v>19</v>
      </c>
      <c r="H208" s="94" t="s">
        <v>368</v>
      </c>
      <c r="I208" s="94" t="s">
        <v>6236</v>
      </c>
      <c r="J208" s="94" t="s">
        <v>434</v>
      </c>
      <c r="K208" s="95">
        <v>60</v>
      </c>
      <c r="L208" s="94"/>
      <c r="M208" s="95">
        <v>350</v>
      </c>
      <c r="N208" s="94" t="s">
        <v>435</v>
      </c>
      <c r="O208" s="94"/>
      <c r="P208" s="95">
        <v>4</v>
      </c>
      <c r="Q208" s="94" t="s">
        <v>436</v>
      </c>
      <c r="R208" s="95">
        <v>0</v>
      </c>
      <c r="S208" s="95">
        <v>0</v>
      </c>
      <c r="T208" s="95">
        <v>35</v>
      </c>
      <c r="U208" s="95">
        <v>7</v>
      </c>
      <c r="V208" s="95">
        <v>51</v>
      </c>
      <c r="W208" s="95">
        <v>286</v>
      </c>
      <c r="X208" s="97">
        <v>45077.375</v>
      </c>
      <c r="Y208" s="97">
        <v>45050.375</v>
      </c>
      <c r="Z208" s="97">
        <v>45044.375</v>
      </c>
      <c r="AA208" s="98"/>
    </row>
    <row r="209" spans="1:27" ht="15.75" hidden="1" customHeight="1">
      <c r="A209" s="94" t="s">
        <v>2890</v>
      </c>
      <c r="B209" s="94" t="s">
        <v>923</v>
      </c>
      <c r="C209" s="94" t="s">
        <v>155</v>
      </c>
      <c r="D209" s="95">
        <v>1460</v>
      </c>
      <c r="E209" s="94" t="s">
        <v>424</v>
      </c>
      <c r="F209" s="94" t="s">
        <v>48</v>
      </c>
      <c r="G209" s="95">
        <v>4</v>
      </c>
      <c r="H209" s="94" t="s">
        <v>11</v>
      </c>
      <c r="I209" s="94" t="s">
        <v>7228</v>
      </c>
      <c r="J209" s="94" t="s">
        <v>426</v>
      </c>
      <c r="K209" s="95">
        <v>25</v>
      </c>
      <c r="L209" s="95">
        <v>8</v>
      </c>
      <c r="M209" s="94"/>
      <c r="N209" s="95">
        <v>52000</v>
      </c>
      <c r="O209" s="95">
        <v>6500</v>
      </c>
      <c r="P209" s="95">
        <v>1</v>
      </c>
      <c r="Q209" s="94" t="s">
        <v>383</v>
      </c>
      <c r="R209" s="95">
        <v>1</v>
      </c>
      <c r="S209" s="95">
        <v>25</v>
      </c>
      <c r="T209" s="95">
        <v>0</v>
      </c>
      <c r="U209" s="95">
        <v>0</v>
      </c>
      <c r="V209" s="95">
        <v>180</v>
      </c>
      <c r="W209" s="95">
        <v>331</v>
      </c>
      <c r="X209" s="97">
        <v>45082.375</v>
      </c>
      <c r="Y209" s="97">
        <v>44987.375</v>
      </c>
      <c r="Z209" s="97">
        <v>45037.375</v>
      </c>
      <c r="AA209" s="98"/>
    </row>
    <row r="210" spans="1:27" ht="15.75" hidden="1" customHeight="1">
      <c r="A210" s="94" t="s">
        <v>2890</v>
      </c>
      <c r="B210" s="94" t="s">
        <v>923</v>
      </c>
      <c r="C210" s="94" t="s">
        <v>155</v>
      </c>
      <c r="D210" s="95">
        <v>1460</v>
      </c>
      <c r="E210" s="94" t="s">
        <v>424</v>
      </c>
      <c r="F210" s="94" t="s">
        <v>48</v>
      </c>
      <c r="G210" s="95">
        <v>5</v>
      </c>
      <c r="H210" s="94" t="s">
        <v>12</v>
      </c>
      <c r="I210" s="94" t="s">
        <v>6923</v>
      </c>
      <c r="J210" s="94" t="s">
        <v>427</v>
      </c>
      <c r="K210" s="95">
        <v>125</v>
      </c>
      <c r="L210" s="95">
        <v>8</v>
      </c>
      <c r="M210" s="94"/>
      <c r="N210" s="95">
        <v>52000</v>
      </c>
      <c r="O210" s="95">
        <v>6500</v>
      </c>
      <c r="P210" s="95">
        <v>1</v>
      </c>
      <c r="Q210" s="94" t="s">
        <v>383</v>
      </c>
      <c r="R210" s="95">
        <v>1</v>
      </c>
      <c r="S210" s="95">
        <v>125</v>
      </c>
      <c r="T210" s="95">
        <v>0</v>
      </c>
      <c r="U210" s="95">
        <v>0</v>
      </c>
      <c r="V210" s="95">
        <v>180</v>
      </c>
      <c r="W210" s="95">
        <v>331</v>
      </c>
      <c r="X210" s="97">
        <v>45082.375</v>
      </c>
      <c r="Y210" s="97">
        <v>44987.375</v>
      </c>
      <c r="Z210" s="97">
        <v>45037.375</v>
      </c>
      <c r="AA210" s="98"/>
    </row>
    <row r="211" spans="1:27" ht="15.75" hidden="1" customHeight="1">
      <c r="A211" s="94" t="s">
        <v>2890</v>
      </c>
      <c r="B211" s="94" t="s">
        <v>923</v>
      </c>
      <c r="C211" s="94" t="s">
        <v>155</v>
      </c>
      <c r="D211" s="95">
        <v>1460</v>
      </c>
      <c r="E211" s="94" t="s">
        <v>424</v>
      </c>
      <c r="F211" s="94" t="s">
        <v>48</v>
      </c>
      <c r="G211" s="95">
        <v>6</v>
      </c>
      <c r="H211" s="94" t="s">
        <v>13</v>
      </c>
      <c r="I211" s="94" t="s">
        <v>6923</v>
      </c>
      <c r="J211" s="94" t="s">
        <v>427</v>
      </c>
      <c r="K211" s="95">
        <v>30</v>
      </c>
      <c r="L211" s="95">
        <v>8</v>
      </c>
      <c r="M211" s="94"/>
      <c r="N211" s="96">
        <v>52000</v>
      </c>
      <c r="O211" s="95">
        <v>6500</v>
      </c>
      <c r="P211" s="95">
        <v>1</v>
      </c>
      <c r="Q211" s="94" t="s">
        <v>383</v>
      </c>
      <c r="R211" s="95">
        <v>1</v>
      </c>
      <c r="S211" s="95">
        <v>30</v>
      </c>
      <c r="T211" s="95">
        <v>0</v>
      </c>
      <c r="U211" s="95">
        <v>0</v>
      </c>
      <c r="V211" s="95">
        <v>180</v>
      </c>
      <c r="W211" s="95">
        <v>331</v>
      </c>
      <c r="X211" s="97">
        <v>45082.375</v>
      </c>
      <c r="Y211" s="97">
        <v>44987.375</v>
      </c>
      <c r="Z211" s="97">
        <v>45037.375</v>
      </c>
      <c r="AA211" s="98"/>
    </row>
    <row r="212" spans="1:27" ht="15.75" hidden="1" customHeight="1">
      <c r="A212" s="94" t="s">
        <v>2890</v>
      </c>
      <c r="B212" s="94" t="s">
        <v>923</v>
      </c>
      <c r="C212" s="94" t="s">
        <v>155</v>
      </c>
      <c r="D212" s="95">
        <v>1460</v>
      </c>
      <c r="E212" s="94" t="s">
        <v>431</v>
      </c>
      <c r="F212" s="94" t="s">
        <v>433</v>
      </c>
      <c r="G212" s="95">
        <v>18</v>
      </c>
      <c r="H212" s="94" t="s">
        <v>439</v>
      </c>
      <c r="I212" s="94" t="s">
        <v>6671</v>
      </c>
      <c r="J212" s="94" t="s">
        <v>440</v>
      </c>
      <c r="K212" s="95">
        <v>60</v>
      </c>
      <c r="L212" s="94"/>
      <c r="M212" s="95">
        <v>1400</v>
      </c>
      <c r="N212" s="99" t="s">
        <v>435</v>
      </c>
      <c r="O212" s="94"/>
      <c r="P212" s="95">
        <v>1</v>
      </c>
      <c r="Q212" s="94" t="s">
        <v>436</v>
      </c>
      <c r="R212" s="95">
        <v>0</v>
      </c>
      <c r="S212" s="95">
        <v>0</v>
      </c>
      <c r="T212" s="95">
        <v>63</v>
      </c>
      <c r="U212" s="95">
        <v>13</v>
      </c>
      <c r="V212" s="95">
        <v>151</v>
      </c>
      <c r="W212" s="95">
        <v>331</v>
      </c>
      <c r="X212" s="97">
        <v>45082.375</v>
      </c>
      <c r="Y212" s="97">
        <v>44987.375</v>
      </c>
      <c r="Z212" s="97">
        <v>45037.375</v>
      </c>
      <c r="AA212" s="98"/>
    </row>
    <row r="213" spans="1:27" ht="15.75" hidden="1" customHeight="1">
      <c r="A213" s="94" t="s">
        <v>2890</v>
      </c>
      <c r="B213" s="94" t="s">
        <v>923</v>
      </c>
      <c r="C213" s="94" t="s">
        <v>155</v>
      </c>
      <c r="D213" s="95">
        <v>1460</v>
      </c>
      <c r="E213" s="94" t="s">
        <v>431</v>
      </c>
      <c r="F213" s="94" t="s">
        <v>433</v>
      </c>
      <c r="G213" s="95">
        <v>19</v>
      </c>
      <c r="H213" s="94" t="s">
        <v>368</v>
      </c>
      <c r="I213" s="94" t="s">
        <v>6236</v>
      </c>
      <c r="J213" s="94" t="s">
        <v>434</v>
      </c>
      <c r="K213" s="95">
        <v>60</v>
      </c>
      <c r="L213" s="94"/>
      <c r="M213" s="95">
        <v>1000</v>
      </c>
      <c r="N213" s="99" t="s">
        <v>435</v>
      </c>
      <c r="O213" s="94"/>
      <c r="P213" s="95">
        <v>4</v>
      </c>
      <c r="Q213" s="94" t="s">
        <v>436</v>
      </c>
      <c r="R213" s="95">
        <v>0</v>
      </c>
      <c r="S213" s="95">
        <v>0</v>
      </c>
      <c r="T213" s="95">
        <v>88</v>
      </c>
      <c r="U213" s="95">
        <v>18</v>
      </c>
      <c r="V213" s="95">
        <v>151</v>
      </c>
      <c r="W213" s="95">
        <v>331</v>
      </c>
      <c r="X213" s="97">
        <v>45082.375</v>
      </c>
      <c r="Y213" s="97">
        <v>44987.375</v>
      </c>
      <c r="Z213" s="97">
        <v>45037.375</v>
      </c>
      <c r="AA213" s="98"/>
    </row>
    <row r="214" spans="1:27" ht="15.75" hidden="1" customHeight="1">
      <c r="A214" s="94" t="s">
        <v>2879</v>
      </c>
      <c r="B214" s="94" t="s">
        <v>921</v>
      </c>
      <c r="C214" s="94" t="s">
        <v>158</v>
      </c>
      <c r="D214" s="95">
        <v>2500</v>
      </c>
      <c r="E214" s="94" t="s">
        <v>424</v>
      </c>
      <c r="F214" s="94" t="s">
        <v>48</v>
      </c>
      <c r="G214" s="95">
        <v>4</v>
      </c>
      <c r="H214" s="94" t="s">
        <v>11</v>
      </c>
      <c r="I214" s="94" t="s">
        <v>7228</v>
      </c>
      <c r="J214" s="94" t="s">
        <v>426</v>
      </c>
      <c r="K214" s="95">
        <v>25</v>
      </c>
      <c r="L214" s="95">
        <v>62</v>
      </c>
      <c r="M214" s="94"/>
      <c r="N214" s="95">
        <v>52000</v>
      </c>
      <c r="O214" s="95">
        <v>838</v>
      </c>
      <c r="P214" s="95">
        <v>1</v>
      </c>
      <c r="Q214" s="94" t="s">
        <v>383</v>
      </c>
      <c r="R214" s="95">
        <v>3</v>
      </c>
      <c r="S214" s="95">
        <v>75</v>
      </c>
      <c r="T214" s="95">
        <v>0</v>
      </c>
      <c r="U214" s="95">
        <v>0</v>
      </c>
      <c r="V214" s="95">
        <v>480</v>
      </c>
      <c r="W214" s="95">
        <v>761</v>
      </c>
      <c r="X214" s="97">
        <v>45082.375</v>
      </c>
      <c r="Y214" s="97">
        <v>45055.375</v>
      </c>
      <c r="Z214" s="97">
        <v>45037.375</v>
      </c>
      <c r="AA214" s="98"/>
    </row>
    <row r="215" spans="1:27" ht="15.75" hidden="1" customHeight="1">
      <c r="A215" s="94" t="s">
        <v>2879</v>
      </c>
      <c r="B215" s="94" t="s">
        <v>921</v>
      </c>
      <c r="C215" s="94" t="s">
        <v>158</v>
      </c>
      <c r="D215" s="95">
        <v>2500</v>
      </c>
      <c r="E215" s="94" t="s">
        <v>424</v>
      </c>
      <c r="F215" s="94" t="s">
        <v>48</v>
      </c>
      <c r="G215" s="95">
        <v>5</v>
      </c>
      <c r="H215" s="94" t="s">
        <v>12</v>
      </c>
      <c r="I215" s="94" t="s">
        <v>6923</v>
      </c>
      <c r="J215" s="94" t="s">
        <v>427</v>
      </c>
      <c r="K215" s="95">
        <v>125</v>
      </c>
      <c r="L215" s="95">
        <v>62</v>
      </c>
      <c r="M215" s="94"/>
      <c r="N215" s="96">
        <v>52000</v>
      </c>
      <c r="O215" s="95">
        <v>838</v>
      </c>
      <c r="P215" s="95">
        <v>1</v>
      </c>
      <c r="Q215" s="94" t="s">
        <v>383</v>
      </c>
      <c r="R215" s="95">
        <v>3</v>
      </c>
      <c r="S215" s="95">
        <v>375</v>
      </c>
      <c r="T215" s="95">
        <v>0</v>
      </c>
      <c r="U215" s="95">
        <v>0</v>
      </c>
      <c r="V215" s="95">
        <v>480</v>
      </c>
      <c r="W215" s="95">
        <v>761</v>
      </c>
      <c r="X215" s="97">
        <v>45082.375</v>
      </c>
      <c r="Y215" s="97">
        <v>45055.375</v>
      </c>
      <c r="Z215" s="97">
        <v>45037.375</v>
      </c>
      <c r="AA215" s="98"/>
    </row>
    <row r="216" spans="1:27" ht="15.75" hidden="1" customHeight="1">
      <c r="A216" s="94" t="s">
        <v>2879</v>
      </c>
      <c r="B216" s="94" t="s">
        <v>921</v>
      </c>
      <c r="C216" s="94" t="s">
        <v>158</v>
      </c>
      <c r="D216" s="95">
        <v>2500</v>
      </c>
      <c r="E216" s="94" t="s">
        <v>424</v>
      </c>
      <c r="F216" s="94" t="s">
        <v>48</v>
      </c>
      <c r="G216" s="95">
        <v>6</v>
      </c>
      <c r="H216" s="94" t="s">
        <v>13</v>
      </c>
      <c r="I216" s="94" t="s">
        <v>6923</v>
      </c>
      <c r="J216" s="94" t="s">
        <v>427</v>
      </c>
      <c r="K216" s="95">
        <v>30</v>
      </c>
      <c r="L216" s="95">
        <v>62</v>
      </c>
      <c r="M216" s="94"/>
      <c r="N216" s="96">
        <v>52000</v>
      </c>
      <c r="O216" s="95">
        <v>838</v>
      </c>
      <c r="P216" s="95">
        <v>1</v>
      </c>
      <c r="Q216" s="94" t="s">
        <v>383</v>
      </c>
      <c r="R216" s="95">
        <v>3</v>
      </c>
      <c r="S216" s="95">
        <v>30</v>
      </c>
      <c r="T216" s="95">
        <v>0</v>
      </c>
      <c r="U216" s="95">
        <v>0</v>
      </c>
      <c r="V216" s="95">
        <v>480</v>
      </c>
      <c r="W216" s="95">
        <v>761</v>
      </c>
      <c r="X216" s="97">
        <v>45082.375</v>
      </c>
      <c r="Y216" s="97">
        <v>45055.375</v>
      </c>
      <c r="Z216" s="97">
        <v>45037.375</v>
      </c>
      <c r="AA216" s="98"/>
    </row>
    <row r="217" spans="1:27" ht="15.75" hidden="1" customHeight="1">
      <c r="A217" s="94" t="s">
        <v>2879</v>
      </c>
      <c r="B217" s="94" t="s">
        <v>921</v>
      </c>
      <c r="C217" s="94" t="s">
        <v>158</v>
      </c>
      <c r="D217" s="95">
        <v>2500</v>
      </c>
      <c r="E217" s="94" t="s">
        <v>431</v>
      </c>
      <c r="F217" s="94" t="s">
        <v>433</v>
      </c>
      <c r="G217" s="95">
        <v>18</v>
      </c>
      <c r="H217" s="94" t="s">
        <v>439</v>
      </c>
      <c r="I217" s="94" t="s">
        <v>6671</v>
      </c>
      <c r="J217" s="94" t="s">
        <v>440</v>
      </c>
      <c r="K217" s="95">
        <v>60</v>
      </c>
      <c r="L217" s="94"/>
      <c r="M217" s="95">
        <v>1400</v>
      </c>
      <c r="N217" s="99" t="s">
        <v>435</v>
      </c>
      <c r="O217" s="94"/>
      <c r="P217" s="95">
        <v>1</v>
      </c>
      <c r="Q217" s="94" t="s">
        <v>436</v>
      </c>
      <c r="R217" s="95">
        <v>0</v>
      </c>
      <c r="S217" s="95">
        <v>0</v>
      </c>
      <c r="T217" s="95">
        <v>108</v>
      </c>
      <c r="U217" s="95">
        <v>22</v>
      </c>
      <c r="V217" s="95">
        <v>281</v>
      </c>
      <c r="W217" s="95">
        <v>761</v>
      </c>
      <c r="X217" s="97">
        <v>45082.375</v>
      </c>
      <c r="Y217" s="97">
        <v>45055.375</v>
      </c>
      <c r="Z217" s="97">
        <v>45037.375</v>
      </c>
      <c r="AA217" s="98"/>
    </row>
    <row r="218" spans="1:27" ht="15.75" hidden="1" customHeight="1">
      <c r="A218" s="94" t="s">
        <v>2879</v>
      </c>
      <c r="B218" s="94" t="s">
        <v>921</v>
      </c>
      <c r="C218" s="94" t="s">
        <v>158</v>
      </c>
      <c r="D218" s="95">
        <v>2500</v>
      </c>
      <c r="E218" s="94" t="s">
        <v>431</v>
      </c>
      <c r="F218" s="94" t="s">
        <v>433</v>
      </c>
      <c r="G218" s="95">
        <v>19</v>
      </c>
      <c r="H218" s="94" t="s">
        <v>368</v>
      </c>
      <c r="I218" s="94" t="s">
        <v>6236</v>
      </c>
      <c r="J218" s="94" t="s">
        <v>434</v>
      </c>
      <c r="K218" s="95">
        <v>60</v>
      </c>
      <c r="L218" s="94"/>
      <c r="M218" s="95">
        <v>870</v>
      </c>
      <c r="N218" s="99" t="s">
        <v>435</v>
      </c>
      <c r="O218" s="94"/>
      <c r="P218" s="95">
        <v>3</v>
      </c>
      <c r="Q218" s="94" t="s">
        <v>436</v>
      </c>
      <c r="R218" s="95">
        <v>0</v>
      </c>
      <c r="S218" s="95">
        <v>0</v>
      </c>
      <c r="T218" s="95">
        <v>173</v>
      </c>
      <c r="U218" s="95">
        <v>35</v>
      </c>
      <c r="V218" s="95">
        <v>281</v>
      </c>
      <c r="W218" s="95">
        <v>761</v>
      </c>
      <c r="X218" s="97">
        <v>45082.375</v>
      </c>
      <c r="Y218" s="97">
        <v>45055.375</v>
      </c>
      <c r="Z218" s="97">
        <v>45037.375</v>
      </c>
      <c r="AA218" s="98"/>
    </row>
    <row r="219" spans="1:27" ht="15.75" hidden="1" customHeight="1">
      <c r="A219" s="94" t="s">
        <v>2900</v>
      </c>
      <c r="B219" s="94" t="s">
        <v>437</v>
      </c>
      <c r="C219" s="94" t="s">
        <v>168</v>
      </c>
      <c r="D219" s="95">
        <v>10000</v>
      </c>
      <c r="E219" s="94" t="s">
        <v>424</v>
      </c>
      <c r="F219" s="94" t="s">
        <v>48</v>
      </c>
      <c r="G219" s="95">
        <v>4</v>
      </c>
      <c r="H219" s="94" t="s">
        <v>11</v>
      </c>
      <c r="I219" s="94" t="s">
        <v>7228</v>
      </c>
      <c r="J219" s="94" t="s">
        <v>426</v>
      </c>
      <c r="K219" s="95">
        <v>25</v>
      </c>
      <c r="L219" s="95">
        <v>30</v>
      </c>
      <c r="M219" s="94"/>
      <c r="N219" s="95">
        <v>52000</v>
      </c>
      <c r="O219" s="95">
        <v>1733</v>
      </c>
      <c r="P219" s="95">
        <v>1</v>
      </c>
      <c r="Q219" s="94" t="s">
        <v>383</v>
      </c>
      <c r="R219" s="95">
        <v>6</v>
      </c>
      <c r="S219" s="95">
        <v>150</v>
      </c>
      <c r="T219" s="95">
        <v>0</v>
      </c>
      <c r="U219" s="95">
        <v>0</v>
      </c>
      <c r="V219" s="95">
        <v>990</v>
      </c>
      <c r="W219" s="95">
        <v>1965</v>
      </c>
      <c r="X219" s="97">
        <v>45076.375</v>
      </c>
      <c r="Y219" s="97">
        <v>45055.375</v>
      </c>
      <c r="Z219" s="97">
        <v>45050.375</v>
      </c>
      <c r="AA219" s="98"/>
    </row>
    <row r="220" spans="1:27" ht="15.75" hidden="1" customHeight="1">
      <c r="A220" s="94" t="s">
        <v>2900</v>
      </c>
      <c r="B220" s="94" t="s">
        <v>437</v>
      </c>
      <c r="C220" s="94" t="s">
        <v>168</v>
      </c>
      <c r="D220" s="95">
        <v>10000</v>
      </c>
      <c r="E220" s="94" t="s">
        <v>424</v>
      </c>
      <c r="F220" s="94" t="s">
        <v>48</v>
      </c>
      <c r="G220" s="95">
        <v>5</v>
      </c>
      <c r="H220" s="94" t="s">
        <v>12</v>
      </c>
      <c r="I220" s="94" t="s">
        <v>6923</v>
      </c>
      <c r="J220" s="94" t="s">
        <v>427</v>
      </c>
      <c r="K220" s="95">
        <v>130</v>
      </c>
      <c r="L220" s="95">
        <v>30</v>
      </c>
      <c r="M220" s="94"/>
      <c r="N220" s="95">
        <v>52000</v>
      </c>
      <c r="O220" s="95">
        <v>1733</v>
      </c>
      <c r="P220" s="95">
        <v>1</v>
      </c>
      <c r="Q220" s="94" t="s">
        <v>383</v>
      </c>
      <c r="R220" s="95">
        <v>6</v>
      </c>
      <c r="S220" s="95">
        <v>780</v>
      </c>
      <c r="T220" s="95">
        <v>0</v>
      </c>
      <c r="U220" s="95">
        <v>0</v>
      </c>
      <c r="V220" s="95">
        <v>990</v>
      </c>
      <c r="W220" s="95">
        <v>1965</v>
      </c>
      <c r="X220" s="97">
        <v>45076.375</v>
      </c>
      <c r="Y220" s="97">
        <v>45055.375</v>
      </c>
      <c r="Z220" s="97">
        <v>45050.375</v>
      </c>
      <c r="AA220" s="98"/>
    </row>
    <row r="221" spans="1:27" ht="15.75" hidden="1" customHeight="1">
      <c r="A221" s="94" t="s">
        <v>2900</v>
      </c>
      <c r="B221" s="94" t="s">
        <v>437</v>
      </c>
      <c r="C221" s="94" t="s">
        <v>168</v>
      </c>
      <c r="D221" s="95">
        <v>10000</v>
      </c>
      <c r="E221" s="94" t="s">
        <v>424</v>
      </c>
      <c r="F221" s="94" t="s">
        <v>48</v>
      </c>
      <c r="G221" s="95">
        <v>6</v>
      </c>
      <c r="H221" s="94" t="s">
        <v>13</v>
      </c>
      <c r="I221" s="94" t="s">
        <v>6923</v>
      </c>
      <c r="J221" s="94" t="s">
        <v>427</v>
      </c>
      <c r="K221" s="95">
        <v>40</v>
      </c>
      <c r="L221" s="95">
        <v>30</v>
      </c>
      <c r="M221" s="94"/>
      <c r="N221" s="95">
        <v>52000</v>
      </c>
      <c r="O221" s="95">
        <v>1733</v>
      </c>
      <c r="P221" s="95">
        <v>1</v>
      </c>
      <c r="Q221" s="94" t="s">
        <v>383</v>
      </c>
      <c r="R221" s="95">
        <v>6</v>
      </c>
      <c r="S221" s="95">
        <v>60</v>
      </c>
      <c r="T221" s="95">
        <v>0</v>
      </c>
      <c r="U221" s="95">
        <v>0</v>
      </c>
      <c r="V221" s="95">
        <v>990</v>
      </c>
      <c r="W221" s="95">
        <v>1965</v>
      </c>
      <c r="X221" s="97">
        <v>45076.375</v>
      </c>
      <c r="Y221" s="97">
        <v>45055.375</v>
      </c>
      <c r="Z221" s="97">
        <v>45050.375</v>
      </c>
      <c r="AA221" s="98"/>
    </row>
    <row r="222" spans="1:27" ht="15.75" hidden="1" customHeight="1">
      <c r="A222" s="94" t="s">
        <v>2900</v>
      </c>
      <c r="B222" s="94" t="s">
        <v>437</v>
      </c>
      <c r="C222" s="94" t="s">
        <v>168</v>
      </c>
      <c r="D222" s="95">
        <v>10000</v>
      </c>
      <c r="E222" s="94" t="s">
        <v>431</v>
      </c>
      <c r="F222" s="94" t="s">
        <v>433</v>
      </c>
      <c r="G222" s="95">
        <v>18</v>
      </c>
      <c r="H222" s="94" t="s">
        <v>439</v>
      </c>
      <c r="I222" s="94" t="s">
        <v>6671</v>
      </c>
      <c r="J222" s="94" t="s">
        <v>440</v>
      </c>
      <c r="K222" s="95">
        <v>60</v>
      </c>
      <c r="L222" s="94"/>
      <c r="M222" s="95">
        <v>1400</v>
      </c>
      <c r="N222" s="94" t="s">
        <v>435</v>
      </c>
      <c r="O222" s="94"/>
      <c r="P222" s="95">
        <v>1</v>
      </c>
      <c r="Q222" s="94" t="s">
        <v>436</v>
      </c>
      <c r="R222" s="95">
        <v>0</v>
      </c>
      <c r="S222" s="95">
        <v>0</v>
      </c>
      <c r="T222" s="95">
        <v>429</v>
      </c>
      <c r="U222" s="95">
        <v>86</v>
      </c>
      <c r="V222" s="95">
        <v>975</v>
      </c>
      <c r="W222" s="95">
        <v>1965</v>
      </c>
      <c r="X222" s="97">
        <v>45076.375</v>
      </c>
      <c r="Y222" s="97">
        <v>45055.375</v>
      </c>
      <c r="Z222" s="97">
        <v>45050.375</v>
      </c>
      <c r="AA222" s="98"/>
    </row>
    <row r="223" spans="1:27" ht="15.75" hidden="1" customHeight="1">
      <c r="A223" s="94" t="s">
        <v>2900</v>
      </c>
      <c r="B223" s="94" t="s">
        <v>437</v>
      </c>
      <c r="C223" s="94" t="s">
        <v>168</v>
      </c>
      <c r="D223" s="95">
        <v>10000</v>
      </c>
      <c r="E223" s="94" t="s">
        <v>431</v>
      </c>
      <c r="F223" s="94" t="s">
        <v>433</v>
      </c>
      <c r="G223" s="95">
        <v>19</v>
      </c>
      <c r="H223" s="94" t="s">
        <v>368</v>
      </c>
      <c r="I223" s="94" t="s">
        <v>6236</v>
      </c>
      <c r="J223" s="94" t="s">
        <v>434</v>
      </c>
      <c r="K223" s="95">
        <v>60</v>
      </c>
      <c r="L223" s="94"/>
      <c r="M223" s="95">
        <v>1100</v>
      </c>
      <c r="N223" s="94" t="s">
        <v>435</v>
      </c>
      <c r="O223" s="94"/>
      <c r="P223" s="95">
        <v>4</v>
      </c>
      <c r="Q223" s="94" t="s">
        <v>436</v>
      </c>
      <c r="R223" s="95">
        <v>0</v>
      </c>
      <c r="S223" s="95">
        <v>0</v>
      </c>
      <c r="T223" s="95">
        <v>546</v>
      </c>
      <c r="U223" s="95">
        <v>110</v>
      </c>
      <c r="V223" s="95">
        <v>975</v>
      </c>
      <c r="W223" s="95">
        <v>1965</v>
      </c>
      <c r="X223" s="97">
        <v>45076.375</v>
      </c>
      <c r="Y223" s="97">
        <v>45055.375</v>
      </c>
      <c r="Z223" s="97">
        <v>45050.375</v>
      </c>
      <c r="AA223" s="98"/>
    </row>
    <row r="224" spans="1:27" ht="15.75" hidden="1" customHeight="1">
      <c r="A224" s="94" t="s">
        <v>2918</v>
      </c>
      <c r="B224" s="94" t="s">
        <v>866</v>
      </c>
      <c r="C224" s="94" t="s">
        <v>161</v>
      </c>
      <c r="D224" s="95">
        <v>1660</v>
      </c>
      <c r="E224" s="94" t="s">
        <v>424</v>
      </c>
      <c r="F224" s="94" t="s">
        <v>48</v>
      </c>
      <c r="G224" s="95">
        <v>4</v>
      </c>
      <c r="H224" s="94" t="s">
        <v>11</v>
      </c>
      <c r="I224" s="94" t="s">
        <v>7228</v>
      </c>
      <c r="J224" s="94" t="s">
        <v>426</v>
      </c>
      <c r="K224" s="95">
        <v>90</v>
      </c>
      <c r="L224" s="95">
        <v>60</v>
      </c>
      <c r="M224" s="94"/>
      <c r="N224" s="95">
        <v>51500</v>
      </c>
      <c r="O224" s="95">
        <v>858</v>
      </c>
      <c r="P224" s="95">
        <v>1</v>
      </c>
      <c r="Q224" s="94" t="s">
        <v>383</v>
      </c>
      <c r="R224" s="95">
        <v>2</v>
      </c>
      <c r="S224" s="95">
        <v>180</v>
      </c>
      <c r="T224" s="95">
        <v>0</v>
      </c>
      <c r="U224" s="95">
        <v>0</v>
      </c>
      <c r="V224" s="95">
        <v>570</v>
      </c>
      <c r="W224" s="95">
        <v>688</v>
      </c>
      <c r="X224" s="97">
        <v>45082.375</v>
      </c>
      <c r="Y224" s="97">
        <v>45029.375</v>
      </c>
      <c r="Z224" s="97">
        <v>45079.375</v>
      </c>
      <c r="AA224" s="98"/>
    </row>
    <row r="225" spans="1:27" ht="15.75" hidden="1" customHeight="1">
      <c r="A225" s="94" t="s">
        <v>2918</v>
      </c>
      <c r="B225" s="94" t="s">
        <v>866</v>
      </c>
      <c r="C225" s="94" t="s">
        <v>161</v>
      </c>
      <c r="D225" s="95">
        <v>1660</v>
      </c>
      <c r="E225" s="94" t="s">
        <v>424</v>
      </c>
      <c r="F225" s="94" t="s">
        <v>48</v>
      </c>
      <c r="G225" s="95">
        <v>5</v>
      </c>
      <c r="H225" s="94" t="s">
        <v>12</v>
      </c>
      <c r="I225" s="94" t="s">
        <v>6923</v>
      </c>
      <c r="J225" s="94" t="s">
        <v>427</v>
      </c>
      <c r="K225" s="95">
        <v>150</v>
      </c>
      <c r="L225" s="95">
        <v>60</v>
      </c>
      <c r="M225" s="94"/>
      <c r="N225" s="96">
        <v>51500</v>
      </c>
      <c r="O225" s="95">
        <v>858</v>
      </c>
      <c r="P225" s="95">
        <v>1</v>
      </c>
      <c r="Q225" s="94" t="s">
        <v>383</v>
      </c>
      <c r="R225" s="95">
        <v>2</v>
      </c>
      <c r="S225" s="95">
        <v>300</v>
      </c>
      <c r="T225" s="95">
        <v>0</v>
      </c>
      <c r="U225" s="95">
        <v>0</v>
      </c>
      <c r="V225" s="95">
        <v>570</v>
      </c>
      <c r="W225" s="95">
        <v>688</v>
      </c>
      <c r="X225" s="97">
        <v>45082.375</v>
      </c>
      <c r="Y225" s="97">
        <v>45029.375</v>
      </c>
      <c r="Z225" s="97">
        <v>45079.375</v>
      </c>
      <c r="AA225" s="98"/>
    </row>
    <row r="226" spans="1:27" ht="15.75" hidden="1" customHeight="1">
      <c r="A226" s="94" t="s">
        <v>2918</v>
      </c>
      <c r="B226" s="94" t="s">
        <v>866</v>
      </c>
      <c r="C226" s="94" t="s">
        <v>161</v>
      </c>
      <c r="D226" s="95">
        <v>1660</v>
      </c>
      <c r="E226" s="94" t="s">
        <v>424</v>
      </c>
      <c r="F226" s="94" t="s">
        <v>48</v>
      </c>
      <c r="G226" s="95">
        <v>6</v>
      </c>
      <c r="H226" s="94" t="s">
        <v>13</v>
      </c>
      <c r="I226" s="94" t="s">
        <v>6923</v>
      </c>
      <c r="J226" s="94" t="s">
        <v>427</v>
      </c>
      <c r="K226" s="95">
        <v>90</v>
      </c>
      <c r="L226" s="95">
        <v>60</v>
      </c>
      <c r="M226" s="94"/>
      <c r="N226" s="96">
        <v>51500</v>
      </c>
      <c r="O226" s="95">
        <v>858</v>
      </c>
      <c r="P226" s="95">
        <v>1</v>
      </c>
      <c r="Q226" s="94" t="s">
        <v>383</v>
      </c>
      <c r="R226" s="95">
        <v>2</v>
      </c>
      <c r="S226" s="95">
        <v>90</v>
      </c>
      <c r="T226" s="95">
        <v>0</v>
      </c>
      <c r="U226" s="95">
        <v>0</v>
      </c>
      <c r="V226" s="95">
        <v>570</v>
      </c>
      <c r="W226" s="95">
        <v>688</v>
      </c>
      <c r="X226" s="97">
        <v>45082.375</v>
      </c>
      <c r="Y226" s="97">
        <v>45029.375</v>
      </c>
      <c r="Z226" s="97">
        <v>45079.375</v>
      </c>
      <c r="AA226" s="98"/>
    </row>
    <row r="227" spans="1:27" ht="15.75" hidden="1" customHeight="1">
      <c r="A227" s="94" t="s">
        <v>2918</v>
      </c>
      <c r="B227" s="94" t="s">
        <v>866</v>
      </c>
      <c r="C227" s="94" t="s">
        <v>161</v>
      </c>
      <c r="D227" s="95">
        <v>1660</v>
      </c>
      <c r="E227" s="94" t="s">
        <v>431</v>
      </c>
      <c r="F227" s="94" t="s">
        <v>433</v>
      </c>
      <c r="G227" s="95">
        <v>19</v>
      </c>
      <c r="H227" s="94" t="s">
        <v>368</v>
      </c>
      <c r="I227" s="94" t="s">
        <v>6236</v>
      </c>
      <c r="J227" s="94" t="s">
        <v>434</v>
      </c>
      <c r="K227" s="95">
        <v>60</v>
      </c>
      <c r="L227" s="94"/>
      <c r="M227" s="95">
        <v>850</v>
      </c>
      <c r="N227" s="99" t="s">
        <v>435</v>
      </c>
      <c r="O227" s="94"/>
      <c r="P227" s="95">
        <v>4</v>
      </c>
      <c r="Q227" s="94" t="s">
        <v>436</v>
      </c>
      <c r="R227" s="95">
        <v>0</v>
      </c>
      <c r="S227" s="95">
        <v>0</v>
      </c>
      <c r="T227" s="95">
        <v>118</v>
      </c>
      <c r="U227" s="95">
        <v>24</v>
      </c>
      <c r="V227" s="95">
        <v>118</v>
      </c>
      <c r="W227" s="95">
        <v>688</v>
      </c>
      <c r="X227" s="97">
        <v>45082.375</v>
      </c>
      <c r="Y227" s="97">
        <v>45029.375</v>
      </c>
      <c r="Z227" s="97">
        <v>45079.375</v>
      </c>
      <c r="AA227" s="98"/>
    </row>
    <row r="228" spans="1:27" ht="15.75" hidden="1" customHeight="1">
      <c r="A228" s="94" t="s">
        <v>2973</v>
      </c>
      <c r="B228" s="94" t="s">
        <v>485</v>
      </c>
      <c r="C228" s="94" t="s">
        <v>235</v>
      </c>
      <c r="D228" s="95">
        <v>10000</v>
      </c>
      <c r="E228" s="94" t="s">
        <v>442</v>
      </c>
      <c r="F228" s="94" t="s">
        <v>40</v>
      </c>
      <c r="G228" s="95">
        <v>1</v>
      </c>
      <c r="H228" s="94" t="s">
        <v>11</v>
      </c>
      <c r="I228" s="94" t="s">
        <v>7228</v>
      </c>
      <c r="J228" s="94" t="s">
        <v>426</v>
      </c>
      <c r="K228" s="95">
        <v>60</v>
      </c>
      <c r="L228" s="95">
        <v>31.4</v>
      </c>
      <c r="M228" s="94"/>
      <c r="N228" s="96">
        <v>412000</v>
      </c>
      <c r="O228" s="95">
        <v>13121</v>
      </c>
      <c r="P228" s="95">
        <v>1</v>
      </c>
      <c r="Q228" s="94" t="s">
        <v>383</v>
      </c>
      <c r="R228" s="95">
        <v>1</v>
      </c>
      <c r="S228" s="95">
        <v>60</v>
      </c>
      <c r="T228" s="95">
        <v>0</v>
      </c>
      <c r="U228" s="95">
        <v>0</v>
      </c>
      <c r="V228" s="95">
        <v>200</v>
      </c>
      <c r="W228" s="95">
        <v>1162</v>
      </c>
      <c r="X228" s="97">
        <v>45079.375</v>
      </c>
      <c r="Y228" s="97">
        <v>44987.375</v>
      </c>
      <c r="Z228" s="97">
        <v>44721.375</v>
      </c>
      <c r="AA228" s="98"/>
    </row>
    <row r="229" spans="1:27" ht="15.75" hidden="1" customHeight="1">
      <c r="A229" s="94" t="s">
        <v>2973</v>
      </c>
      <c r="B229" s="94" t="s">
        <v>485</v>
      </c>
      <c r="C229" s="94" t="s">
        <v>235</v>
      </c>
      <c r="D229" s="95">
        <v>10000</v>
      </c>
      <c r="E229" s="94" t="s">
        <v>442</v>
      </c>
      <c r="F229" s="94" t="s">
        <v>40</v>
      </c>
      <c r="G229" s="95">
        <v>2</v>
      </c>
      <c r="H229" s="94" t="s">
        <v>12</v>
      </c>
      <c r="I229" s="94" t="s">
        <v>6923</v>
      </c>
      <c r="J229" s="94" t="s">
        <v>449</v>
      </c>
      <c r="K229" s="95">
        <v>110</v>
      </c>
      <c r="L229" s="95">
        <v>31.4</v>
      </c>
      <c r="M229" s="94"/>
      <c r="N229" s="96">
        <v>412000</v>
      </c>
      <c r="O229" s="95">
        <v>13121</v>
      </c>
      <c r="P229" s="95">
        <v>1</v>
      </c>
      <c r="Q229" s="94" t="s">
        <v>383</v>
      </c>
      <c r="R229" s="95">
        <v>1</v>
      </c>
      <c r="S229" s="95">
        <v>110</v>
      </c>
      <c r="T229" s="95">
        <v>0</v>
      </c>
      <c r="U229" s="95">
        <v>0</v>
      </c>
      <c r="V229" s="95">
        <v>200</v>
      </c>
      <c r="W229" s="95">
        <v>1162</v>
      </c>
      <c r="X229" s="97">
        <v>45079.375</v>
      </c>
      <c r="Y229" s="97">
        <v>44987.375</v>
      </c>
      <c r="Z229" s="97">
        <v>44721.375</v>
      </c>
      <c r="AA229" s="98"/>
    </row>
    <row r="230" spans="1:27" ht="15.75" hidden="1" customHeight="1">
      <c r="A230" s="94" t="s">
        <v>2973</v>
      </c>
      <c r="B230" s="94" t="s">
        <v>485</v>
      </c>
      <c r="C230" s="94" t="s">
        <v>235</v>
      </c>
      <c r="D230" s="95">
        <v>10000</v>
      </c>
      <c r="E230" s="94" t="s">
        <v>442</v>
      </c>
      <c r="F230" s="94" t="s">
        <v>40</v>
      </c>
      <c r="G230" s="95">
        <v>3</v>
      </c>
      <c r="H230" s="94" t="s">
        <v>13</v>
      </c>
      <c r="I230" s="94" t="s">
        <v>6923</v>
      </c>
      <c r="J230" s="94" t="s">
        <v>449</v>
      </c>
      <c r="K230" s="95">
        <v>30</v>
      </c>
      <c r="L230" s="95">
        <v>31.4</v>
      </c>
      <c r="M230" s="94"/>
      <c r="N230" s="96">
        <v>412000</v>
      </c>
      <c r="O230" s="95">
        <v>13121</v>
      </c>
      <c r="P230" s="95">
        <v>1</v>
      </c>
      <c r="Q230" s="94" t="s">
        <v>383</v>
      </c>
      <c r="R230" s="95">
        <v>1</v>
      </c>
      <c r="S230" s="95">
        <v>30</v>
      </c>
      <c r="T230" s="95">
        <v>0</v>
      </c>
      <c r="U230" s="95">
        <v>0</v>
      </c>
      <c r="V230" s="95">
        <v>200</v>
      </c>
      <c r="W230" s="95">
        <v>1162</v>
      </c>
      <c r="X230" s="97">
        <v>45079.375</v>
      </c>
      <c r="Y230" s="97">
        <v>44987.375</v>
      </c>
      <c r="Z230" s="97">
        <v>44721.375</v>
      </c>
      <c r="AA230" s="98"/>
    </row>
    <row r="231" spans="1:27" ht="15.75" hidden="1" customHeight="1">
      <c r="A231" s="94" t="s">
        <v>2973</v>
      </c>
      <c r="B231" s="94" t="s">
        <v>485</v>
      </c>
      <c r="C231" s="94" t="s">
        <v>235</v>
      </c>
      <c r="D231" s="95">
        <v>10000</v>
      </c>
      <c r="E231" s="94" t="s">
        <v>431</v>
      </c>
      <c r="F231" s="94" t="s">
        <v>433</v>
      </c>
      <c r="G231" s="95">
        <v>18</v>
      </c>
      <c r="H231" s="94" t="s">
        <v>439</v>
      </c>
      <c r="I231" s="94" t="s">
        <v>6671</v>
      </c>
      <c r="J231" s="94" t="s">
        <v>440</v>
      </c>
      <c r="K231" s="95">
        <v>60</v>
      </c>
      <c r="L231" s="94"/>
      <c r="M231" s="95">
        <v>1300</v>
      </c>
      <c r="N231" s="99" t="s">
        <v>435</v>
      </c>
      <c r="O231" s="94"/>
      <c r="P231" s="95">
        <v>1</v>
      </c>
      <c r="Q231" s="94" t="s">
        <v>436</v>
      </c>
      <c r="R231" s="95">
        <v>0</v>
      </c>
      <c r="S231" s="95">
        <v>0</v>
      </c>
      <c r="T231" s="95">
        <v>462</v>
      </c>
      <c r="U231" s="95">
        <v>93</v>
      </c>
      <c r="V231" s="95">
        <v>962</v>
      </c>
      <c r="W231" s="95">
        <v>1162</v>
      </c>
      <c r="X231" s="97">
        <v>45079.375</v>
      </c>
      <c r="Y231" s="97">
        <v>44987.375</v>
      </c>
      <c r="Z231" s="97">
        <v>44721.375</v>
      </c>
      <c r="AA231" s="98"/>
    </row>
    <row r="232" spans="1:27" ht="15.75" hidden="1" customHeight="1">
      <c r="A232" s="94" t="s">
        <v>2973</v>
      </c>
      <c r="B232" s="94" t="s">
        <v>485</v>
      </c>
      <c r="C232" s="94" t="s">
        <v>235</v>
      </c>
      <c r="D232" s="95">
        <v>10000</v>
      </c>
      <c r="E232" s="94" t="s">
        <v>431</v>
      </c>
      <c r="F232" s="94" t="s">
        <v>433</v>
      </c>
      <c r="G232" s="95">
        <v>19</v>
      </c>
      <c r="H232" s="94" t="s">
        <v>368</v>
      </c>
      <c r="I232" s="94" t="s">
        <v>6236</v>
      </c>
      <c r="J232" s="94" t="s">
        <v>434</v>
      </c>
      <c r="K232" s="95">
        <v>60</v>
      </c>
      <c r="L232" s="94"/>
      <c r="M232" s="95">
        <v>1200</v>
      </c>
      <c r="N232" s="99" t="s">
        <v>435</v>
      </c>
      <c r="O232" s="94"/>
      <c r="P232" s="95">
        <v>4</v>
      </c>
      <c r="Q232" s="94" t="s">
        <v>436</v>
      </c>
      <c r="R232" s="95">
        <v>0</v>
      </c>
      <c r="S232" s="95">
        <v>0</v>
      </c>
      <c r="T232" s="95">
        <v>500</v>
      </c>
      <c r="U232" s="95">
        <v>100</v>
      </c>
      <c r="V232" s="95">
        <v>962</v>
      </c>
      <c r="W232" s="95">
        <v>1162</v>
      </c>
      <c r="X232" s="97">
        <v>45079.375</v>
      </c>
      <c r="Y232" s="97">
        <v>44987.375</v>
      </c>
      <c r="Z232" s="97">
        <v>44721.375</v>
      </c>
      <c r="AA232" s="98"/>
    </row>
    <row r="233" spans="1:27" ht="15.75" hidden="1" customHeight="1">
      <c r="A233" s="94" t="s">
        <v>3010</v>
      </c>
      <c r="B233" s="94" t="s">
        <v>689</v>
      </c>
      <c r="C233" s="94" t="s">
        <v>174</v>
      </c>
      <c r="D233" s="95">
        <v>2500</v>
      </c>
      <c r="E233" s="94" t="s">
        <v>424</v>
      </c>
      <c r="F233" s="94" t="s">
        <v>48</v>
      </c>
      <c r="G233" s="95">
        <v>4</v>
      </c>
      <c r="H233" s="94" t="s">
        <v>11</v>
      </c>
      <c r="I233" s="94" t="s">
        <v>7228</v>
      </c>
      <c r="J233" s="94" t="s">
        <v>426</v>
      </c>
      <c r="K233" s="95">
        <v>105</v>
      </c>
      <c r="L233" s="95">
        <v>40</v>
      </c>
      <c r="M233" s="94"/>
      <c r="N233" s="96">
        <v>52000</v>
      </c>
      <c r="O233" s="95">
        <v>1300</v>
      </c>
      <c r="P233" s="95">
        <v>1</v>
      </c>
      <c r="Q233" s="94" t="s">
        <v>383</v>
      </c>
      <c r="R233" s="95">
        <v>2</v>
      </c>
      <c r="S233" s="95">
        <v>210</v>
      </c>
      <c r="T233" s="95">
        <v>0</v>
      </c>
      <c r="U233" s="95">
        <v>0</v>
      </c>
      <c r="V233" s="95">
        <v>540</v>
      </c>
      <c r="W233" s="95">
        <v>740</v>
      </c>
      <c r="X233" s="97">
        <v>45076.375</v>
      </c>
      <c r="Y233" s="97">
        <v>45062.375</v>
      </c>
      <c r="Z233" s="97">
        <v>44992.375</v>
      </c>
      <c r="AA233" s="98"/>
    </row>
    <row r="234" spans="1:27" ht="15.75" hidden="1" customHeight="1">
      <c r="A234" s="94" t="s">
        <v>3010</v>
      </c>
      <c r="B234" s="94" t="s">
        <v>689</v>
      </c>
      <c r="C234" s="94" t="s">
        <v>174</v>
      </c>
      <c r="D234" s="95">
        <v>2500</v>
      </c>
      <c r="E234" s="94" t="s">
        <v>424</v>
      </c>
      <c r="F234" s="94" t="s">
        <v>48</v>
      </c>
      <c r="G234" s="95">
        <v>5</v>
      </c>
      <c r="H234" s="94" t="s">
        <v>12</v>
      </c>
      <c r="I234" s="94" t="s">
        <v>6923</v>
      </c>
      <c r="J234" s="94" t="s">
        <v>427</v>
      </c>
      <c r="K234" s="95">
        <v>120</v>
      </c>
      <c r="L234" s="95">
        <v>40</v>
      </c>
      <c r="M234" s="94"/>
      <c r="N234" s="96">
        <v>52000</v>
      </c>
      <c r="O234" s="95">
        <v>1300</v>
      </c>
      <c r="P234" s="95">
        <v>1</v>
      </c>
      <c r="Q234" s="94" t="s">
        <v>383</v>
      </c>
      <c r="R234" s="95">
        <v>2</v>
      </c>
      <c r="S234" s="95">
        <v>240</v>
      </c>
      <c r="T234" s="95">
        <v>0</v>
      </c>
      <c r="U234" s="95">
        <v>0</v>
      </c>
      <c r="V234" s="95">
        <v>540</v>
      </c>
      <c r="W234" s="95">
        <v>740</v>
      </c>
      <c r="X234" s="97">
        <v>45076.375</v>
      </c>
      <c r="Y234" s="97">
        <v>45062.375</v>
      </c>
      <c r="Z234" s="97">
        <v>44992.375</v>
      </c>
      <c r="AA234" s="98"/>
    </row>
    <row r="235" spans="1:27" ht="15.75" hidden="1" customHeight="1">
      <c r="A235" s="94" t="s">
        <v>3010</v>
      </c>
      <c r="B235" s="94" t="s">
        <v>689</v>
      </c>
      <c r="C235" s="94" t="s">
        <v>174</v>
      </c>
      <c r="D235" s="95">
        <v>2500</v>
      </c>
      <c r="E235" s="94" t="s">
        <v>424</v>
      </c>
      <c r="F235" s="94" t="s">
        <v>48</v>
      </c>
      <c r="G235" s="95">
        <v>6</v>
      </c>
      <c r="H235" s="94" t="s">
        <v>13</v>
      </c>
      <c r="I235" s="94" t="s">
        <v>6923</v>
      </c>
      <c r="J235" s="94" t="s">
        <v>427</v>
      </c>
      <c r="K235" s="95">
        <v>90</v>
      </c>
      <c r="L235" s="95">
        <v>40</v>
      </c>
      <c r="M235" s="94"/>
      <c r="N235" s="96">
        <v>52000</v>
      </c>
      <c r="O235" s="95">
        <v>1300</v>
      </c>
      <c r="P235" s="95">
        <v>1</v>
      </c>
      <c r="Q235" s="94" t="s">
        <v>383</v>
      </c>
      <c r="R235" s="95">
        <v>2</v>
      </c>
      <c r="S235" s="95">
        <v>90</v>
      </c>
      <c r="T235" s="95">
        <v>0</v>
      </c>
      <c r="U235" s="95">
        <v>0</v>
      </c>
      <c r="V235" s="95">
        <v>540</v>
      </c>
      <c r="W235" s="95">
        <v>740</v>
      </c>
      <c r="X235" s="97">
        <v>45076.375</v>
      </c>
      <c r="Y235" s="97">
        <v>45062.375</v>
      </c>
      <c r="Z235" s="97">
        <v>44992.375</v>
      </c>
      <c r="AA235" s="98"/>
    </row>
    <row r="236" spans="1:27" ht="15.75" hidden="1" customHeight="1">
      <c r="A236" s="94" t="s">
        <v>3010</v>
      </c>
      <c r="B236" s="94" t="s">
        <v>689</v>
      </c>
      <c r="C236" s="94" t="s">
        <v>174</v>
      </c>
      <c r="D236" s="95">
        <v>2500</v>
      </c>
      <c r="E236" s="94" t="s">
        <v>431</v>
      </c>
      <c r="F236" s="94" t="s">
        <v>433</v>
      </c>
      <c r="G236" s="95">
        <v>19</v>
      </c>
      <c r="H236" s="94" t="s">
        <v>368</v>
      </c>
      <c r="I236" s="94" t="s">
        <v>6236</v>
      </c>
      <c r="J236" s="94" t="s">
        <v>434</v>
      </c>
      <c r="K236" s="95">
        <v>60</v>
      </c>
      <c r="L236" s="94"/>
      <c r="M236" s="95">
        <v>750</v>
      </c>
      <c r="N236" s="94" t="s">
        <v>435</v>
      </c>
      <c r="O236" s="94"/>
      <c r="P236" s="95">
        <v>4</v>
      </c>
      <c r="Q236" s="94" t="s">
        <v>436</v>
      </c>
      <c r="R236" s="95">
        <v>0</v>
      </c>
      <c r="S236" s="95">
        <v>0</v>
      </c>
      <c r="T236" s="95">
        <v>200</v>
      </c>
      <c r="U236" s="95">
        <v>40</v>
      </c>
      <c r="V236" s="95">
        <v>200</v>
      </c>
      <c r="W236" s="95">
        <v>740</v>
      </c>
      <c r="X236" s="97">
        <v>45076.375</v>
      </c>
      <c r="Y236" s="97">
        <v>45062.375</v>
      </c>
      <c r="Z236" s="97">
        <v>44992.375</v>
      </c>
      <c r="AA236" s="98"/>
    </row>
    <row r="237" spans="1:27" ht="15.75" hidden="1" customHeight="1">
      <c r="A237" s="94" t="s">
        <v>2928</v>
      </c>
      <c r="B237" s="94" t="s">
        <v>619</v>
      </c>
      <c r="C237" s="94" t="s">
        <v>288</v>
      </c>
      <c r="D237" s="95">
        <v>2000</v>
      </c>
      <c r="E237" s="94" t="s">
        <v>442</v>
      </c>
      <c r="F237" s="94" t="s">
        <v>33</v>
      </c>
      <c r="G237" s="95">
        <v>10</v>
      </c>
      <c r="H237" s="94" t="s">
        <v>11</v>
      </c>
      <c r="I237" s="94" t="s">
        <v>7228</v>
      </c>
      <c r="J237" s="94" t="s">
        <v>426</v>
      </c>
      <c r="K237" s="95">
        <v>100</v>
      </c>
      <c r="L237" s="95">
        <v>35.5</v>
      </c>
      <c r="M237" s="94"/>
      <c r="N237" s="95">
        <v>75000</v>
      </c>
      <c r="O237" s="95">
        <v>2112</v>
      </c>
      <c r="P237" s="95">
        <v>1</v>
      </c>
      <c r="Q237" s="94" t="s">
        <v>383</v>
      </c>
      <c r="R237" s="95">
        <v>1</v>
      </c>
      <c r="S237" s="95">
        <v>100</v>
      </c>
      <c r="T237" s="95">
        <v>0</v>
      </c>
      <c r="U237" s="95">
        <v>0</v>
      </c>
      <c r="V237" s="95">
        <v>275</v>
      </c>
      <c r="W237" s="95">
        <v>547</v>
      </c>
      <c r="X237" s="97">
        <v>45085.375</v>
      </c>
      <c r="Y237" s="97">
        <v>45064.375</v>
      </c>
      <c r="Z237" s="97">
        <v>45076.375</v>
      </c>
      <c r="AA237" s="98"/>
    </row>
    <row r="238" spans="1:27" ht="15.75" hidden="1" customHeight="1">
      <c r="A238" s="94" t="s">
        <v>2928</v>
      </c>
      <c r="B238" s="94" t="s">
        <v>619</v>
      </c>
      <c r="C238" s="94" t="s">
        <v>288</v>
      </c>
      <c r="D238" s="95">
        <v>2000</v>
      </c>
      <c r="E238" s="94" t="s">
        <v>442</v>
      </c>
      <c r="F238" s="94" t="s">
        <v>33</v>
      </c>
      <c r="G238" s="95">
        <v>11</v>
      </c>
      <c r="H238" s="94" t="s">
        <v>12</v>
      </c>
      <c r="I238" s="94" t="s">
        <v>6923</v>
      </c>
      <c r="J238" s="94" t="s">
        <v>444</v>
      </c>
      <c r="K238" s="95">
        <v>160</v>
      </c>
      <c r="L238" s="95">
        <v>35.5</v>
      </c>
      <c r="M238" s="94"/>
      <c r="N238" s="95">
        <v>75000</v>
      </c>
      <c r="O238" s="95">
        <v>2112</v>
      </c>
      <c r="P238" s="95">
        <v>1</v>
      </c>
      <c r="Q238" s="94" t="s">
        <v>383</v>
      </c>
      <c r="R238" s="95">
        <v>1</v>
      </c>
      <c r="S238" s="95">
        <v>160</v>
      </c>
      <c r="T238" s="95">
        <v>0</v>
      </c>
      <c r="U238" s="95">
        <v>0</v>
      </c>
      <c r="V238" s="95">
        <v>275</v>
      </c>
      <c r="W238" s="95">
        <v>547</v>
      </c>
      <c r="X238" s="97">
        <v>45085.375</v>
      </c>
      <c r="Y238" s="97">
        <v>45064.375</v>
      </c>
      <c r="Z238" s="97">
        <v>45076.375</v>
      </c>
      <c r="AA238" s="98"/>
    </row>
    <row r="239" spans="1:27" ht="15.75" hidden="1" customHeight="1">
      <c r="A239" s="94" t="s">
        <v>2928</v>
      </c>
      <c r="B239" s="94" t="s">
        <v>619</v>
      </c>
      <c r="C239" s="94" t="s">
        <v>288</v>
      </c>
      <c r="D239" s="95">
        <v>2000</v>
      </c>
      <c r="E239" s="94" t="s">
        <v>442</v>
      </c>
      <c r="F239" s="94" t="s">
        <v>33</v>
      </c>
      <c r="G239" s="95">
        <v>12</v>
      </c>
      <c r="H239" s="94" t="s">
        <v>13</v>
      </c>
      <c r="I239" s="94" t="s">
        <v>6923</v>
      </c>
      <c r="J239" s="94" t="s">
        <v>444</v>
      </c>
      <c r="K239" s="95">
        <v>15</v>
      </c>
      <c r="L239" s="95">
        <v>35.5</v>
      </c>
      <c r="M239" s="94"/>
      <c r="N239" s="96">
        <v>75000</v>
      </c>
      <c r="O239" s="95">
        <v>2112</v>
      </c>
      <c r="P239" s="95">
        <v>1</v>
      </c>
      <c r="Q239" s="94" t="s">
        <v>383</v>
      </c>
      <c r="R239" s="95">
        <v>1</v>
      </c>
      <c r="S239" s="95">
        <v>15</v>
      </c>
      <c r="T239" s="95">
        <v>0</v>
      </c>
      <c r="U239" s="95">
        <v>0</v>
      </c>
      <c r="V239" s="95">
        <v>275</v>
      </c>
      <c r="W239" s="95">
        <v>547</v>
      </c>
      <c r="X239" s="97">
        <v>45085.375</v>
      </c>
      <c r="Y239" s="97">
        <v>45064.375</v>
      </c>
      <c r="Z239" s="97">
        <v>45076.375</v>
      </c>
      <c r="AA239" s="98"/>
    </row>
    <row r="240" spans="1:27" ht="15.75" hidden="1" customHeight="1">
      <c r="A240" s="94" t="s">
        <v>2928</v>
      </c>
      <c r="B240" s="94" t="s">
        <v>619</v>
      </c>
      <c r="C240" s="94" t="s">
        <v>288</v>
      </c>
      <c r="D240" s="95">
        <v>2000</v>
      </c>
      <c r="E240" s="94" t="s">
        <v>431</v>
      </c>
      <c r="F240" s="94" t="s">
        <v>433</v>
      </c>
      <c r="G240" s="95">
        <v>18</v>
      </c>
      <c r="H240" s="94" t="s">
        <v>439</v>
      </c>
      <c r="I240" s="94" t="s">
        <v>6671</v>
      </c>
      <c r="J240" s="94" t="s">
        <v>440</v>
      </c>
      <c r="K240" s="95">
        <v>60</v>
      </c>
      <c r="L240" s="94"/>
      <c r="M240" s="95">
        <v>1200</v>
      </c>
      <c r="N240" s="99" t="s">
        <v>435</v>
      </c>
      <c r="O240" s="94"/>
      <c r="P240" s="95">
        <v>1</v>
      </c>
      <c r="Q240" s="94" t="s">
        <v>436</v>
      </c>
      <c r="R240" s="95">
        <v>0</v>
      </c>
      <c r="S240" s="95">
        <v>0</v>
      </c>
      <c r="T240" s="95">
        <v>100</v>
      </c>
      <c r="U240" s="95">
        <v>20</v>
      </c>
      <c r="V240" s="95">
        <v>272</v>
      </c>
      <c r="W240" s="95">
        <v>547</v>
      </c>
      <c r="X240" s="97">
        <v>45085.375</v>
      </c>
      <c r="Y240" s="97">
        <v>45064.375</v>
      </c>
      <c r="Z240" s="97">
        <v>45076.375</v>
      </c>
      <c r="AA240" s="98"/>
    </row>
    <row r="241" spans="1:27" ht="15.75" hidden="1" customHeight="1">
      <c r="A241" s="94" t="s">
        <v>2928</v>
      </c>
      <c r="B241" s="94" t="s">
        <v>619</v>
      </c>
      <c r="C241" s="94" t="s">
        <v>288</v>
      </c>
      <c r="D241" s="95">
        <v>2000</v>
      </c>
      <c r="E241" s="94" t="s">
        <v>431</v>
      </c>
      <c r="F241" s="94" t="s">
        <v>433</v>
      </c>
      <c r="G241" s="95">
        <v>19</v>
      </c>
      <c r="H241" s="94" t="s">
        <v>368</v>
      </c>
      <c r="I241" s="94" t="s">
        <v>6236</v>
      </c>
      <c r="J241" s="94" t="s">
        <v>434</v>
      </c>
      <c r="K241" s="95">
        <v>60</v>
      </c>
      <c r="L241" s="94"/>
      <c r="M241" s="95">
        <v>700</v>
      </c>
      <c r="N241" s="99" t="s">
        <v>435</v>
      </c>
      <c r="O241" s="94"/>
      <c r="P241" s="95">
        <v>3</v>
      </c>
      <c r="Q241" s="94" t="s">
        <v>436</v>
      </c>
      <c r="R241" s="95">
        <v>0</v>
      </c>
      <c r="S241" s="95">
        <v>0</v>
      </c>
      <c r="T241" s="95">
        <v>172</v>
      </c>
      <c r="U241" s="95">
        <v>35</v>
      </c>
      <c r="V241" s="95">
        <v>272</v>
      </c>
      <c r="W241" s="95">
        <v>547</v>
      </c>
      <c r="X241" s="97">
        <v>45085.375</v>
      </c>
      <c r="Y241" s="97">
        <v>45064.375</v>
      </c>
      <c r="Z241" s="97">
        <v>45076.375</v>
      </c>
      <c r="AA241" s="98"/>
    </row>
    <row r="242" spans="1:27" ht="15.75" hidden="1" customHeight="1">
      <c r="A242" s="94" t="s">
        <v>2983</v>
      </c>
      <c r="B242" s="94" t="s">
        <v>596</v>
      </c>
      <c r="C242" s="94" t="s">
        <v>39</v>
      </c>
      <c r="D242" s="95">
        <v>10000</v>
      </c>
      <c r="E242" s="94" t="s">
        <v>442</v>
      </c>
      <c r="F242" s="94" t="s">
        <v>40</v>
      </c>
      <c r="G242" s="95">
        <v>1</v>
      </c>
      <c r="H242" s="94" t="s">
        <v>11</v>
      </c>
      <c r="I242" s="94" t="s">
        <v>7228</v>
      </c>
      <c r="J242" s="94" t="s">
        <v>426</v>
      </c>
      <c r="K242" s="95">
        <v>70</v>
      </c>
      <c r="L242" s="95">
        <v>11.7</v>
      </c>
      <c r="M242" s="94"/>
      <c r="N242" s="95">
        <v>400000</v>
      </c>
      <c r="O242" s="95">
        <v>34188</v>
      </c>
      <c r="P242" s="95">
        <v>1</v>
      </c>
      <c r="Q242" s="94" t="s">
        <v>383</v>
      </c>
      <c r="R242" s="95">
        <v>1</v>
      </c>
      <c r="S242" s="95">
        <v>70</v>
      </c>
      <c r="T242" s="95">
        <v>0</v>
      </c>
      <c r="U242" s="95">
        <v>0</v>
      </c>
      <c r="V242" s="95">
        <v>170</v>
      </c>
      <c r="W242" s="95">
        <v>1558</v>
      </c>
      <c r="X242" s="97">
        <v>45089.375</v>
      </c>
      <c r="Y242" s="97">
        <v>44999.375</v>
      </c>
      <c r="Z242" s="97">
        <v>44977.375</v>
      </c>
      <c r="AA242" s="98"/>
    </row>
    <row r="243" spans="1:27" ht="15.75" hidden="1" customHeight="1">
      <c r="A243" s="94" t="s">
        <v>2983</v>
      </c>
      <c r="B243" s="94" t="s">
        <v>596</v>
      </c>
      <c r="C243" s="94" t="s">
        <v>39</v>
      </c>
      <c r="D243" s="95">
        <v>10000</v>
      </c>
      <c r="E243" s="94" t="s">
        <v>442</v>
      </c>
      <c r="F243" s="94" t="s">
        <v>40</v>
      </c>
      <c r="G243" s="95">
        <v>2</v>
      </c>
      <c r="H243" s="94" t="s">
        <v>12</v>
      </c>
      <c r="I243" s="94" t="s">
        <v>6923</v>
      </c>
      <c r="J243" s="94" t="s">
        <v>449</v>
      </c>
      <c r="K243" s="95">
        <v>70</v>
      </c>
      <c r="L243" s="95">
        <v>11.7</v>
      </c>
      <c r="M243" s="94"/>
      <c r="N243" s="95">
        <v>400000</v>
      </c>
      <c r="O243" s="95">
        <v>34188</v>
      </c>
      <c r="P243" s="95">
        <v>1</v>
      </c>
      <c r="Q243" s="94" t="s">
        <v>383</v>
      </c>
      <c r="R243" s="95">
        <v>1</v>
      </c>
      <c r="S243" s="95">
        <v>70</v>
      </c>
      <c r="T243" s="95">
        <v>0</v>
      </c>
      <c r="U243" s="95">
        <v>0</v>
      </c>
      <c r="V243" s="95">
        <v>170</v>
      </c>
      <c r="W243" s="95">
        <v>1558</v>
      </c>
      <c r="X243" s="97">
        <v>45089.375</v>
      </c>
      <c r="Y243" s="97">
        <v>44999.375</v>
      </c>
      <c r="Z243" s="97">
        <v>44977.375</v>
      </c>
      <c r="AA243" s="98"/>
    </row>
    <row r="244" spans="1:27" ht="15.75" hidden="1" customHeight="1">
      <c r="A244" s="94" t="s">
        <v>2983</v>
      </c>
      <c r="B244" s="94" t="s">
        <v>596</v>
      </c>
      <c r="C244" s="94" t="s">
        <v>39</v>
      </c>
      <c r="D244" s="95">
        <v>10000</v>
      </c>
      <c r="E244" s="94" t="s">
        <v>442</v>
      </c>
      <c r="F244" s="94" t="s">
        <v>40</v>
      </c>
      <c r="G244" s="95">
        <v>3</v>
      </c>
      <c r="H244" s="94" t="s">
        <v>13</v>
      </c>
      <c r="I244" s="94" t="s">
        <v>6923</v>
      </c>
      <c r="J244" s="94" t="s">
        <v>449</v>
      </c>
      <c r="K244" s="95">
        <v>30</v>
      </c>
      <c r="L244" s="95">
        <v>11.7</v>
      </c>
      <c r="M244" s="94"/>
      <c r="N244" s="95">
        <v>400000</v>
      </c>
      <c r="O244" s="95">
        <v>34188</v>
      </c>
      <c r="P244" s="95">
        <v>1</v>
      </c>
      <c r="Q244" s="94" t="s">
        <v>383</v>
      </c>
      <c r="R244" s="95">
        <v>1</v>
      </c>
      <c r="S244" s="95">
        <v>30</v>
      </c>
      <c r="T244" s="95">
        <v>0</v>
      </c>
      <c r="U244" s="95">
        <v>0</v>
      </c>
      <c r="V244" s="95">
        <v>170</v>
      </c>
      <c r="W244" s="95">
        <v>1558</v>
      </c>
      <c r="X244" s="97">
        <v>45089.375</v>
      </c>
      <c r="Y244" s="97">
        <v>44999.375</v>
      </c>
      <c r="Z244" s="97">
        <v>44977.375</v>
      </c>
      <c r="AA244" s="98"/>
    </row>
    <row r="245" spans="1:27" ht="15.75" hidden="1" customHeight="1">
      <c r="A245" s="94" t="s">
        <v>2983</v>
      </c>
      <c r="B245" s="94" t="s">
        <v>596</v>
      </c>
      <c r="C245" s="94" t="s">
        <v>39</v>
      </c>
      <c r="D245" s="95">
        <v>10000</v>
      </c>
      <c r="E245" s="94" t="s">
        <v>424</v>
      </c>
      <c r="F245" s="94" t="s">
        <v>48</v>
      </c>
      <c r="G245" s="95">
        <v>5</v>
      </c>
      <c r="H245" s="94" t="s">
        <v>12</v>
      </c>
      <c r="I245" s="94" t="s">
        <v>6923</v>
      </c>
      <c r="J245" s="94" t="s">
        <v>427</v>
      </c>
      <c r="K245" s="95">
        <v>80</v>
      </c>
      <c r="L245" s="95">
        <v>2.8</v>
      </c>
      <c r="M245" s="94"/>
      <c r="N245" s="95">
        <v>42500</v>
      </c>
      <c r="O245" s="95">
        <v>15178</v>
      </c>
      <c r="P245" s="95">
        <v>1</v>
      </c>
      <c r="Q245" s="94" t="s">
        <v>383</v>
      </c>
      <c r="R245" s="95">
        <v>1</v>
      </c>
      <c r="S245" s="95">
        <v>80</v>
      </c>
      <c r="T245" s="95">
        <v>0</v>
      </c>
      <c r="U245" s="95">
        <v>0</v>
      </c>
      <c r="V245" s="95">
        <v>110</v>
      </c>
      <c r="W245" s="95">
        <v>1558</v>
      </c>
      <c r="X245" s="97">
        <v>45089.375</v>
      </c>
      <c r="Y245" s="97">
        <v>44999.375</v>
      </c>
      <c r="Z245" s="97">
        <v>44977.375</v>
      </c>
      <c r="AA245" s="98"/>
    </row>
    <row r="246" spans="1:27" ht="15.75" hidden="1" customHeight="1">
      <c r="A246" s="94" t="s">
        <v>2983</v>
      </c>
      <c r="B246" s="94" t="s">
        <v>596</v>
      </c>
      <c r="C246" s="94" t="s">
        <v>39</v>
      </c>
      <c r="D246" s="95">
        <v>10000</v>
      </c>
      <c r="E246" s="94" t="s">
        <v>424</v>
      </c>
      <c r="F246" s="94" t="s">
        <v>48</v>
      </c>
      <c r="G246" s="95">
        <v>6</v>
      </c>
      <c r="H246" s="94" t="s">
        <v>13</v>
      </c>
      <c r="I246" s="94" t="s">
        <v>6923</v>
      </c>
      <c r="J246" s="94" t="s">
        <v>427</v>
      </c>
      <c r="K246" s="95">
        <v>30</v>
      </c>
      <c r="L246" s="95">
        <v>2.8</v>
      </c>
      <c r="M246" s="94"/>
      <c r="N246" s="95">
        <v>42500</v>
      </c>
      <c r="O246" s="95">
        <v>15178</v>
      </c>
      <c r="P246" s="95">
        <v>1</v>
      </c>
      <c r="Q246" s="94" t="s">
        <v>383</v>
      </c>
      <c r="R246" s="95">
        <v>1</v>
      </c>
      <c r="S246" s="95">
        <v>30</v>
      </c>
      <c r="T246" s="95">
        <v>0</v>
      </c>
      <c r="U246" s="95">
        <v>0</v>
      </c>
      <c r="V246" s="95">
        <v>110</v>
      </c>
      <c r="W246" s="95">
        <v>1558</v>
      </c>
      <c r="X246" s="97">
        <v>45089.375</v>
      </c>
      <c r="Y246" s="97">
        <v>44999.375</v>
      </c>
      <c r="Z246" s="97">
        <v>44977.375</v>
      </c>
      <c r="AA246" s="98"/>
    </row>
    <row r="247" spans="1:27" ht="15.75" hidden="1" customHeight="1">
      <c r="A247" s="94" t="s">
        <v>2983</v>
      </c>
      <c r="B247" s="94" t="s">
        <v>596</v>
      </c>
      <c r="C247" s="94" t="s">
        <v>39</v>
      </c>
      <c r="D247" s="95">
        <v>10000</v>
      </c>
      <c r="E247" s="94" t="s">
        <v>431</v>
      </c>
      <c r="F247" s="94" t="s">
        <v>433</v>
      </c>
      <c r="G247" s="95">
        <v>18</v>
      </c>
      <c r="H247" s="94" t="s">
        <v>439</v>
      </c>
      <c r="I247" s="94" t="s">
        <v>6671</v>
      </c>
      <c r="J247" s="94" t="s">
        <v>440</v>
      </c>
      <c r="K247" s="95">
        <v>60</v>
      </c>
      <c r="L247" s="94"/>
      <c r="M247" s="95">
        <v>1100</v>
      </c>
      <c r="N247" s="99" t="s">
        <v>435</v>
      </c>
      <c r="O247" s="94"/>
      <c r="P247" s="95">
        <v>1</v>
      </c>
      <c r="Q247" s="94" t="s">
        <v>436</v>
      </c>
      <c r="R247" s="95">
        <v>0</v>
      </c>
      <c r="S247" s="95">
        <v>0</v>
      </c>
      <c r="T247" s="95">
        <v>546</v>
      </c>
      <c r="U247" s="95">
        <v>110</v>
      </c>
      <c r="V247" s="95">
        <v>1278</v>
      </c>
      <c r="W247" s="95">
        <v>1558</v>
      </c>
      <c r="X247" s="97">
        <v>45089.375</v>
      </c>
      <c r="Y247" s="97">
        <v>44999.375</v>
      </c>
      <c r="Z247" s="97">
        <v>44977.375</v>
      </c>
      <c r="AA247" s="98"/>
    </row>
    <row r="248" spans="1:27" ht="15.75" hidden="1" customHeight="1">
      <c r="A248" s="94" t="s">
        <v>2983</v>
      </c>
      <c r="B248" s="94" t="s">
        <v>596</v>
      </c>
      <c r="C248" s="94" t="s">
        <v>39</v>
      </c>
      <c r="D248" s="95">
        <v>10000</v>
      </c>
      <c r="E248" s="94" t="s">
        <v>431</v>
      </c>
      <c r="F248" s="94" t="s">
        <v>433</v>
      </c>
      <c r="G248" s="95">
        <v>19</v>
      </c>
      <c r="H248" s="94" t="s">
        <v>368</v>
      </c>
      <c r="I248" s="94" t="s">
        <v>6236</v>
      </c>
      <c r="J248" s="94" t="s">
        <v>434</v>
      </c>
      <c r="K248" s="95">
        <v>60</v>
      </c>
      <c r="L248" s="94"/>
      <c r="M248" s="95">
        <v>820</v>
      </c>
      <c r="N248" s="99" t="s">
        <v>435</v>
      </c>
      <c r="O248" s="94"/>
      <c r="P248" s="95">
        <v>4</v>
      </c>
      <c r="Q248" s="94" t="s">
        <v>436</v>
      </c>
      <c r="R248" s="95">
        <v>0</v>
      </c>
      <c r="S248" s="95">
        <v>0</v>
      </c>
      <c r="T248" s="95">
        <v>732</v>
      </c>
      <c r="U248" s="95">
        <v>147</v>
      </c>
      <c r="V248" s="95">
        <v>1278</v>
      </c>
      <c r="W248" s="95">
        <v>1558</v>
      </c>
      <c r="X248" s="97">
        <v>45089.375</v>
      </c>
      <c r="Y248" s="97">
        <v>44999.375</v>
      </c>
      <c r="Z248" s="97">
        <v>44977.375</v>
      </c>
      <c r="AA248" s="98"/>
    </row>
    <row r="249" spans="1:27" ht="15.75" hidden="1" customHeight="1">
      <c r="A249" s="94" t="s">
        <v>2896</v>
      </c>
      <c r="B249" s="94" t="s">
        <v>707</v>
      </c>
      <c r="C249" s="94" t="s">
        <v>185</v>
      </c>
      <c r="D249" s="95">
        <v>1000</v>
      </c>
      <c r="E249" s="94" t="s">
        <v>708</v>
      </c>
      <c r="F249" s="94" t="s">
        <v>33</v>
      </c>
      <c r="G249" s="95">
        <v>11</v>
      </c>
      <c r="H249" s="94" t="s">
        <v>12</v>
      </c>
      <c r="I249" s="94" t="s">
        <v>6923</v>
      </c>
      <c r="J249" s="94" t="s">
        <v>444</v>
      </c>
      <c r="K249" s="95">
        <v>190</v>
      </c>
      <c r="L249" s="95">
        <v>16</v>
      </c>
      <c r="M249" s="94"/>
      <c r="N249" s="95">
        <v>18000</v>
      </c>
      <c r="O249" s="95">
        <v>1125</v>
      </c>
      <c r="P249" s="95">
        <v>1</v>
      </c>
      <c r="Q249" s="94" t="s">
        <v>383</v>
      </c>
      <c r="R249" s="95">
        <v>1</v>
      </c>
      <c r="S249" s="95">
        <v>190</v>
      </c>
      <c r="T249" s="95">
        <v>0</v>
      </c>
      <c r="U249" s="95">
        <v>0</v>
      </c>
      <c r="V249" s="95">
        <v>200</v>
      </c>
      <c r="W249" s="95">
        <v>415</v>
      </c>
      <c r="X249" s="97">
        <v>45089.375</v>
      </c>
      <c r="Y249" s="97">
        <v>45027.375</v>
      </c>
      <c r="Z249" s="97">
        <v>45079.375</v>
      </c>
      <c r="AA249" s="98"/>
    </row>
    <row r="250" spans="1:27" ht="15.75" hidden="1" customHeight="1">
      <c r="A250" s="94" t="s">
        <v>2896</v>
      </c>
      <c r="B250" s="94" t="s">
        <v>707</v>
      </c>
      <c r="C250" s="94" t="s">
        <v>185</v>
      </c>
      <c r="D250" s="95">
        <v>1000</v>
      </c>
      <c r="E250" s="94" t="s">
        <v>708</v>
      </c>
      <c r="F250" s="94" t="s">
        <v>33</v>
      </c>
      <c r="G250" s="95">
        <v>12</v>
      </c>
      <c r="H250" s="94" t="s">
        <v>13</v>
      </c>
      <c r="I250" s="94" t="s">
        <v>6923</v>
      </c>
      <c r="J250" s="94" t="s">
        <v>444</v>
      </c>
      <c r="K250" s="95">
        <v>10</v>
      </c>
      <c r="L250" s="95">
        <v>16</v>
      </c>
      <c r="M250" s="94"/>
      <c r="N250" s="95">
        <v>18000</v>
      </c>
      <c r="O250" s="95">
        <v>1125</v>
      </c>
      <c r="P250" s="95">
        <v>1</v>
      </c>
      <c r="Q250" s="94" t="s">
        <v>383</v>
      </c>
      <c r="R250" s="95">
        <v>1</v>
      </c>
      <c r="S250" s="95">
        <v>10</v>
      </c>
      <c r="T250" s="95">
        <v>0</v>
      </c>
      <c r="U250" s="95">
        <v>0</v>
      </c>
      <c r="V250" s="95">
        <v>200</v>
      </c>
      <c r="W250" s="95">
        <v>415</v>
      </c>
      <c r="X250" s="97">
        <v>45089.375</v>
      </c>
      <c r="Y250" s="97">
        <v>45027.375</v>
      </c>
      <c r="Z250" s="97">
        <v>45079.375</v>
      </c>
      <c r="AA250" s="98"/>
    </row>
    <row r="251" spans="1:27" ht="15.75" hidden="1" customHeight="1">
      <c r="A251" s="94" t="s">
        <v>2896</v>
      </c>
      <c r="B251" s="94" t="s">
        <v>707</v>
      </c>
      <c r="C251" s="94" t="s">
        <v>185</v>
      </c>
      <c r="D251" s="95">
        <v>1000</v>
      </c>
      <c r="E251" s="94" t="s">
        <v>499</v>
      </c>
      <c r="F251" s="94" t="s">
        <v>33</v>
      </c>
      <c r="G251" s="95">
        <v>11</v>
      </c>
      <c r="H251" s="94" t="s">
        <v>12</v>
      </c>
      <c r="I251" s="94" t="s">
        <v>6923</v>
      </c>
      <c r="J251" s="94" t="s">
        <v>444</v>
      </c>
      <c r="K251" s="95">
        <v>40</v>
      </c>
      <c r="L251" s="95">
        <v>16</v>
      </c>
      <c r="M251" s="94"/>
      <c r="N251" s="95">
        <v>18000</v>
      </c>
      <c r="O251" s="95">
        <v>1125</v>
      </c>
      <c r="P251" s="95">
        <v>1</v>
      </c>
      <c r="Q251" s="94" t="s">
        <v>383</v>
      </c>
      <c r="R251" s="95">
        <v>1</v>
      </c>
      <c r="S251" s="95">
        <v>40</v>
      </c>
      <c r="T251" s="95">
        <v>0</v>
      </c>
      <c r="U251" s="95">
        <v>0</v>
      </c>
      <c r="V251" s="95">
        <v>55</v>
      </c>
      <c r="W251" s="95">
        <v>415</v>
      </c>
      <c r="X251" s="97">
        <v>45089.375</v>
      </c>
      <c r="Y251" s="97">
        <v>45027.375</v>
      </c>
      <c r="Z251" s="97">
        <v>45079.375</v>
      </c>
      <c r="AA251" s="98"/>
    </row>
    <row r="252" spans="1:27" ht="15.75" hidden="1" customHeight="1">
      <c r="A252" s="94" t="s">
        <v>2896</v>
      </c>
      <c r="B252" s="94" t="s">
        <v>707</v>
      </c>
      <c r="C252" s="94" t="s">
        <v>185</v>
      </c>
      <c r="D252" s="95">
        <v>1000</v>
      </c>
      <c r="E252" s="94" t="s">
        <v>499</v>
      </c>
      <c r="F252" s="94" t="s">
        <v>33</v>
      </c>
      <c r="G252" s="95">
        <v>12</v>
      </c>
      <c r="H252" s="94" t="s">
        <v>13</v>
      </c>
      <c r="I252" s="94" t="s">
        <v>6923</v>
      </c>
      <c r="J252" s="94" t="s">
        <v>444</v>
      </c>
      <c r="K252" s="95">
        <v>15</v>
      </c>
      <c r="L252" s="95">
        <v>16</v>
      </c>
      <c r="M252" s="94"/>
      <c r="N252" s="96">
        <v>18000</v>
      </c>
      <c r="O252" s="95">
        <v>1125</v>
      </c>
      <c r="P252" s="95">
        <v>1</v>
      </c>
      <c r="Q252" s="94" t="s">
        <v>383</v>
      </c>
      <c r="R252" s="95">
        <v>1</v>
      </c>
      <c r="S252" s="95">
        <v>15</v>
      </c>
      <c r="T252" s="95">
        <v>0</v>
      </c>
      <c r="U252" s="95">
        <v>0</v>
      </c>
      <c r="V252" s="95">
        <v>55</v>
      </c>
      <c r="W252" s="95">
        <v>415</v>
      </c>
      <c r="X252" s="97">
        <v>45089.375</v>
      </c>
      <c r="Y252" s="97">
        <v>45027.375</v>
      </c>
      <c r="Z252" s="97">
        <v>45079.375</v>
      </c>
      <c r="AA252" s="98"/>
    </row>
    <row r="253" spans="1:27" ht="15.75" hidden="1" customHeight="1">
      <c r="A253" s="94" t="s">
        <v>2896</v>
      </c>
      <c r="B253" s="94" t="s">
        <v>707</v>
      </c>
      <c r="C253" s="94" t="s">
        <v>185</v>
      </c>
      <c r="D253" s="95">
        <v>1000</v>
      </c>
      <c r="E253" s="94" t="s">
        <v>431</v>
      </c>
      <c r="F253" s="94" t="s">
        <v>433</v>
      </c>
      <c r="G253" s="95">
        <v>18</v>
      </c>
      <c r="H253" s="94" t="s">
        <v>439</v>
      </c>
      <c r="I253" s="94" t="s">
        <v>6671</v>
      </c>
      <c r="J253" s="94" t="s">
        <v>440</v>
      </c>
      <c r="K253" s="95">
        <v>60</v>
      </c>
      <c r="L253" s="94"/>
      <c r="M253" s="95">
        <v>1200</v>
      </c>
      <c r="N253" s="99" t="s">
        <v>435</v>
      </c>
      <c r="O253" s="94"/>
      <c r="P253" s="95">
        <v>1</v>
      </c>
      <c r="Q253" s="94" t="s">
        <v>436</v>
      </c>
      <c r="R253" s="95">
        <v>0</v>
      </c>
      <c r="S253" s="95">
        <v>0</v>
      </c>
      <c r="T253" s="95">
        <v>50</v>
      </c>
      <c r="U253" s="95">
        <v>10</v>
      </c>
      <c r="V253" s="95">
        <v>160</v>
      </c>
      <c r="W253" s="95">
        <v>415</v>
      </c>
      <c r="X253" s="97">
        <v>45089.375</v>
      </c>
      <c r="Y253" s="97">
        <v>45027.375</v>
      </c>
      <c r="Z253" s="97">
        <v>45079.375</v>
      </c>
      <c r="AA253" s="98"/>
    </row>
    <row r="254" spans="1:27" ht="15.75" hidden="1" customHeight="1">
      <c r="A254" s="94" t="s">
        <v>2896</v>
      </c>
      <c r="B254" s="94" t="s">
        <v>707</v>
      </c>
      <c r="C254" s="94" t="s">
        <v>185</v>
      </c>
      <c r="D254" s="95">
        <v>1000</v>
      </c>
      <c r="E254" s="94" t="s">
        <v>431</v>
      </c>
      <c r="F254" s="94" t="s">
        <v>433</v>
      </c>
      <c r="G254" s="95">
        <v>19</v>
      </c>
      <c r="H254" s="94" t="s">
        <v>368</v>
      </c>
      <c r="I254" s="94" t="s">
        <v>6236</v>
      </c>
      <c r="J254" s="94" t="s">
        <v>434</v>
      </c>
      <c r="K254" s="95">
        <v>60</v>
      </c>
      <c r="L254" s="94"/>
      <c r="M254" s="95">
        <v>550</v>
      </c>
      <c r="N254" s="99" t="s">
        <v>435</v>
      </c>
      <c r="O254" s="94"/>
      <c r="P254" s="95">
        <v>4</v>
      </c>
      <c r="Q254" s="94" t="s">
        <v>436</v>
      </c>
      <c r="R254" s="95">
        <v>0</v>
      </c>
      <c r="S254" s="95">
        <v>0</v>
      </c>
      <c r="T254" s="95">
        <v>110</v>
      </c>
      <c r="U254" s="95">
        <v>22</v>
      </c>
      <c r="V254" s="95">
        <v>160</v>
      </c>
      <c r="W254" s="95">
        <v>415</v>
      </c>
      <c r="X254" s="97">
        <v>45089.375</v>
      </c>
      <c r="Y254" s="97">
        <v>45027.375</v>
      </c>
      <c r="Z254" s="97">
        <v>45079.375</v>
      </c>
      <c r="AA254" s="98"/>
    </row>
    <row r="255" spans="1:27" ht="15.75" hidden="1" customHeight="1">
      <c r="A255" s="94" t="s">
        <v>2955</v>
      </c>
      <c r="B255" s="94" t="s">
        <v>428</v>
      </c>
      <c r="C255" s="94" t="s">
        <v>171</v>
      </c>
      <c r="D255" s="95">
        <v>20000</v>
      </c>
      <c r="E255" s="94" t="s">
        <v>424</v>
      </c>
      <c r="F255" s="94" t="s">
        <v>48</v>
      </c>
      <c r="G255" s="95">
        <v>4</v>
      </c>
      <c r="H255" s="94" t="s">
        <v>11</v>
      </c>
      <c r="I255" s="94" t="s">
        <v>7228</v>
      </c>
      <c r="J255" s="94" t="s">
        <v>426</v>
      </c>
      <c r="K255" s="95">
        <v>25</v>
      </c>
      <c r="L255" s="95">
        <v>10</v>
      </c>
      <c r="M255" s="94"/>
      <c r="N255" s="95">
        <v>52000</v>
      </c>
      <c r="O255" s="95">
        <v>5200</v>
      </c>
      <c r="P255" s="95">
        <v>1</v>
      </c>
      <c r="Q255" s="94" t="s">
        <v>383</v>
      </c>
      <c r="R255" s="95">
        <v>4</v>
      </c>
      <c r="S255" s="95">
        <v>100</v>
      </c>
      <c r="T255" s="95">
        <v>0</v>
      </c>
      <c r="U255" s="95">
        <v>0</v>
      </c>
      <c r="V255" s="95">
        <v>1170</v>
      </c>
      <c r="W255" s="95">
        <v>2370</v>
      </c>
      <c r="X255" s="97">
        <v>45079.375</v>
      </c>
      <c r="Y255" s="97">
        <v>45055.375</v>
      </c>
      <c r="Z255" s="97">
        <v>45065.375</v>
      </c>
      <c r="AA255" s="98"/>
    </row>
    <row r="256" spans="1:27" ht="15.75" hidden="1" customHeight="1">
      <c r="A256" s="94" t="s">
        <v>2955</v>
      </c>
      <c r="B256" s="94" t="s">
        <v>428</v>
      </c>
      <c r="C256" s="94" t="s">
        <v>171</v>
      </c>
      <c r="D256" s="95">
        <v>20000</v>
      </c>
      <c r="E256" s="94" t="s">
        <v>424</v>
      </c>
      <c r="F256" s="94" t="s">
        <v>48</v>
      </c>
      <c r="G256" s="95">
        <v>5</v>
      </c>
      <c r="H256" s="94" t="s">
        <v>12</v>
      </c>
      <c r="I256" s="94" t="s">
        <v>6923</v>
      </c>
      <c r="J256" s="94" t="s">
        <v>427</v>
      </c>
      <c r="K256" s="95">
        <v>130</v>
      </c>
      <c r="L256" s="95">
        <v>10</v>
      </c>
      <c r="M256" s="94"/>
      <c r="N256" s="95">
        <v>52000</v>
      </c>
      <c r="O256" s="95">
        <v>5200</v>
      </c>
      <c r="P256" s="95">
        <v>1</v>
      </c>
      <c r="Q256" s="94" t="s">
        <v>383</v>
      </c>
      <c r="R256" s="95">
        <v>4</v>
      </c>
      <c r="S256" s="95">
        <v>520</v>
      </c>
      <c r="T256" s="95">
        <v>0</v>
      </c>
      <c r="U256" s="95">
        <v>0</v>
      </c>
      <c r="V256" s="95">
        <v>1170</v>
      </c>
      <c r="W256" s="95">
        <v>2370</v>
      </c>
      <c r="X256" s="97">
        <v>45079.375</v>
      </c>
      <c r="Y256" s="97">
        <v>45055.375</v>
      </c>
      <c r="Z256" s="97">
        <v>45065.375</v>
      </c>
      <c r="AA256" s="98"/>
    </row>
    <row r="257" spans="1:27" ht="15.75" hidden="1" customHeight="1">
      <c r="A257" s="94" t="s">
        <v>2955</v>
      </c>
      <c r="B257" s="94" t="s">
        <v>428</v>
      </c>
      <c r="C257" s="94" t="s">
        <v>171</v>
      </c>
      <c r="D257" s="95">
        <v>20000</v>
      </c>
      <c r="E257" s="94" t="s">
        <v>424</v>
      </c>
      <c r="F257" s="94" t="s">
        <v>48</v>
      </c>
      <c r="G257" s="95">
        <v>6</v>
      </c>
      <c r="H257" s="94" t="s">
        <v>13</v>
      </c>
      <c r="I257" s="94" t="s">
        <v>6923</v>
      </c>
      <c r="J257" s="94" t="s">
        <v>427</v>
      </c>
      <c r="K257" s="95">
        <v>40</v>
      </c>
      <c r="L257" s="95">
        <v>10</v>
      </c>
      <c r="M257" s="94"/>
      <c r="N257" s="95">
        <v>52000</v>
      </c>
      <c r="O257" s="95">
        <v>5200</v>
      </c>
      <c r="P257" s="95">
        <v>1</v>
      </c>
      <c r="Q257" s="94" t="s">
        <v>383</v>
      </c>
      <c r="R257" s="95">
        <v>4</v>
      </c>
      <c r="S257" s="95">
        <v>60</v>
      </c>
      <c r="T257" s="95">
        <v>0</v>
      </c>
      <c r="U257" s="95">
        <v>0</v>
      </c>
      <c r="V257" s="95">
        <v>1170</v>
      </c>
      <c r="W257" s="95">
        <v>2370</v>
      </c>
      <c r="X257" s="97">
        <v>45079.375</v>
      </c>
      <c r="Y257" s="97">
        <v>45055.375</v>
      </c>
      <c r="Z257" s="97">
        <v>45065.375</v>
      </c>
      <c r="AA257" s="98"/>
    </row>
    <row r="258" spans="1:27" ht="15.75" hidden="1" customHeight="1">
      <c r="A258" s="94" t="s">
        <v>2955</v>
      </c>
      <c r="B258" s="94" t="s">
        <v>428</v>
      </c>
      <c r="C258" s="94" t="s">
        <v>171</v>
      </c>
      <c r="D258" s="95">
        <v>20000</v>
      </c>
      <c r="E258" s="94" t="s">
        <v>424</v>
      </c>
      <c r="F258" s="94" t="s">
        <v>74</v>
      </c>
      <c r="G258" s="95">
        <v>7</v>
      </c>
      <c r="H258" s="94" t="s">
        <v>11</v>
      </c>
      <c r="I258" s="94" t="s">
        <v>7228</v>
      </c>
      <c r="J258" s="94" t="s">
        <v>426</v>
      </c>
      <c r="K258" s="95">
        <v>25</v>
      </c>
      <c r="L258" s="95">
        <v>10</v>
      </c>
      <c r="M258" s="94"/>
      <c r="N258" s="95">
        <v>103000</v>
      </c>
      <c r="O258" s="95">
        <v>10300</v>
      </c>
      <c r="P258" s="95">
        <v>1</v>
      </c>
      <c r="Q258" s="94" t="s">
        <v>383</v>
      </c>
      <c r="R258" s="95">
        <v>2</v>
      </c>
      <c r="S258" s="95">
        <v>50</v>
      </c>
      <c r="T258" s="95">
        <v>0</v>
      </c>
      <c r="U258" s="95">
        <v>0</v>
      </c>
      <c r="V258" s="95">
        <v>1170</v>
      </c>
      <c r="W258" s="95">
        <v>2370</v>
      </c>
      <c r="X258" s="97">
        <v>45079.375</v>
      </c>
      <c r="Y258" s="97">
        <v>45055.375</v>
      </c>
      <c r="Z258" s="97">
        <v>45065.375</v>
      </c>
      <c r="AA258" s="98"/>
    </row>
    <row r="259" spans="1:27" ht="15.75" hidden="1" customHeight="1">
      <c r="A259" s="94" t="s">
        <v>2955</v>
      </c>
      <c r="B259" s="94" t="s">
        <v>428</v>
      </c>
      <c r="C259" s="94" t="s">
        <v>171</v>
      </c>
      <c r="D259" s="95">
        <v>20000</v>
      </c>
      <c r="E259" s="94" t="s">
        <v>424</v>
      </c>
      <c r="F259" s="94" t="s">
        <v>74</v>
      </c>
      <c r="G259" s="95">
        <v>8</v>
      </c>
      <c r="H259" s="94" t="s">
        <v>12</v>
      </c>
      <c r="I259" s="94" t="s">
        <v>6923</v>
      </c>
      <c r="J259" s="94" t="s">
        <v>430</v>
      </c>
      <c r="K259" s="95">
        <v>180</v>
      </c>
      <c r="L259" s="95">
        <v>10</v>
      </c>
      <c r="M259" s="94"/>
      <c r="N259" s="95">
        <v>103000</v>
      </c>
      <c r="O259" s="95">
        <v>10300</v>
      </c>
      <c r="P259" s="95">
        <v>1</v>
      </c>
      <c r="Q259" s="94" t="s">
        <v>383</v>
      </c>
      <c r="R259" s="95">
        <v>2</v>
      </c>
      <c r="S259" s="95">
        <v>360</v>
      </c>
      <c r="T259" s="95">
        <v>0</v>
      </c>
      <c r="U259" s="95">
        <v>0</v>
      </c>
      <c r="V259" s="95">
        <v>1170</v>
      </c>
      <c r="W259" s="95">
        <v>2370</v>
      </c>
      <c r="X259" s="97">
        <v>45079.375</v>
      </c>
      <c r="Y259" s="97">
        <v>45055.375</v>
      </c>
      <c r="Z259" s="97">
        <v>45065.375</v>
      </c>
      <c r="AA259" s="98"/>
    </row>
    <row r="260" spans="1:27" ht="15.75" hidden="1" customHeight="1">
      <c r="A260" s="94" t="s">
        <v>2955</v>
      </c>
      <c r="B260" s="94" t="s">
        <v>428</v>
      </c>
      <c r="C260" s="94" t="s">
        <v>171</v>
      </c>
      <c r="D260" s="95">
        <v>20000</v>
      </c>
      <c r="E260" s="94" t="s">
        <v>424</v>
      </c>
      <c r="F260" s="94" t="s">
        <v>74</v>
      </c>
      <c r="G260" s="95">
        <v>9</v>
      </c>
      <c r="H260" s="94" t="s">
        <v>13</v>
      </c>
      <c r="I260" s="94" t="s">
        <v>6923</v>
      </c>
      <c r="J260" s="94" t="s">
        <v>430</v>
      </c>
      <c r="K260" s="95">
        <v>40</v>
      </c>
      <c r="L260" s="95">
        <v>10</v>
      </c>
      <c r="M260" s="94"/>
      <c r="N260" s="95">
        <v>103000</v>
      </c>
      <c r="O260" s="95">
        <v>10300</v>
      </c>
      <c r="P260" s="95">
        <v>1</v>
      </c>
      <c r="Q260" s="94" t="s">
        <v>383</v>
      </c>
      <c r="R260" s="95">
        <v>2</v>
      </c>
      <c r="S260" s="95">
        <v>80</v>
      </c>
      <c r="T260" s="95">
        <v>0</v>
      </c>
      <c r="U260" s="95">
        <v>0</v>
      </c>
      <c r="V260" s="95">
        <v>1170</v>
      </c>
      <c r="W260" s="95">
        <v>2370</v>
      </c>
      <c r="X260" s="97">
        <v>45079.375</v>
      </c>
      <c r="Y260" s="97">
        <v>45055.375</v>
      </c>
      <c r="Z260" s="97">
        <v>45065.375</v>
      </c>
      <c r="AA260" s="98"/>
    </row>
    <row r="261" spans="1:27" ht="15.75" hidden="1" customHeight="1">
      <c r="A261" s="94" t="s">
        <v>2955</v>
      </c>
      <c r="B261" s="94" t="s">
        <v>428</v>
      </c>
      <c r="C261" s="94" t="s">
        <v>171</v>
      </c>
      <c r="D261" s="95">
        <v>20000</v>
      </c>
      <c r="E261" s="94" t="s">
        <v>431</v>
      </c>
      <c r="F261" s="94" t="s">
        <v>433</v>
      </c>
      <c r="G261" s="95">
        <v>19</v>
      </c>
      <c r="H261" s="94" t="s">
        <v>368</v>
      </c>
      <c r="I261" s="94" t="s">
        <v>6236</v>
      </c>
      <c r="J261" s="94" t="s">
        <v>434</v>
      </c>
      <c r="K261" s="95">
        <v>60</v>
      </c>
      <c r="L261" s="94"/>
      <c r="M261" s="95">
        <v>1000</v>
      </c>
      <c r="N261" s="94" t="s">
        <v>435</v>
      </c>
      <c r="O261" s="94"/>
      <c r="P261" s="95">
        <v>4</v>
      </c>
      <c r="Q261" s="94" t="s">
        <v>436</v>
      </c>
      <c r="R261" s="95">
        <v>0</v>
      </c>
      <c r="S261" s="95">
        <v>0</v>
      </c>
      <c r="T261" s="95">
        <v>1200</v>
      </c>
      <c r="U261" s="95">
        <v>240</v>
      </c>
      <c r="V261" s="95">
        <v>1200</v>
      </c>
      <c r="W261" s="95">
        <v>2370</v>
      </c>
      <c r="X261" s="97">
        <v>45079.375</v>
      </c>
      <c r="Y261" s="97">
        <v>45055.375</v>
      </c>
      <c r="Z261" s="97">
        <v>45065.375</v>
      </c>
      <c r="AA261" s="98"/>
    </row>
    <row r="262" spans="1:27" ht="15.75" hidden="1" customHeight="1">
      <c r="A262" s="94" t="s">
        <v>2957</v>
      </c>
      <c r="B262" s="94" t="s">
        <v>659</v>
      </c>
      <c r="C262" s="94" t="s">
        <v>188</v>
      </c>
      <c r="D262" s="95">
        <v>10000</v>
      </c>
      <c r="E262" s="94" t="s">
        <v>442</v>
      </c>
      <c r="F262" s="94" t="s">
        <v>33</v>
      </c>
      <c r="G262" s="95">
        <v>10</v>
      </c>
      <c r="H262" s="94" t="s">
        <v>11</v>
      </c>
      <c r="I262" s="94" t="s">
        <v>7228</v>
      </c>
      <c r="J262" s="94" t="s">
        <v>426</v>
      </c>
      <c r="K262" s="95">
        <v>20</v>
      </c>
      <c r="L262" s="95">
        <v>29.7</v>
      </c>
      <c r="M262" s="94"/>
      <c r="N262" s="95">
        <v>103000</v>
      </c>
      <c r="O262" s="95">
        <v>3468</v>
      </c>
      <c r="P262" s="95">
        <v>1</v>
      </c>
      <c r="Q262" s="94" t="s">
        <v>383</v>
      </c>
      <c r="R262" s="95">
        <v>3</v>
      </c>
      <c r="S262" s="95">
        <v>60</v>
      </c>
      <c r="T262" s="95">
        <v>0</v>
      </c>
      <c r="U262" s="95">
        <v>0</v>
      </c>
      <c r="V262" s="95">
        <v>450</v>
      </c>
      <c r="W262" s="95">
        <v>1950</v>
      </c>
      <c r="X262" s="97">
        <v>45089.375</v>
      </c>
      <c r="Y262" s="97">
        <v>45055.375</v>
      </c>
      <c r="Z262" s="97">
        <v>45065.375</v>
      </c>
      <c r="AA262" s="98"/>
    </row>
    <row r="263" spans="1:27" ht="15.75" hidden="1" customHeight="1">
      <c r="A263" s="94" t="s">
        <v>2957</v>
      </c>
      <c r="B263" s="94" t="s">
        <v>659</v>
      </c>
      <c r="C263" s="94" t="s">
        <v>188</v>
      </c>
      <c r="D263" s="95">
        <v>10000</v>
      </c>
      <c r="E263" s="94" t="s">
        <v>442</v>
      </c>
      <c r="F263" s="94" t="s">
        <v>33</v>
      </c>
      <c r="G263" s="95">
        <v>11</v>
      </c>
      <c r="H263" s="94" t="s">
        <v>12</v>
      </c>
      <c r="I263" s="94" t="s">
        <v>6923</v>
      </c>
      <c r="J263" s="94" t="s">
        <v>444</v>
      </c>
      <c r="K263" s="95">
        <v>110</v>
      </c>
      <c r="L263" s="95">
        <v>29.7</v>
      </c>
      <c r="M263" s="94"/>
      <c r="N263" s="96">
        <v>103000</v>
      </c>
      <c r="O263" s="95">
        <v>3468</v>
      </c>
      <c r="P263" s="95">
        <v>1</v>
      </c>
      <c r="Q263" s="94" t="s">
        <v>383</v>
      </c>
      <c r="R263" s="95">
        <v>3</v>
      </c>
      <c r="S263" s="95">
        <v>330</v>
      </c>
      <c r="T263" s="95">
        <v>0</v>
      </c>
      <c r="U263" s="95">
        <v>0</v>
      </c>
      <c r="V263" s="95">
        <v>450</v>
      </c>
      <c r="W263" s="95">
        <v>1950</v>
      </c>
      <c r="X263" s="97">
        <v>45089.375</v>
      </c>
      <c r="Y263" s="97">
        <v>45055.375</v>
      </c>
      <c r="Z263" s="97">
        <v>45065.375</v>
      </c>
      <c r="AA263" s="98"/>
    </row>
    <row r="264" spans="1:27" ht="15.75" hidden="1" customHeight="1">
      <c r="A264" s="94" t="s">
        <v>2957</v>
      </c>
      <c r="B264" s="94" t="s">
        <v>659</v>
      </c>
      <c r="C264" s="94" t="s">
        <v>188</v>
      </c>
      <c r="D264" s="95">
        <v>10000</v>
      </c>
      <c r="E264" s="94" t="s">
        <v>442</v>
      </c>
      <c r="F264" s="94" t="s">
        <v>33</v>
      </c>
      <c r="G264" s="95">
        <v>12</v>
      </c>
      <c r="H264" s="94" t="s">
        <v>13</v>
      </c>
      <c r="I264" s="94" t="s">
        <v>6923</v>
      </c>
      <c r="J264" s="94" t="s">
        <v>444</v>
      </c>
      <c r="K264" s="95">
        <v>20</v>
      </c>
      <c r="L264" s="95">
        <v>29.7</v>
      </c>
      <c r="M264" s="94"/>
      <c r="N264" s="96">
        <v>103000</v>
      </c>
      <c r="O264" s="95">
        <v>3468</v>
      </c>
      <c r="P264" s="95">
        <v>1</v>
      </c>
      <c r="Q264" s="94" t="s">
        <v>383</v>
      </c>
      <c r="R264" s="95">
        <v>3</v>
      </c>
      <c r="S264" s="95">
        <v>60</v>
      </c>
      <c r="T264" s="95">
        <v>0</v>
      </c>
      <c r="U264" s="95">
        <v>0</v>
      </c>
      <c r="V264" s="95">
        <v>450</v>
      </c>
      <c r="W264" s="95">
        <v>1950</v>
      </c>
      <c r="X264" s="97">
        <v>45089.375</v>
      </c>
      <c r="Y264" s="97">
        <v>45055.375</v>
      </c>
      <c r="Z264" s="97">
        <v>45065.375</v>
      </c>
      <c r="AA264" s="98"/>
    </row>
    <row r="265" spans="1:27" ht="15.75" hidden="1" customHeight="1">
      <c r="A265" s="94" t="s">
        <v>2957</v>
      </c>
      <c r="B265" s="94" t="s">
        <v>659</v>
      </c>
      <c r="C265" s="94" t="s">
        <v>188</v>
      </c>
      <c r="D265" s="95">
        <v>10000</v>
      </c>
      <c r="E265" s="94" t="s">
        <v>431</v>
      </c>
      <c r="F265" s="94" t="s">
        <v>433</v>
      </c>
      <c r="G265" s="95">
        <v>18</v>
      </c>
      <c r="H265" s="94" t="s">
        <v>439</v>
      </c>
      <c r="I265" s="94" t="s">
        <v>6671</v>
      </c>
      <c r="J265" s="94" t="s">
        <v>440</v>
      </c>
      <c r="K265" s="95">
        <v>60</v>
      </c>
      <c r="L265" s="94"/>
      <c r="M265" s="95">
        <v>600</v>
      </c>
      <c r="N265" s="99" t="s">
        <v>435</v>
      </c>
      <c r="O265" s="94"/>
      <c r="P265" s="95">
        <v>1</v>
      </c>
      <c r="Q265" s="94" t="s">
        <v>436</v>
      </c>
      <c r="R265" s="95">
        <v>0</v>
      </c>
      <c r="S265" s="95">
        <v>0</v>
      </c>
      <c r="T265" s="95">
        <v>1000</v>
      </c>
      <c r="U265" s="95">
        <v>200</v>
      </c>
      <c r="V265" s="95">
        <v>1500</v>
      </c>
      <c r="W265" s="95">
        <v>1950</v>
      </c>
      <c r="X265" s="97">
        <v>45089.375</v>
      </c>
      <c r="Y265" s="97">
        <v>45055.375</v>
      </c>
      <c r="Z265" s="97">
        <v>45065.375</v>
      </c>
      <c r="AA265" s="98"/>
    </row>
    <row r="266" spans="1:27" ht="15.75" hidden="1" customHeight="1">
      <c r="A266" s="94" t="s">
        <v>2957</v>
      </c>
      <c r="B266" s="94" t="s">
        <v>659</v>
      </c>
      <c r="C266" s="94" t="s">
        <v>188</v>
      </c>
      <c r="D266" s="95">
        <v>10000</v>
      </c>
      <c r="E266" s="94" t="s">
        <v>431</v>
      </c>
      <c r="F266" s="94" t="s">
        <v>433</v>
      </c>
      <c r="G266" s="95">
        <v>19</v>
      </c>
      <c r="H266" s="94" t="s">
        <v>368</v>
      </c>
      <c r="I266" s="94" t="s">
        <v>6236</v>
      </c>
      <c r="J266" s="94" t="s">
        <v>434</v>
      </c>
      <c r="K266" s="95">
        <v>60</v>
      </c>
      <c r="L266" s="94"/>
      <c r="M266" s="95">
        <v>1200</v>
      </c>
      <c r="N266" s="94" t="s">
        <v>435</v>
      </c>
      <c r="O266" s="94"/>
      <c r="P266" s="95">
        <v>4</v>
      </c>
      <c r="Q266" s="94" t="s">
        <v>436</v>
      </c>
      <c r="R266" s="95">
        <v>0</v>
      </c>
      <c r="S266" s="95">
        <v>0</v>
      </c>
      <c r="T266" s="95">
        <v>500</v>
      </c>
      <c r="U266" s="95">
        <v>100</v>
      </c>
      <c r="V266" s="95">
        <v>1500</v>
      </c>
      <c r="W266" s="95">
        <v>1950</v>
      </c>
      <c r="X266" s="97">
        <v>45089.375</v>
      </c>
      <c r="Y266" s="97">
        <v>45055.375</v>
      </c>
      <c r="Z266" s="97">
        <v>45065.375</v>
      </c>
      <c r="AA266" s="98"/>
    </row>
    <row r="267" spans="1:27" ht="15.75" hidden="1" customHeight="1">
      <c r="A267" s="94" t="s">
        <v>2834</v>
      </c>
      <c r="B267" s="94" t="s">
        <v>766</v>
      </c>
      <c r="C267" s="94" t="s">
        <v>196</v>
      </c>
      <c r="D267" s="95">
        <v>10000</v>
      </c>
      <c r="E267" s="94" t="s">
        <v>442</v>
      </c>
      <c r="F267" s="94" t="s">
        <v>33</v>
      </c>
      <c r="G267" s="95">
        <v>10</v>
      </c>
      <c r="H267" s="94" t="s">
        <v>11</v>
      </c>
      <c r="I267" s="94" t="s">
        <v>7228</v>
      </c>
      <c r="J267" s="94" t="s">
        <v>426</v>
      </c>
      <c r="K267" s="95">
        <v>20</v>
      </c>
      <c r="L267" s="95">
        <v>8</v>
      </c>
      <c r="M267" s="94"/>
      <c r="N267" s="96">
        <v>82500</v>
      </c>
      <c r="O267" s="95">
        <v>10312</v>
      </c>
      <c r="P267" s="95">
        <v>1</v>
      </c>
      <c r="Q267" s="94" t="s">
        <v>383</v>
      </c>
      <c r="R267" s="95">
        <v>1</v>
      </c>
      <c r="S267" s="95">
        <v>20</v>
      </c>
      <c r="T267" s="95">
        <v>0</v>
      </c>
      <c r="U267" s="95">
        <v>0</v>
      </c>
      <c r="V267" s="95">
        <v>140</v>
      </c>
      <c r="W267" s="95">
        <v>1289</v>
      </c>
      <c r="X267" s="97">
        <v>45090.375</v>
      </c>
      <c r="Y267" s="97">
        <v>45050.375</v>
      </c>
      <c r="Z267" s="97">
        <v>45084.375</v>
      </c>
      <c r="AA267" s="98"/>
    </row>
    <row r="268" spans="1:27" ht="15.75" hidden="1" customHeight="1">
      <c r="A268" s="94" t="s">
        <v>2834</v>
      </c>
      <c r="B268" s="94" t="s">
        <v>766</v>
      </c>
      <c r="C268" s="94" t="s">
        <v>196</v>
      </c>
      <c r="D268" s="95">
        <v>10000</v>
      </c>
      <c r="E268" s="94" t="s">
        <v>442</v>
      </c>
      <c r="F268" s="94" t="s">
        <v>33</v>
      </c>
      <c r="G268" s="95">
        <v>11</v>
      </c>
      <c r="H268" s="94" t="s">
        <v>12</v>
      </c>
      <c r="I268" s="94" t="s">
        <v>6923</v>
      </c>
      <c r="J268" s="94" t="s">
        <v>444</v>
      </c>
      <c r="K268" s="95">
        <v>105</v>
      </c>
      <c r="L268" s="95">
        <v>8</v>
      </c>
      <c r="M268" s="94"/>
      <c r="N268" s="95">
        <v>82500</v>
      </c>
      <c r="O268" s="95">
        <v>10312</v>
      </c>
      <c r="P268" s="95">
        <v>1</v>
      </c>
      <c r="Q268" s="94" t="s">
        <v>383</v>
      </c>
      <c r="R268" s="95">
        <v>1</v>
      </c>
      <c r="S268" s="95">
        <v>105</v>
      </c>
      <c r="T268" s="95">
        <v>0</v>
      </c>
      <c r="U268" s="95">
        <v>0</v>
      </c>
      <c r="V268" s="95">
        <v>140</v>
      </c>
      <c r="W268" s="95">
        <v>1289</v>
      </c>
      <c r="X268" s="97">
        <v>45090.375</v>
      </c>
      <c r="Y268" s="97">
        <v>45050.375</v>
      </c>
      <c r="Z268" s="97">
        <v>45084.375</v>
      </c>
      <c r="AA268" s="98"/>
    </row>
    <row r="269" spans="1:27" ht="15.75" hidden="1" customHeight="1">
      <c r="A269" s="94" t="s">
        <v>2834</v>
      </c>
      <c r="B269" s="94" t="s">
        <v>766</v>
      </c>
      <c r="C269" s="94" t="s">
        <v>196</v>
      </c>
      <c r="D269" s="95">
        <v>10000</v>
      </c>
      <c r="E269" s="94" t="s">
        <v>442</v>
      </c>
      <c r="F269" s="94" t="s">
        <v>33</v>
      </c>
      <c r="G269" s="95">
        <v>12</v>
      </c>
      <c r="H269" s="94" t="s">
        <v>13</v>
      </c>
      <c r="I269" s="94" t="s">
        <v>6923</v>
      </c>
      <c r="J269" s="94" t="s">
        <v>444</v>
      </c>
      <c r="K269" s="95">
        <v>15</v>
      </c>
      <c r="L269" s="95">
        <v>8</v>
      </c>
      <c r="M269" s="94"/>
      <c r="N269" s="96">
        <v>82500</v>
      </c>
      <c r="O269" s="95">
        <v>10312</v>
      </c>
      <c r="P269" s="95">
        <v>1</v>
      </c>
      <c r="Q269" s="94" t="s">
        <v>383</v>
      </c>
      <c r="R269" s="95">
        <v>1</v>
      </c>
      <c r="S269" s="95">
        <v>15</v>
      </c>
      <c r="T269" s="95">
        <v>0</v>
      </c>
      <c r="U269" s="95">
        <v>0</v>
      </c>
      <c r="V269" s="95">
        <v>140</v>
      </c>
      <c r="W269" s="95">
        <v>1289</v>
      </c>
      <c r="X269" s="97">
        <v>45090.375</v>
      </c>
      <c r="Y269" s="97">
        <v>45050.375</v>
      </c>
      <c r="Z269" s="97">
        <v>45084.375</v>
      </c>
      <c r="AA269" s="98"/>
    </row>
    <row r="270" spans="1:27" ht="15.75" hidden="1" customHeight="1">
      <c r="A270" s="94" t="s">
        <v>2834</v>
      </c>
      <c r="B270" s="94" t="s">
        <v>766</v>
      </c>
      <c r="C270" s="94" t="s">
        <v>196</v>
      </c>
      <c r="D270" s="95">
        <v>10000</v>
      </c>
      <c r="E270" s="94" t="s">
        <v>431</v>
      </c>
      <c r="F270" s="94" t="s">
        <v>433</v>
      </c>
      <c r="G270" s="95">
        <v>18</v>
      </c>
      <c r="H270" s="94" t="s">
        <v>439</v>
      </c>
      <c r="I270" s="94" t="s">
        <v>6671</v>
      </c>
      <c r="J270" s="94" t="s">
        <v>440</v>
      </c>
      <c r="K270" s="95">
        <v>60</v>
      </c>
      <c r="L270" s="94"/>
      <c r="M270" s="95">
        <v>1850</v>
      </c>
      <c r="N270" s="99" t="s">
        <v>435</v>
      </c>
      <c r="O270" s="94"/>
      <c r="P270" s="95">
        <v>1</v>
      </c>
      <c r="Q270" s="94" t="s">
        <v>436</v>
      </c>
      <c r="R270" s="95">
        <v>0</v>
      </c>
      <c r="S270" s="95">
        <v>0</v>
      </c>
      <c r="T270" s="95">
        <v>325</v>
      </c>
      <c r="U270" s="95">
        <v>65</v>
      </c>
      <c r="V270" s="95">
        <v>1149</v>
      </c>
      <c r="W270" s="95">
        <v>1289</v>
      </c>
      <c r="X270" s="97">
        <v>45090.375</v>
      </c>
      <c r="Y270" s="97">
        <v>45050.375</v>
      </c>
      <c r="Z270" s="97">
        <v>45084.375</v>
      </c>
      <c r="AA270" s="98"/>
    </row>
    <row r="271" spans="1:27" ht="15.75" hidden="1" customHeight="1">
      <c r="A271" s="94" t="s">
        <v>2834</v>
      </c>
      <c r="B271" s="94" t="s">
        <v>766</v>
      </c>
      <c r="C271" s="94" t="s">
        <v>196</v>
      </c>
      <c r="D271" s="95">
        <v>10000</v>
      </c>
      <c r="E271" s="94" t="s">
        <v>431</v>
      </c>
      <c r="F271" s="94" t="s">
        <v>433</v>
      </c>
      <c r="G271" s="95">
        <v>19</v>
      </c>
      <c r="H271" s="94" t="s">
        <v>368</v>
      </c>
      <c r="I271" s="94" t="s">
        <v>6236</v>
      </c>
      <c r="J271" s="94" t="s">
        <v>434</v>
      </c>
      <c r="K271" s="95">
        <v>60</v>
      </c>
      <c r="L271" s="94"/>
      <c r="M271" s="95">
        <v>1500</v>
      </c>
      <c r="N271" s="94" t="s">
        <v>435</v>
      </c>
      <c r="O271" s="94"/>
      <c r="P271" s="95">
        <v>4</v>
      </c>
      <c r="Q271" s="94" t="s">
        <v>436</v>
      </c>
      <c r="R271" s="95">
        <v>0</v>
      </c>
      <c r="S271" s="95">
        <v>0</v>
      </c>
      <c r="T271" s="95">
        <v>400</v>
      </c>
      <c r="U271" s="95">
        <v>80</v>
      </c>
      <c r="V271" s="95">
        <v>1149</v>
      </c>
      <c r="W271" s="95">
        <v>1289</v>
      </c>
      <c r="X271" s="97">
        <v>45090.375</v>
      </c>
      <c r="Y271" s="97">
        <v>45050.375</v>
      </c>
      <c r="Z271" s="97">
        <v>45084.375</v>
      </c>
      <c r="AA271" s="98"/>
    </row>
    <row r="272" spans="1:27" ht="15.75" hidden="1" customHeight="1">
      <c r="A272" s="94" t="s">
        <v>3009</v>
      </c>
      <c r="B272" s="94" t="s">
        <v>658</v>
      </c>
      <c r="C272" s="94" t="s">
        <v>193</v>
      </c>
      <c r="D272" s="95">
        <v>10000</v>
      </c>
      <c r="E272" s="94" t="s">
        <v>442</v>
      </c>
      <c r="F272" s="94" t="s">
        <v>33</v>
      </c>
      <c r="G272" s="95">
        <v>10</v>
      </c>
      <c r="H272" s="94" t="s">
        <v>11</v>
      </c>
      <c r="I272" s="94" t="s">
        <v>7228</v>
      </c>
      <c r="J272" s="94" t="s">
        <v>426</v>
      </c>
      <c r="K272" s="95">
        <v>20</v>
      </c>
      <c r="L272" s="95">
        <v>10.1</v>
      </c>
      <c r="M272" s="94"/>
      <c r="N272" s="96">
        <v>103000</v>
      </c>
      <c r="O272" s="95">
        <v>10198</v>
      </c>
      <c r="P272" s="95">
        <v>1</v>
      </c>
      <c r="Q272" s="94" t="s">
        <v>383</v>
      </c>
      <c r="R272" s="95">
        <v>1</v>
      </c>
      <c r="S272" s="95">
        <v>20</v>
      </c>
      <c r="T272" s="95">
        <v>0</v>
      </c>
      <c r="U272" s="95">
        <v>0</v>
      </c>
      <c r="V272" s="95">
        <v>150</v>
      </c>
      <c r="W272" s="95">
        <v>722</v>
      </c>
      <c r="X272" s="97">
        <v>45091.375</v>
      </c>
      <c r="Y272" s="97">
        <v>45055.375</v>
      </c>
      <c r="Z272" s="97">
        <v>45064.375</v>
      </c>
      <c r="AA272" s="98"/>
    </row>
    <row r="273" spans="1:27" ht="15.75" hidden="1" customHeight="1">
      <c r="A273" s="94" t="s">
        <v>3009</v>
      </c>
      <c r="B273" s="94" t="s">
        <v>658</v>
      </c>
      <c r="C273" s="94" t="s">
        <v>193</v>
      </c>
      <c r="D273" s="95">
        <v>10000</v>
      </c>
      <c r="E273" s="94" t="s">
        <v>442</v>
      </c>
      <c r="F273" s="94" t="s">
        <v>33</v>
      </c>
      <c r="G273" s="95">
        <v>11</v>
      </c>
      <c r="H273" s="94" t="s">
        <v>12</v>
      </c>
      <c r="I273" s="94" t="s">
        <v>6923</v>
      </c>
      <c r="J273" s="94" t="s">
        <v>444</v>
      </c>
      <c r="K273" s="95">
        <v>110</v>
      </c>
      <c r="L273" s="95">
        <v>10.1</v>
      </c>
      <c r="M273" s="94"/>
      <c r="N273" s="96">
        <v>103000</v>
      </c>
      <c r="O273" s="95">
        <v>10198</v>
      </c>
      <c r="P273" s="95">
        <v>1</v>
      </c>
      <c r="Q273" s="94" t="s">
        <v>383</v>
      </c>
      <c r="R273" s="95">
        <v>1</v>
      </c>
      <c r="S273" s="95">
        <v>110</v>
      </c>
      <c r="T273" s="95">
        <v>0</v>
      </c>
      <c r="U273" s="95">
        <v>0</v>
      </c>
      <c r="V273" s="95">
        <v>150</v>
      </c>
      <c r="W273" s="95">
        <v>722</v>
      </c>
      <c r="X273" s="97">
        <v>45091.375</v>
      </c>
      <c r="Y273" s="97">
        <v>45055.375</v>
      </c>
      <c r="Z273" s="97">
        <v>45064.375</v>
      </c>
      <c r="AA273" s="98"/>
    </row>
    <row r="274" spans="1:27" ht="15.75" hidden="1" customHeight="1">
      <c r="A274" s="94" t="s">
        <v>3009</v>
      </c>
      <c r="B274" s="94" t="s">
        <v>658</v>
      </c>
      <c r="C274" s="94" t="s">
        <v>193</v>
      </c>
      <c r="D274" s="95">
        <v>10000</v>
      </c>
      <c r="E274" s="94" t="s">
        <v>442</v>
      </c>
      <c r="F274" s="94" t="s">
        <v>33</v>
      </c>
      <c r="G274" s="95">
        <v>12</v>
      </c>
      <c r="H274" s="94" t="s">
        <v>13</v>
      </c>
      <c r="I274" s="94" t="s">
        <v>6923</v>
      </c>
      <c r="J274" s="94" t="s">
        <v>444</v>
      </c>
      <c r="K274" s="95">
        <v>20</v>
      </c>
      <c r="L274" s="95">
        <v>10.1</v>
      </c>
      <c r="M274" s="94"/>
      <c r="N274" s="96">
        <v>103000</v>
      </c>
      <c r="O274" s="95">
        <v>10198</v>
      </c>
      <c r="P274" s="95">
        <v>1</v>
      </c>
      <c r="Q274" s="94" t="s">
        <v>383</v>
      </c>
      <c r="R274" s="95">
        <v>1</v>
      </c>
      <c r="S274" s="95">
        <v>20</v>
      </c>
      <c r="T274" s="95">
        <v>0</v>
      </c>
      <c r="U274" s="95">
        <v>0</v>
      </c>
      <c r="V274" s="95">
        <v>150</v>
      </c>
      <c r="W274" s="95">
        <v>722</v>
      </c>
      <c r="X274" s="97">
        <v>45091.375</v>
      </c>
      <c r="Y274" s="97">
        <v>45055.375</v>
      </c>
      <c r="Z274" s="97">
        <v>45064.375</v>
      </c>
      <c r="AA274" s="98"/>
    </row>
    <row r="275" spans="1:27" ht="15.75" hidden="1" customHeight="1">
      <c r="A275" s="94" t="s">
        <v>3009</v>
      </c>
      <c r="B275" s="94" t="s">
        <v>658</v>
      </c>
      <c r="C275" s="94" t="s">
        <v>193</v>
      </c>
      <c r="D275" s="95">
        <v>10000</v>
      </c>
      <c r="E275" s="94" t="s">
        <v>431</v>
      </c>
      <c r="F275" s="94" t="s">
        <v>433</v>
      </c>
      <c r="G275" s="95">
        <v>19</v>
      </c>
      <c r="H275" s="94" t="s">
        <v>368</v>
      </c>
      <c r="I275" s="94" t="s">
        <v>6236</v>
      </c>
      <c r="J275" s="94" t="s">
        <v>434</v>
      </c>
      <c r="K275" s="95">
        <v>60</v>
      </c>
      <c r="L275" s="94"/>
      <c r="M275" s="95">
        <v>1050</v>
      </c>
      <c r="N275" s="99" t="s">
        <v>435</v>
      </c>
      <c r="O275" s="94"/>
      <c r="P275" s="95">
        <v>4</v>
      </c>
      <c r="Q275" s="94" t="s">
        <v>436</v>
      </c>
      <c r="R275" s="95">
        <v>0</v>
      </c>
      <c r="S275" s="95">
        <v>0</v>
      </c>
      <c r="T275" s="95">
        <v>572</v>
      </c>
      <c r="U275" s="95">
        <v>115</v>
      </c>
      <c r="V275" s="95">
        <v>572</v>
      </c>
      <c r="W275" s="95">
        <v>722</v>
      </c>
      <c r="X275" s="97">
        <v>45091.375</v>
      </c>
      <c r="Y275" s="97">
        <v>45055.375</v>
      </c>
      <c r="Z275" s="97">
        <v>45064.375</v>
      </c>
      <c r="AA275" s="98"/>
    </row>
    <row r="276" spans="1:27" ht="15.75" hidden="1" customHeight="1">
      <c r="A276" s="94" t="s">
        <v>3030</v>
      </c>
      <c r="B276" s="94" t="s">
        <v>754</v>
      </c>
      <c r="C276" s="94" t="s">
        <v>199</v>
      </c>
      <c r="D276" s="95">
        <v>2504</v>
      </c>
      <c r="E276" s="94" t="s">
        <v>442</v>
      </c>
      <c r="F276" s="94" t="s">
        <v>40</v>
      </c>
      <c r="G276" s="95">
        <v>2</v>
      </c>
      <c r="H276" s="94" t="s">
        <v>12</v>
      </c>
      <c r="I276" s="94" t="s">
        <v>6923</v>
      </c>
      <c r="J276" s="94" t="s">
        <v>449</v>
      </c>
      <c r="K276" s="95">
        <v>315</v>
      </c>
      <c r="L276" s="95">
        <v>206</v>
      </c>
      <c r="M276" s="94"/>
      <c r="N276" s="95">
        <v>412000</v>
      </c>
      <c r="O276" s="95">
        <v>2000</v>
      </c>
      <c r="P276" s="95">
        <v>1</v>
      </c>
      <c r="Q276" s="94" t="s">
        <v>383</v>
      </c>
      <c r="R276" s="95">
        <v>2</v>
      </c>
      <c r="S276" s="95">
        <v>630</v>
      </c>
      <c r="T276" s="95">
        <v>0</v>
      </c>
      <c r="U276" s="95">
        <v>0</v>
      </c>
      <c r="V276" s="95">
        <v>690</v>
      </c>
      <c r="W276" s="95">
        <v>1170</v>
      </c>
      <c r="X276" s="97">
        <v>45092.375</v>
      </c>
      <c r="Y276" s="97">
        <v>45050.375</v>
      </c>
      <c r="Z276" s="97">
        <v>45010.375</v>
      </c>
      <c r="AA276" s="98"/>
    </row>
    <row r="277" spans="1:27" ht="15.75" hidden="1" customHeight="1">
      <c r="A277" s="94" t="s">
        <v>3030</v>
      </c>
      <c r="B277" s="94" t="s">
        <v>754</v>
      </c>
      <c r="C277" s="94" t="s">
        <v>199</v>
      </c>
      <c r="D277" s="95">
        <v>2504</v>
      </c>
      <c r="E277" s="94" t="s">
        <v>442</v>
      </c>
      <c r="F277" s="94" t="s">
        <v>40</v>
      </c>
      <c r="G277" s="95">
        <v>3</v>
      </c>
      <c r="H277" s="94" t="s">
        <v>13</v>
      </c>
      <c r="I277" s="94" t="s">
        <v>6923</v>
      </c>
      <c r="J277" s="94" t="s">
        <v>449</v>
      </c>
      <c r="K277" s="95">
        <v>30</v>
      </c>
      <c r="L277" s="95">
        <v>206</v>
      </c>
      <c r="M277" s="94"/>
      <c r="N277" s="96">
        <v>412000</v>
      </c>
      <c r="O277" s="95">
        <v>2000</v>
      </c>
      <c r="P277" s="95">
        <v>1</v>
      </c>
      <c r="Q277" s="94" t="s">
        <v>383</v>
      </c>
      <c r="R277" s="95">
        <v>2</v>
      </c>
      <c r="S277" s="95">
        <v>60</v>
      </c>
      <c r="T277" s="95">
        <v>0</v>
      </c>
      <c r="U277" s="95">
        <v>0</v>
      </c>
      <c r="V277" s="95">
        <v>690</v>
      </c>
      <c r="W277" s="95">
        <v>1170</v>
      </c>
      <c r="X277" s="97">
        <v>45092.375</v>
      </c>
      <c r="Y277" s="97">
        <v>45050.375</v>
      </c>
      <c r="Z277" s="97">
        <v>45010.375</v>
      </c>
      <c r="AA277" s="98"/>
    </row>
    <row r="278" spans="1:27" ht="15.75" hidden="1" customHeight="1">
      <c r="A278" s="94" t="s">
        <v>3030</v>
      </c>
      <c r="B278" s="94" t="s">
        <v>754</v>
      </c>
      <c r="C278" s="94" t="s">
        <v>199</v>
      </c>
      <c r="D278" s="95">
        <v>2504</v>
      </c>
      <c r="E278" s="94" t="s">
        <v>431</v>
      </c>
      <c r="F278" s="94" t="s">
        <v>433</v>
      </c>
      <c r="G278" s="95">
        <v>18</v>
      </c>
      <c r="H278" s="94" t="s">
        <v>439</v>
      </c>
      <c r="I278" s="94" t="s">
        <v>6671</v>
      </c>
      <c r="J278" s="94" t="s">
        <v>440</v>
      </c>
      <c r="K278" s="95">
        <v>60</v>
      </c>
      <c r="L278" s="94"/>
      <c r="M278" s="95">
        <v>900</v>
      </c>
      <c r="N278" s="99" t="s">
        <v>435</v>
      </c>
      <c r="O278" s="94"/>
      <c r="P278" s="95">
        <v>1</v>
      </c>
      <c r="Q278" s="94" t="s">
        <v>436</v>
      </c>
      <c r="R278" s="95">
        <v>0</v>
      </c>
      <c r="S278" s="95">
        <v>0</v>
      </c>
      <c r="T278" s="95">
        <v>167</v>
      </c>
      <c r="U278" s="95">
        <v>34</v>
      </c>
      <c r="V278" s="95">
        <v>480</v>
      </c>
      <c r="W278" s="95">
        <v>1170</v>
      </c>
      <c r="X278" s="97">
        <v>45092.375</v>
      </c>
      <c r="Y278" s="97">
        <v>45050.375</v>
      </c>
      <c r="Z278" s="97">
        <v>45010.375</v>
      </c>
      <c r="AA278" s="98"/>
    </row>
    <row r="279" spans="1:27" ht="15.75" hidden="1" customHeight="1">
      <c r="A279" s="94" t="s">
        <v>3030</v>
      </c>
      <c r="B279" s="94" t="s">
        <v>754</v>
      </c>
      <c r="C279" s="94" t="s">
        <v>199</v>
      </c>
      <c r="D279" s="95">
        <v>2504</v>
      </c>
      <c r="E279" s="94" t="s">
        <v>431</v>
      </c>
      <c r="F279" s="94" t="s">
        <v>433</v>
      </c>
      <c r="G279" s="95">
        <v>19</v>
      </c>
      <c r="H279" s="94" t="s">
        <v>368</v>
      </c>
      <c r="I279" s="94" t="s">
        <v>6236</v>
      </c>
      <c r="J279" s="94" t="s">
        <v>434</v>
      </c>
      <c r="K279" s="95">
        <v>60</v>
      </c>
      <c r="L279" s="94"/>
      <c r="M279" s="95">
        <v>480</v>
      </c>
      <c r="N279" s="99" t="s">
        <v>435</v>
      </c>
      <c r="O279" s="94"/>
      <c r="P279" s="95">
        <v>4</v>
      </c>
      <c r="Q279" s="94" t="s">
        <v>436</v>
      </c>
      <c r="R279" s="95">
        <v>0</v>
      </c>
      <c r="S279" s="95">
        <v>0</v>
      </c>
      <c r="T279" s="95">
        <v>313</v>
      </c>
      <c r="U279" s="95">
        <v>63</v>
      </c>
      <c r="V279" s="95">
        <v>480</v>
      </c>
      <c r="W279" s="95">
        <v>1170</v>
      </c>
      <c r="X279" s="97">
        <v>45092.375</v>
      </c>
      <c r="Y279" s="97">
        <v>45050.375</v>
      </c>
      <c r="Z279" s="97">
        <v>45010.375</v>
      </c>
      <c r="AA279" s="98"/>
    </row>
    <row r="280" spans="1:27" ht="15.75" hidden="1" customHeight="1">
      <c r="A280" s="94" t="s">
        <v>2995</v>
      </c>
      <c r="B280" s="94" t="s">
        <v>756</v>
      </c>
      <c r="C280" s="94" t="s">
        <v>202</v>
      </c>
      <c r="D280" s="95">
        <v>2504</v>
      </c>
      <c r="E280" s="94" t="s">
        <v>442</v>
      </c>
      <c r="F280" s="94" t="s">
        <v>40</v>
      </c>
      <c r="G280" s="95">
        <v>1</v>
      </c>
      <c r="H280" s="94" t="s">
        <v>11</v>
      </c>
      <c r="I280" s="94" t="s">
        <v>7228</v>
      </c>
      <c r="J280" s="94" t="s">
        <v>426</v>
      </c>
      <c r="K280" s="95">
        <v>70</v>
      </c>
      <c r="L280" s="95">
        <v>202</v>
      </c>
      <c r="M280" s="94"/>
      <c r="N280" s="96">
        <v>400000</v>
      </c>
      <c r="O280" s="95">
        <v>1980</v>
      </c>
      <c r="P280" s="95">
        <v>1</v>
      </c>
      <c r="Q280" s="94" t="s">
        <v>383</v>
      </c>
      <c r="R280" s="95">
        <v>2</v>
      </c>
      <c r="S280" s="95">
        <v>140</v>
      </c>
      <c r="T280" s="95">
        <v>0</v>
      </c>
      <c r="U280" s="95">
        <v>0</v>
      </c>
      <c r="V280" s="95">
        <v>460</v>
      </c>
      <c r="W280" s="95">
        <v>950</v>
      </c>
      <c r="X280" s="97">
        <v>45091.375</v>
      </c>
      <c r="Y280" s="97">
        <v>45050.375</v>
      </c>
      <c r="Z280" s="97">
        <v>45010.375</v>
      </c>
      <c r="AA280" s="98"/>
    </row>
    <row r="281" spans="1:27" ht="15.75" hidden="1" customHeight="1">
      <c r="A281" s="94" t="s">
        <v>2995</v>
      </c>
      <c r="B281" s="94" t="s">
        <v>756</v>
      </c>
      <c r="C281" s="94" t="s">
        <v>202</v>
      </c>
      <c r="D281" s="95">
        <v>2504</v>
      </c>
      <c r="E281" s="94" t="s">
        <v>442</v>
      </c>
      <c r="F281" s="94" t="s">
        <v>40</v>
      </c>
      <c r="G281" s="95">
        <v>2</v>
      </c>
      <c r="H281" s="94" t="s">
        <v>12</v>
      </c>
      <c r="I281" s="94" t="s">
        <v>6923</v>
      </c>
      <c r="J281" s="94" t="s">
        <v>449</v>
      </c>
      <c r="K281" s="95">
        <v>130</v>
      </c>
      <c r="L281" s="95">
        <v>202</v>
      </c>
      <c r="M281" s="94"/>
      <c r="N281" s="96">
        <v>400000</v>
      </c>
      <c r="O281" s="95">
        <v>1980</v>
      </c>
      <c r="P281" s="95">
        <v>1</v>
      </c>
      <c r="Q281" s="94" t="s">
        <v>383</v>
      </c>
      <c r="R281" s="95">
        <v>2</v>
      </c>
      <c r="S281" s="95">
        <v>260</v>
      </c>
      <c r="T281" s="95">
        <v>0</v>
      </c>
      <c r="U281" s="95">
        <v>0</v>
      </c>
      <c r="V281" s="95">
        <v>460</v>
      </c>
      <c r="W281" s="95">
        <v>950</v>
      </c>
      <c r="X281" s="97">
        <v>45091.375</v>
      </c>
      <c r="Y281" s="97">
        <v>45050.375</v>
      </c>
      <c r="Z281" s="97">
        <v>45010.375</v>
      </c>
      <c r="AA281" s="98"/>
    </row>
    <row r="282" spans="1:27" ht="15.75" hidden="1" customHeight="1">
      <c r="A282" s="94" t="s">
        <v>2995</v>
      </c>
      <c r="B282" s="94" t="s">
        <v>756</v>
      </c>
      <c r="C282" s="94" t="s">
        <v>202</v>
      </c>
      <c r="D282" s="95">
        <v>2504</v>
      </c>
      <c r="E282" s="94" t="s">
        <v>442</v>
      </c>
      <c r="F282" s="94" t="s">
        <v>40</v>
      </c>
      <c r="G282" s="95">
        <v>3</v>
      </c>
      <c r="H282" s="94" t="s">
        <v>13</v>
      </c>
      <c r="I282" s="94" t="s">
        <v>6923</v>
      </c>
      <c r="J282" s="94" t="s">
        <v>449</v>
      </c>
      <c r="K282" s="95">
        <v>30</v>
      </c>
      <c r="L282" s="95">
        <v>202</v>
      </c>
      <c r="M282" s="94"/>
      <c r="N282" s="96">
        <v>400000</v>
      </c>
      <c r="O282" s="95">
        <v>1980</v>
      </c>
      <c r="P282" s="95">
        <v>1</v>
      </c>
      <c r="Q282" s="94" t="s">
        <v>383</v>
      </c>
      <c r="R282" s="95">
        <v>2</v>
      </c>
      <c r="S282" s="95">
        <v>60</v>
      </c>
      <c r="T282" s="95">
        <v>0</v>
      </c>
      <c r="U282" s="95">
        <v>0</v>
      </c>
      <c r="V282" s="95">
        <v>460</v>
      </c>
      <c r="W282" s="95">
        <v>950</v>
      </c>
      <c r="X282" s="97">
        <v>45091.375</v>
      </c>
      <c r="Y282" s="97">
        <v>45050.375</v>
      </c>
      <c r="Z282" s="97">
        <v>45010.375</v>
      </c>
      <c r="AA282" s="98"/>
    </row>
    <row r="283" spans="1:27" ht="15.75" hidden="1" customHeight="1">
      <c r="A283" s="94" t="s">
        <v>2995</v>
      </c>
      <c r="B283" s="94" t="s">
        <v>756</v>
      </c>
      <c r="C283" s="94" t="s">
        <v>202</v>
      </c>
      <c r="D283" s="95">
        <v>2504</v>
      </c>
      <c r="E283" s="94" t="s">
        <v>431</v>
      </c>
      <c r="F283" s="94" t="s">
        <v>433</v>
      </c>
      <c r="G283" s="95">
        <v>18</v>
      </c>
      <c r="H283" s="94" t="s">
        <v>439</v>
      </c>
      <c r="I283" s="94" t="s">
        <v>6671</v>
      </c>
      <c r="J283" s="94" t="s">
        <v>440</v>
      </c>
      <c r="K283" s="95">
        <v>60</v>
      </c>
      <c r="L283" s="94"/>
      <c r="M283" s="95">
        <v>600</v>
      </c>
      <c r="N283" s="99" t="s">
        <v>435</v>
      </c>
      <c r="O283" s="94"/>
      <c r="P283" s="95">
        <v>1</v>
      </c>
      <c r="Q283" s="94" t="s">
        <v>436</v>
      </c>
      <c r="R283" s="95">
        <v>0</v>
      </c>
      <c r="S283" s="95">
        <v>0</v>
      </c>
      <c r="T283" s="95">
        <v>251</v>
      </c>
      <c r="U283" s="95">
        <v>51</v>
      </c>
      <c r="V283" s="95">
        <v>490</v>
      </c>
      <c r="W283" s="95">
        <v>950</v>
      </c>
      <c r="X283" s="97">
        <v>45091.375</v>
      </c>
      <c r="Y283" s="97">
        <v>45050.375</v>
      </c>
      <c r="Z283" s="97">
        <v>45010.375</v>
      </c>
      <c r="AA283" s="98"/>
    </row>
    <row r="284" spans="1:27" ht="15.75" hidden="1" customHeight="1">
      <c r="A284" s="94" t="s">
        <v>2995</v>
      </c>
      <c r="B284" s="94" t="s">
        <v>756</v>
      </c>
      <c r="C284" s="94" t="s">
        <v>202</v>
      </c>
      <c r="D284" s="95">
        <v>2504</v>
      </c>
      <c r="E284" s="94" t="s">
        <v>431</v>
      </c>
      <c r="F284" s="94" t="s">
        <v>433</v>
      </c>
      <c r="G284" s="95">
        <v>19</v>
      </c>
      <c r="H284" s="94" t="s">
        <v>368</v>
      </c>
      <c r="I284" s="94" t="s">
        <v>6236</v>
      </c>
      <c r="J284" s="94" t="s">
        <v>434</v>
      </c>
      <c r="K284" s="95">
        <v>60</v>
      </c>
      <c r="L284" s="94"/>
      <c r="M284" s="95">
        <v>630</v>
      </c>
      <c r="N284" s="99" t="s">
        <v>435</v>
      </c>
      <c r="O284" s="94"/>
      <c r="P284" s="95">
        <v>4</v>
      </c>
      <c r="Q284" s="94" t="s">
        <v>436</v>
      </c>
      <c r="R284" s="95">
        <v>0</v>
      </c>
      <c r="S284" s="95">
        <v>0</v>
      </c>
      <c r="T284" s="95">
        <v>239</v>
      </c>
      <c r="U284" s="95">
        <v>48</v>
      </c>
      <c r="V284" s="95">
        <v>490</v>
      </c>
      <c r="W284" s="95">
        <v>950</v>
      </c>
      <c r="X284" s="97">
        <v>45091.375</v>
      </c>
      <c r="Y284" s="97">
        <v>45050.375</v>
      </c>
      <c r="Z284" s="97">
        <v>45010.375</v>
      </c>
      <c r="AA284" s="98"/>
    </row>
    <row r="285" spans="1:27" ht="15.75" hidden="1" customHeight="1">
      <c r="A285" s="94" t="s">
        <v>3020</v>
      </c>
      <c r="B285" s="94" t="s">
        <v>755</v>
      </c>
      <c r="C285" s="94" t="s">
        <v>205</v>
      </c>
      <c r="D285" s="95">
        <v>2511</v>
      </c>
      <c r="E285" s="94" t="s">
        <v>442</v>
      </c>
      <c r="F285" s="94" t="s">
        <v>40</v>
      </c>
      <c r="G285" s="95">
        <v>2</v>
      </c>
      <c r="H285" s="94" t="s">
        <v>12</v>
      </c>
      <c r="I285" s="94" t="s">
        <v>6923</v>
      </c>
      <c r="J285" s="94" t="s">
        <v>449</v>
      </c>
      <c r="K285" s="95">
        <v>280</v>
      </c>
      <c r="L285" s="95">
        <v>100.3</v>
      </c>
      <c r="M285" s="94"/>
      <c r="N285" s="96">
        <v>412000</v>
      </c>
      <c r="O285" s="95">
        <v>4107</v>
      </c>
      <c r="P285" s="95">
        <v>1</v>
      </c>
      <c r="Q285" s="94" t="s">
        <v>383</v>
      </c>
      <c r="R285" s="95">
        <v>1</v>
      </c>
      <c r="S285" s="95">
        <v>280</v>
      </c>
      <c r="T285" s="95">
        <v>0</v>
      </c>
      <c r="U285" s="95">
        <v>0</v>
      </c>
      <c r="V285" s="95">
        <v>310</v>
      </c>
      <c r="W285" s="95">
        <v>645</v>
      </c>
      <c r="X285" s="97">
        <v>45082.375</v>
      </c>
      <c r="Y285" s="97">
        <v>45050.375</v>
      </c>
      <c r="Z285" s="97">
        <v>45010.375</v>
      </c>
      <c r="AA285" s="98"/>
    </row>
    <row r="286" spans="1:27" ht="15.75" hidden="1" customHeight="1">
      <c r="A286" s="94" t="s">
        <v>3020</v>
      </c>
      <c r="B286" s="94" t="s">
        <v>755</v>
      </c>
      <c r="C286" s="94" t="s">
        <v>205</v>
      </c>
      <c r="D286" s="95">
        <v>2511</v>
      </c>
      <c r="E286" s="94" t="s">
        <v>442</v>
      </c>
      <c r="F286" s="94" t="s">
        <v>40</v>
      </c>
      <c r="G286" s="95">
        <v>3</v>
      </c>
      <c r="H286" s="94" t="s">
        <v>13</v>
      </c>
      <c r="I286" s="94" t="s">
        <v>6923</v>
      </c>
      <c r="J286" s="94" t="s">
        <v>449</v>
      </c>
      <c r="K286" s="95">
        <v>30</v>
      </c>
      <c r="L286" s="95">
        <v>100.3</v>
      </c>
      <c r="M286" s="94"/>
      <c r="N286" s="96">
        <v>412000</v>
      </c>
      <c r="O286" s="95">
        <v>4107</v>
      </c>
      <c r="P286" s="95">
        <v>1</v>
      </c>
      <c r="Q286" s="94" t="s">
        <v>383</v>
      </c>
      <c r="R286" s="95">
        <v>1</v>
      </c>
      <c r="S286" s="95">
        <v>30</v>
      </c>
      <c r="T286" s="95">
        <v>0</v>
      </c>
      <c r="U286" s="95">
        <v>0</v>
      </c>
      <c r="V286" s="95">
        <v>310</v>
      </c>
      <c r="W286" s="95">
        <v>645</v>
      </c>
      <c r="X286" s="97">
        <v>45082.375</v>
      </c>
      <c r="Y286" s="97">
        <v>45050.375</v>
      </c>
      <c r="Z286" s="97">
        <v>45010.375</v>
      </c>
      <c r="AA286" s="98"/>
    </row>
    <row r="287" spans="1:27" ht="15.75" hidden="1" customHeight="1">
      <c r="A287" s="94" t="s">
        <v>3020</v>
      </c>
      <c r="B287" s="94" t="s">
        <v>755</v>
      </c>
      <c r="C287" s="94" t="s">
        <v>205</v>
      </c>
      <c r="D287" s="95">
        <v>2511</v>
      </c>
      <c r="E287" s="94" t="s">
        <v>431</v>
      </c>
      <c r="F287" s="94" t="s">
        <v>433</v>
      </c>
      <c r="G287" s="95">
        <v>19</v>
      </c>
      <c r="H287" s="94" t="s">
        <v>368</v>
      </c>
      <c r="I287" s="94" t="s">
        <v>6236</v>
      </c>
      <c r="J287" s="94" t="s">
        <v>434</v>
      </c>
      <c r="K287" s="95">
        <v>60</v>
      </c>
      <c r="L287" s="94"/>
      <c r="M287" s="95">
        <v>450</v>
      </c>
      <c r="N287" s="99" t="s">
        <v>435</v>
      </c>
      <c r="O287" s="94"/>
      <c r="P287" s="95">
        <v>3</v>
      </c>
      <c r="Q287" s="94" t="s">
        <v>436</v>
      </c>
      <c r="R287" s="95">
        <v>0</v>
      </c>
      <c r="S287" s="95">
        <v>0</v>
      </c>
      <c r="T287" s="95">
        <v>335</v>
      </c>
      <c r="U287" s="95">
        <v>67</v>
      </c>
      <c r="V287" s="95">
        <v>335</v>
      </c>
      <c r="W287" s="95">
        <v>645</v>
      </c>
      <c r="X287" s="97">
        <v>45082.375</v>
      </c>
      <c r="Y287" s="97">
        <v>45050.375</v>
      </c>
      <c r="Z287" s="97">
        <v>45010.375</v>
      </c>
      <c r="AA287" s="98"/>
    </row>
    <row r="288" spans="1:27" ht="15.75" hidden="1" customHeight="1">
      <c r="A288" s="94" t="s">
        <v>2914</v>
      </c>
      <c r="B288" s="94" t="s">
        <v>759</v>
      </c>
      <c r="C288" s="94" t="s">
        <v>208</v>
      </c>
      <c r="D288" s="95">
        <v>2500</v>
      </c>
      <c r="E288" s="94" t="s">
        <v>442</v>
      </c>
      <c r="F288" s="94" t="s">
        <v>33</v>
      </c>
      <c r="G288" s="95">
        <v>10</v>
      </c>
      <c r="H288" s="94" t="s">
        <v>11</v>
      </c>
      <c r="I288" s="94" t="s">
        <v>7228</v>
      </c>
      <c r="J288" s="94" t="s">
        <v>426</v>
      </c>
      <c r="K288" s="95">
        <v>90</v>
      </c>
      <c r="L288" s="95">
        <v>30.5</v>
      </c>
      <c r="M288" s="94"/>
      <c r="N288" s="95">
        <v>100000</v>
      </c>
      <c r="O288" s="95">
        <v>3278</v>
      </c>
      <c r="P288" s="95">
        <v>1</v>
      </c>
      <c r="Q288" s="94" t="s">
        <v>383</v>
      </c>
      <c r="R288" s="95">
        <v>1</v>
      </c>
      <c r="S288" s="95">
        <v>90</v>
      </c>
      <c r="T288" s="95">
        <v>0</v>
      </c>
      <c r="U288" s="95">
        <v>0</v>
      </c>
      <c r="V288" s="95">
        <v>150</v>
      </c>
      <c r="W288" s="95">
        <v>488</v>
      </c>
      <c r="X288" s="97">
        <v>45076.375</v>
      </c>
      <c r="Y288" s="97">
        <v>45010.375</v>
      </c>
      <c r="Z288" s="97">
        <v>45010.375</v>
      </c>
      <c r="AA288" s="98"/>
    </row>
    <row r="289" spans="1:27" ht="15.75" hidden="1" customHeight="1">
      <c r="A289" s="94" t="s">
        <v>2914</v>
      </c>
      <c r="B289" s="94" t="s">
        <v>759</v>
      </c>
      <c r="C289" s="94" t="s">
        <v>208</v>
      </c>
      <c r="D289" s="95">
        <v>2500</v>
      </c>
      <c r="E289" s="94" t="s">
        <v>442</v>
      </c>
      <c r="F289" s="94" t="s">
        <v>33</v>
      </c>
      <c r="G289" s="95">
        <v>11</v>
      </c>
      <c r="H289" s="94" t="s">
        <v>12</v>
      </c>
      <c r="I289" s="94" t="s">
        <v>6923</v>
      </c>
      <c r="J289" s="94" t="s">
        <v>444</v>
      </c>
      <c r="K289" s="95">
        <v>50</v>
      </c>
      <c r="L289" s="95">
        <v>30.5</v>
      </c>
      <c r="M289" s="94"/>
      <c r="N289" s="96">
        <v>100000</v>
      </c>
      <c r="O289" s="95">
        <v>3278</v>
      </c>
      <c r="P289" s="95">
        <v>1</v>
      </c>
      <c r="Q289" s="94" t="s">
        <v>383</v>
      </c>
      <c r="R289" s="95">
        <v>1</v>
      </c>
      <c r="S289" s="95">
        <v>50</v>
      </c>
      <c r="T289" s="95">
        <v>0</v>
      </c>
      <c r="U289" s="95">
        <v>0</v>
      </c>
      <c r="V289" s="95">
        <v>150</v>
      </c>
      <c r="W289" s="95">
        <v>488</v>
      </c>
      <c r="X289" s="97">
        <v>45076.375</v>
      </c>
      <c r="Y289" s="97">
        <v>45010.375</v>
      </c>
      <c r="Z289" s="97">
        <v>45010.375</v>
      </c>
      <c r="AA289" s="98"/>
    </row>
    <row r="290" spans="1:27" ht="15.75" hidden="1" customHeight="1">
      <c r="A290" s="94" t="s">
        <v>2914</v>
      </c>
      <c r="B290" s="94" t="s">
        <v>759</v>
      </c>
      <c r="C290" s="94" t="s">
        <v>208</v>
      </c>
      <c r="D290" s="95">
        <v>2500</v>
      </c>
      <c r="E290" s="94" t="s">
        <v>442</v>
      </c>
      <c r="F290" s="94" t="s">
        <v>33</v>
      </c>
      <c r="G290" s="95">
        <v>12</v>
      </c>
      <c r="H290" s="94" t="s">
        <v>13</v>
      </c>
      <c r="I290" s="94" t="s">
        <v>6923</v>
      </c>
      <c r="J290" s="94" t="s">
        <v>444</v>
      </c>
      <c r="K290" s="95">
        <v>10</v>
      </c>
      <c r="L290" s="95">
        <v>30.5</v>
      </c>
      <c r="M290" s="94"/>
      <c r="N290" s="96">
        <v>100000</v>
      </c>
      <c r="O290" s="95">
        <v>3278</v>
      </c>
      <c r="P290" s="95">
        <v>1</v>
      </c>
      <c r="Q290" s="94" t="s">
        <v>383</v>
      </c>
      <c r="R290" s="95">
        <v>1</v>
      </c>
      <c r="S290" s="95">
        <v>10</v>
      </c>
      <c r="T290" s="95">
        <v>0</v>
      </c>
      <c r="U290" s="95">
        <v>0</v>
      </c>
      <c r="V290" s="95">
        <v>150</v>
      </c>
      <c r="W290" s="95">
        <v>488</v>
      </c>
      <c r="X290" s="97">
        <v>45076.375</v>
      </c>
      <c r="Y290" s="97">
        <v>45010.375</v>
      </c>
      <c r="Z290" s="97">
        <v>45010.375</v>
      </c>
      <c r="AA290" s="98"/>
    </row>
    <row r="291" spans="1:27" ht="15.75" hidden="1" customHeight="1">
      <c r="A291" s="94" t="s">
        <v>2914</v>
      </c>
      <c r="B291" s="94" t="s">
        <v>759</v>
      </c>
      <c r="C291" s="94" t="s">
        <v>208</v>
      </c>
      <c r="D291" s="95">
        <v>2500</v>
      </c>
      <c r="E291" s="94" t="s">
        <v>431</v>
      </c>
      <c r="F291" s="94" t="s">
        <v>433</v>
      </c>
      <c r="G291" s="95">
        <v>18</v>
      </c>
      <c r="H291" s="94" t="s">
        <v>439</v>
      </c>
      <c r="I291" s="94" t="s">
        <v>6671</v>
      </c>
      <c r="J291" s="94" t="s">
        <v>440</v>
      </c>
      <c r="K291" s="95">
        <v>60</v>
      </c>
      <c r="L291" s="94"/>
      <c r="M291" s="95">
        <v>800</v>
      </c>
      <c r="N291" s="94" t="s">
        <v>435</v>
      </c>
      <c r="O291" s="94"/>
      <c r="P291" s="95">
        <v>1</v>
      </c>
      <c r="Q291" s="94" t="s">
        <v>436</v>
      </c>
      <c r="R291" s="95">
        <v>0</v>
      </c>
      <c r="S291" s="95">
        <v>0</v>
      </c>
      <c r="T291" s="95">
        <v>188</v>
      </c>
      <c r="U291" s="95">
        <v>38</v>
      </c>
      <c r="V291" s="95">
        <v>338</v>
      </c>
      <c r="W291" s="95">
        <v>488</v>
      </c>
      <c r="X291" s="97">
        <v>45076.375</v>
      </c>
      <c r="Y291" s="97">
        <v>45010.375</v>
      </c>
      <c r="Z291" s="97">
        <v>45010.375</v>
      </c>
      <c r="AA291" s="98"/>
    </row>
    <row r="292" spans="1:27" ht="15.75" hidden="1" customHeight="1">
      <c r="A292" s="94" t="s">
        <v>2914</v>
      </c>
      <c r="B292" s="94" t="s">
        <v>759</v>
      </c>
      <c r="C292" s="94" t="s">
        <v>208</v>
      </c>
      <c r="D292" s="95">
        <v>2500</v>
      </c>
      <c r="E292" s="94" t="s">
        <v>431</v>
      </c>
      <c r="F292" s="94" t="s">
        <v>433</v>
      </c>
      <c r="G292" s="95">
        <v>19</v>
      </c>
      <c r="H292" s="94" t="s">
        <v>368</v>
      </c>
      <c r="I292" s="94" t="s">
        <v>6236</v>
      </c>
      <c r="J292" s="94" t="s">
        <v>434</v>
      </c>
      <c r="K292" s="95">
        <v>60</v>
      </c>
      <c r="L292" s="94"/>
      <c r="M292" s="95">
        <v>1000</v>
      </c>
      <c r="N292" s="99" t="s">
        <v>435</v>
      </c>
      <c r="O292" s="94"/>
      <c r="P292" s="95">
        <v>4</v>
      </c>
      <c r="Q292" s="94" t="s">
        <v>436</v>
      </c>
      <c r="R292" s="95">
        <v>0</v>
      </c>
      <c r="S292" s="95">
        <v>0</v>
      </c>
      <c r="T292" s="95">
        <v>150</v>
      </c>
      <c r="U292" s="95">
        <v>30</v>
      </c>
      <c r="V292" s="95">
        <v>338</v>
      </c>
      <c r="W292" s="95">
        <v>488</v>
      </c>
      <c r="X292" s="97">
        <v>45076.375</v>
      </c>
      <c r="Y292" s="97">
        <v>45010.375</v>
      </c>
      <c r="Z292" s="97">
        <v>45010.375</v>
      </c>
      <c r="AA292" s="98"/>
    </row>
    <row r="293" spans="1:27" ht="15.75" hidden="1" customHeight="1">
      <c r="A293" s="94" t="s">
        <v>3031</v>
      </c>
      <c r="B293" s="94" t="s">
        <v>757</v>
      </c>
      <c r="C293" s="94" t="s">
        <v>211</v>
      </c>
      <c r="D293" s="95">
        <v>2500</v>
      </c>
      <c r="E293" s="94" t="s">
        <v>424</v>
      </c>
      <c r="F293" s="94" t="s">
        <v>48</v>
      </c>
      <c r="G293" s="95">
        <v>4</v>
      </c>
      <c r="H293" s="94" t="s">
        <v>11</v>
      </c>
      <c r="I293" s="94" t="s">
        <v>7228</v>
      </c>
      <c r="J293" s="94" t="s">
        <v>426</v>
      </c>
      <c r="K293" s="95">
        <v>30</v>
      </c>
      <c r="L293" s="95">
        <v>100</v>
      </c>
      <c r="M293" s="94"/>
      <c r="N293" s="96">
        <v>52000</v>
      </c>
      <c r="O293" s="95">
        <v>520</v>
      </c>
      <c r="P293" s="95">
        <v>1</v>
      </c>
      <c r="Q293" s="94" t="s">
        <v>383</v>
      </c>
      <c r="R293" s="95">
        <v>5</v>
      </c>
      <c r="S293" s="95">
        <v>150</v>
      </c>
      <c r="T293" s="95">
        <v>0</v>
      </c>
      <c r="U293" s="95">
        <v>0</v>
      </c>
      <c r="V293" s="95">
        <v>985</v>
      </c>
      <c r="W293" s="95">
        <v>1385</v>
      </c>
      <c r="X293" s="97">
        <v>45084.375</v>
      </c>
      <c r="Y293" s="97">
        <v>45050.375</v>
      </c>
      <c r="Z293" s="97">
        <v>45010.375</v>
      </c>
      <c r="AA293" s="98"/>
    </row>
    <row r="294" spans="1:27" ht="15.75" hidden="1" customHeight="1">
      <c r="A294" s="94" t="s">
        <v>3031</v>
      </c>
      <c r="B294" s="94" t="s">
        <v>757</v>
      </c>
      <c r="C294" s="94" t="s">
        <v>211</v>
      </c>
      <c r="D294" s="95">
        <v>2500</v>
      </c>
      <c r="E294" s="94" t="s">
        <v>424</v>
      </c>
      <c r="F294" s="94" t="s">
        <v>48</v>
      </c>
      <c r="G294" s="95">
        <v>5</v>
      </c>
      <c r="H294" s="94" t="s">
        <v>12</v>
      </c>
      <c r="I294" s="94" t="s">
        <v>6923</v>
      </c>
      <c r="J294" s="94" t="s">
        <v>427</v>
      </c>
      <c r="K294" s="95">
        <v>155</v>
      </c>
      <c r="L294" s="95">
        <v>100</v>
      </c>
      <c r="M294" s="94"/>
      <c r="N294" s="96">
        <v>52000</v>
      </c>
      <c r="O294" s="95">
        <v>520</v>
      </c>
      <c r="P294" s="95">
        <v>1</v>
      </c>
      <c r="Q294" s="94" t="s">
        <v>383</v>
      </c>
      <c r="R294" s="95">
        <v>5</v>
      </c>
      <c r="S294" s="95">
        <v>775</v>
      </c>
      <c r="T294" s="95">
        <v>0</v>
      </c>
      <c r="U294" s="95">
        <v>0</v>
      </c>
      <c r="V294" s="95">
        <v>985</v>
      </c>
      <c r="W294" s="95">
        <v>1385</v>
      </c>
      <c r="X294" s="97">
        <v>45084.375</v>
      </c>
      <c r="Y294" s="97">
        <v>45050.375</v>
      </c>
      <c r="Z294" s="97">
        <v>45010.375</v>
      </c>
      <c r="AA294" s="98"/>
    </row>
    <row r="295" spans="1:27" ht="15.75" hidden="1" customHeight="1">
      <c r="A295" s="94" t="s">
        <v>3031</v>
      </c>
      <c r="B295" s="94" t="s">
        <v>757</v>
      </c>
      <c r="C295" s="94" t="s">
        <v>211</v>
      </c>
      <c r="D295" s="95">
        <v>2500</v>
      </c>
      <c r="E295" s="94" t="s">
        <v>424</v>
      </c>
      <c r="F295" s="94" t="s">
        <v>48</v>
      </c>
      <c r="G295" s="95">
        <v>6</v>
      </c>
      <c r="H295" s="94" t="s">
        <v>13</v>
      </c>
      <c r="I295" s="94" t="s">
        <v>6923</v>
      </c>
      <c r="J295" s="94" t="s">
        <v>427</v>
      </c>
      <c r="K295" s="95">
        <v>40</v>
      </c>
      <c r="L295" s="95">
        <v>100</v>
      </c>
      <c r="M295" s="94"/>
      <c r="N295" s="96">
        <v>52000</v>
      </c>
      <c r="O295" s="95">
        <v>520</v>
      </c>
      <c r="P295" s="95">
        <v>1</v>
      </c>
      <c r="Q295" s="94" t="s">
        <v>383</v>
      </c>
      <c r="R295" s="95">
        <v>5</v>
      </c>
      <c r="S295" s="95">
        <v>60</v>
      </c>
      <c r="T295" s="95">
        <v>0</v>
      </c>
      <c r="U295" s="95">
        <v>0</v>
      </c>
      <c r="V295" s="95">
        <v>985</v>
      </c>
      <c r="W295" s="95">
        <v>1385</v>
      </c>
      <c r="X295" s="97">
        <v>45084.375</v>
      </c>
      <c r="Y295" s="97">
        <v>45050.375</v>
      </c>
      <c r="Z295" s="97">
        <v>45010.375</v>
      </c>
      <c r="AA295" s="98"/>
    </row>
    <row r="296" spans="1:27" ht="15.75" hidden="1" customHeight="1">
      <c r="A296" s="94" t="s">
        <v>3031</v>
      </c>
      <c r="B296" s="94" t="s">
        <v>757</v>
      </c>
      <c r="C296" s="94" t="s">
        <v>211</v>
      </c>
      <c r="D296" s="95">
        <v>2500</v>
      </c>
      <c r="E296" s="94" t="s">
        <v>431</v>
      </c>
      <c r="F296" s="94" t="s">
        <v>433</v>
      </c>
      <c r="G296" s="95">
        <v>18</v>
      </c>
      <c r="H296" s="94" t="s">
        <v>439</v>
      </c>
      <c r="I296" s="94" t="s">
        <v>6671</v>
      </c>
      <c r="J296" s="94" t="s">
        <v>440</v>
      </c>
      <c r="K296" s="95">
        <v>60</v>
      </c>
      <c r="L296" s="94"/>
      <c r="M296" s="95">
        <v>1000</v>
      </c>
      <c r="N296" s="99" t="s">
        <v>435</v>
      </c>
      <c r="O296" s="94"/>
      <c r="P296" s="95">
        <v>1</v>
      </c>
      <c r="Q296" s="94" t="s">
        <v>436</v>
      </c>
      <c r="R296" s="95">
        <v>0</v>
      </c>
      <c r="S296" s="95">
        <v>0</v>
      </c>
      <c r="T296" s="95">
        <v>150</v>
      </c>
      <c r="U296" s="95">
        <v>30</v>
      </c>
      <c r="V296" s="95">
        <v>400</v>
      </c>
      <c r="W296" s="95">
        <v>1385</v>
      </c>
      <c r="X296" s="97">
        <v>45084.375</v>
      </c>
      <c r="Y296" s="97">
        <v>45050.375</v>
      </c>
      <c r="Z296" s="97">
        <v>45010.375</v>
      </c>
      <c r="AA296" s="98"/>
    </row>
    <row r="297" spans="1:27" ht="15.75" hidden="1" customHeight="1">
      <c r="A297" s="94" t="s">
        <v>3031</v>
      </c>
      <c r="B297" s="94" t="s">
        <v>757</v>
      </c>
      <c r="C297" s="94" t="s">
        <v>211</v>
      </c>
      <c r="D297" s="95">
        <v>2500</v>
      </c>
      <c r="E297" s="94" t="s">
        <v>431</v>
      </c>
      <c r="F297" s="94" t="s">
        <v>433</v>
      </c>
      <c r="G297" s="95">
        <v>19</v>
      </c>
      <c r="H297" s="94" t="s">
        <v>368</v>
      </c>
      <c r="I297" s="94" t="s">
        <v>6236</v>
      </c>
      <c r="J297" s="94" t="s">
        <v>434</v>
      </c>
      <c r="K297" s="95">
        <v>60</v>
      </c>
      <c r="L297" s="94"/>
      <c r="M297" s="95">
        <v>600</v>
      </c>
      <c r="N297" s="99" t="s">
        <v>435</v>
      </c>
      <c r="O297" s="94"/>
      <c r="P297" s="95">
        <v>4</v>
      </c>
      <c r="Q297" s="94" t="s">
        <v>436</v>
      </c>
      <c r="R297" s="95">
        <v>0</v>
      </c>
      <c r="S297" s="95">
        <v>0</v>
      </c>
      <c r="T297" s="95">
        <v>250</v>
      </c>
      <c r="U297" s="95">
        <v>50</v>
      </c>
      <c r="V297" s="95">
        <v>400</v>
      </c>
      <c r="W297" s="95">
        <v>1385</v>
      </c>
      <c r="X297" s="97">
        <v>45084.375</v>
      </c>
      <c r="Y297" s="97">
        <v>45050.375</v>
      </c>
      <c r="Z297" s="97">
        <v>45010.375</v>
      </c>
      <c r="AA297" s="98"/>
    </row>
    <row r="298" spans="1:27" ht="15.75" hidden="1" customHeight="1">
      <c r="A298" s="94" t="s">
        <v>2825</v>
      </c>
      <c r="B298" s="94" t="s">
        <v>758</v>
      </c>
      <c r="C298" s="94" t="s">
        <v>214</v>
      </c>
      <c r="D298" s="95">
        <v>5100</v>
      </c>
      <c r="E298" s="94" t="s">
        <v>442</v>
      </c>
      <c r="F298" s="94" t="s">
        <v>40</v>
      </c>
      <c r="G298" s="95">
        <v>1</v>
      </c>
      <c r="H298" s="94" t="s">
        <v>11</v>
      </c>
      <c r="I298" s="94" t="s">
        <v>7228</v>
      </c>
      <c r="J298" s="94" t="s">
        <v>426</v>
      </c>
      <c r="K298" s="95">
        <v>25</v>
      </c>
      <c r="L298" s="95">
        <v>25.3</v>
      </c>
      <c r="M298" s="94"/>
      <c r="N298" s="95">
        <v>400000</v>
      </c>
      <c r="O298" s="95">
        <v>15810</v>
      </c>
      <c r="P298" s="95">
        <v>1</v>
      </c>
      <c r="Q298" s="94" t="s">
        <v>383</v>
      </c>
      <c r="R298" s="95">
        <v>1</v>
      </c>
      <c r="S298" s="95">
        <v>25</v>
      </c>
      <c r="T298" s="95">
        <v>0</v>
      </c>
      <c r="U298" s="95">
        <v>0</v>
      </c>
      <c r="V298" s="95">
        <v>170</v>
      </c>
      <c r="W298" s="95">
        <v>385</v>
      </c>
      <c r="X298" s="97">
        <v>45082.375</v>
      </c>
      <c r="Y298" s="97">
        <v>45050.375</v>
      </c>
      <c r="Z298" s="97">
        <v>45010.375</v>
      </c>
      <c r="AA298" s="98"/>
    </row>
    <row r="299" spans="1:27" ht="15.75" hidden="1" customHeight="1">
      <c r="A299" s="94" t="s">
        <v>2825</v>
      </c>
      <c r="B299" s="94" t="s">
        <v>758</v>
      </c>
      <c r="C299" s="94" t="s">
        <v>214</v>
      </c>
      <c r="D299" s="95">
        <v>5100</v>
      </c>
      <c r="E299" s="94" t="s">
        <v>442</v>
      </c>
      <c r="F299" s="94" t="s">
        <v>40</v>
      </c>
      <c r="G299" s="95">
        <v>2</v>
      </c>
      <c r="H299" s="94" t="s">
        <v>12</v>
      </c>
      <c r="I299" s="94" t="s">
        <v>6923</v>
      </c>
      <c r="J299" s="94" t="s">
        <v>449</v>
      </c>
      <c r="K299" s="95">
        <v>115</v>
      </c>
      <c r="L299" s="95">
        <v>25.3</v>
      </c>
      <c r="M299" s="94"/>
      <c r="N299" s="96">
        <v>400000</v>
      </c>
      <c r="O299" s="95">
        <v>15810</v>
      </c>
      <c r="P299" s="95">
        <v>1</v>
      </c>
      <c r="Q299" s="94" t="s">
        <v>383</v>
      </c>
      <c r="R299" s="95">
        <v>1</v>
      </c>
      <c r="S299" s="95">
        <v>115</v>
      </c>
      <c r="T299" s="95">
        <v>0</v>
      </c>
      <c r="U299" s="95">
        <v>0</v>
      </c>
      <c r="V299" s="95">
        <v>170</v>
      </c>
      <c r="W299" s="95">
        <v>385</v>
      </c>
      <c r="X299" s="97">
        <v>45082.375</v>
      </c>
      <c r="Y299" s="97">
        <v>45050.375</v>
      </c>
      <c r="Z299" s="97">
        <v>45010.375</v>
      </c>
      <c r="AA299" s="98"/>
    </row>
    <row r="300" spans="1:27" ht="15.75" hidden="1" customHeight="1">
      <c r="A300" s="94" t="s">
        <v>2825</v>
      </c>
      <c r="B300" s="94" t="s">
        <v>758</v>
      </c>
      <c r="C300" s="94" t="s">
        <v>214</v>
      </c>
      <c r="D300" s="95">
        <v>5100</v>
      </c>
      <c r="E300" s="94" t="s">
        <v>442</v>
      </c>
      <c r="F300" s="94" t="s">
        <v>40</v>
      </c>
      <c r="G300" s="95">
        <v>3</v>
      </c>
      <c r="H300" s="94" t="s">
        <v>13</v>
      </c>
      <c r="I300" s="94" t="s">
        <v>6923</v>
      </c>
      <c r="J300" s="94" t="s">
        <v>449</v>
      </c>
      <c r="K300" s="95">
        <v>30</v>
      </c>
      <c r="L300" s="95">
        <v>25.3</v>
      </c>
      <c r="M300" s="94"/>
      <c r="N300" s="95">
        <v>400000</v>
      </c>
      <c r="O300" s="95">
        <v>15810</v>
      </c>
      <c r="P300" s="95">
        <v>1</v>
      </c>
      <c r="Q300" s="94" t="s">
        <v>383</v>
      </c>
      <c r="R300" s="95">
        <v>1</v>
      </c>
      <c r="S300" s="95">
        <v>30</v>
      </c>
      <c r="T300" s="95">
        <v>0</v>
      </c>
      <c r="U300" s="95">
        <v>0</v>
      </c>
      <c r="V300" s="95">
        <v>170</v>
      </c>
      <c r="W300" s="95">
        <v>385</v>
      </c>
      <c r="X300" s="97">
        <v>45082.375</v>
      </c>
      <c r="Y300" s="97">
        <v>45050.375</v>
      </c>
      <c r="Z300" s="97">
        <v>45010.375</v>
      </c>
      <c r="AA300" s="98"/>
    </row>
    <row r="301" spans="1:27" ht="15.75" hidden="1" customHeight="1">
      <c r="A301" s="94" t="s">
        <v>2825</v>
      </c>
      <c r="B301" s="94" t="s">
        <v>758</v>
      </c>
      <c r="C301" s="94" t="s">
        <v>214</v>
      </c>
      <c r="D301" s="95">
        <v>5100</v>
      </c>
      <c r="E301" s="94" t="s">
        <v>431</v>
      </c>
      <c r="F301" s="94" t="s">
        <v>433</v>
      </c>
      <c r="G301" s="95">
        <v>19</v>
      </c>
      <c r="H301" s="94" t="s">
        <v>368</v>
      </c>
      <c r="I301" s="94" t="s">
        <v>6236</v>
      </c>
      <c r="J301" s="94" t="s">
        <v>434</v>
      </c>
      <c r="K301" s="95">
        <v>60</v>
      </c>
      <c r="L301" s="94"/>
      <c r="M301" s="95">
        <v>1428</v>
      </c>
      <c r="N301" s="94" t="s">
        <v>435</v>
      </c>
      <c r="O301" s="94"/>
      <c r="P301" s="95">
        <v>1</v>
      </c>
      <c r="Q301" s="94" t="s">
        <v>436</v>
      </c>
      <c r="R301" s="95">
        <v>0</v>
      </c>
      <c r="S301" s="95">
        <v>0</v>
      </c>
      <c r="T301" s="95">
        <v>215</v>
      </c>
      <c r="U301" s="95">
        <v>43</v>
      </c>
      <c r="V301" s="95">
        <v>215</v>
      </c>
      <c r="W301" s="95">
        <v>385</v>
      </c>
      <c r="X301" s="97">
        <v>45082.375</v>
      </c>
      <c r="Y301" s="97">
        <v>45050.375</v>
      </c>
      <c r="Z301" s="97">
        <v>45010.375</v>
      </c>
      <c r="AA301" s="98"/>
    </row>
    <row r="302" spans="1:27" ht="15.75" hidden="1" customHeight="1">
      <c r="A302" s="94" t="s">
        <v>2979</v>
      </c>
      <c r="B302" s="94" t="s">
        <v>527</v>
      </c>
      <c r="C302" s="94" t="s">
        <v>218</v>
      </c>
      <c r="D302" s="95">
        <v>2500</v>
      </c>
      <c r="E302" s="94" t="s">
        <v>442</v>
      </c>
      <c r="F302" s="94" t="s">
        <v>33</v>
      </c>
      <c r="G302" s="95">
        <v>10</v>
      </c>
      <c r="H302" s="94" t="s">
        <v>11</v>
      </c>
      <c r="I302" s="94" t="s">
        <v>7228</v>
      </c>
      <c r="J302" s="94" t="s">
        <v>426</v>
      </c>
      <c r="K302" s="95">
        <v>45</v>
      </c>
      <c r="L302" s="95">
        <v>51.5</v>
      </c>
      <c r="M302" s="94"/>
      <c r="N302" s="96">
        <v>79500</v>
      </c>
      <c r="O302" s="95">
        <v>1543</v>
      </c>
      <c r="P302" s="95">
        <v>1</v>
      </c>
      <c r="Q302" s="94" t="s">
        <v>383</v>
      </c>
      <c r="R302" s="95">
        <v>2</v>
      </c>
      <c r="S302" s="95">
        <v>90</v>
      </c>
      <c r="T302" s="95">
        <v>0</v>
      </c>
      <c r="U302" s="95">
        <v>0</v>
      </c>
      <c r="V302" s="95">
        <v>340</v>
      </c>
      <c r="W302" s="95">
        <v>555</v>
      </c>
      <c r="X302" s="97">
        <v>45094.375</v>
      </c>
      <c r="Y302" s="97">
        <v>45069.375</v>
      </c>
      <c r="Z302" s="97">
        <v>45057.375</v>
      </c>
      <c r="AA302" s="98"/>
    </row>
    <row r="303" spans="1:27" ht="15.75" hidden="1" customHeight="1">
      <c r="A303" s="94" t="s">
        <v>2979</v>
      </c>
      <c r="B303" s="94" t="s">
        <v>527</v>
      </c>
      <c r="C303" s="94" t="s">
        <v>218</v>
      </c>
      <c r="D303" s="95">
        <v>2500</v>
      </c>
      <c r="E303" s="94" t="s">
        <v>442</v>
      </c>
      <c r="F303" s="94" t="s">
        <v>33</v>
      </c>
      <c r="G303" s="95">
        <v>11</v>
      </c>
      <c r="H303" s="94" t="s">
        <v>12</v>
      </c>
      <c r="I303" s="94" t="s">
        <v>6923</v>
      </c>
      <c r="J303" s="94" t="s">
        <v>444</v>
      </c>
      <c r="K303" s="95">
        <v>105</v>
      </c>
      <c r="L303" s="95">
        <v>51.5</v>
      </c>
      <c r="M303" s="94"/>
      <c r="N303" s="95">
        <v>79500</v>
      </c>
      <c r="O303" s="95">
        <v>1543</v>
      </c>
      <c r="P303" s="95">
        <v>1</v>
      </c>
      <c r="Q303" s="94" t="s">
        <v>383</v>
      </c>
      <c r="R303" s="95">
        <v>2</v>
      </c>
      <c r="S303" s="95">
        <v>210</v>
      </c>
      <c r="T303" s="95">
        <v>0</v>
      </c>
      <c r="U303" s="95">
        <v>0</v>
      </c>
      <c r="V303" s="95">
        <v>340</v>
      </c>
      <c r="W303" s="95">
        <v>555</v>
      </c>
      <c r="X303" s="97">
        <v>45094.375</v>
      </c>
      <c r="Y303" s="97">
        <v>45069.375</v>
      </c>
      <c r="Z303" s="97">
        <v>45057.375</v>
      </c>
      <c r="AA303" s="98"/>
    </row>
    <row r="304" spans="1:27" ht="15.75" hidden="1" customHeight="1">
      <c r="A304" s="94" t="s">
        <v>2979</v>
      </c>
      <c r="B304" s="94" t="s">
        <v>527</v>
      </c>
      <c r="C304" s="94" t="s">
        <v>218</v>
      </c>
      <c r="D304" s="95">
        <v>2500</v>
      </c>
      <c r="E304" s="94" t="s">
        <v>442</v>
      </c>
      <c r="F304" s="94" t="s">
        <v>33</v>
      </c>
      <c r="G304" s="95">
        <v>12</v>
      </c>
      <c r="H304" s="94" t="s">
        <v>13</v>
      </c>
      <c r="I304" s="94" t="s">
        <v>6923</v>
      </c>
      <c r="J304" s="94" t="s">
        <v>444</v>
      </c>
      <c r="K304" s="95">
        <v>20</v>
      </c>
      <c r="L304" s="95">
        <v>51.5</v>
      </c>
      <c r="M304" s="94"/>
      <c r="N304" s="95">
        <v>79500</v>
      </c>
      <c r="O304" s="95">
        <v>1543</v>
      </c>
      <c r="P304" s="95">
        <v>1</v>
      </c>
      <c r="Q304" s="94" t="s">
        <v>383</v>
      </c>
      <c r="R304" s="95">
        <v>2</v>
      </c>
      <c r="S304" s="95">
        <v>40</v>
      </c>
      <c r="T304" s="95">
        <v>0</v>
      </c>
      <c r="U304" s="95">
        <v>0</v>
      </c>
      <c r="V304" s="95">
        <v>340</v>
      </c>
      <c r="W304" s="95">
        <v>555</v>
      </c>
      <c r="X304" s="97">
        <v>45094.375</v>
      </c>
      <c r="Y304" s="97">
        <v>45069.375</v>
      </c>
      <c r="Z304" s="97">
        <v>45057.375</v>
      </c>
      <c r="AA304" s="98"/>
    </row>
    <row r="305" spans="1:27" ht="15.75" hidden="1" customHeight="1">
      <c r="A305" s="94" t="s">
        <v>2979</v>
      </c>
      <c r="B305" s="94" t="s">
        <v>527</v>
      </c>
      <c r="C305" s="94" t="s">
        <v>218</v>
      </c>
      <c r="D305" s="95">
        <v>2500</v>
      </c>
      <c r="E305" s="94" t="s">
        <v>431</v>
      </c>
      <c r="F305" s="94" t="s">
        <v>433</v>
      </c>
      <c r="G305" s="95">
        <v>19</v>
      </c>
      <c r="H305" s="94" t="s">
        <v>368</v>
      </c>
      <c r="I305" s="94" t="s">
        <v>6236</v>
      </c>
      <c r="J305" s="94" t="s">
        <v>434</v>
      </c>
      <c r="K305" s="95">
        <v>60</v>
      </c>
      <c r="L305" s="94"/>
      <c r="M305" s="95">
        <v>700</v>
      </c>
      <c r="N305" s="94" t="s">
        <v>435</v>
      </c>
      <c r="O305" s="94"/>
      <c r="P305" s="95">
        <v>3</v>
      </c>
      <c r="Q305" s="94" t="s">
        <v>436</v>
      </c>
      <c r="R305" s="95">
        <v>0</v>
      </c>
      <c r="S305" s="95">
        <v>0</v>
      </c>
      <c r="T305" s="95">
        <v>215</v>
      </c>
      <c r="U305" s="95">
        <v>43</v>
      </c>
      <c r="V305" s="95">
        <v>215</v>
      </c>
      <c r="W305" s="95">
        <v>555</v>
      </c>
      <c r="X305" s="97">
        <v>45094.375</v>
      </c>
      <c r="Y305" s="97">
        <v>45069.375</v>
      </c>
      <c r="Z305" s="97">
        <v>45057.375</v>
      </c>
      <c r="AA305" s="98"/>
    </row>
    <row r="306" spans="1:27" ht="15.75" hidden="1" customHeight="1">
      <c r="A306" s="94" t="s">
        <v>2883</v>
      </c>
      <c r="B306" s="94" t="s">
        <v>456</v>
      </c>
      <c r="C306" s="94" t="s">
        <v>36</v>
      </c>
      <c r="D306" s="95">
        <v>40</v>
      </c>
      <c r="E306" s="94" t="s">
        <v>442</v>
      </c>
      <c r="F306" s="94" t="s">
        <v>33</v>
      </c>
      <c r="G306" s="95">
        <v>10</v>
      </c>
      <c r="H306" s="94" t="s">
        <v>11</v>
      </c>
      <c r="I306" s="94" t="s">
        <v>7228</v>
      </c>
      <c r="J306" s="94" t="s">
        <v>426</v>
      </c>
      <c r="K306" s="95">
        <v>65</v>
      </c>
      <c r="L306" s="95">
        <v>99.1</v>
      </c>
      <c r="M306" s="94"/>
      <c r="N306" s="96">
        <v>18000</v>
      </c>
      <c r="O306" s="95">
        <v>181</v>
      </c>
      <c r="P306" s="95">
        <v>1</v>
      </c>
      <c r="Q306" s="94" t="s">
        <v>383</v>
      </c>
      <c r="R306" s="95">
        <v>1</v>
      </c>
      <c r="S306" s="95">
        <v>65</v>
      </c>
      <c r="T306" s="95">
        <v>0</v>
      </c>
      <c r="U306" s="95">
        <v>0</v>
      </c>
      <c r="V306" s="95">
        <v>150</v>
      </c>
      <c r="W306" s="95">
        <v>160</v>
      </c>
      <c r="X306" s="97">
        <v>45097.375</v>
      </c>
      <c r="Y306" s="97">
        <v>45063.375</v>
      </c>
      <c r="Z306" s="97">
        <v>45055.375</v>
      </c>
      <c r="AA306" s="98"/>
    </row>
    <row r="307" spans="1:27" ht="15.75" hidden="1" customHeight="1">
      <c r="A307" s="94" t="s">
        <v>2883</v>
      </c>
      <c r="B307" s="94" t="s">
        <v>456</v>
      </c>
      <c r="C307" s="94" t="s">
        <v>36</v>
      </c>
      <c r="D307" s="95">
        <v>40</v>
      </c>
      <c r="E307" s="94" t="s">
        <v>442</v>
      </c>
      <c r="F307" s="94" t="s">
        <v>33</v>
      </c>
      <c r="G307" s="95">
        <v>11</v>
      </c>
      <c r="H307" s="94" t="s">
        <v>12</v>
      </c>
      <c r="I307" s="94" t="s">
        <v>6923</v>
      </c>
      <c r="J307" s="94" t="s">
        <v>444</v>
      </c>
      <c r="K307" s="95">
        <v>65</v>
      </c>
      <c r="L307" s="95">
        <v>99.1</v>
      </c>
      <c r="M307" s="94"/>
      <c r="N307" s="96">
        <v>18000</v>
      </c>
      <c r="O307" s="95">
        <v>181</v>
      </c>
      <c r="P307" s="95">
        <v>1</v>
      </c>
      <c r="Q307" s="94" t="s">
        <v>383</v>
      </c>
      <c r="R307" s="95">
        <v>1</v>
      </c>
      <c r="S307" s="95">
        <v>65</v>
      </c>
      <c r="T307" s="95">
        <v>0</v>
      </c>
      <c r="U307" s="95">
        <v>0</v>
      </c>
      <c r="V307" s="95">
        <v>150</v>
      </c>
      <c r="W307" s="95">
        <v>160</v>
      </c>
      <c r="X307" s="97">
        <v>45097.375</v>
      </c>
      <c r="Y307" s="97">
        <v>45063.375</v>
      </c>
      <c r="Z307" s="97">
        <v>45055.375</v>
      </c>
      <c r="AA307" s="98"/>
    </row>
    <row r="308" spans="1:27" ht="15.75" hidden="1" customHeight="1">
      <c r="A308" s="94" t="s">
        <v>2883</v>
      </c>
      <c r="B308" s="94" t="s">
        <v>456</v>
      </c>
      <c r="C308" s="94" t="s">
        <v>36</v>
      </c>
      <c r="D308" s="95">
        <v>40</v>
      </c>
      <c r="E308" s="94" t="s">
        <v>442</v>
      </c>
      <c r="F308" s="94" t="s">
        <v>33</v>
      </c>
      <c r="G308" s="95">
        <v>12</v>
      </c>
      <c r="H308" s="94" t="s">
        <v>13</v>
      </c>
      <c r="I308" s="94" t="s">
        <v>6923</v>
      </c>
      <c r="J308" s="94" t="s">
        <v>444</v>
      </c>
      <c r="K308" s="95">
        <v>20</v>
      </c>
      <c r="L308" s="95">
        <v>99.1</v>
      </c>
      <c r="M308" s="94"/>
      <c r="N308" s="96">
        <v>18000</v>
      </c>
      <c r="O308" s="95">
        <v>181</v>
      </c>
      <c r="P308" s="95">
        <v>1</v>
      </c>
      <c r="Q308" s="94" t="s">
        <v>383</v>
      </c>
      <c r="R308" s="95">
        <v>1</v>
      </c>
      <c r="S308" s="95">
        <v>20</v>
      </c>
      <c r="T308" s="95">
        <v>0</v>
      </c>
      <c r="U308" s="95">
        <v>0</v>
      </c>
      <c r="V308" s="95">
        <v>150</v>
      </c>
      <c r="W308" s="95">
        <v>160</v>
      </c>
      <c r="X308" s="97">
        <v>45097.375</v>
      </c>
      <c r="Y308" s="97">
        <v>45063.375</v>
      </c>
      <c r="Z308" s="97">
        <v>45055.375</v>
      </c>
      <c r="AA308" s="98"/>
    </row>
    <row r="309" spans="1:27" ht="15.75" hidden="1" customHeight="1">
      <c r="A309" s="94" t="s">
        <v>2883</v>
      </c>
      <c r="B309" s="94" t="s">
        <v>456</v>
      </c>
      <c r="C309" s="94" t="s">
        <v>36</v>
      </c>
      <c r="D309" s="95">
        <v>40</v>
      </c>
      <c r="E309" s="94" t="s">
        <v>431</v>
      </c>
      <c r="F309" s="94" t="s">
        <v>433</v>
      </c>
      <c r="G309" s="95">
        <v>18</v>
      </c>
      <c r="H309" s="94" t="s">
        <v>439</v>
      </c>
      <c r="I309" s="94" t="s">
        <v>6671</v>
      </c>
      <c r="J309" s="94" t="s">
        <v>440</v>
      </c>
      <c r="K309" s="95">
        <v>60</v>
      </c>
      <c r="L309" s="94"/>
      <c r="M309" s="95">
        <v>1000</v>
      </c>
      <c r="N309" s="99" t="s">
        <v>435</v>
      </c>
      <c r="O309" s="94"/>
      <c r="P309" s="95">
        <v>1</v>
      </c>
      <c r="Q309" s="94" t="s">
        <v>436</v>
      </c>
      <c r="R309" s="95">
        <v>0</v>
      </c>
      <c r="S309" s="95">
        <v>0</v>
      </c>
      <c r="T309" s="95">
        <v>3</v>
      </c>
      <c r="U309" s="95">
        <v>1</v>
      </c>
      <c r="V309" s="95">
        <v>10</v>
      </c>
      <c r="W309" s="95">
        <v>160</v>
      </c>
      <c r="X309" s="97">
        <v>45097.375</v>
      </c>
      <c r="Y309" s="97">
        <v>45063.375</v>
      </c>
      <c r="Z309" s="97">
        <v>45055.375</v>
      </c>
      <c r="AA309" s="98"/>
    </row>
    <row r="310" spans="1:27" ht="15.75" hidden="1" customHeight="1">
      <c r="A310" s="94" t="s">
        <v>2883</v>
      </c>
      <c r="B310" s="94" t="s">
        <v>456</v>
      </c>
      <c r="C310" s="94" t="s">
        <v>36</v>
      </c>
      <c r="D310" s="95">
        <v>40</v>
      </c>
      <c r="E310" s="94" t="s">
        <v>431</v>
      </c>
      <c r="F310" s="94" t="s">
        <v>433</v>
      </c>
      <c r="G310" s="95">
        <v>19</v>
      </c>
      <c r="H310" s="94" t="s">
        <v>368</v>
      </c>
      <c r="I310" s="94" t="s">
        <v>6236</v>
      </c>
      <c r="J310" s="94" t="s">
        <v>434</v>
      </c>
      <c r="K310" s="95">
        <v>60</v>
      </c>
      <c r="L310" s="94"/>
      <c r="M310" s="95">
        <v>390</v>
      </c>
      <c r="N310" s="99" t="s">
        <v>435</v>
      </c>
      <c r="O310" s="94"/>
      <c r="P310" s="95">
        <v>4</v>
      </c>
      <c r="Q310" s="94" t="s">
        <v>436</v>
      </c>
      <c r="R310" s="95">
        <v>0</v>
      </c>
      <c r="S310" s="95">
        <v>0</v>
      </c>
      <c r="T310" s="95">
        <v>7</v>
      </c>
      <c r="U310" s="95">
        <v>2</v>
      </c>
      <c r="V310" s="95">
        <v>10</v>
      </c>
      <c r="W310" s="95">
        <v>160</v>
      </c>
      <c r="X310" s="97">
        <v>45097.375</v>
      </c>
      <c r="Y310" s="97">
        <v>45063.375</v>
      </c>
      <c r="Z310" s="97">
        <v>45055.375</v>
      </c>
      <c r="AA310" s="98"/>
    </row>
    <row r="311" spans="1:27" ht="15.75" hidden="1" customHeight="1">
      <c r="A311" s="94" t="s">
        <v>3004</v>
      </c>
      <c r="B311" s="94" t="s">
        <v>456</v>
      </c>
      <c r="C311" s="94" t="s">
        <v>36</v>
      </c>
      <c r="D311" s="95">
        <v>70</v>
      </c>
      <c r="E311" s="94" t="s">
        <v>442</v>
      </c>
      <c r="F311" s="94" t="s">
        <v>33</v>
      </c>
      <c r="G311" s="95">
        <v>10</v>
      </c>
      <c r="H311" s="94" t="s">
        <v>11</v>
      </c>
      <c r="I311" s="94" t="s">
        <v>7228</v>
      </c>
      <c r="J311" s="94" t="s">
        <v>426</v>
      </c>
      <c r="K311" s="95">
        <v>65</v>
      </c>
      <c r="L311" s="95">
        <v>99.1</v>
      </c>
      <c r="M311" s="94"/>
      <c r="N311" s="95">
        <v>18000</v>
      </c>
      <c r="O311" s="95">
        <v>181</v>
      </c>
      <c r="P311" s="95">
        <v>1</v>
      </c>
      <c r="Q311" s="94" t="s">
        <v>383</v>
      </c>
      <c r="R311" s="95">
        <v>1</v>
      </c>
      <c r="S311" s="95">
        <v>65</v>
      </c>
      <c r="T311" s="95">
        <v>0</v>
      </c>
      <c r="U311" s="95">
        <v>0</v>
      </c>
      <c r="V311" s="95">
        <v>150</v>
      </c>
      <c r="W311" s="95">
        <v>166</v>
      </c>
      <c r="X311" s="97">
        <v>45097.375</v>
      </c>
      <c r="Y311" s="97">
        <v>45070.375</v>
      </c>
      <c r="Z311" s="97">
        <v>45086.375</v>
      </c>
      <c r="AA311" s="98"/>
    </row>
    <row r="312" spans="1:27" ht="15.75" hidden="1" customHeight="1">
      <c r="A312" s="94" t="s">
        <v>3004</v>
      </c>
      <c r="B312" s="94" t="s">
        <v>456</v>
      </c>
      <c r="C312" s="94" t="s">
        <v>36</v>
      </c>
      <c r="D312" s="95">
        <v>70</v>
      </c>
      <c r="E312" s="94" t="s">
        <v>442</v>
      </c>
      <c r="F312" s="94" t="s">
        <v>33</v>
      </c>
      <c r="G312" s="95">
        <v>11</v>
      </c>
      <c r="H312" s="94" t="s">
        <v>12</v>
      </c>
      <c r="I312" s="94" t="s">
        <v>6923</v>
      </c>
      <c r="J312" s="94" t="s">
        <v>444</v>
      </c>
      <c r="K312" s="95">
        <v>65</v>
      </c>
      <c r="L312" s="95">
        <v>99.1</v>
      </c>
      <c r="M312" s="94"/>
      <c r="N312" s="95">
        <v>18000</v>
      </c>
      <c r="O312" s="95">
        <v>181</v>
      </c>
      <c r="P312" s="95">
        <v>1</v>
      </c>
      <c r="Q312" s="94" t="s">
        <v>383</v>
      </c>
      <c r="R312" s="95">
        <v>1</v>
      </c>
      <c r="S312" s="95">
        <v>65</v>
      </c>
      <c r="T312" s="95">
        <v>0</v>
      </c>
      <c r="U312" s="95">
        <v>0</v>
      </c>
      <c r="V312" s="95">
        <v>150</v>
      </c>
      <c r="W312" s="95">
        <v>166</v>
      </c>
      <c r="X312" s="97">
        <v>45097.375</v>
      </c>
      <c r="Y312" s="97">
        <v>45070.375</v>
      </c>
      <c r="Z312" s="97">
        <v>45086.375</v>
      </c>
      <c r="AA312" s="98"/>
    </row>
    <row r="313" spans="1:27" ht="15.75" hidden="1" customHeight="1">
      <c r="A313" s="94" t="s">
        <v>3004</v>
      </c>
      <c r="B313" s="94" t="s">
        <v>456</v>
      </c>
      <c r="C313" s="94" t="s">
        <v>36</v>
      </c>
      <c r="D313" s="95">
        <v>70</v>
      </c>
      <c r="E313" s="94" t="s">
        <v>442</v>
      </c>
      <c r="F313" s="94" t="s">
        <v>33</v>
      </c>
      <c r="G313" s="95">
        <v>12</v>
      </c>
      <c r="H313" s="94" t="s">
        <v>13</v>
      </c>
      <c r="I313" s="94" t="s">
        <v>6923</v>
      </c>
      <c r="J313" s="94" t="s">
        <v>444</v>
      </c>
      <c r="K313" s="95">
        <v>20</v>
      </c>
      <c r="L313" s="95">
        <v>99.1</v>
      </c>
      <c r="M313" s="94"/>
      <c r="N313" s="96">
        <v>18000</v>
      </c>
      <c r="O313" s="95">
        <v>181</v>
      </c>
      <c r="P313" s="95">
        <v>1</v>
      </c>
      <c r="Q313" s="94" t="s">
        <v>383</v>
      </c>
      <c r="R313" s="95">
        <v>1</v>
      </c>
      <c r="S313" s="95">
        <v>20</v>
      </c>
      <c r="T313" s="95">
        <v>0</v>
      </c>
      <c r="U313" s="95">
        <v>0</v>
      </c>
      <c r="V313" s="95">
        <v>150</v>
      </c>
      <c r="W313" s="95">
        <v>166</v>
      </c>
      <c r="X313" s="97">
        <v>45097.375</v>
      </c>
      <c r="Y313" s="97">
        <v>45070.375</v>
      </c>
      <c r="Z313" s="97">
        <v>45086.375</v>
      </c>
      <c r="AA313" s="98"/>
    </row>
    <row r="314" spans="1:27" ht="15.75" hidden="1" customHeight="1">
      <c r="A314" s="94" t="s">
        <v>3004</v>
      </c>
      <c r="B314" s="94" t="s">
        <v>456</v>
      </c>
      <c r="C314" s="94" t="s">
        <v>36</v>
      </c>
      <c r="D314" s="95">
        <v>70</v>
      </c>
      <c r="E314" s="94" t="s">
        <v>431</v>
      </c>
      <c r="F314" s="94" t="s">
        <v>433</v>
      </c>
      <c r="G314" s="95">
        <v>18</v>
      </c>
      <c r="H314" s="94" t="s">
        <v>439</v>
      </c>
      <c r="I314" s="94" t="s">
        <v>6671</v>
      </c>
      <c r="J314" s="94" t="s">
        <v>440</v>
      </c>
      <c r="K314" s="95">
        <v>60</v>
      </c>
      <c r="L314" s="94"/>
      <c r="M314" s="95">
        <v>1000</v>
      </c>
      <c r="N314" s="99" t="s">
        <v>435</v>
      </c>
      <c r="O314" s="94"/>
      <c r="P314" s="95">
        <v>1</v>
      </c>
      <c r="Q314" s="94" t="s">
        <v>436</v>
      </c>
      <c r="R314" s="95">
        <v>0</v>
      </c>
      <c r="S314" s="95">
        <v>0</v>
      </c>
      <c r="T314" s="95">
        <v>5</v>
      </c>
      <c r="U314" s="95">
        <v>1</v>
      </c>
      <c r="V314" s="95">
        <v>16</v>
      </c>
      <c r="W314" s="95">
        <v>166</v>
      </c>
      <c r="X314" s="97">
        <v>45097.375</v>
      </c>
      <c r="Y314" s="97">
        <v>45070.375</v>
      </c>
      <c r="Z314" s="97">
        <v>45086.375</v>
      </c>
      <c r="AA314" s="98"/>
    </row>
    <row r="315" spans="1:27" ht="15.75" hidden="1" customHeight="1">
      <c r="A315" s="94" t="s">
        <v>3004</v>
      </c>
      <c r="B315" s="94" t="s">
        <v>456</v>
      </c>
      <c r="C315" s="94" t="s">
        <v>36</v>
      </c>
      <c r="D315" s="95">
        <v>70</v>
      </c>
      <c r="E315" s="94" t="s">
        <v>431</v>
      </c>
      <c r="F315" s="94" t="s">
        <v>433</v>
      </c>
      <c r="G315" s="95">
        <v>19</v>
      </c>
      <c r="H315" s="94" t="s">
        <v>368</v>
      </c>
      <c r="I315" s="94" t="s">
        <v>6236</v>
      </c>
      <c r="J315" s="94" t="s">
        <v>434</v>
      </c>
      <c r="K315" s="95">
        <v>60</v>
      </c>
      <c r="L315" s="94"/>
      <c r="M315" s="95">
        <v>390</v>
      </c>
      <c r="N315" s="99" t="s">
        <v>435</v>
      </c>
      <c r="O315" s="94"/>
      <c r="P315" s="95">
        <v>4</v>
      </c>
      <c r="Q315" s="94" t="s">
        <v>436</v>
      </c>
      <c r="R315" s="95">
        <v>0</v>
      </c>
      <c r="S315" s="95">
        <v>0</v>
      </c>
      <c r="T315" s="95">
        <v>11</v>
      </c>
      <c r="U315" s="95">
        <v>3</v>
      </c>
      <c r="V315" s="95">
        <v>16</v>
      </c>
      <c r="W315" s="95">
        <v>166</v>
      </c>
      <c r="X315" s="97">
        <v>45097.375</v>
      </c>
      <c r="Y315" s="97">
        <v>45070.375</v>
      </c>
      <c r="Z315" s="97">
        <v>45086.375</v>
      </c>
      <c r="AA315" s="98"/>
    </row>
    <row r="316" spans="1:27" ht="15.75" hidden="1" customHeight="1">
      <c r="A316" s="94" t="s">
        <v>2968</v>
      </c>
      <c r="B316" s="94" t="s">
        <v>534</v>
      </c>
      <c r="C316" s="94" t="s">
        <v>143</v>
      </c>
      <c r="D316" s="95">
        <v>2500</v>
      </c>
      <c r="E316" s="94" t="s">
        <v>424</v>
      </c>
      <c r="F316" s="94" t="s">
        <v>48</v>
      </c>
      <c r="G316" s="95">
        <v>4</v>
      </c>
      <c r="H316" s="94" t="s">
        <v>11</v>
      </c>
      <c r="I316" s="94" t="s">
        <v>7228</v>
      </c>
      <c r="J316" s="94" t="s">
        <v>426</v>
      </c>
      <c r="K316" s="95">
        <v>25</v>
      </c>
      <c r="L316" s="95">
        <v>175</v>
      </c>
      <c r="M316" s="94"/>
      <c r="N316" s="95">
        <v>52000</v>
      </c>
      <c r="O316" s="95">
        <v>297</v>
      </c>
      <c r="P316" s="95">
        <v>1</v>
      </c>
      <c r="Q316" s="94" t="s">
        <v>383</v>
      </c>
      <c r="R316" s="95">
        <v>9</v>
      </c>
      <c r="S316" s="95">
        <v>225</v>
      </c>
      <c r="T316" s="95">
        <v>0</v>
      </c>
      <c r="U316" s="95">
        <v>0</v>
      </c>
      <c r="V316" s="95">
        <v>1425</v>
      </c>
      <c r="W316" s="95">
        <v>1913</v>
      </c>
      <c r="X316" s="97">
        <v>45093.375</v>
      </c>
      <c r="Y316" s="97">
        <v>45068.375</v>
      </c>
      <c r="Z316" s="97">
        <v>45058.375</v>
      </c>
      <c r="AA316" s="98"/>
    </row>
    <row r="317" spans="1:27" ht="15.75" hidden="1" customHeight="1">
      <c r="A317" s="94" t="s">
        <v>2968</v>
      </c>
      <c r="B317" s="94" t="s">
        <v>534</v>
      </c>
      <c r="C317" s="94" t="s">
        <v>143</v>
      </c>
      <c r="D317" s="95">
        <v>2500</v>
      </c>
      <c r="E317" s="94" t="s">
        <v>424</v>
      </c>
      <c r="F317" s="94" t="s">
        <v>48</v>
      </c>
      <c r="G317" s="95">
        <v>5</v>
      </c>
      <c r="H317" s="94" t="s">
        <v>12</v>
      </c>
      <c r="I317" s="94" t="s">
        <v>6923</v>
      </c>
      <c r="J317" s="94" t="s">
        <v>427</v>
      </c>
      <c r="K317" s="95">
        <v>130</v>
      </c>
      <c r="L317" s="95">
        <v>175</v>
      </c>
      <c r="M317" s="94"/>
      <c r="N317" s="95">
        <v>52000</v>
      </c>
      <c r="O317" s="95">
        <v>297</v>
      </c>
      <c r="P317" s="95">
        <v>1</v>
      </c>
      <c r="Q317" s="94" t="s">
        <v>383</v>
      </c>
      <c r="R317" s="95">
        <v>9</v>
      </c>
      <c r="S317" s="95">
        <v>1170</v>
      </c>
      <c r="T317" s="95">
        <v>0</v>
      </c>
      <c r="U317" s="95">
        <v>0</v>
      </c>
      <c r="V317" s="95">
        <v>1425</v>
      </c>
      <c r="W317" s="95">
        <v>1913</v>
      </c>
      <c r="X317" s="97">
        <v>45093.375</v>
      </c>
      <c r="Y317" s="97">
        <v>45068.375</v>
      </c>
      <c r="Z317" s="97">
        <v>45058.375</v>
      </c>
      <c r="AA317" s="98"/>
    </row>
    <row r="318" spans="1:27" ht="15.75" hidden="1" customHeight="1">
      <c r="A318" s="94" t="s">
        <v>2968</v>
      </c>
      <c r="B318" s="94" t="s">
        <v>534</v>
      </c>
      <c r="C318" s="94" t="s">
        <v>143</v>
      </c>
      <c r="D318" s="95">
        <v>2500</v>
      </c>
      <c r="E318" s="94" t="s">
        <v>424</v>
      </c>
      <c r="F318" s="94" t="s">
        <v>48</v>
      </c>
      <c r="G318" s="95">
        <v>6</v>
      </c>
      <c r="H318" s="94" t="s">
        <v>13</v>
      </c>
      <c r="I318" s="94" t="s">
        <v>6923</v>
      </c>
      <c r="J318" s="94" t="s">
        <v>427</v>
      </c>
      <c r="K318" s="95">
        <v>30</v>
      </c>
      <c r="L318" s="95">
        <v>175</v>
      </c>
      <c r="M318" s="94"/>
      <c r="N318" s="95">
        <v>52000</v>
      </c>
      <c r="O318" s="95">
        <v>297</v>
      </c>
      <c r="P318" s="95">
        <v>1</v>
      </c>
      <c r="Q318" s="94" t="s">
        <v>383</v>
      </c>
      <c r="R318" s="95">
        <v>9</v>
      </c>
      <c r="S318" s="95">
        <v>30</v>
      </c>
      <c r="T318" s="95">
        <v>0</v>
      </c>
      <c r="U318" s="95">
        <v>0</v>
      </c>
      <c r="V318" s="95">
        <v>1425</v>
      </c>
      <c r="W318" s="95">
        <v>1913</v>
      </c>
      <c r="X318" s="97">
        <v>45093.375</v>
      </c>
      <c r="Y318" s="97">
        <v>45068.375</v>
      </c>
      <c r="Z318" s="97">
        <v>45058.375</v>
      </c>
      <c r="AA318" s="98"/>
    </row>
    <row r="319" spans="1:27" ht="15.75" hidden="1" customHeight="1">
      <c r="A319" s="94" t="s">
        <v>2968</v>
      </c>
      <c r="B319" s="94" t="s">
        <v>534</v>
      </c>
      <c r="C319" s="94" t="s">
        <v>143</v>
      </c>
      <c r="D319" s="95">
        <v>2500</v>
      </c>
      <c r="E319" s="94" t="s">
        <v>431</v>
      </c>
      <c r="F319" s="94" t="s">
        <v>433</v>
      </c>
      <c r="G319" s="95">
        <v>18</v>
      </c>
      <c r="H319" s="94" t="s">
        <v>439</v>
      </c>
      <c r="I319" s="94" t="s">
        <v>6671</v>
      </c>
      <c r="J319" s="94" t="s">
        <v>440</v>
      </c>
      <c r="K319" s="95">
        <v>60</v>
      </c>
      <c r="L319" s="94"/>
      <c r="M319" s="95">
        <v>800</v>
      </c>
      <c r="N319" s="99" t="s">
        <v>435</v>
      </c>
      <c r="O319" s="94"/>
      <c r="P319" s="95">
        <v>1</v>
      </c>
      <c r="Q319" s="94" t="s">
        <v>436</v>
      </c>
      <c r="R319" s="95">
        <v>0</v>
      </c>
      <c r="S319" s="95">
        <v>0</v>
      </c>
      <c r="T319" s="95">
        <v>188</v>
      </c>
      <c r="U319" s="95">
        <v>38</v>
      </c>
      <c r="V319" s="95">
        <v>488</v>
      </c>
      <c r="W319" s="95">
        <v>1913</v>
      </c>
      <c r="X319" s="97">
        <v>45093.375</v>
      </c>
      <c r="Y319" s="97">
        <v>45068.375</v>
      </c>
      <c r="Z319" s="97">
        <v>45058.375</v>
      </c>
      <c r="AA319" s="98"/>
    </row>
    <row r="320" spans="1:27" ht="15.75" hidden="1" customHeight="1">
      <c r="A320" s="94" t="s">
        <v>2968</v>
      </c>
      <c r="B320" s="94" t="s">
        <v>534</v>
      </c>
      <c r="C320" s="94" t="s">
        <v>143</v>
      </c>
      <c r="D320" s="95">
        <v>2500</v>
      </c>
      <c r="E320" s="94" t="s">
        <v>431</v>
      </c>
      <c r="F320" s="94" t="s">
        <v>433</v>
      </c>
      <c r="G320" s="95">
        <v>19</v>
      </c>
      <c r="H320" s="94" t="s">
        <v>368</v>
      </c>
      <c r="I320" s="94" t="s">
        <v>6236</v>
      </c>
      <c r="J320" s="94" t="s">
        <v>434</v>
      </c>
      <c r="K320" s="95">
        <v>60</v>
      </c>
      <c r="L320" s="94"/>
      <c r="M320" s="95">
        <v>500</v>
      </c>
      <c r="N320" s="99" t="s">
        <v>435</v>
      </c>
      <c r="O320" s="94"/>
      <c r="P320" s="95">
        <v>3</v>
      </c>
      <c r="Q320" s="94" t="s">
        <v>436</v>
      </c>
      <c r="R320" s="95">
        <v>0</v>
      </c>
      <c r="S320" s="95">
        <v>0</v>
      </c>
      <c r="T320" s="95">
        <v>300</v>
      </c>
      <c r="U320" s="95">
        <v>60</v>
      </c>
      <c r="V320" s="95">
        <v>488</v>
      </c>
      <c r="W320" s="95">
        <v>1913</v>
      </c>
      <c r="X320" s="97">
        <v>45093.375</v>
      </c>
      <c r="Y320" s="97">
        <v>45068.375</v>
      </c>
      <c r="Z320" s="97">
        <v>45058.375</v>
      </c>
      <c r="AA320" s="98"/>
    </row>
    <row r="321" spans="1:27" ht="15.75" hidden="1" customHeight="1">
      <c r="A321" s="94" t="s">
        <v>3003</v>
      </c>
      <c r="B321" s="94" t="s">
        <v>677</v>
      </c>
      <c r="C321" s="94" t="s">
        <v>221</v>
      </c>
      <c r="D321" s="95">
        <v>1500</v>
      </c>
      <c r="E321" s="94" t="s">
        <v>442</v>
      </c>
      <c r="F321" s="94" t="s">
        <v>33</v>
      </c>
      <c r="G321" s="95">
        <v>10</v>
      </c>
      <c r="H321" s="94" t="s">
        <v>11</v>
      </c>
      <c r="I321" s="94" t="s">
        <v>7228</v>
      </c>
      <c r="J321" s="94" t="s">
        <v>426</v>
      </c>
      <c r="K321" s="95">
        <v>50</v>
      </c>
      <c r="L321" s="95">
        <v>10</v>
      </c>
      <c r="M321" s="94"/>
      <c r="N321" s="95">
        <v>100000</v>
      </c>
      <c r="O321" s="95">
        <v>10000</v>
      </c>
      <c r="P321" s="95">
        <v>1</v>
      </c>
      <c r="Q321" s="94" t="s">
        <v>383</v>
      </c>
      <c r="R321" s="95">
        <v>1</v>
      </c>
      <c r="S321" s="95">
        <v>50</v>
      </c>
      <c r="T321" s="95">
        <v>0</v>
      </c>
      <c r="U321" s="95">
        <v>0</v>
      </c>
      <c r="V321" s="95">
        <v>120</v>
      </c>
      <c r="W321" s="95">
        <v>286</v>
      </c>
      <c r="X321" s="97">
        <v>45104.375</v>
      </c>
      <c r="Y321" s="97">
        <v>45086.375</v>
      </c>
      <c r="Z321" s="97">
        <v>45089.375</v>
      </c>
      <c r="AA321" s="98"/>
    </row>
    <row r="322" spans="1:27" ht="15.75" hidden="1" customHeight="1">
      <c r="A322" s="94" t="s">
        <v>3003</v>
      </c>
      <c r="B322" s="94" t="s">
        <v>677</v>
      </c>
      <c r="C322" s="94" t="s">
        <v>221</v>
      </c>
      <c r="D322" s="95">
        <v>1500</v>
      </c>
      <c r="E322" s="94" t="s">
        <v>442</v>
      </c>
      <c r="F322" s="94" t="s">
        <v>33</v>
      </c>
      <c r="G322" s="95">
        <v>11</v>
      </c>
      <c r="H322" s="94" t="s">
        <v>12</v>
      </c>
      <c r="I322" s="94" t="s">
        <v>6923</v>
      </c>
      <c r="J322" s="94" t="s">
        <v>444</v>
      </c>
      <c r="K322" s="95">
        <v>60</v>
      </c>
      <c r="L322" s="95">
        <v>10</v>
      </c>
      <c r="M322" s="94"/>
      <c r="N322" s="95">
        <v>100000</v>
      </c>
      <c r="O322" s="95">
        <v>10000</v>
      </c>
      <c r="P322" s="95">
        <v>1</v>
      </c>
      <c r="Q322" s="94" t="s">
        <v>383</v>
      </c>
      <c r="R322" s="95">
        <v>1</v>
      </c>
      <c r="S322" s="95">
        <v>60</v>
      </c>
      <c r="T322" s="95">
        <v>0</v>
      </c>
      <c r="U322" s="95">
        <v>0</v>
      </c>
      <c r="V322" s="95">
        <v>120</v>
      </c>
      <c r="W322" s="95">
        <v>286</v>
      </c>
      <c r="X322" s="97">
        <v>45104.375</v>
      </c>
      <c r="Y322" s="97">
        <v>45086.375</v>
      </c>
      <c r="Z322" s="97">
        <v>45089.375</v>
      </c>
      <c r="AA322" s="98"/>
    </row>
    <row r="323" spans="1:27" ht="15.75" hidden="1" customHeight="1">
      <c r="A323" s="94" t="s">
        <v>3003</v>
      </c>
      <c r="B323" s="94" t="s">
        <v>677</v>
      </c>
      <c r="C323" s="94" t="s">
        <v>221</v>
      </c>
      <c r="D323" s="95">
        <v>1500</v>
      </c>
      <c r="E323" s="94" t="s">
        <v>442</v>
      </c>
      <c r="F323" s="94" t="s">
        <v>33</v>
      </c>
      <c r="G323" s="95">
        <v>12</v>
      </c>
      <c r="H323" s="94" t="s">
        <v>13</v>
      </c>
      <c r="I323" s="94" t="s">
        <v>6923</v>
      </c>
      <c r="J323" s="94" t="s">
        <v>444</v>
      </c>
      <c r="K323" s="95">
        <v>10</v>
      </c>
      <c r="L323" s="95">
        <v>10</v>
      </c>
      <c r="M323" s="94"/>
      <c r="N323" s="95">
        <v>100000</v>
      </c>
      <c r="O323" s="95">
        <v>10000</v>
      </c>
      <c r="P323" s="95">
        <v>1</v>
      </c>
      <c r="Q323" s="94" t="s">
        <v>383</v>
      </c>
      <c r="R323" s="95">
        <v>1</v>
      </c>
      <c r="S323" s="95">
        <v>10</v>
      </c>
      <c r="T323" s="95">
        <v>0</v>
      </c>
      <c r="U323" s="95">
        <v>0</v>
      </c>
      <c r="V323" s="95">
        <v>120</v>
      </c>
      <c r="W323" s="95">
        <v>286</v>
      </c>
      <c r="X323" s="97">
        <v>45104.375</v>
      </c>
      <c r="Y323" s="97">
        <v>45086.375</v>
      </c>
      <c r="Z323" s="97">
        <v>45089.375</v>
      </c>
      <c r="AA323" s="98"/>
    </row>
    <row r="324" spans="1:27" ht="15.75" hidden="1" customHeight="1">
      <c r="A324" s="94" t="s">
        <v>3003</v>
      </c>
      <c r="B324" s="94" t="s">
        <v>677</v>
      </c>
      <c r="C324" s="94" t="s">
        <v>221</v>
      </c>
      <c r="D324" s="95">
        <v>1500</v>
      </c>
      <c r="E324" s="94" t="s">
        <v>431</v>
      </c>
      <c r="F324" s="94" t="s">
        <v>433</v>
      </c>
      <c r="G324" s="95">
        <v>18</v>
      </c>
      <c r="H324" s="94" t="s">
        <v>439</v>
      </c>
      <c r="I324" s="94" t="s">
        <v>6671</v>
      </c>
      <c r="J324" s="94" t="s">
        <v>440</v>
      </c>
      <c r="K324" s="95">
        <v>60</v>
      </c>
      <c r="L324" s="94"/>
      <c r="M324" s="95">
        <v>1500</v>
      </c>
      <c r="N324" s="94" t="s">
        <v>435</v>
      </c>
      <c r="O324" s="94"/>
      <c r="P324" s="95">
        <v>1</v>
      </c>
      <c r="Q324" s="94" t="s">
        <v>436</v>
      </c>
      <c r="R324" s="95">
        <v>0</v>
      </c>
      <c r="S324" s="95">
        <v>0</v>
      </c>
      <c r="T324" s="95">
        <v>60</v>
      </c>
      <c r="U324" s="95">
        <v>12</v>
      </c>
      <c r="V324" s="95">
        <v>166</v>
      </c>
      <c r="W324" s="95">
        <v>286</v>
      </c>
      <c r="X324" s="97">
        <v>45104.375</v>
      </c>
      <c r="Y324" s="97">
        <v>45086.375</v>
      </c>
      <c r="Z324" s="97">
        <v>45089.375</v>
      </c>
      <c r="AA324" s="98"/>
    </row>
    <row r="325" spans="1:27" ht="15.75" hidden="1" customHeight="1">
      <c r="A325" s="94" t="s">
        <v>3003</v>
      </c>
      <c r="B325" s="94" t="s">
        <v>677</v>
      </c>
      <c r="C325" s="94" t="s">
        <v>221</v>
      </c>
      <c r="D325" s="95">
        <v>1500</v>
      </c>
      <c r="E325" s="94" t="s">
        <v>431</v>
      </c>
      <c r="F325" s="94" t="s">
        <v>433</v>
      </c>
      <c r="G325" s="95">
        <v>19</v>
      </c>
      <c r="H325" s="94" t="s">
        <v>368</v>
      </c>
      <c r="I325" s="94" t="s">
        <v>6236</v>
      </c>
      <c r="J325" s="94" t="s">
        <v>434</v>
      </c>
      <c r="K325" s="95">
        <v>60</v>
      </c>
      <c r="L325" s="94"/>
      <c r="M325" s="95">
        <v>850</v>
      </c>
      <c r="N325" s="94" t="s">
        <v>435</v>
      </c>
      <c r="O325" s="94"/>
      <c r="P325" s="95">
        <v>4</v>
      </c>
      <c r="Q325" s="94" t="s">
        <v>436</v>
      </c>
      <c r="R325" s="95">
        <v>0</v>
      </c>
      <c r="S325" s="95">
        <v>0</v>
      </c>
      <c r="T325" s="95">
        <v>106</v>
      </c>
      <c r="U325" s="95">
        <v>22</v>
      </c>
      <c r="V325" s="95">
        <v>166</v>
      </c>
      <c r="W325" s="95">
        <v>286</v>
      </c>
      <c r="X325" s="97">
        <v>45104.375</v>
      </c>
      <c r="Y325" s="97">
        <v>45086.375</v>
      </c>
      <c r="Z325" s="97">
        <v>45089.375</v>
      </c>
      <c r="AA325" s="98"/>
    </row>
    <row r="326" spans="1:27" ht="15.75" hidden="1" customHeight="1">
      <c r="A326" s="94" t="s">
        <v>2947</v>
      </c>
      <c r="B326" s="94" t="s">
        <v>677</v>
      </c>
      <c r="C326" s="94" t="s">
        <v>221</v>
      </c>
      <c r="D326" s="95">
        <v>3000</v>
      </c>
      <c r="E326" s="94" t="s">
        <v>442</v>
      </c>
      <c r="F326" s="94" t="s">
        <v>33</v>
      </c>
      <c r="G326" s="95">
        <v>10</v>
      </c>
      <c r="H326" s="94" t="s">
        <v>11</v>
      </c>
      <c r="I326" s="94" t="s">
        <v>7228</v>
      </c>
      <c r="J326" s="94" t="s">
        <v>426</v>
      </c>
      <c r="K326" s="95">
        <v>50</v>
      </c>
      <c r="L326" s="95">
        <v>10</v>
      </c>
      <c r="M326" s="94"/>
      <c r="N326" s="96">
        <v>100000</v>
      </c>
      <c r="O326" s="95">
        <v>10000</v>
      </c>
      <c r="P326" s="95">
        <v>1</v>
      </c>
      <c r="Q326" s="94" t="s">
        <v>383</v>
      </c>
      <c r="R326" s="95">
        <v>1</v>
      </c>
      <c r="S326" s="95">
        <v>50</v>
      </c>
      <c r="T326" s="95">
        <v>0</v>
      </c>
      <c r="U326" s="95">
        <v>0</v>
      </c>
      <c r="V326" s="95">
        <v>120</v>
      </c>
      <c r="W326" s="95">
        <v>452</v>
      </c>
      <c r="X326" s="97">
        <v>45104.375</v>
      </c>
      <c r="Y326" s="97">
        <v>45086.375</v>
      </c>
      <c r="Z326" s="97">
        <v>45089.375</v>
      </c>
      <c r="AA326" s="98"/>
    </row>
    <row r="327" spans="1:27" ht="15.75" hidden="1" customHeight="1">
      <c r="A327" s="94" t="s">
        <v>2947</v>
      </c>
      <c r="B327" s="94" t="s">
        <v>677</v>
      </c>
      <c r="C327" s="94" t="s">
        <v>221</v>
      </c>
      <c r="D327" s="95">
        <v>3000</v>
      </c>
      <c r="E327" s="94" t="s">
        <v>442</v>
      </c>
      <c r="F327" s="94" t="s">
        <v>33</v>
      </c>
      <c r="G327" s="95">
        <v>11</v>
      </c>
      <c r="H327" s="94" t="s">
        <v>12</v>
      </c>
      <c r="I327" s="94" t="s">
        <v>6923</v>
      </c>
      <c r="J327" s="94" t="s">
        <v>444</v>
      </c>
      <c r="K327" s="95">
        <v>60</v>
      </c>
      <c r="L327" s="95">
        <v>10</v>
      </c>
      <c r="M327" s="94"/>
      <c r="N327" s="96">
        <v>100000</v>
      </c>
      <c r="O327" s="95">
        <v>10000</v>
      </c>
      <c r="P327" s="95">
        <v>1</v>
      </c>
      <c r="Q327" s="94" t="s">
        <v>383</v>
      </c>
      <c r="R327" s="95">
        <v>1</v>
      </c>
      <c r="S327" s="95">
        <v>60</v>
      </c>
      <c r="T327" s="95">
        <v>0</v>
      </c>
      <c r="U327" s="95">
        <v>0</v>
      </c>
      <c r="V327" s="95">
        <v>120</v>
      </c>
      <c r="W327" s="95">
        <v>452</v>
      </c>
      <c r="X327" s="97">
        <v>45104.375</v>
      </c>
      <c r="Y327" s="97">
        <v>45086.375</v>
      </c>
      <c r="Z327" s="97">
        <v>45089.375</v>
      </c>
      <c r="AA327" s="98"/>
    </row>
    <row r="328" spans="1:27" ht="15.75" hidden="1" customHeight="1">
      <c r="A328" s="94" t="s">
        <v>2947</v>
      </c>
      <c r="B328" s="94" t="s">
        <v>677</v>
      </c>
      <c r="C328" s="94" t="s">
        <v>221</v>
      </c>
      <c r="D328" s="95">
        <v>3000</v>
      </c>
      <c r="E328" s="94" t="s">
        <v>442</v>
      </c>
      <c r="F328" s="94" t="s">
        <v>33</v>
      </c>
      <c r="G328" s="95">
        <v>12</v>
      </c>
      <c r="H328" s="94" t="s">
        <v>13</v>
      </c>
      <c r="I328" s="94" t="s">
        <v>6923</v>
      </c>
      <c r="J328" s="94" t="s">
        <v>444</v>
      </c>
      <c r="K328" s="95">
        <v>10</v>
      </c>
      <c r="L328" s="95">
        <v>10</v>
      </c>
      <c r="M328" s="94"/>
      <c r="N328" s="96">
        <v>100000</v>
      </c>
      <c r="O328" s="95">
        <v>10000</v>
      </c>
      <c r="P328" s="95">
        <v>1</v>
      </c>
      <c r="Q328" s="94" t="s">
        <v>383</v>
      </c>
      <c r="R328" s="95">
        <v>1</v>
      </c>
      <c r="S328" s="95">
        <v>10</v>
      </c>
      <c r="T328" s="95">
        <v>0</v>
      </c>
      <c r="U328" s="95">
        <v>0</v>
      </c>
      <c r="V328" s="95">
        <v>120</v>
      </c>
      <c r="W328" s="95">
        <v>452</v>
      </c>
      <c r="X328" s="97">
        <v>45104.375</v>
      </c>
      <c r="Y328" s="97">
        <v>45086.375</v>
      </c>
      <c r="Z328" s="97">
        <v>45089.375</v>
      </c>
      <c r="AA328" s="98"/>
    </row>
    <row r="329" spans="1:27" ht="15.75" hidden="1" customHeight="1">
      <c r="A329" s="94" t="s">
        <v>2947</v>
      </c>
      <c r="B329" s="94" t="s">
        <v>677</v>
      </c>
      <c r="C329" s="94" t="s">
        <v>221</v>
      </c>
      <c r="D329" s="95">
        <v>3000</v>
      </c>
      <c r="E329" s="94" t="s">
        <v>431</v>
      </c>
      <c r="F329" s="94" t="s">
        <v>433</v>
      </c>
      <c r="G329" s="95">
        <v>18</v>
      </c>
      <c r="H329" s="94" t="s">
        <v>439</v>
      </c>
      <c r="I329" s="94" t="s">
        <v>6671</v>
      </c>
      <c r="J329" s="94" t="s">
        <v>440</v>
      </c>
      <c r="K329" s="95">
        <v>60</v>
      </c>
      <c r="L329" s="94"/>
      <c r="M329" s="95">
        <v>1500</v>
      </c>
      <c r="N329" s="99" t="s">
        <v>435</v>
      </c>
      <c r="O329" s="94"/>
      <c r="P329" s="95">
        <v>1</v>
      </c>
      <c r="Q329" s="94" t="s">
        <v>436</v>
      </c>
      <c r="R329" s="95">
        <v>0</v>
      </c>
      <c r="S329" s="95">
        <v>0</v>
      </c>
      <c r="T329" s="95">
        <v>120</v>
      </c>
      <c r="U329" s="95">
        <v>24</v>
      </c>
      <c r="V329" s="95">
        <v>332</v>
      </c>
      <c r="W329" s="95">
        <v>452</v>
      </c>
      <c r="X329" s="97">
        <v>45104.375</v>
      </c>
      <c r="Y329" s="97">
        <v>45086.375</v>
      </c>
      <c r="Z329" s="97">
        <v>45089.375</v>
      </c>
      <c r="AA329" s="98"/>
    </row>
    <row r="330" spans="1:27" ht="15.75" hidden="1" customHeight="1">
      <c r="A330" s="94" t="s">
        <v>2947</v>
      </c>
      <c r="B330" s="94" t="s">
        <v>677</v>
      </c>
      <c r="C330" s="94" t="s">
        <v>221</v>
      </c>
      <c r="D330" s="95">
        <v>3000</v>
      </c>
      <c r="E330" s="94" t="s">
        <v>431</v>
      </c>
      <c r="F330" s="94" t="s">
        <v>433</v>
      </c>
      <c r="G330" s="95">
        <v>19</v>
      </c>
      <c r="H330" s="94" t="s">
        <v>368</v>
      </c>
      <c r="I330" s="94" t="s">
        <v>6236</v>
      </c>
      <c r="J330" s="94" t="s">
        <v>434</v>
      </c>
      <c r="K330" s="95">
        <v>60</v>
      </c>
      <c r="L330" s="94"/>
      <c r="M330" s="95">
        <v>850</v>
      </c>
      <c r="N330" s="99" t="s">
        <v>435</v>
      </c>
      <c r="O330" s="94"/>
      <c r="P330" s="95">
        <v>4</v>
      </c>
      <c r="Q330" s="94" t="s">
        <v>436</v>
      </c>
      <c r="R330" s="95">
        <v>0</v>
      </c>
      <c r="S330" s="95">
        <v>0</v>
      </c>
      <c r="T330" s="95">
        <v>212</v>
      </c>
      <c r="U330" s="95">
        <v>43</v>
      </c>
      <c r="V330" s="95">
        <v>332</v>
      </c>
      <c r="W330" s="95">
        <v>452</v>
      </c>
      <c r="X330" s="97">
        <v>45104.375</v>
      </c>
      <c r="Y330" s="97">
        <v>45086.375</v>
      </c>
      <c r="Z330" s="97">
        <v>45089.375</v>
      </c>
      <c r="AA330" s="98"/>
    </row>
    <row r="331" spans="1:27" ht="15.75" hidden="1" customHeight="1">
      <c r="A331" s="94" t="s">
        <v>2959</v>
      </c>
      <c r="B331" s="94" t="s">
        <v>676</v>
      </c>
      <c r="C331" s="94" t="s">
        <v>225</v>
      </c>
      <c r="D331" s="95">
        <v>3000</v>
      </c>
      <c r="E331" s="94" t="s">
        <v>442</v>
      </c>
      <c r="F331" s="94" t="s">
        <v>33</v>
      </c>
      <c r="G331" s="95">
        <v>10</v>
      </c>
      <c r="H331" s="94" t="s">
        <v>11</v>
      </c>
      <c r="I331" s="94" t="s">
        <v>7228</v>
      </c>
      <c r="J331" s="94" t="s">
        <v>426</v>
      </c>
      <c r="K331" s="95">
        <v>50</v>
      </c>
      <c r="L331" s="95">
        <v>1.72</v>
      </c>
      <c r="M331" s="94"/>
      <c r="N331" s="95">
        <v>100000</v>
      </c>
      <c r="O331" s="95">
        <v>58139</v>
      </c>
      <c r="P331" s="95">
        <v>1</v>
      </c>
      <c r="Q331" s="94" t="s">
        <v>383</v>
      </c>
      <c r="R331" s="95">
        <v>1</v>
      </c>
      <c r="S331" s="95">
        <v>50</v>
      </c>
      <c r="T331" s="95">
        <v>0</v>
      </c>
      <c r="U331" s="95">
        <v>0</v>
      </c>
      <c r="V331" s="95">
        <v>120</v>
      </c>
      <c r="W331" s="95">
        <v>440</v>
      </c>
      <c r="X331" s="97">
        <v>45104.375</v>
      </c>
      <c r="Y331" s="97">
        <v>45063.375</v>
      </c>
      <c r="Z331" s="97">
        <v>45089.375</v>
      </c>
      <c r="AA331" s="98"/>
    </row>
    <row r="332" spans="1:27" ht="15.75" hidden="1" customHeight="1">
      <c r="A332" s="94" t="s">
        <v>2959</v>
      </c>
      <c r="B332" s="94" t="s">
        <v>676</v>
      </c>
      <c r="C332" s="94" t="s">
        <v>225</v>
      </c>
      <c r="D332" s="95">
        <v>3000</v>
      </c>
      <c r="E332" s="94" t="s">
        <v>442</v>
      </c>
      <c r="F332" s="94" t="s">
        <v>33</v>
      </c>
      <c r="G332" s="95">
        <v>11</v>
      </c>
      <c r="H332" s="94" t="s">
        <v>12</v>
      </c>
      <c r="I332" s="94" t="s">
        <v>6923</v>
      </c>
      <c r="J332" s="94" t="s">
        <v>444</v>
      </c>
      <c r="K332" s="95">
        <v>60</v>
      </c>
      <c r="L332" s="95">
        <v>1.72</v>
      </c>
      <c r="M332" s="94"/>
      <c r="N332" s="95">
        <v>100000</v>
      </c>
      <c r="O332" s="95">
        <v>58139</v>
      </c>
      <c r="P332" s="95">
        <v>1</v>
      </c>
      <c r="Q332" s="94" t="s">
        <v>383</v>
      </c>
      <c r="R332" s="95">
        <v>1</v>
      </c>
      <c r="S332" s="95">
        <v>60</v>
      </c>
      <c r="T332" s="95">
        <v>0</v>
      </c>
      <c r="U332" s="95">
        <v>0</v>
      </c>
      <c r="V332" s="95">
        <v>120</v>
      </c>
      <c r="W332" s="95">
        <v>440</v>
      </c>
      <c r="X332" s="97">
        <v>45104.375</v>
      </c>
      <c r="Y332" s="97">
        <v>45063.375</v>
      </c>
      <c r="Z332" s="97">
        <v>45089.375</v>
      </c>
      <c r="AA332" s="98"/>
    </row>
    <row r="333" spans="1:27" ht="15.75" hidden="1" customHeight="1">
      <c r="A333" s="94" t="s">
        <v>2959</v>
      </c>
      <c r="B333" s="94" t="s">
        <v>676</v>
      </c>
      <c r="C333" s="94" t="s">
        <v>225</v>
      </c>
      <c r="D333" s="95">
        <v>3000</v>
      </c>
      <c r="E333" s="94" t="s">
        <v>442</v>
      </c>
      <c r="F333" s="94" t="s">
        <v>33</v>
      </c>
      <c r="G333" s="95">
        <v>12</v>
      </c>
      <c r="H333" s="94" t="s">
        <v>13</v>
      </c>
      <c r="I333" s="94" t="s">
        <v>6923</v>
      </c>
      <c r="J333" s="94" t="s">
        <v>444</v>
      </c>
      <c r="K333" s="95">
        <v>10</v>
      </c>
      <c r="L333" s="95">
        <v>1.72</v>
      </c>
      <c r="M333" s="94"/>
      <c r="N333" s="96">
        <v>100000</v>
      </c>
      <c r="O333" s="95">
        <v>58139</v>
      </c>
      <c r="P333" s="95">
        <v>1</v>
      </c>
      <c r="Q333" s="94" t="s">
        <v>383</v>
      </c>
      <c r="R333" s="95">
        <v>1</v>
      </c>
      <c r="S333" s="95">
        <v>10</v>
      </c>
      <c r="T333" s="95">
        <v>0</v>
      </c>
      <c r="U333" s="95">
        <v>0</v>
      </c>
      <c r="V333" s="95">
        <v>120</v>
      </c>
      <c r="W333" s="95">
        <v>440</v>
      </c>
      <c r="X333" s="97">
        <v>45104.375</v>
      </c>
      <c r="Y333" s="97">
        <v>45063.375</v>
      </c>
      <c r="Z333" s="97">
        <v>45089.375</v>
      </c>
      <c r="AA333" s="98"/>
    </row>
    <row r="334" spans="1:27" ht="15.75" hidden="1" customHeight="1">
      <c r="A334" s="94" t="s">
        <v>2959</v>
      </c>
      <c r="B334" s="94" t="s">
        <v>676</v>
      </c>
      <c r="C334" s="94" t="s">
        <v>225</v>
      </c>
      <c r="D334" s="95">
        <v>3000</v>
      </c>
      <c r="E334" s="94" t="s">
        <v>431</v>
      </c>
      <c r="F334" s="94" t="s">
        <v>433</v>
      </c>
      <c r="G334" s="95">
        <v>18</v>
      </c>
      <c r="H334" s="94" t="s">
        <v>439</v>
      </c>
      <c r="I334" s="94" t="s">
        <v>6671</v>
      </c>
      <c r="J334" s="94" t="s">
        <v>440</v>
      </c>
      <c r="K334" s="95">
        <v>60</v>
      </c>
      <c r="L334" s="94"/>
      <c r="M334" s="95">
        <v>1500</v>
      </c>
      <c r="N334" s="99" t="s">
        <v>435</v>
      </c>
      <c r="O334" s="94"/>
      <c r="P334" s="95">
        <v>1</v>
      </c>
      <c r="Q334" s="94" t="s">
        <v>436</v>
      </c>
      <c r="R334" s="95">
        <v>0</v>
      </c>
      <c r="S334" s="95">
        <v>0</v>
      </c>
      <c r="T334" s="95">
        <v>120</v>
      </c>
      <c r="U334" s="95">
        <v>24</v>
      </c>
      <c r="V334" s="95">
        <v>320</v>
      </c>
      <c r="W334" s="95">
        <v>440</v>
      </c>
      <c r="X334" s="97">
        <v>45104.375</v>
      </c>
      <c r="Y334" s="97">
        <v>45063.375</v>
      </c>
      <c r="Z334" s="97">
        <v>45089.375</v>
      </c>
      <c r="AA334" s="98"/>
    </row>
    <row r="335" spans="1:27" ht="15.75" hidden="1" customHeight="1">
      <c r="A335" s="94" t="s">
        <v>2959</v>
      </c>
      <c r="B335" s="94" t="s">
        <v>676</v>
      </c>
      <c r="C335" s="94" t="s">
        <v>225</v>
      </c>
      <c r="D335" s="95">
        <v>3000</v>
      </c>
      <c r="E335" s="94" t="s">
        <v>431</v>
      </c>
      <c r="F335" s="94" t="s">
        <v>433</v>
      </c>
      <c r="G335" s="95">
        <v>19</v>
      </c>
      <c r="H335" s="94" t="s">
        <v>368</v>
      </c>
      <c r="I335" s="94" t="s">
        <v>6236</v>
      </c>
      <c r="J335" s="94" t="s">
        <v>434</v>
      </c>
      <c r="K335" s="95">
        <v>60</v>
      </c>
      <c r="L335" s="94"/>
      <c r="M335" s="95">
        <v>900</v>
      </c>
      <c r="N335" s="99" t="s">
        <v>435</v>
      </c>
      <c r="O335" s="94"/>
      <c r="P335" s="95">
        <v>4</v>
      </c>
      <c r="Q335" s="94" t="s">
        <v>436</v>
      </c>
      <c r="R335" s="95">
        <v>0</v>
      </c>
      <c r="S335" s="95">
        <v>0</v>
      </c>
      <c r="T335" s="95">
        <v>200</v>
      </c>
      <c r="U335" s="95">
        <v>40</v>
      </c>
      <c r="V335" s="95">
        <v>320</v>
      </c>
      <c r="W335" s="95">
        <v>440</v>
      </c>
      <c r="X335" s="97">
        <v>45104.375</v>
      </c>
      <c r="Y335" s="97">
        <v>45063.375</v>
      </c>
      <c r="Z335" s="97">
        <v>45089.375</v>
      </c>
      <c r="AA335" s="98"/>
    </row>
    <row r="336" spans="1:27" ht="15.75" hidden="1" customHeight="1">
      <c r="A336" s="94" t="s">
        <v>2936</v>
      </c>
      <c r="B336" s="94" t="s">
        <v>787</v>
      </c>
      <c r="C336" s="94" t="s">
        <v>66</v>
      </c>
      <c r="D336" s="95">
        <v>15000</v>
      </c>
      <c r="E336" s="94" t="s">
        <v>442</v>
      </c>
      <c r="F336" s="94" t="s">
        <v>33</v>
      </c>
      <c r="G336" s="95">
        <v>10</v>
      </c>
      <c r="H336" s="94" t="s">
        <v>11</v>
      </c>
      <c r="I336" s="94" t="s">
        <v>7228</v>
      </c>
      <c r="J336" s="94" t="s">
        <v>426</v>
      </c>
      <c r="K336" s="95">
        <v>100</v>
      </c>
      <c r="L336" s="95">
        <v>30.6</v>
      </c>
      <c r="M336" s="94"/>
      <c r="N336" s="96">
        <v>101700</v>
      </c>
      <c r="O336" s="95">
        <v>3323</v>
      </c>
      <c r="P336" s="95">
        <v>1</v>
      </c>
      <c r="Q336" s="94" t="s">
        <v>383</v>
      </c>
      <c r="R336" s="95">
        <v>5</v>
      </c>
      <c r="S336" s="95">
        <v>500</v>
      </c>
      <c r="T336" s="95">
        <v>0</v>
      </c>
      <c r="U336" s="95">
        <v>0</v>
      </c>
      <c r="V336" s="95">
        <v>1325</v>
      </c>
      <c r="W336" s="95">
        <v>4804</v>
      </c>
      <c r="X336" s="97">
        <v>45040.375</v>
      </c>
      <c r="Y336" s="97">
        <v>44973.375</v>
      </c>
      <c r="Z336" s="97">
        <v>45035.375</v>
      </c>
      <c r="AA336" s="98"/>
    </row>
    <row r="337" spans="1:27" ht="15.75" hidden="1" customHeight="1">
      <c r="A337" s="94" t="s">
        <v>2936</v>
      </c>
      <c r="B337" s="94" t="s">
        <v>787</v>
      </c>
      <c r="C337" s="94" t="s">
        <v>66</v>
      </c>
      <c r="D337" s="95">
        <v>15000</v>
      </c>
      <c r="E337" s="94" t="s">
        <v>442</v>
      </c>
      <c r="F337" s="94" t="s">
        <v>33</v>
      </c>
      <c r="G337" s="95">
        <v>11</v>
      </c>
      <c r="H337" s="94" t="s">
        <v>12</v>
      </c>
      <c r="I337" s="94" t="s">
        <v>6923</v>
      </c>
      <c r="J337" s="94" t="s">
        <v>444</v>
      </c>
      <c r="K337" s="95">
        <v>115</v>
      </c>
      <c r="L337" s="95">
        <v>30.6</v>
      </c>
      <c r="M337" s="94"/>
      <c r="N337" s="95">
        <v>101700</v>
      </c>
      <c r="O337" s="95">
        <v>3323</v>
      </c>
      <c r="P337" s="95">
        <v>1</v>
      </c>
      <c r="Q337" s="94" t="s">
        <v>383</v>
      </c>
      <c r="R337" s="95">
        <v>5</v>
      </c>
      <c r="S337" s="95">
        <v>575</v>
      </c>
      <c r="T337" s="95">
        <v>0</v>
      </c>
      <c r="U337" s="95">
        <v>0</v>
      </c>
      <c r="V337" s="95">
        <v>1325</v>
      </c>
      <c r="W337" s="95">
        <v>4804</v>
      </c>
      <c r="X337" s="97">
        <v>45040.375</v>
      </c>
      <c r="Y337" s="97">
        <v>44973.375</v>
      </c>
      <c r="Z337" s="97">
        <v>45035.375</v>
      </c>
      <c r="AA337" s="98"/>
    </row>
    <row r="338" spans="1:27" ht="15.75" hidden="1" customHeight="1">
      <c r="A338" s="94" t="s">
        <v>2936</v>
      </c>
      <c r="B338" s="94" t="s">
        <v>787</v>
      </c>
      <c r="C338" s="94" t="s">
        <v>66</v>
      </c>
      <c r="D338" s="95">
        <v>15000</v>
      </c>
      <c r="E338" s="94" t="s">
        <v>442</v>
      </c>
      <c r="F338" s="94" t="s">
        <v>33</v>
      </c>
      <c r="G338" s="95">
        <v>12</v>
      </c>
      <c r="H338" s="94" t="s">
        <v>13</v>
      </c>
      <c r="I338" s="94" t="s">
        <v>6923</v>
      </c>
      <c r="J338" s="94" t="s">
        <v>444</v>
      </c>
      <c r="K338" s="95">
        <v>50</v>
      </c>
      <c r="L338" s="95">
        <v>30.6</v>
      </c>
      <c r="M338" s="94"/>
      <c r="N338" s="95">
        <v>101700</v>
      </c>
      <c r="O338" s="95">
        <v>3323</v>
      </c>
      <c r="P338" s="95">
        <v>1</v>
      </c>
      <c r="Q338" s="94" t="s">
        <v>383</v>
      </c>
      <c r="R338" s="95">
        <v>5</v>
      </c>
      <c r="S338" s="95">
        <v>250</v>
      </c>
      <c r="T338" s="95">
        <v>0</v>
      </c>
      <c r="U338" s="95">
        <v>0</v>
      </c>
      <c r="V338" s="95">
        <v>1325</v>
      </c>
      <c r="W338" s="95">
        <v>4804</v>
      </c>
      <c r="X338" s="97">
        <v>45040.375</v>
      </c>
      <c r="Y338" s="97">
        <v>44973.375</v>
      </c>
      <c r="Z338" s="97">
        <v>45035.375</v>
      </c>
      <c r="AA338" s="98"/>
    </row>
    <row r="339" spans="1:27" ht="15.75" hidden="1" customHeight="1">
      <c r="A339" s="94" t="s">
        <v>2936</v>
      </c>
      <c r="B339" s="94" t="s">
        <v>787</v>
      </c>
      <c r="C339" s="94" t="s">
        <v>66</v>
      </c>
      <c r="D339" s="95">
        <v>15000</v>
      </c>
      <c r="E339" s="94" t="s">
        <v>431</v>
      </c>
      <c r="F339" s="94" t="s">
        <v>433</v>
      </c>
      <c r="G339" s="95">
        <v>17</v>
      </c>
      <c r="H339" s="94" t="s">
        <v>559</v>
      </c>
      <c r="I339" s="94" t="s">
        <v>6671</v>
      </c>
      <c r="J339" s="94" t="s">
        <v>440</v>
      </c>
      <c r="K339" s="95">
        <v>60</v>
      </c>
      <c r="L339" s="94"/>
      <c r="M339" s="95">
        <v>554</v>
      </c>
      <c r="N339" s="99" t="s">
        <v>435</v>
      </c>
      <c r="O339" s="94"/>
      <c r="P339" s="95">
        <v>1</v>
      </c>
      <c r="Q339" s="94" t="s">
        <v>436</v>
      </c>
      <c r="R339" s="95">
        <v>0</v>
      </c>
      <c r="S339" s="95">
        <v>0</v>
      </c>
      <c r="T339" s="95">
        <v>1625</v>
      </c>
      <c r="U339" s="95">
        <v>325</v>
      </c>
      <c r="V339" s="95">
        <v>3479</v>
      </c>
      <c r="W339" s="95">
        <v>4804</v>
      </c>
      <c r="X339" s="97">
        <v>45040.375</v>
      </c>
      <c r="Y339" s="97">
        <v>44973.375</v>
      </c>
      <c r="Z339" s="97">
        <v>45035.375</v>
      </c>
      <c r="AA339" s="98"/>
    </row>
    <row r="340" spans="1:27" ht="15.75" hidden="1" customHeight="1">
      <c r="A340" s="94" t="s">
        <v>2936</v>
      </c>
      <c r="B340" s="94" t="s">
        <v>787</v>
      </c>
      <c r="C340" s="94" t="s">
        <v>66</v>
      </c>
      <c r="D340" s="95">
        <v>15000</v>
      </c>
      <c r="E340" s="94" t="s">
        <v>431</v>
      </c>
      <c r="F340" s="94" t="s">
        <v>433</v>
      </c>
      <c r="G340" s="95">
        <v>18</v>
      </c>
      <c r="H340" s="94" t="s">
        <v>439</v>
      </c>
      <c r="I340" s="94" t="s">
        <v>6671</v>
      </c>
      <c r="J340" s="94" t="s">
        <v>440</v>
      </c>
      <c r="K340" s="95">
        <v>60</v>
      </c>
      <c r="L340" s="94"/>
      <c r="M340" s="95">
        <v>1235</v>
      </c>
      <c r="N340" s="99" t="s">
        <v>435</v>
      </c>
      <c r="O340" s="94"/>
      <c r="P340" s="95">
        <v>1</v>
      </c>
      <c r="Q340" s="94" t="s">
        <v>436</v>
      </c>
      <c r="R340" s="95">
        <v>0</v>
      </c>
      <c r="S340" s="95">
        <v>0</v>
      </c>
      <c r="T340" s="95">
        <v>729</v>
      </c>
      <c r="U340" s="95">
        <v>146</v>
      </c>
      <c r="V340" s="95">
        <v>3479</v>
      </c>
      <c r="W340" s="95">
        <v>4804</v>
      </c>
      <c r="X340" s="97">
        <v>45040.375</v>
      </c>
      <c r="Y340" s="97">
        <v>44973.375</v>
      </c>
      <c r="Z340" s="97">
        <v>45035.375</v>
      </c>
      <c r="AA340" s="98"/>
    </row>
    <row r="341" spans="1:27" ht="15.75" hidden="1" customHeight="1">
      <c r="A341" s="94" t="s">
        <v>2936</v>
      </c>
      <c r="B341" s="94" t="s">
        <v>787</v>
      </c>
      <c r="C341" s="94" t="s">
        <v>66</v>
      </c>
      <c r="D341" s="95">
        <v>15000</v>
      </c>
      <c r="E341" s="94" t="s">
        <v>431</v>
      </c>
      <c r="F341" s="94" t="s">
        <v>433</v>
      </c>
      <c r="G341" s="95">
        <v>19</v>
      </c>
      <c r="H341" s="94" t="s">
        <v>368</v>
      </c>
      <c r="I341" s="94" t="s">
        <v>6236</v>
      </c>
      <c r="J341" s="94" t="s">
        <v>434</v>
      </c>
      <c r="K341" s="95">
        <v>60</v>
      </c>
      <c r="L341" s="94"/>
      <c r="M341" s="95">
        <v>800</v>
      </c>
      <c r="N341" s="94" t="s">
        <v>435</v>
      </c>
      <c r="O341" s="94"/>
      <c r="P341" s="95">
        <v>3</v>
      </c>
      <c r="Q341" s="94" t="s">
        <v>436</v>
      </c>
      <c r="R341" s="95">
        <v>0</v>
      </c>
      <c r="S341" s="95">
        <v>0</v>
      </c>
      <c r="T341" s="95">
        <v>1125</v>
      </c>
      <c r="U341" s="95">
        <v>225</v>
      </c>
      <c r="V341" s="95">
        <v>3479</v>
      </c>
      <c r="W341" s="95">
        <v>4804</v>
      </c>
      <c r="X341" s="97">
        <v>45040.375</v>
      </c>
      <c r="Y341" s="97">
        <v>44973.375</v>
      </c>
      <c r="Z341" s="97">
        <v>45035.375</v>
      </c>
      <c r="AA341" s="98"/>
    </row>
    <row r="342" spans="1:27" ht="15.75" hidden="1" customHeight="1">
      <c r="A342" s="94" t="s">
        <v>2915</v>
      </c>
      <c r="B342" s="94" t="s">
        <v>645</v>
      </c>
      <c r="C342" s="94" t="s">
        <v>182</v>
      </c>
      <c r="D342" s="95">
        <v>10000</v>
      </c>
      <c r="E342" s="94" t="s">
        <v>424</v>
      </c>
      <c r="F342" s="94" t="s">
        <v>48</v>
      </c>
      <c r="G342" s="95">
        <v>4</v>
      </c>
      <c r="H342" s="94" t="s">
        <v>11</v>
      </c>
      <c r="I342" s="94" t="s">
        <v>7228</v>
      </c>
      <c r="J342" s="94" t="s">
        <v>426</v>
      </c>
      <c r="K342" s="95">
        <v>30</v>
      </c>
      <c r="L342" s="95">
        <v>50</v>
      </c>
      <c r="M342" s="94"/>
      <c r="N342" s="95">
        <v>52000</v>
      </c>
      <c r="O342" s="95">
        <v>1040</v>
      </c>
      <c r="P342" s="95">
        <v>1</v>
      </c>
      <c r="Q342" s="94" t="s">
        <v>383</v>
      </c>
      <c r="R342" s="95">
        <v>10</v>
      </c>
      <c r="S342" s="95">
        <v>300</v>
      </c>
      <c r="T342" s="95">
        <v>0</v>
      </c>
      <c r="U342" s="95">
        <v>0</v>
      </c>
      <c r="V342" s="95">
        <v>1730</v>
      </c>
      <c r="W342" s="95">
        <v>3080</v>
      </c>
      <c r="X342" s="97">
        <v>45007.375</v>
      </c>
      <c r="Y342" s="97">
        <v>44978.375</v>
      </c>
      <c r="Z342" s="97">
        <v>44981.375</v>
      </c>
      <c r="AA342" s="98"/>
    </row>
    <row r="343" spans="1:27" ht="15.75" hidden="1" customHeight="1">
      <c r="A343" s="94" t="s">
        <v>2915</v>
      </c>
      <c r="B343" s="94" t="s">
        <v>645</v>
      </c>
      <c r="C343" s="94" t="s">
        <v>182</v>
      </c>
      <c r="D343" s="95">
        <v>10000</v>
      </c>
      <c r="E343" s="94" t="s">
        <v>424</v>
      </c>
      <c r="F343" s="94" t="s">
        <v>48</v>
      </c>
      <c r="G343" s="95">
        <v>5</v>
      </c>
      <c r="H343" s="94" t="s">
        <v>12</v>
      </c>
      <c r="I343" s="94" t="s">
        <v>6923</v>
      </c>
      <c r="J343" s="94" t="s">
        <v>427</v>
      </c>
      <c r="K343" s="95">
        <v>140</v>
      </c>
      <c r="L343" s="95">
        <v>50</v>
      </c>
      <c r="M343" s="94"/>
      <c r="N343" s="95">
        <v>52000</v>
      </c>
      <c r="O343" s="95">
        <v>1040</v>
      </c>
      <c r="P343" s="95">
        <v>1</v>
      </c>
      <c r="Q343" s="94" t="s">
        <v>383</v>
      </c>
      <c r="R343" s="95">
        <v>10</v>
      </c>
      <c r="S343" s="95">
        <v>1400</v>
      </c>
      <c r="T343" s="95">
        <v>0</v>
      </c>
      <c r="U343" s="95">
        <v>0</v>
      </c>
      <c r="V343" s="95">
        <v>1730</v>
      </c>
      <c r="W343" s="95">
        <v>3080</v>
      </c>
      <c r="X343" s="97">
        <v>45007.375</v>
      </c>
      <c r="Y343" s="97">
        <v>44978.375</v>
      </c>
      <c r="Z343" s="97">
        <v>44981.375</v>
      </c>
      <c r="AA343" s="98"/>
    </row>
    <row r="344" spans="1:27" ht="15.75" hidden="1" customHeight="1">
      <c r="A344" s="94" t="s">
        <v>2915</v>
      </c>
      <c r="B344" s="94" t="s">
        <v>645</v>
      </c>
      <c r="C344" s="94" t="s">
        <v>182</v>
      </c>
      <c r="D344" s="95">
        <v>10000</v>
      </c>
      <c r="E344" s="94" t="s">
        <v>424</v>
      </c>
      <c r="F344" s="94" t="s">
        <v>48</v>
      </c>
      <c r="G344" s="95">
        <v>6</v>
      </c>
      <c r="H344" s="94" t="s">
        <v>13</v>
      </c>
      <c r="I344" s="94" t="s">
        <v>6923</v>
      </c>
      <c r="J344" s="94" t="s">
        <v>427</v>
      </c>
      <c r="K344" s="95">
        <v>30</v>
      </c>
      <c r="L344" s="95">
        <v>50</v>
      </c>
      <c r="M344" s="94"/>
      <c r="N344" s="95">
        <v>52000</v>
      </c>
      <c r="O344" s="95">
        <v>1040</v>
      </c>
      <c r="P344" s="95">
        <v>1</v>
      </c>
      <c r="Q344" s="94" t="s">
        <v>383</v>
      </c>
      <c r="R344" s="95">
        <v>10</v>
      </c>
      <c r="S344" s="95">
        <v>30</v>
      </c>
      <c r="T344" s="95">
        <v>0</v>
      </c>
      <c r="U344" s="95">
        <v>0</v>
      </c>
      <c r="V344" s="95">
        <v>1730</v>
      </c>
      <c r="W344" s="95">
        <v>3080</v>
      </c>
      <c r="X344" s="97">
        <v>45007.375</v>
      </c>
      <c r="Y344" s="97">
        <v>44978.375</v>
      </c>
      <c r="Z344" s="97">
        <v>44981.375</v>
      </c>
      <c r="AA344" s="98"/>
    </row>
    <row r="345" spans="1:27" ht="15.75" hidden="1" customHeight="1">
      <c r="A345" s="94" t="s">
        <v>2915</v>
      </c>
      <c r="B345" s="94" t="s">
        <v>645</v>
      </c>
      <c r="C345" s="94" t="s">
        <v>182</v>
      </c>
      <c r="D345" s="95">
        <v>10000</v>
      </c>
      <c r="E345" s="94" t="s">
        <v>431</v>
      </c>
      <c r="F345" s="94" t="s">
        <v>433</v>
      </c>
      <c r="G345" s="95">
        <v>18</v>
      </c>
      <c r="H345" s="94" t="s">
        <v>439</v>
      </c>
      <c r="I345" s="94" t="s">
        <v>6671</v>
      </c>
      <c r="J345" s="94" t="s">
        <v>440</v>
      </c>
      <c r="K345" s="95">
        <v>60</v>
      </c>
      <c r="L345" s="94"/>
      <c r="M345" s="95">
        <v>1600</v>
      </c>
      <c r="N345" s="94" t="s">
        <v>435</v>
      </c>
      <c r="O345" s="94"/>
      <c r="P345" s="95">
        <v>1</v>
      </c>
      <c r="Q345" s="94" t="s">
        <v>436</v>
      </c>
      <c r="R345" s="95">
        <v>0</v>
      </c>
      <c r="S345" s="95">
        <v>0</v>
      </c>
      <c r="T345" s="95">
        <v>375</v>
      </c>
      <c r="U345" s="95">
        <v>75</v>
      </c>
      <c r="V345" s="95">
        <v>1350</v>
      </c>
      <c r="W345" s="95">
        <v>3080</v>
      </c>
      <c r="X345" s="97">
        <v>45007.375</v>
      </c>
      <c r="Y345" s="97">
        <v>44978.375</v>
      </c>
      <c r="Z345" s="97">
        <v>44981.375</v>
      </c>
      <c r="AA345" s="98"/>
    </row>
    <row r="346" spans="1:27" ht="15.75" hidden="1" customHeight="1">
      <c r="A346" s="94" t="s">
        <v>2915</v>
      </c>
      <c r="B346" s="94" t="s">
        <v>645</v>
      </c>
      <c r="C346" s="94" t="s">
        <v>182</v>
      </c>
      <c r="D346" s="95">
        <v>10000</v>
      </c>
      <c r="E346" s="94" t="s">
        <v>431</v>
      </c>
      <c r="F346" s="94" t="s">
        <v>433</v>
      </c>
      <c r="G346" s="95">
        <v>19</v>
      </c>
      <c r="H346" s="94" t="s">
        <v>368</v>
      </c>
      <c r="I346" s="94" t="s">
        <v>6236</v>
      </c>
      <c r="J346" s="94" t="s">
        <v>434</v>
      </c>
      <c r="K346" s="95">
        <v>60</v>
      </c>
      <c r="L346" s="94"/>
      <c r="M346" s="95">
        <v>1000</v>
      </c>
      <c r="N346" s="94" t="s">
        <v>435</v>
      </c>
      <c r="O346" s="94"/>
      <c r="P346" s="95">
        <v>4</v>
      </c>
      <c r="Q346" s="94" t="s">
        <v>436</v>
      </c>
      <c r="R346" s="95">
        <v>0</v>
      </c>
      <c r="S346" s="95">
        <v>0</v>
      </c>
      <c r="T346" s="95">
        <v>600</v>
      </c>
      <c r="U346" s="95">
        <v>120</v>
      </c>
      <c r="V346" s="95">
        <v>1350</v>
      </c>
      <c r="W346" s="95">
        <v>3080</v>
      </c>
      <c r="X346" s="97">
        <v>45007.375</v>
      </c>
      <c r="Y346" s="97">
        <v>44978.375</v>
      </c>
      <c r="Z346" s="97">
        <v>44981.375</v>
      </c>
      <c r="AA346" s="98"/>
    </row>
    <row r="347" spans="1:27" ht="15.75" hidden="1" customHeight="1">
      <c r="A347" s="94" t="s">
        <v>3016</v>
      </c>
      <c r="B347" s="94" t="s">
        <v>508</v>
      </c>
      <c r="C347" s="94" t="s">
        <v>44</v>
      </c>
      <c r="D347" s="95">
        <v>20000</v>
      </c>
      <c r="E347" s="94" t="s">
        <v>424</v>
      </c>
      <c r="F347" s="94" t="s">
        <v>33</v>
      </c>
      <c r="G347" s="95">
        <v>10</v>
      </c>
      <c r="H347" s="94" t="s">
        <v>11</v>
      </c>
      <c r="I347" s="94" t="s">
        <v>7228</v>
      </c>
      <c r="J347" s="94" t="s">
        <v>426</v>
      </c>
      <c r="K347" s="95">
        <v>35</v>
      </c>
      <c r="L347" s="95">
        <v>50</v>
      </c>
      <c r="M347" s="94"/>
      <c r="N347" s="95">
        <v>70000</v>
      </c>
      <c r="O347" s="95">
        <v>1400</v>
      </c>
      <c r="P347" s="95">
        <v>1</v>
      </c>
      <c r="Q347" s="94" t="s">
        <v>383</v>
      </c>
      <c r="R347" s="95">
        <v>15</v>
      </c>
      <c r="S347" s="95">
        <v>525</v>
      </c>
      <c r="T347" s="95">
        <v>0</v>
      </c>
      <c r="U347" s="95">
        <v>0</v>
      </c>
      <c r="V347" s="95">
        <v>2625</v>
      </c>
      <c r="W347" s="95">
        <v>4125</v>
      </c>
      <c r="X347" s="97">
        <v>45023.375</v>
      </c>
      <c r="Y347" s="97">
        <v>44987.375</v>
      </c>
      <c r="Z347" s="97">
        <v>44986.375</v>
      </c>
      <c r="AA347" s="98"/>
    </row>
    <row r="348" spans="1:27" ht="15.75" hidden="1" customHeight="1">
      <c r="A348" s="94" t="s">
        <v>3016</v>
      </c>
      <c r="B348" s="94" t="s">
        <v>508</v>
      </c>
      <c r="C348" s="94" t="s">
        <v>44</v>
      </c>
      <c r="D348" s="95">
        <v>20000</v>
      </c>
      <c r="E348" s="94" t="s">
        <v>424</v>
      </c>
      <c r="F348" s="94" t="s">
        <v>33</v>
      </c>
      <c r="G348" s="95">
        <v>11</v>
      </c>
      <c r="H348" s="94" t="s">
        <v>12</v>
      </c>
      <c r="I348" s="94" t="s">
        <v>6923</v>
      </c>
      <c r="J348" s="94" t="s">
        <v>444</v>
      </c>
      <c r="K348" s="95">
        <v>125</v>
      </c>
      <c r="L348" s="95">
        <v>50</v>
      </c>
      <c r="M348" s="94"/>
      <c r="N348" s="95">
        <v>70000</v>
      </c>
      <c r="O348" s="95">
        <v>1400</v>
      </c>
      <c r="P348" s="95">
        <v>1</v>
      </c>
      <c r="Q348" s="94" t="s">
        <v>383</v>
      </c>
      <c r="R348" s="95">
        <v>15</v>
      </c>
      <c r="S348" s="95">
        <v>1875</v>
      </c>
      <c r="T348" s="95">
        <v>0</v>
      </c>
      <c r="U348" s="95">
        <v>0</v>
      </c>
      <c r="V348" s="95">
        <v>2625</v>
      </c>
      <c r="W348" s="95">
        <v>4125</v>
      </c>
      <c r="X348" s="97">
        <v>45023.375</v>
      </c>
      <c r="Y348" s="97">
        <v>44987.375</v>
      </c>
      <c r="Z348" s="97">
        <v>44986.375</v>
      </c>
      <c r="AA348" s="98"/>
    </row>
    <row r="349" spans="1:27" ht="15.75" hidden="1" customHeight="1">
      <c r="A349" s="94" t="s">
        <v>3016</v>
      </c>
      <c r="B349" s="94" t="s">
        <v>508</v>
      </c>
      <c r="C349" s="94" t="s">
        <v>44</v>
      </c>
      <c r="D349" s="95">
        <v>20000</v>
      </c>
      <c r="E349" s="94" t="s">
        <v>424</v>
      </c>
      <c r="F349" s="94" t="s">
        <v>33</v>
      </c>
      <c r="G349" s="95">
        <v>12</v>
      </c>
      <c r="H349" s="94" t="s">
        <v>13</v>
      </c>
      <c r="I349" s="94" t="s">
        <v>6923</v>
      </c>
      <c r="J349" s="94" t="s">
        <v>444</v>
      </c>
      <c r="K349" s="95">
        <v>15</v>
      </c>
      <c r="L349" s="95">
        <v>50</v>
      </c>
      <c r="M349" s="94"/>
      <c r="N349" s="95">
        <v>70000</v>
      </c>
      <c r="O349" s="95">
        <v>1400</v>
      </c>
      <c r="P349" s="95">
        <v>1</v>
      </c>
      <c r="Q349" s="94" t="s">
        <v>383</v>
      </c>
      <c r="R349" s="95">
        <v>15</v>
      </c>
      <c r="S349" s="95">
        <v>225</v>
      </c>
      <c r="T349" s="95">
        <v>0</v>
      </c>
      <c r="U349" s="95">
        <v>0</v>
      </c>
      <c r="V349" s="95">
        <v>2625</v>
      </c>
      <c r="W349" s="95">
        <v>4125</v>
      </c>
      <c r="X349" s="97">
        <v>45023.375</v>
      </c>
      <c r="Y349" s="97">
        <v>44987.375</v>
      </c>
      <c r="Z349" s="97">
        <v>44986.375</v>
      </c>
      <c r="AA349" s="98"/>
    </row>
    <row r="350" spans="1:27" ht="15.75" hidden="1" customHeight="1">
      <c r="A350" s="94" t="s">
        <v>3016</v>
      </c>
      <c r="B350" s="94" t="s">
        <v>508</v>
      </c>
      <c r="C350" s="94" t="s">
        <v>44</v>
      </c>
      <c r="D350" s="95">
        <v>20000</v>
      </c>
      <c r="E350" s="94" t="s">
        <v>431</v>
      </c>
      <c r="F350" s="94" t="s">
        <v>433</v>
      </c>
      <c r="G350" s="95">
        <v>19</v>
      </c>
      <c r="H350" s="94" t="s">
        <v>368</v>
      </c>
      <c r="I350" s="94" t="s">
        <v>6236</v>
      </c>
      <c r="J350" s="94" t="s">
        <v>434</v>
      </c>
      <c r="K350" s="95">
        <v>60</v>
      </c>
      <c r="L350" s="94"/>
      <c r="M350" s="95">
        <v>800</v>
      </c>
      <c r="N350" s="99" t="s">
        <v>435</v>
      </c>
      <c r="O350" s="94"/>
      <c r="P350" s="95">
        <v>4</v>
      </c>
      <c r="Q350" s="94" t="s">
        <v>436</v>
      </c>
      <c r="R350" s="95">
        <v>0</v>
      </c>
      <c r="S350" s="95">
        <v>0</v>
      </c>
      <c r="T350" s="95">
        <v>1500</v>
      </c>
      <c r="U350" s="95">
        <v>300</v>
      </c>
      <c r="V350" s="95">
        <v>1500</v>
      </c>
      <c r="W350" s="95">
        <v>4125</v>
      </c>
      <c r="X350" s="97">
        <v>45023.375</v>
      </c>
      <c r="Y350" s="97">
        <v>44987.375</v>
      </c>
      <c r="Z350" s="97">
        <v>44986.375</v>
      </c>
      <c r="AA350" s="98"/>
    </row>
    <row r="351" spans="1:27" ht="15.75" hidden="1" customHeight="1">
      <c r="A351" s="94" t="s">
        <v>3006</v>
      </c>
      <c r="B351" s="94" t="s">
        <v>593</v>
      </c>
      <c r="C351" s="94" t="s">
        <v>251</v>
      </c>
      <c r="D351" s="95">
        <v>10000</v>
      </c>
      <c r="E351" s="94" t="s">
        <v>442</v>
      </c>
      <c r="F351" s="94" t="s">
        <v>40</v>
      </c>
      <c r="G351" s="95">
        <v>1</v>
      </c>
      <c r="H351" s="94" t="s">
        <v>11</v>
      </c>
      <c r="I351" s="94" t="s">
        <v>7228</v>
      </c>
      <c r="J351" s="94" t="s">
        <v>426</v>
      </c>
      <c r="K351" s="95">
        <v>70</v>
      </c>
      <c r="L351" s="95">
        <v>96.6</v>
      </c>
      <c r="M351" s="94"/>
      <c r="N351" s="95">
        <v>400000</v>
      </c>
      <c r="O351" s="95">
        <v>4140</v>
      </c>
      <c r="P351" s="95">
        <v>1</v>
      </c>
      <c r="Q351" s="94" t="s">
        <v>383</v>
      </c>
      <c r="R351" s="95">
        <v>3</v>
      </c>
      <c r="S351" s="95">
        <v>210</v>
      </c>
      <c r="T351" s="95">
        <v>0</v>
      </c>
      <c r="U351" s="95">
        <v>0</v>
      </c>
      <c r="V351" s="95">
        <v>510</v>
      </c>
      <c r="W351" s="95">
        <v>3144</v>
      </c>
      <c r="X351" s="97">
        <v>45096.375</v>
      </c>
      <c r="Y351" s="97">
        <v>45071.375</v>
      </c>
      <c r="Z351" s="97">
        <v>45056.375</v>
      </c>
      <c r="AA351" s="98"/>
    </row>
    <row r="352" spans="1:27" ht="15.75" hidden="1" customHeight="1">
      <c r="A352" s="94" t="s">
        <v>3006</v>
      </c>
      <c r="B352" s="94" t="s">
        <v>593</v>
      </c>
      <c r="C352" s="94" t="s">
        <v>251</v>
      </c>
      <c r="D352" s="95">
        <v>10000</v>
      </c>
      <c r="E352" s="94" t="s">
        <v>442</v>
      </c>
      <c r="F352" s="94" t="s">
        <v>40</v>
      </c>
      <c r="G352" s="95">
        <v>2</v>
      </c>
      <c r="H352" s="94" t="s">
        <v>12</v>
      </c>
      <c r="I352" s="94" t="s">
        <v>6923</v>
      </c>
      <c r="J352" s="94" t="s">
        <v>449</v>
      </c>
      <c r="K352" s="95">
        <v>70</v>
      </c>
      <c r="L352" s="95">
        <v>96.6</v>
      </c>
      <c r="M352" s="94"/>
      <c r="N352" s="95">
        <v>400000</v>
      </c>
      <c r="O352" s="95">
        <v>4140</v>
      </c>
      <c r="P352" s="95">
        <v>1</v>
      </c>
      <c r="Q352" s="94" t="s">
        <v>383</v>
      </c>
      <c r="R352" s="95">
        <v>3</v>
      </c>
      <c r="S352" s="95">
        <v>210</v>
      </c>
      <c r="T352" s="95">
        <v>0</v>
      </c>
      <c r="U352" s="95">
        <v>0</v>
      </c>
      <c r="V352" s="95">
        <v>510</v>
      </c>
      <c r="W352" s="95">
        <v>3144</v>
      </c>
      <c r="X352" s="97">
        <v>45096.375</v>
      </c>
      <c r="Y352" s="97">
        <v>45071.375</v>
      </c>
      <c r="Z352" s="97">
        <v>45056.375</v>
      </c>
      <c r="AA352" s="98"/>
    </row>
    <row r="353" spans="1:27" ht="15.75" hidden="1" customHeight="1">
      <c r="A353" s="94" t="s">
        <v>3006</v>
      </c>
      <c r="B353" s="94" t="s">
        <v>593</v>
      </c>
      <c r="C353" s="94" t="s">
        <v>251</v>
      </c>
      <c r="D353" s="95">
        <v>10000</v>
      </c>
      <c r="E353" s="94" t="s">
        <v>442</v>
      </c>
      <c r="F353" s="94" t="s">
        <v>40</v>
      </c>
      <c r="G353" s="95">
        <v>3</v>
      </c>
      <c r="H353" s="94" t="s">
        <v>13</v>
      </c>
      <c r="I353" s="94" t="s">
        <v>6923</v>
      </c>
      <c r="J353" s="94" t="s">
        <v>449</v>
      </c>
      <c r="K353" s="95">
        <v>30</v>
      </c>
      <c r="L353" s="95">
        <v>96.6</v>
      </c>
      <c r="M353" s="94"/>
      <c r="N353" s="95">
        <v>400000</v>
      </c>
      <c r="O353" s="95">
        <v>4140</v>
      </c>
      <c r="P353" s="95">
        <v>1</v>
      </c>
      <c r="Q353" s="94" t="s">
        <v>383</v>
      </c>
      <c r="R353" s="95">
        <v>3</v>
      </c>
      <c r="S353" s="95">
        <v>90</v>
      </c>
      <c r="T353" s="95">
        <v>0</v>
      </c>
      <c r="U353" s="95">
        <v>0</v>
      </c>
      <c r="V353" s="95">
        <v>510</v>
      </c>
      <c r="W353" s="95">
        <v>3144</v>
      </c>
      <c r="X353" s="97">
        <v>45096.375</v>
      </c>
      <c r="Y353" s="97">
        <v>45071.375</v>
      </c>
      <c r="Z353" s="97">
        <v>45056.375</v>
      </c>
      <c r="AA353" s="98"/>
    </row>
    <row r="354" spans="1:27" ht="15.75" hidden="1" customHeight="1">
      <c r="A354" s="94" t="s">
        <v>3006</v>
      </c>
      <c r="B354" s="94" t="s">
        <v>593</v>
      </c>
      <c r="C354" s="94" t="s">
        <v>251</v>
      </c>
      <c r="D354" s="95">
        <v>10000</v>
      </c>
      <c r="E354" s="94" t="s">
        <v>424</v>
      </c>
      <c r="F354" s="94" t="s">
        <v>48</v>
      </c>
      <c r="G354" s="95">
        <v>5</v>
      </c>
      <c r="H354" s="94" t="s">
        <v>12</v>
      </c>
      <c r="I354" s="94" t="s">
        <v>6923</v>
      </c>
      <c r="J354" s="94" t="s">
        <v>427</v>
      </c>
      <c r="K354" s="95">
        <v>80</v>
      </c>
      <c r="L354" s="95">
        <v>23.4</v>
      </c>
      <c r="M354" s="94"/>
      <c r="N354" s="95">
        <v>42500</v>
      </c>
      <c r="O354" s="95">
        <v>1816</v>
      </c>
      <c r="P354" s="95">
        <v>1</v>
      </c>
      <c r="Q354" s="94" t="s">
        <v>383</v>
      </c>
      <c r="R354" s="95">
        <v>6</v>
      </c>
      <c r="S354" s="95">
        <v>480</v>
      </c>
      <c r="T354" s="95">
        <v>0</v>
      </c>
      <c r="U354" s="95">
        <v>0</v>
      </c>
      <c r="V354" s="95">
        <v>510</v>
      </c>
      <c r="W354" s="95">
        <v>3144</v>
      </c>
      <c r="X354" s="97">
        <v>45096.375</v>
      </c>
      <c r="Y354" s="97">
        <v>45071.375</v>
      </c>
      <c r="Z354" s="97">
        <v>45056.375</v>
      </c>
      <c r="AA354" s="98"/>
    </row>
    <row r="355" spans="1:27" ht="15.75" hidden="1" customHeight="1">
      <c r="A355" s="94" t="s">
        <v>3006</v>
      </c>
      <c r="B355" s="94" t="s">
        <v>593</v>
      </c>
      <c r="C355" s="94" t="s">
        <v>251</v>
      </c>
      <c r="D355" s="95">
        <v>10000</v>
      </c>
      <c r="E355" s="94" t="s">
        <v>424</v>
      </c>
      <c r="F355" s="94" t="s">
        <v>48</v>
      </c>
      <c r="G355" s="95">
        <v>6</v>
      </c>
      <c r="H355" s="94" t="s">
        <v>13</v>
      </c>
      <c r="I355" s="94" t="s">
        <v>6923</v>
      </c>
      <c r="J355" s="94" t="s">
        <v>427</v>
      </c>
      <c r="K355" s="95">
        <v>30</v>
      </c>
      <c r="L355" s="95">
        <v>23.4</v>
      </c>
      <c r="M355" s="94"/>
      <c r="N355" s="96">
        <v>42500</v>
      </c>
      <c r="O355" s="95">
        <v>1816</v>
      </c>
      <c r="P355" s="95">
        <v>1</v>
      </c>
      <c r="Q355" s="94" t="s">
        <v>383</v>
      </c>
      <c r="R355" s="95">
        <v>6</v>
      </c>
      <c r="S355" s="95">
        <v>30</v>
      </c>
      <c r="T355" s="95">
        <v>0</v>
      </c>
      <c r="U355" s="95">
        <v>0</v>
      </c>
      <c r="V355" s="95">
        <v>510</v>
      </c>
      <c r="W355" s="95">
        <v>3144</v>
      </c>
      <c r="X355" s="97">
        <v>45096.375</v>
      </c>
      <c r="Y355" s="97">
        <v>45071.375</v>
      </c>
      <c r="Z355" s="97">
        <v>45056.375</v>
      </c>
      <c r="AA355" s="98"/>
    </row>
    <row r="356" spans="1:27" ht="15.75" hidden="1" customHeight="1">
      <c r="A356" s="94" t="s">
        <v>3006</v>
      </c>
      <c r="B356" s="94" t="s">
        <v>593</v>
      </c>
      <c r="C356" s="94" t="s">
        <v>251</v>
      </c>
      <c r="D356" s="95">
        <v>10000</v>
      </c>
      <c r="E356" s="94" t="s">
        <v>431</v>
      </c>
      <c r="F356" s="94" t="s">
        <v>433</v>
      </c>
      <c r="G356" s="95">
        <v>18</v>
      </c>
      <c r="H356" s="94" t="s">
        <v>439</v>
      </c>
      <c r="I356" s="94" t="s">
        <v>6671</v>
      </c>
      <c r="J356" s="94" t="s">
        <v>440</v>
      </c>
      <c r="K356" s="95">
        <v>60</v>
      </c>
      <c r="L356" s="94"/>
      <c r="M356" s="95">
        <v>650</v>
      </c>
      <c r="N356" s="99" t="s">
        <v>435</v>
      </c>
      <c r="O356" s="94"/>
      <c r="P356" s="95">
        <v>1</v>
      </c>
      <c r="Q356" s="94" t="s">
        <v>436</v>
      </c>
      <c r="R356" s="95">
        <v>0</v>
      </c>
      <c r="S356" s="95">
        <v>0</v>
      </c>
      <c r="T356" s="95">
        <v>924</v>
      </c>
      <c r="U356" s="95">
        <v>185</v>
      </c>
      <c r="V356" s="95">
        <v>2124</v>
      </c>
      <c r="W356" s="95">
        <v>3144</v>
      </c>
      <c r="X356" s="97">
        <v>45096.375</v>
      </c>
      <c r="Y356" s="97">
        <v>45071.375</v>
      </c>
      <c r="Z356" s="97">
        <v>45056.375</v>
      </c>
      <c r="AA356" s="98"/>
    </row>
    <row r="357" spans="1:27" ht="15.75" hidden="1" customHeight="1">
      <c r="A357" s="94" t="s">
        <v>3006</v>
      </c>
      <c r="B357" s="94" t="s">
        <v>593</v>
      </c>
      <c r="C357" s="94" t="s">
        <v>251</v>
      </c>
      <c r="D357" s="95">
        <v>10000</v>
      </c>
      <c r="E357" s="94" t="s">
        <v>431</v>
      </c>
      <c r="F357" s="94" t="s">
        <v>433</v>
      </c>
      <c r="G357" s="95">
        <v>19</v>
      </c>
      <c r="H357" s="94" t="s">
        <v>368</v>
      </c>
      <c r="I357" s="94" t="s">
        <v>6236</v>
      </c>
      <c r="J357" s="94" t="s">
        <v>434</v>
      </c>
      <c r="K357" s="95">
        <v>60</v>
      </c>
      <c r="L357" s="94"/>
      <c r="M357" s="95">
        <v>500</v>
      </c>
      <c r="N357" s="99" t="s">
        <v>435</v>
      </c>
      <c r="O357" s="94"/>
      <c r="P357" s="95">
        <v>4</v>
      </c>
      <c r="Q357" s="94" t="s">
        <v>436</v>
      </c>
      <c r="R357" s="95">
        <v>0</v>
      </c>
      <c r="S357" s="95">
        <v>0</v>
      </c>
      <c r="T357" s="95">
        <v>1200</v>
      </c>
      <c r="U357" s="95">
        <v>240</v>
      </c>
      <c r="V357" s="95">
        <v>2124</v>
      </c>
      <c r="W357" s="95">
        <v>3144</v>
      </c>
      <c r="X357" s="97">
        <v>45096.375</v>
      </c>
      <c r="Y357" s="97">
        <v>45071.375</v>
      </c>
      <c r="Z357" s="97">
        <v>45056.375</v>
      </c>
      <c r="AA357" s="98"/>
    </row>
    <row r="358" spans="1:27" ht="15.75" hidden="1" customHeight="1">
      <c r="A358" s="94" t="s">
        <v>2940</v>
      </c>
      <c r="B358" s="94" t="s">
        <v>845</v>
      </c>
      <c r="C358" s="94" t="s">
        <v>228</v>
      </c>
      <c r="D358" s="95">
        <v>7790</v>
      </c>
      <c r="E358" s="94" t="s">
        <v>442</v>
      </c>
      <c r="F358" s="94" t="s">
        <v>40</v>
      </c>
      <c r="G358" s="95">
        <v>1</v>
      </c>
      <c r="H358" s="94" t="s">
        <v>11</v>
      </c>
      <c r="I358" s="94" t="s">
        <v>7228</v>
      </c>
      <c r="J358" s="94" t="s">
        <v>426</v>
      </c>
      <c r="K358" s="95">
        <v>50</v>
      </c>
      <c r="L358" s="95">
        <v>312</v>
      </c>
      <c r="M358" s="94"/>
      <c r="N358" s="96">
        <v>412000</v>
      </c>
      <c r="O358" s="95">
        <v>1320</v>
      </c>
      <c r="P358" s="95">
        <v>1</v>
      </c>
      <c r="Q358" s="94" t="s">
        <v>383</v>
      </c>
      <c r="R358" s="95">
        <v>6</v>
      </c>
      <c r="S358" s="95">
        <v>300</v>
      </c>
      <c r="T358" s="95">
        <v>0</v>
      </c>
      <c r="U358" s="95">
        <v>0</v>
      </c>
      <c r="V358" s="95">
        <v>1110</v>
      </c>
      <c r="W358" s="95">
        <v>2895</v>
      </c>
      <c r="X358" s="97">
        <v>45091.375</v>
      </c>
      <c r="Y358" s="97">
        <v>44959.375</v>
      </c>
      <c r="Z358" s="97">
        <v>44975.375</v>
      </c>
      <c r="AA358" s="98"/>
    </row>
    <row r="359" spans="1:27" ht="15.75" hidden="1" customHeight="1">
      <c r="A359" s="94" t="s">
        <v>2940</v>
      </c>
      <c r="B359" s="94" t="s">
        <v>845</v>
      </c>
      <c r="C359" s="94" t="s">
        <v>228</v>
      </c>
      <c r="D359" s="95">
        <v>7790</v>
      </c>
      <c r="E359" s="94" t="s">
        <v>442</v>
      </c>
      <c r="F359" s="94" t="s">
        <v>40</v>
      </c>
      <c r="G359" s="95">
        <v>2</v>
      </c>
      <c r="H359" s="94" t="s">
        <v>12</v>
      </c>
      <c r="I359" s="94" t="s">
        <v>6923</v>
      </c>
      <c r="J359" s="94" t="s">
        <v>449</v>
      </c>
      <c r="K359" s="95">
        <v>105</v>
      </c>
      <c r="L359" s="95">
        <v>312</v>
      </c>
      <c r="M359" s="94"/>
      <c r="N359" s="96">
        <v>412000</v>
      </c>
      <c r="O359" s="95">
        <v>1320</v>
      </c>
      <c r="P359" s="95">
        <v>1</v>
      </c>
      <c r="Q359" s="94" t="s">
        <v>383</v>
      </c>
      <c r="R359" s="95">
        <v>6</v>
      </c>
      <c r="S359" s="95">
        <v>630</v>
      </c>
      <c r="T359" s="95">
        <v>0</v>
      </c>
      <c r="U359" s="95">
        <v>0</v>
      </c>
      <c r="V359" s="95">
        <v>1110</v>
      </c>
      <c r="W359" s="95">
        <v>2895</v>
      </c>
      <c r="X359" s="97">
        <v>45091.375</v>
      </c>
      <c r="Y359" s="97">
        <v>44959.375</v>
      </c>
      <c r="Z359" s="97">
        <v>44975.375</v>
      </c>
      <c r="AA359" s="98"/>
    </row>
    <row r="360" spans="1:27" ht="15.75" hidden="1" customHeight="1">
      <c r="A360" s="94" t="s">
        <v>2940</v>
      </c>
      <c r="B360" s="94" t="s">
        <v>845</v>
      </c>
      <c r="C360" s="94" t="s">
        <v>228</v>
      </c>
      <c r="D360" s="95">
        <v>7790</v>
      </c>
      <c r="E360" s="94" t="s">
        <v>442</v>
      </c>
      <c r="F360" s="94" t="s">
        <v>40</v>
      </c>
      <c r="G360" s="95">
        <v>3</v>
      </c>
      <c r="H360" s="94" t="s">
        <v>13</v>
      </c>
      <c r="I360" s="94" t="s">
        <v>6923</v>
      </c>
      <c r="J360" s="94" t="s">
        <v>449</v>
      </c>
      <c r="K360" s="95">
        <v>30</v>
      </c>
      <c r="L360" s="95">
        <v>312</v>
      </c>
      <c r="M360" s="94"/>
      <c r="N360" s="96">
        <v>412000</v>
      </c>
      <c r="O360" s="95">
        <v>1320</v>
      </c>
      <c r="P360" s="95">
        <v>1</v>
      </c>
      <c r="Q360" s="94" t="s">
        <v>383</v>
      </c>
      <c r="R360" s="95">
        <v>6</v>
      </c>
      <c r="S360" s="95">
        <v>180</v>
      </c>
      <c r="T360" s="95">
        <v>0</v>
      </c>
      <c r="U360" s="95">
        <v>0</v>
      </c>
      <c r="V360" s="95">
        <v>1110</v>
      </c>
      <c r="W360" s="95">
        <v>2895</v>
      </c>
      <c r="X360" s="97">
        <v>45091.375</v>
      </c>
      <c r="Y360" s="97">
        <v>44959.375</v>
      </c>
      <c r="Z360" s="97">
        <v>44975.375</v>
      </c>
      <c r="AA360" s="98"/>
    </row>
    <row r="361" spans="1:27" ht="15.75" hidden="1" customHeight="1">
      <c r="A361" s="94" t="s">
        <v>2940</v>
      </c>
      <c r="B361" s="94" t="s">
        <v>845</v>
      </c>
      <c r="C361" s="94" t="s">
        <v>228</v>
      </c>
      <c r="D361" s="95">
        <v>7790</v>
      </c>
      <c r="E361" s="94" t="s">
        <v>431</v>
      </c>
      <c r="F361" s="94" t="s">
        <v>433</v>
      </c>
      <c r="G361" s="95">
        <v>18</v>
      </c>
      <c r="H361" s="94" t="s">
        <v>439</v>
      </c>
      <c r="I361" s="94" t="s">
        <v>6671</v>
      </c>
      <c r="J361" s="94" t="s">
        <v>440</v>
      </c>
      <c r="K361" s="95">
        <v>60</v>
      </c>
      <c r="L361" s="94"/>
      <c r="M361" s="95">
        <v>670</v>
      </c>
      <c r="N361" s="99" t="s">
        <v>435</v>
      </c>
      <c r="O361" s="94"/>
      <c r="P361" s="95">
        <v>1</v>
      </c>
      <c r="Q361" s="94" t="s">
        <v>436</v>
      </c>
      <c r="R361" s="95">
        <v>0</v>
      </c>
      <c r="S361" s="95">
        <v>0</v>
      </c>
      <c r="T361" s="95">
        <v>698</v>
      </c>
      <c r="U361" s="95">
        <v>140</v>
      </c>
      <c r="V361" s="95">
        <v>1785</v>
      </c>
      <c r="W361" s="95">
        <v>2895</v>
      </c>
      <c r="X361" s="97">
        <v>45091.375</v>
      </c>
      <c r="Y361" s="97">
        <v>44959.375</v>
      </c>
      <c r="Z361" s="97">
        <v>44975.375</v>
      </c>
      <c r="AA361" s="98"/>
    </row>
    <row r="362" spans="1:27" ht="15.75" hidden="1" customHeight="1">
      <c r="A362" s="94" t="s">
        <v>2940</v>
      </c>
      <c r="B362" s="94" t="s">
        <v>845</v>
      </c>
      <c r="C362" s="94" t="s">
        <v>228</v>
      </c>
      <c r="D362" s="95">
        <v>7790</v>
      </c>
      <c r="E362" s="94" t="s">
        <v>431</v>
      </c>
      <c r="F362" s="94" t="s">
        <v>433</v>
      </c>
      <c r="G362" s="95">
        <v>19</v>
      </c>
      <c r="H362" s="94" t="s">
        <v>368</v>
      </c>
      <c r="I362" s="94" t="s">
        <v>6236</v>
      </c>
      <c r="J362" s="94" t="s">
        <v>434</v>
      </c>
      <c r="K362" s="95">
        <v>60</v>
      </c>
      <c r="L362" s="94"/>
      <c r="M362" s="95">
        <v>430</v>
      </c>
      <c r="N362" s="99" t="s">
        <v>435</v>
      </c>
      <c r="O362" s="94"/>
      <c r="P362" s="95">
        <v>3</v>
      </c>
      <c r="Q362" s="94" t="s">
        <v>436</v>
      </c>
      <c r="R362" s="95">
        <v>0</v>
      </c>
      <c r="S362" s="95">
        <v>0</v>
      </c>
      <c r="T362" s="95">
        <v>1087</v>
      </c>
      <c r="U362" s="95">
        <v>218</v>
      </c>
      <c r="V362" s="95">
        <v>1785</v>
      </c>
      <c r="W362" s="95">
        <v>2895</v>
      </c>
      <c r="X362" s="97">
        <v>45091.375</v>
      </c>
      <c r="Y362" s="97">
        <v>44959.375</v>
      </c>
      <c r="Z362" s="97">
        <v>44975.375</v>
      </c>
      <c r="AA362" s="98"/>
    </row>
    <row r="363" spans="1:27" ht="15.75" hidden="1" customHeight="1">
      <c r="A363" s="94" t="s">
        <v>2917</v>
      </c>
      <c r="B363" s="94" t="s">
        <v>689</v>
      </c>
      <c r="C363" s="94" t="s">
        <v>174</v>
      </c>
      <c r="D363" s="95">
        <v>2500</v>
      </c>
      <c r="E363" s="94" t="s">
        <v>424</v>
      </c>
      <c r="F363" s="94" t="s">
        <v>48</v>
      </c>
      <c r="G363" s="95">
        <v>4</v>
      </c>
      <c r="H363" s="94" t="s">
        <v>11</v>
      </c>
      <c r="I363" s="94" t="s">
        <v>7228</v>
      </c>
      <c r="J363" s="94" t="s">
        <v>426</v>
      </c>
      <c r="K363" s="95">
        <v>105</v>
      </c>
      <c r="L363" s="95">
        <v>40</v>
      </c>
      <c r="M363" s="94"/>
      <c r="N363" s="95">
        <v>52000</v>
      </c>
      <c r="O363" s="95">
        <v>1300</v>
      </c>
      <c r="P363" s="95">
        <v>1</v>
      </c>
      <c r="Q363" s="94" t="s">
        <v>383</v>
      </c>
      <c r="R363" s="95">
        <v>2</v>
      </c>
      <c r="S363" s="95">
        <v>210</v>
      </c>
      <c r="T363" s="95">
        <v>0</v>
      </c>
      <c r="U363" s="95">
        <v>0</v>
      </c>
      <c r="V363" s="95">
        <v>540</v>
      </c>
      <c r="W363" s="95">
        <v>740</v>
      </c>
      <c r="X363" s="97">
        <v>45103.375</v>
      </c>
      <c r="Y363" s="97">
        <v>45083.375</v>
      </c>
      <c r="Z363" s="97">
        <v>45058.375</v>
      </c>
      <c r="AA363" s="98"/>
    </row>
    <row r="364" spans="1:27" ht="15.75" hidden="1" customHeight="1">
      <c r="A364" s="94" t="s">
        <v>2917</v>
      </c>
      <c r="B364" s="94" t="s">
        <v>689</v>
      </c>
      <c r="C364" s="94" t="s">
        <v>174</v>
      </c>
      <c r="D364" s="95">
        <v>2500</v>
      </c>
      <c r="E364" s="94" t="s">
        <v>424</v>
      </c>
      <c r="F364" s="94" t="s">
        <v>48</v>
      </c>
      <c r="G364" s="95">
        <v>5</v>
      </c>
      <c r="H364" s="94" t="s">
        <v>12</v>
      </c>
      <c r="I364" s="94" t="s">
        <v>6923</v>
      </c>
      <c r="J364" s="94" t="s">
        <v>427</v>
      </c>
      <c r="K364" s="95">
        <v>120</v>
      </c>
      <c r="L364" s="95">
        <v>40</v>
      </c>
      <c r="M364" s="94"/>
      <c r="N364" s="95">
        <v>52000</v>
      </c>
      <c r="O364" s="95">
        <v>1300</v>
      </c>
      <c r="P364" s="95">
        <v>1</v>
      </c>
      <c r="Q364" s="94" t="s">
        <v>383</v>
      </c>
      <c r="R364" s="95">
        <v>2</v>
      </c>
      <c r="S364" s="95">
        <v>240</v>
      </c>
      <c r="T364" s="95">
        <v>0</v>
      </c>
      <c r="U364" s="95">
        <v>0</v>
      </c>
      <c r="V364" s="95">
        <v>540</v>
      </c>
      <c r="W364" s="95">
        <v>740</v>
      </c>
      <c r="X364" s="97">
        <v>45103.375</v>
      </c>
      <c r="Y364" s="97">
        <v>45083.375</v>
      </c>
      <c r="Z364" s="97">
        <v>45058.375</v>
      </c>
      <c r="AA364" s="98"/>
    </row>
    <row r="365" spans="1:27" ht="15.75" hidden="1" customHeight="1">
      <c r="A365" s="94" t="s">
        <v>2917</v>
      </c>
      <c r="B365" s="94" t="s">
        <v>689</v>
      </c>
      <c r="C365" s="94" t="s">
        <v>174</v>
      </c>
      <c r="D365" s="95">
        <v>2500</v>
      </c>
      <c r="E365" s="94" t="s">
        <v>424</v>
      </c>
      <c r="F365" s="94" t="s">
        <v>48</v>
      </c>
      <c r="G365" s="95">
        <v>6</v>
      </c>
      <c r="H365" s="94" t="s">
        <v>13</v>
      </c>
      <c r="I365" s="94" t="s">
        <v>6923</v>
      </c>
      <c r="J365" s="94" t="s">
        <v>427</v>
      </c>
      <c r="K365" s="95">
        <v>90</v>
      </c>
      <c r="L365" s="95">
        <v>40</v>
      </c>
      <c r="M365" s="94"/>
      <c r="N365" s="95">
        <v>52000</v>
      </c>
      <c r="O365" s="95">
        <v>1300</v>
      </c>
      <c r="P365" s="95">
        <v>1</v>
      </c>
      <c r="Q365" s="94" t="s">
        <v>383</v>
      </c>
      <c r="R365" s="95">
        <v>2</v>
      </c>
      <c r="S365" s="95">
        <v>90</v>
      </c>
      <c r="T365" s="95">
        <v>0</v>
      </c>
      <c r="U365" s="95">
        <v>0</v>
      </c>
      <c r="V365" s="95">
        <v>540</v>
      </c>
      <c r="W365" s="95">
        <v>740</v>
      </c>
      <c r="X365" s="97">
        <v>45103.375</v>
      </c>
      <c r="Y365" s="97">
        <v>45083.375</v>
      </c>
      <c r="Z365" s="97">
        <v>45058.375</v>
      </c>
      <c r="AA365" s="98"/>
    </row>
    <row r="366" spans="1:27" ht="15.75" hidden="1" customHeight="1">
      <c r="A366" s="94" t="s">
        <v>2917</v>
      </c>
      <c r="B366" s="94" t="s">
        <v>689</v>
      </c>
      <c r="C366" s="94" t="s">
        <v>174</v>
      </c>
      <c r="D366" s="95">
        <v>2500</v>
      </c>
      <c r="E366" s="94" t="s">
        <v>431</v>
      </c>
      <c r="F366" s="94" t="s">
        <v>433</v>
      </c>
      <c r="G366" s="95">
        <v>19</v>
      </c>
      <c r="H366" s="94" t="s">
        <v>368</v>
      </c>
      <c r="I366" s="94" t="s">
        <v>6236</v>
      </c>
      <c r="J366" s="94" t="s">
        <v>434</v>
      </c>
      <c r="K366" s="95">
        <v>60</v>
      </c>
      <c r="L366" s="94"/>
      <c r="M366" s="95">
        <v>750</v>
      </c>
      <c r="N366" s="94" t="s">
        <v>435</v>
      </c>
      <c r="O366" s="94"/>
      <c r="P366" s="95">
        <v>4</v>
      </c>
      <c r="Q366" s="94" t="s">
        <v>436</v>
      </c>
      <c r="R366" s="95">
        <v>0</v>
      </c>
      <c r="S366" s="95">
        <v>0</v>
      </c>
      <c r="T366" s="95">
        <v>200</v>
      </c>
      <c r="U366" s="95">
        <v>40</v>
      </c>
      <c r="V366" s="95">
        <v>200</v>
      </c>
      <c r="W366" s="95">
        <v>740</v>
      </c>
      <c r="X366" s="97">
        <v>45103.375</v>
      </c>
      <c r="Y366" s="97">
        <v>45083.375</v>
      </c>
      <c r="Z366" s="97">
        <v>45058.375</v>
      </c>
      <c r="AA366" s="98"/>
    </row>
    <row r="367" spans="1:27" ht="15.75" hidden="1" customHeight="1">
      <c r="A367" s="94" t="s">
        <v>2985</v>
      </c>
      <c r="B367" s="94" t="s">
        <v>507</v>
      </c>
      <c r="C367" s="94" t="s">
        <v>51</v>
      </c>
      <c r="D367" s="95">
        <v>2544</v>
      </c>
      <c r="E367" s="94" t="s">
        <v>442</v>
      </c>
      <c r="F367" s="94" t="s">
        <v>40</v>
      </c>
      <c r="G367" s="95">
        <v>1</v>
      </c>
      <c r="H367" s="94" t="s">
        <v>11</v>
      </c>
      <c r="I367" s="94" t="s">
        <v>7228</v>
      </c>
      <c r="J367" s="94" t="s">
        <v>426</v>
      </c>
      <c r="K367" s="95">
        <v>50</v>
      </c>
      <c r="L367" s="95">
        <v>90</v>
      </c>
      <c r="M367" s="94"/>
      <c r="N367" s="96">
        <v>367000</v>
      </c>
      <c r="O367" s="95">
        <v>4077</v>
      </c>
      <c r="P367" s="95">
        <v>1</v>
      </c>
      <c r="Q367" s="94" t="s">
        <v>383</v>
      </c>
      <c r="R367" s="95">
        <v>1</v>
      </c>
      <c r="S367" s="95">
        <v>50</v>
      </c>
      <c r="T367" s="95">
        <v>0</v>
      </c>
      <c r="U367" s="95">
        <v>0</v>
      </c>
      <c r="V367" s="95">
        <v>170</v>
      </c>
      <c r="W367" s="95">
        <v>458</v>
      </c>
      <c r="X367" s="97">
        <v>45103.375</v>
      </c>
      <c r="Y367" s="97">
        <v>45083.375</v>
      </c>
      <c r="Z367" s="97">
        <v>45086.375</v>
      </c>
      <c r="AA367" s="98"/>
    </row>
    <row r="368" spans="1:27" ht="15.75" hidden="1" customHeight="1">
      <c r="A368" s="94" t="s">
        <v>2985</v>
      </c>
      <c r="B368" s="94" t="s">
        <v>507</v>
      </c>
      <c r="C368" s="94" t="s">
        <v>51</v>
      </c>
      <c r="D368" s="95">
        <v>2544</v>
      </c>
      <c r="E368" s="94" t="s">
        <v>442</v>
      </c>
      <c r="F368" s="94" t="s">
        <v>40</v>
      </c>
      <c r="G368" s="95">
        <v>2</v>
      </c>
      <c r="H368" s="94" t="s">
        <v>12</v>
      </c>
      <c r="I368" s="94" t="s">
        <v>6923</v>
      </c>
      <c r="J368" s="94" t="s">
        <v>449</v>
      </c>
      <c r="K368" s="95">
        <v>90</v>
      </c>
      <c r="L368" s="95">
        <v>90</v>
      </c>
      <c r="M368" s="94"/>
      <c r="N368" s="96">
        <v>367000</v>
      </c>
      <c r="O368" s="95">
        <v>4077</v>
      </c>
      <c r="P368" s="95">
        <v>1</v>
      </c>
      <c r="Q368" s="94" t="s">
        <v>383</v>
      </c>
      <c r="R368" s="95">
        <v>1</v>
      </c>
      <c r="S368" s="95">
        <v>90</v>
      </c>
      <c r="T368" s="95">
        <v>0</v>
      </c>
      <c r="U368" s="95">
        <v>0</v>
      </c>
      <c r="V368" s="95">
        <v>170</v>
      </c>
      <c r="W368" s="95">
        <v>458</v>
      </c>
      <c r="X368" s="97">
        <v>45103.375</v>
      </c>
      <c r="Y368" s="97">
        <v>45083.375</v>
      </c>
      <c r="Z368" s="97">
        <v>45086.375</v>
      </c>
      <c r="AA368" s="98"/>
    </row>
    <row r="369" spans="1:27" ht="15.75" hidden="1" customHeight="1">
      <c r="A369" s="94" t="s">
        <v>2985</v>
      </c>
      <c r="B369" s="94" t="s">
        <v>507</v>
      </c>
      <c r="C369" s="94" t="s">
        <v>51</v>
      </c>
      <c r="D369" s="95">
        <v>2544</v>
      </c>
      <c r="E369" s="94" t="s">
        <v>442</v>
      </c>
      <c r="F369" s="94" t="s">
        <v>40</v>
      </c>
      <c r="G369" s="95">
        <v>3</v>
      </c>
      <c r="H369" s="94" t="s">
        <v>13</v>
      </c>
      <c r="I369" s="94" t="s">
        <v>6923</v>
      </c>
      <c r="J369" s="94" t="s">
        <v>449</v>
      </c>
      <c r="K369" s="95">
        <v>30</v>
      </c>
      <c r="L369" s="95">
        <v>90</v>
      </c>
      <c r="M369" s="94"/>
      <c r="N369" s="96">
        <v>367000</v>
      </c>
      <c r="O369" s="95">
        <v>4077</v>
      </c>
      <c r="P369" s="95">
        <v>1</v>
      </c>
      <c r="Q369" s="94" t="s">
        <v>383</v>
      </c>
      <c r="R369" s="95">
        <v>1</v>
      </c>
      <c r="S369" s="95">
        <v>30</v>
      </c>
      <c r="T369" s="95">
        <v>0</v>
      </c>
      <c r="U369" s="95">
        <v>0</v>
      </c>
      <c r="V369" s="95">
        <v>170</v>
      </c>
      <c r="W369" s="95">
        <v>458</v>
      </c>
      <c r="X369" s="97">
        <v>45103.375</v>
      </c>
      <c r="Y369" s="97">
        <v>45083.375</v>
      </c>
      <c r="Z369" s="97">
        <v>45086.375</v>
      </c>
      <c r="AA369" s="98"/>
    </row>
    <row r="370" spans="1:27" ht="15.75" hidden="1" customHeight="1">
      <c r="A370" s="94" t="s">
        <v>2985</v>
      </c>
      <c r="B370" s="94" t="s">
        <v>507</v>
      </c>
      <c r="C370" s="94" t="s">
        <v>51</v>
      </c>
      <c r="D370" s="95">
        <v>2544</v>
      </c>
      <c r="E370" s="94" t="s">
        <v>431</v>
      </c>
      <c r="F370" s="94" t="s">
        <v>433</v>
      </c>
      <c r="G370" s="95">
        <v>18</v>
      </c>
      <c r="H370" s="94" t="s">
        <v>439</v>
      </c>
      <c r="I370" s="94" t="s">
        <v>6671</v>
      </c>
      <c r="J370" s="94" t="s">
        <v>440</v>
      </c>
      <c r="K370" s="95">
        <v>60</v>
      </c>
      <c r="L370" s="94"/>
      <c r="M370" s="95">
        <v>1300</v>
      </c>
      <c r="N370" s="99" t="s">
        <v>435</v>
      </c>
      <c r="O370" s="94"/>
      <c r="P370" s="95">
        <v>1</v>
      </c>
      <c r="Q370" s="94" t="s">
        <v>436</v>
      </c>
      <c r="R370" s="95">
        <v>0</v>
      </c>
      <c r="S370" s="95">
        <v>0</v>
      </c>
      <c r="T370" s="95">
        <v>118</v>
      </c>
      <c r="U370" s="95">
        <v>24</v>
      </c>
      <c r="V370" s="95">
        <v>288</v>
      </c>
      <c r="W370" s="95">
        <v>458</v>
      </c>
      <c r="X370" s="97">
        <v>45103.375</v>
      </c>
      <c r="Y370" s="97">
        <v>45083.375</v>
      </c>
      <c r="Z370" s="97">
        <v>45086.375</v>
      </c>
      <c r="AA370" s="98"/>
    </row>
    <row r="371" spans="1:27" ht="15.75" hidden="1" customHeight="1">
      <c r="A371" s="94" t="s">
        <v>2985</v>
      </c>
      <c r="B371" s="94" t="s">
        <v>507</v>
      </c>
      <c r="C371" s="94" t="s">
        <v>51</v>
      </c>
      <c r="D371" s="95">
        <v>2544</v>
      </c>
      <c r="E371" s="94" t="s">
        <v>431</v>
      </c>
      <c r="F371" s="94" t="s">
        <v>433</v>
      </c>
      <c r="G371" s="95">
        <v>19</v>
      </c>
      <c r="H371" s="94" t="s">
        <v>368</v>
      </c>
      <c r="I371" s="94" t="s">
        <v>6236</v>
      </c>
      <c r="J371" s="94" t="s">
        <v>434</v>
      </c>
      <c r="K371" s="95">
        <v>60</v>
      </c>
      <c r="L371" s="94"/>
      <c r="M371" s="95">
        <v>900</v>
      </c>
      <c r="N371" s="99" t="s">
        <v>435</v>
      </c>
      <c r="O371" s="94"/>
      <c r="P371" s="95">
        <v>4</v>
      </c>
      <c r="Q371" s="94" t="s">
        <v>436</v>
      </c>
      <c r="R371" s="95">
        <v>0</v>
      </c>
      <c r="S371" s="95">
        <v>0</v>
      </c>
      <c r="T371" s="95">
        <v>170</v>
      </c>
      <c r="U371" s="95">
        <v>34</v>
      </c>
      <c r="V371" s="95">
        <v>288</v>
      </c>
      <c r="W371" s="95">
        <v>458</v>
      </c>
      <c r="X371" s="97">
        <v>45103.375</v>
      </c>
      <c r="Y371" s="97">
        <v>45083.375</v>
      </c>
      <c r="Z371" s="97">
        <v>45086.375</v>
      </c>
      <c r="AA371" s="98"/>
    </row>
    <row r="372" spans="1:27" ht="15.75" hidden="1" customHeight="1">
      <c r="A372" s="94" t="s">
        <v>2904</v>
      </c>
      <c r="B372" s="94" t="s">
        <v>953</v>
      </c>
      <c r="C372" s="94" t="s">
        <v>242</v>
      </c>
      <c r="D372" s="95">
        <v>1000</v>
      </c>
      <c r="E372" s="94" t="s">
        <v>442</v>
      </c>
      <c r="F372" s="94" t="s">
        <v>33</v>
      </c>
      <c r="G372" s="95">
        <v>11</v>
      </c>
      <c r="H372" s="94" t="s">
        <v>12</v>
      </c>
      <c r="I372" s="94" t="s">
        <v>6923</v>
      </c>
      <c r="J372" s="94" t="s">
        <v>444</v>
      </c>
      <c r="K372" s="95">
        <v>30</v>
      </c>
      <c r="L372" s="95">
        <v>44.5</v>
      </c>
      <c r="M372" s="94"/>
      <c r="N372" s="96">
        <v>48000</v>
      </c>
      <c r="O372" s="95">
        <v>1078</v>
      </c>
      <c r="P372" s="95">
        <v>1</v>
      </c>
      <c r="Q372" s="94" t="s">
        <v>383</v>
      </c>
      <c r="R372" s="95">
        <v>1</v>
      </c>
      <c r="S372" s="95">
        <v>30</v>
      </c>
      <c r="T372" s="95">
        <v>0</v>
      </c>
      <c r="U372" s="95">
        <v>0</v>
      </c>
      <c r="V372" s="95">
        <v>45</v>
      </c>
      <c r="W372" s="95">
        <v>217</v>
      </c>
      <c r="X372" s="97">
        <v>45097.375</v>
      </c>
      <c r="Y372" s="97">
        <v>45050.375</v>
      </c>
      <c r="Z372" s="97">
        <v>45086.375</v>
      </c>
      <c r="AA372" s="98"/>
    </row>
    <row r="373" spans="1:27" ht="15.75" hidden="1" customHeight="1">
      <c r="A373" s="94" t="s">
        <v>2904</v>
      </c>
      <c r="B373" s="94" t="s">
        <v>953</v>
      </c>
      <c r="C373" s="94" t="s">
        <v>242</v>
      </c>
      <c r="D373" s="95">
        <v>1000</v>
      </c>
      <c r="E373" s="94" t="s">
        <v>442</v>
      </c>
      <c r="F373" s="94" t="s">
        <v>33</v>
      </c>
      <c r="G373" s="95">
        <v>12</v>
      </c>
      <c r="H373" s="94" t="s">
        <v>13</v>
      </c>
      <c r="I373" s="94" t="s">
        <v>6923</v>
      </c>
      <c r="J373" s="94" t="s">
        <v>444</v>
      </c>
      <c r="K373" s="95">
        <v>15</v>
      </c>
      <c r="L373" s="95">
        <v>44.5</v>
      </c>
      <c r="M373" s="94"/>
      <c r="N373" s="96">
        <v>48000</v>
      </c>
      <c r="O373" s="95">
        <v>1078</v>
      </c>
      <c r="P373" s="95">
        <v>1</v>
      </c>
      <c r="Q373" s="94" t="s">
        <v>383</v>
      </c>
      <c r="R373" s="95">
        <v>1</v>
      </c>
      <c r="S373" s="95">
        <v>15</v>
      </c>
      <c r="T373" s="95">
        <v>0</v>
      </c>
      <c r="U373" s="95">
        <v>0</v>
      </c>
      <c r="V373" s="95">
        <v>45</v>
      </c>
      <c r="W373" s="95">
        <v>217</v>
      </c>
      <c r="X373" s="97">
        <v>45097.375</v>
      </c>
      <c r="Y373" s="97">
        <v>45050.375</v>
      </c>
      <c r="Z373" s="97">
        <v>45086.375</v>
      </c>
      <c r="AA373" s="98"/>
    </row>
    <row r="374" spans="1:27" ht="15.75" hidden="1" customHeight="1">
      <c r="A374" s="94" t="s">
        <v>2904</v>
      </c>
      <c r="B374" s="94" t="s">
        <v>953</v>
      </c>
      <c r="C374" s="94" t="s">
        <v>242</v>
      </c>
      <c r="D374" s="95">
        <v>1000</v>
      </c>
      <c r="E374" s="94" t="s">
        <v>431</v>
      </c>
      <c r="F374" s="94" t="s">
        <v>433</v>
      </c>
      <c r="G374" s="95">
        <v>18</v>
      </c>
      <c r="H374" s="94" t="s">
        <v>439</v>
      </c>
      <c r="I374" s="94" t="s">
        <v>6671</v>
      </c>
      <c r="J374" s="94" t="s">
        <v>440</v>
      </c>
      <c r="K374" s="95">
        <v>60</v>
      </c>
      <c r="L374" s="94"/>
      <c r="M374" s="95">
        <v>700</v>
      </c>
      <c r="N374" s="99" t="s">
        <v>435</v>
      </c>
      <c r="O374" s="94"/>
      <c r="P374" s="95">
        <v>1</v>
      </c>
      <c r="Q374" s="94" t="s">
        <v>436</v>
      </c>
      <c r="R374" s="95">
        <v>0</v>
      </c>
      <c r="S374" s="95">
        <v>0</v>
      </c>
      <c r="T374" s="95">
        <v>86</v>
      </c>
      <c r="U374" s="95">
        <v>18</v>
      </c>
      <c r="V374" s="95">
        <v>172</v>
      </c>
      <c r="W374" s="95">
        <v>217</v>
      </c>
      <c r="X374" s="97">
        <v>45097.375</v>
      </c>
      <c r="Y374" s="97">
        <v>45050.375</v>
      </c>
      <c r="Z374" s="97">
        <v>45086.375</v>
      </c>
      <c r="AA374" s="98"/>
    </row>
    <row r="375" spans="1:27" ht="15.75" hidden="1" customHeight="1">
      <c r="A375" s="94" t="s">
        <v>2904</v>
      </c>
      <c r="B375" s="94" t="s">
        <v>953</v>
      </c>
      <c r="C375" s="94" t="s">
        <v>242</v>
      </c>
      <c r="D375" s="95">
        <v>1000</v>
      </c>
      <c r="E375" s="94" t="s">
        <v>431</v>
      </c>
      <c r="F375" s="94" t="s">
        <v>433</v>
      </c>
      <c r="G375" s="95">
        <v>19</v>
      </c>
      <c r="H375" s="94" t="s">
        <v>368</v>
      </c>
      <c r="I375" s="94" t="s">
        <v>6236</v>
      </c>
      <c r="J375" s="94" t="s">
        <v>434</v>
      </c>
      <c r="K375" s="95">
        <v>60</v>
      </c>
      <c r="L375" s="94"/>
      <c r="M375" s="95">
        <v>700</v>
      </c>
      <c r="N375" s="94" t="s">
        <v>435</v>
      </c>
      <c r="O375" s="94"/>
      <c r="P375" s="95">
        <v>4</v>
      </c>
      <c r="Q375" s="94" t="s">
        <v>436</v>
      </c>
      <c r="R375" s="95">
        <v>0</v>
      </c>
      <c r="S375" s="95">
        <v>0</v>
      </c>
      <c r="T375" s="95">
        <v>86</v>
      </c>
      <c r="U375" s="95">
        <v>18</v>
      </c>
      <c r="V375" s="95">
        <v>172</v>
      </c>
      <c r="W375" s="95">
        <v>217</v>
      </c>
      <c r="X375" s="97">
        <v>45097.375</v>
      </c>
      <c r="Y375" s="97">
        <v>45050.375</v>
      </c>
      <c r="Z375" s="97">
        <v>45086.375</v>
      </c>
      <c r="AA375" s="98"/>
    </row>
    <row r="376" spans="1:27" ht="15.75" hidden="1" customHeight="1">
      <c r="A376" s="94" t="s">
        <v>2941</v>
      </c>
      <c r="B376" s="94" t="s">
        <v>866</v>
      </c>
      <c r="C376" s="94" t="s">
        <v>161</v>
      </c>
      <c r="D376" s="95">
        <v>1660</v>
      </c>
      <c r="E376" s="94" t="s">
        <v>424</v>
      </c>
      <c r="F376" s="94" t="s">
        <v>48</v>
      </c>
      <c r="G376" s="95">
        <v>4</v>
      </c>
      <c r="H376" s="94" t="s">
        <v>11</v>
      </c>
      <c r="I376" s="94" t="s">
        <v>7228</v>
      </c>
      <c r="J376" s="94" t="s">
        <v>426</v>
      </c>
      <c r="K376" s="95">
        <v>90</v>
      </c>
      <c r="L376" s="95">
        <v>60</v>
      </c>
      <c r="M376" s="94"/>
      <c r="N376" s="95">
        <v>51500</v>
      </c>
      <c r="O376" s="95">
        <v>858</v>
      </c>
      <c r="P376" s="95">
        <v>1</v>
      </c>
      <c r="Q376" s="94" t="s">
        <v>383</v>
      </c>
      <c r="R376" s="95">
        <v>2</v>
      </c>
      <c r="S376" s="95">
        <v>180</v>
      </c>
      <c r="T376" s="95">
        <v>0</v>
      </c>
      <c r="U376" s="95">
        <v>0</v>
      </c>
      <c r="V376" s="95">
        <v>570</v>
      </c>
      <c r="W376" s="95">
        <v>688</v>
      </c>
      <c r="X376" s="97">
        <v>45110.375</v>
      </c>
      <c r="Y376" s="97">
        <v>45069.375</v>
      </c>
      <c r="Z376" s="97">
        <v>45079.375</v>
      </c>
      <c r="AA376" s="98"/>
    </row>
    <row r="377" spans="1:27" ht="15.75" hidden="1" customHeight="1">
      <c r="A377" s="94" t="s">
        <v>2941</v>
      </c>
      <c r="B377" s="94" t="s">
        <v>866</v>
      </c>
      <c r="C377" s="94" t="s">
        <v>161</v>
      </c>
      <c r="D377" s="95">
        <v>1660</v>
      </c>
      <c r="E377" s="94" t="s">
        <v>424</v>
      </c>
      <c r="F377" s="94" t="s">
        <v>48</v>
      </c>
      <c r="G377" s="95">
        <v>5</v>
      </c>
      <c r="H377" s="94" t="s">
        <v>12</v>
      </c>
      <c r="I377" s="94" t="s">
        <v>6923</v>
      </c>
      <c r="J377" s="94" t="s">
        <v>427</v>
      </c>
      <c r="K377" s="95">
        <v>150</v>
      </c>
      <c r="L377" s="95">
        <v>60</v>
      </c>
      <c r="M377" s="94"/>
      <c r="N377" s="95">
        <v>51500</v>
      </c>
      <c r="O377" s="95">
        <v>858</v>
      </c>
      <c r="P377" s="95">
        <v>1</v>
      </c>
      <c r="Q377" s="94" t="s">
        <v>383</v>
      </c>
      <c r="R377" s="95">
        <v>2</v>
      </c>
      <c r="S377" s="95">
        <v>300</v>
      </c>
      <c r="T377" s="95">
        <v>0</v>
      </c>
      <c r="U377" s="95">
        <v>0</v>
      </c>
      <c r="V377" s="95">
        <v>570</v>
      </c>
      <c r="W377" s="95">
        <v>688</v>
      </c>
      <c r="X377" s="97">
        <v>45110.375</v>
      </c>
      <c r="Y377" s="97">
        <v>45069.375</v>
      </c>
      <c r="Z377" s="97">
        <v>45079.375</v>
      </c>
      <c r="AA377" s="98"/>
    </row>
    <row r="378" spans="1:27" ht="15.75" hidden="1" customHeight="1">
      <c r="A378" s="94" t="s">
        <v>2941</v>
      </c>
      <c r="B378" s="94" t="s">
        <v>866</v>
      </c>
      <c r="C378" s="94" t="s">
        <v>161</v>
      </c>
      <c r="D378" s="95">
        <v>1660</v>
      </c>
      <c r="E378" s="94" t="s">
        <v>424</v>
      </c>
      <c r="F378" s="94" t="s">
        <v>48</v>
      </c>
      <c r="G378" s="95">
        <v>6</v>
      </c>
      <c r="H378" s="94" t="s">
        <v>13</v>
      </c>
      <c r="I378" s="94" t="s">
        <v>6923</v>
      </c>
      <c r="J378" s="94" t="s">
        <v>427</v>
      </c>
      <c r="K378" s="95">
        <v>90</v>
      </c>
      <c r="L378" s="95">
        <v>60</v>
      </c>
      <c r="M378" s="94"/>
      <c r="N378" s="95">
        <v>51500</v>
      </c>
      <c r="O378" s="95">
        <v>858</v>
      </c>
      <c r="P378" s="95">
        <v>1</v>
      </c>
      <c r="Q378" s="94" t="s">
        <v>383</v>
      </c>
      <c r="R378" s="95">
        <v>2</v>
      </c>
      <c r="S378" s="95">
        <v>90</v>
      </c>
      <c r="T378" s="95">
        <v>0</v>
      </c>
      <c r="U378" s="95">
        <v>0</v>
      </c>
      <c r="V378" s="95">
        <v>570</v>
      </c>
      <c r="W378" s="95">
        <v>688</v>
      </c>
      <c r="X378" s="97">
        <v>45110.375</v>
      </c>
      <c r="Y378" s="97">
        <v>45069.375</v>
      </c>
      <c r="Z378" s="97">
        <v>45079.375</v>
      </c>
      <c r="AA378" s="98"/>
    </row>
    <row r="379" spans="1:27" ht="15.75" hidden="1" customHeight="1">
      <c r="A379" s="94" t="s">
        <v>2941</v>
      </c>
      <c r="B379" s="94" t="s">
        <v>866</v>
      </c>
      <c r="C379" s="94" t="s">
        <v>161</v>
      </c>
      <c r="D379" s="95">
        <v>1660</v>
      </c>
      <c r="E379" s="94" t="s">
        <v>431</v>
      </c>
      <c r="F379" s="94" t="s">
        <v>433</v>
      </c>
      <c r="G379" s="95">
        <v>19</v>
      </c>
      <c r="H379" s="94" t="s">
        <v>368</v>
      </c>
      <c r="I379" s="94" t="s">
        <v>6236</v>
      </c>
      <c r="J379" s="94" t="s">
        <v>434</v>
      </c>
      <c r="K379" s="95">
        <v>60</v>
      </c>
      <c r="L379" s="94"/>
      <c r="M379" s="95">
        <v>850</v>
      </c>
      <c r="N379" s="94" t="s">
        <v>435</v>
      </c>
      <c r="O379" s="94"/>
      <c r="P379" s="95">
        <v>4</v>
      </c>
      <c r="Q379" s="94" t="s">
        <v>436</v>
      </c>
      <c r="R379" s="95">
        <v>0</v>
      </c>
      <c r="S379" s="95">
        <v>0</v>
      </c>
      <c r="T379" s="95">
        <v>118</v>
      </c>
      <c r="U379" s="95">
        <v>24</v>
      </c>
      <c r="V379" s="95">
        <v>118</v>
      </c>
      <c r="W379" s="95">
        <v>688</v>
      </c>
      <c r="X379" s="97">
        <v>45110.375</v>
      </c>
      <c r="Y379" s="97">
        <v>45069.375</v>
      </c>
      <c r="Z379" s="97">
        <v>45079.375</v>
      </c>
      <c r="AA379" s="98"/>
    </row>
    <row r="380" spans="1:27" ht="15.75" hidden="1" customHeight="1">
      <c r="A380" s="94" t="s">
        <v>2886</v>
      </c>
      <c r="B380" s="94" t="s">
        <v>962</v>
      </c>
      <c r="C380" s="94" t="s">
        <v>245</v>
      </c>
      <c r="D380" s="95">
        <v>1000</v>
      </c>
      <c r="E380" s="94" t="s">
        <v>442</v>
      </c>
      <c r="F380" s="94" t="s">
        <v>33</v>
      </c>
      <c r="G380" s="95">
        <v>10</v>
      </c>
      <c r="H380" s="94" t="s">
        <v>11</v>
      </c>
      <c r="I380" s="94" t="s">
        <v>7228</v>
      </c>
      <c r="J380" s="94" t="s">
        <v>426</v>
      </c>
      <c r="K380" s="95">
        <v>35</v>
      </c>
      <c r="L380" s="95">
        <v>48.5</v>
      </c>
      <c r="M380" s="94"/>
      <c r="N380" s="95">
        <v>70000</v>
      </c>
      <c r="O380" s="95">
        <v>1443</v>
      </c>
      <c r="P380" s="95">
        <v>1</v>
      </c>
      <c r="Q380" s="94" t="s">
        <v>383</v>
      </c>
      <c r="R380" s="95">
        <v>1</v>
      </c>
      <c r="S380" s="95">
        <v>35</v>
      </c>
      <c r="T380" s="95">
        <v>0</v>
      </c>
      <c r="U380" s="95">
        <v>0</v>
      </c>
      <c r="V380" s="95">
        <v>175</v>
      </c>
      <c r="W380" s="95">
        <v>277</v>
      </c>
      <c r="X380" s="97">
        <v>45104.375</v>
      </c>
      <c r="Y380" s="97">
        <v>45027.375</v>
      </c>
      <c r="Z380" s="97">
        <v>45091.375</v>
      </c>
      <c r="AA380" s="98"/>
    </row>
    <row r="381" spans="1:27" ht="15.75" hidden="1" customHeight="1">
      <c r="A381" s="94" t="s">
        <v>2886</v>
      </c>
      <c r="B381" s="94" t="s">
        <v>962</v>
      </c>
      <c r="C381" s="94" t="s">
        <v>245</v>
      </c>
      <c r="D381" s="95">
        <v>1000</v>
      </c>
      <c r="E381" s="94" t="s">
        <v>442</v>
      </c>
      <c r="F381" s="94" t="s">
        <v>33</v>
      </c>
      <c r="G381" s="95">
        <v>11</v>
      </c>
      <c r="H381" s="94" t="s">
        <v>12</v>
      </c>
      <c r="I381" s="94" t="s">
        <v>6923</v>
      </c>
      <c r="J381" s="94" t="s">
        <v>444</v>
      </c>
      <c r="K381" s="95">
        <v>125</v>
      </c>
      <c r="L381" s="95">
        <v>48.5</v>
      </c>
      <c r="M381" s="94"/>
      <c r="N381" s="96">
        <v>70000</v>
      </c>
      <c r="O381" s="95">
        <v>1443</v>
      </c>
      <c r="P381" s="95">
        <v>1</v>
      </c>
      <c r="Q381" s="94" t="s">
        <v>383</v>
      </c>
      <c r="R381" s="95">
        <v>1</v>
      </c>
      <c r="S381" s="95">
        <v>125</v>
      </c>
      <c r="T381" s="95">
        <v>0</v>
      </c>
      <c r="U381" s="95">
        <v>0</v>
      </c>
      <c r="V381" s="95">
        <v>175</v>
      </c>
      <c r="W381" s="95">
        <v>277</v>
      </c>
      <c r="X381" s="97">
        <v>45104.375</v>
      </c>
      <c r="Y381" s="97">
        <v>45027.375</v>
      </c>
      <c r="Z381" s="97">
        <v>45091.375</v>
      </c>
      <c r="AA381" s="98"/>
    </row>
    <row r="382" spans="1:27" ht="15.75" hidden="1" customHeight="1">
      <c r="A382" s="94" t="s">
        <v>2886</v>
      </c>
      <c r="B382" s="94" t="s">
        <v>962</v>
      </c>
      <c r="C382" s="94" t="s">
        <v>245</v>
      </c>
      <c r="D382" s="95">
        <v>1000</v>
      </c>
      <c r="E382" s="94" t="s">
        <v>442</v>
      </c>
      <c r="F382" s="94" t="s">
        <v>33</v>
      </c>
      <c r="G382" s="95">
        <v>12</v>
      </c>
      <c r="H382" s="94" t="s">
        <v>13</v>
      </c>
      <c r="I382" s="94" t="s">
        <v>6923</v>
      </c>
      <c r="J382" s="94" t="s">
        <v>444</v>
      </c>
      <c r="K382" s="95">
        <v>15</v>
      </c>
      <c r="L382" s="95">
        <v>48.5</v>
      </c>
      <c r="M382" s="94"/>
      <c r="N382" s="95">
        <v>70000</v>
      </c>
      <c r="O382" s="95">
        <v>1443</v>
      </c>
      <c r="P382" s="95">
        <v>1</v>
      </c>
      <c r="Q382" s="94" t="s">
        <v>383</v>
      </c>
      <c r="R382" s="95">
        <v>1</v>
      </c>
      <c r="S382" s="95">
        <v>15</v>
      </c>
      <c r="T382" s="95">
        <v>0</v>
      </c>
      <c r="U382" s="95">
        <v>0</v>
      </c>
      <c r="V382" s="95">
        <v>175</v>
      </c>
      <c r="W382" s="95">
        <v>277</v>
      </c>
      <c r="X382" s="97">
        <v>45104.375</v>
      </c>
      <c r="Y382" s="97">
        <v>45027.375</v>
      </c>
      <c r="Z382" s="97">
        <v>45091.375</v>
      </c>
      <c r="AA382" s="98"/>
    </row>
    <row r="383" spans="1:27" ht="15.75" hidden="1" customHeight="1">
      <c r="A383" s="94" t="s">
        <v>2886</v>
      </c>
      <c r="B383" s="94" t="s">
        <v>962</v>
      </c>
      <c r="C383" s="94" t="s">
        <v>245</v>
      </c>
      <c r="D383" s="95">
        <v>1000</v>
      </c>
      <c r="E383" s="94" t="s">
        <v>431</v>
      </c>
      <c r="F383" s="94" t="s">
        <v>433</v>
      </c>
      <c r="G383" s="95">
        <v>18</v>
      </c>
      <c r="H383" s="94" t="s">
        <v>439</v>
      </c>
      <c r="I383" s="94" t="s">
        <v>6671</v>
      </c>
      <c r="J383" s="94" t="s">
        <v>440</v>
      </c>
      <c r="K383" s="95">
        <v>60</v>
      </c>
      <c r="L383" s="94"/>
      <c r="M383" s="95">
        <v>1300</v>
      </c>
      <c r="N383" s="94" t="s">
        <v>435</v>
      </c>
      <c r="O383" s="94"/>
      <c r="P383" s="95">
        <v>1</v>
      </c>
      <c r="Q383" s="94" t="s">
        <v>436</v>
      </c>
      <c r="R383" s="95">
        <v>0</v>
      </c>
      <c r="S383" s="95">
        <v>0</v>
      </c>
      <c r="T383" s="95">
        <v>47</v>
      </c>
      <c r="U383" s="95">
        <v>10</v>
      </c>
      <c r="V383" s="95">
        <v>102</v>
      </c>
      <c r="W383" s="95">
        <v>277</v>
      </c>
      <c r="X383" s="97">
        <v>45104.375</v>
      </c>
      <c r="Y383" s="97">
        <v>45027.375</v>
      </c>
      <c r="Z383" s="97">
        <v>45091.375</v>
      </c>
      <c r="AA383" s="98"/>
    </row>
    <row r="384" spans="1:27" ht="15.75" hidden="1" customHeight="1">
      <c r="A384" s="94" t="s">
        <v>2886</v>
      </c>
      <c r="B384" s="94" t="s">
        <v>962</v>
      </c>
      <c r="C384" s="94" t="s">
        <v>245</v>
      </c>
      <c r="D384" s="95">
        <v>1000</v>
      </c>
      <c r="E384" s="94" t="s">
        <v>431</v>
      </c>
      <c r="F384" s="94" t="s">
        <v>433</v>
      </c>
      <c r="G384" s="95">
        <v>19</v>
      </c>
      <c r="H384" s="94" t="s">
        <v>368</v>
      </c>
      <c r="I384" s="94" t="s">
        <v>6236</v>
      </c>
      <c r="J384" s="94" t="s">
        <v>434</v>
      </c>
      <c r="K384" s="95">
        <v>60</v>
      </c>
      <c r="L384" s="94"/>
      <c r="M384" s="95">
        <v>1100</v>
      </c>
      <c r="N384" s="94" t="s">
        <v>435</v>
      </c>
      <c r="O384" s="94"/>
      <c r="P384" s="95">
        <v>4</v>
      </c>
      <c r="Q384" s="94" t="s">
        <v>436</v>
      </c>
      <c r="R384" s="95">
        <v>0</v>
      </c>
      <c r="S384" s="95">
        <v>0</v>
      </c>
      <c r="T384" s="95">
        <v>55</v>
      </c>
      <c r="U384" s="95">
        <v>11</v>
      </c>
      <c r="V384" s="95">
        <v>102</v>
      </c>
      <c r="W384" s="95">
        <v>277</v>
      </c>
      <c r="X384" s="97">
        <v>45104.375</v>
      </c>
      <c r="Y384" s="97">
        <v>45027.375</v>
      </c>
      <c r="Z384" s="97">
        <v>45091.375</v>
      </c>
      <c r="AA384" s="98"/>
    </row>
    <row r="385" spans="1:27" ht="15.75" hidden="1" customHeight="1">
      <c r="A385" s="94" t="s">
        <v>2859</v>
      </c>
      <c r="B385" s="94" t="s">
        <v>889</v>
      </c>
      <c r="C385" s="94" t="s">
        <v>248</v>
      </c>
      <c r="D385" s="95">
        <v>3000</v>
      </c>
      <c r="E385" s="94" t="s">
        <v>442</v>
      </c>
      <c r="F385" s="94" t="s">
        <v>33</v>
      </c>
      <c r="G385" s="95">
        <v>10</v>
      </c>
      <c r="H385" s="94" t="s">
        <v>11</v>
      </c>
      <c r="I385" s="94" t="s">
        <v>7228</v>
      </c>
      <c r="J385" s="94" t="s">
        <v>426</v>
      </c>
      <c r="K385" s="95">
        <v>70</v>
      </c>
      <c r="L385" s="95">
        <v>15</v>
      </c>
      <c r="M385" s="94"/>
      <c r="N385" s="95">
        <v>100000</v>
      </c>
      <c r="O385" s="95">
        <v>6666</v>
      </c>
      <c r="P385" s="95">
        <v>1</v>
      </c>
      <c r="Q385" s="94" t="s">
        <v>383</v>
      </c>
      <c r="R385" s="95">
        <v>1</v>
      </c>
      <c r="S385" s="95">
        <v>70</v>
      </c>
      <c r="T385" s="95">
        <v>0</v>
      </c>
      <c r="U385" s="95">
        <v>0</v>
      </c>
      <c r="V385" s="95">
        <v>120</v>
      </c>
      <c r="W385" s="95">
        <v>310</v>
      </c>
      <c r="X385" s="97">
        <v>45105.375</v>
      </c>
      <c r="Y385" s="97">
        <v>45079.375</v>
      </c>
      <c r="Z385" s="97">
        <v>45093.375</v>
      </c>
      <c r="AA385" s="98"/>
    </row>
    <row r="386" spans="1:27" ht="15.75" hidden="1" customHeight="1">
      <c r="A386" s="94" t="s">
        <v>2859</v>
      </c>
      <c r="B386" s="94" t="s">
        <v>889</v>
      </c>
      <c r="C386" s="94" t="s">
        <v>248</v>
      </c>
      <c r="D386" s="95">
        <v>3000</v>
      </c>
      <c r="E386" s="94" t="s">
        <v>442</v>
      </c>
      <c r="F386" s="94" t="s">
        <v>33</v>
      </c>
      <c r="G386" s="95">
        <v>11</v>
      </c>
      <c r="H386" s="94" t="s">
        <v>12</v>
      </c>
      <c r="I386" s="94" t="s">
        <v>6923</v>
      </c>
      <c r="J386" s="94" t="s">
        <v>444</v>
      </c>
      <c r="K386" s="95">
        <v>40</v>
      </c>
      <c r="L386" s="95">
        <v>15</v>
      </c>
      <c r="M386" s="94"/>
      <c r="N386" s="95">
        <v>100000</v>
      </c>
      <c r="O386" s="95">
        <v>6666</v>
      </c>
      <c r="P386" s="95">
        <v>1</v>
      </c>
      <c r="Q386" s="94" t="s">
        <v>383</v>
      </c>
      <c r="R386" s="95">
        <v>1</v>
      </c>
      <c r="S386" s="95">
        <v>40</v>
      </c>
      <c r="T386" s="95">
        <v>0</v>
      </c>
      <c r="U386" s="95">
        <v>0</v>
      </c>
      <c r="V386" s="95">
        <v>120</v>
      </c>
      <c r="W386" s="95">
        <v>310</v>
      </c>
      <c r="X386" s="97">
        <v>45105.375</v>
      </c>
      <c r="Y386" s="97">
        <v>45079.375</v>
      </c>
      <c r="Z386" s="97">
        <v>45093.375</v>
      </c>
      <c r="AA386" s="98"/>
    </row>
    <row r="387" spans="1:27" ht="15.75" hidden="1" customHeight="1">
      <c r="A387" s="94" t="s">
        <v>2859</v>
      </c>
      <c r="B387" s="94" t="s">
        <v>889</v>
      </c>
      <c r="C387" s="94" t="s">
        <v>248</v>
      </c>
      <c r="D387" s="95">
        <v>3000</v>
      </c>
      <c r="E387" s="94" t="s">
        <v>442</v>
      </c>
      <c r="F387" s="94" t="s">
        <v>33</v>
      </c>
      <c r="G387" s="95">
        <v>12</v>
      </c>
      <c r="H387" s="94" t="s">
        <v>13</v>
      </c>
      <c r="I387" s="94" t="s">
        <v>6923</v>
      </c>
      <c r="J387" s="94" t="s">
        <v>444</v>
      </c>
      <c r="K387" s="95">
        <v>10</v>
      </c>
      <c r="L387" s="95">
        <v>15</v>
      </c>
      <c r="M387" s="94"/>
      <c r="N387" s="96">
        <v>100000</v>
      </c>
      <c r="O387" s="95">
        <v>6666</v>
      </c>
      <c r="P387" s="95">
        <v>1</v>
      </c>
      <c r="Q387" s="94" t="s">
        <v>383</v>
      </c>
      <c r="R387" s="95">
        <v>1</v>
      </c>
      <c r="S387" s="95">
        <v>10</v>
      </c>
      <c r="T387" s="95">
        <v>0</v>
      </c>
      <c r="U387" s="95">
        <v>0</v>
      </c>
      <c r="V387" s="95">
        <v>120</v>
      </c>
      <c r="W387" s="95">
        <v>310</v>
      </c>
      <c r="X387" s="97">
        <v>45105.375</v>
      </c>
      <c r="Y387" s="97">
        <v>45079.375</v>
      </c>
      <c r="Z387" s="97">
        <v>45093.375</v>
      </c>
      <c r="AA387" s="98"/>
    </row>
    <row r="388" spans="1:27" ht="15.75" hidden="1" customHeight="1">
      <c r="A388" s="94" t="s">
        <v>2859</v>
      </c>
      <c r="B388" s="94" t="s">
        <v>889</v>
      </c>
      <c r="C388" s="94" t="s">
        <v>248</v>
      </c>
      <c r="D388" s="95">
        <v>3000</v>
      </c>
      <c r="E388" s="94" t="s">
        <v>431</v>
      </c>
      <c r="F388" s="94" t="s">
        <v>433</v>
      </c>
      <c r="G388" s="95">
        <v>18</v>
      </c>
      <c r="H388" s="94" t="s">
        <v>439</v>
      </c>
      <c r="I388" s="94" t="s">
        <v>6671</v>
      </c>
      <c r="J388" s="94" t="s">
        <v>440</v>
      </c>
      <c r="K388" s="95">
        <v>60</v>
      </c>
      <c r="L388" s="94"/>
      <c r="M388" s="95">
        <v>2000</v>
      </c>
      <c r="N388" s="99" t="s">
        <v>435</v>
      </c>
      <c r="O388" s="94"/>
      <c r="P388" s="95">
        <v>1</v>
      </c>
      <c r="Q388" s="94" t="s">
        <v>436</v>
      </c>
      <c r="R388" s="95">
        <v>0</v>
      </c>
      <c r="S388" s="95">
        <v>0</v>
      </c>
      <c r="T388" s="95">
        <v>90</v>
      </c>
      <c r="U388" s="95">
        <v>18</v>
      </c>
      <c r="V388" s="95">
        <v>190</v>
      </c>
      <c r="W388" s="95">
        <v>310</v>
      </c>
      <c r="X388" s="97">
        <v>45105.375</v>
      </c>
      <c r="Y388" s="97">
        <v>45079.375</v>
      </c>
      <c r="Z388" s="97">
        <v>45093.375</v>
      </c>
      <c r="AA388" s="98"/>
    </row>
    <row r="389" spans="1:27" ht="15.75" hidden="1" customHeight="1">
      <c r="A389" s="94" t="s">
        <v>2859</v>
      </c>
      <c r="B389" s="94" t="s">
        <v>889</v>
      </c>
      <c r="C389" s="94" t="s">
        <v>248</v>
      </c>
      <c r="D389" s="95">
        <v>3000</v>
      </c>
      <c r="E389" s="94" t="s">
        <v>431</v>
      </c>
      <c r="F389" s="94" t="s">
        <v>433</v>
      </c>
      <c r="G389" s="95">
        <v>19</v>
      </c>
      <c r="H389" s="94" t="s">
        <v>368</v>
      </c>
      <c r="I389" s="94" t="s">
        <v>6236</v>
      </c>
      <c r="J389" s="94" t="s">
        <v>434</v>
      </c>
      <c r="K389" s="95">
        <v>60</v>
      </c>
      <c r="L389" s="94"/>
      <c r="M389" s="95">
        <v>1800</v>
      </c>
      <c r="N389" s="94" t="s">
        <v>435</v>
      </c>
      <c r="O389" s="94"/>
      <c r="P389" s="95">
        <v>4</v>
      </c>
      <c r="Q389" s="94" t="s">
        <v>436</v>
      </c>
      <c r="R389" s="95">
        <v>0</v>
      </c>
      <c r="S389" s="95">
        <v>0</v>
      </c>
      <c r="T389" s="95">
        <v>100</v>
      </c>
      <c r="U389" s="95">
        <v>20</v>
      </c>
      <c r="V389" s="95">
        <v>190</v>
      </c>
      <c r="W389" s="95">
        <v>310</v>
      </c>
      <c r="X389" s="97">
        <v>45105.375</v>
      </c>
      <c r="Y389" s="97">
        <v>45079.375</v>
      </c>
      <c r="Z389" s="97">
        <v>45093.375</v>
      </c>
      <c r="AA389" s="98"/>
    </row>
    <row r="390" spans="1:27" ht="15.75" hidden="1" customHeight="1">
      <c r="A390" s="94" t="s">
        <v>2868</v>
      </c>
      <c r="B390" s="94" t="s">
        <v>680</v>
      </c>
      <c r="C390" s="94" t="s">
        <v>256</v>
      </c>
      <c r="D390" s="95">
        <v>620</v>
      </c>
      <c r="E390" s="94" t="s">
        <v>442</v>
      </c>
      <c r="F390" s="94" t="s">
        <v>33</v>
      </c>
      <c r="G390" s="95">
        <v>11</v>
      </c>
      <c r="H390" s="94" t="s">
        <v>12</v>
      </c>
      <c r="I390" s="94" t="s">
        <v>6923</v>
      </c>
      <c r="J390" s="94" t="s">
        <v>444</v>
      </c>
      <c r="K390" s="95">
        <v>55</v>
      </c>
      <c r="L390" s="95">
        <v>28.5</v>
      </c>
      <c r="M390" s="94"/>
      <c r="N390" s="96">
        <v>52000</v>
      </c>
      <c r="O390" s="95">
        <v>1824</v>
      </c>
      <c r="P390" s="95">
        <v>1</v>
      </c>
      <c r="Q390" s="94" t="s">
        <v>383</v>
      </c>
      <c r="R390" s="95">
        <v>1</v>
      </c>
      <c r="S390" s="95">
        <v>55</v>
      </c>
      <c r="T390" s="95">
        <v>0</v>
      </c>
      <c r="U390" s="95">
        <v>0</v>
      </c>
      <c r="V390" s="95">
        <v>70</v>
      </c>
      <c r="W390" s="95">
        <v>133</v>
      </c>
      <c r="X390" s="97">
        <v>45112.375</v>
      </c>
      <c r="Y390" s="97">
        <v>45092.375</v>
      </c>
      <c r="Z390" s="97">
        <v>45082.375</v>
      </c>
      <c r="AA390" s="98"/>
    </row>
    <row r="391" spans="1:27" ht="15.75" hidden="1" customHeight="1">
      <c r="A391" s="94" t="s">
        <v>2868</v>
      </c>
      <c r="B391" s="94" t="s">
        <v>680</v>
      </c>
      <c r="C391" s="94" t="s">
        <v>256</v>
      </c>
      <c r="D391" s="95">
        <v>620</v>
      </c>
      <c r="E391" s="94" t="s">
        <v>442</v>
      </c>
      <c r="F391" s="94" t="s">
        <v>33</v>
      </c>
      <c r="G391" s="95">
        <v>12</v>
      </c>
      <c r="H391" s="94" t="s">
        <v>13</v>
      </c>
      <c r="I391" s="94" t="s">
        <v>6923</v>
      </c>
      <c r="J391" s="94" t="s">
        <v>444</v>
      </c>
      <c r="K391" s="95">
        <v>15</v>
      </c>
      <c r="L391" s="95">
        <v>28.5</v>
      </c>
      <c r="M391" s="94"/>
      <c r="N391" s="96">
        <v>52000</v>
      </c>
      <c r="O391" s="95">
        <v>1824</v>
      </c>
      <c r="P391" s="95">
        <v>1</v>
      </c>
      <c r="Q391" s="94" t="s">
        <v>383</v>
      </c>
      <c r="R391" s="95">
        <v>1</v>
      </c>
      <c r="S391" s="95">
        <v>15</v>
      </c>
      <c r="T391" s="95">
        <v>0</v>
      </c>
      <c r="U391" s="95">
        <v>0</v>
      </c>
      <c r="V391" s="95">
        <v>70</v>
      </c>
      <c r="W391" s="95">
        <v>133</v>
      </c>
      <c r="X391" s="97">
        <v>45112.375</v>
      </c>
      <c r="Y391" s="97">
        <v>45092.375</v>
      </c>
      <c r="Z391" s="97">
        <v>45082.375</v>
      </c>
      <c r="AA391" s="98"/>
    </row>
    <row r="392" spans="1:27" ht="15.75" hidden="1" customHeight="1">
      <c r="A392" s="94" t="s">
        <v>2868</v>
      </c>
      <c r="B392" s="94" t="s">
        <v>680</v>
      </c>
      <c r="C392" s="94" t="s">
        <v>256</v>
      </c>
      <c r="D392" s="95">
        <v>620</v>
      </c>
      <c r="E392" s="94" t="s">
        <v>431</v>
      </c>
      <c r="F392" s="94" t="s">
        <v>433</v>
      </c>
      <c r="G392" s="95">
        <v>18</v>
      </c>
      <c r="H392" s="94" t="s">
        <v>439</v>
      </c>
      <c r="I392" s="94" t="s">
        <v>6671</v>
      </c>
      <c r="J392" s="94" t="s">
        <v>440</v>
      </c>
      <c r="K392" s="95">
        <v>60</v>
      </c>
      <c r="L392" s="94"/>
      <c r="M392" s="95">
        <v>1500</v>
      </c>
      <c r="N392" s="99" t="s">
        <v>435</v>
      </c>
      <c r="O392" s="94"/>
      <c r="P392" s="95">
        <v>1</v>
      </c>
      <c r="Q392" s="94" t="s">
        <v>436</v>
      </c>
      <c r="R392" s="95">
        <v>0</v>
      </c>
      <c r="S392" s="95">
        <v>0</v>
      </c>
      <c r="T392" s="95">
        <v>25</v>
      </c>
      <c r="U392" s="95">
        <v>5</v>
      </c>
      <c r="V392" s="95">
        <v>63</v>
      </c>
      <c r="W392" s="95">
        <v>133</v>
      </c>
      <c r="X392" s="97">
        <v>45112.375</v>
      </c>
      <c r="Y392" s="97">
        <v>45092.375</v>
      </c>
      <c r="Z392" s="97">
        <v>45082.375</v>
      </c>
      <c r="AA392" s="98"/>
    </row>
    <row r="393" spans="1:27" ht="15.75" hidden="1" customHeight="1">
      <c r="A393" s="94" t="s">
        <v>2868</v>
      </c>
      <c r="B393" s="94" t="s">
        <v>680</v>
      </c>
      <c r="C393" s="94" t="s">
        <v>256</v>
      </c>
      <c r="D393" s="95">
        <v>620</v>
      </c>
      <c r="E393" s="94" t="s">
        <v>431</v>
      </c>
      <c r="F393" s="94" t="s">
        <v>433</v>
      </c>
      <c r="G393" s="95">
        <v>19</v>
      </c>
      <c r="H393" s="94" t="s">
        <v>368</v>
      </c>
      <c r="I393" s="94" t="s">
        <v>6236</v>
      </c>
      <c r="J393" s="94" t="s">
        <v>434</v>
      </c>
      <c r="K393" s="95">
        <v>60</v>
      </c>
      <c r="L393" s="94"/>
      <c r="M393" s="95">
        <v>1000</v>
      </c>
      <c r="N393" s="99" t="s">
        <v>435</v>
      </c>
      <c r="O393" s="94"/>
      <c r="P393" s="95">
        <v>4</v>
      </c>
      <c r="Q393" s="94" t="s">
        <v>436</v>
      </c>
      <c r="R393" s="95">
        <v>0</v>
      </c>
      <c r="S393" s="95">
        <v>0</v>
      </c>
      <c r="T393" s="95">
        <v>38</v>
      </c>
      <c r="U393" s="95">
        <v>8</v>
      </c>
      <c r="V393" s="95">
        <v>63</v>
      </c>
      <c r="W393" s="95">
        <v>133</v>
      </c>
      <c r="X393" s="97">
        <v>45112.375</v>
      </c>
      <c r="Y393" s="97">
        <v>45092.375</v>
      </c>
      <c r="Z393" s="97">
        <v>45082.375</v>
      </c>
      <c r="AA393" s="98"/>
    </row>
    <row r="394" spans="1:27" ht="15.75" hidden="1" customHeight="1">
      <c r="A394" s="94" t="s">
        <v>2844</v>
      </c>
      <c r="B394" s="94" t="s">
        <v>574</v>
      </c>
      <c r="C394" s="94" t="s">
        <v>259</v>
      </c>
      <c r="D394" s="95">
        <v>50</v>
      </c>
      <c r="E394" s="94" t="s">
        <v>442</v>
      </c>
      <c r="F394" s="94" t="s">
        <v>33</v>
      </c>
      <c r="G394" s="95">
        <v>11</v>
      </c>
      <c r="H394" s="94" t="s">
        <v>12</v>
      </c>
      <c r="I394" s="94" t="s">
        <v>6923</v>
      </c>
      <c r="J394" s="94" t="s">
        <v>444</v>
      </c>
      <c r="K394" s="95">
        <v>55</v>
      </c>
      <c r="L394" s="95">
        <v>95.1</v>
      </c>
      <c r="M394" s="94"/>
      <c r="N394" s="96">
        <v>52000</v>
      </c>
      <c r="O394" s="95">
        <v>546</v>
      </c>
      <c r="P394" s="95">
        <v>1</v>
      </c>
      <c r="Q394" s="94" t="s">
        <v>383</v>
      </c>
      <c r="R394" s="95">
        <v>1</v>
      </c>
      <c r="S394" s="95">
        <v>55</v>
      </c>
      <c r="T394" s="95">
        <v>0</v>
      </c>
      <c r="U394" s="95">
        <v>0</v>
      </c>
      <c r="V394" s="95">
        <v>70</v>
      </c>
      <c r="W394" s="95">
        <v>78</v>
      </c>
      <c r="X394" s="97">
        <v>45112.375</v>
      </c>
      <c r="Y394" s="97">
        <v>45084.375</v>
      </c>
      <c r="Z394" s="97">
        <v>45110.375</v>
      </c>
      <c r="AA394" s="98"/>
    </row>
    <row r="395" spans="1:27" ht="15.75" hidden="1" customHeight="1">
      <c r="A395" s="94" t="s">
        <v>2844</v>
      </c>
      <c r="B395" s="94" t="s">
        <v>574</v>
      </c>
      <c r="C395" s="94" t="s">
        <v>259</v>
      </c>
      <c r="D395" s="95">
        <v>50</v>
      </c>
      <c r="E395" s="94" t="s">
        <v>442</v>
      </c>
      <c r="F395" s="94" t="s">
        <v>33</v>
      </c>
      <c r="G395" s="95">
        <v>12</v>
      </c>
      <c r="H395" s="94" t="s">
        <v>13</v>
      </c>
      <c r="I395" s="94" t="s">
        <v>6923</v>
      </c>
      <c r="J395" s="94" t="s">
        <v>444</v>
      </c>
      <c r="K395" s="95">
        <v>15</v>
      </c>
      <c r="L395" s="95">
        <v>95.1</v>
      </c>
      <c r="M395" s="94"/>
      <c r="N395" s="95">
        <v>52000</v>
      </c>
      <c r="O395" s="95">
        <v>546</v>
      </c>
      <c r="P395" s="95">
        <v>1</v>
      </c>
      <c r="Q395" s="94" t="s">
        <v>383</v>
      </c>
      <c r="R395" s="95">
        <v>1</v>
      </c>
      <c r="S395" s="95">
        <v>15</v>
      </c>
      <c r="T395" s="95">
        <v>0</v>
      </c>
      <c r="U395" s="95">
        <v>0</v>
      </c>
      <c r="V395" s="95">
        <v>70</v>
      </c>
      <c r="W395" s="95">
        <v>78</v>
      </c>
      <c r="X395" s="97">
        <v>45112.375</v>
      </c>
      <c r="Y395" s="97">
        <v>45084.375</v>
      </c>
      <c r="Z395" s="97">
        <v>45110.375</v>
      </c>
      <c r="AA395" s="98"/>
    </row>
    <row r="396" spans="1:27" ht="15.75" hidden="1" customHeight="1">
      <c r="A396" s="94" t="s">
        <v>2844</v>
      </c>
      <c r="B396" s="94" t="s">
        <v>574</v>
      </c>
      <c r="C396" s="94" t="s">
        <v>259</v>
      </c>
      <c r="D396" s="95">
        <v>50</v>
      </c>
      <c r="E396" s="94" t="s">
        <v>431</v>
      </c>
      <c r="F396" s="94" t="s">
        <v>433</v>
      </c>
      <c r="G396" s="95">
        <v>18</v>
      </c>
      <c r="H396" s="94" t="s">
        <v>439</v>
      </c>
      <c r="I396" s="94" t="s">
        <v>6671</v>
      </c>
      <c r="J396" s="94" t="s">
        <v>440</v>
      </c>
      <c r="K396" s="95">
        <v>60</v>
      </c>
      <c r="L396" s="94"/>
      <c r="M396" s="95">
        <v>1100</v>
      </c>
      <c r="N396" s="94" t="s">
        <v>435</v>
      </c>
      <c r="O396" s="94"/>
      <c r="P396" s="95">
        <v>1</v>
      </c>
      <c r="Q396" s="94" t="s">
        <v>436</v>
      </c>
      <c r="R396" s="95">
        <v>0</v>
      </c>
      <c r="S396" s="95">
        <v>0</v>
      </c>
      <c r="T396" s="95">
        <v>3</v>
      </c>
      <c r="U396" s="95">
        <v>1</v>
      </c>
      <c r="V396" s="95">
        <v>8</v>
      </c>
      <c r="W396" s="95">
        <v>78</v>
      </c>
      <c r="X396" s="97">
        <v>45112.375</v>
      </c>
      <c r="Y396" s="97">
        <v>45084.375</v>
      </c>
      <c r="Z396" s="97">
        <v>45110.375</v>
      </c>
      <c r="AA396" s="98"/>
    </row>
    <row r="397" spans="1:27" ht="15.75" hidden="1" customHeight="1">
      <c r="A397" s="94" t="s">
        <v>2844</v>
      </c>
      <c r="B397" s="94" t="s">
        <v>574</v>
      </c>
      <c r="C397" s="94" t="s">
        <v>259</v>
      </c>
      <c r="D397" s="95">
        <v>50</v>
      </c>
      <c r="E397" s="94" t="s">
        <v>431</v>
      </c>
      <c r="F397" s="94" t="s">
        <v>433</v>
      </c>
      <c r="G397" s="95">
        <v>19</v>
      </c>
      <c r="H397" s="94" t="s">
        <v>368</v>
      </c>
      <c r="I397" s="94" t="s">
        <v>6236</v>
      </c>
      <c r="J397" s="94" t="s">
        <v>434</v>
      </c>
      <c r="K397" s="95">
        <v>60</v>
      </c>
      <c r="L397" s="94"/>
      <c r="M397" s="95">
        <v>640</v>
      </c>
      <c r="N397" s="94" t="s">
        <v>435</v>
      </c>
      <c r="O397" s="94"/>
      <c r="P397" s="95">
        <v>4</v>
      </c>
      <c r="Q397" s="94" t="s">
        <v>436</v>
      </c>
      <c r="R397" s="95">
        <v>0</v>
      </c>
      <c r="S397" s="95">
        <v>0</v>
      </c>
      <c r="T397" s="95">
        <v>5</v>
      </c>
      <c r="U397" s="95">
        <v>1</v>
      </c>
      <c r="V397" s="95">
        <v>8</v>
      </c>
      <c r="W397" s="95">
        <v>78</v>
      </c>
      <c r="X397" s="97">
        <v>45112.375</v>
      </c>
      <c r="Y397" s="97">
        <v>45084.375</v>
      </c>
      <c r="Z397" s="97">
        <v>45110.375</v>
      </c>
      <c r="AA397" s="98"/>
    </row>
    <row r="398" spans="1:27" ht="15.75" hidden="1" customHeight="1">
      <c r="A398" s="94" t="s">
        <v>3032</v>
      </c>
      <c r="B398" s="94" t="s">
        <v>841</v>
      </c>
      <c r="C398" s="94" t="s">
        <v>238</v>
      </c>
      <c r="D398" s="95">
        <v>15000</v>
      </c>
      <c r="E398" s="94" t="s">
        <v>442</v>
      </c>
      <c r="F398" s="94" t="s">
        <v>40</v>
      </c>
      <c r="G398" s="95">
        <v>1</v>
      </c>
      <c r="H398" s="94" t="s">
        <v>11</v>
      </c>
      <c r="I398" s="94" t="s">
        <v>7228</v>
      </c>
      <c r="J398" s="94" t="s">
        <v>426</v>
      </c>
      <c r="K398" s="95">
        <v>90</v>
      </c>
      <c r="L398" s="95">
        <v>29.5</v>
      </c>
      <c r="M398" s="94"/>
      <c r="N398" s="96">
        <v>213000</v>
      </c>
      <c r="O398" s="95">
        <v>7220</v>
      </c>
      <c r="P398" s="95">
        <v>1</v>
      </c>
      <c r="Q398" s="94" t="s">
        <v>383</v>
      </c>
      <c r="R398" s="95">
        <v>3</v>
      </c>
      <c r="S398" s="95">
        <v>270</v>
      </c>
      <c r="T398" s="95">
        <v>0</v>
      </c>
      <c r="U398" s="95">
        <v>0</v>
      </c>
      <c r="V398" s="95">
        <v>630</v>
      </c>
      <c r="W398" s="95">
        <v>3074</v>
      </c>
      <c r="X398" s="97">
        <v>45098.375</v>
      </c>
      <c r="Y398" s="97">
        <v>44990.375</v>
      </c>
      <c r="Z398" s="97">
        <v>44904.375</v>
      </c>
      <c r="AA398" s="98"/>
    </row>
    <row r="399" spans="1:27" ht="15.75" hidden="1" customHeight="1">
      <c r="A399" s="94" t="s">
        <v>3032</v>
      </c>
      <c r="B399" s="94" t="s">
        <v>841</v>
      </c>
      <c r="C399" s="94" t="s">
        <v>238</v>
      </c>
      <c r="D399" s="95">
        <v>15000</v>
      </c>
      <c r="E399" s="94" t="s">
        <v>442</v>
      </c>
      <c r="F399" s="94" t="s">
        <v>40</v>
      </c>
      <c r="G399" s="95">
        <v>2</v>
      </c>
      <c r="H399" s="94" t="s">
        <v>12</v>
      </c>
      <c r="I399" s="94" t="s">
        <v>6923</v>
      </c>
      <c r="J399" s="94" t="s">
        <v>449</v>
      </c>
      <c r="K399" s="95">
        <v>90</v>
      </c>
      <c r="L399" s="95">
        <v>29.5</v>
      </c>
      <c r="M399" s="94"/>
      <c r="N399" s="96">
        <v>213000</v>
      </c>
      <c r="O399" s="95">
        <v>7220</v>
      </c>
      <c r="P399" s="95">
        <v>1</v>
      </c>
      <c r="Q399" s="94" t="s">
        <v>383</v>
      </c>
      <c r="R399" s="95">
        <v>3</v>
      </c>
      <c r="S399" s="95">
        <v>270</v>
      </c>
      <c r="T399" s="95">
        <v>0</v>
      </c>
      <c r="U399" s="95">
        <v>0</v>
      </c>
      <c r="V399" s="95">
        <v>630</v>
      </c>
      <c r="W399" s="95">
        <v>3074</v>
      </c>
      <c r="X399" s="97">
        <v>45098.375</v>
      </c>
      <c r="Y399" s="97">
        <v>44990.375</v>
      </c>
      <c r="Z399" s="97">
        <v>44904.375</v>
      </c>
      <c r="AA399" s="98"/>
    </row>
    <row r="400" spans="1:27" ht="15.75" hidden="1" customHeight="1">
      <c r="A400" s="94" t="s">
        <v>3032</v>
      </c>
      <c r="B400" s="94" t="s">
        <v>841</v>
      </c>
      <c r="C400" s="94" t="s">
        <v>238</v>
      </c>
      <c r="D400" s="95">
        <v>15000</v>
      </c>
      <c r="E400" s="94" t="s">
        <v>442</v>
      </c>
      <c r="F400" s="94" t="s">
        <v>40</v>
      </c>
      <c r="G400" s="95">
        <v>3</v>
      </c>
      <c r="H400" s="94" t="s">
        <v>13</v>
      </c>
      <c r="I400" s="94" t="s">
        <v>6923</v>
      </c>
      <c r="J400" s="94" t="s">
        <v>449</v>
      </c>
      <c r="K400" s="95">
        <v>30</v>
      </c>
      <c r="L400" s="95">
        <v>29.5</v>
      </c>
      <c r="M400" s="94"/>
      <c r="N400" s="96">
        <v>213000</v>
      </c>
      <c r="O400" s="95">
        <v>7220</v>
      </c>
      <c r="P400" s="95">
        <v>1</v>
      </c>
      <c r="Q400" s="94" t="s">
        <v>383</v>
      </c>
      <c r="R400" s="95">
        <v>3</v>
      </c>
      <c r="S400" s="95">
        <v>90</v>
      </c>
      <c r="T400" s="95">
        <v>0</v>
      </c>
      <c r="U400" s="95">
        <v>0</v>
      </c>
      <c r="V400" s="95">
        <v>630</v>
      </c>
      <c r="W400" s="95">
        <v>3074</v>
      </c>
      <c r="X400" s="97">
        <v>45098.375</v>
      </c>
      <c r="Y400" s="97">
        <v>44990.375</v>
      </c>
      <c r="Z400" s="97">
        <v>44904.375</v>
      </c>
      <c r="AA400" s="98"/>
    </row>
    <row r="401" spans="1:27" ht="15.75" hidden="1" customHeight="1">
      <c r="A401" s="94" t="s">
        <v>3032</v>
      </c>
      <c r="B401" s="94" t="s">
        <v>841</v>
      </c>
      <c r="C401" s="94" t="s">
        <v>238</v>
      </c>
      <c r="D401" s="95">
        <v>15000</v>
      </c>
      <c r="E401" s="94" t="s">
        <v>431</v>
      </c>
      <c r="F401" s="94" t="s">
        <v>433</v>
      </c>
      <c r="G401" s="95">
        <v>18</v>
      </c>
      <c r="H401" s="94" t="s">
        <v>439</v>
      </c>
      <c r="I401" s="94" t="s">
        <v>6671</v>
      </c>
      <c r="J401" s="94" t="s">
        <v>440</v>
      </c>
      <c r="K401" s="95">
        <v>60</v>
      </c>
      <c r="L401" s="94"/>
      <c r="M401" s="95">
        <v>650</v>
      </c>
      <c r="N401" s="99" t="s">
        <v>435</v>
      </c>
      <c r="O401" s="94"/>
      <c r="P401" s="95">
        <v>1</v>
      </c>
      <c r="Q401" s="94" t="s">
        <v>436</v>
      </c>
      <c r="R401" s="95">
        <v>0</v>
      </c>
      <c r="S401" s="95">
        <v>0</v>
      </c>
      <c r="T401" s="95">
        <v>1385</v>
      </c>
      <c r="U401" s="95">
        <v>277</v>
      </c>
      <c r="V401" s="95">
        <v>2444</v>
      </c>
      <c r="W401" s="95">
        <v>3074</v>
      </c>
      <c r="X401" s="97">
        <v>45098.375</v>
      </c>
      <c r="Y401" s="97">
        <v>44990.375</v>
      </c>
      <c r="Z401" s="97">
        <v>44904.375</v>
      </c>
      <c r="AA401" s="98"/>
    </row>
    <row r="402" spans="1:27" ht="15.75" hidden="1" customHeight="1">
      <c r="A402" s="94" t="s">
        <v>3032</v>
      </c>
      <c r="B402" s="94" t="s">
        <v>841</v>
      </c>
      <c r="C402" s="94" t="s">
        <v>238</v>
      </c>
      <c r="D402" s="95">
        <v>15000</v>
      </c>
      <c r="E402" s="94" t="s">
        <v>431</v>
      </c>
      <c r="F402" s="94" t="s">
        <v>433</v>
      </c>
      <c r="G402" s="95">
        <v>19</v>
      </c>
      <c r="H402" s="94" t="s">
        <v>368</v>
      </c>
      <c r="I402" s="94" t="s">
        <v>6236</v>
      </c>
      <c r="J402" s="94" t="s">
        <v>434</v>
      </c>
      <c r="K402" s="95">
        <v>60</v>
      </c>
      <c r="L402" s="94"/>
      <c r="M402" s="95">
        <v>850</v>
      </c>
      <c r="N402" s="99" t="s">
        <v>435</v>
      </c>
      <c r="O402" s="94"/>
      <c r="P402" s="95">
        <v>3</v>
      </c>
      <c r="Q402" s="94" t="s">
        <v>436</v>
      </c>
      <c r="R402" s="95">
        <v>0</v>
      </c>
      <c r="S402" s="95">
        <v>0</v>
      </c>
      <c r="T402" s="95">
        <v>1059</v>
      </c>
      <c r="U402" s="95">
        <v>212</v>
      </c>
      <c r="V402" s="95">
        <v>2444</v>
      </c>
      <c r="W402" s="95">
        <v>3074</v>
      </c>
      <c r="X402" s="97">
        <v>45098.375</v>
      </c>
      <c r="Y402" s="97">
        <v>44990.375</v>
      </c>
      <c r="Z402" s="97">
        <v>44904.375</v>
      </c>
      <c r="AA402" s="98"/>
    </row>
    <row r="403" spans="1:27" ht="15.75" hidden="1" customHeight="1">
      <c r="A403" s="94" t="s">
        <v>2948</v>
      </c>
      <c r="B403" s="94" t="s">
        <v>815</v>
      </c>
      <c r="C403" s="94" t="s">
        <v>269</v>
      </c>
      <c r="D403" s="95">
        <v>5000</v>
      </c>
      <c r="E403" s="94" t="s">
        <v>442</v>
      </c>
      <c r="F403" s="94" t="s">
        <v>33</v>
      </c>
      <c r="G403" s="95">
        <v>10</v>
      </c>
      <c r="H403" s="94" t="s">
        <v>11</v>
      </c>
      <c r="I403" s="94" t="s">
        <v>7228</v>
      </c>
      <c r="J403" s="94" t="s">
        <v>426</v>
      </c>
      <c r="K403" s="95">
        <v>35</v>
      </c>
      <c r="L403" s="95">
        <v>50</v>
      </c>
      <c r="M403" s="94"/>
      <c r="N403" s="96">
        <v>78000</v>
      </c>
      <c r="O403" s="95">
        <v>1560</v>
      </c>
      <c r="P403" s="95">
        <v>1</v>
      </c>
      <c r="Q403" s="94" t="s">
        <v>383</v>
      </c>
      <c r="R403" s="95">
        <v>4</v>
      </c>
      <c r="S403" s="95">
        <v>140</v>
      </c>
      <c r="T403" s="95">
        <v>0</v>
      </c>
      <c r="U403" s="95">
        <v>0</v>
      </c>
      <c r="V403" s="95">
        <v>700</v>
      </c>
      <c r="W403" s="95">
        <v>1007</v>
      </c>
      <c r="X403" s="97">
        <v>45105.375</v>
      </c>
      <c r="Y403" s="97">
        <v>45076.375</v>
      </c>
      <c r="Z403" s="97">
        <v>45063.375</v>
      </c>
      <c r="AA403" s="98"/>
    </row>
    <row r="404" spans="1:27" ht="15.75" hidden="1" customHeight="1">
      <c r="A404" s="94" t="s">
        <v>2948</v>
      </c>
      <c r="B404" s="94" t="s">
        <v>815</v>
      </c>
      <c r="C404" s="94" t="s">
        <v>269</v>
      </c>
      <c r="D404" s="95">
        <v>5000</v>
      </c>
      <c r="E404" s="94" t="s">
        <v>442</v>
      </c>
      <c r="F404" s="94" t="s">
        <v>33</v>
      </c>
      <c r="G404" s="95">
        <v>11</v>
      </c>
      <c r="H404" s="94" t="s">
        <v>12</v>
      </c>
      <c r="I404" s="94" t="s">
        <v>6923</v>
      </c>
      <c r="J404" s="94" t="s">
        <v>444</v>
      </c>
      <c r="K404" s="95">
        <v>125</v>
      </c>
      <c r="L404" s="95">
        <v>50</v>
      </c>
      <c r="M404" s="94"/>
      <c r="N404" s="95">
        <v>78000</v>
      </c>
      <c r="O404" s="95">
        <v>1560</v>
      </c>
      <c r="P404" s="95">
        <v>1</v>
      </c>
      <c r="Q404" s="94" t="s">
        <v>383</v>
      </c>
      <c r="R404" s="95">
        <v>4</v>
      </c>
      <c r="S404" s="95">
        <v>500</v>
      </c>
      <c r="T404" s="95">
        <v>0</v>
      </c>
      <c r="U404" s="95">
        <v>0</v>
      </c>
      <c r="V404" s="95">
        <v>700</v>
      </c>
      <c r="W404" s="95">
        <v>1007</v>
      </c>
      <c r="X404" s="97">
        <v>45105.375</v>
      </c>
      <c r="Y404" s="97">
        <v>45076.375</v>
      </c>
      <c r="Z404" s="97">
        <v>45063.375</v>
      </c>
      <c r="AA404" s="98"/>
    </row>
    <row r="405" spans="1:27" ht="15.75" hidden="1" customHeight="1">
      <c r="A405" s="94" t="s">
        <v>2948</v>
      </c>
      <c r="B405" s="94" t="s">
        <v>815</v>
      </c>
      <c r="C405" s="94" t="s">
        <v>269</v>
      </c>
      <c r="D405" s="95">
        <v>5000</v>
      </c>
      <c r="E405" s="94" t="s">
        <v>442</v>
      </c>
      <c r="F405" s="94" t="s">
        <v>33</v>
      </c>
      <c r="G405" s="95">
        <v>12</v>
      </c>
      <c r="H405" s="94" t="s">
        <v>13</v>
      </c>
      <c r="I405" s="94" t="s">
        <v>6923</v>
      </c>
      <c r="J405" s="94" t="s">
        <v>444</v>
      </c>
      <c r="K405" s="95">
        <v>15</v>
      </c>
      <c r="L405" s="95">
        <v>50</v>
      </c>
      <c r="M405" s="94"/>
      <c r="N405" s="95">
        <v>78000</v>
      </c>
      <c r="O405" s="95">
        <v>1560</v>
      </c>
      <c r="P405" s="95">
        <v>1</v>
      </c>
      <c r="Q405" s="94" t="s">
        <v>383</v>
      </c>
      <c r="R405" s="95">
        <v>4</v>
      </c>
      <c r="S405" s="95">
        <v>60</v>
      </c>
      <c r="T405" s="95">
        <v>0</v>
      </c>
      <c r="U405" s="95">
        <v>0</v>
      </c>
      <c r="V405" s="95">
        <v>700</v>
      </c>
      <c r="W405" s="95">
        <v>1007</v>
      </c>
      <c r="X405" s="97">
        <v>45105.375</v>
      </c>
      <c r="Y405" s="97">
        <v>45076.375</v>
      </c>
      <c r="Z405" s="97">
        <v>45063.375</v>
      </c>
      <c r="AA405" s="98"/>
    </row>
    <row r="406" spans="1:27" ht="15.75" hidden="1" customHeight="1">
      <c r="A406" s="94" t="s">
        <v>2948</v>
      </c>
      <c r="B406" s="94" t="s">
        <v>815</v>
      </c>
      <c r="C406" s="94" t="s">
        <v>269</v>
      </c>
      <c r="D406" s="95">
        <v>5000</v>
      </c>
      <c r="E406" s="94" t="s">
        <v>431</v>
      </c>
      <c r="F406" s="94" t="s">
        <v>433</v>
      </c>
      <c r="G406" s="95">
        <v>19</v>
      </c>
      <c r="H406" s="94" t="s">
        <v>368</v>
      </c>
      <c r="I406" s="94" t="s">
        <v>6236</v>
      </c>
      <c r="J406" s="94" t="s">
        <v>434</v>
      </c>
      <c r="K406" s="95">
        <v>60</v>
      </c>
      <c r="L406" s="94"/>
      <c r="M406" s="95">
        <v>980</v>
      </c>
      <c r="N406" s="99" t="s">
        <v>435</v>
      </c>
      <c r="O406" s="94"/>
      <c r="P406" s="95">
        <v>4</v>
      </c>
      <c r="Q406" s="94" t="s">
        <v>436</v>
      </c>
      <c r="R406" s="95">
        <v>0</v>
      </c>
      <c r="S406" s="95">
        <v>0</v>
      </c>
      <c r="T406" s="95">
        <v>307</v>
      </c>
      <c r="U406" s="95">
        <v>62</v>
      </c>
      <c r="V406" s="95">
        <v>307</v>
      </c>
      <c r="W406" s="95">
        <v>1007</v>
      </c>
      <c r="X406" s="97">
        <v>45105.375</v>
      </c>
      <c r="Y406" s="97">
        <v>45076.375</v>
      </c>
      <c r="Z406" s="97">
        <v>45063.375</v>
      </c>
      <c r="AA406" s="98"/>
    </row>
    <row r="407" spans="1:27" ht="15.75" hidden="1" customHeight="1">
      <c r="A407" s="94" t="s">
        <v>2863</v>
      </c>
      <c r="B407" s="94" t="s">
        <v>571</v>
      </c>
      <c r="C407" s="94" t="s">
        <v>262</v>
      </c>
      <c r="D407" s="95">
        <v>1500</v>
      </c>
      <c r="E407" s="94" t="s">
        <v>442</v>
      </c>
      <c r="F407" s="94" t="s">
        <v>40</v>
      </c>
      <c r="G407" s="95">
        <v>1</v>
      </c>
      <c r="H407" s="94" t="s">
        <v>11</v>
      </c>
      <c r="I407" s="94" t="s">
        <v>7228</v>
      </c>
      <c r="J407" s="94" t="s">
        <v>426</v>
      </c>
      <c r="K407" s="95">
        <v>30</v>
      </c>
      <c r="L407" s="95">
        <v>118.8</v>
      </c>
      <c r="M407" s="94"/>
      <c r="N407" s="95">
        <v>102000</v>
      </c>
      <c r="O407" s="95">
        <v>858</v>
      </c>
      <c r="P407" s="95">
        <v>1</v>
      </c>
      <c r="Q407" s="94" t="s">
        <v>383</v>
      </c>
      <c r="R407" s="95">
        <v>2</v>
      </c>
      <c r="S407" s="95">
        <v>60</v>
      </c>
      <c r="T407" s="95">
        <v>0</v>
      </c>
      <c r="U407" s="95">
        <v>0</v>
      </c>
      <c r="V407" s="95">
        <v>380</v>
      </c>
      <c r="W407" s="95">
        <v>669</v>
      </c>
      <c r="X407" s="97">
        <v>45114.375</v>
      </c>
      <c r="Y407" s="97">
        <v>45097.375</v>
      </c>
      <c r="Z407" s="97">
        <v>45093.375</v>
      </c>
      <c r="AA407" s="98"/>
    </row>
    <row r="408" spans="1:27" ht="15.75" hidden="1" customHeight="1">
      <c r="A408" s="94" t="s">
        <v>2863</v>
      </c>
      <c r="B408" s="94" t="s">
        <v>571</v>
      </c>
      <c r="C408" s="94" t="s">
        <v>262</v>
      </c>
      <c r="D408" s="95">
        <v>1500</v>
      </c>
      <c r="E408" s="94" t="s">
        <v>442</v>
      </c>
      <c r="F408" s="94" t="s">
        <v>40</v>
      </c>
      <c r="G408" s="95">
        <v>2</v>
      </c>
      <c r="H408" s="94" t="s">
        <v>12</v>
      </c>
      <c r="I408" s="94" t="s">
        <v>6923</v>
      </c>
      <c r="J408" s="94" t="s">
        <v>449</v>
      </c>
      <c r="K408" s="95">
        <v>130</v>
      </c>
      <c r="L408" s="95">
        <v>118.8</v>
      </c>
      <c r="M408" s="94"/>
      <c r="N408" s="96">
        <v>102000</v>
      </c>
      <c r="O408" s="95">
        <v>858</v>
      </c>
      <c r="P408" s="95">
        <v>1</v>
      </c>
      <c r="Q408" s="94" t="s">
        <v>383</v>
      </c>
      <c r="R408" s="95">
        <v>2</v>
      </c>
      <c r="S408" s="95">
        <v>260</v>
      </c>
      <c r="T408" s="95">
        <v>0</v>
      </c>
      <c r="U408" s="95">
        <v>0</v>
      </c>
      <c r="V408" s="95">
        <v>380</v>
      </c>
      <c r="W408" s="95">
        <v>669</v>
      </c>
      <c r="X408" s="97">
        <v>45114.375</v>
      </c>
      <c r="Y408" s="97">
        <v>45097.375</v>
      </c>
      <c r="Z408" s="97">
        <v>45093.375</v>
      </c>
      <c r="AA408" s="98"/>
    </row>
    <row r="409" spans="1:27" ht="15.75" hidden="1" customHeight="1">
      <c r="A409" s="94" t="s">
        <v>2863</v>
      </c>
      <c r="B409" s="94" t="s">
        <v>571</v>
      </c>
      <c r="C409" s="94" t="s">
        <v>262</v>
      </c>
      <c r="D409" s="95">
        <v>1500</v>
      </c>
      <c r="E409" s="94" t="s">
        <v>442</v>
      </c>
      <c r="F409" s="94" t="s">
        <v>40</v>
      </c>
      <c r="G409" s="95">
        <v>3</v>
      </c>
      <c r="H409" s="94" t="s">
        <v>13</v>
      </c>
      <c r="I409" s="94" t="s">
        <v>6923</v>
      </c>
      <c r="J409" s="94" t="s">
        <v>449</v>
      </c>
      <c r="K409" s="95">
        <v>30</v>
      </c>
      <c r="L409" s="95">
        <v>118.8</v>
      </c>
      <c r="M409" s="94"/>
      <c r="N409" s="96">
        <v>102000</v>
      </c>
      <c r="O409" s="95">
        <v>858</v>
      </c>
      <c r="P409" s="95">
        <v>1</v>
      </c>
      <c r="Q409" s="94" t="s">
        <v>383</v>
      </c>
      <c r="R409" s="95">
        <v>2</v>
      </c>
      <c r="S409" s="95">
        <v>60</v>
      </c>
      <c r="T409" s="95">
        <v>0</v>
      </c>
      <c r="U409" s="95">
        <v>0</v>
      </c>
      <c r="V409" s="95">
        <v>380</v>
      </c>
      <c r="W409" s="95">
        <v>669</v>
      </c>
      <c r="X409" s="97">
        <v>45114.375</v>
      </c>
      <c r="Y409" s="97">
        <v>45097.375</v>
      </c>
      <c r="Z409" s="97">
        <v>45093.375</v>
      </c>
      <c r="AA409" s="98"/>
    </row>
    <row r="410" spans="1:27" ht="15.75" hidden="1" customHeight="1">
      <c r="A410" s="94" t="s">
        <v>2863</v>
      </c>
      <c r="B410" s="94" t="s">
        <v>571</v>
      </c>
      <c r="C410" s="94" t="s">
        <v>262</v>
      </c>
      <c r="D410" s="95">
        <v>1500</v>
      </c>
      <c r="E410" s="94" t="s">
        <v>431</v>
      </c>
      <c r="F410" s="94" t="s">
        <v>433</v>
      </c>
      <c r="G410" s="95">
        <v>18</v>
      </c>
      <c r="H410" s="94" t="s">
        <v>439</v>
      </c>
      <c r="I410" s="94" t="s">
        <v>6671</v>
      </c>
      <c r="J410" s="94" t="s">
        <v>440</v>
      </c>
      <c r="K410" s="95">
        <v>60</v>
      </c>
      <c r="L410" s="94"/>
      <c r="M410" s="95">
        <v>550</v>
      </c>
      <c r="N410" s="99" t="s">
        <v>435</v>
      </c>
      <c r="O410" s="94"/>
      <c r="P410" s="95">
        <v>1</v>
      </c>
      <c r="Q410" s="94" t="s">
        <v>436</v>
      </c>
      <c r="R410" s="95">
        <v>0</v>
      </c>
      <c r="S410" s="95">
        <v>0</v>
      </c>
      <c r="T410" s="95">
        <v>164</v>
      </c>
      <c r="U410" s="95">
        <v>33</v>
      </c>
      <c r="V410" s="95">
        <v>289</v>
      </c>
      <c r="W410" s="95">
        <v>669</v>
      </c>
      <c r="X410" s="97">
        <v>45114.375</v>
      </c>
      <c r="Y410" s="97">
        <v>45097.375</v>
      </c>
      <c r="Z410" s="97">
        <v>45093.375</v>
      </c>
      <c r="AA410" s="98"/>
    </row>
    <row r="411" spans="1:27" ht="15.75" hidden="1" customHeight="1">
      <c r="A411" s="94" t="s">
        <v>2863</v>
      </c>
      <c r="B411" s="94" t="s">
        <v>571</v>
      </c>
      <c r="C411" s="94" t="s">
        <v>262</v>
      </c>
      <c r="D411" s="95">
        <v>1500</v>
      </c>
      <c r="E411" s="94" t="s">
        <v>431</v>
      </c>
      <c r="F411" s="94" t="s">
        <v>433</v>
      </c>
      <c r="G411" s="95">
        <v>19</v>
      </c>
      <c r="H411" s="94" t="s">
        <v>368</v>
      </c>
      <c r="I411" s="94" t="s">
        <v>6236</v>
      </c>
      <c r="J411" s="94" t="s">
        <v>434</v>
      </c>
      <c r="K411" s="95">
        <v>60</v>
      </c>
      <c r="L411" s="94"/>
      <c r="M411" s="95">
        <v>720</v>
      </c>
      <c r="N411" s="94" t="s">
        <v>435</v>
      </c>
      <c r="O411" s="94"/>
      <c r="P411" s="95">
        <v>3</v>
      </c>
      <c r="Q411" s="94" t="s">
        <v>436</v>
      </c>
      <c r="R411" s="95">
        <v>0</v>
      </c>
      <c r="S411" s="95">
        <v>0</v>
      </c>
      <c r="T411" s="95">
        <v>125</v>
      </c>
      <c r="U411" s="95">
        <v>25</v>
      </c>
      <c r="V411" s="95">
        <v>289</v>
      </c>
      <c r="W411" s="95">
        <v>669</v>
      </c>
      <c r="X411" s="97">
        <v>45114.375</v>
      </c>
      <c r="Y411" s="97">
        <v>45097.375</v>
      </c>
      <c r="Z411" s="97">
        <v>45093.375</v>
      </c>
      <c r="AA411" s="98"/>
    </row>
    <row r="412" spans="1:27" ht="15.75" hidden="1" customHeight="1">
      <c r="A412" s="94" t="s">
        <v>3023</v>
      </c>
      <c r="B412" s="94" t="s">
        <v>568</v>
      </c>
      <c r="C412" s="94" t="s">
        <v>112</v>
      </c>
      <c r="D412" s="95">
        <v>5000</v>
      </c>
      <c r="E412" s="94" t="s">
        <v>424</v>
      </c>
      <c r="F412" s="94" t="s">
        <v>33</v>
      </c>
      <c r="G412" s="95">
        <v>10</v>
      </c>
      <c r="H412" s="94" t="s">
        <v>11</v>
      </c>
      <c r="I412" s="94" t="s">
        <v>7228</v>
      </c>
      <c r="J412" s="94" t="s">
        <v>426</v>
      </c>
      <c r="K412" s="95">
        <v>75</v>
      </c>
      <c r="L412" s="95">
        <v>370</v>
      </c>
      <c r="M412" s="94"/>
      <c r="N412" s="95">
        <v>100000</v>
      </c>
      <c r="O412" s="95">
        <v>270</v>
      </c>
      <c r="P412" s="95">
        <v>1</v>
      </c>
      <c r="Q412" s="94" t="s">
        <v>383</v>
      </c>
      <c r="R412" s="95">
        <v>19</v>
      </c>
      <c r="S412" s="95">
        <v>1425</v>
      </c>
      <c r="T412" s="95">
        <v>0</v>
      </c>
      <c r="U412" s="95">
        <v>0</v>
      </c>
      <c r="V412" s="95">
        <v>2755</v>
      </c>
      <c r="W412" s="95">
        <v>3907</v>
      </c>
      <c r="X412" s="97">
        <v>45121.375</v>
      </c>
      <c r="Y412" s="97">
        <v>45079.375</v>
      </c>
      <c r="Z412" s="97">
        <v>45114.375</v>
      </c>
      <c r="AA412" s="98"/>
    </row>
    <row r="413" spans="1:27" ht="15.75" hidden="1" customHeight="1">
      <c r="A413" s="94" t="s">
        <v>3023</v>
      </c>
      <c r="B413" s="94" t="s">
        <v>568</v>
      </c>
      <c r="C413" s="94" t="s">
        <v>112</v>
      </c>
      <c r="D413" s="95">
        <v>5000</v>
      </c>
      <c r="E413" s="94" t="s">
        <v>424</v>
      </c>
      <c r="F413" s="94" t="s">
        <v>33</v>
      </c>
      <c r="G413" s="95">
        <v>11</v>
      </c>
      <c r="H413" s="94" t="s">
        <v>12</v>
      </c>
      <c r="I413" s="94" t="s">
        <v>6923</v>
      </c>
      <c r="J413" s="94" t="s">
        <v>444</v>
      </c>
      <c r="K413" s="95">
        <v>60</v>
      </c>
      <c r="L413" s="95">
        <v>370</v>
      </c>
      <c r="M413" s="94"/>
      <c r="N413" s="95">
        <v>100000</v>
      </c>
      <c r="O413" s="95">
        <v>270</v>
      </c>
      <c r="P413" s="95">
        <v>1</v>
      </c>
      <c r="Q413" s="94" t="s">
        <v>383</v>
      </c>
      <c r="R413" s="95">
        <v>19</v>
      </c>
      <c r="S413" s="95">
        <v>1140</v>
      </c>
      <c r="T413" s="95">
        <v>0</v>
      </c>
      <c r="U413" s="95">
        <v>0</v>
      </c>
      <c r="V413" s="95">
        <v>2755</v>
      </c>
      <c r="W413" s="95">
        <v>3907</v>
      </c>
      <c r="X413" s="97">
        <v>45121.375</v>
      </c>
      <c r="Y413" s="97">
        <v>45079.375</v>
      </c>
      <c r="Z413" s="97">
        <v>45114.375</v>
      </c>
      <c r="AA413" s="98"/>
    </row>
    <row r="414" spans="1:27" ht="15.75" hidden="1" customHeight="1">
      <c r="A414" s="94" t="s">
        <v>3023</v>
      </c>
      <c r="B414" s="94" t="s">
        <v>568</v>
      </c>
      <c r="C414" s="94" t="s">
        <v>112</v>
      </c>
      <c r="D414" s="95">
        <v>5000</v>
      </c>
      <c r="E414" s="94" t="s">
        <v>424</v>
      </c>
      <c r="F414" s="94" t="s">
        <v>33</v>
      </c>
      <c r="G414" s="95">
        <v>12</v>
      </c>
      <c r="H414" s="94" t="s">
        <v>13</v>
      </c>
      <c r="I414" s="94" t="s">
        <v>6923</v>
      </c>
      <c r="J414" s="94" t="s">
        <v>444</v>
      </c>
      <c r="K414" s="95">
        <v>10</v>
      </c>
      <c r="L414" s="95">
        <v>370</v>
      </c>
      <c r="M414" s="94"/>
      <c r="N414" s="95">
        <v>100000</v>
      </c>
      <c r="O414" s="95">
        <v>270</v>
      </c>
      <c r="P414" s="95">
        <v>1</v>
      </c>
      <c r="Q414" s="94" t="s">
        <v>383</v>
      </c>
      <c r="R414" s="95">
        <v>19</v>
      </c>
      <c r="S414" s="95">
        <v>190</v>
      </c>
      <c r="T414" s="95">
        <v>0</v>
      </c>
      <c r="U414" s="95">
        <v>0</v>
      </c>
      <c r="V414" s="95">
        <v>2755</v>
      </c>
      <c r="W414" s="95">
        <v>3907</v>
      </c>
      <c r="X414" s="97">
        <v>45121.375</v>
      </c>
      <c r="Y414" s="97">
        <v>45079.375</v>
      </c>
      <c r="Z414" s="97">
        <v>45114.375</v>
      </c>
      <c r="AA414" s="98"/>
    </row>
    <row r="415" spans="1:27" ht="15.75" hidden="1" customHeight="1">
      <c r="A415" s="94" t="s">
        <v>3023</v>
      </c>
      <c r="B415" s="94" t="s">
        <v>568</v>
      </c>
      <c r="C415" s="94" t="s">
        <v>112</v>
      </c>
      <c r="D415" s="95">
        <v>5000</v>
      </c>
      <c r="E415" s="94" t="s">
        <v>431</v>
      </c>
      <c r="F415" s="94" t="s">
        <v>433</v>
      </c>
      <c r="G415" s="95">
        <v>18</v>
      </c>
      <c r="H415" s="94" t="s">
        <v>439</v>
      </c>
      <c r="I415" s="94" t="s">
        <v>6671</v>
      </c>
      <c r="J415" s="94" t="s">
        <v>440</v>
      </c>
      <c r="K415" s="95">
        <v>60</v>
      </c>
      <c r="L415" s="94"/>
      <c r="M415" s="95">
        <v>570</v>
      </c>
      <c r="N415" s="94" t="s">
        <v>435</v>
      </c>
      <c r="O415" s="94"/>
      <c r="P415" s="95">
        <v>1</v>
      </c>
      <c r="Q415" s="94" t="s">
        <v>436</v>
      </c>
      <c r="R415" s="95">
        <v>0</v>
      </c>
      <c r="S415" s="95">
        <v>0</v>
      </c>
      <c r="T415" s="95">
        <v>527</v>
      </c>
      <c r="U415" s="95">
        <v>106</v>
      </c>
      <c r="V415" s="95">
        <v>1152</v>
      </c>
      <c r="W415" s="95">
        <v>3907</v>
      </c>
      <c r="X415" s="97">
        <v>45121.375</v>
      </c>
      <c r="Y415" s="97">
        <v>45079.375</v>
      </c>
      <c r="Z415" s="97">
        <v>45114.375</v>
      </c>
      <c r="AA415" s="98"/>
    </row>
    <row r="416" spans="1:27" ht="15.75" hidden="1" customHeight="1">
      <c r="A416" s="94" t="s">
        <v>3023</v>
      </c>
      <c r="B416" s="94" t="s">
        <v>568</v>
      </c>
      <c r="C416" s="94" t="s">
        <v>112</v>
      </c>
      <c r="D416" s="95">
        <v>5000</v>
      </c>
      <c r="E416" s="94" t="s">
        <v>431</v>
      </c>
      <c r="F416" s="94" t="s">
        <v>433</v>
      </c>
      <c r="G416" s="95">
        <v>19</v>
      </c>
      <c r="H416" s="94" t="s">
        <v>368</v>
      </c>
      <c r="I416" s="94" t="s">
        <v>6236</v>
      </c>
      <c r="J416" s="94" t="s">
        <v>434</v>
      </c>
      <c r="K416" s="95">
        <v>60</v>
      </c>
      <c r="L416" s="94"/>
      <c r="M416" s="95">
        <v>480</v>
      </c>
      <c r="N416" s="99" t="s">
        <v>435</v>
      </c>
      <c r="O416" s="94"/>
      <c r="P416" s="95">
        <v>4</v>
      </c>
      <c r="Q416" s="94" t="s">
        <v>436</v>
      </c>
      <c r="R416" s="95">
        <v>0</v>
      </c>
      <c r="S416" s="95">
        <v>0</v>
      </c>
      <c r="T416" s="95">
        <v>625</v>
      </c>
      <c r="U416" s="95">
        <v>125</v>
      </c>
      <c r="V416" s="95">
        <v>1152</v>
      </c>
      <c r="W416" s="95">
        <v>3907</v>
      </c>
      <c r="X416" s="97">
        <v>45121.375</v>
      </c>
      <c r="Y416" s="97">
        <v>45079.375</v>
      </c>
      <c r="Z416" s="97">
        <v>45114.375</v>
      </c>
      <c r="AA416" s="98"/>
    </row>
    <row r="417" spans="1:27" ht="15.75" hidden="1" customHeight="1">
      <c r="A417" s="94" t="s">
        <v>2938</v>
      </c>
      <c r="B417" s="94" t="s">
        <v>445</v>
      </c>
      <c r="C417" s="94" t="s">
        <v>77</v>
      </c>
      <c r="D417" s="95">
        <v>10000</v>
      </c>
      <c r="E417" s="94" t="s">
        <v>442</v>
      </c>
      <c r="F417" s="94" t="s">
        <v>33</v>
      </c>
      <c r="G417" s="95">
        <v>10</v>
      </c>
      <c r="H417" s="94" t="s">
        <v>11</v>
      </c>
      <c r="I417" s="94" t="s">
        <v>7228</v>
      </c>
      <c r="J417" s="94" t="s">
        <v>426</v>
      </c>
      <c r="K417" s="95">
        <v>25</v>
      </c>
      <c r="L417" s="95">
        <v>30.2</v>
      </c>
      <c r="M417" s="94"/>
      <c r="N417" s="95">
        <v>103000</v>
      </c>
      <c r="O417" s="95">
        <v>3410</v>
      </c>
      <c r="P417" s="95">
        <v>1</v>
      </c>
      <c r="Q417" s="94" t="s">
        <v>383</v>
      </c>
      <c r="R417" s="95">
        <v>3</v>
      </c>
      <c r="S417" s="95">
        <v>75</v>
      </c>
      <c r="T417" s="95">
        <v>0</v>
      </c>
      <c r="U417" s="95">
        <v>0</v>
      </c>
      <c r="V417" s="95">
        <v>465</v>
      </c>
      <c r="W417" s="95">
        <v>1386</v>
      </c>
      <c r="X417" s="97">
        <v>45124.375</v>
      </c>
      <c r="Y417" s="97">
        <v>45113.375</v>
      </c>
      <c r="Z417" s="97">
        <v>45098.375</v>
      </c>
      <c r="AA417" s="98"/>
    </row>
    <row r="418" spans="1:27" ht="15.75" hidden="1" customHeight="1">
      <c r="A418" s="94" t="s">
        <v>2938</v>
      </c>
      <c r="B418" s="94" t="s">
        <v>445</v>
      </c>
      <c r="C418" s="94" t="s">
        <v>77</v>
      </c>
      <c r="D418" s="95">
        <v>10000</v>
      </c>
      <c r="E418" s="94" t="s">
        <v>442</v>
      </c>
      <c r="F418" s="94" t="s">
        <v>33</v>
      </c>
      <c r="G418" s="95">
        <v>11</v>
      </c>
      <c r="H418" s="94" t="s">
        <v>12</v>
      </c>
      <c r="I418" s="94" t="s">
        <v>6923</v>
      </c>
      <c r="J418" s="94" t="s">
        <v>444</v>
      </c>
      <c r="K418" s="95">
        <v>110</v>
      </c>
      <c r="L418" s="95">
        <v>30.2</v>
      </c>
      <c r="M418" s="94"/>
      <c r="N418" s="96">
        <v>103000</v>
      </c>
      <c r="O418" s="95">
        <v>3410</v>
      </c>
      <c r="P418" s="95">
        <v>1</v>
      </c>
      <c r="Q418" s="94" t="s">
        <v>383</v>
      </c>
      <c r="R418" s="95">
        <v>3</v>
      </c>
      <c r="S418" s="95">
        <v>330</v>
      </c>
      <c r="T418" s="95">
        <v>0</v>
      </c>
      <c r="U418" s="95">
        <v>0</v>
      </c>
      <c r="V418" s="95">
        <v>465</v>
      </c>
      <c r="W418" s="95">
        <v>1386</v>
      </c>
      <c r="X418" s="97">
        <v>45124.375</v>
      </c>
      <c r="Y418" s="97">
        <v>45113.375</v>
      </c>
      <c r="Z418" s="97">
        <v>45098.375</v>
      </c>
      <c r="AA418" s="98"/>
    </row>
    <row r="419" spans="1:27" ht="15.75" hidden="1" customHeight="1">
      <c r="A419" s="94" t="s">
        <v>2938</v>
      </c>
      <c r="B419" s="94" t="s">
        <v>445</v>
      </c>
      <c r="C419" s="94" t="s">
        <v>77</v>
      </c>
      <c r="D419" s="95">
        <v>10000</v>
      </c>
      <c r="E419" s="94" t="s">
        <v>442</v>
      </c>
      <c r="F419" s="94" t="s">
        <v>33</v>
      </c>
      <c r="G419" s="95">
        <v>12</v>
      </c>
      <c r="H419" s="94" t="s">
        <v>13</v>
      </c>
      <c r="I419" s="94" t="s">
        <v>6923</v>
      </c>
      <c r="J419" s="94" t="s">
        <v>444</v>
      </c>
      <c r="K419" s="95">
        <v>20</v>
      </c>
      <c r="L419" s="95">
        <v>30.2</v>
      </c>
      <c r="M419" s="94"/>
      <c r="N419" s="96">
        <v>103000</v>
      </c>
      <c r="O419" s="95">
        <v>3410</v>
      </c>
      <c r="P419" s="95">
        <v>1</v>
      </c>
      <c r="Q419" s="94" t="s">
        <v>383</v>
      </c>
      <c r="R419" s="95">
        <v>3</v>
      </c>
      <c r="S419" s="95">
        <v>60</v>
      </c>
      <c r="T419" s="95">
        <v>0</v>
      </c>
      <c r="U419" s="95">
        <v>0</v>
      </c>
      <c r="V419" s="95">
        <v>465</v>
      </c>
      <c r="W419" s="95">
        <v>1386</v>
      </c>
      <c r="X419" s="97">
        <v>45124.375</v>
      </c>
      <c r="Y419" s="97">
        <v>45113.375</v>
      </c>
      <c r="Z419" s="97">
        <v>45098.375</v>
      </c>
      <c r="AA419" s="98"/>
    </row>
    <row r="420" spans="1:27" ht="15.75" hidden="1" customHeight="1">
      <c r="A420" s="94" t="s">
        <v>2938</v>
      </c>
      <c r="B420" s="94" t="s">
        <v>445</v>
      </c>
      <c r="C420" s="94" t="s">
        <v>77</v>
      </c>
      <c r="D420" s="95">
        <v>10000</v>
      </c>
      <c r="E420" s="94" t="s">
        <v>431</v>
      </c>
      <c r="F420" s="94" t="s">
        <v>433</v>
      </c>
      <c r="G420" s="95">
        <v>18</v>
      </c>
      <c r="H420" s="94" t="s">
        <v>439</v>
      </c>
      <c r="I420" s="94" t="s">
        <v>6671</v>
      </c>
      <c r="J420" s="94" t="s">
        <v>440</v>
      </c>
      <c r="K420" s="95">
        <v>60</v>
      </c>
      <c r="L420" s="94"/>
      <c r="M420" s="95">
        <v>1600</v>
      </c>
      <c r="N420" s="99" t="s">
        <v>435</v>
      </c>
      <c r="O420" s="94"/>
      <c r="P420" s="95">
        <v>1</v>
      </c>
      <c r="Q420" s="94" t="s">
        <v>436</v>
      </c>
      <c r="R420" s="95">
        <v>0</v>
      </c>
      <c r="S420" s="95">
        <v>0</v>
      </c>
      <c r="T420" s="95">
        <v>375</v>
      </c>
      <c r="U420" s="95">
        <v>75</v>
      </c>
      <c r="V420" s="95">
        <v>921</v>
      </c>
      <c r="W420" s="95">
        <v>1386</v>
      </c>
      <c r="X420" s="97">
        <v>45124.375</v>
      </c>
      <c r="Y420" s="97">
        <v>45113.375</v>
      </c>
      <c r="Z420" s="97">
        <v>45098.375</v>
      </c>
      <c r="AA420" s="98"/>
    </row>
    <row r="421" spans="1:27" ht="15.75" hidden="1" customHeight="1">
      <c r="A421" s="94" t="s">
        <v>2938</v>
      </c>
      <c r="B421" s="94" t="s">
        <v>445</v>
      </c>
      <c r="C421" s="94" t="s">
        <v>77</v>
      </c>
      <c r="D421" s="95">
        <v>10000</v>
      </c>
      <c r="E421" s="94" t="s">
        <v>431</v>
      </c>
      <c r="F421" s="94" t="s">
        <v>433</v>
      </c>
      <c r="G421" s="95">
        <v>19</v>
      </c>
      <c r="H421" s="94" t="s">
        <v>368</v>
      </c>
      <c r="I421" s="94" t="s">
        <v>6236</v>
      </c>
      <c r="J421" s="94" t="s">
        <v>434</v>
      </c>
      <c r="K421" s="95">
        <v>60</v>
      </c>
      <c r="L421" s="94"/>
      <c r="M421" s="95">
        <v>1100</v>
      </c>
      <c r="N421" s="94" t="s">
        <v>435</v>
      </c>
      <c r="O421" s="94"/>
      <c r="P421" s="95">
        <v>4</v>
      </c>
      <c r="Q421" s="94" t="s">
        <v>436</v>
      </c>
      <c r="R421" s="95">
        <v>0</v>
      </c>
      <c r="S421" s="95">
        <v>0</v>
      </c>
      <c r="T421" s="95">
        <v>546</v>
      </c>
      <c r="U421" s="95">
        <v>110</v>
      </c>
      <c r="V421" s="95">
        <v>921</v>
      </c>
      <c r="W421" s="95">
        <v>1386</v>
      </c>
      <c r="X421" s="97">
        <v>45124.375</v>
      </c>
      <c r="Y421" s="97">
        <v>45113.375</v>
      </c>
      <c r="Z421" s="97">
        <v>45098.375</v>
      </c>
      <c r="AA421" s="98"/>
    </row>
    <row r="422" spans="1:27" ht="15.75" hidden="1" customHeight="1">
      <c r="A422" s="94" t="s">
        <v>2870</v>
      </c>
      <c r="B422" s="94" t="s">
        <v>818</v>
      </c>
      <c r="C422" s="94" t="s">
        <v>313</v>
      </c>
      <c r="D422" s="95">
        <v>10000</v>
      </c>
      <c r="E422" s="94" t="s">
        <v>424</v>
      </c>
      <c r="F422" s="94" t="s">
        <v>48</v>
      </c>
      <c r="G422" s="95">
        <v>4</v>
      </c>
      <c r="H422" s="94" t="s">
        <v>11</v>
      </c>
      <c r="I422" s="94" t="s">
        <v>7228</v>
      </c>
      <c r="J422" s="94" t="s">
        <v>426</v>
      </c>
      <c r="K422" s="95">
        <v>60</v>
      </c>
      <c r="L422" s="95">
        <v>31.5</v>
      </c>
      <c r="M422" s="94"/>
      <c r="N422" s="96">
        <v>52000</v>
      </c>
      <c r="O422" s="95">
        <v>1650</v>
      </c>
      <c r="P422" s="95">
        <v>1</v>
      </c>
      <c r="Q422" s="94" t="s">
        <v>383</v>
      </c>
      <c r="R422" s="95">
        <v>7</v>
      </c>
      <c r="S422" s="95">
        <v>420</v>
      </c>
      <c r="T422" s="95">
        <v>0</v>
      </c>
      <c r="U422" s="95">
        <v>0</v>
      </c>
      <c r="V422" s="95">
        <v>1380</v>
      </c>
      <c r="W422" s="95">
        <v>2355</v>
      </c>
      <c r="X422" s="97">
        <v>45110.375</v>
      </c>
      <c r="Y422" s="97">
        <v>44839.375</v>
      </c>
      <c r="Z422" s="97">
        <v>45093.375</v>
      </c>
      <c r="AA422" s="98"/>
    </row>
    <row r="423" spans="1:27" ht="15.75" hidden="1" customHeight="1">
      <c r="A423" s="94" t="s">
        <v>2870</v>
      </c>
      <c r="B423" s="94" t="s">
        <v>818</v>
      </c>
      <c r="C423" s="94" t="s">
        <v>313</v>
      </c>
      <c r="D423" s="95">
        <v>10000</v>
      </c>
      <c r="E423" s="94" t="s">
        <v>424</v>
      </c>
      <c r="F423" s="94" t="s">
        <v>48</v>
      </c>
      <c r="G423" s="95">
        <v>5</v>
      </c>
      <c r="H423" s="94" t="s">
        <v>12</v>
      </c>
      <c r="I423" s="94" t="s">
        <v>6923</v>
      </c>
      <c r="J423" s="94" t="s">
        <v>427</v>
      </c>
      <c r="K423" s="95">
        <v>120</v>
      </c>
      <c r="L423" s="95">
        <v>31.5</v>
      </c>
      <c r="M423" s="94"/>
      <c r="N423" s="96">
        <v>52000</v>
      </c>
      <c r="O423" s="95">
        <v>1650</v>
      </c>
      <c r="P423" s="95">
        <v>1</v>
      </c>
      <c r="Q423" s="94" t="s">
        <v>383</v>
      </c>
      <c r="R423" s="95">
        <v>7</v>
      </c>
      <c r="S423" s="95">
        <v>840</v>
      </c>
      <c r="T423" s="95">
        <v>0</v>
      </c>
      <c r="U423" s="95">
        <v>0</v>
      </c>
      <c r="V423" s="95">
        <v>1380</v>
      </c>
      <c r="W423" s="95">
        <v>2355</v>
      </c>
      <c r="X423" s="97">
        <v>45110.375</v>
      </c>
      <c r="Y423" s="97">
        <v>44839.375</v>
      </c>
      <c r="Z423" s="97">
        <v>45093.375</v>
      </c>
      <c r="AA423" s="98"/>
    </row>
    <row r="424" spans="1:27" ht="15.75" hidden="1" customHeight="1">
      <c r="A424" s="94" t="s">
        <v>2870</v>
      </c>
      <c r="B424" s="94" t="s">
        <v>818</v>
      </c>
      <c r="C424" s="94" t="s">
        <v>313</v>
      </c>
      <c r="D424" s="95">
        <v>10000</v>
      </c>
      <c r="E424" s="94" t="s">
        <v>424</v>
      </c>
      <c r="F424" s="94" t="s">
        <v>48</v>
      </c>
      <c r="G424" s="95">
        <v>6</v>
      </c>
      <c r="H424" s="94" t="s">
        <v>13</v>
      </c>
      <c r="I424" s="94" t="s">
        <v>6923</v>
      </c>
      <c r="J424" s="94" t="s">
        <v>427</v>
      </c>
      <c r="K424" s="95">
        <v>105</v>
      </c>
      <c r="L424" s="95">
        <v>31.5</v>
      </c>
      <c r="M424" s="94"/>
      <c r="N424" s="96">
        <v>52000</v>
      </c>
      <c r="O424" s="95">
        <v>1650</v>
      </c>
      <c r="P424" s="95">
        <v>1</v>
      </c>
      <c r="Q424" s="94" t="s">
        <v>383</v>
      </c>
      <c r="R424" s="95">
        <v>7</v>
      </c>
      <c r="S424" s="95">
        <v>120</v>
      </c>
      <c r="T424" s="95">
        <v>0</v>
      </c>
      <c r="U424" s="95">
        <v>0</v>
      </c>
      <c r="V424" s="95">
        <v>1380</v>
      </c>
      <c r="W424" s="95">
        <v>2355</v>
      </c>
      <c r="X424" s="97">
        <v>45110.375</v>
      </c>
      <c r="Y424" s="97">
        <v>44839.375</v>
      </c>
      <c r="Z424" s="97">
        <v>45093.375</v>
      </c>
      <c r="AA424" s="98"/>
    </row>
    <row r="425" spans="1:27" ht="15.75" hidden="1" customHeight="1">
      <c r="A425" s="94" t="s">
        <v>2870</v>
      </c>
      <c r="B425" s="94" t="s">
        <v>818</v>
      </c>
      <c r="C425" s="94" t="s">
        <v>313</v>
      </c>
      <c r="D425" s="95">
        <v>10000</v>
      </c>
      <c r="E425" s="94" t="s">
        <v>431</v>
      </c>
      <c r="F425" s="94" t="s">
        <v>433</v>
      </c>
      <c r="G425" s="95">
        <v>18</v>
      </c>
      <c r="H425" s="94" t="s">
        <v>439</v>
      </c>
      <c r="I425" s="94" t="s">
        <v>6671</v>
      </c>
      <c r="J425" s="94" t="s">
        <v>440</v>
      </c>
      <c r="K425" s="95">
        <v>60</v>
      </c>
      <c r="L425" s="94"/>
      <c r="M425" s="95">
        <v>2000</v>
      </c>
      <c r="N425" s="99" t="s">
        <v>435</v>
      </c>
      <c r="O425" s="94"/>
      <c r="P425" s="95">
        <v>1</v>
      </c>
      <c r="Q425" s="94" t="s">
        <v>436</v>
      </c>
      <c r="R425" s="95">
        <v>0</v>
      </c>
      <c r="S425" s="95">
        <v>0</v>
      </c>
      <c r="T425" s="95">
        <v>300</v>
      </c>
      <c r="U425" s="95">
        <v>60</v>
      </c>
      <c r="V425" s="95">
        <v>975</v>
      </c>
      <c r="W425" s="95">
        <v>2355</v>
      </c>
      <c r="X425" s="97">
        <v>45110.375</v>
      </c>
      <c r="Y425" s="97">
        <v>44839.375</v>
      </c>
      <c r="Z425" s="97">
        <v>45093.375</v>
      </c>
      <c r="AA425" s="98"/>
    </row>
    <row r="426" spans="1:27" ht="15.75" hidden="1" customHeight="1">
      <c r="A426" s="94" t="s">
        <v>2870</v>
      </c>
      <c r="B426" s="94" t="s">
        <v>818</v>
      </c>
      <c r="C426" s="94" t="s">
        <v>313</v>
      </c>
      <c r="D426" s="95">
        <v>10000</v>
      </c>
      <c r="E426" s="94" t="s">
        <v>431</v>
      </c>
      <c r="F426" s="94" t="s">
        <v>433</v>
      </c>
      <c r="G426" s="95">
        <v>19</v>
      </c>
      <c r="H426" s="94" t="s">
        <v>368</v>
      </c>
      <c r="I426" s="94" t="s">
        <v>6236</v>
      </c>
      <c r="J426" s="94" t="s">
        <v>434</v>
      </c>
      <c r="K426" s="95">
        <v>60</v>
      </c>
      <c r="L426" s="94"/>
      <c r="M426" s="95">
        <v>890</v>
      </c>
      <c r="N426" s="99" t="s">
        <v>435</v>
      </c>
      <c r="O426" s="94"/>
      <c r="P426" s="95">
        <v>4</v>
      </c>
      <c r="Q426" s="94" t="s">
        <v>436</v>
      </c>
      <c r="R426" s="95">
        <v>0</v>
      </c>
      <c r="S426" s="95">
        <v>0</v>
      </c>
      <c r="T426" s="95">
        <v>675</v>
      </c>
      <c r="U426" s="95">
        <v>135</v>
      </c>
      <c r="V426" s="95">
        <v>975</v>
      </c>
      <c r="W426" s="95">
        <v>2355</v>
      </c>
      <c r="X426" s="97">
        <v>45110.375</v>
      </c>
      <c r="Y426" s="97">
        <v>44839.375</v>
      </c>
      <c r="Z426" s="97">
        <v>45093.375</v>
      </c>
      <c r="AA426" s="98"/>
    </row>
    <row r="427" spans="1:27" ht="15.75" hidden="1" customHeight="1">
      <c r="A427" s="94" t="s">
        <v>2970</v>
      </c>
      <c r="B427" s="94" t="s">
        <v>705</v>
      </c>
      <c r="C427" s="94" t="s">
        <v>127</v>
      </c>
      <c r="D427" s="95">
        <v>3000</v>
      </c>
      <c r="E427" s="94" t="s">
        <v>442</v>
      </c>
      <c r="F427" s="94" t="s">
        <v>40</v>
      </c>
      <c r="G427" s="95">
        <v>1</v>
      </c>
      <c r="H427" s="94" t="s">
        <v>11</v>
      </c>
      <c r="I427" s="94" t="s">
        <v>7228</v>
      </c>
      <c r="J427" s="94" t="s">
        <v>426</v>
      </c>
      <c r="K427" s="95">
        <v>25</v>
      </c>
      <c r="L427" s="95">
        <v>416.6</v>
      </c>
      <c r="M427" s="94"/>
      <c r="N427" s="96">
        <v>382000</v>
      </c>
      <c r="O427" s="95">
        <v>916</v>
      </c>
      <c r="P427" s="95">
        <v>1</v>
      </c>
      <c r="Q427" s="94" t="s">
        <v>383</v>
      </c>
      <c r="R427" s="95">
        <v>4</v>
      </c>
      <c r="S427" s="95">
        <v>100</v>
      </c>
      <c r="T427" s="95">
        <v>0</v>
      </c>
      <c r="U427" s="95">
        <v>0</v>
      </c>
      <c r="V427" s="95">
        <v>940</v>
      </c>
      <c r="W427" s="95">
        <v>1560</v>
      </c>
      <c r="X427" s="97">
        <v>45126.375</v>
      </c>
      <c r="Y427" s="97">
        <v>45113.375</v>
      </c>
      <c r="Z427" s="97">
        <v>45092.375</v>
      </c>
      <c r="AA427" s="98"/>
    </row>
    <row r="428" spans="1:27" ht="15.75" hidden="1" customHeight="1">
      <c r="A428" s="94" t="s">
        <v>2970</v>
      </c>
      <c r="B428" s="94" t="s">
        <v>705</v>
      </c>
      <c r="C428" s="94" t="s">
        <v>127</v>
      </c>
      <c r="D428" s="95">
        <v>3000</v>
      </c>
      <c r="E428" s="94" t="s">
        <v>442</v>
      </c>
      <c r="F428" s="94" t="s">
        <v>40</v>
      </c>
      <c r="G428" s="95">
        <v>2</v>
      </c>
      <c r="H428" s="94" t="s">
        <v>12</v>
      </c>
      <c r="I428" s="94" t="s">
        <v>6923</v>
      </c>
      <c r="J428" s="94" t="s">
        <v>449</v>
      </c>
      <c r="K428" s="95">
        <v>180</v>
      </c>
      <c r="L428" s="95">
        <v>416.6</v>
      </c>
      <c r="M428" s="94"/>
      <c r="N428" s="96">
        <v>382000</v>
      </c>
      <c r="O428" s="95">
        <v>916</v>
      </c>
      <c r="P428" s="95">
        <v>1</v>
      </c>
      <c r="Q428" s="94" t="s">
        <v>383</v>
      </c>
      <c r="R428" s="95">
        <v>4</v>
      </c>
      <c r="S428" s="95">
        <v>720</v>
      </c>
      <c r="T428" s="95">
        <v>0</v>
      </c>
      <c r="U428" s="95">
        <v>0</v>
      </c>
      <c r="V428" s="95">
        <v>940</v>
      </c>
      <c r="W428" s="95">
        <v>1560</v>
      </c>
      <c r="X428" s="97">
        <v>45126.375</v>
      </c>
      <c r="Y428" s="97">
        <v>45113.375</v>
      </c>
      <c r="Z428" s="97">
        <v>45092.375</v>
      </c>
      <c r="AA428" s="98"/>
    </row>
    <row r="429" spans="1:27" ht="15.75" hidden="1" customHeight="1">
      <c r="A429" s="94" t="s">
        <v>2970</v>
      </c>
      <c r="B429" s="94" t="s">
        <v>705</v>
      </c>
      <c r="C429" s="94" t="s">
        <v>127</v>
      </c>
      <c r="D429" s="95">
        <v>3000</v>
      </c>
      <c r="E429" s="94" t="s">
        <v>442</v>
      </c>
      <c r="F429" s="94" t="s">
        <v>40</v>
      </c>
      <c r="G429" s="95">
        <v>3</v>
      </c>
      <c r="H429" s="94" t="s">
        <v>13</v>
      </c>
      <c r="I429" s="94" t="s">
        <v>6923</v>
      </c>
      <c r="J429" s="94" t="s">
        <v>449</v>
      </c>
      <c r="K429" s="95">
        <v>30</v>
      </c>
      <c r="L429" s="95">
        <v>416.6</v>
      </c>
      <c r="M429" s="94"/>
      <c r="N429" s="96">
        <v>382000</v>
      </c>
      <c r="O429" s="95">
        <v>916</v>
      </c>
      <c r="P429" s="95">
        <v>1</v>
      </c>
      <c r="Q429" s="94" t="s">
        <v>383</v>
      </c>
      <c r="R429" s="95">
        <v>4</v>
      </c>
      <c r="S429" s="95">
        <v>120</v>
      </c>
      <c r="T429" s="95">
        <v>0</v>
      </c>
      <c r="U429" s="95">
        <v>0</v>
      </c>
      <c r="V429" s="95">
        <v>940</v>
      </c>
      <c r="W429" s="95">
        <v>1560</v>
      </c>
      <c r="X429" s="97">
        <v>45126.375</v>
      </c>
      <c r="Y429" s="97">
        <v>45113.375</v>
      </c>
      <c r="Z429" s="97">
        <v>45092.375</v>
      </c>
      <c r="AA429" s="98"/>
    </row>
    <row r="430" spans="1:27" ht="15.75" hidden="1" customHeight="1">
      <c r="A430" s="94" t="s">
        <v>2970</v>
      </c>
      <c r="B430" s="94" t="s">
        <v>705</v>
      </c>
      <c r="C430" s="94" t="s">
        <v>127</v>
      </c>
      <c r="D430" s="95">
        <v>3000</v>
      </c>
      <c r="E430" s="94" t="s">
        <v>431</v>
      </c>
      <c r="F430" s="94" t="s">
        <v>433</v>
      </c>
      <c r="G430" s="95">
        <v>18</v>
      </c>
      <c r="H430" s="94" t="s">
        <v>439</v>
      </c>
      <c r="I430" s="94" t="s">
        <v>6671</v>
      </c>
      <c r="J430" s="94" t="s">
        <v>440</v>
      </c>
      <c r="K430" s="95">
        <v>60</v>
      </c>
      <c r="L430" s="94"/>
      <c r="M430" s="95">
        <v>860</v>
      </c>
      <c r="N430" s="99" t="s">
        <v>435</v>
      </c>
      <c r="O430" s="94"/>
      <c r="P430" s="95">
        <v>1</v>
      </c>
      <c r="Q430" s="94" t="s">
        <v>436</v>
      </c>
      <c r="R430" s="95">
        <v>0</v>
      </c>
      <c r="S430" s="95">
        <v>0</v>
      </c>
      <c r="T430" s="95">
        <v>210</v>
      </c>
      <c r="U430" s="95">
        <v>42</v>
      </c>
      <c r="V430" s="95">
        <v>620</v>
      </c>
      <c r="W430" s="95">
        <v>1560</v>
      </c>
      <c r="X430" s="97">
        <v>45126.375</v>
      </c>
      <c r="Y430" s="97">
        <v>45113.375</v>
      </c>
      <c r="Z430" s="97">
        <v>45092.375</v>
      </c>
      <c r="AA430" s="98"/>
    </row>
    <row r="431" spans="1:27" ht="15.75" hidden="1" customHeight="1">
      <c r="A431" s="94" t="s">
        <v>2970</v>
      </c>
      <c r="B431" s="94" t="s">
        <v>705</v>
      </c>
      <c r="C431" s="94" t="s">
        <v>127</v>
      </c>
      <c r="D431" s="95">
        <v>3000</v>
      </c>
      <c r="E431" s="94" t="s">
        <v>431</v>
      </c>
      <c r="F431" s="94" t="s">
        <v>433</v>
      </c>
      <c r="G431" s="95">
        <v>19</v>
      </c>
      <c r="H431" s="94" t="s">
        <v>368</v>
      </c>
      <c r="I431" s="94" t="s">
        <v>6236</v>
      </c>
      <c r="J431" s="94" t="s">
        <v>434</v>
      </c>
      <c r="K431" s="95">
        <v>60</v>
      </c>
      <c r="L431" s="94"/>
      <c r="M431" s="95">
        <v>440</v>
      </c>
      <c r="N431" s="99" t="s">
        <v>435</v>
      </c>
      <c r="O431" s="94"/>
      <c r="P431" s="95">
        <v>3</v>
      </c>
      <c r="Q431" s="94" t="s">
        <v>436</v>
      </c>
      <c r="R431" s="95">
        <v>0</v>
      </c>
      <c r="S431" s="95">
        <v>0</v>
      </c>
      <c r="T431" s="95">
        <v>410</v>
      </c>
      <c r="U431" s="95">
        <v>82</v>
      </c>
      <c r="V431" s="95">
        <v>620</v>
      </c>
      <c r="W431" s="95">
        <v>1560</v>
      </c>
      <c r="X431" s="97">
        <v>45126.375</v>
      </c>
      <c r="Y431" s="97">
        <v>45113.375</v>
      </c>
      <c r="Z431" s="97">
        <v>45092.375</v>
      </c>
      <c r="AA431" s="98"/>
    </row>
    <row r="432" spans="1:27" ht="15.75" hidden="1" customHeight="1">
      <c r="A432" s="94" t="s">
        <v>2978</v>
      </c>
      <c r="B432" s="94" t="s">
        <v>810</v>
      </c>
      <c r="C432" s="94" t="s">
        <v>266</v>
      </c>
      <c r="D432" s="95">
        <v>10000</v>
      </c>
      <c r="E432" s="94" t="s">
        <v>442</v>
      </c>
      <c r="F432" s="94" t="s">
        <v>33</v>
      </c>
      <c r="G432" s="95">
        <v>10</v>
      </c>
      <c r="H432" s="94" t="s">
        <v>11</v>
      </c>
      <c r="I432" s="94" t="s">
        <v>7228</v>
      </c>
      <c r="J432" s="94" t="s">
        <v>426</v>
      </c>
      <c r="K432" s="95">
        <v>95</v>
      </c>
      <c r="L432" s="95">
        <v>5</v>
      </c>
      <c r="M432" s="94"/>
      <c r="N432" s="95">
        <v>80000</v>
      </c>
      <c r="O432" s="95">
        <v>16000</v>
      </c>
      <c r="P432" s="95">
        <v>1</v>
      </c>
      <c r="Q432" s="94" t="s">
        <v>383</v>
      </c>
      <c r="R432" s="95">
        <v>1</v>
      </c>
      <c r="S432" s="95">
        <v>95</v>
      </c>
      <c r="T432" s="95">
        <v>0</v>
      </c>
      <c r="U432" s="95">
        <v>0</v>
      </c>
      <c r="V432" s="95">
        <v>235</v>
      </c>
      <c r="W432" s="95">
        <v>935</v>
      </c>
      <c r="X432" s="97">
        <v>45117.375</v>
      </c>
      <c r="Y432" s="97">
        <v>45089.375</v>
      </c>
      <c r="Z432" s="97">
        <v>45093.375</v>
      </c>
      <c r="AA432" s="98"/>
    </row>
    <row r="433" spans="1:27" ht="15.75" hidden="1" customHeight="1">
      <c r="A433" s="94" t="s">
        <v>2978</v>
      </c>
      <c r="B433" s="94" t="s">
        <v>810</v>
      </c>
      <c r="C433" s="94" t="s">
        <v>266</v>
      </c>
      <c r="D433" s="95">
        <v>10000</v>
      </c>
      <c r="E433" s="94" t="s">
        <v>442</v>
      </c>
      <c r="F433" s="94" t="s">
        <v>33</v>
      </c>
      <c r="G433" s="95">
        <v>11</v>
      </c>
      <c r="H433" s="94" t="s">
        <v>12</v>
      </c>
      <c r="I433" s="94" t="s">
        <v>6923</v>
      </c>
      <c r="J433" s="94" t="s">
        <v>444</v>
      </c>
      <c r="K433" s="95">
        <v>110</v>
      </c>
      <c r="L433" s="95">
        <v>5</v>
      </c>
      <c r="M433" s="94"/>
      <c r="N433" s="96">
        <v>80000</v>
      </c>
      <c r="O433" s="95">
        <v>16000</v>
      </c>
      <c r="P433" s="95">
        <v>1</v>
      </c>
      <c r="Q433" s="94" t="s">
        <v>383</v>
      </c>
      <c r="R433" s="95">
        <v>1</v>
      </c>
      <c r="S433" s="95">
        <v>110</v>
      </c>
      <c r="T433" s="95">
        <v>0</v>
      </c>
      <c r="U433" s="95">
        <v>0</v>
      </c>
      <c r="V433" s="95">
        <v>235</v>
      </c>
      <c r="W433" s="95">
        <v>935</v>
      </c>
      <c r="X433" s="97">
        <v>45117.375</v>
      </c>
      <c r="Y433" s="97">
        <v>45089.375</v>
      </c>
      <c r="Z433" s="97">
        <v>45093.375</v>
      </c>
      <c r="AA433" s="98"/>
    </row>
    <row r="434" spans="1:27" ht="15.75" hidden="1" customHeight="1">
      <c r="A434" s="94" t="s">
        <v>2978</v>
      </c>
      <c r="B434" s="94" t="s">
        <v>810</v>
      </c>
      <c r="C434" s="94" t="s">
        <v>266</v>
      </c>
      <c r="D434" s="95">
        <v>10000</v>
      </c>
      <c r="E434" s="94" t="s">
        <v>442</v>
      </c>
      <c r="F434" s="94" t="s">
        <v>33</v>
      </c>
      <c r="G434" s="95">
        <v>12</v>
      </c>
      <c r="H434" s="94" t="s">
        <v>13</v>
      </c>
      <c r="I434" s="94" t="s">
        <v>6923</v>
      </c>
      <c r="J434" s="94" t="s">
        <v>444</v>
      </c>
      <c r="K434" s="95">
        <v>30</v>
      </c>
      <c r="L434" s="95">
        <v>5</v>
      </c>
      <c r="M434" s="94"/>
      <c r="N434" s="96">
        <v>80000</v>
      </c>
      <c r="O434" s="95">
        <v>16000</v>
      </c>
      <c r="P434" s="95">
        <v>1</v>
      </c>
      <c r="Q434" s="94" t="s">
        <v>383</v>
      </c>
      <c r="R434" s="95">
        <v>1</v>
      </c>
      <c r="S434" s="95">
        <v>30</v>
      </c>
      <c r="T434" s="95">
        <v>0</v>
      </c>
      <c r="U434" s="95">
        <v>0</v>
      </c>
      <c r="V434" s="95">
        <v>235</v>
      </c>
      <c r="W434" s="95">
        <v>935</v>
      </c>
      <c r="X434" s="97">
        <v>45117.375</v>
      </c>
      <c r="Y434" s="97">
        <v>45089.375</v>
      </c>
      <c r="Z434" s="97">
        <v>45093.375</v>
      </c>
      <c r="AA434" s="98"/>
    </row>
    <row r="435" spans="1:27" ht="15.75" hidden="1" customHeight="1">
      <c r="A435" s="94" t="s">
        <v>2978</v>
      </c>
      <c r="B435" s="94" t="s">
        <v>810</v>
      </c>
      <c r="C435" s="94" t="s">
        <v>266</v>
      </c>
      <c r="D435" s="95">
        <v>10000</v>
      </c>
      <c r="E435" s="94" t="s">
        <v>431</v>
      </c>
      <c r="F435" s="94" t="s">
        <v>433</v>
      </c>
      <c r="G435" s="95">
        <v>18</v>
      </c>
      <c r="H435" s="94" t="s">
        <v>439</v>
      </c>
      <c r="I435" s="94" t="s">
        <v>6671</v>
      </c>
      <c r="J435" s="94" t="s">
        <v>440</v>
      </c>
      <c r="K435" s="95">
        <v>60</v>
      </c>
      <c r="L435" s="94"/>
      <c r="M435" s="95">
        <v>3000</v>
      </c>
      <c r="N435" s="99" t="s">
        <v>435</v>
      </c>
      <c r="O435" s="94"/>
      <c r="P435" s="95">
        <v>1</v>
      </c>
      <c r="Q435" s="94" t="s">
        <v>436</v>
      </c>
      <c r="R435" s="95">
        <v>0</v>
      </c>
      <c r="S435" s="95">
        <v>0</v>
      </c>
      <c r="T435" s="95">
        <v>200</v>
      </c>
      <c r="U435" s="95">
        <v>40</v>
      </c>
      <c r="V435" s="95">
        <v>700</v>
      </c>
      <c r="W435" s="95">
        <v>935</v>
      </c>
      <c r="X435" s="97">
        <v>45117.375</v>
      </c>
      <c r="Y435" s="97">
        <v>45089.375</v>
      </c>
      <c r="Z435" s="97">
        <v>45093.375</v>
      </c>
      <c r="AA435" s="98"/>
    </row>
    <row r="436" spans="1:27" ht="15.75" hidden="1" customHeight="1">
      <c r="A436" s="94" t="s">
        <v>2978</v>
      </c>
      <c r="B436" s="94" t="s">
        <v>810</v>
      </c>
      <c r="C436" s="94" t="s">
        <v>266</v>
      </c>
      <c r="D436" s="95">
        <v>10000</v>
      </c>
      <c r="E436" s="94" t="s">
        <v>431</v>
      </c>
      <c r="F436" s="94" t="s">
        <v>433</v>
      </c>
      <c r="G436" s="95">
        <v>19</v>
      </c>
      <c r="H436" s="94" t="s">
        <v>368</v>
      </c>
      <c r="I436" s="94" t="s">
        <v>6236</v>
      </c>
      <c r="J436" s="94" t="s">
        <v>434</v>
      </c>
      <c r="K436" s="95">
        <v>60</v>
      </c>
      <c r="L436" s="94"/>
      <c r="M436" s="95">
        <v>1200</v>
      </c>
      <c r="N436" s="99" t="s">
        <v>435</v>
      </c>
      <c r="O436" s="94"/>
      <c r="P436" s="95">
        <v>3</v>
      </c>
      <c r="Q436" s="94" t="s">
        <v>436</v>
      </c>
      <c r="R436" s="95">
        <v>0</v>
      </c>
      <c r="S436" s="95">
        <v>0</v>
      </c>
      <c r="T436" s="95">
        <v>500</v>
      </c>
      <c r="U436" s="95">
        <v>100</v>
      </c>
      <c r="V436" s="95">
        <v>700</v>
      </c>
      <c r="W436" s="95">
        <v>935</v>
      </c>
      <c r="X436" s="97">
        <v>45117.375</v>
      </c>
      <c r="Y436" s="97">
        <v>45089.375</v>
      </c>
      <c r="Z436" s="97">
        <v>45093.375</v>
      </c>
      <c r="AA436" s="98"/>
    </row>
    <row r="437" spans="1:27" ht="15.75" hidden="1" customHeight="1">
      <c r="A437" s="94" t="s">
        <v>2993</v>
      </c>
      <c r="B437" s="94" t="s">
        <v>619</v>
      </c>
      <c r="C437" s="94" t="s">
        <v>288</v>
      </c>
      <c r="D437" s="95">
        <v>7000</v>
      </c>
      <c r="E437" s="94" t="s">
        <v>442</v>
      </c>
      <c r="F437" s="94" t="s">
        <v>33</v>
      </c>
      <c r="G437" s="95">
        <v>10</v>
      </c>
      <c r="H437" s="94" t="s">
        <v>11</v>
      </c>
      <c r="I437" s="94" t="s">
        <v>7228</v>
      </c>
      <c r="J437" s="94" t="s">
        <v>426</v>
      </c>
      <c r="K437" s="95">
        <v>100</v>
      </c>
      <c r="L437" s="95">
        <v>35.5</v>
      </c>
      <c r="M437" s="94"/>
      <c r="N437" s="96">
        <v>75000</v>
      </c>
      <c r="O437" s="95">
        <v>2112</v>
      </c>
      <c r="P437" s="95">
        <v>1</v>
      </c>
      <c r="Q437" s="94" t="s">
        <v>383</v>
      </c>
      <c r="R437" s="95">
        <v>4</v>
      </c>
      <c r="S437" s="95">
        <v>400</v>
      </c>
      <c r="T437" s="95">
        <v>0</v>
      </c>
      <c r="U437" s="95">
        <v>0</v>
      </c>
      <c r="V437" s="95">
        <v>1100</v>
      </c>
      <c r="W437" s="95">
        <v>2050</v>
      </c>
      <c r="X437" s="97">
        <v>45128.375</v>
      </c>
      <c r="Y437" s="97">
        <v>45064.375</v>
      </c>
      <c r="Z437" s="97">
        <v>45124.375</v>
      </c>
      <c r="AA437" s="98"/>
    </row>
    <row r="438" spans="1:27" ht="15.75" hidden="1" customHeight="1">
      <c r="A438" s="94" t="s">
        <v>2993</v>
      </c>
      <c r="B438" s="94" t="s">
        <v>619</v>
      </c>
      <c r="C438" s="94" t="s">
        <v>288</v>
      </c>
      <c r="D438" s="95">
        <v>7000</v>
      </c>
      <c r="E438" s="94" t="s">
        <v>442</v>
      </c>
      <c r="F438" s="94" t="s">
        <v>33</v>
      </c>
      <c r="G438" s="95">
        <v>11</v>
      </c>
      <c r="H438" s="94" t="s">
        <v>12</v>
      </c>
      <c r="I438" s="94" t="s">
        <v>6923</v>
      </c>
      <c r="J438" s="94" t="s">
        <v>444</v>
      </c>
      <c r="K438" s="95">
        <v>160</v>
      </c>
      <c r="L438" s="95">
        <v>35.5</v>
      </c>
      <c r="M438" s="94"/>
      <c r="N438" s="95">
        <v>75000</v>
      </c>
      <c r="O438" s="95">
        <v>2112</v>
      </c>
      <c r="P438" s="95">
        <v>1</v>
      </c>
      <c r="Q438" s="94" t="s">
        <v>383</v>
      </c>
      <c r="R438" s="95">
        <v>4</v>
      </c>
      <c r="S438" s="95">
        <v>640</v>
      </c>
      <c r="T438" s="95">
        <v>0</v>
      </c>
      <c r="U438" s="95">
        <v>0</v>
      </c>
      <c r="V438" s="95">
        <v>1100</v>
      </c>
      <c r="W438" s="95">
        <v>2050</v>
      </c>
      <c r="X438" s="97">
        <v>45128.375</v>
      </c>
      <c r="Y438" s="97">
        <v>45064.375</v>
      </c>
      <c r="Z438" s="97">
        <v>45124.375</v>
      </c>
      <c r="AA438" s="98"/>
    </row>
    <row r="439" spans="1:27" ht="15.75" hidden="1" customHeight="1">
      <c r="A439" s="94" t="s">
        <v>2993</v>
      </c>
      <c r="B439" s="94" t="s">
        <v>619</v>
      </c>
      <c r="C439" s="94" t="s">
        <v>288</v>
      </c>
      <c r="D439" s="95">
        <v>7000</v>
      </c>
      <c r="E439" s="94" t="s">
        <v>442</v>
      </c>
      <c r="F439" s="94" t="s">
        <v>33</v>
      </c>
      <c r="G439" s="95">
        <v>12</v>
      </c>
      <c r="H439" s="94" t="s">
        <v>13</v>
      </c>
      <c r="I439" s="94" t="s">
        <v>6923</v>
      </c>
      <c r="J439" s="94" t="s">
        <v>444</v>
      </c>
      <c r="K439" s="95">
        <v>15</v>
      </c>
      <c r="L439" s="95">
        <v>35.5</v>
      </c>
      <c r="M439" s="94"/>
      <c r="N439" s="95">
        <v>75000</v>
      </c>
      <c r="O439" s="95">
        <v>2112</v>
      </c>
      <c r="P439" s="95">
        <v>1</v>
      </c>
      <c r="Q439" s="94" t="s">
        <v>383</v>
      </c>
      <c r="R439" s="95">
        <v>4</v>
      </c>
      <c r="S439" s="95">
        <v>60</v>
      </c>
      <c r="T439" s="95">
        <v>0</v>
      </c>
      <c r="U439" s="95">
        <v>0</v>
      </c>
      <c r="V439" s="95">
        <v>1100</v>
      </c>
      <c r="W439" s="95">
        <v>2050</v>
      </c>
      <c r="X439" s="97">
        <v>45128.375</v>
      </c>
      <c r="Y439" s="97">
        <v>45064.375</v>
      </c>
      <c r="Z439" s="97">
        <v>45124.375</v>
      </c>
      <c r="AA439" s="98"/>
    </row>
    <row r="440" spans="1:27" ht="15.75" hidden="1" customHeight="1">
      <c r="A440" s="94" t="s">
        <v>2993</v>
      </c>
      <c r="B440" s="94" t="s">
        <v>619</v>
      </c>
      <c r="C440" s="94" t="s">
        <v>288</v>
      </c>
      <c r="D440" s="95">
        <v>7000</v>
      </c>
      <c r="E440" s="94" t="s">
        <v>431</v>
      </c>
      <c r="F440" s="94" t="s">
        <v>433</v>
      </c>
      <c r="G440" s="95">
        <v>18</v>
      </c>
      <c r="H440" s="94" t="s">
        <v>439</v>
      </c>
      <c r="I440" s="94" t="s">
        <v>6671</v>
      </c>
      <c r="J440" s="94" t="s">
        <v>440</v>
      </c>
      <c r="K440" s="95">
        <v>60</v>
      </c>
      <c r="L440" s="94"/>
      <c r="M440" s="95">
        <v>1200</v>
      </c>
      <c r="N440" s="94" t="s">
        <v>435</v>
      </c>
      <c r="O440" s="94"/>
      <c r="P440" s="95">
        <v>1</v>
      </c>
      <c r="Q440" s="94" t="s">
        <v>436</v>
      </c>
      <c r="R440" s="95">
        <v>0</v>
      </c>
      <c r="S440" s="95">
        <v>0</v>
      </c>
      <c r="T440" s="95">
        <v>350</v>
      </c>
      <c r="U440" s="95">
        <v>70</v>
      </c>
      <c r="V440" s="95">
        <v>950</v>
      </c>
      <c r="W440" s="95">
        <v>2050</v>
      </c>
      <c r="X440" s="97">
        <v>45128.375</v>
      </c>
      <c r="Y440" s="97">
        <v>45064.375</v>
      </c>
      <c r="Z440" s="97">
        <v>45124.375</v>
      </c>
      <c r="AA440" s="98"/>
    </row>
    <row r="441" spans="1:27" ht="15.75" hidden="1" customHeight="1">
      <c r="A441" s="94" t="s">
        <v>2993</v>
      </c>
      <c r="B441" s="94" t="s">
        <v>619</v>
      </c>
      <c r="C441" s="94" t="s">
        <v>288</v>
      </c>
      <c r="D441" s="95">
        <v>7000</v>
      </c>
      <c r="E441" s="94" t="s">
        <v>431</v>
      </c>
      <c r="F441" s="94" t="s">
        <v>433</v>
      </c>
      <c r="G441" s="95">
        <v>19</v>
      </c>
      <c r="H441" s="94" t="s">
        <v>368</v>
      </c>
      <c r="I441" s="94" t="s">
        <v>6236</v>
      </c>
      <c r="J441" s="94" t="s">
        <v>434</v>
      </c>
      <c r="K441" s="95">
        <v>60</v>
      </c>
      <c r="L441" s="94"/>
      <c r="M441" s="95">
        <v>700</v>
      </c>
      <c r="N441" s="94" t="s">
        <v>435</v>
      </c>
      <c r="O441" s="94"/>
      <c r="P441" s="95">
        <v>3</v>
      </c>
      <c r="Q441" s="94" t="s">
        <v>436</v>
      </c>
      <c r="R441" s="95">
        <v>0</v>
      </c>
      <c r="S441" s="95">
        <v>0</v>
      </c>
      <c r="T441" s="95">
        <v>600</v>
      </c>
      <c r="U441" s="95">
        <v>120</v>
      </c>
      <c r="V441" s="95">
        <v>950</v>
      </c>
      <c r="W441" s="95">
        <v>2050</v>
      </c>
      <c r="X441" s="97">
        <v>45128.375</v>
      </c>
      <c r="Y441" s="97">
        <v>45064.375</v>
      </c>
      <c r="Z441" s="97">
        <v>45124.375</v>
      </c>
      <c r="AA441" s="98"/>
    </row>
    <row r="442" spans="1:27" ht="15.75" hidden="1" customHeight="1">
      <c r="A442" s="94" t="s">
        <v>2888</v>
      </c>
      <c r="B442" s="94" t="s">
        <v>467</v>
      </c>
      <c r="C442" s="94" t="s">
        <v>273</v>
      </c>
      <c r="D442" s="95">
        <v>70</v>
      </c>
      <c r="E442" s="94" t="s">
        <v>442</v>
      </c>
      <c r="F442" s="94" t="s">
        <v>33</v>
      </c>
      <c r="G442" s="95">
        <v>10</v>
      </c>
      <c r="H442" s="94" t="s">
        <v>11</v>
      </c>
      <c r="I442" s="94" t="s">
        <v>7228</v>
      </c>
      <c r="J442" s="94" t="s">
        <v>426</v>
      </c>
      <c r="K442" s="95">
        <v>60</v>
      </c>
      <c r="L442" s="95">
        <v>101.9</v>
      </c>
      <c r="M442" s="94"/>
      <c r="N442" s="95">
        <v>18000</v>
      </c>
      <c r="O442" s="95">
        <v>176</v>
      </c>
      <c r="P442" s="95">
        <v>1</v>
      </c>
      <c r="Q442" s="94" t="s">
        <v>383</v>
      </c>
      <c r="R442" s="95">
        <v>1</v>
      </c>
      <c r="S442" s="95">
        <v>60</v>
      </c>
      <c r="T442" s="95">
        <v>0</v>
      </c>
      <c r="U442" s="95">
        <v>0</v>
      </c>
      <c r="V442" s="95">
        <v>140</v>
      </c>
      <c r="W442" s="95">
        <v>156</v>
      </c>
      <c r="X442" s="97">
        <v>45135.375</v>
      </c>
      <c r="Y442" s="97">
        <v>45117.375</v>
      </c>
      <c r="Z442" s="97">
        <v>45117.375</v>
      </c>
      <c r="AA442" s="98"/>
    </row>
    <row r="443" spans="1:27" ht="15.75" hidden="1" customHeight="1">
      <c r="A443" s="94" t="s">
        <v>2888</v>
      </c>
      <c r="B443" s="94" t="s">
        <v>467</v>
      </c>
      <c r="C443" s="94" t="s">
        <v>273</v>
      </c>
      <c r="D443" s="95">
        <v>70</v>
      </c>
      <c r="E443" s="94" t="s">
        <v>442</v>
      </c>
      <c r="F443" s="94" t="s">
        <v>33</v>
      </c>
      <c r="G443" s="95">
        <v>11</v>
      </c>
      <c r="H443" s="94" t="s">
        <v>12</v>
      </c>
      <c r="I443" s="94" t="s">
        <v>6923</v>
      </c>
      <c r="J443" s="94" t="s">
        <v>444</v>
      </c>
      <c r="K443" s="95">
        <v>60</v>
      </c>
      <c r="L443" s="95">
        <v>101.9</v>
      </c>
      <c r="M443" s="94"/>
      <c r="N443" s="95">
        <v>18000</v>
      </c>
      <c r="O443" s="95">
        <v>176</v>
      </c>
      <c r="P443" s="95">
        <v>1</v>
      </c>
      <c r="Q443" s="94" t="s">
        <v>383</v>
      </c>
      <c r="R443" s="95">
        <v>1</v>
      </c>
      <c r="S443" s="95">
        <v>60</v>
      </c>
      <c r="T443" s="95">
        <v>0</v>
      </c>
      <c r="U443" s="95">
        <v>0</v>
      </c>
      <c r="V443" s="95">
        <v>140</v>
      </c>
      <c r="W443" s="95">
        <v>156</v>
      </c>
      <c r="X443" s="97">
        <v>45135.375</v>
      </c>
      <c r="Y443" s="97">
        <v>45117.375</v>
      </c>
      <c r="Z443" s="97">
        <v>45117.375</v>
      </c>
      <c r="AA443" s="98"/>
    </row>
    <row r="444" spans="1:27" ht="15.75" hidden="1" customHeight="1">
      <c r="A444" s="94" t="s">
        <v>2888</v>
      </c>
      <c r="B444" s="94" t="s">
        <v>467</v>
      </c>
      <c r="C444" s="94" t="s">
        <v>273</v>
      </c>
      <c r="D444" s="95">
        <v>70</v>
      </c>
      <c r="E444" s="94" t="s">
        <v>442</v>
      </c>
      <c r="F444" s="94" t="s">
        <v>33</v>
      </c>
      <c r="G444" s="95">
        <v>12</v>
      </c>
      <c r="H444" s="94" t="s">
        <v>13</v>
      </c>
      <c r="I444" s="94" t="s">
        <v>6923</v>
      </c>
      <c r="J444" s="94" t="s">
        <v>444</v>
      </c>
      <c r="K444" s="95">
        <v>20</v>
      </c>
      <c r="L444" s="95">
        <v>101.9</v>
      </c>
      <c r="M444" s="94"/>
      <c r="N444" s="95">
        <v>18000</v>
      </c>
      <c r="O444" s="95">
        <v>176</v>
      </c>
      <c r="P444" s="95">
        <v>1</v>
      </c>
      <c r="Q444" s="94" t="s">
        <v>383</v>
      </c>
      <c r="R444" s="95">
        <v>1</v>
      </c>
      <c r="S444" s="95">
        <v>20</v>
      </c>
      <c r="T444" s="95">
        <v>0</v>
      </c>
      <c r="U444" s="95">
        <v>0</v>
      </c>
      <c r="V444" s="95">
        <v>140</v>
      </c>
      <c r="W444" s="95">
        <v>156</v>
      </c>
      <c r="X444" s="97">
        <v>45135.375</v>
      </c>
      <c r="Y444" s="97">
        <v>45117.375</v>
      </c>
      <c r="Z444" s="97">
        <v>45117.375</v>
      </c>
      <c r="AA444" s="98"/>
    </row>
    <row r="445" spans="1:27" ht="15.75" hidden="1" customHeight="1">
      <c r="A445" s="94" t="s">
        <v>2888</v>
      </c>
      <c r="B445" s="94" t="s">
        <v>467</v>
      </c>
      <c r="C445" s="94" t="s">
        <v>273</v>
      </c>
      <c r="D445" s="95">
        <v>70</v>
      </c>
      <c r="E445" s="94" t="s">
        <v>431</v>
      </c>
      <c r="F445" s="94" t="s">
        <v>433</v>
      </c>
      <c r="G445" s="95">
        <v>18</v>
      </c>
      <c r="H445" s="94" t="s">
        <v>439</v>
      </c>
      <c r="I445" s="94" t="s">
        <v>6671</v>
      </c>
      <c r="J445" s="94" t="s">
        <v>440</v>
      </c>
      <c r="K445" s="95">
        <v>60</v>
      </c>
      <c r="L445" s="94"/>
      <c r="M445" s="95">
        <v>1000</v>
      </c>
      <c r="N445" s="94" t="s">
        <v>435</v>
      </c>
      <c r="O445" s="94"/>
      <c r="P445" s="95">
        <v>1</v>
      </c>
      <c r="Q445" s="94" t="s">
        <v>436</v>
      </c>
      <c r="R445" s="95">
        <v>0</v>
      </c>
      <c r="S445" s="95">
        <v>0</v>
      </c>
      <c r="T445" s="95">
        <v>5</v>
      </c>
      <c r="U445" s="95">
        <v>1</v>
      </c>
      <c r="V445" s="95">
        <v>16</v>
      </c>
      <c r="W445" s="95">
        <v>156</v>
      </c>
      <c r="X445" s="97">
        <v>45135.375</v>
      </c>
      <c r="Y445" s="97">
        <v>45117.375</v>
      </c>
      <c r="Z445" s="97">
        <v>45117.375</v>
      </c>
      <c r="AA445" s="98"/>
    </row>
    <row r="446" spans="1:27" ht="15.75" hidden="1" customHeight="1">
      <c r="A446" s="94" t="s">
        <v>2888</v>
      </c>
      <c r="B446" s="94" t="s">
        <v>467</v>
      </c>
      <c r="C446" s="94" t="s">
        <v>273</v>
      </c>
      <c r="D446" s="95">
        <v>70</v>
      </c>
      <c r="E446" s="94" t="s">
        <v>431</v>
      </c>
      <c r="F446" s="94" t="s">
        <v>433</v>
      </c>
      <c r="G446" s="95">
        <v>19</v>
      </c>
      <c r="H446" s="94" t="s">
        <v>368</v>
      </c>
      <c r="I446" s="94" t="s">
        <v>6236</v>
      </c>
      <c r="J446" s="94" t="s">
        <v>434</v>
      </c>
      <c r="K446" s="95">
        <v>60</v>
      </c>
      <c r="L446" s="94"/>
      <c r="M446" s="95">
        <v>390</v>
      </c>
      <c r="N446" s="99" t="s">
        <v>435</v>
      </c>
      <c r="O446" s="94"/>
      <c r="P446" s="95">
        <v>4</v>
      </c>
      <c r="Q446" s="94" t="s">
        <v>436</v>
      </c>
      <c r="R446" s="95">
        <v>0</v>
      </c>
      <c r="S446" s="95">
        <v>0</v>
      </c>
      <c r="T446" s="95">
        <v>11</v>
      </c>
      <c r="U446" s="95">
        <v>3</v>
      </c>
      <c r="V446" s="95">
        <v>16</v>
      </c>
      <c r="W446" s="95">
        <v>156</v>
      </c>
      <c r="X446" s="97">
        <v>45135.375</v>
      </c>
      <c r="Y446" s="97">
        <v>45117.375</v>
      </c>
      <c r="Z446" s="97">
        <v>45117.375</v>
      </c>
      <c r="AA446" s="98"/>
    </row>
    <row r="447" spans="1:27" ht="15.75" hidden="1" customHeight="1">
      <c r="A447" s="94" t="s">
        <v>2997</v>
      </c>
      <c r="B447" s="94" t="s">
        <v>514</v>
      </c>
      <c r="C447" s="94" t="s">
        <v>276</v>
      </c>
      <c r="D447" s="95">
        <v>1000</v>
      </c>
      <c r="E447" s="94" t="s">
        <v>442</v>
      </c>
      <c r="F447" s="94" t="s">
        <v>33</v>
      </c>
      <c r="G447" s="95">
        <v>10</v>
      </c>
      <c r="H447" s="94" t="s">
        <v>11</v>
      </c>
      <c r="I447" s="94" t="s">
        <v>7228</v>
      </c>
      <c r="J447" s="94" t="s">
        <v>426</v>
      </c>
      <c r="K447" s="95">
        <v>80</v>
      </c>
      <c r="L447" s="95">
        <v>166.5</v>
      </c>
      <c r="M447" s="94"/>
      <c r="N447" s="96">
        <v>78000</v>
      </c>
      <c r="O447" s="95">
        <v>468</v>
      </c>
      <c r="P447" s="95">
        <v>1</v>
      </c>
      <c r="Q447" s="94" t="s">
        <v>383</v>
      </c>
      <c r="R447" s="95">
        <v>3</v>
      </c>
      <c r="S447" s="95">
        <v>240</v>
      </c>
      <c r="T447" s="95">
        <v>0</v>
      </c>
      <c r="U447" s="95">
        <v>0</v>
      </c>
      <c r="V447" s="95">
        <v>405</v>
      </c>
      <c r="W447" s="95">
        <v>692</v>
      </c>
      <c r="X447" s="97">
        <v>45127.375</v>
      </c>
      <c r="Y447" s="97">
        <v>45111.375</v>
      </c>
      <c r="Z447" s="97">
        <v>45120.375</v>
      </c>
      <c r="AA447" s="98"/>
    </row>
    <row r="448" spans="1:27" ht="15.75" hidden="1" customHeight="1">
      <c r="A448" s="94" t="s">
        <v>2997</v>
      </c>
      <c r="B448" s="94" t="s">
        <v>514</v>
      </c>
      <c r="C448" s="94" t="s">
        <v>276</v>
      </c>
      <c r="D448" s="95">
        <v>1000</v>
      </c>
      <c r="E448" s="94" t="s">
        <v>442</v>
      </c>
      <c r="F448" s="94" t="s">
        <v>33</v>
      </c>
      <c r="G448" s="95">
        <v>11</v>
      </c>
      <c r="H448" s="94" t="s">
        <v>12</v>
      </c>
      <c r="I448" s="94" t="s">
        <v>6923</v>
      </c>
      <c r="J448" s="94" t="s">
        <v>444</v>
      </c>
      <c r="K448" s="95">
        <v>45</v>
      </c>
      <c r="L448" s="95">
        <v>166.5</v>
      </c>
      <c r="M448" s="94"/>
      <c r="N448" s="96">
        <v>78000</v>
      </c>
      <c r="O448" s="95">
        <v>468</v>
      </c>
      <c r="P448" s="95">
        <v>1</v>
      </c>
      <c r="Q448" s="94" t="s">
        <v>383</v>
      </c>
      <c r="R448" s="95">
        <v>3</v>
      </c>
      <c r="S448" s="95">
        <v>135</v>
      </c>
      <c r="T448" s="95">
        <v>0</v>
      </c>
      <c r="U448" s="95">
        <v>0</v>
      </c>
      <c r="V448" s="95">
        <v>405</v>
      </c>
      <c r="W448" s="95">
        <v>692</v>
      </c>
      <c r="X448" s="97">
        <v>45127.375</v>
      </c>
      <c r="Y448" s="97">
        <v>45111.375</v>
      </c>
      <c r="Z448" s="97">
        <v>45120.375</v>
      </c>
      <c r="AA448" s="98"/>
    </row>
    <row r="449" spans="1:27" ht="15.75" hidden="1" customHeight="1">
      <c r="A449" s="94" t="s">
        <v>2997</v>
      </c>
      <c r="B449" s="94" t="s">
        <v>514</v>
      </c>
      <c r="C449" s="94" t="s">
        <v>276</v>
      </c>
      <c r="D449" s="95">
        <v>1000</v>
      </c>
      <c r="E449" s="94" t="s">
        <v>442</v>
      </c>
      <c r="F449" s="94" t="s">
        <v>33</v>
      </c>
      <c r="G449" s="95">
        <v>12</v>
      </c>
      <c r="H449" s="94" t="s">
        <v>13</v>
      </c>
      <c r="I449" s="94" t="s">
        <v>6923</v>
      </c>
      <c r="J449" s="94" t="s">
        <v>444</v>
      </c>
      <c r="K449" s="95">
        <v>10</v>
      </c>
      <c r="L449" s="95">
        <v>166.5</v>
      </c>
      <c r="M449" s="94"/>
      <c r="N449" s="95">
        <v>78000</v>
      </c>
      <c r="O449" s="95">
        <v>468</v>
      </c>
      <c r="P449" s="95">
        <v>1</v>
      </c>
      <c r="Q449" s="94" t="s">
        <v>383</v>
      </c>
      <c r="R449" s="95">
        <v>3</v>
      </c>
      <c r="S449" s="95">
        <v>30</v>
      </c>
      <c r="T449" s="95">
        <v>0</v>
      </c>
      <c r="U449" s="95">
        <v>0</v>
      </c>
      <c r="V449" s="95">
        <v>405</v>
      </c>
      <c r="W449" s="95">
        <v>692</v>
      </c>
      <c r="X449" s="97">
        <v>45127.375</v>
      </c>
      <c r="Y449" s="97">
        <v>45111.375</v>
      </c>
      <c r="Z449" s="97">
        <v>45120.375</v>
      </c>
      <c r="AA449" s="98"/>
    </row>
    <row r="450" spans="1:27" ht="15.75" hidden="1" customHeight="1">
      <c r="A450" s="94" t="s">
        <v>2997</v>
      </c>
      <c r="B450" s="94" t="s">
        <v>514</v>
      </c>
      <c r="C450" s="94" t="s">
        <v>276</v>
      </c>
      <c r="D450" s="95">
        <v>1000</v>
      </c>
      <c r="E450" s="94" t="s">
        <v>431</v>
      </c>
      <c r="F450" s="94" t="s">
        <v>433</v>
      </c>
      <c r="G450" s="95">
        <v>18</v>
      </c>
      <c r="H450" s="94" t="s">
        <v>439</v>
      </c>
      <c r="I450" s="94" t="s">
        <v>6671</v>
      </c>
      <c r="J450" s="94" t="s">
        <v>440</v>
      </c>
      <c r="K450" s="95">
        <v>60</v>
      </c>
      <c r="L450" s="94"/>
      <c r="M450" s="95">
        <v>360</v>
      </c>
      <c r="N450" s="94" t="s">
        <v>435</v>
      </c>
      <c r="O450" s="94"/>
      <c r="P450" s="95">
        <v>1</v>
      </c>
      <c r="Q450" s="94" t="s">
        <v>436</v>
      </c>
      <c r="R450" s="95">
        <v>0</v>
      </c>
      <c r="S450" s="95">
        <v>0</v>
      </c>
      <c r="T450" s="95">
        <v>167</v>
      </c>
      <c r="U450" s="95">
        <v>34</v>
      </c>
      <c r="V450" s="95">
        <v>287</v>
      </c>
      <c r="W450" s="95">
        <v>692</v>
      </c>
      <c r="X450" s="97">
        <v>45127.375</v>
      </c>
      <c r="Y450" s="97">
        <v>45111.375</v>
      </c>
      <c r="Z450" s="97">
        <v>45120.375</v>
      </c>
      <c r="AA450" s="98"/>
    </row>
    <row r="451" spans="1:27" ht="15.75" hidden="1" customHeight="1">
      <c r="A451" s="94" t="s">
        <v>2997</v>
      </c>
      <c r="B451" s="94" t="s">
        <v>514</v>
      </c>
      <c r="C451" s="94" t="s">
        <v>276</v>
      </c>
      <c r="D451" s="95">
        <v>1000</v>
      </c>
      <c r="E451" s="94" t="s">
        <v>431</v>
      </c>
      <c r="F451" s="94" t="s">
        <v>433</v>
      </c>
      <c r="G451" s="95">
        <v>19</v>
      </c>
      <c r="H451" s="94" t="s">
        <v>368</v>
      </c>
      <c r="I451" s="94" t="s">
        <v>6236</v>
      </c>
      <c r="J451" s="94" t="s">
        <v>434</v>
      </c>
      <c r="K451" s="95">
        <v>60</v>
      </c>
      <c r="L451" s="94"/>
      <c r="M451" s="95">
        <v>500</v>
      </c>
      <c r="N451" s="94" t="s">
        <v>435</v>
      </c>
      <c r="O451" s="94"/>
      <c r="P451" s="95">
        <v>4</v>
      </c>
      <c r="Q451" s="94" t="s">
        <v>436</v>
      </c>
      <c r="R451" s="95">
        <v>0</v>
      </c>
      <c r="S451" s="95">
        <v>0</v>
      </c>
      <c r="T451" s="95">
        <v>120</v>
      </c>
      <c r="U451" s="95">
        <v>24</v>
      </c>
      <c r="V451" s="95">
        <v>287</v>
      </c>
      <c r="W451" s="95">
        <v>692</v>
      </c>
      <c r="X451" s="97">
        <v>45127.375</v>
      </c>
      <c r="Y451" s="97">
        <v>45111.375</v>
      </c>
      <c r="Z451" s="97">
        <v>45120.375</v>
      </c>
      <c r="AA451" s="98"/>
    </row>
    <row r="452" spans="1:27" ht="15.75" hidden="1" customHeight="1">
      <c r="A452" s="94" t="s">
        <v>2961</v>
      </c>
      <c r="B452" s="94" t="s">
        <v>504</v>
      </c>
      <c r="C452" s="94" t="s">
        <v>280</v>
      </c>
      <c r="D452" s="95">
        <v>1100</v>
      </c>
      <c r="E452" s="94" t="s">
        <v>442</v>
      </c>
      <c r="F452" s="94" t="s">
        <v>33</v>
      </c>
      <c r="G452" s="95">
        <v>10</v>
      </c>
      <c r="H452" s="94" t="s">
        <v>11</v>
      </c>
      <c r="I452" s="94" t="s">
        <v>7228</v>
      </c>
      <c r="J452" s="94" t="s">
        <v>426</v>
      </c>
      <c r="K452" s="95">
        <v>50</v>
      </c>
      <c r="L452" s="95">
        <v>50</v>
      </c>
      <c r="M452" s="94"/>
      <c r="N452" s="96">
        <v>63500</v>
      </c>
      <c r="O452" s="95">
        <v>1270</v>
      </c>
      <c r="P452" s="95">
        <v>1</v>
      </c>
      <c r="Q452" s="94" t="s">
        <v>383</v>
      </c>
      <c r="R452" s="95">
        <v>1</v>
      </c>
      <c r="S452" s="95">
        <v>50</v>
      </c>
      <c r="T452" s="95">
        <v>0</v>
      </c>
      <c r="U452" s="95">
        <v>0</v>
      </c>
      <c r="V452" s="95">
        <v>165</v>
      </c>
      <c r="W452" s="95">
        <v>281</v>
      </c>
      <c r="X452" s="97">
        <v>45131.375</v>
      </c>
      <c r="Y452" s="97">
        <v>45114.375</v>
      </c>
      <c r="Z452" s="97">
        <v>45098.375</v>
      </c>
      <c r="AA452" s="98"/>
    </row>
    <row r="453" spans="1:27" ht="15.75" hidden="1" customHeight="1">
      <c r="A453" s="94" t="s">
        <v>2961</v>
      </c>
      <c r="B453" s="94" t="s">
        <v>504</v>
      </c>
      <c r="C453" s="94" t="s">
        <v>280</v>
      </c>
      <c r="D453" s="95">
        <v>1100</v>
      </c>
      <c r="E453" s="94" t="s">
        <v>442</v>
      </c>
      <c r="F453" s="94" t="s">
        <v>33</v>
      </c>
      <c r="G453" s="95">
        <v>11</v>
      </c>
      <c r="H453" s="94" t="s">
        <v>12</v>
      </c>
      <c r="I453" s="94" t="s">
        <v>6923</v>
      </c>
      <c r="J453" s="94" t="s">
        <v>444</v>
      </c>
      <c r="K453" s="95">
        <v>95</v>
      </c>
      <c r="L453" s="95">
        <v>50</v>
      </c>
      <c r="M453" s="94"/>
      <c r="N453" s="96">
        <v>63500</v>
      </c>
      <c r="O453" s="95">
        <v>1270</v>
      </c>
      <c r="P453" s="95">
        <v>1</v>
      </c>
      <c r="Q453" s="94" t="s">
        <v>383</v>
      </c>
      <c r="R453" s="95">
        <v>1</v>
      </c>
      <c r="S453" s="95">
        <v>95</v>
      </c>
      <c r="T453" s="95">
        <v>0</v>
      </c>
      <c r="U453" s="95">
        <v>0</v>
      </c>
      <c r="V453" s="95">
        <v>165</v>
      </c>
      <c r="W453" s="95">
        <v>281</v>
      </c>
      <c r="X453" s="97">
        <v>45131.375</v>
      </c>
      <c r="Y453" s="97">
        <v>45114.375</v>
      </c>
      <c r="Z453" s="97">
        <v>45098.375</v>
      </c>
      <c r="AA453" s="98"/>
    </row>
    <row r="454" spans="1:27" ht="15.75" hidden="1" customHeight="1">
      <c r="A454" s="94" t="s">
        <v>2961</v>
      </c>
      <c r="B454" s="94" t="s">
        <v>504</v>
      </c>
      <c r="C454" s="94" t="s">
        <v>280</v>
      </c>
      <c r="D454" s="95">
        <v>1100</v>
      </c>
      <c r="E454" s="94" t="s">
        <v>442</v>
      </c>
      <c r="F454" s="94" t="s">
        <v>33</v>
      </c>
      <c r="G454" s="95">
        <v>12</v>
      </c>
      <c r="H454" s="94" t="s">
        <v>13</v>
      </c>
      <c r="I454" s="94" t="s">
        <v>6923</v>
      </c>
      <c r="J454" s="94" t="s">
        <v>444</v>
      </c>
      <c r="K454" s="95">
        <v>20</v>
      </c>
      <c r="L454" s="95">
        <v>50</v>
      </c>
      <c r="M454" s="94"/>
      <c r="N454" s="95">
        <v>63500</v>
      </c>
      <c r="O454" s="95">
        <v>1270</v>
      </c>
      <c r="P454" s="95">
        <v>1</v>
      </c>
      <c r="Q454" s="94" t="s">
        <v>383</v>
      </c>
      <c r="R454" s="95">
        <v>1</v>
      </c>
      <c r="S454" s="95">
        <v>20</v>
      </c>
      <c r="T454" s="95">
        <v>0</v>
      </c>
      <c r="U454" s="95">
        <v>0</v>
      </c>
      <c r="V454" s="95">
        <v>165</v>
      </c>
      <c r="W454" s="95">
        <v>281</v>
      </c>
      <c r="X454" s="97">
        <v>45131.375</v>
      </c>
      <c r="Y454" s="97">
        <v>45114.375</v>
      </c>
      <c r="Z454" s="97">
        <v>45098.375</v>
      </c>
      <c r="AA454" s="98"/>
    </row>
    <row r="455" spans="1:27" ht="15.75" hidden="1" customHeight="1">
      <c r="A455" s="94" t="s">
        <v>2961</v>
      </c>
      <c r="B455" s="94" t="s">
        <v>504</v>
      </c>
      <c r="C455" s="94" t="s">
        <v>280</v>
      </c>
      <c r="D455" s="95">
        <v>1100</v>
      </c>
      <c r="E455" s="94" t="s">
        <v>431</v>
      </c>
      <c r="F455" s="94" t="s">
        <v>433</v>
      </c>
      <c r="G455" s="95">
        <v>18</v>
      </c>
      <c r="H455" s="94" t="s">
        <v>439</v>
      </c>
      <c r="I455" s="94" t="s">
        <v>6671</v>
      </c>
      <c r="J455" s="94" t="s">
        <v>440</v>
      </c>
      <c r="K455" s="95">
        <v>60</v>
      </c>
      <c r="L455" s="94"/>
      <c r="M455" s="95">
        <v>1200</v>
      </c>
      <c r="N455" s="94" t="s">
        <v>435</v>
      </c>
      <c r="O455" s="94"/>
      <c r="P455" s="95">
        <v>1</v>
      </c>
      <c r="Q455" s="94" t="s">
        <v>436</v>
      </c>
      <c r="R455" s="95">
        <v>0</v>
      </c>
      <c r="S455" s="95">
        <v>0</v>
      </c>
      <c r="T455" s="95">
        <v>55</v>
      </c>
      <c r="U455" s="95">
        <v>11</v>
      </c>
      <c r="V455" s="95">
        <v>116</v>
      </c>
      <c r="W455" s="95">
        <v>281</v>
      </c>
      <c r="X455" s="97">
        <v>45131.375</v>
      </c>
      <c r="Y455" s="97">
        <v>45114.375</v>
      </c>
      <c r="Z455" s="97">
        <v>45098.375</v>
      </c>
      <c r="AA455" s="98"/>
    </row>
    <row r="456" spans="1:27" ht="15.75" hidden="1" customHeight="1">
      <c r="A456" s="94" t="s">
        <v>2961</v>
      </c>
      <c r="B456" s="94" t="s">
        <v>504</v>
      </c>
      <c r="C456" s="94" t="s">
        <v>280</v>
      </c>
      <c r="D456" s="95">
        <v>1100</v>
      </c>
      <c r="E456" s="94" t="s">
        <v>431</v>
      </c>
      <c r="F456" s="94" t="s">
        <v>433</v>
      </c>
      <c r="G456" s="95">
        <v>19</v>
      </c>
      <c r="H456" s="94" t="s">
        <v>368</v>
      </c>
      <c r="I456" s="94" t="s">
        <v>6236</v>
      </c>
      <c r="J456" s="94" t="s">
        <v>434</v>
      </c>
      <c r="K456" s="95">
        <v>60</v>
      </c>
      <c r="L456" s="94"/>
      <c r="M456" s="95">
        <v>1100</v>
      </c>
      <c r="N456" s="94" t="s">
        <v>435</v>
      </c>
      <c r="O456" s="94"/>
      <c r="P456" s="95">
        <v>4</v>
      </c>
      <c r="Q456" s="94" t="s">
        <v>436</v>
      </c>
      <c r="R456" s="95">
        <v>0</v>
      </c>
      <c r="S456" s="95">
        <v>0</v>
      </c>
      <c r="T456" s="95">
        <v>61</v>
      </c>
      <c r="U456" s="95">
        <v>12</v>
      </c>
      <c r="V456" s="95">
        <v>116</v>
      </c>
      <c r="W456" s="95">
        <v>281</v>
      </c>
      <c r="X456" s="97">
        <v>45131.375</v>
      </c>
      <c r="Y456" s="97">
        <v>45114.375</v>
      </c>
      <c r="Z456" s="97">
        <v>45098.375</v>
      </c>
      <c r="AA456" s="98"/>
    </row>
    <row r="457" spans="1:27" ht="15.75" hidden="1" customHeight="1">
      <c r="A457" s="94" t="s">
        <v>2981</v>
      </c>
      <c r="B457" s="94" t="s">
        <v>437</v>
      </c>
      <c r="C457" s="94" t="s">
        <v>168</v>
      </c>
      <c r="D457" s="95">
        <v>5000</v>
      </c>
      <c r="E457" s="94" t="s">
        <v>424</v>
      </c>
      <c r="F457" s="94" t="s">
        <v>48</v>
      </c>
      <c r="G457" s="95">
        <v>4</v>
      </c>
      <c r="H457" s="94" t="s">
        <v>11</v>
      </c>
      <c r="I457" s="94" t="s">
        <v>7228</v>
      </c>
      <c r="J457" s="94" t="s">
        <v>426</v>
      </c>
      <c r="K457" s="95">
        <v>25</v>
      </c>
      <c r="L457" s="95">
        <v>30</v>
      </c>
      <c r="M457" s="94"/>
      <c r="N457" s="96">
        <v>52000</v>
      </c>
      <c r="O457" s="95">
        <v>1733</v>
      </c>
      <c r="P457" s="95">
        <v>1</v>
      </c>
      <c r="Q457" s="94" t="s">
        <v>383</v>
      </c>
      <c r="R457" s="95">
        <v>3</v>
      </c>
      <c r="S457" s="95">
        <v>75</v>
      </c>
      <c r="T457" s="95">
        <v>0</v>
      </c>
      <c r="U457" s="95">
        <v>0</v>
      </c>
      <c r="V457" s="95">
        <v>525</v>
      </c>
      <c r="W457" s="95">
        <v>1013</v>
      </c>
      <c r="X457" s="97">
        <v>45133.375</v>
      </c>
      <c r="Y457" s="97">
        <v>45128.375</v>
      </c>
      <c r="Z457" s="97">
        <v>45142.375</v>
      </c>
      <c r="AA457" s="98"/>
    </row>
    <row r="458" spans="1:27" ht="15.75" hidden="1" customHeight="1">
      <c r="A458" s="94" t="s">
        <v>2981</v>
      </c>
      <c r="B458" s="94" t="s">
        <v>437</v>
      </c>
      <c r="C458" s="94" t="s">
        <v>168</v>
      </c>
      <c r="D458" s="95">
        <v>5000</v>
      </c>
      <c r="E458" s="94" t="s">
        <v>424</v>
      </c>
      <c r="F458" s="94" t="s">
        <v>48</v>
      </c>
      <c r="G458" s="95">
        <v>5</v>
      </c>
      <c r="H458" s="94" t="s">
        <v>12</v>
      </c>
      <c r="I458" s="94" t="s">
        <v>6923</v>
      </c>
      <c r="J458" s="94" t="s">
        <v>427</v>
      </c>
      <c r="K458" s="95">
        <v>130</v>
      </c>
      <c r="L458" s="95">
        <v>30</v>
      </c>
      <c r="M458" s="94"/>
      <c r="N458" s="96">
        <v>52000</v>
      </c>
      <c r="O458" s="95">
        <v>1733</v>
      </c>
      <c r="P458" s="95">
        <v>1</v>
      </c>
      <c r="Q458" s="94" t="s">
        <v>383</v>
      </c>
      <c r="R458" s="95">
        <v>3</v>
      </c>
      <c r="S458" s="95">
        <v>390</v>
      </c>
      <c r="T458" s="95">
        <v>0</v>
      </c>
      <c r="U458" s="95">
        <v>0</v>
      </c>
      <c r="V458" s="95">
        <v>525</v>
      </c>
      <c r="W458" s="95">
        <v>1013</v>
      </c>
      <c r="X458" s="97">
        <v>45133.375</v>
      </c>
      <c r="Y458" s="97">
        <v>45128.375</v>
      </c>
      <c r="Z458" s="97">
        <v>45142.375</v>
      </c>
      <c r="AA458" s="98"/>
    </row>
    <row r="459" spans="1:27" ht="15.75" hidden="1" customHeight="1">
      <c r="A459" s="94" t="s">
        <v>2981</v>
      </c>
      <c r="B459" s="94" t="s">
        <v>437</v>
      </c>
      <c r="C459" s="94" t="s">
        <v>168</v>
      </c>
      <c r="D459" s="95">
        <v>5000</v>
      </c>
      <c r="E459" s="94" t="s">
        <v>424</v>
      </c>
      <c r="F459" s="94" t="s">
        <v>48</v>
      </c>
      <c r="G459" s="95">
        <v>6</v>
      </c>
      <c r="H459" s="94" t="s">
        <v>13</v>
      </c>
      <c r="I459" s="94" t="s">
        <v>6923</v>
      </c>
      <c r="J459" s="94" t="s">
        <v>427</v>
      </c>
      <c r="K459" s="95">
        <v>40</v>
      </c>
      <c r="L459" s="95">
        <v>30</v>
      </c>
      <c r="M459" s="94"/>
      <c r="N459" s="96">
        <v>52000</v>
      </c>
      <c r="O459" s="95">
        <v>1733</v>
      </c>
      <c r="P459" s="95">
        <v>1</v>
      </c>
      <c r="Q459" s="94" t="s">
        <v>383</v>
      </c>
      <c r="R459" s="95">
        <v>3</v>
      </c>
      <c r="S459" s="95">
        <v>60</v>
      </c>
      <c r="T459" s="95">
        <v>0</v>
      </c>
      <c r="U459" s="95">
        <v>0</v>
      </c>
      <c r="V459" s="95">
        <v>525</v>
      </c>
      <c r="W459" s="95">
        <v>1013</v>
      </c>
      <c r="X459" s="97">
        <v>45133.375</v>
      </c>
      <c r="Y459" s="97">
        <v>45128.375</v>
      </c>
      <c r="Z459" s="97">
        <v>45142.375</v>
      </c>
      <c r="AA459" s="98"/>
    </row>
    <row r="460" spans="1:27" ht="15.75" hidden="1" customHeight="1">
      <c r="A460" s="94" t="s">
        <v>2981</v>
      </c>
      <c r="B460" s="94" t="s">
        <v>437</v>
      </c>
      <c r="C460" s="94" t="s">
        <v>168</v>
      </c>
      <c r="D460" s="95">
        <v>5000</v>
      </c>
      <c r="E460" s="94" t="s">
        <v>431</v>
      </c>
      <c r="F460" s="94" t="s">
        <v>433</v>
      </c>
      <c r="G460" s="95">
        <v>18</v>
      </c>
      <c r="H460" s="94" t="s">
        <v>439</v>
      </c>
      <c r="I460" s="94" t="s">
        <v>6671</v>
      </c>
      <c r="J460" s="94" t="s">
        <v>440</v>
      </c>
      <c r="K460" s="95">
        <v>60</v>
      </c>
      <c r="L460" s="94"/>
      <c r="M460" s="95">
        <v>1400</v>
      </c>
      <c r="N460" s="99" t="s">
        <v>435</v>
      </c>
      <c r="O460" s="94"/>
      <c r="P460" s="95">
        <v>1</v>
      </c>
      <c r="Q460" s="94" t="s">
        <v>436</v>
      </c>
      <c r="R460" s="95">
        <v>0</v>
      </c>
      <c r="S460" s="95">
        <v>0</v>
      </c>
      <c r="T460" s="95">
        <v>215</v>
      </c>
      <c r="U460" s="95">
        <v>43</v>
      </c>
      <c r="V460" s="95">
        <v>488</v>
      </c>
      <c r="W460" s="95">
        <v>1013</v>
      </c>
      <c r="X460" s="97">
        <v>45133.375</v>
      </c>
      <c r="Y460" s="97">
        <v>45128.375</v>
      </c>
      <c r="Z460" s="97">
        <v>45142.375</v>
      </c>
      <c r="AA460" s="98"/>
    </row>
    <row r="461" spans="1:27" ht="15.75" hidden="1" customHeight="1">
      <c r="A461" s="94" t="s">
        <v>2981</v>
      </c>
      <c r="B461" s="94" t="s">
        <v>437</v>
      </c>
      <c r="C461" s="94" t="s">
        <v>168</v>
      </c>
      <c r="D461" s="95">
        <v>5000</v>
      </c>
      <c r="E461" s="94" t="s">
        <v>431</v>
      </c>
      <c r="F461" s="94" t="s">
        <v>433</v>
      </c>
      <c r="G461" s="95">
        <v>19</v>
      </c>
      <c r="H461" s="94" t="s">
        <v>368</v>
      </c>
      <c r="I461" s="94" t="s">
        <v>6236</v>
      </c>
      <c r="J461" s="94" t="s">
        <v>434</v>
      </c>
      <c r="K461" s="95">
        <v>60</v>
      </c>
      <c r="L461" s="94"/>
      <c r="M461" s="95">
        <v>1100</v>
      </c>
      <c r="N461" s="99" t="s">
        <v>435</v>
      </c>
      <c r="O461" s="94"/>
      <c r="P461" s="95">
        <v>4</v>
      </c>
      <c r="Q461" s="94" t="s">
        <v>436</v>
      </c>
      <c r="R461" s="95">
        <v>0</v>
      </c>
      <c r="S461" s="95">
        <v>0</v>
      </c>
      <c r="T461" s="95">
        <v>273</v>
      </c>
      <c r="U461" s="95">
        <v>55</v>
      </c>
      <c r="V461" s="95">
        <v>488</v>
      </c>
      <c r="W461" s="95">
        <v>1013</v>
      </c>
      <c r="X461" s="97">
        <v>45133.375</v>
      </c>
      <c r="Y461" s="97">
        <v>45128.375</v>
      </c>
      <c r="Z461" s="97">
        <v>45142.375</v>
      </c>
      <c r="AA461" s="98"/>
    </row>
    <row r="462" spans="1:27" ht="15.75" hidden="1" customHeight="1">
      <c r="A462" s="94" t="s">
        <v>3012</v>
      </c>
      <c r="B462" s="94" t="s">
        <v>507</v>
      </c>
      <c r="C462" s="94" t="s">
        <v>51</v>
      </c>
      <c r="D462" s="95">
        <v>2544</v>
      </c>
      <c r="E462" s="94" t="s">
        <v>442</v>
      </c>
      <c r="F462" s="94" t="s">
        <v>40</v>
      </c>
      <c r="G462" s="95">
        <v>1</v>
      </c>
      <c r="H462" s="94" t="s">
        <v>11</v>
      </c>
      <c r="I462" s="94" t="s">
        <v>7228</v>
      </c>
      <c r="J462" s="94" t="s">
        <v>426</v>
      </c>
      <c r="K462" s="95">
        <v>50</v>
      </c>
      <c r="L462" s="95">
        <v>90</v>
      </c>
      <c r="M462" s="94"/>
      <c r="N462" s="95">
        <v>367000</v>
      </c>
      <c r="O462" s="95">
        <v>4077</v>
      </c>
      <c r="P462" s="95">
        <v>1</v>
      </c>
      <c r="Q462" s="94" t="s">
        <v>383</v>
      </c>
      <c r="R462" s="95">
        <v>1</v>
      </c>
      <c r="S462" s="95">
        <v>50</v>
      </c>
      <c r="T462" s="95">
        <v>0</v>
      </c>
      <c r="U462" s="95">
        <v>0</v>
      </c>
      <c r="V462" s="95">
        <v>170</v>
      </c>
      <c r="W462" s="95">
        <v>458</v>
      </c>
      <c r="X462" s="97">
        <v>45131.375</v>
      </c>
      <c r="Y462" s="97">
        <v>45111.375</v>
      </c>
      <c r="Z462" s="97">
        <v>45072.375</v>
      </c>
      <c r="AA462" s="98"/>
    </row>
    <row r="463" spans="1:27" ht="15.75" hidden="1" customHeight="1">
      <c r="A463" s="94" t="s">
        <v>3012</v>
      </c>
      <c r="B463" s="94" t="s">
        <v>507</v>
      </c>
      <c r="C463" s="94" t="s">
        <v>51</v>
      </c>
      <c r="D463" s="95">
        <v>2544</v>
      </c>
      <c r="E463" s="94" t="s">
        <v>442</v>
      </c>
      <c r="F463" s="94" t="s">
        <v>40</v>
      </c>
      <c r="G463" s="95">
        <v>2</v>
      </c>
      <c r="H463" s="94" t="s">
        <v>12</v>
      </c>
      <c r="I463" s="94" t="s">
        <v>6923</v>
      </c>
      <c r="J463" s="94" t="s">
        <v>449</v>
      </c>
      <c r="K463" s="95">
        <v>90</v>
      </c>
      <c r="L463" s="95">
        <v>90</v>
      </c>
      <c r="M463" s="94"/>
      <c r="N463" s="95">
        <v>367000</v>
      </c>
      <c r="O463" s="95">
        <v>4077</v>
      </c>
      <c r="P463" s="95">
        <v>1</v>
      </c>
      <c r="Q463" s="94" t="s">
        <v>383</v>
      </c>
      <c r="R463" s="95">
        <v>1</v>
      </c>
      <c r="S463" s="95">
        <v>90</v>
      </c>
      <c r="T463" s="95">
        <v>0</v>
      </c>
      <c r="U463" s="95">
        <v>0</v>
      </c>
      <c r="V463" s="95">
        <v>170</v>
      </c>
      <c r="W463" s="95">
        <v>458</v>
      </c>
      <c r="X463" s="97">
        <v>45131.375</v>
      </c>
      <c r="Y463" s="97">
        <v>45111.375</v>
      </c>
      <c r="Z463" s="97">
        <v>45072.375</v>
      </c>
      <c r="AA463" s="98"/>
    </row>
    <row r="464" spans="1:27" ht="15.75" hidden="1" customHeight="1">
      <c r="A464" s="94" t="s">
        <v>3012</v>
      </c>
      <c r="B464" s="94" t="s">
        <v>507</v>
      </c>
      <c r="C464" s="94" t="s">
        <v>51</v>
      </c>
      <c r="D464" s="95">
        <v>2544</v>
      </c>
      <c r="E464" s="94" t="s">
        <v>442</v>
      </c>
      <c r="F464" s="94" t="s">
        <v>40</v>
      </c>
      <c r="G464" s="95">
        <v>3</v>
      </c>
      <c r="H464" s="94" t="s">
        <v>13</v>
      </c>
      <c r="I464" s="94" t="s">
        <v>6923</v>
      </c>
      <c r="J464" s="94" t="s">
        <v>449</v>
      </c>
      <c r="K464" s="95">
        <v>30</v>
      </c>
      <c r="L464" s="95">
        <v>90</v>
      </c>
      <c r="M464" s="94"/>
      <c r="N464" s="95">
        <v>367000</v>
      </c>
      <c r="O464" s="95">
        <v>4077</v>
      </c>
      <c r="P464" s="95">
        <v>1</v>
      </c>
      <c r="Q464" s="94" t="s">
        <v>383</v>
      </c>
      <c r="R464" s="95">
        <v>1</v>
      </c>
      <c r="S464" s="95">
        <v>30</v>
      </c>
      <c r="T464" s="95">
        <v>0</v>
      </c>
      <c r="U464" s="95">
        <v>0</v>
      </c>
      <c r="V464" s="95">
        <v>170</v>
      </c>
      <c r="W464" s="95">
        <v>458</v>
      </c>
      <c r="X464" s="97">
        <v>45131.375</v>
      </c>
      <c r="Y464" s="97">
        <v>45111.375</v>
      </c>
      <c r="Z464" s="97">
        <v>45072.375</v>
      </c>
      <c r="AA464" s="98"/>
    </row>
    <row r="465" spans="1:27" ht="15.75" hidden="1" customHeight="1">
      <c r="A465" s="94" t="s">
        <v>3012</v>
      </c>
      <c r="B465" s="94" t="s">
        <v>507</v>
      </c>
      <c r="C465" s="94" t="s">
        <v>51</v>
      </c>
      <c r="D465" s="95">
        <v>2544</v>
      </c>
      <c r="E465" s="94" t="s">
        <v>431</v>
      </c>
      <c r="F465" s="94" t="s">
        <v>433</v>
      </c>
      <c r="G465" s="95">
        <v>18</v>
      </c>
      <c r="H465" s="94" t="s">
        <v>439</v>
      </c>
      <c r="I465" s="94" t="s">
        <v>6671</v>
      </c>
      <c r="J465" s="94" t="s">
        <v>440</v>
      </c>
      <c r="K465" s="95">
        <v>60</v>
      </c>
      <c r="L465" s="94"/>
      <c r="M465" s="95">
        <v>1300</v>
      </c>
      <c r="N465" s="94" t="s">
        <v>435</v>
      </c>
      <c r="O465" s="94"/>
      <c r="P465" s="95">
        <v>1</v>
      </c>
      <c r="Q465" s="94" t="s">
        <v>436</v>
      </c>
      <c r="R465" s="95">
        <v>0</v>
      </c>
      <c r="S465" s="95">
        <v>0</v>
      </c>
      <c r="T465" s="95">
        <v>118</v>
      </c>
      <c r="U465" s="95">
        <v>24</v>
      </c>
      <c r="V465" s="95">
        <v>288</v>
      </c>
      <c r="W465" s="95">
        <v>458</v>
      </c>
      <c r="X465" s="97">
        <v>45131.375</v>
      </c>
      <c r="Y465" s="97">
        <v>45111.375</v>
      </c>
      <c r="Z465" s="97">
        <v>45072.375</v>
      </c>
      <c r="AA465" s="98"/>
    </row>
    <row r="466" spans="1:27" ht="15.75" hidden="1" customHeight="1">
      <c r="A466" s="94" t="s">
        <v>3012</v>
      </c>
      <c r="B466" s="94" t="s">
        <v>507</v>
      </c>
      <c r="C466" s="94" t="s">
        <v>51</v>
      </c>
      <c r="D466" s="95">
        <v>2544</v>
      </c>
      <c r="E466" s="94" t="s">
        <v>431</v>
      </c>
      <c r="F466" s="94" t="s">
        <v>433</v>
      </c>
      <c r="G466" s="95">
        <v>19</v>
      </c>
      <c r="H466" s="94" t="s">
        <v>368</v>
      </c>
      <c r="I466" s="94" t="s">
        <v>6236</v>
      </c>
      <c r="J466" s="94" t="s">
        <v>434</v>
      </c>
      <c r="K466" s="95">
        <v>60</v>
      </c>
      <c r="L466" s="94"/>
      <c r="M466" s="95">
        <v>900</v>
      </c>
      <c r="N466" s="99" t="s">
        <v>435</v>
      </c>
      <c r="O466" s="94"/>
      <c r="P466" s="95">
        <v>4</v>
      </c>
      <c r="Q466" s="94" t="s">
        <v>436</v>
      </c>
      <c r="R466" s="95">
        <v>0</v>
      </c>
      <c r="S466" s="95">
        <v>0</v>
      </c>
      <c r="T466" s="95">
        <v>170</v>
      </c>
      <c r="U466" s="95">
        <v>34</v>
      </c>
      <c r="V466" s="95">
        <v>288</v>
      </c>
      <c r="W466" s="95">
        <v>458</v>
      </c>
      <c r="X466" s="97">
        <v>45131.375</v>
      </c>
      <c r="Y466" s="97">
        <v>45111.375</v>
      </c>
      <c r="Z466" s="97">
        <v>45072.375</v>
      </c>
      <c r="AA466" s="98"/>
    </row>
    <row r="467" spans="1:27" ht="15.75" hidden="1" customHeight="1">
      <c r="A467" s="94" t="s">
        <v>2987</v>
      </c>
      <c r="B467" s="94" t="s">
        <v>689</v>
      </c>
      <c r="C467" s="94" t="s">
        <v>174</v>
      </c>
      <c r="D467" s="95">
        <v>2500</v>
      </c>
      <c r="E467" s="94" t="s">
        <v>424</v>
      </c>
      <c r="F467" s="94" t="s">
        <v>48</v>
      </c>
      <c r="G467" s="95">
        <v>4</v>
      </c>
      <c r="H467" s="94" t="s">
        <v>11</v>
      </c>
      <c r="I467" s="94" t="s">
        <v>7228</v>
      </c>
      <c r="J467" s="94" t="s">
        <v>426</v>
      </c>
      <c r="K467" s="95">
        <v>105</v>
      </c>
      <c r="L467" s="95">
        <v>40</v>
      </c>
      <c r="M467" s="94"/>
      <c r="N467" s="95">
        <v>52000</v>
      </c>
      <c r="O467" s="95">
        <v>1300</v>
      </c>
      <c r="P467" s="95">
        <v>1</v>
      </c>
      <c r="Q467" s="94" t="s">
        <v>383</v>
      </c>
      <c r="R467" s="95">
        <v>2</v>
      </c>
      <c r="S467" s="95">
        <v>210</v>
      </c>
      <c r="T467" s="95">
        <v>0</v>
      </c>
      <c r="U467" s="95">
        <v>0</v>
      </c>
      <c r="V467" s="95">
        <v>540</v>
      </c>
      <c r="W467" s="95">
        <v>740</v>
      </c>
      <c r="X467" s="97">
        <v>45118.375</v>
      </c>
      <c r="Y467" s="97">
        <v>45092.375</v>
      </c>
      <c r="Z467" s="97">
        <v>45072.375</v>
      </c>
      <c r="AA467" s="98"/>
    </row>
    <row r="468" spans="1:27" ht="15.75" hidden="1" customHeight="1">
      <c r="A468" s="94" t="s">
        <v>2987</v>
      </c>
      <c r="B468" s="94" t="s">
        <v>689</v>
      </c>
      <c r="C468" s="94" t="s">
        <v>174</v>
      </c>
      <c r="D468" s="95">
        <v>2500</v>
      </c>
      <c r="E468" s="94" t="s">
        <v>424</v>
      </c>
      <c r="F468" s="94" t="s">
        <v>48</v>
      </c>
      <c r="G468" s="95">
        <v>5</v>
      </c>
      <c r="H468" s="94" t="s">
        <v>12</v>
      </c>
      <c r="I468" s="94" t="s">
        <v>6923</v>
      </c>
      <c r="J468" s="94" t="s">
        <v>427</v>
      </c>
      <c r="K468" s="95">
        <v>120</v>
      </c>
      <c r="L468" s="95">
        <v>40</v>
      </c>
      <c r="M468" s="94"/>
      <c r="N468" s="95">
        <v>52000</v>
      </c>
      <c r="O468" s="95">
        <v>1300</v>
      </c>
      <c r="P468" s="95">
        <v>1</v>
      </c>
      <c r="Q468" s="94" t="s">
        <v>383</v>
      </c>
      <c r="R468" s="95">
        <v>2</v>
      </c>
      <c r="S468" s="95">
        <v>240</v>
      </c>
      <c r="T468" s="95">
        <v>0</v>
      </c>
      <c r="U468" s="95">
        <v>0</v>
      </c>
      <c r="V468" s="95">
        <v>540</v>
      </c>
      <c r="W468" s="95">
        <v>740</v>
      </c>
      <c r="X468" s="97">
        <v>45118.375</v>
      </c>
      <c r="Y468" s="97">
        <v>45092.375</v>
      </c>
      <c r="Z468" s="97">
        <v>45072.375</v>
      </c>
      <c r="AA468" s="98"/>
    </row>
    <row r="469" spans="1:27" ht="15.75" hidden="1" customHeight="1">
      <c r="A469" s="94" t="s">
        <v>2987</v>
      </c>
      <c r="B469" s="94" t="s">
        <v>689</v>
      </c>
      <c r="C469" s="94" t="s">
        <v>174</v>
      </c>
      <c r="D469" s="95">
        <v>2500</v>
      </c>
      <c r="E469" s="94" t="s">
        <v>424</v>
      </c>
      <c r="F469" s="94" t="s">
        <v>48</v>
      </c>
      <c r="G469" s="95">
        <v>6</v>
      </c>
      <c r="H469" s="94" t="s">
        <v>13</v>
      </c>
      <c r="I469" s="94" t="s">
        <v>6923</v>
      </c>
      <c r="J469" s="94" t="s">
        <v>427</v>
      </c>
      <c r="K469" s="95">
        <v>90</v>
      </c>
      <c r="L469" s="95">
        <v>40</v>
      </c>
      <c r="M469" s="94"/>
      <c r="N469" s="95">
        <v>52000</v>
      </c>
      <c r="O469" s="95">
        <v>1300</v>
      </c>
      <c r="P469" s="95">
        <v>1</v>
      </c>
      <c r="Q469" s="94" t="s">
        <v>383</v>
      </c>
      <c r="R469" s="95">
        <v>2</v>
      </c>
      <c r="S469" s="95">
        <v>90</v>
      </c>
      <c r="T469" s="95">
        <v>0</v>
      </c>
      <c r="U469" s="95">
        <v>0</v>
      </c>
      <c r="V469" s="95">
        <v>540</v>
      </c>
      <c r="W469" s="95">
        <v>740</v>
      </c>
      <c r="X469" s="97">
        <v>45118.375</v>
      </c>
      <c r="Y469" s="97">
        <v>45092.375</v>
      </c>
      <c r="Z469" s="97">
        <v>45072.375</v>
      </c>
      <c r="AA469" s="98"/>
    </row>
    <row r="470" spans="1:27" ht="15.75" hidden="1" customHeight="1">
      <c r="A470" s="94" t="s">
        <v>2987</v>
      </c>
      <c r="B470" s="94" t="s">
        <v>689</v>
      </c>
      <c r="C470" s="94" t="s">
        <v>174</v>
      </c>
      <c r="D470" s="95">
        <v>2500</v>
      </c>
      <c r="E470" s="94" t="s">
        <v>431</v>
      </c>
      <c r="F470" s="94" t="s">
        <v>433</v>
      </c>
      <c r="G470" s="95">
        <v>19</v>
      </c>
      <c r="H470" s="94" t="s">
        <v>368</v>
      </c>
      <c r="I470" s="94" t="s">
        <v>6236</v>
      </c>
      <c r="J470" s="94" t="s">
        <v>434</v>
      </c>
      <c r="K470" s="95">
        <v>60</v>
      </c>
      <c r="L470" s="94"/>
      <c r="M470" s="95">
        <v>750</v>
      </c>
      <c r="N470" s="94" t="s">
        <v>435</v>
      </c>
      <c r="O470" s="94"/>
      <c r="P470" s="95">
        <v>4</v>
      </c>
      <c r="Q470" s="94" t="s">
        <v>436</v>
      </c>
      <c r="R470" s="95">
        <v>0</v>
      </c>
      <c r="S470" s="95">
        <v>0</v>
      </c>
      <c r="T470" s="95">
        <v>200</v>
      </c>
      <c r="U470" s="95">
        <v>40</v>
      </c>
      <c r="V470" s="95">
        <v>200</v>
      </c>
      <c r="W470" s="95">
        <v>740</v>
      </c>
      <c r="X470" s="97">
        <v>45118.375</v>
      </c>
      <c r="Y470" s="97">
        <v>45092.375</v>
      </c>
      <c r="Z470" s="97">
        <v>45072.375</v>
      </c>
      <c r="AA470" s="98"/>
    </row>
    <row r="471" spans="1:27" ht="15.75" hidden="1" customHeight="1">
      <c r="A471" s="94" t="s">
        <v>2866</v>
      </c>
      <c r="B471" s="94" t="s">
        <v>760</v>
      </c>
      <c r="C471" s="94" t="s">
        <v>284</v>
      </c>
      <c r="D471" s="95">
        <v>5000</v>
      </c>
      <c r="E471" s="94" t="s">
        <v>442</v>
      </c>
      <c r="F471" s="94" t="s">
        <v>40</v>
      </c>
      <c r="G471" s="95">
        <v>1</v>
      </c>
      <c r="H471" s="94" t="s">
        <v>11</v>
      </c>
      <c r="I471" s="94" t="s">
        <v>7228</v>
      </c>
      <c r="J471" s="94" t="s">
        <v>426</v>
      </c>
      <c r="K471" s="95">
        <v>70</v>
      </c>
      <c r="L471" s="95">
        <v>30.3</v>
      </c>
      <c r="M471" s="94"/>
      <c r="N471" s="96">
        <v>400000</v>
      </c>
      <c r="O471" s="95">
        <v>13201</v>
      </c>
      <c r="P471" s="95">
        <v>1</v>
      </c>
      <c r="Q471" s="94" t="s">
        <v>383</v>
      </c>
      <c r="R471" s="95">
        <v>1</v>
      </c>
      <c r="S471" s="95">
        <v>70</v>
      </c>
      <c r="T471" s="95">
        <v>0</v>
      </c>
      <c r="U471" s="95">
        <v>0</v>
      </c>
      <c r="V471" s="95">
        <v>190</v>
      </c>
      <c r="W471" s="95">
        <v>566</v>
      </c>
      <c r="X471" s="97">
        <v>45119.375</v>
      </c>
      <c r="Y471" s="97">
        <v>45015.375</v>
      </c>
      <c r="Z471" s="97">
        <v>44967.375</v>
      </c>
      <c r="AA471" s="98"/>
    </row>
    <row r="472" spans="1:27" ht="15.75" hidden="1" customHeight="1">
      <c r="A472" s="94" t="s">
        <v>2866</v>
      </c>
      <c r="B472" s="94" t="s">
        <v>760</v>
      </c>
      <c r="C472" s="94" t="s">
        <v>284</v>
      </c>
      <c r="D472" s="95">
        <v>5000</v>
      </c>
      <c r="E472" s="94" t="s">
        <v>442</v>
      </c>
      <c r="F472" s="94" t="s">
        <v>40</v>
      </c>
      <c r="G472" s="95">
        <v>2</v>
      </c>
      <c r="H472" s="94" t="s">
        <v>12</v>
      </c>
      <c r="I472" s="94" t="s">
        <v>6923</v>
      </c>
      <c r="J472" s="94" t="s">
        <v>449</v>
      </c>
      <c r="K472" s="95">
        <v>90</v>
      </c>
      <c r="L472" s="95">
        <v>30.3</v>
      </c>
      <c r="M472" s="94"/>
      <c r="N472" s="96">
        <v>400000</v>
      </c>
      <c r="O472" s="95">
        <v>13201</v>
      </c>
      <c r="P472" s="95">
        <v>1</v>
      </c>
      <c r="Q472" s="94" t="s">
        <v>383</v>
      </c>
      <c r="R472" s="95">
        <v>1</v>
      </c>
      <c r="S472" s="95">
        <v>90</v>
      </c>
      <c r="T472" s="95">
        <v>0</v>
      </c>
      <c r="U472" s="95">
        <v>0</v>
      </c>
      <c r="V472" s="95">
        <v>190</v>
      </c>
      <c r="W472" s="95">
        <v>566</v>
      </c>
      <c r="X472" s="97">
        <v>45119.375</v>
      </c>
      <c r="Y472" s="97">
        <v>45015.375</v>
      </c>
      <c r="Z472" s="97">
        <v>44967.375</v>
      </c>
      <c r="AA472" s="98"/>
    </row>
    <row r="473" spans="1:27" ht="15.75" hidden="1" customHeight="1">
      <c r="A473" s="94" t="s">
        <v>2866</v>
      </c>
      <c r="B473" s="94" t="s">
        <v>760</v>
      </c>
      <c r="C473" s="94" t="s">
        <v>284</v>
      </c>
      <c r="D473" s="95">
        <v>5000</v>
      </c>
      <c r="E473" s="94" t="s">
        <v>442</v>
      </c>
      <c r="F473" s="94" t="s">
        <v>40</v>
      </c>
      <c r="G473" s="95">
        <v>3</v>
      </c>
      <c r="H473" s="94" t="s">
        <v>13</v>
      </c>
      <c r="I473" s="94" t="s">
        <v>6923</v>
      </c>
      <c r="J473" s="94" t="s">
        <v>449</v>
      </c>
      <c r="K473" s="95">
        <v>30</v>
      </c>
      <c r="L473" s="95">
        <v>30.3</v>
      </c>
      <c r="M473" s="94"/>
      <c r="N473" s="96">
        <v>400000</v>
      </c>
      <c r="O473" s="95">
        <v>13201</v>
      </c>
      <c r="P473" s="95">
        <v>1</v>
      </c>
      <c r="Q473" s="94" t="s">
        <v>383</v>
      </c>
      <c r="R473" s="95">
        <v>1</v>
      </c>
      <c r="S473" s="95">
        <v>30</v>
      </c>
      <c r="T473" s="95">
        <v>0</v>
      </c>
      <c r="U473" s="95">
        <v>0</v>
      </c>
      <c r="V473" s="95">
        <v>190</v>
      </c>
      <c r="W473" s="95">
        <v>566</v>
      </c>
      <c r="X473" s="97">
        <v>45119.375</v>
      </c>
      <c r="Y473" s="97">
        <v>45015.375</v>
      </c>
      <c r="Z473" s="97">
        <v>44967.375</v>
      </c>
      <c r="AA473" s="98"/>
    </row>
    <row r="474" spans="1:27" ht="15.75" hidden="1" customHeight="1">
      <c r="A474" s="94" t="s">
        <v>2866</v>
      </c>
      <c r="B474" s="94" t="s">
        <v>760</v>
      </c>
      <c r="C474" s="94" t="s">
        <v>284</v>
      </c>
      <c r="D474" s="95">
        <v>5000</v>
      </c>
      <c r="E474" s="94" t="s">
        <v>431</v>
      </c>
      <c r="F474" s="94" t="s">
        <v>433</v>
      </c>
      <c r="G474" s="95">
        <v>18</v>
      </c>
      <c r="H474" s="94" t="s">
        <v>439</v>
      </c>
      <c r="I474" s="94" t="s">
        <v>6671</v>
      </c>
      <c r="J474" s="94" t="s">
        <v>440</v>
      </c>
      <c r="K474" s="95">
        <v>60</v>
      </c>
      <c r="L474" s="94"/>
      <c r="M474" s="95">
        <v>1600</v>
      </c>
      <c r="N474" s="94" t="s">
        <v>435</v>
      </c>
      <c r="O474" s="94"/>
      <c r="P474" s="95">
        <v>1</v>
      </c>
      <c r="Q474" s="94" t="s">
        <v>436</v>
      </c>
      <c r="R474" s="95">
        <v>0</v>
      </c>
      <c r="S474" s="95">
        <v>0</v>
      </c>
      <c r="T474" s="95">
        <v>188</v>
      </c>
      <c r="U474" s="95">
        <v>38</v>
      </c>
      <c r="V474" s="95">
        <v>376</v>
      </c>
      <c r="W474" s="95">
        <v>566</v>
      </c>
      <c r="X474" s="97">
        <v>45119.375</v>
      </c>
      <c r="Y474" s="97">
        <v>45015.375</v>
      </c>
      <c r="Z474" s="97">
        <v>44967.375</v>
      </c>
      <c r="AA474" s="98"/>
    </row>
    <row r="475" spans="1:27" ht="15.75" hidden="1" customHeight="1">
      <c r="A475" s="94" t="s">
        <v>2866</v>
      </c>
      <c r="B475" s="94" t="s">
        <v>760</v>
      </c>
      <c r="C475" s="94" t="s">
        <v>284</v>
      </c>
      <c r="D475" s="95">
        <v>5000</v>
      </c>
      <c r="E475" s="94" t="s">
        <v>431</v>
      </c>
      <c r="F475" s="94" t="s">
        <v>433</v>
      </c>
      <c r="G475" s="95">
        <v>19</v>
      </c>
      <c r="H475" s="94" t="s">
        <v>368</v>
      </c>
      <c r="I475" s="94" t="s">
        <v>6236</v>
      </c>
      <c r="J475" s="94" t="s">
        <v>434</v>
      </c>
      <c r="K475" s="95">
        <v>60</v>
      </c>
      <c r="L475" s="94"/>
      <c r="M475" s="95">
        <v>1600</v>
      </c>
      <c r="N475" s="94" t="s">
        <v>435</v>
      </c>
      <c r="O475" s="94"/>
      <c r="P475" s="95">
        <v>3</v>
      </c>
      <c r="Q475" s="94" t="s">
        <v>436</v>
      </c>
      <c r="R475" s="95">
        <v>0</v>
      </c>
      <c r="S475" s="95">
        <v>0</v>
      </c>
      <c r="T475" s="95">
        <v>188</v>
      </c>
      <c r="U475" s="95">
        <v>38</v>
      </c>
      <c r="V475" s="95">
        <v>376</v>
      </c>
      <c r="W475" s="95">
        <v>566</v>
      </c>
      <c r="X475" s="97">
        <v>45119.375</v>
      </c>
      <c r="Y475" s="97">
        <v>45015.375</v>
      </c>
      <c r="Z475" s="97">
        <v>44967.375</v>
      </c>
      <c r="AA475" s="98"/>
    </row>
    <row r="476" spans="1:27" ht="15.75" hidden="1" customHeight="1">
      <c r="A476" s="94" t="s">
        <v>2906</v>
      </c>
      <c r="B476" s="94" t="s">
        <v>619</v>
      </c>
      <c r="C476" s="94" t="s">
        <v>288</v>
      </c>
      <c r="D476" s="95">
        <v>1000</v>
      </c>
      <c r="E476" s="94" t="s">
        <v>442</v>
      </c>
      <c r="F476" s="94" t="s">
        <v>33</v>
      </c>
      <c r="G476" s="95">
        <v>10</v>
      </c>
      <c r="H476" s="94" t="s">
        <v>11</v>
      </c>
      <c r="I476" s="94" t="s">
        <v>7228</v>
      </c>
      <c r="J476" s="94" t="s">
        <v>426</v>
      </c>
      <c r="K476" s="95">
        <v>100</v>
      </c>
      <c r="L476" s="95">
        <v>35.5</v>
      </c>
      <c r="M476" s="94"/>
      <c r="N476" s="95">
        <v>75000</v>
      </c>
      <c r="O476" s="95">
        <v>2112</v>
      </c>
      <c r="P476" s="95">
        <v>1</v>
      </c>
      <c r="Q476" s="94" t="s">
        <v>383</v>
      </c>
      <c r="R476" s="95">
        <v>1</v>
      </c>
      <c r="S476" s="95">
        <v>100</v>
      </c>
      <c r="T476" s="95">
        <v>0</v>
      </c>
      <c r="U476" s="95">
        <v>0</v>
      </c>
      <c r="V476" s="95">
        <v>275</v>
      </c>
      <c r="W476" s="95">
        <v>411</v>
      </c>
      <c r="X476" s="97">
        <v>45145.375</v>
      </c>
      <c r="Y476" s="97">
        <v>45064.375</v>
      </c>
      <c r="Z476" s="97">
        <v>45138.375</v>
      </c>
      <c r="AA476" s="98"/>
    </row>
    <row r="477" spans="1:27" ht="15.75" hidden="1" customHeight="1">
      <c r="A477" s="94" t="s">
        <v>2906</v>
      </c>
      <c r="B477" s="94" t="s">
        <v>619</v>
      </c>
      <c r="C477" s="94" t="s">
        <v>288</v>
      </c>
      <c r="D477" s="95">
        <v>1000</v>
      </c>
      <c r="E477" s="94" t="s">
        <v>442</v>
      </c>
      <c r="F477" s="94" t="s">
        <v>33</v>
      </c>
      <c r="G477" s="95">
        <v>11</v>
      </c>
      <c r="H477" s="94" t="s">
        <v>12</v>
      </c>
      <c r="I477" s="94" t="s">
        <v>6923</v>
      </c>
      <c r="J477" s="94" t="s">
        <v>444</v>
      </c>
      <c r="K477" s="95">
        <v>160</v>
      </c>
      <c r="L477" s="95">
        <v>35.5</v>
      </c>
      <c r="M477" s="94"/>
      <c r="N477" s="95">
        <v>75000</v>
      </c>
      <c r="O477" s="95">
        <v>2112</v>
      </c>
      <c r="P477" s="95">
        <v>1</v>
      </c>
      <c r="Q477" s="94" t="s">
        <v>383</v>
      </c>
      <c r="R477" s="95">
        <v>1</v>
      </c>
      <c r="S477" s="95">
        <v>160</v>
      </c>
      <c r="T477" s="95">
        <v>0</v>
      </c>
      <c r="U477" s="95">
        <v>0</v>
      </c>
      <c r="V477" s="95">
        <v>275</v>
      </c>
      <c r="W477" s="95">
        <v>411</v>
      </c>
      <c r="X477" s="97">
        <v>45145.375</v>
      </c>
      <c r="Y477" s="97">
        <v>45064.375</v>
      </c>
      <c r="Z477" s="97">
        <v>45138.375</v>
      </c>
      <c r="AA477" s="98"/>
    </row>
    <row r="478" spans="1:27" ht="15.75" hidden="1" customHeight="1">
      <c r="A478" s="94" t="s">
        <v>2906</v>
      </c>
      <c r="B478" s="94" t="s">
        <v>619</v>
      </c>
      <c r="C478" s="94" t="s">
        <v>288</v>
      </c>
      <c r="D478" s="95">
        <v>1000</v>
      </c>
      <c r="E478" s="94" t="s">
        <v>442</v>
      </c>
      <c r="F478" s="94" t="s">
        <v>33</v>
      </c>
      <c r="G478" s="95">
        <v>12</v>
      </c>
      <c r="H478" s="94" t="s">
        <v>13</v>
      </c>
      <c r="I478" s="94" t="s">
        <v>6923</v>
      </c>
      <c r="J478" s="94" t="s">
        <v>444</v>
      </c>
      <c r="K478" s="95">
        <v>15</v>
      </c>
      <c r="L478" s="95">
        <v>35.5</v>
      </c>
      <c r="M478" s="94"/>
      <c r="N478" s="96">
        <v>75000</v>
      </c>
      <c r="O478" s="95">
        <v>2112</v>
      </c>
      <c r="P478" s="95">
        <v>1</v>
      </c>
      <c r="Q478" s="94" t="s">
        <v>383</v>
      </c>
      <c r="R478" s="95">
        <v>1</v>
      </c>
      <c r="S478" s="95">
        <v>15</v>
      </c>
      <c r="T478" s="95">
        <v>0</v>
      </c>
      <c r="U478" s="95">
        <v>0</v>
      </c>
      <c r="V478" s="95">
        <v>275</v>
      </c>
      <c r="W478" s="95">
        <v>411</v>
      </c>
      <c r="X478" s="97">
        <v>45145.375</v>
      </c>
      <c r="Y478" s="97">
        <v>45064.375</v>
      </c>
      <c r="Z478" s="97">
        <v>45138.375</v>
      </c>
      <c r="AA478" s="98"/>
    </row>
    <row r="479" spans="1:27" ht="15.75" hidden="1" customHeight="1">
      <c r="A479" s="94" t="s">
        <v>2906</v>
      </c>
      <c r="B479" s="94" t="s">
        <v>619</v>
      </c>
      <c r="C479" s="94" t="s">
        <v>288</v>
      </c>
      <c r="D479" s="95">
        <v>1000</v>
      </c>
      <c r="E479" s="94" t="s">
        <v>431</v>
      </c>
      <c r="F479" s="94" t="s">
        <v>433</v>
      </c>
      <c r="G479" s="95">
        <v>18</v>
      </c>
      <c r="H479" s="94" t="s">
        <v>439</v>
      </c>
      <c r="I479" s="94" t="s">
        <v>6671</v>
      </c>
      <c r="J479" s="94" t="s">
        <v>440</v>
      </c>
      <c r="K479" s="95">
        <v>60</v>
      </c>
      <c r="L479" s="94"/>
      <c r="M479" s="95">
        <v>1200</v>
      </c>
      <c r="N479" s="99" t="s">
        <v>435</v>
      </c>
      <c r="O479" s="94"/>
      <c r="P479" s="95">
        <v>1</v>
      </c>
      <c r="Q479" s="94" t="s">
        <v>436</v>
      </c>
      <c r="R479" s="95">
        <v>0</v>
      </c>
      <c r="S479" s="95">
        <v>0</v>
      </c>
      <c r="T479" s="95">
        <v>50</v>
      </c>
      <c r="U479" s="95">
        <v>10</v>
      </c>
      <c r="V479" s="95">
        <v>136</v>
      </c>
      <c r="W479" s="95">
        <v>411</v>
      </c>
      <c r="X479" s="97">
        <v>45145.375</v>
      </c>
      <c r="Y479" s="97">
        <v>45064.375</v>
      </c>
      <c r="Z479" s="97">
        <v>45138.375</v>
      </c>
      <c r="AA479" s="98"/>
    </row>
    <row r="480" spans="1:27" ht="15.75" hidden="1" customHeight="1">
      <c r="A480" s="94" t="s">
        <v>2906</v>
      </c>
      <c r="B480" s="94" t="s">
        <v>619</v>
      </c>
      <c r="C480" s="94" t="s">
        <v>288</v>
      </c>
      <c r="D480" s="95">
        <v>1000</v>
      </c>
      <c r="E480" s="94" t="s">
        <v>431</v>
      </c>
      <c r="F480" s="94" t="s">
        <v>433</v>
      </c>
      <c r="G480" s="95">
        <v>19</v>
      </c>
      <c r="H480" s="94" t="s">
        <v>368</v>
      </c>
      <c r="I480" s="94" t="s">
        <v>6236</v>
      </c>
      <c r="J480" s="94" t="s">
        <v>434</v>
      </c>
      <c r="K480" s="95">
        <v>60</v>
      </c>
      <c r="L480" s="94"/>
      <c r="M480" s="95">
        <v>700</v>
      </c>
      <c r="N480" s="99" t="s">
        <v>435</v>
      </c>
      <c r="O480" s="94"/>
      <c r="P480" s="95">
        <v>3</v>
      </c>
      <c r="Q480" s="94" t="s">
        <v>436</v>
      </c>
      <c r="R480" s="95">
        <v>0</v>
      </c>
      <c r="S480" s="95">
        <v>0</v>
      </c>
      <c r="T480" s="95">
        <v>86</v>
      </c>
      <c r="U480" s="95">
        <v>18</v>
      </c>
      <c r="V480" s="95">
        <v>136</v>
      </c>
      <c r="W480" s="95">
        <v>411</v>
      </c>
      <c r="X480" s="97">
        <v>45145.375</v>
      </c>
      <c r="Y480" s="97">
        <v>45064.375</v>
      </c>
      <c r="Z480" s="97">
        <v>45138.375</v>
      </c>
      <c r="AA480" s="98"/>
    </row>
    <row r="481" spans="1:27" ht="15.75" hidden="1" customHeight="1">
      <c r="A481" s="94" t="s">
        <v>2975</v>
      </c>
      <c r="B481" s="94" t="s">
        <v>527</v>
      </c>
      <c r="C481" s="94" t="s">
        <v>218</v>
      </c>
      <c r="D481" s="95">
        <v>3000</v>
      </c>
      <c r="E481" s="94" t="s">
        <v>442</v>
      </c>
      <c r="F481" s="94" t="s">
        <v>33</v>
      </c>
      <c r="G481" s="95">
        <v>10</v>
      </c>
      <c r="H481" s="94" t="s">
        <v>11</v>
      </c>
      <c r="I481" s="94" t="s">
        <v>7228</v>
      </c>
      <c r="J481" s="94" t="s">
        <v>426</v>
      </c>
      <c r="K481" s="95">
        <v>45</v>
      </c>
      <c r="L481" s="95">
        <v>51.5</v>
      </c>
      <c r="M481" s="94"/>
      <c r="N481" s="95">
        <v>79500</v>
      </c>
      <c r="O481" s="95">
        <v>1543</v>
      </c>
      <c r="P481" s="95">
        <v>1</v>
      </c>
      <c r="Q481" s="94" t="s">
        <v>383</v>
      </c>
      <c r="R481" s="95">
        <v>2</v>
      </c>
      <c r="S481" s="95">
        <v>90</v>
      </c>
      <c r="T481" s="95">
        <v>0</v>
      </c>
      <c r="U481" s="95">
        <v>0</v>
      </c>
      <c r="V481" s="95">
        <v>340</v>
      </c>
      <c r="W481" s="95">
        <v>598</v>
      </c>
      <c r="X481" s="97">
        <v>45131.375</v>
      </c>
      <c r="Y481" s="97">
        <v>45114.375</v>
      </c>
      <c r="Z481" s="97">
        <v>45103.375</v>
      </c>
      <c r="AA481" s="98"/>
    </row>
    <row r="482" spans="1:27" ht="15.75" hidden="1" customHeight="1">
      <c r="A482" s="94" t="s">
        <v>2975</v>
      </c>
      <c r="B482" s="94" t="s">
        <v>527</v>
      </c>
      <c r="C482" s="94" t="s">
        <v>218</v>
      </c>
      <c r="D482" s="95">
        <v>3000</v>
      </c>
      <c r="E482" s="94" t="s">
        <v>442</v>
      </c>
      <c r="F482" s="94" t="s">
        <v>33</v>
      </c>
      <c r="G482" s="95">
        <v>11</v>
      </c>
      <c r="H482" s="94" t="s">
        <v>12</v>
      </c>
      <c r="I482" s="94" t="s">
        <v>6923</v>
      </c>
      <c r="J482" s="94" t="s">
        <v>444</v>
      </c>
      <c r="K482" s="95">
        <v>105</v>
      </c>
      <c r="L482" s="95">
        <v>51.5</v>
      </c>
      <c r="M482" s="94"/>
      <c r="N482" s="95">
        <v>79500</v>
      </c>
      <c r="O482" s="95">
        <v>1543</v>
      </c>
      <c r="P482" s="95">
        <v>1</v>
      </c>
      <c r="Q482" s="94" t="s">
        <v>383</v>
      </c>
      <c r="R482" s="95">
        <v>2</v>
      </c>
      <c r="S482" s="95">
        <v>210</v>
      </c>
      <c r="T482" s="95">
        <v>0</v>
      </c>
      <c r="U482" s="95">
        <v>0</v>
      </c>
      <c r="V482" s="95">
        <v>340</v>
      </c>
      <c r="W482" s="95">
        <v>598</v>
      </c>
      <c r="X482" s="97">
        <v>45131.375</v>
      </c>
      <c r="Y482" s="97">
        <v>45114.375</v>
      </c>
      <c r="Z482" s="97">
        <v>45103.375</v>
      </c>
      <c r="AA482" s="98"/>
    </row>
    <row r="483" spans="1:27" ht="15.75" hidden="1" customHeight="1">
      <c r="A483" s="94" t="s">
        <v>2975</v>
      </c>
      <c r="B483" s="94" t="s">
        <v>527</v>
      </c>
      <c r="C483" s="94" t="s">
        <v>218</v>
      </c>
      <c r="D483" s="95">
        <v>3000</v>
      </c>
      <c r="E483" s="94" t="s">
        <v>442</v>
      </c>
      <c r="F483" s="94" t="s">
        <v>33</v>
      </c>
      <c r="G483" s="95">
        <v>12</v>
      </c>
      <c r="H483" s="94" t="s">
        <v>13</v>
      </c>
      <c r="I483" s="94" t="s">
        <v>6923</v>
      </c>
      <c r="J483" s="94" t="s">
        <v>444</v>
      </c>
      <c r="K483" s="95">
        <v>20</v>
      </c>
      <c r="L483" s="95">
        <v>51.5</v>
      </c>
      <c r="M483" s="94"/>
      <c r="N483" s="95">
        <v>79500</v>
      </c>
      <c r="O483" s="95">
        <v>1543</v>
      </c>
      <c r="P483" s="95">
        <v>1</v>
      </c>
      <c r="Q483" s="94" t="s">
        <v>383</v>
      </c>
      <c r="R483" s="95">
        <v>2</v>
      </c>
      <c r="S483" s="95">
        <v>40</v>
      </c>
      <c r="T483" s="95">
        <v>0</v>
      </c>
      <c r="U483" s="95">
        <v>0</v>
      </c>
      <c r="V483" s="95">
        <v>340</v>
      </c>
      <c r="W483" s="95">
        <v>598</v>
      </c>
      <c r="X483" s="97">
        <v>45131.375</v>
      </c>
      <c r="Y483" s="97">
        <v>45114.375</v>
      </c>
      <c r="Z483" s="97">
        <v>45103.375</v>
      </c>
      <c r="AA483" s="98"/>
    </row>
    <row r="484" spans="1:27" ht="15.75" hidden="1" customHeight="1">
      <c r="A484" s="94" t="s">
        <v>2975</v>
      </c>
      <c r="B484" s="94" t="s">
        <v>527</v>
      </c>
      <c r="C484" s="94" t="s">
        <v>218</v>
      </c>
      <c r="D484" s="95">
        <v>3000</v>
      </c>
      <c r="E484" s="94" t="s">
        <v>431</v>
      </c>
      <c r="F484" s="94" t="s">
        <v>433</v>
      </c>
      <c r="G484" s="95">
        <v>19</v>
      </c>
      <c r="H484" s="94" t="s">
        <v>368</v>
      </c>
      <c r="I484" s="94" t="s">
        <v>6236</v>
      </c>
      <c r="J484" s="94" t="s">
        <v>434</v>
      </c>
      <c r="K484" s="95">
        <v>60</v>
      </c>
      <c r="L484" s="94"/>
      <c r="M484" s="95">
        <v>700</v>
      </c>
      <c r="N484" s="94" t="s">
        <v>435</v>
      </c>
      <c r="O484" s="94"/>
      <c r="P484" s="95">
        <v>3</v>
      </c>
      <c r="Q484" s="94" t="s">
        <v>436</v>
      </c>
      <c r="R484" s="95">
        <v>0</v>
      </c>
      <c r="S484" s="95">
        <v>0</v>
      </c>
      <c r="T484" s="95">
        <v>258</v>
      </c>
      <c r="U484" s="95">
        <v>52</v>
      </c>
      <c r="V484" s="95">
        <v>258</v>
      </c>
      <c r="W484" s="95">
        <v>598</v>
      </c>
      <c r="X484" s="97">
        <v>45131.375</v>
      </c>
      <c r="Y484" s="97">
        <v>45114.375</v>
      </c>
      <c r="Z484" s="97">
        <v>45103.375</v>
      </c>
      <c r="AA484" s="98"/>
    </row>
    <row r="485" spans="1:27" ht="15.75" hidden="1" customHeight="1">
      <c r="A485" s="94" t="s">
        <v>3005</v>
      </c>
      <c r="B485" s="94" t="s">
        <v>888</v>
      </c>
      <c r="C485" s="94" t="s">
        <v>100</v>
      </c>
      <c r="D485" s="95">
        <v>2000</v>
      </c>
      <c r="E485" s="94" t="s">
        <v>442</v>
      </c>
      <c r="F485" s="94" t="s">
        <v>33</v>
      </c>
      <c r="G485" s="95">
        <v>11</v>
      </c>
      <c r="H485" s="94" t="s">
        <v>12</v>
      </c>
      <c r="I485" s="94" t="s">
        <v>6923</v>
      </c>
      <c r="J485" s="94" t="s">
        <v>444</v>
      </c>
      <c r="K485" s="95">
        <v>160</v>
      </c>
      <c r="L485" s="95">
        <v>31.7</v>
      </c>
      <c r="M485" s="94"/>
      <c r="N485" s="96">
        <v>100000</v>
      </c>
      <c r="O485" s="95">
        <v>3154</v>
      </c>
      <c r="P485" s="95">
        <v>1</v>
      </c>
      <c r="Q485" s="94" t="s">
        <v>383</v>
      </c>
      <c r="R485" s="95">
        <v>1</v>
      </c>
      <c r="S485" s="95">
        <v>160</v>
      </c>
      <c r="T485" s="95">
        <v>0</v>
      </c>
      <c r="U485" s="95">
        <v>0</v>
      </c>
      <c r="V485" s="95">
        <v>190</v>
      </c>
      <c r="W485" s="95">
        <v>522</v>
      </c>
      <c r="X485" s="97">
        <v>45149.375</v>
      </c>
      <c r="Y485" s="97">
        <v>45128.375</v>
      </c>
      <c r="Z485" s="97">
        <v>45128.375</v>
      </c>
      <c r="AA485" s="98"/>
    </row>
    <row r="486" spans="1:27" ht="15.75" hidden="1" customHeight="1">
      <c r="A486" s="94" t="s">
        <v>3005</v>
      </c>
      <c r="B486" s="94" t="s">
        <v>888</v>
      </c>
      <c r="C486" s="94" t="s">
        <v>100</v>
      </c>
      <c r="D486" s="95">
        <v>2000</v>
      </c>
      <c r="E486" s="94" t="s">
        <v>442</v>
      </c>
      <c r="F486" s="94" t="s">
        <v>33</v>
      </c>
      <c r="G486" s="95">
        <v>12</v>
      </c>
      <c r="H486" s="94" t="s">
        <v>13</v>
      </c>
      <c r="I486" s="94" t="s">
        <v>6923</v>
      </c>
      <c r="J486" s="94" t="s">
        <v>444</v>
      </c>
      <c r="K486" s="95">
        <v>30</v>
      </c>
      <c r="L486" s="95">
        <v>31.7</v>
      </c>
      <c r="M486" s="94"/>
      <c r="N486" s="95">
        <v>100000</v>
      </c>
      <c r="O486" s="95">
        <v>3154</v>
      </c>
      <c r="P486" s="95">
        <v>1</v>
      </c>
      <c r="Q486" s="94" t="s">
        <v>383</v>
      </c>
      <c r="R486" s="95">
        <v>1</v>
      </c>
      <c r="S486" s="95">
        <v>30</v>
      </c>
      <c r="T486" s="95">
        <v>0</v>
      </c>
      <c r="U486" s="95">
        <v>0</v>
      </c>
      <c r="V486" s="95">
        <v>190</v>
      </c>
      <c r="W486" s="95">
        <v>522</v>
      </c>
      <c r="X486" s="97">
        <v>45149.375</v>
      </c>
      <c r="Y486" s="97">
        <v>45128.375</v>
      </c>
      <c r="Z486" s="97">
        <v>45128.375</v>
      </c>
      <c r="AA486" s="98"/>
    </row>
    <row r="487" spans="1:27" ht="15.75" hidden="1" customHeight="1">
      <c r="A487" s="94" t="s">
        <v>3005</v>
      </c>
      <c r="B487" s="94" t="s">
        <v>888</v>
      </c>
      <c r="C487" s="94" t="s">
        <v>100</v>
      </c>
      <c r="D487" s="95">
        <v>2000</v>
      </c>
      <c r="E487" s="94" t="s">
        <v>431</v>
      </c>
      <c r="F487" s="94" t="s">
        <v>433</v>
      </c>
      <c r="G487" s="95">
        <v>18</v>
      </c>
      <c r="H487" s="94" t="s">
        <v>439</v>
      </c>
      <c r="I487" s="94" t="s">
        <v>6671</v>
      </c>
      <c r="J487" s="94" t="s">
        <v>440</v>
      </c>
      <c r="K487" s="95">
        <v>60</v>
      </c>
      <c r="L487" s="94"/>
      <c r="M487" s="95">
        <v>660</v>
      </c>
      <c r="N487" s="94" t="s">
        <v>435</v>
      </c>
      <c r="O487" s="94"/>
      <c r="P487" s="95">
        <v>1</v>
      </c>
      <c r="Q487" s="94" t="s">
        <v>436</v>
      </c>
      <c r="R487" s="95">
        <v>0</v>
      </c>
      <c r="S487" s="95">
        <v>0</v>
      </c>
      <c r="T487" s="95">
        <v>182</v>
      </c>
      <c r="U487" s="95">
        <v>37</v>
      </c>
      <c r="V487" s="95">
        <v>332</v>
      </c>
      <c r="W487" s="95">
        <v>522</v>
      </c>
      <c r="X487" s="97">
        <v>45149.375</v>
      </c>
      <c r="Y487" s="97">
        <v>45128.375</v>
      </c>
      <c r="Z487" s="97">
        <v>45128.375</v>
      </c>
      <c r="AA487" s="98"/>
    </row>
    <row r="488" spans="1:27" ht="15.75" hidden="1" customHeight="1">
      <c r="A488" s="94" t="s">
        <v>3005</v>
      </c>
      <c r="B488" s="94" t="s">
        <v>888</v>
      </c>
      <c r="C488" s="94" t="s">
        <v>100</v>
      </c>
      <c r="D488" s="95">
        <v>2000</v>
      </c>
      <c r="E488" s="94" t="s">
        <v>431</v>
      </c>
      <c r="F488" s="94" t="s">
        <v>433</v>
      </c>
      <c r="G488" s="95">
        <v>19</v>
      </c>
      <c r="H488" s="94" t="s">
        <v>368</v>
      </c>
      <c r="I488" s="94" t="s">
        <v>6236</v>
      </c>
      <c r="J488" s="94" t="s">
        <v>434</v>
      </c>
      <c r="K488" s="95">
        <v>60</v>
      </c>
      <c r="L488" s="94"/>
      <c r="M488" s="95">
        <v>800</v>
      </c>
      <c r="N488" s="94" t="s">
        <v>435</v>
      </c>
      <c r="O488" s="94"/>
      <c r="P488" s="95">
        <v>4</v>
      </c>
      <c r="Q488" s="94" t="s">
        <v>436</v>
      </c>
      <c r="R488" s="95">
        <v>0</v>
      </c>
      <c r="S488" s="95">
        <v>0</v>
      </c>
      <c r="T488" s="95">
        <v>150</v>
      </c>
      <c r="U488" s="95">
        <v>30</v>
      </c>
      <c r="V488" s="95">
        <v>332</v>
      </c>
      <c r="W488" s="95">
        <v>522</v>
      </c>
      <c r="X488" s="97">
        <v>45149.375</v>
      </c>
      <c r="Y488" s="97">
        <v>45128.375</v>
      </c>
      <c r="Z488" s="97">
        <v>45128.375</v>
      </c>
      <c r="AA488" s="98"/>
    </row>
    <row r="489" spans="1:27" ht="15.75" hidden="1" customHeight="1">
      <c r="A489" s="94" t="s">
        <v>2930</v>
      </c>
      <c r="B489" s="94" t="s">
        <v>683</v>
      </c>
      <c r="C489" s="94" t="s">
        <v>296</v>
      </c>
      <c r="D489" s="95">
        <v>640</v>
      </c>
      <c r="E489" s="94" t="s">
        <v>424</v>
      </c>
      <c r="F489" s="94" t="s">
        <v>48</v>
      </c>
      <c r="G489" s="95">
        <v>4</v>
      </c>
      <c r="H489" s="94" t="s">
        <v>11</v>
      </c>
      <c r="I489" s="94" t="s">
        <v>7228</v>
      </c>
      <c r="J489" s="94" t="s">
        <v>426</v>
      </c>
      <c r="K489" s="95">
        <v>25</v>
      </c>
      <c r="L489" s="95">
        <v>60</v>
      </c>
      <c r="M489" s="94"/>
      <c r="N489" s="95">
        <v>52000</v>
      </c>
      <c r="O489" s="95">
        <v>866</v>
      </c>
      <c r="P489" s="95">
        <v>1</v>
      </c>
      <c r="Q489" s="94" t="s">
        <v>383</v>
      </c>
      <c r="R489" s="95">
        <v>1</v>
      </c>
      <c r="S489" s="95">
        <v>25</v>
      </c>
      <c r="T489" s="95">
        <v>0</v>
      </c>
      <c r="U489" s="95">
        <v>0</v>
      </c>
      <c r="V489" s="95">
        <v>185</v>
      </c>
      <c r="W489" s="95">
        <v>286</v>
      </c>
      <c r="X489" s="97">
        <v>45145.375</v>
      </c>
      <c r="Y489" s="97">
        <v>45120.375</v>
      </c>
      <c r="Z489" s="97">
        <v>45131.375</v>
      </c>
      <c r="AA489" s="98"/>
    </row>
    <row r="490" spans="1:27" ht="15.75" hidden="1" customHeight="1">
      <c r="A490" s="94" t="s">
        <v>2930</v>
      </c>
      <c r="B490" s="94" t="s">
        <v>683</v>
      </c>
      <c r="C490" s="94" t="s">
        <v>296</v>
      </c>
      <c r="D490" s="95">
        <v>640</v>
      </c>
      <c r="E490" s="94" t="s">
        <v>424</v>
      </c>
      <c r="F490" s="94" t="s">
        <v>48</v>
      </c>
      <c r="G490" s="95">
        <v>5</v>
      </c>
      <c r="H490" s="94" t="s">
        <v>12</v>
      </c>
      <c r="I490" s="94" t="s">
        <v>6923</v>
      </c>
      <c r="J490" s="94" t="s">
        <v>427</v>
      </c>
      <c r="K490" s="95">
        <v>130</v>
      </c>
      <c r="L490" s="95">
        <v>60</v>
      </c>
      <c r="M490" s="94"/>
      <c r="N490" s="95">
        <v>52000</v>
      </c>
      <c r="O490" s="95">
        <v>866</v>
      </c>
      <c r="P490" s="95">
        <v>1</v>
      </c>
      <c r="Q490" s="94" t="s">
        <v>383</v>
      </c>
      <c r="R490" s="95">
        <v>1</v>
      </c>
      <c r="S490" s="95">
        <v>130</v>
      </c>
      <c r="T490" s="95">
        <v>0</v>
      </c>
      <c r="U490" s="95">
        <v>0</v>
      </c>
      <c r="V490" s="95">
        <v>185</v>
      </c>
      <c r="W490" s="95">
        <v>286</v>
      </c>
      <c r="X490" s="97">
        <v>45145.375</v>
      </c>
      <c r="Y490" s="97">
        <v>45120.375</v>
      </c>
      <c r="Z490" s="97">
        <v>45131.375</v>
      </c>
      <c r="AA490" s="98"/>
    </row>
    <row r="491" spans="1:27" ht="15.75" hidden="1" customHeight="1">
      <c r="A491" s="94" t="s">
        <v>2930</v>
      </c>
      <c r="B491" s="94" t="s">
        <v>683</v>
      </c>
      <c r="C491" s="94" t="s">
        <v>296</v>
      </c>
      <c r="D491" s="95">
        <v>640</v>
      </c>
      <c r="E491" s="94" t="s">
        <v>424</v>
      </c>
      <c r="F491" s="94" t="s">
        <v>48</v>
      </c>
      <c r="G491" s="95">
        <v>6</v>
      </c>
      <c r="H491" s="94" t="s">
        <v>13</v>
      </c>
      <c r="I491" s="94" t="s">
        <v>6923</v>
      </c>
      <c r="J491" s="94" t="s">
        <v>427</v>
      </c>
      <c r="K491" s="95">
        <v>30</v>
      </c>
      <c r="L491" s="95">
        <v>60</v>
      </c>
      <c r="M491" s="94"/>
      <c r="N491" s="95">
        <v>52000</v>
      </c>
      <c r="O491" s="95">
        <v>866</v>
      </c>
      <c r="P491" s="95">
        <v>1</v>
      </c>
      <c r="Q491" s="94" t="s">
        <v>383</v>
      </c>
      <c r="R491" s="95">
        <v>1</v>
      </c>
      <c r="S491" s="95">
        <v>30</v>
      </c>
      <c r="T491" s="95">
        <v>0</v>
      </c>
      <c r="U491" s="95">
        <v>0</v>
      </c>
      <c r="V491" s="95">
        <v>185</v>
      </c>
      <c r="W491" s="95">
        <v>286</v>
      </c>
      <c r="X491" s="97">
        <v>45145.375</v>
      </c>
      <c r="Y491" s="97">
        <v>45120.375</v>
      </c>
      <c r="Z491" s="97">
        <v>45131.375</v>
      </c>
      <c r="AA491" s="98"/>
    </row>
    <row r="492" spans="1:27" ht="15.75" hidden="1" customHeight="1">
      <c r="A492" s="94" t="s">
        <v>2930</v>
      </c>
      <c r="B492" s="94" t="s">
        <v>683</v>
      </c>
      <c r="C492" s="94" t="s">
        <v>296</v>
      </c>
      <c r="D492" s="95">
        <v>640</v>
      </c>
      <c r="E492" s="94" t="s">
        <v>431</v>
      </c>
      <c r="F492" s="94" t="s">
        <v>433</v>
      </c>
      <c r="G492" s="95">
        <v>18</v>
      </c>
      <c r="H492" s="94" t="s">
        <v>439</v>
      </c>
      <c r="I492" s="94" t="s">
        <v>6671</v>
      </c>
      <c r="J492" s="94" t="s">
        <v>440</v>
      </c>
      <c r="K492" s="95">
        <v>60</v>
      </c>
      <c r="L492" s="94"/>
      <c r="M492" s="95">
        <v>760</v>
      </c>
      <c r="N492" s="94" t="s">
        <v>435</v>
      </c>
      <c r="O492" s="94"/>
      <c r="P492" s="95">
        <v>1</v>
      </c>
      <c r="Q492" s="94" t="s">
        <v>436</v>
      </c>
      <c r="R492" s="95">
        <v>0</v>
      </c>
      <c r="S492" s="95">
        <v>0</v>
      </c>
      <c r="T492" s="95">
        <v>51</v>
      </c>
      <c r="U492" s="95">
        <v>11</v>
      </c>
      <c r="V492" s="95">
        <v>101</v>
      </c>
      <c r="W492" s="95">
        <v>286</v>
      </c>
      <c r="X492" s="97">
        <v>45145.375</v>
      </c>
      <c r="Y492" s="97">
        <v>45120.375</v>
      </c>
      <c r="Z492" s="97">
        <v>45131.375</v>
      </c>
      <c r="AA492" s="98"/>
    </row>
    <row r="493" spans="1:27" ht="15.75" hidden="1" customHeight="1">
      <c r="A493" s="94" t="s">
        <v>2930</v>
      </c>
      <c r="B493" s="94" t="s">
        <v>683</v>
      </c>
      <c r="C493" s="94" t="s">
        <v>296</v>
      </c>
      <c r="D493" s="95">
        <v>640</v>
      </c>
      <c r="E493" s="94" t="s">
        <v>431</v>
      </c>
      <c r="F493" s="94" t="s">
        <v>433</v>
      </c>
      <c r="G493" s="95">
        <v>19</v>
      </c>
      <c r="H493" s="94" t="s">
        <v>368</v>
      </c>
      <c r="I493" s="94" t="s">
        <v>6236</v>
      </c>
      <c r="J493" s="94" t="s">
        <v>434</v>
      </c>
      <c r="K493" s="95">
        <v>60</v>
      </c>
      <c r="L493" s="94"/>
      <c r="M493" s="95">
        <v>770</v>
      </c>
      <c r="N493" s="94" t="s">
        <v>435</v>
      </c>
      <c r="O493" s="94"/>
      <c r="P493" s="95">
        <v>4</v>
      </c>
      <c r="Q493" s="94" t="s">
        <v>436</v>
      </c>
      <c r="R493" s="95">
        <v>0</v>
      </c>
      <c r="S493" s="95">
        <v>0</v>
      </c>
      <c r="T493" s="95">
        <v>50</v>
      </c>
      <c r="U493" s="95">
        <v>10</v>
      </c>
      <c r="V493" s="95">
        <v>101</v>
      </c>
      <c r="W493" s="95">
        <v>286</v>
      </c>
      <c r="X493" s="97">
        <v>45145.375</v>
      </c>
      <c r="Y493" s="97">
        <v>45120.375</v>
      </c>
      <c r="Z493" s="97">
        <v>45131.375</v>
      </c>
      <c r="AA493" s="98"/>
    </row>
    <row r="494" spans="1:27" ht="15.75" hidden="1" customHeight="1">
      <c r="A494" s="94" t="s">
        <v>2943</v>
      </c>
      <c r="B494" s="94" t="s">
        <v>659</v>
      </c>
      <c r="C494" s="94" t="s">
        <v>188</v>
      </c>
      <c r="D494" s="95">
        <v>10000</v>
      </c>
      <c r="E494" s="94" t="s">
        <v>442</v>
      </c>
      <c r="F494" s="94" t="s">
        <v>33</v>
      </c>
      <c r="G494" s="95">
        <v>10</v>
      </c>
      <c r="H494" s="94" t="s">
        <v>11</v>
      </c>
      <c r="I494" s="94" t="s">
        <v>7228</v>
      </c>
      <c r="J494" s="94" t="s">
        <v>426</v>
      </c>
      <c r="K494" s="95">
        <v>20</v>
      </c>
      <c r="L494" s="95">
        <v>29.7</v>
      </c>
      <c r="M494" s="94"/>
      <c r="N494" s="95">
        <v>103000</v>
      </c>
      <c r="O494" s="95">
        <v>3468</v>
      </c>
      <c r="P494" s="95">
        <v>1</v>
      </c>
      <c r="Q494" s="94" t="s">
        <v>383</v>
      </c>
      <c r="R494" s="95">
        <v>3</v>
      </c>
      <c r="S494" s="95">
        <v>60</v>
      </c>
      <c r="T494" s="95">
        <v>0</v>
      </c>
      <c r="U494" s="95">
        <v>0</v>
      </c>
      <c r="V494" s="95">
        <v>450</v>
      </c>
      <c r="W494" s="95">
        <v>1950</v>
      </c>
      <c r="X494" s="97">
        <v>45138.375</v>
      </c>
      <c r="Y494" s="97">
        <v>45128.375</v>
      </c>
      <c r="Z494" s="97">
        <v>45148.375</v>
      </c>
      <c r="AA494" s="98"/>
    </row>
    <row r="495" spans="1:27" ht="15.75" hidden="1" customHeight="1">
      <c r="A495" s="94" t="s">
        <v>2943</v>
      </c>
      <c r="B495" s="94" t="s">
        <v>659</v>
      </c>
      <c r="C495" s="94" t="s">
        <v>188</v>
      </c>
      <c r="D495" s="95">
        <v>10000</v>
      </c>
      <c r="E495" s="94" t="s">
        <v>442</v>
      </c>
      <c r="F495" s="94" t="s">
        <v>33</v>
      </c>
      <c r="G495" s="95">
        <v>11</v>
      </c>
      <c r="H495" s="94" t="s">
        <v>12</v>
      </c>
      <c r="I495" s="94" t="s">
        <v>6923</v>
      </c>
      <c r="J495" s="94" t="s">
        <v>444</v>
      </c>
      <c r="K495" s="95">
        <v>110</v>
      </c>
      <c r="L495" s="95">
        <v>29.7</v>
      </c>
      <c r="M495" s="94"/>
      <c r="N495" s="95">
        <v>103000</v>
      </c>
      <c r="O495" s="95">
        <v>3468</v>
      </c>
      <c r="P495" s="95">
        <v>1</v>
      </c>
      <c r="Q495" s="94" t="s">
        <v>383</v>
      </c>
      <c r="R495" s="95">
        <v>3</v>
      </c>
      <c r="S495" s="95">
        <v>330</v>
      </c>
      <c r="T495" s="95">
        <v>0</v>
      </c>
      <c r="U495" s="95">
        <v>0</v>
      </c>
      <c r="V495" s="95">
        <v>450</v>
      </c>
      <c r="W495" s="95">
        <v>1950</v>
      </c>
      <c r="X495" s="97">
        <v>45138.375</v>
      </c>
      <c r="Y495" s="97">
        <v>45128.375</v>
      </c>
      <c r="Z495" s="97">
        <v>45148.375</v>
      </c>
      <c r="AA495" s="98"/>
    </row>
    <row r="496" spans="1:27" ht="15.75" hidden="1" customHeight="1">
      <c r="A496" s="94" t="s">
        <v>2943</v>
      </c>
      <c r="B496" s="94" t="s">
        <v>659</v>
      </c>
      <c r="C496" s="94" t="s">
        <v>188</v>
      </c>
      <c r="D496" s="95">
        <v>10000</v>
      </c>
      <c r="E496" s="94" t="s">
        <v>442</v>
      </c>
      <c r="F496" s="94" t="s">
        <v>33</v>
      </c>
      <c r="G496" s="95">
        <v>12</v>
      </c>
      <c r="H496" s="94" t="s">
        <v>13</v>
      </c>
      <c r="I496" s="94" t="s">
        <v>6923</v>
      </c>
      <c r="J496" s="94" t="s">
        <v>444</v>
      </c>
      <c r="K496" s="95">
        <v>20</v>
      </c>
      <c r="L496" s="95">
        <v>29.7</v>
      </c>
      <c r="M496" s="94"/>
      <c r="N496" s="96">
        <v>103000</v>
      </c>
      <c r="O496" s="95">
        <v>3468</v>
      </c>
      <c r="P496" s="95">
        <v>1</v>
      </c>
      <c r="Q496" s="94" t="s">
        <v>383</v>
      </c>
      <c r="R496" s="95">
        <v>3</v>
      </c>
      <c r="S496" s="95">
        <v>60</v>
      </c>
      <c r="T496" s="95">
        <v>0</v>
      </c>
      <c r="U496" s="95">
        <v>0</v>
      </c>
      <c r="V496" s="95">
        <v>450</v>
      </c>
      <c r="W496" s="95">
        <v>1950</v>
      </c>
      <c r="X496" s="97">
        <v>45138.375</v>
      </c>
      <c r="Y496" s="97">
        <v>45128.375</v>
      </c>
      <c r="Z496" s="97">
        <v>45148.375</v>
      </c>
      <c r="AA496" s="98"/>
    </row>
    <row r="497" spans="1:27" ht="15.75" hidden="1" customHeight="1">
      <c r="A497" s="94" t="s">
        <v>2943</v>
      </c>
      <c r="B497" s="94" t="s">
        <v>659</v>
      </c>
      <c r="C497" s="94" t="s">
        <v>188</v>
      </c>
      <c r="D497" s="95">
        <v>10000</v>
      </c>
      <c r="E497" s="94" t="s">
        <v>431</v>
      </c>
      <c r="F497" s="94" t="s">
        <v>433</v>
      </c>
      <c r="G497" s="95">
        <v>18</v>
      </c>
      <c r="H497" s="94" t="s">
        <v>439</v>
      </c>
      <c r="I497" s="94" t="s">
        <v>6671</v>
      </c>
      <c r="J497" s="94" t="s">
        <v>440</v>
      </c>
      <c r="K497" s="95">
        <v>60</v>
      </c>
      <c r="L497" s="94"/>
      <c r="M497" s="95">
        <v>600</v>
      </c>
      <c r="N497" s="99" t="s">
        <v>435</v>
      </c>
      <c r="O497" s="94"/>
      <c r="P497" s="95">
        <v>1</v>
      </c>
      <c r="Q497" s="94" t="s">
        <v>436</v>
      </c>
      <c r="R497" s="95">
        <v>0</v>
      </c>
      <c r="S497" s="95">
        <v>0</v>
      </c>
      <c r="T497" s="95">
        <v>1000</v>
      </c>
      <c r="U497" s="95">
        <v>200</v>
      </c>
      <c r="V497" s="95">
        <v>1500</v>
      </c>
      <c r="W497" s="95">
        <v>1950</v>
      </c>
      <c r="X497" s="97">
        <v>45138.375</v>
      </c>
      <c r="Y497" s="97">
        <v>45128.375</v>
      </c>
      <c r="Z497" s="97">
        <v>45148.375</v>
      </c>
      <c r="AA497" s="98"/>
    </row>
    <row r="498" spans="1:27" ht="15.75" hidden="1" customHeight="1">
      <c r="A498" s="94" t="s">
        <v>2943</v>
      </c>
      <c r="B498" s="94" t="s">
        <v>659</v>
      </c>
      <c r="C498" s="94" t="s">
        <v>188</v>
      </c>
      <c r="D498" s="95">
        <v>10000</v>
      </c>
      <c r="E498" s="94" t="s">
        <v>431</v>
      </c>
      <c r="F498" s="94" t="s">
        <v>433</v>
      </c>
      <c r="G498" s="95">
        <v>19</v>
      </c>
      <c r="H498" s="94" t="s">
        <v>368</v>
      </c>
      <c r="I498" s="94" t="s">
        <v>6236</v>
      </c>
      <c r="J498" s="94" t="s">
        <v>434</v>
      </c>
      <c r="K498" s="95">
        <v>60</v>
      </c>
      <c r="L498" s="94"/>
      <c r="M498" s="95">
        <v>1200</v>
      </c>
      <c r="N498" s="99" t="s">
        <v>435</v>
      </c>
      <c r="O498" s="94"/>
      <c r="P498" s="95">
        <v>4</v>
      </c>
      <c r="Q498" s="94" t="s">
        <v>436</v>
      </c>
      <c r="R498" s="95">
        <v>0</v>
      </c>
      <c r="S498" s="95">
        <v>0</v>
      </c>
      <c r="T498" s="95">
        <v>500</v>
      </c>
      <c r="U498" s="95">
        <v>100</v>
      </c>
      <c r="V498" s="95">
        <v>1500</v>
      </c>
      <c r="W498" s="95">
        <v>1950</v>
      </c>
      <c r="X498" s="97">
        <v>45138.375</v>
      </c>
      <c r="Y498" s="97">
        <v>45128.375</v>
      </c>
      <c r="Z498" s="97">
        <v>45148.375</v>
      </c>
      <c r="AA498" s="98"/>
    </row>
    <row r="499" spans="1:27" ht="15.75" hidden="1" customHeight="1">
      <c r="A499" s="94" t="s">
        <v>2849</v>
      </c>
      <c r="B499" s="94" t="s">
        <v>963</v>
      </c>
      <c r="C499" s="94" t="s">
        <v>301</v>
      </c>
      <c r="D499" s="95">
        <v>1000</v>
      </c>
      <c r="E499" s="94" t="s">
        <v>442</v>
      </c>
      <c r="F499" s="94" t="s">
        <v>33</v>
      </c>
      <c r="G499" s="95">
        <v>11</v>
      </c>
      <c r="H499" s="94" t="s">
        <v>12</v>
      </c>
      <c r="I499" s="94" t="s">
        <v>6923</v>
      </c>
      <c r="J499" s="94" t="s">
        <v>444</v>
      </c>
      <c r="K499" s="95">
        <v>150</v>
      </c>
      <c r="L499" s="95">
        <v>96.6</v>
      </c>
      <c r="M499" s="94"/>
      <c r="N499" s="95">
        <v>99000</v>
      </c>
      <c r="O499" s="95">
        <v>1024</v>
      </c>
      <c r="P499" s="95">
        <v>1</v>
      </c>
      <c r="Q499" s="94" t="s">
        <v>383</v>
      </c>
      <c r="R499" s="95">
        <v>1</v>
      </c>
      <c r="S499" s="95">
        <v>150</v>
      </c>
      <c r="T499" s="95">
        <v>0</v>
      </c>
      <c r="U499" s="95">
        <v>0</v>
      </c>
      <c r="V499" s="95">
        <v>180</v>
      </c>
      <c r="W499" s="95">
        <v>355</v>
      </c>
      <c r="X499" s="97">
        <v>45114.375</v>
      </c>
      <c r="Y499" s="97">
        <v>45057.375</v>
      </c>
      <c r="Z499" s="97">
        <v>45110.375</v>
      </c>
      <c r="AA499" s="98"/>
    </row>
    <row r="500" spans="1:27" ht="15.75" hidden="1" customHeight="1">
      <c r="A500" s="94" t="s">
        <v>2849</v>
      </c>
      <c r="B500" s="94" t="s">
        <v>963</v>
      </c>
      <c r="C500" s="94" t="s">
        <v>301</v>
      </c>
      <c r="D500" s="95">
        <v>1000</v>
      </c>
      <c r="E500" s="94" t="s">
        <v>442</v>
      </c>
      <c r="F500" s="94" t="s">
        <v>33</v>
      </c>
      <c r="G500" s="95">
        <v>12</v>
      </c>
      <c r="H500" s="94" t="s">
        <v>13</v>
      </c>
      <c r="I500" s="94" t="s">
        <v>6923</v>
      </c>
      <c r="J500" s="94" t="s">
        <v>444</v>
      </c>
      <c r="K500" s="95">
        <v>30</v>
      </c>
      <c r="L500" s="95">
        <v>96.6</v>
      </c>
      <c r="M500" s="94"/>
      <c r="N500" s="95">
        <v>99000</v>
      </c>
      <c r="O500" s="95">
        <v>1024</v>
      </c>
      <c r="P500" s="95">
        <v>1</v>
      </c>
      <c r="Q500" s="94" t="s">
        <v>383</v>
      </c>
      <c r="R500" s="95">
        <v>1</v>
      </c>
      <c r="S500" s="95">
        <v>30</v>
      </c>
      <c r="T500" s="95">
        <v>0</v>
      </c>
      <c r="U500" s="95">
        <v>0</v>
      </c>
      <c r="V500" s="95">
        <v>180</v>
      </c>
      <c r="W500" s="95">
        <v>355</v>
      </c>
      <c r="X500" s="97">
        <v>45114.375</v>
      </c>
      <c r="Y500" s="97">
        <v>45057.375</v>
      </c>
      <c r="Z500" s="97">
        <v>45110.375</v>
      </c>
      <c r="AA500" s="98"/>
    </row>
    <row r="501" spans="1:27" ht="15.75" hidden="1" customHeight="1">
      <c r="A501" s="94" t="s">
        <v>2849</v>
      </c>
      <c r="B501" s="94" t="s">
        <v>963</v>
      </c>
      <c r="C501" s="94" t="s">
        <v>301</v>
      </c>
      <c r="D501" s="95">
        <v>1000</v>
      </c>
      <c r="E501" s="94" t="s">
        <v>431</v>
      </c>
      <c r="F501" s="94" t="s">
        <v>433</v>
      </c>
      <c r="G501" s="95">
        <v>18</v>
      </c>
      <c r="H501" s="94" t="s">
        <v>439</v>
      </c>
      <c r="I501" s="94" t="s">
        <v>6671</v>
      </c>
      <c r="J501" s="94" t="s">
        <v>440</v>
      </c>
      <c r="K501" s="95">
        <v>60</v>
      </c>
      <c r="L501" s="94"/>
      <c r="M501" s="95">
        <v>1200</v>
      </c>
      <c r="N501" s="99" t="s">
        <v>435</v>
      </c>
      <c r="O501" s="94"/>
      <c r="P501" s="95">
        <v>1</v>
      </c>
      <c r="Q501" s="94" t="s">
        <v>436</v>
      </c>
      <c r="R501" s="95">
        <v>0</v>
      </c>
      <c r="S501" s="95">
        <v>0</v>
      </c>
      <c r="T501" s="95">
        <v>50</v>
      </c>
      <c r="U501" s="95">
        <v>10</v>
      </c>
      <c r="V501" s="95">
        <v>175</v>
      </c>
      <c r="W501" s="95">
        <v>355</v>
      </c>
      <c r="X501" s="97">
        <v>45114.375</v>
      </c>
      <c r="Y501" s="97">
        <v>45057.375</v>
      </c>
      <c r="Z501" s="97">
        <v>45110.375</v>
      </c>
      <c r="AA501" s="98"/>
    </row>
    <row r="502" spans="1:27" ht="15.75" hidden="1" customHeight="1">
      <c r="A502" s="94" t="s">
        <v>2849</v>
      </c>
      <c r="B502" s="94" t="s">
        <v>963</v>
      </c>
      <c r="C502" s="94" t="s">
        <v>301</v>
      </c>
      <c r="D502" s="95">
        <v>1000</v>
      </c>
      <c r="E502" s="94" t="s">
        <v>431</v>
      </c>
      <c r="F502" s="94" t="s">
        <v>433</v>
      </c>
      <c r="G502" s="95">
        <v>19</v>
      </c>
      <c r="H502" s="94" t="s">
        <v>368</v>
      </c>
      <c r="I502" s="94" t="s">
        <v>6236</v>
      </c>
      <c r="J502" s="94" t="s">
        <v>434</v>
      </c>
      <c r="K502" s="95">
        <v>60</v>
      </c>
      <c r="L502" s="94"/>
      <c r="M502" s="95">
        <v>480</v>
      </c>
      <c r="N502" s="99" t="s">
        <v>435</v>
      </c>
      <c r="O502" s="94"/>
      <c r="P502" s="95">
        <v>3</v>
      </c>
      <c r="Q502" s="94" t="s">
        <v>436</v>
      </c>
      <c r="R502" s="95">
        <v>0</v>
      </c>
      <c r="S502" s="95">
        <v>0</v>
      </c>
      <c r="T502" s="95">
        <v>125</v>
      </c>
      <c r="U502" s="95">
        <v>25</v>
      </c>
      <c r="V502" s="95">
        <v>175</v>
      </c>
      <c r="W502" s="95">
        <v>355</v>
      </c>
      <c r="X502" s="97">
        <v>45114.375</v>
      </c>
      <c r="Y502" s="97">
        <v>45057.375</v>
      </c>
      <c r="Z502" s="97">
        <v>45110.375</v>
      </c>
      <c r="AA502" s="98"/>
    </row>
    <row r="503" spans="1:27" ht="15.75" hidden="1" customHeight="1">
      <c r="A503" s="94" t="s">
        <v>2949</v>
      </c>
      <c r="B503" s="94" t="s">
        <v>947</v>
      </c>
      <c r="C503" s="94" t="s">
        <v>305</v>
      </c>
      <c r="D503" s="95">
        <v>10000</v>
      </c>
      <c r="E503" s="94" t="s">
        <v>442</v>
      </c>
      <c r="F503" s="94" t="s">
        <v>33</v>
      </c>
      <c r="G503" s="95">
        <v>10</v>
      </c>
      <c r="H503" s="94" t="s">
        <v>11</v>
      </c>
      <c r="I503" s="94" t="s">
        <v>7228</v>
      </c>
      <c r="J503" s="94" t="s">
        <v>426</v>
      </c>
      <c r="K503" s="95">
        <v>100</v>
      </c>
      <c r="L503" s="95">
        <v>35.5</v>
      </c>
      <c r="M503" s="94"/>
      <c r="N503" s="95">
        <v>75000</v>
      </c>
      <c r="O503" s="95">
        <v>2112</v>
      </c>
      <c r="P503" s="95">
        <v>1</v>
      </c>
      <c r="Q503" s="94" t="s">
        <v>383</v>
      </c>
      <c r="R503" s="95">
        <v>5</v>
      </c>
      <c r="S503" s="95">
        <v>500</v>
      </c>
      <c r="T503" s="95">
        <v>0</v>
      </c>
      <c r="U503" s="95">
        <v>0</v>
      </c>
      <c r="V503" s="95">
        <v>1375</v>
      </c>
      <c r="W503" s="95">
        <v>2912</v>
      </c>
      <c r="X503" s="97">
        <v>45146.375</v>
      </c>
      <c r="Y503" s="97">
        <v>45064.375</v>
      </c>
      <c r="Z503" s="97">
        <v>45138.375</v>
      </c>
      <c r="AA503" s="98"/>
    </row>
    <row r="504" spans="1:27" ht="15.75" hidden="1" customHeight="1">
      <c r="A504" s="94" t="s">
        <v>2949</v>
      </c>
      <c r="B504" s="94" t="s">
        <v>947</v>
      </c>
      <c r="C504" s="94" t="s">
        <v>305</v>
      </c>
      <c r="D504" s="95">
        <v>10000</v>
      </c>
      <c r="E504" s="94" t="s">
        <v>442</v>
      </c>
      <c r="F504" s="94" t="s">
        <v>33</v>
      </c>
      <c r="G504" s="95">
        <v>11</v>
      </c>
      <c r="H504" s="94" t="s">
        <v>12</v>
      </c>
      <c r="I504" s="94" t="s">
        <v>6923</v>
      </c>
      <c r="J504" s="94" t="s">
        <v>444</v>
      </c>
      <c r="K504" s="95">
        <v>160</v>
      </c>
      <c r="L504" s="95">
        <v>35.5</v>
      </c>
      <c r="M504" s="94"/>
      <c r="N504" s="96">
        <v>75000</v>
      </c>
      <c r="O504" s="95">
        <v>2112</v>
      </c>
      <c r="P504" s="95">
        <v>1</v>
      </c>
      <c r="Q504" s="94" t="s">
        <v>383</v>
      </c>
      <c r="R504" s="95">
        <v>5</v>
      </c>
      <c r="S504" s="95">
        <v>800</v>
      </c>
      <c r="T504" s="95">
        <v>0</v>
      </c>
      <c r="U504" s="95">
        <v>0</v>
      </c>
      <c r="V504" s="95">
        <v>1375</v>
      </c>
      <c r="W504" s="95">
        <v>2912</v>
      </c>
      <c r="X504" s="97">
        <v>45146.375</v>
      </c>
      <c r="Y504" s="97">
        <v>45064.375</v>
      </c>
      <c r="Z504" s="97">
        <v>45138.375</v>
      </c>
      <c r="AA504" s="98"/>
    </row>
    <row r="505" spans="1:27" ht="15.75" hidden="1" customHeight="1">
      <c r="A505" s="94" t="s">
        <v>2949</v>
      </c>
      <c r="B505" s="94" t="s">
        <v>947</v>
      </c>
      <c r="C505" s="94" t="s">
        <v>305</v>
      </c>
      <c r="D505" s="95">
        <v>10000</v>
      </c>
      <c r="E505" s="94" t="s">
        <v>442</v>
      </c>
      <c r="F505" s="94" t="s">
        <v>33</v>
      </c>
      <c r="G505" s="95">
        <v>12</v>
      </c>
      <c r="H505" s="94" t="s">
        <v>13</v>
      </c>
      <c r="I505" s="94" t="s">
        <v>6923</v>
      </c>
      <c r="J505" s="94" t="s">
        <v>444</v>
      </c>
      <c r="K505" s="95">
        <v>15</v>
      </c>
      <c r="L505" s="95">
        <v>35.5</v>
      </c>
      <c r="M505" s="94"/>
      <c r="N505" s="95">
        <v>75000</v>
      </c>
      <c r="O505" s="95">
        <v>2112</v>
      </c>
      <c r="P505" s="95">
        <v>1</v>
      </c>
      <c r="Q505" s="94" t="s">
        <v>383</v>
      </c>
      <c r="R505" s="95">
        <v>5</v>
      </c>
      <c r="S505" s="95">
        <v>75</v>
      </c>
      <c r="T505" s="95">
        <v>0</v>
      </c>
      <c r="U505" s="95">
        <v>0</v>
      </c>
      <c r="V505" s="95">
        <v>1375</v>
      </c>
      <c r="W505" s="95">
        <v>2912</v>
      </c>
      <c r="X505" s="97">
        <v>45146.375</v>
      </c>
      <c r="Y505" s="97">
        <v>45064.375</v>
      </c>
      <c r="Z505" s="97">
        <v>45138.375</v>
      </c>
      <c r="AA505" s="98"/>
    </row>
    <row r="506" spans="1:27" ht="15.75" hidden="1" customHeight="1">
      <c r="A506" s="94" t="s">
        <v>2949</v>
      </c>
      <c r="B506" s="94" t="s">
        <v>947</v>
      </c>
      <c r="C506" s="94" t="s">
        <v>305</v>
      </c>
      <c r="D506" s="95">
        <v>10000</v>
      </c>
      <c r="E506" s="94" t="s">
        <v>431</v>
      </c>
      <c r="F506" s="94" t="s">
        <v>433</v>
      </c>
      <c r="G506" s="95">
        <v>18</v>
      </c>
      <c r="H506" s="94" t="s">
        <v>439</v>
      </c>
      <c r="I506" s="94" t="s">
        <v>6671</v>
      </c>
      <c r="J506" s="94" t="s">
        <v>440</v>
      </c>
      <c r="K506" s="95">
        <v>60</v>
      </c>
      <c r="L506" s="94"/>
      <c r="M506" s="95">
        <v>900</v>
      </c>
      <c r="N506" s="94" t="s">
        <v>435</v>
      </c>
      <c r="O506" s="94"/>
      <c r="P506" s="95">
        <v>1</v>
      </c>
      <c r="Q506" s="94" t="s">
        <v>436</v>
      </c>
      <c r="R506" s="95">
        <v>0</v>
      </c>
      <c r="S506" s="95">
        <v>0</v>
      </c>
      <c r="T506" s="95">
        <v>667</v>
      </c>
      <c r="U506" s="95">
        <v>134</v>
      </c>
      <c r="V506" s="95">
        <v>1537</v>
      </c>
      <c r="W506" s="95">
        <v>2912</v>
      </c>
      <c r="X506" s="97">
        <v>45146.375</v>
      </c>
      <c r="Y506" s="97">
        <v>45064.375</v>
      </c>
      <c r="Z506" s="97">
        <v>45138.375</v>
      </c>
      <c r="AA506" s="98"/>
    </row>
    <row r="507" spans="1:27" ht="15.75" hidden="1" customHeight="1">
      <c r="A507" s="94" t="s">
        <v>2949</v>
      </c>
      <c r="B507" s="94" t="s">
        <v>947</v>
      </c>
      <c r="C507" s="94" t="s">
        <v>305</v>
      </c>
      <c r="D507" s="95">
        <v>10000</v>
      </c>
      <c r="E507" s="94" t="s">
        <v>431</v>
      </c>
      <c r="F507" s="94" t="s">
        <v>433</v>
      </c>
      <c r="G507" s="95">
        <v>19</v>
      </c>
      <c r="H507" s="94" t="s">
        <v>368</v>
      </c>
      <c r="I507" s="94" t="s">
        <v>6236</v>
      </c>
      <c r="J507" s="94" t="s">
        <v>434</v>
      </c>
      <c r="K507" s="95">
        <v>60</v>
      </c>
      <c r="L507" s="94"/>
      <c r="M507" s="95">
        <v>690</v>
      </c>
      <c r="N507" s="99" t="s">
        <v>435</v>
      </c>
      <c r="O507" s="94"/>
      <c r="P507" s="95">
        <v>3</v>
      </c>
      <c r="Q507" s="94" t="s">
        <v>436</v>
      </c>
      <c r="R507" s="95">
        <v>0</v>
      </c>
      <c r="S507" s="95">
        <v>0</v>
      </c>
      <c r="T507" s="95">
        <v>870</v>
      </c>
      <c r="U507" s="95">
        <v>174</v>
      </c>
      <c r="V507" s="95">
        <v>1537</v>
      </c>
      <c r="W507" s="95">
        <v>2912</v>
      </c>
      <c r="X507" s="97">
        <v>45146.375</v>
      </c>
      <c r="Y507" s="97">
        <v>45064.375</v>
      </c>
      <c r="Z507" s="97">
        <v>45138.375</v>
      </c>
      <c r="AA507" s="98"/>
    </row>
    <row r="508" spans="1:27" ht="15.75" hidden="1" customHeight="1">
      <c r="A508" s="94" t="s">
        <v>3026</v>
      </c>
      <c r="B508" s="94" t="s">
        <v>485</v>
      </c>
      <c r="C508" s="94" t="s">
        <v>235</v>
      </c>
      <c r="D508" s="95">
        <v>10000</v>
      </c>
      <c r="E508" s="94" t="s">
        <v>442</v>
      </c>
      <c r="F508" s="94" t="s">
        <v>40</v>
      </c>
      <c r="G508" s="95">
        <v>1</v>
      </c>
      <c r="H508" s="94" t="s">
        <v>11</v>
      </c>
      <c r="I508" s="94" t="s">
        <v>7228</v>
      </c>
      <c r="J508" s="94" t="s">
        <v>426</v>
      </c>
      <c r="K508" s="95">
        <v>60</v>
      </c>
      <c r="L508" s="95">
        <v>31.4</v>
      </c>
      <c r="M508" s="94"/>
      <c r="N508" s="96">
        <v>412000</v>
      </c>
      <c r="O508" s="95">
        <v>13121</v>
      </c>
      <c r="P508" s="95">
        <v>1</v>
      </c>
      <c r="Q508" s="94" t="s">
        <v>383</v>
      </c>
      <c r="R508" s="95">
        <v>1</v>
      </c>
      <c r="S508" s="95">
        <v>60</v>
      </c>
      <c r="T508" s="95">
        <v>0</v>
      </c>
      <c r="U508" s="95">
        <v>0</v>
      </c>
      <c r="V508" s="95">
        <v>200</v>
      </c>
      <c r="W508" s="95">
        <v>1162</v>
      </c>
      <c r="X508" s="97">
        <v>45134.375</v>
      </c>
      <c r="Y508" s="97">
        <v>45104.375</v>
      </c>
      <c r="Z508" s="97">
        <v>45132.375</v>
      </c>
      <c r="AA508" s="98"/>
    </row>
    <row r="509" spans="1:27" ht="15.75" hidden="1" customHeight="1">
      <c r="A509" s="94" t="s">
        <v>3026</v>
      </c>
      <c r="B509" s="94" t="s">
        <v>485</v>
      </c>
      <c r="C509" s="94" t="s">
        <v>235</v>
      </c>
      <c r="D509" s="95">
        <v>10000</v>
      </c>
      <c r="E509" s="94" t="s">
        <v>442</v>
      </c>
      <c r="F509" s="94" t="s">
        <v>40</v>
      </c>
      <c r="G509" s="95">
        <v>2</v>
      </c>
      <c r="H509" s="94" t="s">
        <v>12</v>
      </c>
      <c r="I509" s="94" t="s">
        <v>6923</v>
      </c>
      <c r="J509" s="94" t="s">
        <v>449</v>
      </c>
      <c r="K509" s="95">
        <v>110</v>
      </c>
      <c r="L509" s="95">
        <v>31.4</v>
      </c>
      <c r="M509" s="94"/>
      <c r="N509" s="96">
        <v>412000</v>
      </c>
      <c r="O509" s="95">
        <v>13121</v>
      </c>
      <c r="P509" s="95">
        <v>1</v>
      </c>
      <c r="Q509" s="94" t="s">
        <v>383</v>
      </c>
      <c r="R509" s="95">
        <v>1</v>
      </c>
      <c r="S509" s="95">
        <v>110</v>
      </c>
      <c r="T509" s="95">
        <v>0</v>
      </c>
      <c r="U509" s="95">
        <v>0</v>
      </c>
      <c r="V509" s="95">
        <v>200</v>
      </c>
      <c r="W509" s="95">
        <v>1162</v>
      </c>
      <c r="X509" s="97">
        <v>45134.375</v>
      </c>
      <c r="Y509" s="97">
        <v>45104.375</v>
      </c>
      <c r="Z509" s="97">
        <v>45132.375</v>
      </c>
      <c r="AA509" s="98"/>
    </row>
    <row r="510" spans="1:27" ht="15.75" hidden="1" customHeight="1">
      <c r="A510" s="94" t="s">
        <v>3026</v>
      </c>
      <c r="B510" s="94" t="s">
        <v>485</v>
      </c>
      <c r="C510" s="94" t="s">
        <v>235</v>
      </c>
      <c r="D510" s="95">
        <v>10000</v>
      </c>
      <c r="E510" s="94" t="s">
        <v>442</v>
      </c>
      <c r="F510" s="94" t="s">
        <v>40</v>
      </c>
      <c r="G510" s="95">
        <v>3</v>
      </c>
      <c r="H510" s="94" t="s">
        <v>13</v>
      </c>
      <c r="I510" s="94" t="s">
        <v>6923</v>
      </c>
      <c r="J510" s="94" t="s">
        <v>449</v>
      </c>
      <c r="K510" s="95">
        <v>30</v>
      </c>
      <c r="L510" s="95">
        <v>31.4</v>
      </c>
      <c r="M510" s="94"/>
      <c r="N510" s="96">
        <v>412000</v>
      </c>
      <c r="O510" s="95">
        <v>13121</v>
      </c>
      <c r="P510" s="95">
        <v>1</v>
      </c>
      <c r="Q510" s="94" t="s">
        <v>383</v>
      </c>
      <c r="R510" s="95">
        <v>1</v>
      </c>
      <c r="S510" s="95">
        <v>30</v>
      </c>
      <c r="T510" s="95">
        <v>0</v>
      </c>
      <c r="U510" s="95">
        <v>0</v>
      </c>
      <c r="V510" s="95">
        <v>200</v>
      </c>
      <c r="W510" s="95">
        <v>1162</v>
      </c>
      <c r="X510" s="97">
        <v>45134.375</v>
      </c>
      <c r="Y510" s="97">
        <v>45104.375</v>
      </c>
      <c r="Z510" s="97">
        <v>45132.375</v>
      </c>
      <c r="AA510" s="98"/>
    </row>
    <row r="511" spans="1:27" ht="15.75" hidden="1" customHeight="1">
      <c r="A511" s="94" t="s">
        <v>3026</v>
      </c>
      <c r="B511" s="94" t="s">
        <v>485</v>
      </c>
      <c r="C511" s="94" t="s">
        <v>235</v>
      </c>
      <c r="D511" s="95">
        <v>10000</v>
      </c>
      <c r="E511" s="94" t="s">
        <v>431</v>
      </c>
      <c r="F511" s="94" t="s">
        <v>433</v>
      </c>
      <c r="G511" s="95">
        <v>18</v>
      </c>
      <c r="H511" s="94" t="s">
        <v>439</v>
      </c>
      <c r="I511" s="94" t="s">
        <v>6671</v>
      </c>
      <c r="J511" s="94" t="s">
        <v>440</v>
      </c>
      <c r="K511" s="95">
        <v>60</v>
      </c>
      <c r="L511" s="94"/>
      <c r="M511" s="95">
        <v>1300</v>
      </c>
      <c r="N511" s="99" t="s">
        <v>435</v>
      </c>
      <c r="O511" s="94"/>
      <c r="P511" s="95">
        <v>1</v>
      </c>
      <c r="Q511" s="94" t="s">
        <v>436</v>
      </c>
      <c r="R511" s="95">
        <v>0</v>
      </c>
      <c r="S511" s="95">
        <v>0</v>
      </c>
      <c r="T511" s="95">
        <v>462</v>
      </c>
      <c r="U511" s="95">
        <v>93</v>
      </c>
      <c r="V511" s="95">
        <v>962</v>
      </c>
      <c r="W511" s="95">
        <v>1162</v>
      </c>
      <c r="X511" s="97">
        <v>45134.375</v>
      </c>
      <c r="Y511" s="97">
        <v>45104.375</v>
      </c>
      <c r="Z511" s="97">
        <v>45132.375</v>
      </c>
      <c r="AA511" s="98"/>
    </row>
    <row r="512" spans="1:27" ht="15.75" hidden="1" customHeight="1">
      <c r="A512" s="94" t="s">
        <v>3026</v>
      </c>
      <c r="B512" s="94" t="s">
        <v>485</v>
      </c>
      <c r="C512" s="94" t="s">
        <v>235</v>
      </c>
      <c r="D512" s="95">
        <v>10000</v>
      </c>
      <c r="E512" s="94" t="s">
        <v>431</v>
      </c>
      <c r="F512" s="94" t="s">
        <v>433</v>
      </c>
      <c r="G512" s="95">
        <v>19</v>
      </c>
      <c r="H512" s="94" t="s">
        <v>368</v>
      </c>
      <c r="I512" s="94" t="s">
        <v>6236</v>
      </c>
      <c r="J512" s="94" t="s">
        <v>434</v>
      </c>
      <c r="K512" s="95">
        <v>60</v>
      </c>
      <c r="L512" s="94"/>
      <c r="M512" s="95">
        <v>1200</v>
      </c>
      <c r="N512" s="99" t="s">
        <v>435</v>
      </c>
      <c r="O512" s="94"/>
      <c r="P512" s="95">
        <v>4</v>
      </c>
      <c r="Q512" s="94" t="s">
        <v>436</v>
      </c>
      <c r="R512" s="95">
        <v>0</v>
      </c>
      <c r="S512" s="95">
        <v>0</v>
      </c>
      <c r="T512" s="95">
        <v>500</v>
      </c>
      <c r="U512" s="95">
        <v>100</v>
      </c>
      <c r="V512" s="95">
        <v>962</v>
      </c>
      <c r="W512" s="95">
        <v>1162</v>
      </c>
      <c r="X512" s="97">
        <v>45134.375</v>
      </c>
      <c r="Y512" s="97">
        <v>45104.375</v>
      </c>
      <c r="Z512" s="97">
        <v>45132.375</v>
      </c>
      <c r="AA512" s="98"/>
    </row>
    <row r="513" spans="1:27" ht="15.75" hidden="1" customHeight="1">
      <c r="A513" s="94" t="s">
        <v>3029</v>
      </c>
      <c r="B513" s="94" t="s">
        <v>568</v>
      </c>
      <c r="C513" s="94" t="s">
        <v>112</v>
      </c>
      <c r="D513" s="95">
        <v>5000</v>
      </c>
      <c r="E513" s="94" t="s">
        <v>424</v>
      </c>
      <c r="F513" s="94" t="s">
        <v>33</v>
      </c>
      <c r="G513" s="95">
        <v>10</v>
      </c>
      <c r="H513" s="94" t="s">
        <v>11</v>
      </c>
      <c r="I513" s="94" t="s">
        <v>7228</v>
      </c>
      <c r="J513" s="94" t="s">
        <v>426</v>
      </c>
      <c r="K513" s="95">
        <v>75</v>
      </c>
      <c r="L513" s="95">
        <v>370</v>
      </c>
      <c r="M513" s="94"/>
      <c r="N513" s="96">
        <v>100000</v>
      </c>
      <c r="O513" s="95">
        <v>270</v>
      </c>
      <c r="P513" s="95">
        <v>1</v>
      </c>
      <c r="Q513" s="94" t="s">
        <v>383</v>
      </c>
      <c r="R513" s="95">
        <v>19</v>
      </c>
      <c r="S513" s="95">
        <v>1425</v>
      </c>
      <c r="T513" s="95">
        <v>0</v>
      </c>
      <c r="U513" s="95">
        <v>0</v>
      </c>
      <c r="V513" s="95">
        <v>2755</v>
      </c>
      <c r="W513" s="95">
        <v>3907</v>
      </c>
      <c r="X513" s="97">
        <v>45152.375</v>
      </c>
      <c r="Y513" s="97">
        <v>45134.375</v>
      </c>
      <c r="Z513" s="97">
        <v>45147.375</v>
      </c>
      <c r="AA513" s="98"/>
    </row>
    <row r="514" spans="1:27" ht="15.75" hidden="1" customHeight="1">
      <c r="A514" s="94" t="s">
        <v>3029</v>
      </c>
      <c r="B514" s="94" t="s">
        <v>568</v>
      </c>
      <c r="C514" s="94" t="s">
        <v>112</v>
      </c>
      <c r="D514" s="95">
        <v>5000</v>
      </c>
      <c r="E514" s="94" t="s">
        <v>424</v>
      </c>
      <c r="F514" s="94" t="s">
        <v>33</v>
      </c>
      <c r="G514" s="95">
        <v>11</v>
      </c>
      <c r="H514" s="94" t="s">
        <v>12</v>
      </c>
      <c r="I514" s="94" t="s">
        <v>6923</v>
      </c>
      <c r="J514" s="94" t="s">
        <v>444</v>
      </c>
      <c r="K514" s="95">
        <v>60</v>
      </c>
      <c r="L514" s="95">
        <v>370</v>
      </c>
      <c r="M514" s="94"/>
      <c r="N514" s="95">
        <v>100000</v>
      </c>
      <c r="O514" s="95">
        <v>270</v>
      </c>
      <c r="P514" s="95">
        <v>1</v>
      </c>
      <c r="Q514" s="94" t="s">
        <v>383</v>
      </c>
      <c r="R514" s="95">
        <v>19</v>
      </c>
      <c r="S514" s="95">
        <v>1140</v>
      </c>
      <c r="T514" s="95">
        <v>0</v>
      </c>
      <c r="U514" s="95">
        <v>0</v>
      </c>
      <c r="V514" s="95">
        <v>2755</v>
      </c>
      <c r="W514" s="95">
        <v>3907</v>
      </c>
      <c r="X514" s="97">
        <v>45152.375</v>
      </c>
      <c r="Y514" s="97">
        <v>45134.375</v>
      </c>
      <c r="Z514" s="97">
        <v>45147.375</v>
      </c>
      <c r="AA514" s="98"/>
    </row>
    <row r="515" spans="1:27" ht="15.75" hidden="1" customHeight="1">
      <c r="A515" s="94" t="s">
        <v>3029</v>
      </c>
      <c r="B515" s="94" t="s">
        <v>568</v>
      </c>
      <c r="C515" s="94" t="s">
        <v>112</v>
      </c>
      <c r="D515" s="95">
        <v>5000</v>
      </c>
      <c r="E515" s="94" t="s">
        <v>424</v>
      </c>
      <c r="F515" s="94" t="s">
        <v>33</v>
      </c>
      <c r="G515" s="95">
        <v>12</v>
      </c>
      <c r="H515" s="94" t="s">
        <v>13</v>
      </c>
      <c r="I515" s="94" t="s">
        <v>6923</v>
      </c>
      <c r="J515" s="94" t="s">
        <v>444</v>
      </c>
      <c r="K515" s="95">
        <v>10</v>
      </c>
      <c r="L515" s="95">
        <v>370</v>
      </c>
      <c r="M515" s="94"/>
      <c r="N515" s="95">
        <v>100000</v>
      </c>
      <c r="O515" s="95">
        <v>270</v>
      </c>
      <c r="P515" s="95">
        <v>1</v>
      </c>
      <c r="Q515" s="94" t="s">
        <v>383</v>
      </c>
      <c r="R515" s="95">
        <v>19</v>
      </c>
      <c r="S515" s="95">
        <v>190</v>
      </c>
      <c r="T515" s="95">
        <v>0</v>
      </c>
      <c r="U515" s="95">
        <v>0</v>
      </c>
      <c r="V515" s="95">
        <v>2755</v>
      </c>
      <c r="W515" s="95">
        <v>3907</v>
      </c>
      <c r="X515" s="97">
        <v>45152.375</v>
      </c>
      <c r="Y515" s="97">
        <v>45134.375</v>
      </c>
      <c r="Z515" s="97">
        <v>45147.375</v>
      </c>
      <c r="AA515" s="98"/>
    </row>
    <row r="516" spans="1:27" ht="15.75" hidden="1" customHeight="1">
      <c r="A516" s="94" t="s">
        <v>3029</v>
      </c>
      <c r="B516" s="94" t="s">
        <v>568</v>
      </c>
      <c r="C516" s="94" t="s">
        <v>112</v>
      </c>
      <c r="D516" s="95">
        <v>5000</v>
      </c>
      <c r="E516" s="94" t="s">
        <v>431</v>
      </c>
      <c r="F516" s="94" t="s">
        <v>433</v>
      </c>
      <c r="G516" s="95">
        <v>18</v>
      </c>
      <c r="H516" s="94" t="s">
        <v>439</v>
      </c>
      <c r="I516" s="94" t="s">
        <v>6671</v>
      </c>
      <c r="J516" s="94" t="s">
        <v>440</v>
      </c>
      <c r="K516" s="95">
        <v>60</v>
      </c>
      <c r="L516" s="94"/>
      <c r="M516" s="95">
        <v>570</v>
      </c>
      <c r="N516" s="99" t="s">
        <v>435</v>
      </c>
      <c r="O516" s="94"/>
      <c r="P516" s="95">
        <v>1</v>
      </c>
      <c r="Q516" s="94" t="s">
        <v>436</v>
      </c>
      <c r="R516" s="95">
        <v>0</v>
      </c>
      <c r="S516" s="95">
        <v>0</v>
      </c>
      <c r="T516" s="95">
        <v>527</v>
      </c>
      <c r="U516" s="95">
        <v>106</v>
      </c>
      <c r="V516" s="95">
        <v>1152</v>
      </c>
      <c r="W516" s="95">
        <v>3907</v>
      </c>
      <c r="X516" s="97">
        <v>45152.375</v>
      </c>
      <c r="Y516" s="97">
        <v>45134.375</v>
      </c>
      <c r="Z516" s="97">
        <v>45147.375</v>
      </c>
      <c r="AA516" s="98"/>
    </row>
    <row r="517" spans="1:27" ht="15.75" hidden="1" customHeight="1">
      <c r="A517" s="94" t="s">
        <v>3029</v>
      </c>
      <c r="B517" s="94" t="s">
        <v>568</v>
      </c>
      <c r="C517" s="94" t="s">
        <v>112</v>
      </c>
      <c r="D517" s="95">
        <v>5000</v>
      </c>
      <c r="E517" s="94" t="s">
        <v>431</v>
      </c>
      <c r="F517" s="94" t="s">
        <v>433</v>
      </c>
      <c r="G517" s="95">
        <v>19</v>
      </c>
      <c r="H517" s="94" t="s">
        <v>368</v>
      </c>
      <c r="I517" s="94" t="s">
        <v>6236</v>
      </c>
      <c r="J517" s="94" t="s">
        <v>434</v>
      </c>
      <c r="K517" s="95">
        <v>60</v>
      </c>
      <c r="L517" s="94"/>
      <c r="M517" s="95">
        <v>480</v>
      </c>
      <c r="N517" s="94" t="s">
        <v>435</v>
      </c>
      <c r="O517" s="94"/>
      <c r="P517" s="95">
        <v>4</v>
      </c>
      <c r="Q517" s="94" t="s">
        <v>436</v>
      </c>
      <c r="R517" s="95">
        <v>0</v>
      </c>
      <c r="S517" s="95">
        <v>0</v>
      </c>
      <c r="T517" s="95">
        <v>625</v>
      </c>
      <c r="U517" s="95">
        <v>125</v>
      </c>
      <c r="V517" s="95">
        <v>1152</v>
      </c>
      <c r="W517" s="95">
        <v>3907</v>
      </c>
      <c r="X517" s="97">
        <v>45152.375</v>
      </c>
      <c r="Y517" s="97">
        <v>45134.375</v>
      </c>
      <c r="Z517" s="97">
        <v>45147.375</v>
      </c>
      <c r="AA517" s="98"/>
    </row>
    <row r="518" spans="1:27" ht="15.75" hidden="1" customHeight="1">
      <c r="A518" s="94" t="s">
        <v>3018</v>
      </c>
      <c r="B518" s="94" t="s">
        <v>671</v>
      </c>
      <c r="C518" s="94" t="s">
        <v>310</v>
      </c>
      <c r="D518" s="95">
        <v>5000</v>
      </c>
      <c r="E518" s="94" t="s">
        <v>442</v>
      </c>
      <c r="F518" s="94" t="s">
        <v>40</v>
      </c>
      <c r="G518" s="95">
        <v>1</v>
      </c>
      <c r="H518" s="94" t="s">
        <v>11</v>
      </c>
      <c r="I518" s="94" t="s">
        <v>7228</v>
      </c>
      <c r="J518" s="94" t="s">
        <v>426</v>
      </c>
      <c r="K518" s="95">
        <v>55</v>
      </c>
      <c r="L518" s="95">
        <v>30.6</v>
      </c>
      <c r="M518" s="94"/>
      <c r="N518" s="95">
        <v>378000</v>
      </c>
      <c r="O518" s="95">
        <v>12352</v>
      </c>
      <c r="P518" s="95">
        <v>1</v>
      </c>
      <c r="Q518" s="94" t="s">
        <v>383</v>
      </c>
      <c r="R518" s="95">
        <v>1</v>
      </c>
      <c r="S518" s="95">
        <v>55</v>
      </c>
      <c r="T518" s="95">
        <v>0</v>
      </c>
      <c r="U518" s="95">
        <v>0</v>
      </c>
      <c r="V518" s="95">
        <v>185</v>
      </c>
      <c r="W518" s="95">
        <v>616</v>
      </c>
      <c r="X518" s="97">
        <v>45113.375</v>
      </c>
      <c r="Y518" s="97">
        <v>45076.375</v>
      </c>
      <c r="Z518" s="97">
        <v>45062.375</v>
      </c>
      <c r="AA518" s="98"/>
    </row>
    <row r="519" spans="1:27" ht="15.75" hidden="1" customHeight="1">
      <c r="A519" s="94" t="s">
        <v>3018</v>
      </c>
      <c r="B519" s="94" t="s">
        <v>671</v>
      </c>
      <c r="C519" s="94" t="s">
        <v>310</v>
      </c>
      <c r="D519" s="95">
        <v>5000</v>
      </c>
      <c r="E519" s="94" t="s">
        <v>442</v>
      </c>
      <c r="F519" s="94" t="s">
        <v>40</v>
      </c>
      <c r="G519" s="95">
        <v>2</v>
      </c>
      <c r="H519" s="94" t="s">
        <v>12</v>
      </c>
      <c r="I519" s="94" t="s">
        <v>6923</v>
      </c>
      <c r="J519" s="94" t="s">
        <v>449</v>
      </c>
      <c r="K519" s="95">
        <v>100</v>
      </c>
      <c r="L519" s="95">
        <v>30.6</v>
      </c>
      <c r="M519" s="94"/>
      <c r="N519" s="95">
        <v>378000</v>
      </c>
      <c r="O519" s="95">
        <v>12352</v>
      </c>
      <c r="P519" s="95">
        <v>1</v>
      </c>
      <c r="Q519" s="94" t="s">
        <v>383</v>
      </c>
      <c r="R519" s="95">
        <v>1</v>
      </c>
      <c r="S519" s="95">
        <v>100</v>
      </c>
      <c r="T519" s="95">
        <v>0</v>
      </c>
      <c r="U519" s="95">
        <v>0</v>
      </c>
      <c r="V519" s="95">
        <v>185</v>
      </c>
      <c r="W519" s="95">
        <v>616</v>
      </c>
      <c r="X519" s="97">
        <v>45113.375</v>
      </c>
      <c r="Y519" s="97">
        <v>45076.375</v>
      </c>
      <c r="Z519" s="97">
        <v>45062.375</v>
      </c>
      <c r="AA519" s="98"/>
    </row>
    <row r="520" spans="1:27" ht="15.75" hidden="1" customHeight="1">
      <c r="A520" s="94" t="s">
        <v>3018</v>
      </c>
      <c r="B520" s="94" t="s">
        <v>671</v>
      </c>
      <c r="C520" s="94" t="s">
        <v>310</v>
      </c>
      <c r="D520" s="95">
        <v>5000</v>
      </c>
      <c r="E520" s="94" t="s">
        <v>442</v>
      </c>
      <c r="F520" s="94" t="s">
        <v>40</v>
      </c>
      <c r="G520" s="95">
        <v>3</v>
      </c>
      <c r="H520" s="94" t="s">
        <v>13</v>
      </c>
      <c r="I520" s="94" t="s">
        <v>6923</v>
      </c>
      <c r="J520" s="94" t="s">
        <v>449</v>
      </c>
      <c r="K520" s="95">
        <v>30</v>
      </c>
      <c r="L520" s="95">
        <v>30.6</v>
      </c>
      <c r="M520" s="94"/>
      <c r="N520" s="96">
        <v>378000</v>
      </c>
      <c r="O520" s="95">
        <v>12352</v>
      </c>
      <c r="P520" s="95">
        <v>1</v>
      </c>
      <c r="Q520" s="94" t="s">
        <v>383</v>
      </c>
      <c r="R520" s="95">
        <v>1</v>
      </c>
      <c r="S520" s="95">
        <v>30</v>
      </c>
      <c r="T520" s="95">
        <v>0</v>
      </c>
      <c r="U520" s="95">
        <v>0</v>
      </c>
      <c r="V520" s="95">
        <v>185</v>
      </c>
      <c r="W520" s="95">
        <v>616</v>
      </c>
      <c r="X520" s="97">
        <v>45113.375</v>
      </c>
      <c r="Y520" s="97">
        <v>45076.375</v>
      </c>
      <c r="Z520" s="97">
        <v>45062.375</v>
      </c>
      <c r="AA520" s="98"/>
    </row>
    <row r="521" spans="1:27" ht="15.75" hidden="1" customHeight="1">
      <c r="A521" s="94" t="s">
        <v>3018</v>
      </c>
      <c r="B521" s="94" t="s">
        <v>671</v>
      </c>
      <c r="C521" s="94" t="s">
        <v>310</v>
      </c>
      <c r="D521" s="95">
        <v>5000</v>
      </c>
      <c r="E521" s="94" t="s">
        <v>431</v>
      </c>
      <c r="F521" s="94" t="s">
        <v>433</v>
      </c>
      <c r="G521" s="95">
        <v>18</v>
      </c>
      <c r="H521" s="94" t="s">
        <v>439</v>
      </c>
      <c r="I521" s="94" t="s">
        <v>6671</v>
      </c>
      <c r="J521" s="94" t="s">
        <v>440</v>
      </c>
      <c r="K521" s="95">
        <v>60</v>
      </c>
      <c r="L521" s="94"/>
      <c r="M521" s="95">
        <v>1500</v>
      </c>
      <c r="N521" s="99" t="s">
        <v>435</v>
      </c>
      <c r="O521" s="94"/>
      <c r="P521" s="95">
        <v>1</v>
      </c>
      <c r="Q521" s="94" t="s">
        <v>436</v>
      </c>
      <c r="R521" s="95">
        <v>0</v>
      </c>
      <c r="S521" s="95">
        <v>0</v>
      </c>
      <c r="T521" s="95">
        <v>200</v>
      </c>
      <c r="U521" s="95">
        <v>40</v>
      </c>
      <c r="V521" s="95">
        <v>431</v>
      </c>
      <c r="W521" s="95">
        <v>616</v>
      </c>
      <c r="X521" s="97">
        <v>45113.375</v>
      </c>
      <c r="Y521" s="97">
        <v>45076.375</v>
      </c>
      <c r="Z521" s="97">
        <v>45062.375</v>
      </c>
      <c r="AA521" s="98"/>
    </row>
    <row r="522" spans="1:27" ht="15.75" hidden="1" customHeight="1">
      <c r="A522" s="94" t="s">
        <v>3018</v>
      </c>
      <c r="B522" s="94" t="s">
        <v>671</v>
      </c>
      <c r="C522" s="94" t="s">
        <v>310</v>
      </c>
      <c r="D522" s="95">
        <v>5000</v>
      </c>
      <c r="E522" s="94" t="s">
        <v>431</v>
      </c>
      <c r="F522" s="94" t="s">
        <v>433</v>
      </c>
      <c r="G522" s="95">
        <v>19</v>
      </c>
      <c r="H522" s="94" t="s">
        <v>368</v>
      </c>
      <c r="I522" s="94" t="s">
        <v>6236</v>
      </c>
      <c r="J522" s="94" t="s">
        <v>434</v>
      </c>
      <c r="K522" s="95">
        <v>60</v>
      </c>
      <c r="L522" s="94"/>
      <c r="M522" s="95">
        <v>1300</v>
      </c>
      <c r="N522" s="99" t="s">
        <v>435</v>
      </c>
      <c r="O522" s="94"/>
      <c r="P522" s="95">
        <v>4</v>
      </c>
      <c r="Q522" s="94" t="s">
        <v>436</v>
      </c>
      <c r="R522" s="95">
        <v>0</v>
      </c>
      <c r="S522" s="95">
        <v>0</v>
      </c>
      <c r="T522" s="95">
        <v>231</v>
      </c>
      <c r="U522" s="95">
        <v>47</v>
      </c>
      <c r="V522" s="95">
        <v>431</v>
      </c>
      <c r="W522" s="95">
        <v>616</v>
      </c>
      <c r="X522" s="97">
        <v>45113.375</v>
      </c>
      <c r="Y522" s="97">
        <v>45076.375</v>
      </c>
      <c r="Z522" s="97">
        <v>45062.375</v>
      </c>
      <c r="AA522" s="98"/>
    </row>
    <row r="523" spans="1:27" ht="15.75" hidden="1" customHeight="1">
      <c r="A523" s="94" t="s">
        <v>2850</v>
      </c>
      <c r="B523" s="94" t="s">
        <v>470</v>
      </c>
      <c r="C523" s="94" t="s">
        <v>88</v>
      </c>
      <c r="D523" s="95">
        <v>5000</v>
      </c>
      <c r="E523" s="94" t="s">
        <v>442</v>
      </c>
      <c r="F523" s="94" t="s">
        <v>40</v>
      </c>
      <c r="G523" s="95">
        <v>1</v>
      </c>
      <c r="H523" s="94" t="s">
        <v>11</v>
      </c>
      <c r="I523" s="94" t="s">
        <v>7228</v>
      </c>
      <c r="J523" s="94" t="s">
        <v>426</v>
      </c>
      <c r="K523" s="95">
        <v>25</v>
      </c>
      <c r="L523" s="95">
        <v>30.6</v>
      </c>
      <c r="M523" s="94"/>
      <c r="N523" s="95">
        <v>170000</v>
      </c>
      <c r="O523" s="95">
        <v>5555</v>
      </c>
      <c r="P523" s="95">
        <v>1</v>
      </c>
      <c r="Q523" s="94" t="s">
        <v>383</v>
      </c>
      <c r="R523" s="95">
        <v>1</v>
      </c>
      <c r="S523" s="95">
        <v>25</v>
      </c>
      <c r="T523" s="95">
        <v>0</v>
      </c>
      <c r="U523" s="95">
        <v>0</v>
      </c>
      <c r="V523" s="95">
        <v>125</v>
      </c>
      <c r="W523" s="95">
        <v>513</v>
      </c>
      <c r="X523" s="97">
        <v>45135.375</v>
      </c>
      <c r="Y523" s="97">
        <v>45114.375</v>
      </c>
      <c r="Z523" s="97">
        <v>45132.375</v>
      </c>
      <c r="AA523" s="98"/>
    </row>
    <row r="524" spans="1:27" ht="15.75" hidden="1" customHeight="1">
      <c r="A524" s="94" t="s">
        <v>2850</v>
      </c>
      <c r="B524" s="94" t="s">
        <v>470</v>
      </c>
      <c r="C524" s="94" t="s">
        <v>88</v>
      </c>
      <c r="D524" s="95">
        <v>5000</v>
      </c>
      <c r="E524" s="94" t="s">
        <v>442</v>
      </c>
      <c r="F524" s="94" t="s">
        <v>40</v>
      </c>
      <c r="G524" s="95">
        <v>2</v>
      </c>
      <c r="H524" s="94" t="s">
        <v>12</v>
      </c>
      <c r="I524" s="94" t="s">
        <v>6923</v>
      </c>
      <c r="J524" s="94" t="s">
        <v>449</v>
      </c>
      <c r="K524" s="95">
        <v>70</v>
      </c>
      <c r="L524" s="95">
        <v>30.6</v>
      </c>
      <c r="M524" s="94"/>
      <c r="N524" s="95">
        <v>170000</v>
      </c>
      <c r="O524" s="95">
        <v>5555</v>
      </c>
      <c r="P524" s="95">
        <v>1</v>
      </c>
      <c r="Q524" s="94" t="s">
        <v>383</v>
      </c>
      <c r="R524" s="95">
        <v>1</v>
      </c>
      <c r="S524" s="95">
        <v>70</v>
      </c>
      <c r="T524" s="95">
        <v>0</v>
      </c>
      <c r="U524" s="95">
        <v>0</v>
      </c>
      <c r="V524" s="95">
        <v>125</v>
      </c>
      <c r="W524" s="95">
        <v>513</v>
      </c>
      <c r="X524" s="97">
        <v>45135.375</v>
      </c>
      <c r="Y524" s="97">
        <v>45114.375</v>
      </c>
      <c r="Z524" s="97">
        <v>45132.375</v>
      </c>
      <c r="AA524" s="98"/>
    </row>
    <row r="525" spans="1:27" ht="15.75" hidden="1" customHeight="1">
      <c r="A525" s="94" t="s">
        <v>2850</v>
      </c>
      <c r="B525" s="94" t="s">
        <v>470</v>
      </c>
      <c r="C525" s="94" t="s">
        <v>88</v>
      </c>
      <c r="D525" s="95">
        <v>5000</v>
      </c>
      <c r="E525" s="94" t="s">
        <v>442</v>
      </c>
      <c r="F525" s="94" t="s">
        <v>40</v>
      </c>
      <c r="G525" s="95">
        <v>3</v>
      </c>
      <c r="H525" s="94" t="s">
        <v>13</v>
      </c>
      <c r="I525" s="94" t="s">
        <v>6923</v>
      </c>
      <c r="J525" s="94" t="s">
        <v>449</v>
      </c>
      <c r="K525" s="95">
        <v>30</v>
      </c>
      <c r="L525" s="95">
        <v>30.6</v>
      </c>
      <c r="M525" s="94"/>
      <c r="N525" s="96">
        <v>170000</v>
      </c>
      <c r="O525" s="95">
        <v>5555</v>
      </c>
      <c r="P525" s="95">
        <v>1</v>
      </c>
      <c r="Q525" s="94" t="s">
        <v>383</v>
      </c>
      <c r="R525" s="95">
        <v>1</v>
      </c>
      <c r="S525" s="95">
        <v>30</v>
      </c>
      <c r="T525" s="95">
        <v>0</v>
      </c>
      <c r="U525" s="95">
        <v>0</v>
      </c>
      <c r="V525" s="95">
        <v>125</v>
      </c>
      <c r="W525" s="95">
        <v>513</v>
      </c>
      <c r="X525" s="97">
        <v>45135.375</v>
      </c>
      <c r="Y525" s="97">
        <v>45114.375</v>
      </c>
      <c r="Z525" s="97">
        <v>45132.375</v>
      </c>
      <c r="AA525" s="98"/>
    </row>
    <row r="526" spans="1:27" ht="15.75" hidden="1" customHeight="1">
      <c r="A526" s="94" t="s">
        <v>2850</v>
      </c>
      <c r="B526" s="94" t="s">
        <v>470</v>
      </c>
      <c r="C526" s="94" t="s">
        <v>88</v>
      </c>
      <c r="D526" s="95">
        <v>5000</v>
      </c>
      <c r="E526" s="94" t="s">
        <v>431</v>
      </c>
      <c r="F526" s="94" t="s">
        <v>433</v>
      </c>
      <c r="G526" s="95">
        <v>18</v>
      </c>
      <c r="H526" s="94" t="s">
        <v>439</v>
      </c>
      <c r="I526" s="94" t="s">
        <v>6671</v>
      </c>
      <c r="J526" s="94" t="s">
        <v>440</v>
      </c>
      <c r="K526" s="95">
        <v>60</v>
      </c>
      <c r="L526" s="94"/>
      <c r="M526" s="95">
        <v>1600</v>
      </c>
      <c r="N526" s="99" t="s">
        <v>435</v>
      </c>
      <c r="O526" s="94"/>
      <c r="P526" s="95">
        <v>1</v>
      </c>
      <c r="Q526" s="94" t="s">
        <v>436</v>
      </c>
      <c r="R526" s="95">
        <v>0</v>
      </c>
      <c r="S526" s="95">
        <v>0</v>
      </c>
      <c r="T526" s="95">
        <v>188</v>
      </c>
      <c r="U526" s="95">
        <v>38</v>
      </c>
      <c r="V526" s="95">
        <v>388</v>
      </c>
      <c r="W526" s="95">
        <v>513</v>
      </c>
      <c r="X526" s="97">
        <v>45135.375</v>
      </c>
      <c r="Y526" s="97">
        <v>45114.375</v>
      </c>
      <c r="Z526" s="97">
        <v>45132.375</v>
      </c>
      <c r="AA526" s="98"/>
    </row>
    <row r="527" spans="1:27" ht="15.75" hidden="1" customHeight="1">
      <c r="A527" s="94" t="s">
        <v>2850</v>
      </c>
      <c r="B527" s="94" t="s">
        <v>470</v>
      </c>
      <c r="C527" s="94" t="s">
        <v>88</v>
      </c>
      <c r="D527" s="95">
        <v>5000</v>
      </c>
      <c r="E527" s="94" t="s">
        <v>431</v>
      </c>
      <c r="F527" s="94" t="s">
        <v>433</v>
      </c>
      <c r="G527" s="95">
        <v>19</v>
      </c>
      <c r="H527" s="94" t="s">
        <v>368</v>
      </c>
      <c r="I527" s="94" t="s">
        <v>6236</v>
      </c>
      <c r="J527" s="94" t="s">
        <v>434</v>
      </c>
      <c r="K527" s="95">
        <v>60</v>
      </c>
      <c r="L527" s="94"/>
      <c r="M527" s="95">
        <v>1500</v>
      </c>
      <c r="N527" s="99" t="s">
        <v>435</v>
      </c>
      <c r="O527" s="94"/>
      <c r="P527" s="95">
        <v>3</v>
      </c>
      <c r="Q527" s="94" t="s">
        <v>436</v>
      </c>
      <c r="R527" s="95">
        <v>0</v>
      </c>
      <c r="S527" s="95">
        <v>0</v>
      </c>
      <c r="T527" s="95">
        <v>200</v>
      </c>
      <c r="U527" s="95">
        <v>40</v>
      </c>
      <c r="V527" s="95">
        <v>388</v>
      </c>
      <c r="W527" s="95">
        <v>513</v>
      </c>
      <c r="X527" s="97">
        <v>45135.375</v>
      </c>
      <c r="Y527" s="97">
        <v>45114.375</v>
      </c>
      <c r="Z527" s="97">
        <v>45132.375</v>
      </c>
      <c r="AA527" s="98"/>
    </row>
    <row r="528" spans="1:27" ht="15.75" customHeight="1">
      <c r="A528" s="94" t="s">
        <v>6384</v>
      </c>
      <c r="B528" s="94" t="s">
        <v>787</v>
      </c>
      <c r="C528" s="94" t="s">
        <v>66</v>
      </c>
      <c r="D528" s="95">
        <v>30000</v>
      </c>
      <c r="E528" s="94" t="s">
        <v>442</v>
      </c>
      <c r="F528" s="94" t="s">
        <v>33</v>
      </c>
      <c r="G528" s="95">
        <v>10</v>
      </c>
      <c r="H528" s="94" t="s">
        <v>11</v>
      </c>
      <c r="I528" s="94" t="s">
        <v>7228</v>
      </c>
      <c r="J528" s="94" t="s">
        <v>426</v>
      </c>
      <c r="K528" s="95">
        <v>100</v>
      </c>
      <c r="L528" s="95">
        <v>30.6</v>
      </c>
      <c r="M528" s="94"/>
      <c r="N528" s="95">
        <v>101700</v>
      </c>
      <c r="O528" s="95">
        <v>3323</v>
      </c>
      <c r="P528" s="95">
        <v>1</v>
      </c>
      <c r="Q528" s="94" t="s">
        <v>383</v>
      </c>
      <c r="R528" s="95">
        <v>10</v>
      </c>
      <c r="S528" s="95">
        <v>1000</v>
      </c>
      <c r="T528" s="95">
        <v>0</v>
      </c>
      <c r="U528" s="95">
        <v>0</v>
      </c>
      <c r="V528" s="95">
        <v>2650</v>
      </c>
      <c r="W528" s="95">
        <v>9608</v>
      </c>
      <c r="X528" s="97">
        <v>45118.375</v>
      </c>
      <c r="Y528" s="97">
        <v>44973.375</v>
      </c>
      <c r="Z528" s="97">
        <v>45028.375</v>
      </c>
      <c r="AA528" s="98"/>
    </row>
    <row r="529" spans="1:27" ht="15.75" customHeight="1">
      <c r="A529" s="94" t="s">
        <v>6384</v>
      </c>
      <c r="B529" s="94" t="s">
        <v>787</v>
      </c>
      <c r="C529" s="94" t="s">
        <v>66</v>
      </c>
      <c r="D529" s="95">
        <v>30000</v>
      </c>
      <c r="E529" s="94" t="s">
        <v>442</v>
      </c>
      <c r="F529" s="94" t="s">
        <v>33</v>
      </c>
      <c r="G529" s="95">
        <v>11</v>
      </c>
      <c r="H529" s="94" t="s">
        <v>12</v>
      </c>
      <c r="I529" s="94" t="s">
        <v>6923</v>
      </c>
      <c r="J529" s="94" t="s">
        <v>444</v>
      </c>
      <c r="K529" s="95">
        <v>115</v>
      </c>
      <c r="L529" s="95">
        <v>30.6</v>
      </c>
      <c r="M529" s="94"/>
      <c r="N529" s="95">
        <v>101700</v>
      </c>
      <c r="O529" s="95">
        <v>3323</v>
      </c>
      <c r="P529" s="95">
        <v>1</v>
      </c>
      <c r="Q529" s="94" t="s">
        <v>383</v>
      </c>
      <c r="R529" s="95">
        <v>10</v>
      </c>
      <c r="S529" s="95">
        <v>1150</v>
      </c>
      <c r="T529" s="95">
        <v>0</v>
      </c>
      <c r="U529" s="95">
        <v>0</v>
      </c>
      <c r="V529" s="95">
        <v>2650</v>
      </c>
      <c r="W529" s="95">
        <v>9608</v>
      </c>
      <c r="X529" s="97">
        <v>45118.375</v>
      </c>
      <c r="Y529" s="97">
        <v>44973.375</v>
      </c>
      <c r="Z529" s="97">
        <v>45028.375</v>
      </c>
      <c r="AA529" s="98"/>
    </row>
    <row r="530" spans="1:27" ht="15.75" customHeight="1">
      <c r="A530" s="94" t="s">
        <v>6384</v>
      </c>
      <c r="B530" s="94" t="s">
        <v>787</v>
      </c>
      <c r="C530" s="94" t="s">
        <v>66</v>
      </c>
      <c r="D530" s="95">
        <v>30000</v>
      </c>
      <c r="E530" s="94" t="s">
        <v>442</v>
      </c>
      <c r="F530" s="94" t="s">
        <v>33</v>
      </c>
      <c r="G530" s="95">
        <v>12</v>
      </c>
      <c r="H530" s="94" t="s">
        <v>13</v>
      </c>
      <c r="I530" s="94" t="s">
        <v>6923</v>
      </c>
      <c r="J530" s="94" t="s">
        <v>444</v>
      </c>
      <c r="K530" s="95">
        <v>50</v>
      </c>
      <c r="L530" s="95">
        <v>30.6</v>
      </c>
      <c r="M530" s="94"/>
      <c r="N530" s="95">
        <v>101700</v>
      </c>
      <c r="O530" s="95">
        <v>3323</v>
      </c>
      <c r="P530" s="95">
        <v>1</v>
      </c>
      <c r="Q530" s="94" t="s">
        <v>383</v>
      </c>
      <c r="R530" s="95">
        <v>10</v>
      </c>
      <c r="S530" s="95">
        <v>500</v>
      </c>
      <c r="T530" s="95">
        <v>0</v>
      </c>
      <c r="U530" s="95">
        <v>0</v>
      </c>
      <c r="V530" s="95">
        <v>2650</v>
      </c>
      <c r="W530" s="95">
        <v>9608</v>
      </c>
      <c r="X530" s="97">
        <v>45118.375</v>
      </c>
      <c r="Y530" s="97">
        <v>44973.375</v>
      </c>
      <c r="Z530" s="97">
        <v>45028.375</v>
      </c>
      <c r="AA530" s="98"/>
    </row>
    <row r="531" spans="1:27" ht="15.75" hidden="1" customHeight="1">
      <c r="A531" s="94" t="s">
        <v>2946</v>
      </c>
      <c r="B531" s="94" t="s">
        <v>896</v>
      </c>
      <c r="C531" s="94" t="s">
        <v>317</v>
      </c>
      <c r="D531" s="95">
        <v>3000</v>
      </c>
      <c r="E531" s="94" t="s">
        <v>442</v>
      </c>
      <c r="F531" s="94" t="s">
        <v>33</v>
      </c>
      <c r="G531" s="95">
        <v>10</v>
      </c>
      <c r="H531" s="94" t="s">
        <v>11</v>
      </c>
      <c r="I531" s="94" t="s">
        <v>7228</v>
      </c>
      <c r="J531" s="94" t="s">
        <v>426</v>
      </c>
      <c r="K531" s="95">
        <v>20</v>
      </c>
      <c r="L531" s="95">
        <v>16.5</v>
      </c>
      <c r="M531" s="94"/>
      <c r="N531" s="96">
        <v>100000</v>
      </c>
      <c r="O531" s="95">
        <v>6060</v>
      </c>
      <c r="P531" s="95">
        <v>1</v>
      </c>
      <c r="Q531" s="94" t="s">
        <v>383</v>
      </c>
      <c r="R531" s="95">
        <v>1</v>
      </c>
      <c r="S531" s="95">
        <v>20</v>
      </c>
      <c r="T531" s="95">
        <v>0</v>
      </c>
      <c r="U531" s="95">
        <v>0</v>
      </c>
      <c r="V531" s="95">
        <v>120</v>
      </c>
      <c r="W531" s="95">
        <v>557</v>
      </c>
      <c r="X531" s="97">
        <v>45154.375</v>
      </c>
      <c r="Y531" s="97">
        <v>45071.375</v>
      </c>
      <c r="Z531" s="97">
        <v>45149.375</v>
      </c>
      <c r="AA531" s="98"/>
    </row>
    <row r="532" spans="1:27" ht="15.75" hidden="1" customHeight="1">
      <c r="A532" s="94" t="s">
        <v>2946</v>
      </c>
      <c r="B532" s="94" t="s">
        <v>896</v>
      </c>
      <c r="C532" s="94" t="s">
        <v>317</v>
      </c>
      <c r="D532" s="95">
        <v>3000</v>
      </c>
      <c r="E532" s="94" t="s">
        <v>442</v>
      </c>
      <c r="F532" s="94" t="s">
        <v>33</v>
      </c>
      <c r="G532" s="95">
        <v>11</v>
      </c>
      <c r="H532" s="94" t="s">
        <v>12</v>
      </c>
      <c r="I532" s="94" t="s">
        <v>6923</v>
      </c>
      <c r="J532" s="94" t="s">
        <v>444</v>
      </c>
      <c r="K532" s="95">
        <v>85</v>
      </c>
      <c r="L532" s="95">
        <v>16.5</v>
      </c>
      <c r="M532" s="94"/>
      <c r="N532" s="96">
        <v>100000</v>
      </c>
      <c r="O532" s="95">
        <v>6060</v>
      </c>
      <c r="P532" s="95">
        <v>1</v>
      </c>
      <c r="Q532" s="94" t="s">
        <v>383</v>
      </c>
      <c r="R532" s="95">
        <v>1</v>
      </c>
      <c r="S532" s="95">
        <v>85</v>
      </c>
      <c r="T532" s="95">
        <v>0</v>
      </c>
      <c r="U532" s="95">
        <v>0</v>
      </c>
      <c r="V532" s="95">
        <v>120</v>
      </c>
      <c r="W532" s="95">
        <v>557</v>
      </c>
      <c r="X532" s="97">
        <v>45154.375</v>
      </c>
      <c r="Y532" s="97">
        <v>45071.375</v>
      </c>
      <c r="Z532" s="97">
        <v>45149.375</v>
      </c>
      <c r="AA532" s="98"/>
    </row>
    <row r="533" spans="1:27" ht="15.75" hidden="1" customHeight="1">
      <c r="A533" s="94" t="s">
        <v>2946</v>
      </c>
      <c r="B533" s="94" t="s">
        <v>896</v>
      </c>
      <c r="C533" s="94" t="s">
        <v>317</v>
      </c>
      <c r="D533" s="95">
        <v>3000</v>
      </c>
      <c r="E533" s="94" t="s">
        <v>442</v>
      </c>
      <c r="F533" s="94" t="s">
        <v>33</v>
      </c>
      <c r="G533" s="95">
        <v>12</v>
      </c>
      <c r="H533" s="94" t="s">
        <v>13</v>
      </c>
      <c r="I533" s="94" t="s">
        <v>6923</v>
      </c>
      <c r="J533" s="94" t="s">
        <v>444</v>
      </c>
      <c r="K533" s="95">
        <v>15</v>
      </c>
      <c r="L533" s="95">
        <v>16.5</v>
      </c>
      <c r="M533" s="94"/>
      <c r="N533" s="96">
        <v>100000</v>
      </c>
      <c r="O533" s="95">
        <v>6060</v>
      </c>
      <c r="P533" s="95">
        <v>1</v>
      </c>
      <c r="Q533" s="94" t="s">
        <v>383</v>
      </c>
      <c r="R533" s="95">
        <v>1</v>
      </c>
      <c r="S533" s="95">
        <v>15</v>
      </c>
      <c r="T533" s="95">
        <v>0</v>
      </c>
      <c r="U533" s="95">
        <v>0</v>
      </c>
      <c r="V533" s="95">
        <v>120</v>
      </c>
      <c r="W533" s="95">
        <v>557</v>
      </c>
      <c r="X533" s="97">
        <v>45154.375</v>
      </c>
      <c r="Y533" s="97">
        <v>45071.375</v>
      </c>
      <c r="Z533" s="97">
        <v>45149.375</v>
      </c>
      <c r="AA533" s="98"/>
    </row>
    <row r="534" spans="1:27" ht="15.75" hidden="1" customHeight="1">
      <c r="A534" s="94" t="s">
        <v>2946</v>
      </c>
      <c r="B534" s="94" t="s">
        <v>896</v>
      </c>
      <c r="C534" s="94" t="s">
        <v>317</v>
      </c>
      <c r="D534" s="95">
        <v>3000</v>
      </c>
      <c r="E534" s="94" t="s">
        <v>431</v>
      </c>
      <c r="F534" s="94" t="s">
        <v>433</v>
      </c>
      <c r="G534" s="95">
        <v>18</v>
      </c>
      <c r="H534" s="94" t="s">
        <v>439</v>
      </c>
      <c r="I534" s="94" t="s">
        <v>6671</v>
      </c>
      <c r="J534" s="94" t="s">
        <v>440</v>
      </c>
      <c r="K534" s="95">
        <v>60</v>
      </c>
      <c r="L534" s="94"/>
      <c r="M534" s="95">
        <v>800</v>
      </c>
      <c r="N534" s="99" t="s">
        <v>435</v>
      </c>
      <c r="O534" s="94"/>
      <c r="P534" s="95">
        <v>1</v>
      </c>
      <c r="Q534" s="94" t="s">
        <v>436</v>
      </c>
      <c r="R534" s="95">
        <v>0</v>
      </c>
      <c r="S534" s="95">
        <v>0</v>
      </c>
      <c r="T534" s="95">
        <v>225</v>
      </c>
      <c r="U534" s="95">
        <v>45</v>
      </c>
      <c r="V534" s="95">
        <v>437</v>
      </c>
      <c r="W534" s="95">
        <v>557</v>
      </c>
      <c r="X534" s="97">
        <v>45154.375</v>
      </c>
      <c r="Y534" s="97">
        <v>45071.375</v>
      </c>
      <c r="Z534" s="97">
        <v>45149.375</v>
      </c>
      <c r="AA534" s="98"/>
    </row>
    <row r="535" spans="1:27" ht="15.75" hidden="1" customHeight="1">
      <c r="A535" s="94" t="s">
        <v>2946</v>
      </c>
      <c r="B535" s="94" t="s">
        <v>896</v>
      </c>
      <c r="C535" s="94" t="s">
        <v>317</v>
      </c>
      <c r="D535" s="95">
        <v>3000</v>
      </c>
      <c r="E535" s="94" t="s">
        <v>431</v>
      </c>
      <c r="F535" s="94" t="s">
        <v>433</v>
      </c>
      <c r="G535" s="95">
        <v>19</v>
      </c>
      <c r="H535" s="94" t="s">
        <v>368</v>
      </c>
      <c r="I535" s="94" t="s">
        <v>6236</v>
      </c>
      <c r="J535" s="94" t="s">
        <v>434</v>
      </c>
      <c r="K535" s="95">
        <v>60</v>
      </c>
      <c r="L535" s="94"/>
      <c r="M535" s="95">
        <v>850</v>
      </c>
      <c r="N535" s="99" t="s">
        <v>435</v>
      </c>
      <c r="O535" s="94"/>
      <c r="P535" s="95">
        <v>3</v>
      </c>
      <c r="Q535" s="94" t="s">
        <v>436</v>
      </c>
      <c r="R535" s="95">
        <v>0</v>
      </c>
      <c r="S535" s="95">
        <v>0</v>
      </c>
      <c r="T535" s="95">
        <v>212</v>
      </c>
      <c r="U535" s="95">
        <v>43</v>
      </c>
      <c r="V535" s="95">
        <v>437</v>
      </c>
      <c r="W535" s="95">
        <v>557</v>
      </c>
      <c r="X535" s="97">
        <v>45154.375</v>
      </c>
      <c r="Y535" s="97">
        <v>45071.375</v>
      </c>
      <c r="Z535" s="97">
        <v>45149.375</v>
      </c>
      <c r="AA535" s="98"/>
    </row>
    <row r="536" spans="1:27" ht="15.75" hidden="1" customHeight="1">
      <c r="A536" s="94" t="s">
        <v>2924</v>
      </c>
      <c r="B536" s="94" t="s">
        <v>437</v>
      </c>
      <c r="C536" s="94" t="s">
        <v>168</v>
      </c>
      <c r="D536" s="95">
        <v>5000</v>
      </c>
      <c r="E536" s="94" t="s">
        <v>424</v>
      </c>
      <c r="F536" s="94" t="s">
        <v>48</v>
      </c>
      <c r="G536" s="95">
        <v>4</v>
      </c>
      <c r="H536" s="94" t="s">
        <v>11</v>
      </c>
      <c r="I536" s="94" t="s">
        <v>7228</v>
      </c>
      <c r="J536" s="94" t="s">
        <v>426</v>
      </c>
      <c r="K536" s="95">
        <v>25</v>
      </c>
      <c r="L536" s="95">
        <v>30</v>
      </c>
      <c r="M536" s="94"/>
      <c r="N536" s="95">
        <v>52000</v>
      </c>
      <c r="O536" s="95">
        <v>1733</v>
      </c>
      <c r="P536" s="95">
        <v>1</v>
      </c>
      <c r="Q536" s="94" t="s">
        <v>383</v>
      </c>
      <c r="R536" s="95">
        <v>3</v>
      </c>
      <c r="S536" s="95">
        <v>75</v>
      </c>
      <c r="T536" s="95">
        <v>0</v>
      </c>
      <c r="U536" s="95">
        <v>0</v>
      </c>
      <c r="V536" s="95">
        <v>525</v>
      </c>
      <c r="W536" s="95">
        <v>1013</v>
      </c>
      <c r="X536" s="97">
        <v>45160.375</v>
      </c>
      <c r="Y536" s="97">
        <v>45128.375</v>
      </c>
      <c r="Z536" s="97">
        <v>45126.375</v>
      </c>
      <c r="AA536" s="98"/>
    </row>
    <row r="537" spans="1:27" ht="15.75" hidden="1" customHeight="1">
      <c r="A537" s="94" t="s">
        <v>2924</v>
      </c>
      <c r="B537" s="94" t="s">
        <v>437</v>
      </c>
      <c r="C537" s="94" t="s">
        <v>168</v>
      </c>
      <c r="D537" s="95">
        <v>5000</v>
      </c>
      <c r="E537" s="94" t="s">
        <v>424</v>
      </c>
      <c r="F537" s="94" t="s">
        <v>48</v>
      </c>
      <c r="G537" s="95">
        <v>5</v>
      </c>
      <c r="H537" s="94" t="s">
        <v>12</v>
      </c>
      <c r="I537" s="94" t="s">
        <v>6923</v>
      </c>
      <c r="J537" s="94" t="s">
        <v>427</v>
      </c>
      <c r="K537" s="95">
        <v>130</v>
      </c>
      <c r="L537" s="95">
        <v>30</v>
      </c>
      <c r="M537" s="94"/>
      <c r="N537" s="95">
        <v>52000</v>
      </c>
      <c r="O537" s="95">
        <v>1733</v>
      </c>
      <c r="P537" s="95">
        <v>1</v>
      </c>
      <c r="Q537" s="94" t="s">
        <v>383</v>
      </c>
      <c r="R537" s="95">
        <v>3</v>
      </c>
      <c r="S537" s="95">
        <v>390</v>
      </c>
      <c r="T537" s="95">
        <v>0</v>
      </c>
      <c r="U537" s="95">
        <v>0</v>
      </c>
      <c r="V537" s="95">
        <v>525</v>
      </c>
      <c r="W537" s="95">
        <v>1013</v>
      </c>
      <c r="X537" s="97">
        <v>45160.375</v>
      </c>
      <c r="Y537" s="97">
        <v>45128.375</v>
      </c>
      <c r="Z537" s="97">
        <v>45126.375</v>
      </c>
      <c r="AA537" s="98"/>
    </row>
    <row r="538" spans="1:27" ht="15.75" hidden="1" customHeight="1">
      <c r="A538" s="94" t="s">
        <v>2924</v>
      </c>
      <c r="B538" s="94" t="s">
        <v>437</v>
      </c>
      <c r="C538" s="94" t="s">
        <v>168</v>
      </c>
      <c r="D538" s="95">
        <v>5000</v>
      </c>
      <c r="E538" s="94" t="s">
        <v>424</v>
      </c>
      <c r="F538" s="94" t="s">
        <v>48</v>
      </c>
      <c r="G538" s="95">
        <v>6</v>
      </c>
      <c r="H538" s="94" t="s">
        <v>13</v>
      </c>
      <c r="I538" s="94" t="s">
        <v>6923</v>
      </c>
      <c r="J538" s="94" t="s">
        <v>427</v>
      </c>
      <c r="K538" s="95">
        <v>40</v>
      </c>
      <c r="L538" s="95">
        <v>30</v>
      </c>
      <c r="M538" s="94"/>
      <c r="N538" s="96">
        <v>52000</v>
      </c>
      <c r="O538" s="95">
        <v>1733</v>
      </c>
      <c r="P538" s="95">
        <v>1</v>
      </c>
      <c r="Q538" s="94" t="s">
        <v>383</v>
      </c>
      <c r="R538" s="95">
        <v>3</v>
      </c>
      <c r="S538" s="95">
        <v>60</v>
      </c>
      <c r="T538" s="95">
        <v>0</v>
      </c>
      <c r="U538" s="95">
        <v>0</v>
      </c>
      <c r="V538" s="95">
        <v>525</v>
      </c>
      <c r="W538" s="95">
        <v>1013</v>
      </c>
      <c r="X538" s="97">
        <v>45160.375</v>
      </c>
      <c r="Y538" s="97">
        <v>45128.375</v>
      </c>
      <c r="Z538" s="97">
        <v>45126.375</v>
      </c>
      <c r="AA538" s="98"/>
    </row>
    <row r="539" spans="1:27" ht="15.75" hidden="1" customHeight="1">
      <c r="A539" s="94" t="s">
        <v>2924</v>
      </c>
      <c r="B539" s="94" t="s">
        <v>437</v>
      </c>
      <c r="C539" s="94" t="s">
        <v>168</v>
      </c>
      <c r="D539" s="95">
        <v>5000</v>
      </c>
      <c r="E539" s="94" t="s">
        <v>431</v>
      </c>
      <c r="F539" s="94" t="s">
        <v>433</v>
      </c>
      <c r="G539" s="95">
        <v>18</v>
      </c>
      <c r="H539" s="94" t="s">
        <v>439</v>
      </c>
      <c r="I539" s="94" t="s">
        <v>6671</v>
      </c>
      <c r="J539" s="94" t="s">
        <v>440</v>
      </c>
      <c r="K539" s="95">
        <v>60</v>
      </c>
      <c r="L539" s="94"/>
      <c r="M539" s="95">
        <v>1400</v>
      </c>
      <c r="N539" s="99" t="s">
        <v>435</v>
      </c>
      <c r="O539" s="94"/>
      <c r="P539" s="95">
        <v>1</v>
      </c>
      <c r="Q539" s="94" t="s">
        <v>436</v>
      </c>
      <c r="R539" s="95">
        <v>0</v>
      </c>
      <c r="S539" s="95">
        <v>0</v>
      </c>
      <c r="T539" s="95">
        <v>215</v>
      </c>
      <c r="U539" s="95">
        <v>43</v>
      </c>
      <c r="V539" s="95">
        <v>488</v>
      </c>
      <c r="W539" s="95">
        <v>1013</v>
      </c>
      <c r="X539" s="97">
        <v>45160.375</v>
      </c>
      <c r="Y539" s="97">
        <v>45128.375</v>
      </c>
      <c r="Z539" s="97">
        <v>45126.375</v>
      </c>
      <c r="AA539" s="98"/>
    </row>
    <row r="540" spans="1:27" ht="15.75" hidden="1" customHeight="1">
      <c r="A540" s="94" t="s">
        <v>2924</v>
      </c>
      <c r="B540" s="94" t="s">
        <v>437</v>
      </c>
      <c r="C540" s="94" t="s">
        <v>168</v>
      </c>
      <c r="D540" s="95">
        <v>5000</v>
      </c>
      <c r="E540" s="94" t="s">
        <v>431</v>
      </c>
      <c r="F540" s="94" t="s">
        <v>433</v>
      </c>
      <c r="G540" s="95">
        <v>19</v>
      </c>
      <c r="H540" s="94" t="s">
        <v>368</v>
      </c>
      <c r="I540" s="94" t="s">
        <v>6236</v>
      </c>
      <c r="J540" s="94" t="s">
        <v>434</v>
      </c>
      <c r="K540" s="95">
        <v>60</v>
      </c>
      <c r="L540" s="94"/>
      <c r="M540" s="95">
        <v>1100</v>
      </c>
      <c r="N540" s="99" t="s">
        <v>435</v>
      </c>
      <c r="O540" s="94"/>
      <c r="P540" s="95">
        <v>4</v>
      </c>
      <c r="Q540" s="94" t="s">
        <v>436</v>
      </c>
      <c r="R540" s="95">
        <v>0</v>
      </c>
      <c r="S540" s="95">
        <v>0</v>
      </c>
      <c r="T540" s="95">
        <v>273</v>
      </c>
      <c r="U540" s="95">
        <v>55</v>
      </c>
      <c r="V540" s="95">
        <v>488</v>
      </c>
      <c r="W540" s="95">
        <v>1013</v>
      </c>
      <c r="X540" s="97">
        <v>45160.375</v>
      </c>
      <c r="Y540" s="97">
        <v>45128.375</v>
      </c>
      <c r="Z540" s="97">
        <v>45126.375</v>
      </c>
      <c r="AA540" s="98"/>
    </row>
    <row r="541" spans="1:27" ht="15.75" hidden="1" customHeight="1">
      <c r="A541" s="94" t="s">
        <v>2916</v>
      </c>
      <c r="B541" s="94" t="s">
        <v>636</v>
      </c>
      <c r="C541" s="94" t="s">
        <v>322</v>
      </c>
      <c r="D541" s="95">
        <v>4000</v>
      </c>
      <c r="E541" s="94" t="s">
        <v>442</v>
      </c>
      <c r="F541" s="94" t="s">
        <v>40</v>
      </c>
      <c r="G541" s="95">
        <v>1</v>
      </c>
      <c r="H541" s="94" t="s">
        <v>11</v>
      </c>
      <c r="I541" s="94" t="s">
        <v>7228</v>
      </c>
      <c r="J541" s="94" t="s">
        <v>426</v>
      </c>
      <c r="K541" s="95">
        <v>25</v>
      </c>
      <c r="L541" s="95">
        <v>303</v>
      </c>
      <c r="M541" s="94"/>
      <c r="N541" s="95">
        <v>400000</v>
      </c>
      <c r="O541" s="95">
        <v>1320</v>
      </c>
      <c r="P541" s="95">
        <v>1</v>
      </c>
      <c r="Q541" s="94" t="s">
        <v>383</v>
      </c>
      <c r="R541" s="95">
        <v>4</v>
      </c>
      <c r="S541" s="95">
        <v>100</v>
      </c>
      <c r="T541" s="95">
        <v>0</v>
      </c>
      <c r="U541" s="95">
        <v>0</v>
      </c>
      <c r="V541" s="95">
        <v>940</v>
      </c>
      <c r="W541" s="95">
        <v>1700</v>
      </c>
      <c r="X541" s="97">
        <v>45156.375</v>
      </c>
      <c r="Y541" s="97">
        <v>45134.375</v>
      </c>
      <c r="Z541" s="97">
        <v>45126.375</v>
      </c>
      <c r="AA541" s="98"/>
    </row>
    <row r="542" spans="1:27" ht="15.75" hidden="1" customHeight="1">
      <c r="A542" s="94" t="s">
        <v>2916</v>
      </c>
      <c r="B542" s="94" t="s">
        <v>636</v>
      </c>
      <c r="C542" s="94" t="s">
        <v>322</v>
      </c>
      <c r="D542" s="95">
        <v>4000</v>
      </c>
      <c r="E542" s="94" t="s">
        <v>442</v>
      </c>
      <c r="F542" s="94" t="s">
        <v>40</v>
      </c>
      <c r="G542" s="95">
        <v>2</v>
      </c>
      <c r="H542" s="94" t="s">
        <v>12</v>
      </c>
      <c r="I542" s="94" t="s">
        <v>6923</v>
      </c>
      <c r="J542" s="94" t="s">
        <v>449</v>
      </c>
      <c r="K542" s="95">
        <v>180</v>
      </c>
      <c r="L542" s="95">
        <v>303</v>
      </c>
      <c r="M542" s="94"/>
      <c r="N542" s="95">
        <v>400000</v>
      </c>
      <c r="O542" s="95">
        <v>1320</v>
      </c>
      <c r="P542" s="95">
        <v>1</v>
      </c>
      <c r="Q542" s="94" t="s">
        <v>383</v>
      </c>
      <c r="R542" s="95">
        <v>4</v>
      </c>
      <c r="S542" s="95">
        <v>720</v>
      </c>
      <c r="T542" s="95">
        <v>0</v>
      </c>
      <c r="U542" s="95">
        <v>0</v>
      </c>
      <c r="V542" s="95">
        <v>940</v>
      </c>
      <c r="W542" s="95">
        <v>1700</v>
      </c>
      <c r="X542" s="97">
        <v>45156.375</v>
      </c>
      <c r="Y542" s="97">
        <v>45134.375</v>
      </c>
      <c r="Z542" s="97">
        <v>45126.375</v>
      </c>
      <c r="AA542" s="98"/>
    </row>
    <row r="543" spans="1:27" ht="15.75" hidden="1" customHeight="1">
      <c r="A543" s="94" t="s">
        <v>2916</v>
      </c>
      <c r="B543" s="94" t="s">
        <v>636</v>
      </c>
      <c r="C543" s="94" t="s">
        <v>322</v>
      </c>
      <c r="D543" s="95">
        <v>4000</v>
      </c>
      <c r="E543" s="94" t="s">
        <v>442</v>
      </c>
      <c r="F543" s="94" t="s">
        <v>40</v>
      </c>
      <c r="G543" s="95">
        <v>3</v>
      </c>
      <c r="H543" s="94" t="s">
        <v>13</v>
      </c>
      <c r="I543" s="94" t="s">
        <v>6923</v>
      </c>
      <c r="J543" s="94" t="s">
        <v>449</v>
      </c>
      <c r="K543" s="95">
        <v>30</v>
      </c>
      <c r="L543" s="95">
        <v>303</v>
      </c>
      <c r="M543" s="94"/>
      <c r="N543" s="95">
        <v>400000</v>
      </c>
      <c r="O543" s="95">
        <v>1320</v>
      </c>
      <c r="P543" s="95">
        <v>1</v>
      </c>
      <c r="Q543" s="94" t="s">
        <v>383</v>
      </c>
      <c r="R543" s="95">
        <v>4</v>
      </c>
      <c r="S543" s="95">
        <v>120</v>
      </c>
      <c r="T543" s="95">
        <v>0</v>
      </c>
      <c r="U543" s="95">
        <v>0</v>
      </c>
      <c r="V543" s="95">
        <v>940</v>
      </c>
      <c r="W543" s="95">
        <v>1700</v>
      </c>
      <c r="X543" s="97">
        <v>45156.375</v>
      </c>
      <c r="Y543" s="97">
        <v>45134.375</v>
      </c>
      <c r="Z543" s="97">
        <v>45126.375</v>
      </c>
      <c r="AA543" s="98"/>
    </row>
    <row r="544" spans="1:27" ht="15.75" hidden="1" customHeight="1">
      <c r="A544" s="94" t="s">
        <v>2916</v>
      </c>
      <c r="B544" s="94" t="s">
        <v>636</v>
      </c>
      <c r="C544" s="94" t="s">
        <v>322</v>
      </c>
      <c r="D544" s="95">
        <v>4000</v>
      </c>
      <c r="E544" s="94" t="s">
        <v>431</v>
      </c>
      <c r="F544" s="94" t="s">
        <v>433</v>
      </c>
      <c r="G544" s="95">
        <v>18</v>
      </c>
      <c r="H544" s="94" t="s">
        <v>439</v>
      </c>
      <c r="I544" s="94" t="s">
        <v>6671</v>
      </c>
      <c r="J544" s="94" t="s">
        <v>440</v>
      </c>
      <c r="K544" s="95">
        <v>60</v>
      </c>
      <c r="L544" s="94"/>
      <c r="M544" s="95">
        <v>860</v>
      </c>
      <c r="N544" s="94" t="s">
        <v>435</v>
      </c>
      <c r="O544" s="94"/>
      <c r="P544" s="95">
        <v>1</v>
      </c>
      <c r="Q544" s="94" t="s">
        <v>436</v>
      </c>
      <c r="R544" s="95">
        <v>0</v>
      </c>
      <c r="S544" s="95">
        <v>0</v>
      </c>
      <c r="T544" s="95">
        <v>280</v>
      </c>
      <c r="U544" s="95">
        <v>56</v>
      </c>
      <c r="V544" s="95">
        <v>760</v>
      </c>
      <c r="W544" s="95">
        <v>1700</v>
      </c>
      <c r="X544" s="97">
        <v>45156.375</v>
      </c>
      <c r="Y544" s="97">
        <v>45134.375</v>
      </c>
      <c r="Z544" s="97">
        <v>45126.375</v>
      </c>
      <c r="AA544" s="98"/>
    </row>
    <row r="545" spans="1:27" ht="15.75" hidden="1" customHeight="1">
      <c r="A545" s="94" t="s">
        <v>2916</v>
      </c>
      <c r="B545" s="94" t="s">
        <v>636</v>
      </c>
      <c r="C545" s="94" t="s">
        <v>322</v>
      </c>
      <c r="D545" s="95">
        <v>4000</v>
      </c>
      <c r="E545" s="94" t="s">
        <v>431</v>
      </c>
      <c r="F545" s="94" t="s">
        <v>433</v>
      </c>
      <c r="G545" s="95">
        <v>19</v>
      </c>
      <c r="H545" s="94" t="s">
        <v>368</v>
      </c>
      <c r="I545" s="94" t="s">
        <v>6236</v>
      </c>
      <c r="J545" s="94" t="s">
        <v>434</v>
      </c>
      <c r="K545" s="95">
        <v>60</v>
      </c>
      <c r="L545" s="94"/>
      <c r="M545" s="95">
        <v>500</v>
      </c>
      <c r="N545" s="94" t="s">
        <v>435</v>
      </c>
      <c r="O545" s="94"/>
      <c r="P545" s="95">
        <v>3</v>
      </c>
      <c r="Q545" s="94" t="s">
        <v>436</v>
      </c>
      <c r="R545" s="95">
        <v>0</v>
      </c>
      <c r="S545" s="95">
        <v>0</v>
      </c>
      <c r="T545" s="95">
        <v>480</v>
      </c>
      <c r="U545" s="95">
        <v>96</v>
      </c>
      <c r="V545" s="95">
        <v>760</v>
      </c>
      <c r="W545" s="95">
        <v>1700</v>
      </c>
      <c r="X545" s="97">
        <v>45156.375</v>
      </c>
      <c r="Y545" s="97">
        <v>45134.375</v>
      </c>
      <c r="Z545" s="97">
        <v>45126.375</v>
      </c>
      <c r="AA545" s="98"/>
    </row>
    <row r="546" spans="1:27" ht="15.75" hidden="1" customHeight="1">
      <c r="A546" s="94" t="s">
        <v>3001</v>
      </c>
      <c r="B546" s="94" t="s">
        <v>645</v>
      </c>
      <c r="C546" s="94" t="s">
        <v>182</v>
      </c>
      <c r="D546" s="95">
        <v>10000</v>
      </c>
      <c r="E546" s="94" t="s">
        <v>424</v>
      </c>
      <c r="F546" s="94" t="s">
        <v>48</v>
      </c>
      <c r="G546" s="95">
        <v>4</v>
      </c>
      <c r="H546" s="94" t="s">
        <v>11</v>
      </c>
      <c r="I546" s="94" t="s">
        <v>7228</v>
      </c>
      <c r="J546" s="94" t="s">
        <v>426</v>
      </c>
      <c r="K546" s="95">
        <v>30</v>
      </c>
      <c r="L546" s="95">
        <v>50</v>
      </c>
      <c r="M546" s="94"/>
      <c r="N546" s="96">
        <v>52000</v>
      </c>
      <c r="O546" s="95">
        <v>1040</v>
      </c>
      <c r="P546" s="95">
        <v>1</v>
      </c>
      <c r="Q546" s="94" t="s">
        <v>383</v>
      </c>
      <c r="R546" s="95">
        <v>10</v>
      </c>
      <c r="S546" s="95">
        <v>300</v>
      </c>
      <c r="T546" s="95">
        <v>0</v>
      </c>
      <c r="U546" s="95">
        <v>0</v>
      </c>
      <c r="V546" s="95">
        <v>1730</v>
      </c>
      <c r="W546" s="95">
        <v>3080</v>
      </c>
      <c r="X546" s="97">
        <v>45120.375</v>
      </c>
      <c r="Y546" s="97">
        <v>44978.375</v>
      </c>
      <c r="Z546" s="97">
        <v>44981.375</v>
      </c>
      <c r="AA546" s="98"/>
    </row>
    <row r="547" spans="1:27" ht="15.75" hidden="1" customHeight="1">
      <c r="A547" s="94" t="s">
        <v>3001</v>
      </c>
      <c r="B547" s="94" t="s">
        <v>645</v>
      </c>
      <c r="C547" s="94" t="s">
        <v>182</v>
      </c>
      <c r="D547" s="95">
        <v>10000</v>
      </c>
      <c r="E547" s="94" t="s">
        <v>424</v>
      </c>
      <c r="F547" s="94" t="s">
        <v>48</v>
      </c>
      <c r="G547" s="95">
        <v>5</v>
      </c>
      <c r="H547" s="94" t="s">
        <v>12</v>
      </c>
      <c r="I547" s="94" t="s">
        <v>6923</v>
      </c>
      <c r="J547" s="94" t="s">
        <v>427</v>
      </c>
      <c r="K547" s="95">
        <v>140</v>
      </c>
      <c r="L547" s="95">
        <v>50</v>
      </c>
      <c r="M547" s="94"/>
      <c r="N547" s="96">
        <v>52000</v>
      </c>
      <c r="O547" s="95">
        <v>1040</v>
      </c>
      <c r="P547" s="95">
        <v>1</v>
      </c>
      <c r="Q547" s="94" t="s">
        <v>383</v>
      </c>
      <c r="R547" s="95">
        <v>10</v>
      </c>
      <c r="S547" s="95">
        <v>1400</v>
      </c>
      <c r="T547" s="95">
        <v>0</v>
      </c>
      <c r="U547" s="95">
        <v>0</v>
      </c>
      <c r="V547" s="95">
        <v>1730</v>
      </c>
      <c r="W547" s="95">
        <v>3080</v>
      </c>
      <c r="X547" s="97">
        <v>45120.375</v>
      </c>
      <c r="Y547" s="97">
        <v>44978.375</v>
      </c>
      <c r="Z547" s="97">
        <v>44981.375</v>
      </c>
      <c r="AA547" s="98"/>
    </row>
    <row r="548" spans="1:27" ht="15.75" hidden="1" customHeight="1">
      <c r="A548" s="94" t="s">
        <v>3001</v>
      </c>
      <c r="B548" s="94" t="s">
        <v>645</v>
      </c>
      <c r="C548" s="94" t="s">
        <v>182</v>
      </c>
      <c r="D548" s="95">
        <v>10000</v>
      </c>
      <c r="E548" s="94" t="s">
        <v>424</v>
      </c>
      <c r="F548" s="94" t="s">
        <v>48</v>
      </c>
      <c r="G548" s="95">
        <v>6</v>
      </c>
      <c r="H548" s="94" t="s">
        <v>13</v>
      </c>
      <c r="I548" s="94" t="s">
        <v>6923</v>
      </c>
      <c r="J548" s="94" t="s">
        <v>427</v>
      </c>
      <c r="K548" s="95">
        <v>30</v>
      </c>
      <c r="L548" s="95">
        <v>50</v>
      </c>
      <c r="M548" s="94"/>
      <c r="N548" s="96">
        <v>52000</v>
      </c>
      <c r="O548" s="95">
        <v>1040</v>
      </c>
      <c r="P548" s="95">
        <v>1</v>
      </c>
      <c r="Q548" s="94" t="s">
        <v>383</v>
      </c>
      <c r="R548" s="95">
        <v>10</v>
      </c>
      <c r="S548" s="95">
        <v>30</v>
      </c>
      <c r="T548" s="95">
        <v>0</v>
      </c>
      <c r="U548" s="95">
        <v>0</v>
      </c>
      <c r="V548" s="95">
        <v>1730</v>
      </c>
      <c r="W548" s="95">
        <v>3080</v>
      </c>
      <c r="X548" s="97">
        <v>45120.375</v>
      </c>
      <c r="Y548" s="97">
        <v>44978.375</v>
      </c>
      <c r="Z548" s="97">
        <v>44981.375</v>
      </c>
      <c r="AA548" s="98"/>
    </row>
    <row r="549" spans="1:27" ht="15.75" hidden="1" customHeight="1">
      <c r="A549" s="94" t="s">
        <v>3001</v>
      </c>
      <c r="B549" s="94" t="s">
        <v>645</v>
      </c>
      <c r="C549" s="94" t="s">
        <v>182</v>
      </c>
      <c r="D549" s="95">
        <v>10000</v>
      </c>
      <c r="E549" s="94" t="s">
        <v>431</v>
      </c>
      <c r="F549" s="94" t="s">
        <v>433</v>
      </c>
      <c r="G549" s="95">
        <v>16</v>
      </c>
      <c r="H549" s="94" t="s">
        <v>484</v>
      </c>
      <c r="I549" s="94" t="s">
        <v>6671</v>
      </c>
      <c r="J549" s="94" t="s">
        <v>440</v>
      </c>
      <c r="K549" s="95">
        <v>60</v>
      </c>
      <c r="L549" s="94"/>
      <c r="M549" s="95">
        <v>1600</v>
      </c>
      <c r="N549" s="94" t="s">
        <v>435</v>
      </c>
      <c r="O549" s="94"/>
      <c r="P549" s="95">
        <v>1</v>
      </c>
      <c r="Q549" s="94" t="s">
        <v>436</v>
      </c>
      <c r="R549" s="95">
        <v>0</v>
      </c>
      <c r="S549" s="95">
        <v>0</v>
      </c>
      <c r="T549" s="95">
        <v>375</v>
      </c>
      <c r="U549" s="95">
        <v>75</v>
      </c>
      <c r="V549" s="95">
        <v>1350</v>
      </c>
      <c r="W549" s="95">
        <v>3080</v>
      </c>
      <c r="X549" s="97">
        <v>45120.375</v>
      </c>
      <c r="Y549" s="97">
        <v>44978.375</v>
      </c>
      <c r="Z549" s="97">
        <v>44981.375</v>
      </c>
      <c r="AA549" s="98"/>
    </row>
    <row r="550" spans="1:27" ht="15.75" hidden="1" customHeight="1">
      <c r="A550" s="94" t="s">
        <v>3001</v>
      </c>
      <c r="B550" s="94" t="s">
        <v>645</v>
      </c>
      <c r="C550" s="94" t="s">
        <v>182</v>
      </c>
      <c r="D550" s="95">
        <v>10000</v>
      </c>
      <c r="E550" s="94" t="s">
        <v>431</v>
      </c>
      <c r="F550" s="94" t="s">
        <v>433</v>
      </c>
      <c r="G550" s="95">
        <v>18</v>
      </c>
      <c r="H550" s="94" t="s">
        <v>439</v>
      </c>
      <c r="I550" s="94" t="s">
        <v>6671</v>
      </c>
      <c r="J550" s="94" t="s">
        <v>440</v>
      </c>
      <c r="K550" s="95">
        <v>60</v>
      </c>
      <c r="L550" s="94"/>
      <c r="M550" s="95">
        <v>1600</v>
      </c>
      <c r="N550" s="94" t="s">
        <v>435</v>
      </c>
      <c r="O550" s="94"/>
      <c r="P550" s="95">
        <v>1</v>
      </c>
      <c r="Q550" s="94" t="s">
        <v>436</v>
      </c>
      <c r="R550" s="95">
        <v>0</v>
      </c>
      <c r="S550" s="95">
        <v>0</v>
      </c>
      <c r="T550" s="95">
        <v>375</v>
      </c>
      <c r="U550" s="95">
        <v>75</v>
      </c>
      <c r="V550" s="95">
        <v>1350</v>
      </c>
      <c r="W550" s="95">
        <v>3080</v>
      </c>
      <c r="X550" s="97">
        <v>45120.375</v>
      </c>
      <c r="Y550" s="97">
        <v>44978.375</v>
      </c>
      <c r="Z550" s="97">
        <v>44981.375</v>
      </c>
      <c r="AA550" s="98"/>
    </row>
    <row r="551" spans="1:27" ht="15.75" hidden="1" customHeight="1">
      <c r="A551" s="94" t="s">
        <v>3001</v>
      </c>
      <c r="B551" s="94" t="s">
        <v>645</v>
      </c>
      <c r="C551" s="94" t="s">
        <v>182</v>
      </c>
      <c r="D551" s="95">
        <v>10000</v>
      </c>
      <c r="E551" s="94" t="s">
        <v>431</v>
      </c>
      <c r="F551" s="94" t="s">
        <v>433</v>
      </c>
      <c r="G551" s="95">
        <v>19</v>
      </c>
      <c r="H551" s="94" t="s">
        <v>368</v>
      </c>
      <c r="I551" s="94" t="s">
        <v>6236</v>
      </c>
      <c r="J551" s="94" t="s">
        <v>434</v>
      </c>
      <c r="K551" s="95">
        <v>60</v>
      </c>
      <c r="L551" s="94"/>
      <c r="M551" s="95">
        <v>1000</v>
      </c>
      <c r="N551" s="94" t="s">
        <v>435</v>
      </c>
      <c r="O551" s="94"/>
      <c r="P551" s="95">
        <v>4</v>
      </c>
      <c r="Q551" s="94" t="s">
        <v>436</v>
      </c>
      <c r="R551" s="95">
        <v>0</v>
      </c>
      <c r="S551" s="95">
        <v>0</v>
      </c>
      <c r="T551" s="95">
        <v>600</v>
      </c>
      <c r="U551" s="95">
        <v>120</v>
      </c>
      <c r="V551" s="95">
        <v>1350</v>
      </c>
      <c r="W551" s="95">
        <v>3080</v>
      </c>
      <c r="X551" s="97">
        <v>45120.375</v>
      </c>
      <c r="Y551" s="97">
        <v>44978.375</v>
      </c>
      <c r="Z551" s="97">
        <v>44981.375</v>
      </c>
      <c r="AA551" s="98"/>
    </row>
    <row r="552" spans="1:27" ht="15.75" hidden="1" customHeight="1">
      <c r="A552" s="94" t="s">
        <v>2966</v>
      </c>
      <c r="B552" s="94" t="s">
        <v>948</v>
      </c>
      <c r="C552" s="94" t="s">
        <v>325</v>
      </c>
      <c r="D552" s="95">
        <v>10000</v>
      </c>
      <c r="E552" s="94" t="s">
        <v>424</v>
      </c>
      <c r="F552" s="94" t="s">
        <v>48</v>
      </c>
      <c r="G552" s="95">
        <v>4</v>
      </c>
      <c r="H552" s="94" t="s">
        <v>11</v>
      </c>
      <c r="I552" s="94" t="s">
        <v>7228</v>
      </c>
      <c r="J552" s="94" t="s">
        <v>426</v>
      </c>
      <c r="K552" s="95">
        <v>35</v>
      </c>
      <c r="L552" s="95">
        <v>48.2</v>
      </c>
      <c r="M552" s="94"/>
      <c r="N552" s="95">
        <v>52000</v>
      </c>
      <c r="O552" s="95">
        <v>1078</v>
      </c>
      <c r="P552" s="95">
        <v>1</v>
      </c>
      <c r="Q552" s="94" t="s">
        <v>383</v>
      </c>
      <c r="R552" s="95">
        <v>10</v>
      </c>
      <c r="S552" s="95">
        <v>350</v>
      </c>
      <c r="T552" s="95">
        <v>0</v>
      </c>
      <c r="U552" s="95">
        <v>0</v>
      </c>
      <c r="V552" s="95">
        <v>1630</v>
      </c>
      <c r="W552" s="95">
        <v>3324</v>
      </c>
      <c r="X552" s="97">
        <v>45160.375</v>
      </c>
      <c r="Y552" s="97">
        <v>45085.375</v>
      </c>
      <c r="Z552" s="97">
        <v>45159.375</v>
      </c>
      <c r="AA552" s="98"/>
    </row>
    <row r="553" spans="1:27" ht="15.75" hidden="1" customHeight="1">
      <c r="A553" s="94" t="s">
        <v>2966</v>
      </c>
      <c r="B553" s="94" t="s">
        <v>948</v>
      </c>
      <c r="C553" s="94" t="s">
        <v>325</v>
      </c>
      <c r="D553" s="95">
        <v>10000</v>
      </c>
      <c r="E553" s="94" t="s">
        <v>424</v>
      </c>
      <c r="F553" s="94" t="s">
        <v>48</v>
      </c>
      <c r="G553" s="95">
        <v>5</v>
      </c>
      <c r="H553" s="94" t="s">
        <v>12</v>
      </c>
      <c r="I553" s="94" t="s">
        <v>6923</v>
      </c>
      <c r="J553" s="94" t="s">
        <v>427</v>
      </c>
      <c r="K553" s="95">
        <v>125</v>
      </c>
      <c r="L553" s="95">
        <v>48.2</v>
      </c>
      <c r="M553" s="94"/>
      <c r="N553" s="95">
        <v>52000</v>
      </c>
      <c r="O553" s="95">
        <v>1078</v>
      </c>
      <c r="P553" s="95">
        <v>1</v>
      </c>
      <c r="Q553" s="94" t="s">
        <v>383</v>
      </c>
      <c r="R553" s="95">
        <v>10</v>
      </c>
      <c r="S553" s="95">
        <v>1250</v>
      </c>
      <c r="T553" s="95">
        <v>0</v>
      </c>
      <c r="U553" s="95">
        <v>0</v>
      </c>
      <c r="V553" s="95">
        <v>1630</v>
      </c>
      <c r="W553" s="95">
        <v>3324</v>
      </c>
      <c r="X553" s="97">
        <v>45160.375</v>
      </c>
      <c r="Y553" s="97">
        <v>45085.375</v>
      </c>
      <c r="Z553" s="97">
        <v>45159.375</v>
      </c>
      <c r="AA553" s="98"/>
    </row>
    <row r="554" spans="1:27" ht="15.75" hidden="1" customHeight="1">
      <c r="A554" s="94" t="s">
        <v>2966</v>
      </c>
      <c r="B554" s="94" t="s">
        <v>948</v>
      </c>
      <c r="C554" s="94" t="s">
        <v>325</v>
      </c>
      <c r="D554" s="95">
        <v>10000</v>
      </c>
      <c r="E554" s="94" t="s">
        <v>424</v>
      </c>
      <c r="F554" s="94" t="s">
        <v>48</v>
      </c>
      <c r="G554" s="95">
        <v>6</v>
      </c>
      <c r="H554" s="94" t="s">
        <v>13</v>
      </c>
      <c r="I554" s="94" t="s">
        <v>6923</v>
      </c>
      <c r="J554" s="94" t="s">
        <v>427</v>
      </c>
      <c r="K554" s="95">
        <v>30</v>
      </c>
      <c r="L554" s="95">
        <v>48.2</v>
      </c>
      <c r="M554" s="94"/>
      <c r="N554" s="96">
        <v>52000</v>
      </c>
      <c r="O554" s="95">
        <v>1078</v>
      </c>
      <c r="P554" s="95">
        <v>1</v>
      </c>
      <c r="Q554" s="94" t="s">
        <v>383</v>
      </c>
      <c r="R554" s="95">
        <v>10</v>
      </c>
      <c r="S554" s="95">
        <v>30</v>
      </c>
      <c r="T554" s="95">
        <v>0</v>
      </c>
      <c r="U554" s="95">
        <v>0</v>
      </c>
      <c r="V554" s="95">
        <v>1630</v>
      </c>
      <c r="W554" s="95">
        <v>3324</v>
      </c>
      <c r="X554" s="97">
        <v>45160.375</v>
      </c>
      <c r="Y554" s="97">
        <v>45085.375</v>
      </c>
      <c r="Z554" s="97">
        <v>45159.375</v>
      </c>
      <c r="AA554" s="98"/>
    </row>
    <row r="555" spans="1:27" ht="15.75" hidden="1" customHeight="1">
      <c r="A555" s="94" t="s">
        <v>2966</v>
      </c>
      <c r="B555" s="94" t="s">
        <v>948</v>
      </c>
      <c r="C555" s="94" t="s">
        <v>325</v>
      </c>
      <c r="D555" s="95">
        <v>10000</v>
      </c>
      <c r="E555" s="94" t="s">
        <v>431</v>
      </c>
      <c r="F555" s="94" t="s">
        <v>433</v>
      </c>
      <c r="G555" s="95">
        <v>18</v>
      </c>
      <c r="H555" s="94" t="s">
        <v>439</v>
      </c>
      <c r="I555" s="94" t="s">
        <v>6671</v>
      </c>
      <c r="J555" s="94" t="s">
        <v>440</v>
      </c>
      <c r="K555" s="95">
        <v>60</v>
      </c>
      <c r="L555" s="94"/>
      <c r="M555" s="95">
        <v>780</v>
      </c>
      <c r="N555" s="99" t="s">
        <v>435</v>
      </c>
      <c r="O555" s="94"/>
      <c r="P555" s="95">
        <v>1</v>
      </c>
      <c r="Q555" s="94" t="s">
        <v>436</v>
      </c>
      <c r="R555" s="95">
        <v>0</v>
      </c>
      <c r="S555" s="95">
        <v>0</v>
      </c>
      <c r="T555" s="95">
        <v>770</v>
      </c>
      <c r="U555" s="95">
        <v>154</v>
      </c>
      <c r="V555" s="95">
        <v>1694</v>
      </c>
      <c r="W555" s="95">
        <v>3324</v>
      </c>
      <c r="X555" s="97">
        <v>45160.375</v>
      </c>
      <c r="Y555" s="97">
        <v>45085.375</v>
      </c>
      <c r="Z555" s="97">
        <v>45159.375</v>
      </c>
      <c r="AA555" s="98"/>
    </row>
    <row r="556" spans="1:27" ht="15.75" hidden="1" customHeight="1">
      <c r="A556" s="94" t="s">
        <v>2966</v>
      </c>
      <c r="B556" s="94" t="s">
        <v>948</v>
      </c>
      <c r="C556" s="94" t="s">
        <v>325</v>
      </c>
      <c r="D556" s="95">
        <v>10000</v>
      </c>
      <c r="E556" s="94" t="s">
        <v>431</v>
      </c>
      <c r="F556" s="94" t="s">
        <v>433</v>
      </c>
      <c r="G556" s="95">
        <v>19</v>
      </c>
      <c r="H556" s="94" t="s">
        <v>368</v>
      </c>
      <c r="I556" s="94" t="s">
        <v>6236</v>
      </c>
      <c r="J556" s="94" t="s">
        <v>434</v>
      </c>
      <c r="K556" s="95">
        <v>60</v>
      </c>
      <c r="L556" s="94"/>
      <c r="M556" s="95">
        <v>650</v>
      </c>
      <c r="N556" s="99" t="s">
        <v>435</v>
      </c>
      <c r="O556" s="94"/>
      <c r="P556" s="95">
        <v>4</v>
      </c>
      <c r="Q556" s="94" t="s">
        <v>436</v>
      </c>
      <c r="R556" s="95">
        <v>0</v>
      </c>
      <c r="S556" s="95">
        <v>0</v>
      </c>
      <c r="T556" s="95">
        <v>924</v>
      </c>
      <c r="U556" s="95">
        <v>185</v>
      </c>
      <c r="V556" s="95">
        <v>1694</v>
      </c>
      <c r="W556" s="95">
        <v>3324</v>
      </c>
      <c r="X556" s="97">
        <v>45160.375</v>
      </c>
      <c r="Y556" s="97">
        <v>45085.375</v>
      </c>
      <c r="Z556" s="97">
        <v>45159.375</v>
      </c>
      <c r="AA556" s="98"/>
    </row>
    <row r="557" spans="1:27" ht="15.75" hidden="1" customHeight="1">
      <c r="A557" s="94" t="s">
        <v>2944</v>
      </c>
      <c r="B557" s="94" t="s">
        <v>614</v>
      </c>
      <c r="C557" s="94" t="s">
        <v>328</v>
      </c>
      <c r="D557" s="95">
        <v>2000</v>
      </c>
      <c r="E557" s="94" t="s">
        <v>442</v>
      </c>
      <c r="F557" s="94" t="s">
        <v>33</v>
      </c>
      <c r="G557" s="95">
        <v>10</v>
      </c>
      <c r="H557" s="94" t="s">
        <v>11</v>
      </c>
      <c r="I557" s="94" t="s">
        <v>7228</v>
      </c>
      <c r="J557" s="94" t="s">
        <v>426</v>
      </c>
      <c r="K557" s="95">
        <v>25</v>
      </c>
      <c r="L557" s="95">
        <v>30.2</v>
      </c>
      <c r="M557" s="94"/>
      <c r="N557" s="96">
        <v>100000</v>
      </c>
      <c r="O557" s="95">
        <v>3311</v>
      </c>
      <c r="P557" s="95">
        <v>1</v>
      </c>
      <c r="Q557" s="94" t="s">
        <v>383</v>
      </c>
      <c r="R557" s="95">
        <v>1</v>
      </c>
      <c r="S557" s="95">
        <v>25</v>
      </c>
      <c r="T557" s="95">
        <v>0</v>
      </c>
      <c r="U557" s="95">
        <v>0</v>
      </c>
      <c r="V557" s="95">
        <v>150</v>
      </c>
      <c r="W557" s="95">
        <v>348</v>
      </c>
      <c r="X557" s="97">
        <v>45156.375</v>
      </c>
      <c r="Y557" s="97">
        <v>45142.375</v>
      </c>
      <c r="Z557" s="97">
        <v>45155.375</v>
      </c>
      <c r="AA557" s="98"/>
    </row>
    <row r="558" spans="1:27" ht="15.75" hidden="1" customHeight="1">
      <c r="A558" s="94" t="s">
        <v>2944</v>
      </c>
      <c r="B558" s="94" t="s">
        <v>614</v>
      </c>
      <c r="C558" s="94" t="s">
        <v>328</v>
      </c>
      <c r="D558" s="95">
        <v>2000</v>
      </c>
      <c r="E558" s="94" t="s">
        <v>442</v>
      </c>
      <c r="F558" s="94" t="s">
        <v>33</v>
      </c>
      <c r="G558" s="95">
        <v>11</v>
      </c>
      <c r="H558" s="94" t="s">
        <v>12</v>
      </c>
      <c r="I558" s="94" t="s">
        <v>6923</v>
      </c>
      <c r="J558" s="94" t="s">
        <v>444</v>
      </c>
      <c r="K558" s="95">
        <v>110</v>
      </c>
      <c r="L558" s="95">
        <v>30.2</v>
      </c>
      <c r="M558" s="94"/>
      <c r="N558" s="96">
        <v>100000</v>
      </c>
      <c r="O558" s="95">
        <v>3311</v>
      </c>
      <c r="P558" s="95">
        <v>1</v>
      </c>
      <c r="Q558" s="94" t="s">
        <v>383</v>
      </c>
      <c r="R558" s="95">
        <v>1</v>
      </c>
      <c r="S558" s="95">
        <v>110</v>
      </c>
      <c r="T558" s="95">
        <v>0</v>
      </c>
      <c r="U558" s="95">
        <v>0</v>
      </c>
      <c r="V558" s="95">
        <v>150</v>
      </c>
      <c r="W558" s="95">
        <v>348</v>
      </c>
      <c r="X558" s="97">
        <v>45156.375</v>
      </c>
      <c r="Y558" s="97">
        <v>45142.375</v>
      </c>
      <c r="Z558" s="97">
        <v>45155.375</v>
      </c>
      <c r="AA558" s="98"/>
    </row>
    <row r="559" spans="1:27" ht="15.75" hidden="1" customHeight="1">
      <c r="A559" s="94" t="s">
        <v>2944</v>
      </c>
      <c r="B559" s="94" t="s">
        <v>614</v>
      </c>
      <c r="C559" s="94" t="s">
        <v>328</v>
      </c>
      <c r="D559" s="95">
        <v>2000</v>
      </c>
      <c r="E559" s="94" t="s">
        <v>442</v>
      </c>
      <c r="F559" s="94" t="s">
        <v>33</v>
      </c>
      <c r="G559" s="95">
        <v>12</v>
      </c>
      <c r="H559" s="94" t="s">
        <v>13</v>
      </c>
      <c r="I559" s="94" t="s">
        <v>6923</v>
      </c>
      <c r="J559" s="94" t="s">
        <v>444</v>
      </c>
      <c r="K559" s="95">
        <v>15</v>
      </c>
      <c r="L559" s="95">
        <v>30.2</v>
      </c>
      <c r="M559" s="94"/>
      <c r="N559" s="96">
        <v>100000</v>
      </c>
      <c r="O559" s="95">
        <v>3311</v>
      </c>
      <c r="P559" s="95">
        <v>1</v>
      </c>
      <c r="Q559" s="94" t="s">
        <v>383</v>
      </c>
      <c r="R559" s="95">
        <v>1</v>
      </c>
      <c r="S559" s="95">
        <v>15</v>
      </c>
      <c r="T559" s="95">
        <v>0</v>
      </c>
      <c r="U559" s="95">
        <v>0</v>
      </c>
      <c r="V559" s="95">
        <v>150</v>
      </c>
      <c r="W559" s="95">
        <v>348</v>
      </c>
      <c r="X559" s="97">
        <v>45156.375</v>
      </c>
      <c r="Y559" s="97">
        <v>45142.375</v>
      </c>
      <c r="Z559" s="97">
        <v>45155.375</v>
      </c>
      <c r="AA559" s="98"/>
    </row>
    <row r="560" spans="1:27" ht="15.75" hidden="1" customHeight="1">
      <c r="A560" s="94" t="s">
        <v>2944</v>
      </c>
      <c r="B560" s="94" t="s">
        <v>614</v>
      </c>
      <c r="C560" s="94" t="s">
        <v>328</v>
      </c>
      <c r="D560" s="95">
        <v>2000</v>
      </c>
      <c r="E560" s="94" t="s">
        <v>431</v>
      </c>
      <c r="F560" s="94" t="s">
        <v>433</v>
      </c>
      <c r="G560" s="95">
        <v>18</v>
      </c>
      <c r="H560" s="94" t="s">
        <v>439</v>
      </c>
      <c r="I560" s="94" t="s">
        <v>6671</v>
      </c>
      <c r="J560" s="94" t="s">
        <v>440</v>
      </c>
      <c r="K560" s="95">
        <v>60</v>
      </c>
      <c r="L560" s="94"/>
      <c r="M560" s="95">
        <v>1700</v>
      </c>
      <c r="N560" s="94" t="s">
        <v>435</v>
      </c>
      <c r="O560" s="94"/>
      <c r="P560" s="95">
        <v>1</v>
      </c>
      <c r="Q560" s="94" t="s">
        <v>436</v>
      </c>
      <c r="R560" s="95">
        <v>0</v>
      </c>
      <c r="S560" s="95">
        <v>0</v>
      </c>
      <c r="T560" s="95">
        <v>71</v>
      </c>
      <c r="U560" s="95">
        <v>15</v>
      </c>
      <c r="V560" s="95">
        <v>198</v>
      </c>
      <c r="W560" s="95">
        <v>348</v>
      </c>
      <c r="X560" s="97">
        <v>45156.375</v>
      </c>
      <c r="Y560" s="97">
        <v>45142.375</v>
      </c>
      <c r="Z560" s="97">
        <v>45155.375</v>
      </c>
      <c r="AA560" s="98"/>
    </row>
    <row r="561" spans="1:27" ht="15.75" hidden="1" customHeight="1">
      <c r="A561" s="94" t="s">
        <v>2944</v>
      </c>
      <c r="B561" s="94" t="s">
        <v>614</v>
      </c>
      <c r="C561" s="94" t="s">
        <v>328</v>
      </c>
      <c r="D561" s="95">
        <v>2000</v>
      </c>
      <c r="E561" s="94" t="s">
        <v>431</v>
      </c>
      <c r="F561" s="94" t="s">
        <v>433</v>
      </c>
      <c r="G561" s="95">
        <v>19</v>
      </c>
      <c r="H561" s="94" t="s">
        <v>368</v>
      </c>
      <c r="I561" s="94" t="s">
        <v>6236</v>
      </c>
      <c r="J561" s="94" t="s">
        <v>434</v>
      </c>
      <c r="K561" s="95">
        <v>60</v>
      </c>
      <c r="L561" s="94"/>
      <c r="M561" s="95">
        <v>950</v>
      </c>
      <c r="N561" s="94" t="s">
        <v>435</v>
      </c>
      <c r="O561" s="94"/>
      <c r="P561" s="95">
        <v>4</v>
      </c>
      <c r="Q561" s="94" t="s">
        <v>436</v>
      </c>
      <c r="R561" s="95">
        <v>0</v>
      </c>
      <c r="S561" s="95">
        <v>0</v>
      </c>
      <c r="T561" s="95">
        <v>127</v>
      </c>
      <c r="U561" s="95">
        <v>26</v>
      </c>
      <c r="V561" s="95">
        <v>198</v>
      </c>
      <c r="W561" s="95">
        <v>348</v>
      </c>
      <c r="X561" s="97">
        <v>45156.375</v>
      </c>
      <c r="Y561" s="97">
        <v>45142.375</v>
      </c>
      <c r="Z561" s="97">
        <v>45155.375</v>
      </c>
      <c r="AA561" s="98"/>
    </row>
    <row r="562" spans="1:27" ht="15.75" hidden="1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1"/>
      <c r="Y562" s="101"/>
      <c r="Z562" s="101"/>
      <c r="AA562" s="101"/>
    </row>
    <row r="563" spans="1:27" ht="15.75" hidden="1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1"/>
      <c r="Y563" s="101"/>
      <c r="Z563" s="101"/>
      <c r="AA563" s="101"/>
    </row>
    <row r="564" spans="1:27" ht="15.75" hidden="1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2"/>
      <c r="O564" s="100"/>
      <c r="P564" s="100"/>
      <c r="Q564" s="100"/>
      <c r="R564" s="100"/>
      <c r="S564" s="100"/>
      <c r="T564" s="100"/>
      <c r="U564" s="100"/>
      <c r="V564" s="100"/>
      <c r="W564" s="100"/>
      <c r="X564" s="101"/>
      <c r="Y564" s="101"/>
      <c r="Z564" s="101"/>
      <c r="AA564" s="101"/>
    </row>
    <row r="565" spans="1:27" ht="15.75" hidden="1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2"/>
      <c r="O565" s="100"/>
      <c r="P565" s="100"/>
      <c r="Q565" s="100"/>
      <c r="R565" s="100"/>
      <c r="S565" s="100"/>
      <c r="T565" s="100"/>
      <c r="U565" s="100"/>
      <c r="V565" s="100"/>
      <c r="W565" s="100"/>
      <c r="X565" s="101"/>
      <c r="Y565" s="101"/>
      <c r="Z565" s="101"/>
      <c r="AA565" s="101"/>
    </row>
    <row r="566" spans="1:27" ht="15.75" hidden="1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2"/>
      <c r="O566" s="100"/>
      <c r="P566" s="100"/>
      <c r="Q566" s="100"/>
      <c r="R566" s="100"/>
      <c r="S566" s="100"/>
      <c r="T566" s="100"/>
      <c r="U566" s="100"/>
      <c r="V566" s="100"/>
      <c r="W566" s="100"/>
      <c r="X566" s="101"/>
      <c r="Y566" s="101"/>
      <c r="Z566" s="101"/>
      <c r="AA566" s="101"/>
    </row>
    <row r="567" spans="1:27" ht="15.75" hidden="1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1"/>
      <c r="Y567" s="101"/>
      <c r="Z567" s="101"/>
      <c r="AA567" s="101"/>
    </row>
    <row r="568" spans="1:27" ht="15.75" hidden="1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1"/>
      <c r="Y568" s="101"/>
      <c r="Z568" s="101"/>
      <c r="AA568" s="101"/>
    </row>
    <row r="569" spans="1:27" ht="15.75" hidden="1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3"/>
      <c r="W569" s="103"/>
      <c r="X569" s="101"/>
      <c r="Y569" s="101"/>
      <c r="Z569" s="101"/>
      <c r="AA569" s="101"/>
    </row>
    <row r="570" spans="1:27" ht="15.75" hidden="1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3"/>
      <c r="W570" s="103"/>
      <c r="X570" s="101"/>
      <c r="Y570" s="101"/>
      <c r="Z570" s="101"/>
      <c r="AA570" s="101"/>
    </row>
    <row r="571" spans="1:27" ht="15.75" hidden="1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3"/>
      <c r="W571" s="103"/>
      <c r="X571" s="101"/>
      <c r="Y571" s="101"/>
      <c r="Z571" s="101"/>
      <c r="AA571" s="101"/>
    </row>
    <row r="572" spans="1:27" ht="15.75" hidden="1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3"/>
      <c r="W572" s="103"/>
      <c r="X572" s="101"/>
      <c r="Y572" s="101"/>
      <c r="Z572" s="101"/>
      <c r="AA572" s="101"/>
    </row>
    <row r="573" spans="1:27" ht="15.75" hidden="1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3"/>
      <c r="W573" s="103"/>
      <c r="X573" s="101"/>
      <c r="Y573" s="101"/>
      <c r="Z573" s="101"/>
      <c r="AA573" s="101"/>
    </row>
    <row r="574" spans="1:27" ht="15.75" hidden="1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3"/>
      <c r="W574" s="103"/>
      <c r="X574" s="101"/>
      <c r="Y574" s="101"/>
      <c r="Z574" s="101"/>
      <c r="AA574" s="101"/>
    </row>
    <row r="575" spans="1:27" ht="15.75" hidden="1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3"/>
      <c r="W575" s="103"/>
      <c r="X575" s="101"/>
      <c r="Y575" s="101"/>
      <c r="Z575" s="101"/>
      <c r="AA575" s="101"/>
    </row>
    <row r="576" spans="1:27" ht="15.75" hidden="1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3"/>
      <c r="W576" s="103"/>
      <c r="X576" s="101"/>
      <c r="Y576" s="101"/>
      <c r="Z576" s="101"/>
      <c r="AA576" s="101"/>
    </row>
    <row r="577" spans="1:27" ht="15.75" hidden="1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3"/>
      <c r="W577" s="103"/>
      <c r="X577" s="101"/>
      <c r="Y577" s="101"/>
      <c r="Z577" s="101"/>
      <c r="AA577" s="101"/>
    </row>
    <row r="578" spans="1:27" ht="15.75" hidden="1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3"/>
      <c r="W578" s="103"/>
      <c r="X578" s="101"/>
      <c r="Y578" s="101"/>
      <c r="Z578" s="101"/>
      <c r="AA578" s="101"/>
    </row>
    <row r="579" spans="1:27" ht="15.75" hidden="1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3"/>
      <c r="W579" s="103"/>
      <c r="X579" s="101"/>
      <c r="Y579" s="101"/>
      <c r="Z579" s="101"/>
      <c r="AA579" s="101"/>
    </row>
    <row r="580" spans="1:27" ht="15.75" hidden="1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3"/>
      <c r="W580" s="103"/>
      <c r="X580" s="101"/>
      <c r="Y580" s="101"/>
      <c r="Z580" s="101"/>
      <c r="AA580" s="101"/>
    </row>
    <row r="581" spans="1:27" ht="15.75" hidden="1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3"/>
      <c r="W581" s="103"/>
      <c r="X581" s="101"/>
      <c r="Y581" s="101"/>
      <c r="Z581" s="101"/>
      <c r="AA581" s="101"/>
    </row>
    <row r="582" spans="1:27" ht="15.75" hidden="1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1"/>
      <c r="Y582" s="101"/>
      <c r="Z582" s="101"/>
      <c r="AA582" s="101"/>
    </row>
    <row r="583" spans="1:27" ht="15.75" hidden="1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1"/>
      <c r="Y583" s="101"/>
      <c r="Z583" s="101"/>
      <c r="AA583" s="101"/>
    </row>
    <row r="584" spans="1:27" ht="15.75" hidden="1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1"/>
      <c r="Y584" s="101"/>
      <c r="Z584" s="101"/>
      <c r="AA584" s="101"/>
    </row>
    <row r="585" spans="1:27" ht="15.75" hidden="1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1"/>
      <c r="Y585" s="101"/>
      <c r="Z585" s="101"/>
      <c r="AA585" s="101"/>
    </row>
    <row r="586" spans="1:27" ht="15.75" hidden="1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1"/>
      <c r="Y586" s="101"/>
      <c r="Z586" s="101"/>
      <c r="AA586" s="101"/>
    </row>
    <row r="587" spans="1:27" ht="15.75" hidden="1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1"/>
      <c r="Y587" s="101"/>
      <c r="Z587" s="101"/>
      <c r="AA587" s="101"/>
    </row>
    <row r="588" spans="1:27" ht="15.75" hidden="1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1"/>
      <c r="Y588" s="101"/>
      <c r="Z588" s="101"/>
      <c r="AA588" s="101"/>
    </row>
    <row r="589" spans="1:27" ht="15.75" hidden="1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1"/>
      <c r="Y589" s="101"/>
      <c r="Z589" s="101"/>
      <c r="AA589" s="101"/>
    </row>
    <row r="590" spans="1:27" ht="15.75" hidden="1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1"/>
      <c r="Y590" s="101"/>
      <c r="Z590" s="101"/>
      <c r="AA590" s="101"/>
    </row>
    <row r="591" spans="1:27" ht="15.75" hidden="1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1"/>
      <c r="Y591" s="101"/>
      <c r="Z591" s="101"/>
      <c r="AA591" s="101"/>
    </row>
    <row r="592" spans="1:27" ht="15.75" hidden="1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1"/>
      <c r="Y592" s="101"/>
      <c r="Z592" s="101"/>
      <c r="AA592" s="101"/>
    </row>
    <row r="593" spans="1:27" ht="15.75" hidden="1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1"/>
      <c r="Y593" s="101"/>
      <c r="Z593" s="101"/>
      <c r="AA593" s="101"/>
    </row>
    <row r="594" spans="1:27" ht="15.75" hidden="1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1"/>
      <c r="Y594" s="101"/>
      <c r="Z594" s="101"/>
      <c r="AA594" s="101"/>
    </row>
    <row r="595" spans="1:27" ht="15.75" hidden="1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1"/>
      <c r="Y595" s="101"/>
      <c r="Z595" s="101"/>
      <c r="AA595" s="101"/>
    </row>
    <row r="596" spans="1:27" ht="15.75" hidden="1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1"/>
      <c r="Y596" s="101"/>
      <c r="Z596" s="101"/>
      <c r="AA596" s="101"/>
    </row>
    <row r="597" spans="1:27" ht="15.75" hidden="1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1"/>
      <c r="Y597" s="101"/>
      <c r="Z597" s="101"/>
      <c r="AA597" s="101"/>
    </row>
    <row r="598" spans="1:27" ht="15.75" hidden="1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1"/>
      <c r="Y598" s="101"/>
      <c r="Z598" s="101"/>
      <c r="AA598" s="101"/>
    </row>
    <row r="599" spans="1:27" ht="15.75" hidden="1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1"/>
      <c r="Y599" s="101"/>
      <c r="Z599" s="101"/>
      <c r="AA599" s="101"/>
    </row>
    <row r="600" spans="1:27" ht="15.75" hidden="1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1"/>
      <c r="Y600" s="101"/>
      <c r="Z600" s="101"/>
      <c r="AA600" s="101"/>
    </row>
    <row r="601" spans="1:27" ht="15.75" hidden="1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1"/>
      <c r="Y601" s="101"/>
      <c r="Z601" s="101"/>
      <c r="AA601" s="101"/>
    </row>
    <row r="602" spans="1:27" ht="15.75" hidden="1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1"/>
      <c r="Y602" s="101"/>
      <c r="Z602" s="101"/>
      <c r="AA602" s="101"/>
    </row>
    <row r="603" spans="1:27" ht="15.75" hidden="1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1"/>
      <c r="Y603" s="101"/>
      <c r="Z603" s="101"/>
      <c r="AA603" s="101"/>
    </row>
    <row r="604" spans="1:27" ht="15.75" hidden="1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1"/>
      <c r="Y604" s="101"/>
      <c r="Z604" s="101"/>
      <c r="AA604" s="101"/>
    </row>
    <row r="605" spans="1:27" ht="15.75" hidden="1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1"/>
      <c r="Y605" s="101"/>
      <c r="Z605" s="101"/>
      <c r="AA605" s="101"/>
    </row>
    <row r="606" spans="1:27" ht="15.75" hidden="1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1"/>
      <c r="Y606" s="101"/>
      <c r="Z606" s="101"/>
      <c r="AA606" s="101"/>
    </row>
    <row r="607" spans="1:27" ht="15.75" hidden="1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1"/>
      <c r="Y607" s="101"/>
      <c r="Z607" s="101"/>
      <c r="AA607" s="101"/>
    </row>
    <row r="608" spans="1:27" ht="15.75" hidden="1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1"/>
      <c r="Y608" s="101"/>
      <c r="Z608" s="101"/>
      <c r="AA608" s="101"/>
    </row>
    <row r="609" spans="1:27" ht="15.75" hidden="1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1"/>
      <c r="Y609" s="101"/>
      <c r="Z609" s="101"/>
      <c r="AA609" s="101"/>
    </row>
    <row r="610" spans="1:27" ht="15.75" hidden="1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1"/>
      <c r="Y610" s="101"/>
      <c r="Z610" s="101"/>
      <c r="AA610" s="101"/>
    </row>
    <row r="611" spans="1:27" ht="15.75" hidden="1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1"/>
      <c r="Y611" s="101"/>
      <c r="Z611" s="101"/>
      <c r="AA611" s="101"/>
    </row>
    <row r="612" spans="1:27" ht="15.75" hidden="1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3"/>
      <c r="W612" s="103"/>
      <c r="X612" s="101"/>
      <c r="Y612" s="101"/>
      <c r="Z612" s="101"/>
      <c r="AA612" s="101"/>
    </row>
    <row r="613" spans="1:27" ht="15.75" hidden="1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3"/>
      <c r="W613" s="103"/>
      <c r="X613" s="101"/>
      <c r="Y613" s="101"/>
      <c r="Z613" s="101"/>
      <c r="AA613" s="101"/>
    </row>
    <row r="614" spans="1:27" ht="15.75" hidden="1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3"/>
      <c r="W614" s="103"/>
      <c r="X614" s="101"/>
      <c r="Y614" s="101"/>
      <c r="Z614" s="101"/>
      <c r="AA614" s="101"/>
    </row>
    <row r="615" spans="1:27" ht="15.75" hidden="1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3"/>
      <c r="W615" s="103"/>
      <c r="X615" s="101"/>
      <c r="Y615" s="101"/>
      <c r="Z615" s="101"/>
      <c r="AA615" s="101"/>
    </row>
    <row r="616" spans="1:27" ht="15.75" hidden="1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3"/>
      <c r="W616" s="103"/>
      <c r="X616" s="101"/>
      <c r="Y616" s="101"/>
      <c r="Z616" s="101"/>
      <c r="AA616" s="101"/>
    </row>
    <row r="617" spans="1:27" ht="15.75" hidden="1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3"/>
      <c r="W617" s="103"/>
      <c r="X617" s="101"/>
      <c r="Y617" s="101"/>
      <c r="Z617" s="101"/>
      <c r="AA617" s="101"/>
    </row>
    <row r="618" spans="1:27" ht="15.75" hidden="1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3"/>
      <c r="W618" s="103"/>
      <c r="X618" s="101"/>
      <c r="Y618" s="101"/>
      <c r="Z618" s="101"/>
      <c r="AA618" s="101"/>
    </row>
    <row r="619" spans="1:27" ht="15.75" hidden="1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3"/>
      <c r="W619" s="103"/>
      <c r="X619" s="101"/>
      <c r="Y619" s="101"/>
      <c r="Z619" s="101"/>
      <c r="AA619" s="101"/>
    </row>
    <row r="620" spans="1:27" ht="15.75" hidden="1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3"/>
      <c r="W620" s="103"/>
      <c r="X620" s="101"/>
      <c r="Y620" s="101"/>
      <c r="Z620" s="101"/>
      <c r="AA620" s="101"/>
    </row>
    <row r="621" spans="1:27" ht="15.75" hidden="1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3"/>
      <c r="W621" s="103"/>
      <c r="X621" s="101"/>
      <c r="Y621" s="101"/>
      <c r="Z621" s="101"/>
      <c r="AA621" s="101"/>
    </row>
    <row r="622" spans="1:27" ht="15.75" hidden="1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3"/>
      <c r="W622" s="103"/>
      <c r="X622" s="101"/>
      <c r="Y622" s="101"/>
      <c r="Z622" s="101"/>
      <c r="AA622" s="101"/>
    </row>
    <row r="623" spans="1:27" ht="15.75" hidden="1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3"/>
      <c r="W623" s="103"/>
      <c r="X623" s="101"/>
      <c r="Y623" s="101"/>
      <c r="Z623" s="101"/>
      <c r="AA623" s="101"/>
    </row>
    <row r="624" spans="1:27" ht="15.75" hidden="1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3"/>
      <c r="W624" s="103"/>
      <c r="X624" s="101"/>
      <c r="Y624" s="101"/>
      <c r="Z624" s="101"/>
      <c r="AA624" s="101"/>
    </row>
    <row r="625" spans="1:27" ht="15.75" hidden="1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3"/>
      <c r="W625" s="103"/>
      <c r="X625" s="101"/>
      <c r="Y625" s="101"/>
      <c r="Z625" s="101"/>
      <c r="AA625" s="101"/>
    </row>
    <row r="626" spans="1:27" ht="15.75" hidden="1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3"/>
      <c r="W626" s="103"/>
      <c r="X626" s="101"/>
      <c r="Y626" s="101"/>
      <c r="Z626" s="101"/>
      <c r="AA626" s="101"/>
    </row>
    <row r="627" spans="1:27" ht="15.75" hidden="1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3"/>
      <c r="W627" s="103"/>
      <c r="X627" s="101"/>
      <c r="Y627" s="101"/>
      <c r="Z627" s="101"/>
      <c r="AA627" s="101"/>
    </row>
    <row r="628" spans="1:27" ht="15.75" hidden="1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3"/>
      <c r="W628" s="103"/>
      <c r="X628" s="101"/>
      <c r="Y628" s="101"/>
      <c r="Z628" s="101"/>
      <c r="AA628" s="101"/>
    </row>
    <row r="629" spans="1:27" ht="15.75" hidden="1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3"/>
      <c r="W629" s="103"/>
      <c r="X629" s="101"/>
      <c r="Y629" s="101"/>
      <c r="Z629" s="101"/>
      <c r="AA629" s="101"/>
    </row>
    <row r="630" spans="1:27" ht="15.75" hidden="1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3"/>
      <c r="W630" s="103"/>
      <c r="X630" s="101"/>
      <c r="Y630" s="101"/>
      <c r="Z630" s="101"/>
      <c r="AA630" s="101"/>
    </row>
    <row r="631" spans="1:27" ht="15.75" hidden="1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3"/>
      <c r="W631" s="103"/>
      <c r="X631" s="101"/>
      <c r="Y631" s="101"/>
      <c r="Z631" s="101"/>
      <c r="AA631" s="101"/>
    </row>
    <row r="632" spans="1:27" ht="15.75" hidden="1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3"/>
      <c r="W632" s="103"/>
      <c r="X632" s="101"/>
      <c r="Y632" s="101"/>
      <c r="Z632" s="101"/>
      <c r="AA632" s="101"/>
    </row>
    <row r="633" spans="1:27" ht="15.75" hidden="1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3"/>
      <c r="W633" s="103"/>
      <c r="X633" s="101"/>
      <c r="Y633" s="101"/>
      <c r="Z633" s="101"/>
      <c r="AA633" s="101"/>
    </row>
    <row r="634" spans="1:27" ht="15.75" hidden="1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3"/>
      <c r="W634" s="103"/>
      <c r="X634" s="101"/>
      <c r="Y634" s="101"/>
      <c r="Z634" s="101"/>
      <c r="AA634" s="101"/>
    </row>
    <row r="635" spans="1:27" ht="15.75" hidden="1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1"/>
      <c r="Y635" s="101"/>
      <c r="Z635" s="101"/>
      <c r="AA635" s="101"/>
    </row>
    <row r="636" spans="1:27" ht="15.75" hidden="1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1"/>
      <c r="Y636" s="101"/>
      <c r="Z636" s="101"/>
      <c r="AA636" s="101"/>
    </row>
    <row r="637" spans="1:27" ht="15.75" hidden="1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1"/>
      <c r="Y637" s="101"/>
      <c r="Z637" s="101"/>
      <c r="AA637" s="101"/>
    </row>
    <row r="638" spans="1:27" ht="15.75" hidden="1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1"/>
      <c r="Y638" s="101"/>
      <c r="Z638" s="101"/>
      <c r="AA638" s="101"/>
    </row>
    <row r="639" spans="1:27" ht="15.75" hidden="1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1"/>
      <c r="Y639" s="101"/>
      <c r="Z639" s="101"/>
      <c r="AA639" s="101"/>
    </row>
    <row r="640" spans="1:27" ht="15.75" hidden="1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3"/>
      <c r="W640" s="103"/>
      <c r="X640" s="101"/>
      <c r="Y640" s="101"/>
      <c r="Z640" s="101"/>
      <c r="AA640" s="101"/>
    </row>
    <row r="641" spans="1:27" ht="15.75" hidden="1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3"/>
      <c r="W641" s="103"/>
      <c r="X641" s="101"/>
      <c r="Y641" s="101"/>
      <c r="Z641" s="101"/>
      <c r="AA641" s="101"/>
    </row>
    <row r="642" spans="1:27" ht="15.75" hidden="1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3"/>
      <c r="W642" s="103"/>
      <c r="X642" s="101"/>
      <c r="Y642" s="101"/>
      <c r="Z642" s="101"/>
      <c r="AA642" s="101"/>
    </row>
    <row r="643" spans="1:27" ht="15.75" hidden="1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3"/>
      <c r="W643" s="103"/>
      <c r="X643" s="101"/>
      <c r="Y643" s="101"/>
      <c r="Z643" s="101"/>
      <c r="AA643" s="101"/>
    </row>
    <row r="644" spans="1:27" ht="15.75" hidden="1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3"/>
      <c r="W644" s="103"/>
      <c r="X644" s="101"/>
      <c r="Y644" s="101"/>
      <c r="Z644" s="101"/>
      <c r="AA644" s="101"/>
    </row>
    <row r="645" spans="1:27" ht="15.75" hidden="1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3"/>
      <c r="W645" s="103"/>
      <c r="X645" s="101"/>
      <c r="Y645" s="101"/>
      <c r="Z645" s="101"/>
      <c r="AA645" s="101"/>
    </row>
    <row r="646" spans="1:27" ht="15.75" hidden="1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3"/>
      <c r="W646" s="103"/>
      <c r="X646" s="101"/>
      <c r="Y646" s="101"/>
      <c r="Z646" s="101"/>
      <c r="AA646" s="101"/>
    </row>
    <row r="647" spans="1:27" ht="15.75" hidden="1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3"/>
      <c r="W647" s="103"/>
      <c r="X647" s="101"/>
      <c r="Y647" s="101"/>
      <c r="Z647" s="101"/>
      <c r="AA647" s="101"/>
    </row>
    <row r="648" spans="1:27" ht="15.75" hidden="1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3"/>
      <c r="W648" s="103"/>
      <c r="X648" s="101"/>
      <c r="Y648" s="101"/>
      <c r="Z648" s="101"/>
      <c r="AA648" s="101"/>
    </row>
    <row r="649" spans="1:27" ht="15.75" hidden="1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3"/>
      <c r="W649" s="103"/>
      <c r="X649" s="101"/>
      <c r="Y649" s="101"/>
      <c r="Z649" s="101"/>
      <c r="AA649" s="101"/>
    </row>
    <row r="650" spans="1:27" ht="15.75" hidden="1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1"/>
      <c r="Y650" s="101"/>
      <c r="Z650" s="101"/>
      <c r="AA650" s="101"/>
    </row>
    <row r="651" spans="1:27" ht="15.75" hidden="1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1"/>
      <c r="Y651" s="101"/>
      <c r="Z651" s="101"/>
      <c r="AA651" s="101"/>
    </row>
    <row r="652" spans="1:27" ht="15.75" hidden="1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1"/>
      <c r="Y652" s="101"/>
      <c r="Z652" s="101"/>
      <c r="AA652" s="101"/>
    </row>
    <row r="653" spans="1:27" ht="15.75" hidden="1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1"/>
      <c r="Y653" s="101"/>
      <c r="Z653" s="101"/>
      <c r="AA653" s="101"/>
    </row>
    <row r="654" spans="1:27" ht="15.75" hidden="1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1"/>
      <c r="Y654" s="101"/>
      <c r="Z654" s="101"/>
      <c r="AA654" s="101"/>
    </row>
    <row r="655" spans="1:27" ht="15.75" hidden="1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1"/>
      <c r="Y655" s="101"/>
      <c r="Z655" s="101"/>
      <c r="AA655" s="101"/>
    </row>
    <row r="656" spans="1:27" ht="15.75" hidden="1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1"/>
      <c r="Y656" s="101"/>
      <c r="Z656" s="101"/>
      <c r="AA656" s="101"/>
    </row>
    <row r="657" spans="1:27" ht="15.75" hidden="1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1"/>
      <c r="Y657" s="101"/>
      <c r="Z657" s="101"/>
      <c r="AA657" s="101"/>
    </row>
    <row r="658" spans="1:27" ht="15.75" hidden="1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1"/>
      <c r="Y658" s="101"/>
      <c r="Z658" s="101"/>
      <c r="AA658" s="101"/>
    </row>
    <row r="659" spans="1:27" ht="15.75" hidden="1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1"/>
      <c r="Y659" s="101"/>
      <c r="Z659" s="101"/>
      <c r="AA659" s="101"/>
    </row>
    <row r="660" spans="1:27" ht="15.75" hidden="1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1"/>
      <c r="Y660" s="101"/>
      <c r="Z660" s="101"/>
      <c r="AA660" s="101"/>
    </row>
    <row r="661" spans="1:27" ht="15.75" hidden="1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1"/>
      <c r="Y661" s="101"/>
      <c r="Z661" s="101"/>
      <c r="AA661" s="101"/>
    </row>
    <row r="662" spans="1:27" ht="15.75" hidden="1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1"/>
      <c r="Y662" s="101"/>
      <c r="Z662" s="101"/>
      <c r="AA662" s="101"/>
    </row>
    <row r="663" spans="1:27" ht="15.75" hidden="1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1"/>
      <c r="Y663" s="101"/>
      <c r="Z663" s="101"/>
      <c r="AA663" s="101"/>
    </row>
    <row r="664" spans="1:27" ht="15.75" hidden="1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1"/>
      <c r="Y664" s="101"/>
      <c r="Z664" s="101"/>
      <c r="AA664" s="101"/>
    </row>
    <row r="665" spans="1:27" ht="15.75" hidden="1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1"/>
      <c r="Y665" s="101"/>
      <c r="Z665" s="101"/>
      <c r="AA665" s="101"/>
    </row>
    <row r="666" spans="1:27" ht="15.75" hidden="1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1"/>
      <c r="Y666" s="101"/>
      <c r="Z666" s="101"/>
      <c r="AA666" s="101"/>
    </row>
    <row r="667" spans="1:27" ht="15.75" hidden="1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1"/>
      <c r="Y667" s="101"/>
      <c r="Z667" s="101"/>
      <c r="AA667" s="101"/>
    </row>
    <row r="668" spans="1:27" ht="15.75" hidden="1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1"/>
      <c r="Y668" s="101"/>
      <c r="Z668" s="101"/>
      <c r="AA668" s="101"/>
    </row>
    <row r="669" spans="1:27" ht="15.75" hidden="1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1"/>
      <c r="Y669" s="101"/>
      <c r="Z669" s="101"/>
      <c r="AA669" s="101"/>
    </row>
    <row r="670" spans="1:27" ht="15.75" hidden="1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3"/>
      <c r="W670" s="103"/>
      <c r="X670" s="101"/>
      <c r="Y670" s="101"/>
      <c r="Z670" s="101"/>
      <c r="AA670" s="101"/>
    </row>
    <row r="671" spans="1:27" ht="15.75" hidden="1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3"/>
      <c r="W671" s="103"/>
      <c r="X671" s="101"/>
      <c r="Y671" s="101"/>
      <c r="Z671" s="101"/>
      <c r="AA671" s="101"/>
    </row>
    <row r="672" spans="1:27" ht="15.75" hidden="1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3"/>
      <c r="W672" s="103"/>
      <c r="X672" s="101"/>
      <c r="Y672" s="101"/>
      <c r="Z672" s="101"/>
      <c r="AA672" s="101"/>
    </row>
    <row r="673" spans="1:27" ht="15.75" hidden="1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3"/>
      <c r="W673" s="103"/>
      <c r="X673" s="101"/>
      <c r="Y673" s="101"/>
      <c r="Z673" s="101"/>
      <c r="AA673" s="101"/>
    </row>
    <row r="674" spans="1:27" ht="15.75" hidden="1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3"/>
      <c r="W674" s="103"/>
      <c r="X674" s="101"/>
      <c r="Y674" s="101"/>
      <c r="Z674" s="101"/>
      <c r="AA674" s="101"/>
    </row>
    <row r="675" spans="1:27" ht="15.75" hidden="1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1"/>
      <c r="Y675" s="101"/>
      <c r="Z675" s="101"/>
      <c r="AA675" s="101"/>
    </row>
    <row r="676" spans="1:27" ht="15.75" hidden="1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1"/>
      <c r="Y676" s="101"/>
      <c r="Z676" s="101"/>
      <c r="AA676" s="101"/>
    </row>
    <row r="677" spans="1:27" ht="15.75" hidden="1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1"/>
      <c r="Y677" s="101"/>
      <c r="Z677" s="101"/>
      <c r="AA677" s="101"/>
    </row>
    <row r="678" spans="1:27" ht="15.75" hidden="1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1"/>
      <c r="Y678" s="101"/>
      <c r="Z678" s="101"/>
      <c r="AA678" s="101"/>
    </row>
    <row r="679" spans="1:27" ht="15.75" hidden="1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1"/>
      <c r="Y679" s="101"/>
      <c r="Z679" s="101"/>
      <c r="AA679" s="101"/>
    </row>
    <row r="680" spans="1:27" ht="15.75" hidden="1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1"/>
      <c r="Y680" s="101"/>
      <c r="Z680" s="101"/>
      <c r="AA680" s="101"/>
    </row>
    <row r="681" spans="1:27" ht="15.75" hidden="1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1"/>
      <c r="Y681" s="101"/>
      <c r="Z681" s="101"/>
      <c r="AA681" s="101"/>
    </row>
    <row r="682" spans="1:27" ht="15.75" hidden="1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1"/>
      <c r="Y682" s="101"/>
      <c r="Z682" s="101"/>
      <c r="AA682" s="101"/>
    </row>
    <row r="683" spans="1:27" ht="15.75" hidden="1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1"/>
      <c r="Y683" s="101"/>
      <c r="Z683" s="101"/>
      <c r="AA683" s="101"/>
    </row>
    <row r="684" spans="1:27" ht="15.75" hidden="1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1"/>
      <c r="Y684" s="101"/>
      <c r="Z684" s="101"/>
      <c r="AA684" s="101"/>
    </row>
    <row r="685" spans="1:27" ht="15.75" hidden="1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1"/>
      <c r="Y685" s="101"/>
      <c r="Z685" s="101"/>
      <c r="AA685" s="101"/>
    </row>
    <row r="686" spans="1:27" ht="15.75" hidden="1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1"/>
      <c r="Y686" s="101"/>
      <c r="Z686" s="101"/>
      <c r="AA686" s="101"/>
    </row>
    <row r="687" spans="1:27" ht="15.75" hidden="1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1"/>
      <c r="Y687" s="101"/>
      <c r="Z687" s="101"/>
      <c r="AA687" s="101"/>
    </row>
    <row r="688" spans="1:27" ht="15.75" hidden="1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1"/>
      <c r="Y688" s="101"/>
      <c r="Z688" s="101"/>
      <c r="AA688" s="101"/>
    </row>
    <row r="689" spans="1:27" ht="15.75" hidden="1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1"/>
      <c r="Y689" s="101"/>
      <c r="Z689" s="101"/>
      <c r="AA689" s="101"/>
    </row>
    <row r="690" spans="1:27" ht="15.75" hidden="1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1"/>
      <c r="Y690" s="101"/>
      <c r="Z690" s="101"/>
      <c r="AA690" s="101"/>
    </row>
    <row r="691" spans="1:27" ht="15.75" hidden="1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1"/>
      <c r="Y691" s="101"/>
      <c r="Z691" s="101"/>
      <c r="AA691" s="101"/>
    </row>
    <row r="692" spans="1:27" ht="15.75" hidden="1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1"/>
      <c r="Y692" s="101"/>
      <c r="Z692" s="101"/>
      <c r="AA692" s="101"/>
    </row>
    <row r="693" spans="1:27" ht="15.75" hidden="1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1"/>
      <c r="Y693" s="101"/>
      <c r="Z693" s="101"/>
      <c r="AA693" s="101"/>
    </row>
    <row r="694" spans="1:27" ht="15.75" hidden="1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1"/>
      <c r="Y694" s="101"/>
      <c r="Z694" s="101"/>
      <c r="AA694" s="101"/>
    </row>
    <row r="695" spans="1:27" ht="15.75" hidden="1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1"/>
      <c r="Y695" s="101"/>
      <c r="Z695" s="101"/>
      <c r="AA695" s="101"/>
    </row>
    <row r="696" spans="1:27" ht="15.75" hidden="1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1"/>
      <c r="Y696" s="101"/>
      <c r="Z696" s="101"/>
      <c r="AA696" s="101"/>
    </row>
    <row r="697" spans="1:27" ht="15.75" hidden="1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1"/>
      <c r="Y697" s="101"/>
      <c r="Z697" s="101"/>
      <c r="AA697" s="101"/>
    </row>
    <row r="698" spans="1:27" ht="15.75" hidden="1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1"/>
      <c r="Y698" s="101"/>
      <c r="Z698" s="101"/>
      <c r="AA698" s="101"/>
    </row>
    <row r="699" spans="1:27" ht="15.75" hidden="1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1"/>
      <c r="Y699" s="101"/>
      <c r="Z699" s="101"/>
      <c r="AA699" s="101"/>
    </row>
    <row r="700" spans="1:27" ht="15.75" hidden="1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1"/>
      <c r="Y700" s="101"/>
      <c r="Z700" s="101"/>
      <c r="AA700" s="101"/>
    </row>
    <row r="701" spans="1:27" ht="15.75" hidden="1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1"/>
      <c r="Y701" s="101"/>
      <c r="Z701" s="101"/>
      <c r="AA701" s="101"/>
    </row>
    <row r="702" spans="1:27" ht="15.75" hidden="1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1"/>
      <c r="Y702" s="101"/>
      <c r="Z702" s="101"/>
      <c r="AA702" s="101"/>
    </row>
    <row r="703" spans="1:27" ht="15.75" hidden="1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1"/>
      <c r="Y703" s="101"/>
      <c r="Z703" s="101"/>
      <c r="AA703" s="101"/>
    </row>
    <row r="704" spans="1:27" ht="15.75" hidden="1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1"/>
      <c r="Y704" s="101"/>
      <c r="Z704" s="101"/>
      <c r="AA704" s="101"/>
    </row>
    <row r="705" spans="1:27" ht="15.75" hidden="1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1"/>
      <c r="Y705" s="101"/>
      <c r="Z705" s="101"/>
      <c r="AA705" s="101"/>
    </row>
    <row r="706" spans="1:27" ht="15.75" hidden="1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1"/>
      <c r="Y706" s="101"/>
      <c r="Z706" s="101"/>
      <c r="AA706" s="101"/>
    </row>
    <row r="707" spans="1:27" ht="15.75" hidden="1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1"/>
      <c r="Y707" s="101"/>
      <c r="Z707" s="101"/>
      <c r="AA707" s="101"/>
    </row>
    <row r="708" spans="1:27" ht="15.75" hidden="1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1"/>
      <c r="Y708" s="101"/>
      <c r="Z708" s="101"/>
      <c r="AA708" s="101"/>
    </row>
    <row r="709" spans="1:27" ht="15.75" hidden="1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1"/>
      <c r="Y709" s="101"/>
      <c r="Z709" s="101"/>
      <c r="AA709" s="101"/>
    </row>
    <row r="710" spans="1:27" ht="15.75" hidden="1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1"/>
      <c r="Y710" s="101"/>
      <c r="Z710" s="101"/>
      <c r="AA710" s="101"/>
    </row>
    <row r="711" spans="1:27" ht="15.75" hidden="1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1"/>
      <c r="Y711" s="101"/>
      <c r="Z711" s="101"/>
      <c r="AA711" s="101"/>
    </row>
    <row r="712" spans="1:27" ht="15.75" hidden="1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1"/>
      <c r="Y712" s="101"/>
      <c r="Z712" s="101"/>
      <c r="AA712" s="101"/>
    </row>
    <row r="713" spans="1:27" ht="15.75" hidden="1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1"/>
      <c r="Y713" s="101"/>
      <c r="Z713" s="101"/>
      <c r="AA713" s="101"/>
    </row>
    <row r="714" spans="1:27" ht="15.75" hidden="1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1"/>
      <c r="Y714" s="101"/>
      <c r="Z714" s="101"/>
      <c r="AA714" s="101"/>
    </row>
    <row r="715" spans="1:27" ht="15.75" hidden="1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1"/>
      <c r="Y715" s="101"/>
      <c r="Z715" s="101"/>
      <c r="AA715" s="101"/>
    </row>
    <row r="716" spans="1:27" ht="15.75" hidden="1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1"/>
      <c r="Y716" s="101"/>
      <c r="Z716" s="101"/>
      <c r="AA716" s="101"/>
    </row>
    <row r="717" spans="1:27" ht="15.75" hidden="1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1"/>
      <c r="Y717" s="101"/>
      <c r="Z717" s="101"/>
      <c r="AA717" s="101"/>
    </row>
    <row r="718" spans="1:27" ht="15.75" hidden="1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1"/>
      <c r="Y718" s="101"/>
      <c r="Z718" s="101"/>
      <c r="AA718" s="101"/>
    </row>
    <row r="719" spans="1:27" ht="15.75" hidden="1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1"/>
      <c r="Y719" s="101"/>
      <c r="Z719" s="101"/>
      <c r="AA719" s="101"/>
    </row>
    <row r="720" spans="1:27" ht="15.75" hidden="1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1"/>
      <c r="Y720" s="101"/>
      <c r="Z720" s="101"/>
      <c r="AA720" s="101"/>
    </row>
    <row r="721" spans="1:27" ht="15.75" hidden="1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1"/>
      <c r="Y721" s="101"/>
      <c r="Z721" s="101"/>
      <c r="AA721" s="101"/>
    </row>
    <row r="722" spans="1:27" ht="15.75" hidden="1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1"/>
      <c r="Y722" s="101"/>
      <c r="Z722" s="101"/>
      <c r="AA722" s="101"/>
    </row>
    <row r="723" spans="1:27" ht="15.75" hidden="1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1"/>
      <c r="Y723" s="101"/>
      <c r="Z723" s="101"/>
      <c r="AA723" s="101"/>
    </row>
    <row r="724" spans="1:27" ht="15.75" hidden="1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1"/>
      <c r="Y724" s="101"/>
      <c r="Z724" s="101"/>
      <c r="AA724" s="101"/>
    </row>
    <row r="725" spans="1:27" ht="15.75" hidden="1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1"/>
      <c r="Y725" s="101"/>
      <c r="Z725" s="101"/>
      <c r="AA725" s="101"/>
    </row>
    <row r="726" spans="1:27" ht="15.75" hidden="1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1"/>
      <c r="Y726" s="101"/>
      <c r="Z726" s="101"/>
      <c r="AA726" s="101"/>
    </row>
    <row r="727" spans="1:27" ht="15.75" hidden="1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1"/>
      <c r="Y727" s="101"/>
      <c r="Z727" s="101"/>
      <c r="AA727" s="101"/>
    </row>
    <row r="728" spans="1:27" ht="15.75" hidden="1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1"/>
      <c r="Y728" s="101"/>
      <c r="Z728" s="101"/>
      <c r="AA728" s="101"/>
    </row>
    <row r="729" spans="1:27" ht="15.75" hidden="1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1"/>
      <c r="Y729" s="101"/>
      <c r="Z729" s="101"/>
      <c r="AA729" s="101"/>
    </row>
    <row r="730" spans="1:27" ht="15.75" hidden="1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1"/>
      <c r="Y730" s="101"/>
      <c r="Z730" s="101"/>
      <c r="AA730" s="101"/>
    </row>
    <row r="731" spans="1:27" ht="15.75" hidden="1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1"/>
      <c r="Y731" s="101"/>
      <c r="Z731" s="101"/>
      <c r="AA731" s="101"/>
    </row>
    <row r="732" spans="1:27" ht="15.75" hidden="1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1"/>
      <c r="Y732" s="101"/>
      <c r="Z732" s="101"/>
      <c r="AA732" s="101"/>
    </row>
    <row r="733" spans="1:27" ht="15.75" hidden="1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1"/>
      <c r="Y733" s="101"/>
      <c r="Z733" s="101"/>
      <c r="AA733" s="101"/>
    </row>
    <row r="734" spans="1:27" ht="15.75" hidden="1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1"/>
      <c r="Y734" s="101"/>
      <c r="Z734" s="101"/>
      <c r="AA734" s="101"/>
    </row>
    <row r="735" spans="1:27" ht="15.75" hidden="1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1"/>
      <c r="Y735" s="101"/>
      <c r="Z735" s="101"/>
      <c r="AA735" s="101"/>
    </row>
    <row r="736" spans="1:27" ht="15.75" hidden="1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1"/>
      <c r="Y736" s="101"/>
      <c r="Z736" s="101"/>
      <c r="AA736" s="101"/>
    </row>
    <row r="737" spans="1:27" ht="15.75" hidden="1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1"/>
      <c r="Y737" s="101"/>
      <c r="Z737" s="101"/>
      <c r="AA737" s="101"/>
    </row>
    <row r="738" spans="1:27" ht="15.75" hidden="1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1"/>
      <c r="Y738" s="101"/>
      <c r="Z738" s="101"/>
      <c r="AA738" s="101"/>
    </row>
    <row r="739" spans="1:27" ht="15.75" hidden="1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1"/>
      <c r="Y739" s="101"/>
      <c r="Z739" s="101"/>
      <c r="AA739" s="101"/>
    </row>
    <row r="740" spans="1:27" ht="15.75" hidden="1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3"/>
      <c r="W740" s="103"/>
      <c r="X740" s="101"/>
      <c r="Y740" s="101"/>
      <c r="Z740" s="101"/>
      <c r="AA740" s="101"/>
    </row>
    <row r="741" spans="1:27" ht="15.75" hidden="1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3"/>
      <c r="W741" s="103"/>
      <c r="X741" s="101"/>
      <c r="Y741" s="101"/>
      <c r="Z741" s="101"/>
      <c r="AA741" s="101"/>
    </row>
    <row r="742" spans="1:27" ht="15.75" hidden="1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3"/>
      <c r="W742" s="103"/>
      <c r="X742" s="101"/>
      <c r="Y742" s="101"/>
      <c r="Z742" s="101"/>
      <c r="AA742" s="101"/>
    </row>
    <row r="743" spans="1:27" ht="15.75" hidden="1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3"/>
      <c r="W743" s="103"/>
      <c r="X743" s="101"/>
      <c r="Y743" s="101"/>
      <c r="Z743" s="101"/>
      <c r="AA743" s="101"/>
    </row>
    <row r="744" spans="1:27" ht="15.75" hidden="1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3"/>
      <c r="W744" s="103"/>
      <c r="X744" s="101"/>
      <c r="Y744" s="101"/>
      <c r="Z744" s="101"/>
      <c r="AA744" s="101"/>
    </row>
    <row r="745" spans="1:27" ht="15.75" customHeight="1">
      <c r="A745" s="94"/>
      <c r="B745" s="94"/>
      <c r="C745" s="94"/>
      <c r="D745" s="95"/>
      <c r="E745" s="94"/>
      <c r="F745" s="94"/>
      <c r="G745" s="95"/>
      <c r="H745" s="94"/>
      <c r="I745" s="94"/>
      <c r="J745" s="94"/>
      <c r="K745" s="95"/>
      <c r="L745" s="94"/>
      <c r="M745" s="95"/>
      <c r="N745" s="94"/>
      <c r="O745" s="94"/>
      <c r="P745" s="95"/>
      <c r="Q745" s="94"/>
      <c r="R745" s="95"/>
      <c r="S745" s="95"/>
      <c r="T745" s="95"/>
      <c r="U745" s="95"/>
      <c r="V745" s="95"/>
      <c r="W745" s="95"/>
      <c r="X745" s="104"/>
      <c r="Y745" s="104"/>
      <c r="Z745" s="104"/>
      <c r="AA745" s="104"/>
    </row>
    <row r="746" spans="1:27" ht="15.75" customHeight="1">
      <c r="A746" s="94"/>
      <c r="B746" s="94"/>
      <c r="C746" s="94"/>
      <c r="D746" s="95"/>
      <c r="E746" s="94"/>
      <c r="F746" s="94"/>
      <c r="G746" s="95"/>
      <c r="H746" s="94"/>
      <c r="I746" s="94"/>
      <c r="J746" s="94"/>
      <c r="K746" s="95"/>
      <c r="L746" s="94"/>
      <c r="M746" s="95"/>
      <c r="N746" s="94"/>
      <c r="O746" s="94"/>
      <c r="P746" s="95"/>
      <c r="Q746" s="94"/>
      <c r="R746" s="95"/>
      <c r="S746" s="95"/>
      <c r="T746" s="95"/>
      <c r="U746" s="95"/>
      <c r="V746" s="95"/>
      <c r="W746" s="95"/>
      <c r="X746" s="104"/>
      <c r="Y746" s="104"/>
      <c r="Z746" s="104"/>
      <c r="AA746" s="104"/>
    </row>
    <row r="747" spans="1:27" ht="15.75" customHeight="1">
      <c r="A747" s="94"/>
      <c r="B747" s="94"/>
      <c r="C747" s="94"/>
      <c r="D747" s="95"/>
      <c r="E747" s="94"/>
      <c r="F747" s="94"/>
      <c r="G747" s="95"/>
      <c r="H747" s="94"/>
      <c r="I747" s="94"/>
      <c r="J747" s="94"/>
      <c r="K747" s="95"/>
      <c r="L747" s="95"/>
      <c r="M747" s="94"/>
      <c r="N747" s="95"/>
      <c r="O747" s="95"/>
      <c r="P747" s="95"/>
      <c r="Q747" s="94"/>
      <c r="R747" s="95"/>
      <c r="S747" s="95"/>
      <c r="T747" s="95"/>
      <c r="U747" s="95"/>
      <c r="V747" s="95"/>
      <c r="W747" s="95"/>
      <c r="X747" s="104"/>
      <c r="Y747" s="104"/>
      <c r="Z747" s="104"/>
      <c r="AA747" s="104"/>
    </row>
    <row r="748" spans="1:27" ht="15.75" customHeight="1">
      <c r="A748" s="94"/>
      <c r="B748" s="94"/>
      <c r="C748" s="94"/>
      <c r="D748" s="95"/>
      <c r="E748" s="94"/>
      <c r="F748" s="94"/>
      <c r="G748" s="95"/>
      <c r="H748" s="94"/>
      <c r="I748" s="94"/>
      <c r="J748" s="94"/>
      <c r="K748" s="95"/>
      <c r="L748" s="95"/>
      <c r="M748" s="94"/>
      <c r="N748" s="95"/>
      <c r="O748" s="95"/>
      <c r="P748" s="95"/>
      <c r="Q748" s="94"/>
      <c r="R748" s="95"/>
      <c r="S748" s="95"/>
      <c r="T748" s="95"/>
      <c r="U748" s="95"/>
      <c r="V748" s="95"/>
      <c r="W748" s="95"/>
      <c r="X748" s="104"/>
      <c r="Y748" s="104"/>
      <c r="Z748" s="104"/>
      <c r="AA748" s="104"/>
    </row>
    <row r="749" spans="1:27" ht="15.75" customHeight="1">
      <c r="A749" s="94"/>
      <c r="B749" s="94"/>
      <c r="C749" s="94"/>
      <c r="D749" s="95"/>
      <c r="E749" s="94"/>
      <c r="F749" s="94"/>
      <c r="G749" s="95"/>
      <c r="H749" s="94"/>
      <c r="I749" s="94"/>
      <c r="J749" s="94"/>
      <c r="K749" s="95"/>
      <c r="L749" s="95"/>
      <c r="M749" s="94"/>
      <c r="N749" s="95"/>
      <c r="O749" s="95"/>
      <c r="P749" s="95"/>
      <c r="Q749" s="94"/>
      <c r="R749" s="95"/>
      <c r="S749" s="95"/>
      <c r="T749" s="95"/>
      <c r="U749" s="95"/>
      <c r="V749" s="95"/>
      <c r="W749" s="95"/>
      <c r="X749" s="104"/>
      <c r="Y749" s="104"/>
      <c r="Z749" s="104"/>
      <c r="AA749" s="104"/>
    </row>
    <row r="750" spans="1:27" ht="15.75" customHeight="1">
      <c r="A750" s="94"/>
      <c r="B750" s="94"/>
      <c r="C750" s="94"/>
      <c r="D750" s="95"/>
      <c r="E750" s="94"/>
      <c r="F750" s="94"/>
      <c r="G750" s="95"/>
      <c r="H750" s="94"/>
      <c r="I750" s="94"/>
      <c r="J750" s="94"/>
      <c r="K750" s="95"/>
      <c r="L750" s="94"/>
      <c r="M750" s="95"/>
      <c r="N750" s="94"/>
      <c r="O750" s="94"/>
      <c r="P750" s="95"/>
      <c r="Q750" s="94"/>
      <c r="R750" s="95"/>
      <c r="S750" s="95"/>
      <c r="T750" s="95"/>
      <c r="U750" s="95"/>
      <c r="V750" s="95"/>
      <c r="W750" s="95"/>
      <c r="X750" s="104"/>
      <c r="Y750" s="104"/>
      <c r="Z750" s="104"/>
      <c r="AA750" s="104"/>
    </row>
    <row r="751" spans="1:27" ht="15.75" customHeight="1">
      <c r="A751" s="94"/>
      <c r="B751" s="94"/>
      <c r="C751" s="94"/>
      <c r="D751" s="95"/>
      <c r="E751" s="94"/>
      <c r="F751" s="94"/>
      <c r="G751" s="95"/>
      <c r="H751" s="94"/>
      <c r="I751" s="94"/>
      <c r="J751" s="94"/>
      <c r="K751" s="95"/>
      <c r="L751" s="94"/>
      <c r="M751" s="95"/>
      <c r="N751" s="94"/>
      <c r="O751" s="94"/>
      <c r="P751" s="95"/>
      <c r="Q751" s="94"/>
      <c r="R751" s="95"/>
      <c r="S751" s="95"/>
      <c r="T751" s="95"/>
      <c r="U751" s="95"/>
      <c r="V751" s="95"/>
      <c r="W751" s="95"/>
      <c r="X751" s="104"/>
      <c r="Y751" s="104"/>
      <c r="Z751" s="104"/>
      <c r="AA751" s="104"/>
    </row>
    <row r="752" spans="1:27" ht="15.75" customHeight="1">
      <c r="A752" s="94"/>
      <c r="B752" s="94"/>
      <c r="C752" s="94"/>
      <c r="D752" s="95"/>
      <c r="E752" s="94"/>
      <c r="F752" s="94"/>
      <c r="G752" s="95"/>
      <c r="H752" s="94"/>
      <c r="I752" s="94"/>
      <c r="J752" s="94"/>
      <c r="K752" s="95"/>
      <c r="L752" s="95"/>
      <c r="M752" s="94"/>
      <c r="N752" s="95"/>
      <c r="O752" s="95"/>
      <c r="P752" s="95"/>
      <c r="Q752" s="94"/>
      <c r="R752" s="95"/>
      <c r="S752" s="95"/>
      <c r="T752" s="95"/>
      <c r="U752" s="95"/>
      <c r="V752" s="95"/>
      <c r="W752" s="95"/>
      <c r="X752" s="104"/>
      <c r="Y752" s="104"/>
      <c r="Z752" s="104"/>
      <c r="AA752" s="104"/>
    </row>
    <row r="753" spans="1:27" ht="15.75" customHeight="1">
      <c r="A753" s="94"/>
      <c r="B753" s="94"/>
      <c r="C753" s="94"/>
      <c r="D753" s="95"/>
      <c r="E753" s="94"/>
      <c r="F753" s="94"/>
      <c r="G753" s="95"/>
      <c r="H753" s="94"/>
      <c r="I753" s="94"/>
      <c r="J753" s="94"/>
      <c r="K753" s="95"/>
      <c r="L753" s="95"/>
      <c r="M753" s="94"/>
      <c r="N753" s="95"/>
      <c r="O753" s="95"/>
      <c r="P753" s="95"/>
      <c r="Q753" s="94"/>
      <c r="R753" s="95"/>
      <c r="S753" s="95"/>
      <c r="T753" s="95"/>
      <c r="U753" s="95"/>
      <c r="V753" s="95"/>
      <c r="W753" s="95"/>
      <c r="X753" s="104"/>
      <c r="Y753" s="104"/>
      <c r="Z753" s="104"/>
      <c r="AA753" s="104"/>
    </row>
    <row r="754" spans="1:27" ht="15.75" customHeight="1">
      <c r="A754" s="94"/>
      <c r="B754" s="94"/>
      <c r="C754" s="94"/>
      <c r="D754" s="95"/>
      <c r="E754" s="94"/>
      <c r="F754" s="94"/>
      <c r="G754" s="95"/>
      <c r="H754" s="94"/>
      <c r="I754" s="94"/>
      <c r="J754" s="94"/>
      <c r="K754" s="95"/>
      <c r="L754" s="95"/>
      <c r="M754" s="94"/>
      <c r="N754" s="95"/>
      <c r="O754" s="95"/>
      <c r="P754" s="95"/>
      <c r="Q754" s="94"/>
      <c r="R754" s="95"/>
      <c r="S754" s="95"/>
      <c r="T754" s="95"/>
      <c r="U754" s="95"/>
      <c r="V754" s="95"/>
      <c r="W754" s="95"/>
      <c r="X754" s="104"/>
      <c r="Y754" s="104"/>
      <c r="Z754" s="104"/>
      <c r="AA754" s="104"/>
    </row>
    <row r="755" spans="1:27" ht="15.75" customHeight="1">
      <c r="A755" s="94"/>
      <c r="B755" s="94"/>
      <c r="C755" s="94"/>
      <c r="D755" s="95"/>
      <c r="E755" s="94"/>
      <c r="F755" s="94"/>
      <c r="G755" s="95"/>
      <c r="H755" s="94"/>
      <c r="I755" s="94"/>
      <c r="J755" s="94"/>
      <c r="K755" s="95"/>
      <c r="L755" s="94"/>
      <c r="M755" s="95"/>
      <c r="N755" s="94"/>
      <c r="O755" s="94"/>
      <c r="P755" s="95"/>
      <c r="Q755" s="94"/>
      <c r="R755" s="95"/>
      <c r="S755" s="95"/>
      <c r="T755" s="95"/>
      <c r="U755" s="95"/>
      <c r="V755" s="95"/>
      <c r="W755" s="95"/>
      <c r="X755" s="104"/>
      <c r="Y755" s="104"/>
      <c r="Z755" s="104"/>
      <c r="AA755" s="104"/>
    </row>
    <row r="756" spans="1:27" ht="15.75" customHeight="1">
      <c r="A756" s="94"/>
      <c r="B756" s="94"/>
      <c r="C756" s="94"/>
      <c r="D756" s="95"/>
      <c r="E756" s="94"/>
      <c r="F756" s="94"/>
      <c r="G756" s="95"/>
      <c r="H756" s="94"/>
      <c r="I756" s="94"/>
      <c r="J756" s="94"/>
      <c r="K756" s="95"/>
      <c r="L756" s="94"/>
      <c r="M756" s="95"/>
      <c r="N756" s="94"/>
      <c r="O756" s="94"/>
      <c r="P756" s="95"/>
      <c r="Q756" s="94"/>
      <c r="R756" s="95"/>
      <c r="S756" s="95"/>
      <c r="T756" s="95"/>
      <c r="U756" s="95"/>
      <c r="V756" s="95"/>
      <c r="W756" s="95"/>
      <c r="X756" s="104"/>
      <c r="Y756" s="104"/>
      <c r="Z756" s="104"/>
      <c r="AA756" s="104"/>
    </row>
    <row r="757" spans="1:27" ht="15.75" customHeight="1">
      <c r="A757" s="94"/>
      <c r="B757" s="94"/>
      <c r="C757" s="94"/>
      <c r="D757" s="95"/>
      <c r="E757" s="94"/>
      <c r="F757" s="94"/>
      <c r="G757" s="95"/>
      <c r="H757" s="94"/>
      <c r="I757" s="94"/>
      <c r="J757" s="94"/>
      <c r="K757" s="95"/>
      <c r="L757" s="95"/>
      <c r="M757" s="94"/>
      <c r="N757" s="95"/>
      <c r="O757" s="95"/>
      <c r="P757" s="95"/>
      <c r="Q757" s="94"/>
      <c r="R757" s="95"/>
      <c r="S757" s="95"/>
      <c r="T757" s="95"/>
      <c r="U757" s="95"/>
      <c r="V757" s="95"/>
      <c r="W757" s="95"/>
      <c r="X757" s="104"/>
      <c r="Y757" s="104"/>
      <c r="Z757" s="104"/>
      <c r="AA757" s="104"/>
    </row>
    <row r="758" spans="1:27" ht="15.75" customHeight="1">
      <c r="A758" s="94"/>
      <c r="B758" s="94"/>
      <c r="C758" s="94"/>
      <c r="D758" s="95"/>
      <c r="E758" s="94"/>
      <c r="F758" s="94"/>
      <c r="G758" s="95"/>
      <c r="H758" s="94"/>
      <c r="I758" s="94"/>
      <c r="J758" s="94"/>
      <c r="K758" s="95"/>
      <c r="L758" s="95"/>
      <c r="M758" s="94"/>
      <c r="N758" s="95"/>
      <c r="O758" s="95"/>
      <c r="P758" s="95"/>
      <c r="Q758" s="94"/>
      <c r="R758" s="95"/>
      <c r="S758" s="95"/>
      <c r="T758" s="95"/>
      <c r="U758" s="95"/>
      <c r="V758" s="95"/>
      <c r="W758" s="95"/>
      <c r="X758" s="104"/>
      <c r="Y758" s="104"/>
      <c r="Z758" s="104"/>
      <c r="AA758" s="104"/>
    </row>
    <row r="759" spans="1:27" ht="15.75" customHeight="1">
      <c r="A759" s="94"/>
      <c r="B759" s="94"/>
      <c r="C759" s="94"/>
      <c r="D759" s="95"/>
      <c r="E759" s="94"/>
      <c r="F759" s="94"/>
      <c r="G759" s="95"/>
      <c r="H759" s="94"/>
      <c r="I759" s="94"/>
      <c r="J759" s="94"/>
      <c r="K759" s="95"/>
      <c r="L759" s="95"/>
      <c r="M759" s="94"/>
      <c r="N759" s="95"/>
      <c r="O759" s="95"/>
      <c r="P759" s="95"/>
      <c r="Q759" s="94"/>
      <c r="R759" s="95"/>
      <c r="S759" s="95"/>
      <c r="T759" s="95"/>
      <c r="U759" s="95"/>
      <c r="V759" s="95"/>
      <c r="W759" s="95"/>
      <c r="X759" s="104"/>
      <c r="Y759" s="104"/>
      <c r="Z759" s="104"/>
      <c r="AA759" s="104"/>
    </row>
    <row r="760" spans="1:27" ht="15.75" customHeight="1">
      <c r="A760" s="94"/>
      <c r="B760" s="94"/>
      <c r="C760" s="94"/>
      <c r="D760" s="95"/>
      <c r="E760" s="94"/>
      <c r="F760" s="94"/>
      <c r="G760" s="95"/>
      <c r="H760" s="94"/>
      <c r="I760" s="94"/>
      <c r="J760" s="94"/>
      <c r="K760" s="95"/>
      <c r="L760" s="94"/>
      <c r="M760" s="95"/>
      <c r="N760" s="94"/>
      <c r="O760" s="94"/>
      <c r="P760" s="95"/>
      <c r="Q760" s="94"/>
      <c r="R760" s="95"/>
      <c r="S760" s="95"/>
      <c r="T760" s="95"/>
      <c r="U760" s="95"/>
      <c r="V760" s="95"/>
      <c r="W760" s="95"/>
      <c r="X760" s="104"/>
      <c r="Y760" s="104"/>
      <c r="Z760" s="104"/>
      <c r="AA760" s="104"/>
    </row>
    <row r="761" spans="1:27" ht="15.75" customHeight="1">
      <c r="A761" s="94"/>
      <c r="B761" s="94"/>
      <c r="C761" s="94"/>
      <c r="D761" s="95"/>
      <c r="E761" s="94"/>
      <c r="F761" s="94"/>
      <c r="G761" s="95"/>
      <c r="H761" s="94"/>
      <c r="I761" s="94"/>
      <c r="J761" s="94"/>
      <c r="K761" s="95"/>
      <c r="L761" s="94"/>
      <c r="M761" s="95"/>
      <c r="N761" s="94"/>
      <c r="O761" s="94"/>
      <c r="P761" s="95"/>
      <c r="Q761" s="94"/>
      <c r="R761" s="95"/>
      <c r="S761" s="95"/>
      <c r="T761" s="95"/>
      <c r="U761" s="95"/>
      <c r="V761" s="95"/>
      <c r="W761" s="95"/>
      <c r="X761" s="104"/>
      <c r="Y761" s="104"/>
      <c r="Z761" s="104"/>
      <c r="AA761" s="104"/>
    </row>
    <row r="762" spans="1:27" ht="15.75" customHeight="1"/>
    <row r="763" spans="1:27" ht="15.75" customHeight="1"/>
    <row r="764" spans="1:27" ht="15.75" customHeight="1"/>
    <row r="765" spans="1:27" ht="15.75" customHeight="1"/>
    <row r="766" spans="1:27" ht="15.75" customHeight="1"/>
    <row r="767" spans="1:27" ht="15.75" customHeight="1"/>
    <row r="768" spans="1:27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744" xr:uid="{00000000-0009-0000-0000-000010000000}">
    <filterColumn colId="0">
      <filters>
        <filter val="P122"/>
      </filters>
    </filterColumn>
  </autoFilter>
  <phoneticPr fontId="42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L1000"/>
  <sheetViews>
    <sheetView workbookViewId="0"/>
  </sheetViews>
  <sheetFormatPr defaultColWidth="12.61328125" defaultRowHeight="15" customHeight="1"/>
  <cols>
    <col min="1" max="1" width="103.15234375" customWidth="1"/>
    <col min="2" max="6" width="12.61328125" customWidth="1"/>
  </cols>
  <sheetData>
    <row r="1" spans="1:1" ht="15.75" customHeight="1">
      <c r="A1" s="105" t="s">
        <v>8010</v>
      </c>
    </row>
    <row r="2" spans="1:1" ht="15.75" customHeight="1">
      <c r="A2" s="106" t="s">
        <v>8011</v>
      </c>
    </row>
    <row r="3" spans="1:1" ht="15.75" customHeight="1">
      <c r="A3" s="61" t="s">
        <v>8012</v>
      </c>
    </row>
    <row r="4" spans="1:1" ht="15.75" customHeight="1">
      <c r="A4" s="61" t="s">
        <v>8013</v>
      </c>
    </row>
    <row r="5" spans="1:1" ht="15.75" customHeight="1">
      <c r="A5" s="61" t="s">
        <v>8014</v>
      </c>
    </row>
    <row r="6" spans="1:1" ht="15.75" customHeight="1">
      <c r="A6" s="61" t="s">
        <v>8015</v>
      </c>
    </row>
    <row r="7" spans="1:1" ht="15.75" customHeight="1">
      <c r="A7" s="61"/>
    </row>
    <row r="8" spans="1:1" ht="15.75" customHeight="1">
      <c r="A8" s="61" t="s">
        <v>8016</v>
      </c>
    </row>
    <row r="9" spans="1:1" ht="15.75" customHeight="1">
      <c r="A9" s="107" t="s">
        <v>8017</v>
      </c>
    </row>
    <row r="10" spans="1:1" ht="15.75" customHeight="1">
      <c r="A10" s="61" t="s">
        <v>8016</v>
      </c>
    </row>
    <row r="11" spans="1:1" ht="15.75" customHeight="1">
      <c r="A11" s="61" t="s">
        <v>8018</v>
      </c>
    </row>
    <row r="12" spans="1:1" ht="15.75" customHeight="1">
      <c r="A12" s="61" t="s">
        <v>8019</v>
      </c>
    </row>
    <row r="13" spans="1:1" ht="15.75" customHeight="1">
      <c r="A13" s="61" t="s">
        <v>8020</v>
      </c>
    </row>
    <row r="14" spans="1:1" ht="15.75" customHeight="1">
      <c r="A14" s="61" t="s">
        <v>8021</v>
      </c>
    </row>
    <row r="15" spans="1:1" ht="15.75" customHeight="1">
      <c r="A15" s="61" t="s">
        <v>8016</v>
      </c>
    </row>
    <row r="16" spans="1:1" ht="15.75" customHeight="1">
      <c r="A16" s="61" t="s">
        <v>8022</v>
      </c>
    </row>
    <row r="17" spans="1:1" ht="15.75" customHeight="1">
      <c r="A17" s="61" t="s">
        <v>8023</v>
      </c>
    </row>
    <row r="18" spans="1:1" ht="15.75" customHeight="1">
      <c r="A18" s="61" t="s">
        <v>8020</v>
      </c>
    </row>
    <row r="19" spans="1:1" ht="15.75" customHeight="1">
      <c r="A19" s="61" t="s">
        <v>8021</v>
      </c>
    </row>
    <row r="20" spans="1:1" ht="15.75" customHeight="1">
      <c r="A20" s="61" t="s">
        <v>8016</v>
      </c>
    </row>
    <row r="21" spans="1:1" ht="15.75" customHeight="1">
      <c r="A21" s="61" t="s">
        <v>8024</v>
      </c>
    </row>
    <row r="22" spans="1:1" ht="15.75" customHeight="1">
      <c r="A22" s="61" t="s">
        <v>8023</v>
      </c>
    </row>
    <row r="23" spans="1:1" ht="15.75" customHeight="1">
      <c r="A23" s="61" t="s">
        <v>8020</v>
      </c>
    </row>
    <row r="24" spans="1:1" ht="15.75" customHeight="1">
      <c r="A24" s="61" t="s">
        <v>8021</v>
      </c>
    </row>
    <row r="25" spans="1:1" ht="15.75" customHeight="1">
      <c r="A25" s="61" t="s">
        <v>8016</v>
      </c>
    </row>
    <row r="26" spans="1:1" ht="15.75" customHeight="1">
      <c r="A26" s="61" t="s">
        <v>8025</v>
      </c>
    </row>
    <row r="27" spans="1:1" ht="15.75" customHeight="1">
      <c r="A27" s="61" t="s">
        <v>8019</v>
      </c>
    </row>
    <row r="28" spans="1:1" ht="15.75" customHeight="1">
      <c r="A28" s="61" t="s">
        <v>8020</v>
      </c>
    </row>
    <row r="29" spans="1:1" ht="15.75" customHeight="1">
      <c r="A29" s="61" t="s">
        <v>8021</v>
      </c>
    </row>
    <row r="30" spans="1:1" ht="15.75" customHeight="1">
      <c r="A30" s="61" t="s">
        <v>8016</v>
      </c>
    </row>
    <row r="31" spans="1:1" ht="15.75" customHeight="1">
      <c r="A31" s="61" t="s">
        <v>8026</v>
      </c>
    </row>
    <row r="32" spans="1:1" ht="15.75" customHeight="1">
      <c r="A32" s="61" t="s">
        <v>8019</v>
      </c>
    </row>
    <row r="33" spans="1:1" ht="15.75" customHeight="1">
      <c r="A33" s="61" t="s">
        <v>8020</v>
      </c>
    </row>
    <row r="34" spans="1:1" ht="15.75" customHeight="1">
      <c r="A34" s="61" t="s">
        <v>8021</v>
      </c>
    </row>
    <row r="35" spans="1:1" ht="15.75" customHeight="1">
      <c r="A35" s="61" t="s">
        <v>8016</v>
      </c>
    </row>
    <row r="36" spans="1:1" ht="15.75" customHeight="1">
      <c r="A36" s="61" t="s">
        <v>8027</v>
      </c>
    </row>
    <row r="37" spans="1:1" ht="15.75" customHeight="1">
      <c r="A37" s="61" t="s">
        <v>8019</v>
      </c>
    </row>
    <row r="38" spans="1:1" ht="15.75" customHeight="1">
      <c r="A38" s="61" t="s">
        <v>8020</v>
      </c>
    </row>
    <row r="39" spans="1:1" ht="15.75" customHeight="1">
      <c r="A39" s="61" t="s">
        <v>8021</v>
      </c>
    </row>
    <row r="40" spans="1:1" ht="15.75" customHeight="1">
      <c r="A40" s="61" t="s">
        <v>8016</v>
      </c>
    </row>
    <row r="41" spans="1:1" ht="15.75" customHeight="1">
      <c r="A41" s="61" t="s">
        <v>8028</v>
      </c>
    </row>
    <row r="42" spans="1:1" ht="15.75" customHeight="1">
      <c r="A42" s="61" t="s">
        <v>8019</v>
      </c>
    </row>
    <row r="43" spans="1:1" ht="15.75" customHeight="1">
      <c r="A43" s="61" t="s">
        <v>8020</v>
      </c>
    </row>
    <row r="44" spans="1:1" ht="15.75" customHeight="1">
      <c r="A44" s="61" t="s">
        <v>8021</v>
      </c>
    </row>
    <row r="45" spans="1:1" ht="15.75" customHeight="1">
      <c r="A45" s="61" t="s">
        <v>8016</v>
      </c>
    </row>
    <row r="46" spans="1:1" ht="15.75" customHeight="1">
      <c r="A46" s="61" t="s">
        <v>8029</v>
      </c>
    </row>
    <row r="47" spans="1:1" ht="15.75" customHeight="1">
      <c r="A47" s="61" t="s">
        <v>8019</v>
      </c>
    </row>
    <row r="48" spans="1:1" ht="15.75" customHeight="1">
      <c r="A48" s="61" t="s">
        <v>8020</v>
      </c>
    </row>
    <row r="49" spans="1:1" ht="15.75" customHeight="1">
      <c r="A49" s="61" t="s">
        <v>8030</v>
      </c>
    </row>
    <row r="50" spans="1:1" ht="15.75" customHeight="1">
      <c r="A50" s="61" t="s">
        <v>8031</v>
      </c>
    </row>
    <row r="51" spans="1:1" ht="15.75" customHeight="1">
      <c r="A51" s="107" t="s">
        <v>8032</v>
      </c>
    </row>
    <row r="52" spans="1:1" ht="15.75" customHeight="1">
      <c r="A52" s="61" t="s">
        <v>8016</v>
      </c>
    </row>
    <row r="53" spans="1:1" ht="15.75" customHeight="1">
      <c r="A53" s="61" t="s">
        <v>8033</v>
      </c>
    </row>
    <row r="54" spans="1:1" ht="15.75" customHeight="1">
      <c r="A54" s="61" t="s">
        <v>8019</v>
      </c>
    </row>
    <row r="55" spans="1:1" ht="15.75" customHeight="1">
      <c r="A55" s="61" t="s">
        <v>8034</v>
      </c>
    </row>
    <row r="56" spans="1:1" ht="15.75" customHeight="1">
      <c r="A56" s="61" t="s">
        <v>8021</v>
      </c>
    </row>
    <row r="57" spans="1:1" ht="15.75" customHeight="1">
      <c r="A57" s="61" t="s">
        <v>8016</v>
      </c>
    </row>
    <row r="58" spans="1:1" ht="15.75" customHeight="1">
      <c r="A58" s="61" t="s">
        <v>8035</v>
      </c>
    </row>
    <row r="59" spans="1:1" ht="15.75" customHeight="1">
      <c r="A59" s="61" t="s">
        <v>8023</v>
      </c>
    </row>
    <row r="60" spans="1:1" ht="15.75" customHeight="1">
      <c r="A60" s="61" t="s">
        <v>8036</v>
      </c>
    </row>
    <row r="61" spans="1:1" ht="15.75" customHeight="1">
      <c r="A61" s="61" t="s">
        <v>8030</v>
      </c>
    </row>
    <row r="62" spans="1:1" ht="15.75" customHeight="1">
      <c r="A62" s="61" t="s">
        <v>8031</v>
      </c>
    </row>
    <row r="63" spans="1:1" ht="15.75" customHeight="1">
      <c r="A63" s="107" t="s">
        <v>8037</v>
      </c>
    </row>
    <row r="64" spans="1:1" ht="15.75" customHeight="1">
      <c r="A64" s="61" t="s">
        <v>8016</v>
      </c>
    </row>
    <row r="65" spans="1:1" ht="15.75" customHeight="1">
      <c r="A65" s="61" t="s">
        <v>8018</v>
      </c>
    </row>
    <row r="66" spans="1:1" ht="15.75" customHeight="1">
      <c r="A66" s="61" t="s">
        <v>8019</v>
      </c>
    </row>
    <row r="67" spans="1:1" ht="15.75" customHeight="1">
      <c r="A67" s="61" t="s">
        <v>8020</v>
      </c>
    </row>
    <row r="68" spans="1:1" ht="15.75" customHeight="1">
      <c r="A68" s="61" t="s">
        <v>8021</v>
      </c>
    </row>
    <row r="69" spans="1:1" ht="15.75" customHeight="1">
      <c r="A69" s="61" t="s">
        <v>8016</v>
      </c>
    </row>
    <row r="70" spans="1:1" ht="15.75" customHeight="1">
      <c r="A70" s="61" t="s">
        <v>8022</v>
      </c>
    </row>
    <row r="71" spans="1:1" ht="15.75" customHeight="1">
      <c r="A71" s="61" t="s">
        <v>8023</v>
      </c>
    </row>
    <row r="72" spans="1:1" ht="15.75" customHeight="1">
      <c r="A72" s="61" t="s">
        <v>8020</v>
      </c>
    </row>
    <row r="73" spans="1:1" ht="15.75" customHeight="1">
      <c r="A73" s="61" t="s">
        <v>8021</v>
      </c>
    </row>
    <row r="74" spans="1:1" ht="15.75" customHeight="1">
      <c r="A74" s="61" t="s">
        <v>8016</v>
      </c>
    </row>
    <row r="75" spans="1:1" ht="15.75" customHeight="1">
      <c r="A75" s="61" t="s">
        <v>8024</v>
      </c>
    </row>
    <row r="76" spans="1:1" ht="15.75" customHeight="1">
      <c r="A76" s="61" t="s">
        <v>8023</v>
      </c>
    </row>
    <row r="77" spans="1:1" ht="15.75" customHeight="1">
      <c r="A77" s="61" t="s">
        <v>8020</v>
      </c>
    </row>
    <row r="78" spans="1:1" ht="15.75" customHeight="1">
      <c r="A78" s="61" t="s">
        <v>8021</v>
      </c>
    </row>
    <row r="79" spans="1:1" ht="15.75" customHeight="1">
      <c r="A79" s="61" t="s">
        <v>8016</v>
      </c>
    </row>
    <row r="80" spans="1:1" ht="15.75" customHeight="1">
      <c r="A80" s="61" t="s">
        <v>8025</v>
      </c>
    </row>
    <row r="81" spans="1:1" ht="15.75" customHeight="1">
      <c r="A81" s="61" t="s">
        <v>8019</v>
      </c>
    </row>
    <row r="82" spans="1:1" ht="15.75" customHeight="1">
      <c r="A82" s="61" t="s">
        <v>8020</v>
      </c>
    </row>
    <row r="83" spans="1:1" ht="15.75" customHeight="1">
      <c r="A83" s="61" t="s">
        <v>8021</v>
      </c>
    </row>
    <row r="84" spans="1:1" ht="15.75" customHeight="1">
      <c r="A84" s="61" t="s">
        <v>8016</v>
      </c>
    </row>
    <row r="85" spans="1:1" ht="15.75" customHeight="1">
      <c r="A85" s="61" t="s">
        <v>8026</v>
      </c>
    </row>
    <row r="86" spans="1:1" ht="15.75" customHeight="1">
      <c r="A86" s="61" t="s">
        <v>8019</v>
      </c>
    </row>
    <row r="87" spans="1:1" ht="15.75" customHeight="1">
      <c r="A87" s="61" t="s">
        <v>8020</v>
      </c>
    </row>
    <row r="88" spans="1:1" ht="15.75" customHeight="1">
      <c r="A88" s="61" t="s">
        <v>8021</v>
      </c>
    </row>
    <row r="89" spans="1:1" ht="15.75" customHeight="1">
      <c r="A89" s="61" t="s">
        <v>8016</v>
      </c>
    </row>
    <row r="90" spans="1:1" ht="15.75" customHeight="1">
      <c r="A90" s="61" t="s">
        <v>8027</v>
      </c>
    </row>
    <row r="91" spans="1:1" ht="15.75" customHeight="1">
      <c r="A91" s="61" t="s">
        <v>8019</v>
      </c>
    </row>
    <row r="92" spans="1:1" ht="15.75" customHeight="1">
      <c r="A92" s="61" t="s">
        <v>8020</v>
      </c>
    </row>
    <row r="93" spans="1:1" ht="15.75" customHeight="1">
      <c r="A93" s="61" t="s">
        <v>8021</v>
      </c>
    </row>
    <row r="94" spans="1:1" ht="15.75" customHeight="1">
      <c r="A94" s="61" t="s">
        <v>8016</v>
      </c>
    </row>
    <row r="95" spans="1:1" ht="15.75" customHeight="1">
      <c r="A95" s="61" t="s">
        <v>8028</v>
      </c>
    </row>
    <row r="96" spans="1:1" ht="15.75" customHeight="1">
      <c r="A96" s="61" t="s">
        <v>8019</v>
      </c>
    </row>
    <row r="97" spans="1:1" ht="15.75" customHeight="1">
      <c r="A97" s="61" t="s">
        <v>8020</v>
      </c>
    </row>
    <row r="98" spans="1:1" ht="15.75" customHeight="1">
      <c r="A98" s="61" t="s">
        <v>8021</v>
      </c>
    </row>
    <row r="99" spans="1:1" ht="15.75" customHeight="1">
      <c r="A99" s="61" t="s">
        <v>8016</v>
      </c>
    </row>
    <row r="100" spans="1:1" ht="15.75" customHeight="1">
      <c r="A100" s="61" t="s">
        <v>8029</v>
      </c>
    </row>
    <row r="101" spans="1:1" ht="15.75" customHeight="1">
      <c r="A101" s="61" t="s">
        <v>8019</v>
      </c>
    </row>
    <row r="102" spans="1:1" ht="15.75" customHeight="1">
      <c r="A102" s="61" t="s">
        <v>8020</v>
      </c>
    </row>
    <row r="103" spans="1:1" ht="15.75" customHeight="1">
      <c r="A103" s="61" t="s">
        <v>8030</v>
      </c>
    </row>
    <row r="104" spans="1:1" ht="15.75" customHeight="1">
      <c r="A104" s="61" t="s">
        <v>8031</v>
      </c>
    </row>
    <row r="105" spans="1:1" ht="15.75" customHeight="1">
      <c r="A105" s="107" t="s">
        <v>8038</v>
      </c>
    </row>
    <row r="106" spans="1:1" ht="15.75" customHeight="1">
      <c r="A106" s="61" t="s">
        <v>8016</v>
      </c>
    </row>
    <row r="107" spans="1:1" ht="15.75" customHeight="1">
      <c r="A107" s="61" t="s">
        <v>8033</v>
      </c>
    </row>
    <row r="108" spans="1:1" ht="15.75" customHeight="1">
      <c r="A108" s="61" t="s">
        <v>8019</v>
      </c>
    </row>
    <row r="109" spans="1:1" ht="15.75" customHeight="1">
      <c r="A109" s="61" t="s">
        <v>8034</v>
      </c>
    </row>
    <row r="110" spans="1:1" ht="15.75" customHeight="1">
      <c r="A110" s="61" t="s">
        <v>8021</v>
      </c>
    </row>
    <row r="111" spans="1:1" ht="15.75" customHeight="1">
      <c r="A111" s="61" t="s">
        <v>8016</v>
      </c>
    </row>
    <row r="112" spans="1:1" ht="15.75" customHeight="1">
      <c r="A112" s="61" t="s">
        <v>8035</v>
      </c>
    </row>
    <row r="113" spans="1:1" ht="15.75" customHeight="1">
      <c r="A113" s="61" t="s">
        <v>8023</v>
      </c>
    </row>
    <row r="114" spans="1:1" ht="15.75" customHeight="1">
      <c r="A114" s="61" t="s">
        <v>8036</v>
      </c>
    </row>
    <row r="115" spans="1:1" ht="15.75" customHeight="1">
      <c r="A115" s="61" t="s">
        <v>8030</v>
      </c>
    </row>
    <row r="116" spans="1:1" ht="15.75" customHeight="1">
      <c r="A116" s="61" t="s">
        <v>8039</v>
      </c>
    </row>
    <row r="117" spans="1:1" ht="15.75" customHeight="1">
      <c r="A117" s="61" t="s">
        <v>8030</v>
      </c>
    </row>
    <row r="118" spans="1:1" ht="15.75" customHeight="1">
      <c r="A118" s="61"/>
    </row>
    <row r="119" spans="1:1" ht="15.75" customHeight="1">
      <c r="A119" s="61"/>
    </row>
    <row r="120" spans="1:1" ht="15.75" customHeight="1">
      <c r="A120" s="108" t="s">
        <v>8040</v>
      </c>
    </row>
    <row r="121" spans="1:1" ht="15.75" customHeight="1">
      <c r="A121" s="108"/>
    </row>
    <row r="122" spans="1:1" ht="15.75" customHeight="1">
      <c r="A122" s="94" t="s">
        <v>8041</v>
      </c>
    </row>
    <row r="123" spans="1:1" ht="15.75" customHeight="1">
      <c r="A123" s="94" t="s">
        <v>8042</v>
      </c>
    </row>
    <row r="124" spans="1:1" ht="15.75" customHeight="1">
      <c r="A124" s="61" t="s">
        <v>8016</v>
      </c>
    </row>
    <row r="125" spans="1:1" ht="15.75" customHeight="1">
      <c r="A125" s="61" t="s">
        <v>8043</v>
      </c>
    </row>
    <row r="126" spans="1:1" ht="15.75" customHeight="1">
      <c r="A126" s="61" t="s">
        <v>8044</v>
      </c>
    </row>
    <row r="127" spans="1:1" ht="15.75" customHeight="1">
      <c r="A127" s="61" t="s">
        <v>8045</v>
      </c>
    </row>
    <row r="128" spans="1:1" ht="15.75" customHeight="1">
      <c r="A128" s="61" t="s">
        <v>8030</v>
      </c>
    </row>
    <row r="129" spans="1:1" ht="15.75" customHeight="1">
      <c r="A129" s="61" t="s">
        <v>8030</v>
      </c>
    </row>
    <row r="130" spans="1:1" ht="15.75" customHeight="1">
      <c r="A130" s="61"/>
    </row>
    <row r="131" spans="1:1" ht="15.75" customHeight="1">
      <c r="A131" s="61" t="s">
        <v>8046</v>
      </c>
    </row>
    <row r="132" spans="1:1" ht="15.75" customHeight="1">
      <c r="A132" s="61"/>
    </row>
    <row r="133" spans="1:1" ht="15.75" customHeight="1">
      <c r="A133" s="61" t="s">
        <v>8016</v>
      </c>
    </row>
    <row r="134" spans="1:1" ht="15.75" customHeight="1">
      <c r="A134" s="107" t="s">
        <v>8047</v>
      </c>
    </row>
    <row r="135" spans="1:1" ht="15.75" customHeight="1">
      <c r="A135" s="61" t="s">
        <v>8048</v>
      </c>
    </row>
    <row r="136" spans="1:1" ht="15.75" customHeight="1">
      <c r="A136" s="61" t="s">
        <v>8049</v>
      </c>
    </row>
    <row r="137" spans="1:1" ht="15.75" customHeight="1">
      <c r="A137" s="61" t="s">
        <v>8050</v>
      </c>
    </row>
    <row r="138" spans="1:1" ht="15.75" customHeight="1">
      <c r="A138" s="61" t="s">
        <v>8051</v>
      </c>
    </row>
    <row r="139" spans="1:1" ht="15.75" customHeight="1">
      <c r="A139" s="61" t="s">
        <v>8052</v>
      </c>
    </row>
    <row r="140" spans="1:1" ht="15.75" customHeight="1">
      <c r="A140" s="61" t="s">
        <v>8053</v>
      </c>
    </row>
    <row r="141" spans="1:1" ht="15.75" customHeight="1">
      <c r="A141" s="61" t="s">
        <v>8054</v>
      </c>
    </row>
    <row r="142" spans="1:1" ht="15.75" customHeight="1">
      <c r="A142" s="61" t="s">
        <v>8055</v>
      </c>
    </row>
    <row r="143" spans="1:1" ht="15.75" customHeight="1">
      <c r="A143" s="61" t="s">
        <v>8031</v>
      </c>
    </row>
    <row r="144" spans="1:1" ht="15.75" customHeight="1">
      <c r="A144" s="61" t="s">
        <v>8056</v>
      </c>
    </row>
    <row r="145" spans="1:1" ht="15.75" customHeight="1">
      <c r="A145" s="61" t="s">
        <v>8057</v>
      </c>
    </row>
    <row r="146" spans="1:1" ht="15.75" customHeight="1">
      <c r="A146" s="61" t="s">
        <v>8058</v>
      </c>
    </row>
    <row r="147" spans="1:1" ht="15.75" customHeight="1">
      <c r="A147" s="61" t="s">
        <v>8059</v>
      </c>
    </row>
    <row r="148" spans="1:1" ht="15.75" customHeight="1">
      <c r="A148" s="61"/>
    </row>
    <row r="149" spans="1:1" ht="15.75" customHeight="1">
      <c r="A149" s="61" t="s">
        <v>8016</v>
      </c>
    </row>
    <row r="150" spans="1:1" ht="15.75" customHeight="1">
      <c r="A150" s="61" t="s">
        <v>8060</v>
      </c>
    </row>
    <row r="151" spans="1:1" ht="15.75" customHeight="1">
      <c r="A151" s="61" t="s">
        <v>8061</v>
      </c>
    </row>
    <row r="152" spans="1:1" ht="15.75" customHeight="1">
      <c r="A152" s="61" t="s">
        <v>8062</v>
      </c>
    </row>
    <row r="153" spans="1:1" ht="15.75" customHeight="1">
      <c r="A153" s="61" t="s">
        <v>8063</v>
      </c>
    </row>
    <row r="154" spans="1:1" ht="15.75" customHeight="1">
      <c r="A154" s="61" t="s">
        <v>8064</v>
      </c>
    </row>
    <row r="155" spans="1:1" ht="15.75" customHeight="1">
      <c r="A155" s="61" t="s">
        <v>8021</v>
      </c>
    </row>
    <row r="156" spans="1:1" ht="15.75" customHeight="1">
      <c r="A156" s="61" t="s">
        <v>8065</v>
      </c>
    </row>
    <row r="157" spans="1:1" ht="15.75" customHeight="1">
      <c r="A157" s="61" t="s">
        <v>8066</v>
      </c>
    </row>
    <row r="158" spans="1:1" ht="15.75" customHeight="1">
      <c r="A158" s="61" t="s">
        <v>8067</v>
      </c>
    </row>
    <row r="159" spans="1:1" ht="15.75" customHeight="1">
      <c r="A159" s="61" t="s">
        <v>8021</v>
      </c>
    </row>
    <row r="160" spans="1:1" ht="15.75" customHeight="1">
      <c r="A160" s="61" t="s">
        <v>8068</v>
      </c>
    </row>
    <row r="161" spans="1:12" ht="15.75" customHeight="1">
      <c r="A161" s="61" t="s">
        <v>8030</v>
      </c>
    </row>
    <row r="162" spans="1:12" ht="15.75" customHeight="1">
      <c r="A162" s="61" t="s">
        <v>8030</v>
      </c>
    </row>
    <row r="163" spans="1:12" ht="15.75" customHeight="1">
      <c r="A163" s="61" t="s">
        <v>8021</v>
      </c>
    </row>
    <row r="164" spans="1:12" ht="15.75" customHeight="1">
      <c r="A164" s="61"/>
    </row>
    <row r="165" spans="1:12" ht="15.75" customHeight="1">
      <c r="A165" s="61" t="s">
        <v>8016</v>
      </c>
    </row>
    <row r="166" spans="1:12" ht="15.75" customHeight="1">
      <c r="A166" s="61" t="s">
        <v>8069</v>
      </c>
    </row>
    <row r="167" spans="1:12" ht="15.75" customHeight="1">
      <c r="A167" s="61" t="s">
        <v>8070</v>
      </c>
    </row>
    <row r="168" spans="1:12" ht="15.75" customHeight="1">
      <c r="A168" s="61"/>
    </row>
    <row r="169" spans="1:12" ht="15.75" customHeight="1">
      <c r="A169" s="61"/>
    </row>
    <row r="170" spans="1:12" ht="15.75" customHeight="1">
      <c r="A170" s="61"/>
    </row>
    <row r="171" spans="1:12" ht="15.75" customHeight="1">
      <c r="A171" s="61"/>
    </row>
    <row r="172" spans="1:12" ht="15.75" customHeight="1">
      <c r="A172" s="107" t="s">
        <v>8071</v>
      </c>
    </row>
    <row r="173" spans="1:12" ht="15.75" customHeight="1">
      <c r="A173" s="61" t="s">
        <v>8072</v>
      </c>
      <c r="J173" s="109">
        <v>1</v>
      </c>
      <c r="K173" s="109">
        <v>2</v>
      </c>
      <c r="L173" s="109">
        <v>3</v>
      </c>
    </row>
    <row r="174" spans="1:12" ht="15.75" customHeight="1">
      <c r="A174" s="61" t="s">
        <v>8049</v>
      </c>
      <c r="G174" s="89"/>
      <c r="H174" s="89"/>
      <c r="I174" s="89"/>
      <c r="J174" s="88"/>
    </row>
    <row r="175" spans="1:12" ht="15.75" customHeight="1">
      <c r="A175" s="61" t="s">
        <v>8073</v>
      </c>
    </row>
    <row r="176" spans="1:12" ht="15.75" customHeight="1">
      <c r="A176" s="61" t="s">
        <v>8074</v>
      </c>
    </row>
    <row r="177" spans="1:1" ht="15.75" customHeight="1">
      <c r="A177" s="61" t="s">
        <v>8075</v>
      </c>
    </row>
    <row r="178" spans="1:1" ht="15.75" customHeight="1">
      <c r="A178" s="61" t="s">
        <v>8053</v>
      </c>
    </row>
    <row r="179" spans="1:1" ht="15.75" customHeight="1">
      <c r="A179" s="61" t="s">
        <v>8076</v>
      </c>
    </row>
    <row r="180" spans="1:1" ht="15.75" customHeight="1">
      <c r="A180" s="61" t="s">
        <v>8077</v>
      </c>
    </row>
    <row r="181" spans="1:1" ht="15.75" customHeight="1">
      <c r="A181" s="61" t="s">
        <v>8031</v>
      </c>
    </row>
    <row r="182" spans="1:1" ht="15.75" customHeight="1">
      <c r="A182" s="61" t="s">
        <v>8078</v>
      </c>
    </row>
    <row r="183" spans="1:1" ht="15.75" customHeight="1">
      <c r="A183" s="61" t="s">
        <v>8079</v>
      </c>
    </row>
    <row r="184" spans="1:1" ht="15.75" customHeight="1">
      <c r="A184" s="61"/>
    </row>
    <row r="185" spans="1:1" ht="15.75" customHeight="1">
      <c r="A185" s="61" t="s">
        <v>8058</v>
      </c>
    </row>
    <row r="186" spans="1:1" ht="15.75" customHeight="1">
      <c r="A186" s="61" t="s">
        <v>8059</v>
      </c>
    </row>
    <row r="187" spans="1:1" ht="15.75" customHeight="1">
      <c r="A187" s="61"/>
    </row>
    <row r="188" spans="1:1" ht="15.75" customHeight="1">
      <c r="A188" s="61" t="s">
        <v>8016</v>
      </c>
    </row>
    <row r="189" spans="1:1" ht="15.75" customHeight="1">
      <c r="A189" s="61" t="s">
        <v>8080</v>
      </c>
    </row>
    <row r="190" spans="1:1" ht="15.75" customHeight="1">
      <c r="A190" s="61" t="s">
        <v>8061</v>
      </c>
    </row>
    <row r="191" spans="1:1" ht="15.75" customHeight="1">
      <c r="A191" s="61" t="s">
        <v>8062</v>
      </c>
    </row>
    <row r="192" spans="1:1" ht="15.75" customHeight="1">
      <c r="A192" s="61" t="s">
        <v>8063</v>
      </c>
    </row>
    <row r="193" spans="1:11" ht="15.75" customHeight="1">
      <c r="A193" s="61" t="s">
        <v>8064</v>
      </c>
    </row>
    <row r="194" spans="1:11" ht="15.75" customHeight="1">
      <c r="A194" s="61" t="s">
        <v>8021</v>
      </c>
    </row>
    <row r="195" spans="1:11" ht="15.75" customHeight="1">
      <c r="A195" s="61" t="s">
        <v>8065</v>
      </c>
    </row>
    <row r="196" spans="1:11" ht="15.75" customHeight="1">
      <c r="A196" s="61" t="s">
        <v>8066</v>
      </c>
    </row>
    <row r="197" spans="1:11" ht="15.75" customHeight="1">
      <c r="A197" s="61" t="s">
        <v>8067</v>
      </c>
    </row>
    <row r="198" spans="1:11" ht="15.75" customHeight="1">
      <c r="A198" s="61" t="s">
        <v>8021</v>
      </c>
    </row>
    <row r="199" spans="1:11" ht="15.75" customHeight="1">
      <c r="A199" s="61" t="s">
        <v>8068</v>
      </c>
    </row>
    <row r="200" spans="1:11" ht="15.75" customHeight="1">
      <c r="A200" s="61" t="s">
        <v>8030</v>
      </c>
    </row>
    <row r="201" spans="1:11" ht="15.75" customHeight="1">
      <c r="A201" s="61" t="s">
        <v>8030</v>
      </c>
    </row>
    <row r="202" spans="1:11" ht="15.75" customHeight="1">
      <c r="A202" s="61"/>
    </row>
    <row r="203" spans="1:11" ht="15.75" customHeight="1">
      <c r="A203" s="61"/>
    </row>
    <row r="204" spans="1:11" ht="15.75" customHeight="1">
      <c r="A204" s="61" t="s">
        <v>8021</v>
      </c>
    </row>
    <row r="205" spans="1:11" ht="15.75" customHeight="1">
      <c r="A205" s="107" t="s">
        <v>8081</v>
      </c>
    </row>
    <row r="206" spans="1:11" ht="15.75" customHeight="1">
      <c r="A206" s="61" t="s">
        <v>8082</v>
      </c>
      <c r="I206" s="89" t="s">
        <v>8083</v>
      </c>
      <c r="J206" s="89" t="s">
        <v>8084</v>
      </c>
      <c r="K206" s="89" t="s">
        <v>8085</v>
      </c>
    </row>
    <row r="207" spans="1:11" ht="15.75" customHeight="1">
      <c r="A207" s="61" t="s">
        <v>8086</v>
      </c>
    </row>
    <row r="208" spans="1:11" ht="15.75" customHeight="1">
      <c r="A208" s="61" t="s">
        <v>8087</v>
      </c>
    </row>
    <row r="209" spans="1:11" ht="15.75" customHeight="1">
      <c r="A209" s="61" t="s">
        <v>8088</v>
      </c>
      <c r="J209" s="110"/>
    </row>
    <row r="210" spans="1:11" ht="15.75" customHeight="1">
      <c r="A210" s="61" t="s">
        <v>8089</v>
      </c>
      <c r="I210" s="111" t="s">
        <v>8090</v>
      </c>
      <c r="J210" s="84" t="s">
        <v>8091</v>
      </c>
      <c r="K210" s="89" t="s">
        <v>8092</v>
      </c>
    </row>
    <row r="211" spans="1:11" ht="15.75" customHeight="1">
      <c r="A211" s="61" t="s">
        <v>8093</v>
      </c>
    </row>
    <row r="212" spans="1:11" ht="15.75" customHeight="1">
      <c r="A212" s="61" t="s">
        <v>8094</v>
      </c>
    </row>
    <row r="213" spans="1:11" ht="15.75" customHeight="1">
      <c r="A213" s="61" t="s">
        <v>8095</v>
      </c>
    </row>
    <row r="214" spans="1:11" ht="15.75" customHeight="1">
      <c r="A214" s="61" t="s">
        <v>8096</v>
      </c>
      <c r="I214" s="9"/>
      <c r="K214" s="9"/>
    </row>
    <row r="215" spans="1:11" ht="15.75" customHeight="1">
      <c r="A215" s="61" t="s">
        <v>8021</v>
      </c>
      <c r="H215" s="112" t="s">
        <v>8090</v>
      </c>
      <c r="I215" s="112" t="s">
        <v>8097</v>
      </c>
      <c r="J215" s="88" t="s">
        <v>8092</v>
      </c>
    </row>
    <row r="216" spans="1:11" ht="15.75" customHeight="1">
      <c r="A216" s="61" t="s">
        <v>8098</v>
      </c>
    </row>
    <row r="217" spans="1:11" ht="15.75" customHeight="1">
      <c r="A217" s="61" t="s">
        <v>8099</v>
      </c>
    </row>
    <row r="218" spans="1:11" ht="15.75" customHeight="1">
      <c r="A218" s="113" t="s">
        <v>8100</v>
      </c>
    </row>
    <row r="219" spans="1:11" ht="15.75" customHeight="1">
      <c r="A219" s="113" t="s">
        <v>8101</v>
      </c>
    </row>
    <row r="220" spans="1:11" ht="15.75" customHeight="1">
      <c r="A220" s="113" t="s">
        <v>8102</v>
      </c>
    </row>
    <row r="221" spans="1:11" ht="15.75" customHeight="1">
      <c r="A221" s="113" t="s">
        <v>8103</v>
      </c>
    </row>
    <row r="222" spans="1:11" ht="15.75" customHeight="1">
      <c r="A222" s="113" t="s">
        <v>8104</v>
      </c>
    </row>
    <row r="223" spans="1:11" ht="15.75" customHeight="1">
      <c r="A223" s="113" t="s">
        <v>8105</v>
      </c>
    </row>
    <row r="224" spans="1:11" ht="15.75" customHeight="1">
      <c r="A224" s="113" t="s">
        <v>8031</v>
      </c>
    </row>
    <row r="225" spans="1:1" ht="15.75" customHeight="1">
      <c r="A225" s="61" t="s">
        <v>8053</v>
      </c>
    </row>
    <row r="226" spans="1:1" ht="15.75" customHeight="1">
      <c r="A226" s="61" t="s">
        <v>8106</v>
      </c>
    </row>
    <row r="227" spans="1:1" ht="15.75" customHeight="1">
      <c r="A227" s="61" t="s">
        <v>8107</v>
      </c>
    </row>
    <row r="228" spans="1:1" ht="15.75" customHeight="1">
      <c r="A228" s="61" t="s">
        <v>8031</v>
      </c>
    </row>
    <row r="229" spans="1:1" ht="15.75" customHeight="1">
      <c r="A229" s="61" t="s">
        <v>8108</v>
      </c>
    </row>
    <row r="230" spans="1:1" ht="15.75" customHeight="1">
      <c r="A230" s="61" t="s">
        <v>8021</v>
      </c>
    </row>
    <row r="231" spans="1:1" ht="15.75" customHeight="1">
      <c r="A231" s="61"/>
    </row>
    <row r="232" spans="1:1" ht="15.75" customHeight="1">
      <c r="A232" s="107" t="s">
        <v>8109</v>
      </c>
    </row>
    <row r="233" spans="1:1" ht="15.75" customHeight="1">
      <c r="A233" s="61" t="s">
        <v>8110</v>
      </c>
    </row>
    <row r="234" spans="1:1" ht="15.75" customHeight="1">
      <c r="A234" s="61" t="s">
        <v>8111</v>
      </c>
    </row>
    <row r="235" spans="1:1" ht="15.75" customHeight="1">
      <c r="A235" s="61" t="s">
        <v>8112</v>
      </c>
    </row>
    <row r="236" spans="1:1" ht="15.75" customHeight="1">
      <c r="A236" s="61" t="s">
        <v>8113</v>
      </c>
    </row>
    <row r="237" spans="1:1" ht="15.75" customHeight="1">
      <c r="A237" s="61" t="s">
        <v>8114</v>
      </c>
    </row>
    <row r="238" spans="1:1" ht="15.75" customHeight="1">
      <c r="A238" s="61" t="s">
        <v>8053</v>
      </c>
    </row>
    <row r="239" spans="1:1" ht="15.75" customHeight="1">
      <c r="A239" s="61" t="s">
        <v>8115</v>
      </c>
    </row>
    <row r="240" spans="1:1" ht="15.75" customHeight="1">
      <c r="A240" s="61" t="s">
        <v>8107</v>
      </c>
    </row>
    <row r="241" spans="1:1" ht="15.75" customHeight="1">
      <c r="A241" s="61" t="s">
        <v>8031</v>
      </c>
    </row>
    <row r="242" spans="1:1" ht="15.75" customHeight="1">
      <c r="A242" s="61" t="s">
        <v>8116</v>
      </c>
    </row>
    <row r="243" spans="1:1" ht="15.75" customHeight="1">
      <c r="A243" s="61" t="s">
        <v>8117</v>
      </c>
    </row>
    <row r="244" spans="1:1" ht="15.75" customHeight="1">
      <c r="A244" s="61" t="s">
        <v>8030</v>
      </c>
    </row>
    <row r="245" spans="1:1" ht="15.75" customHeight="1">
      <c r="A245" s="61" t="s">
        <v>8030</v>
      </c>
    </row>
    <row r="246" spans="1:1" ht="15.75" customHeight="1">
      <c r="A246" s="61" t="s">
        <v>8118</v>
      </c>
    </row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2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C1000"/>
  <sheetViews>
    <sheetView workbookViewId="0"/>
  </sheetViews>
  <sheetFormatPr defaultColWidth="12.61328125" defaultRowHeight="15" customHeight="1"/>
  <cols>
    <col min="1" max="2" width="12.61328125" customWidth="1"/>
    <col min="3" max="3" width="76.15234375" customWidth="1"/>
    <col min="4" max="6" width="12.61328125" customWidth="1"/>
  </cols>
  <sheetData>
    <row r="1" spans="1:3" ht="15.75" customHeight="1">
      <c r="A1" s="114" t="s">
        <v>8119</v>
      </c>
      <c r="B1" s="115" t="s">
        <v>8120</v>
      </c>
      <c r="C1" s="115" t="s">
        <v>8121</v>
      </c>
    </row>
    <row r="2" spans="1:3" ht="15.75" customHeight="1">
      <c r="A2" s="116" t="s">
        <v>0</v>
      </c>
      <c r="B2" s="117" t="s">
        <v>8122</v>
      </c>
      <c r="C2" s="117" t="s">
        <v>8123</v>
      </c>
    </row>
    <row r="3" spans="1:3" ht="15.75" customHeight="1">
      <c r="A3" s="116" t="s">
        <v>29</v>
      </c>
      <c r="B3" s="117" t="s">
        <v>8122</v>
      </c>
      <c r="C3" s="117" t="s">
        <v>8124</v>
      </c>
    </row>
    <row r="4" spans="1:3" ht="15.75" customHeight="1">
      <c r="A4" s="116" t="s">
        <v>411</v>
      </c>
      <c r="B4" s="117" t="s">
        <v>8122</v>
      </c>
      <c r="C4" s="117" t="s">
        <v>2</v>
      </c>
    </row>
    <row r="5" spans="1:3" ht="15.75" customHeight="1">
      <c r="A5" s="116" t="s">
        <v>8000</v>
      </c>
      <c r="B5" s="117" t="s">
        <v>8125</v>
      </c>
      <c r="C5" s="117" t="s">
        <v>8126</v>
      </c>
    </row>
    <row r="6" spans="1:3" ht="15.75" customHeight="1">
      <c r="A6" s="116" t="s">
        <v>6225</v>
      </c>
      <c r="B6" s="117" t="s">
        <v>8122</v>
      </c>
      <c r="C6" s="117" t="s">
        <v>8127</v>
      </c>
    </row>
    <row r="7" spans="1:3" ht="15.75" customHeight="1">
      <c r="A7" s="116" t="s">
        <v>381</v>
      </c>
      <c r="B7" s="117" t="s">
        <v>8122</v>
      </c>
      <c r="C7" s="117" t="s">
        <v>8128</v>
      </c>
    </row>
    <row r="8" spans="1:3" ht="15.75" customHeight="1">
      <c r="A8" s="116" t="s">
        <v>414</v>
      </c>
      <c r="B8" s="117" t="s">
        <v>8129</v>
      </c>
      <c r="C8" s="117" t="s">
        <v>8130</v>
      </c>
    </row>
    <row r="9" spans="1:3" ht="15.75" customHeight="1">
      <c r="A9" s="116" t="s">
        <v>360</v>
      </c>
      <c r="B9" s="117" t="s">
        <v>8122</v>
      </c>
      <c r="C9" s="117" t="s">
        <v>8131</v>
      </c>
    </row>
    <row r="10" spans="1:3" ht="15.75" customHeight="1">
      <c r="A10" s="116" t="s">
        <v>415</v>
      </c>
      <c r="B10" s="117" t="s">
        <v>8122</v>
      </c>
      <c r="C10" s="117" t="s">
        <v>8132</v>
      </c>
    </row>
    <row r="11" spans="1:3" ht="15.75" customHeight="1">
      <c r="A11" s="116" t="s">
        <v>1000</v>
      </c>
      <c r="B11" s="117" t="s">
        <v>8125</v>
      </c>
      <c r="C11" s="117" t="s">
        <v>8133</v>
      </c>
    </row>
    <row r="12" spans="1:3" ht="15.75" customHeight="1">
      <c r="A12" s="116" t="s">
        <v>8001</v>
      </c>
      <c r="B12" s="117" t="s">
        <v>8125</v>
      </c>
      <c r="C12" s="117" t="s">
        <v>8134</v>
      </c>
    </row>
    <row r="13" spans="1:3" ht="15.75" customHeight="1">
      <c r="A13" s="116" t="s">
        <v>8002</v>
      </c>
      <c r="B13" s="117" t="s">
        <v>8125</v>
      </c>
      <c r="C13" s="117" t="s">
        <v>8135</v>
      </c>
    </row>
    <row r="14" spans="1:3" ht="15.75" customHeight="1">
      <c r="A14" s="116" t="s">
        <v>8003</v>
      </c>
      <c r="B14" s="117" t="s">
        <v>8125</v>
      </c>
      <c r="C14" s="117" t="s">
        <v>8136</v>
      </c>
    </row>
    <row r="15" spans="1:3" ht="15.75" customHeight="1">
      <c r="A15" s="116" t="s">
        <v>8004</v>
      </c>
      <c r="B15" s="117" t="s">
        <v>8125</v>
      </c>
      <c r="C15" s="117" t="s">
        <v>8137</v>
      </c>
    </row>
    <row r="16" spans="1:3" ht="15.75" customHeight="1">
      <c r="A16" s="116" t="s">
        <v>420</v>
      </c>
      <c r="B16" s="117" t="s">
        <v>8129</v>
      </c>
      <c r="C16" s="117" t="s">
        <v>8138</v>
      </c>
    </row>
    <row r="17" spans="1:3" ht="15.75" customHeight="1">
      <c r="A17" s="116" t="s">
        <v>421</v>
      </c>
      <c r="B17" s="117" t="s">
        <v>8122</v>
      </c>
      <c r="C17" s="117" t="s">
        <v>8139</v>
      </c>
    </row>
    <row r="18" spans="1:3" ht="15.75" customHeight="1">
      <c r="A18" s="116" t="s">
        <v>9</v>
      </c>
      <c r="B18" s="117" t="s">
        <v>8129</v>
      </c>
      <c r="C18" s="117" t="s">
        <v>8140</v>
      </c>
    </row>
    <row r="19" spans="1:3" ht="15.75" customHeight="1">
      <c r="A19" s="116" t="s">
        <v>8005</v>
      </c>
      <c r="B19" s="117" t="s">
        <v>8125</v>
      </c>
      <c r="C19" s="117" t="s">
        <v>8141</v>
      </c>
    </row>
    <row r="20" spans="1:3" ht="15.75" customHeight="1">
      <c r="A20" s="116" t="s">
        <v>8006</v>
      </c>
      <c r="B20" s="117" t="s">
        <v>8125</v>
      </c>
      <c r="C20" s="117" t="s">
        <v>8142</v>
      </c>
    </row>
    <row r="21" spans="1:3" ht="15.75" customHeight="1">
      <c r="A21" s="116" t="s">
        <v>8008</v>
      </c>
      <c r="B21" s="117" t="s">
        <v>8125</v>
      </c>
      <c r="C21" s="117" t="s">
        <v>8143</v>
      </c>
    </row>
    <row r="22" spans="1:3" ht="15.75" customHeight="1">
      <c r="A22" s="116" t="s">
        <v>8009</v>
      </c>
      <c r="B22" s="117" t="s">
        <v>8125</v>
      </c>
      <c r="C22" s="117" t="s">
        <v>8144</v>
      </c>
    </row>
    <row r="23" spans="1:3" ht="15.75" customHeight="1">
      <c r="A23" s="116" t="s">
        <v>380</v>
      </c>
      <c r="B23" s="117" t="s">
        <v>8145</v>
      </c>
      <c r="C23" s="117" t="s">
        <v>8146</v>
      </c>
    </row>
    <row r="24" spans="1:3" ht="15.75" customHeight="1">
      <c r="A24" s="116" t="s">
        <v>5</v>
      </c>
      <c r="B24" s="117" t="s">
        <v>8145</v>
      </c>
      <c r="C24" s="117" t="s">
        <v>8147</v>
      </c>
    </row>
    <row r="25" spans="1:3" ht="15.75" customHeight="1">
      <c r="A25" s="116" t="s">
        <v>6</v>
      </c>
      <c r="B25" s="117" t="s">
        <v>8145</v>
      </c>
      <c r="C25" s="117" t="s">
        <v>8148</v>
      </c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2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27" ht="15.75" customHeight="1">
      <c r="A1" s="118" t="s">
        <v>2817</v>
      </c>
      <c r="B1" s="119" t="s">
        <v>6223</v>
      </c>
      <c r="C1" s="118" t="s">
        <v>6224</v>
      </c>
      <c r="D1" s="118" t="s">
        <v>6225</v>
      </c>
      <c r="E1" s="118" t="s">
        <v>360</v>
      </c>
      <c r="F1" s="118" t="s">
        <v>421</v>
      </c>
      <c r="G1" s="118" t="s">
        <v>415</v>
      </c>
      <c r="H1" s="118" t="s">
        <v>420</v>
      </c>
      <c r="I1" s="119" t="s">
        <v>6226</v>
      </c>
      <c r="J1" s="119" t="s">
        <v>6227</v>
      </c>
      <c r="K1" s="119" t="s">
        <v>6228</v>
      </c>
      <c r="L1" s="118" t="s">
        <v>358</v>
      </c>
      <c r="M1" s="118" t="s">
        <v>6229</v>
      </c>
      <c r="N1" s="118" t="s">
        <v>6230</v>
      </c>
      <c r="O1" s="118" t="s">
        <v>6231</v>
      </c>
      <c r="P1" s="120" t="s">
        <v>6232</v>
      </c>
      <c r="Q1" s="121" t="s">
        <v>6233</v>
      </c>
      <c r="R1" s="121" t="s">
        <v>6234</v>
      </c>
      <c r="S1" s="121" t="s">
        <v>6235</v>
      </c>
      <c r="T1" s="122"/>
      <c r="U1" s="122"/>
      <c r="V1" s="122"/>
      <c r="W1" s="122"/>
      <c r="X1" s="122"/>
      <c r="Y1" s="122"/>
      <c r="Z1" s="122"/>
      <c r="AA1" s="122"/>
    </row>
    <row r="2" spans="1:27" ht="15.75" customHeight="1">
      <c r="A2" s="123" t="s">
        <v>3006</v>
      </c>
      <c r="B2" s="124"/>
      <c r="C2" s="9" t="s">
        <v>6236</v>
      </c>
      <c r="D2" s="125" t="s">
        <v>431</v>
      </c>
      <c r="E2" s="125" t="s">
        <v>368</v>
      </c>
      <c r="F2" s="9" t="s">
        <v>436</v>
      </c>
      <c r="G2" s="125" t="s">
        <v>434</v>
      </c>
      <c r="H2" s="126">
        <v>4</v>
      </c>
      <c r="L2" s="127">
        <v>45807</v>
      </c>
      <c r="M2" s="9" t="s">
        <v>6676</v>
      </c>
      <c r="N2" s="9">
        <f t="shared" ref="N2:N3" si="0">107-12+1</f>
        <v>96</v>
      </c>
      <c r="O2" s="123" t="s">
        <v>6243</v>
      </c>
      <c r="P2" s="9">
        <f t="shared" ref="P2:P10" si="1">N2*5</f>
        <v>480</v>
      </c>
      <c r="Q2" s="9">
        <v>240</v>
      </c>
      <c r="R2" s="9">
        <v>107</v>
      </c>
      <c r="S2" s="9">
        <f t="shared" ref="S2:S10" si="2">R2-N2+1</f>
        <v>12</v>
      </c>
    </row>
    <row r="3" spans="1:27" ht="15.75" customHeight="1">
      <c r="A3" s="123" t="s">
        <v>3006</v>
      </c>
      <c r="B3" s="124"/>
      <c r="C3" s="9" t="s">
        <v>6236</v>
      </c>
      <c r="D3" s="125" t="s">
        <v>431</v>
      </c>
      <c r="E3" s="125" t="s">
        <v>368</v>
      </c>
      <c r="F3" s="9" t="s">
        <v>436</v>
      </c>
      <c r="G3" s="125" t="s">
        <v>434</v>
      </c>
      <c r="H3" s="126">
        <v>4</v>
      </c>
      <c r="L3" s="127">
        <v>45806</v>
      </c>
      <c r="M3" s="9" t="s">
        <v>6676</v>
      </c>
      <c r="N3" s="9">
        <f t="shared" si="0"/>
        <v>96</v>
      </c>
      <c r="O3" s="123" t="s">
        <v>6243</v>
      </c>
      <c r="P3" s="9">
        <f t="shared" si="1"/>
        <v>480</v>
      </c>
      <c r="Q3" s="9">
        <f t="shared" ref="Q3:Q4" si="3">Q2-N2</f>
        <v>144</v>
      </c>
      <c r="R3" s="9">
        <v>107</v>
      </c>
      <c r="S3" s="9">
        <f t="shared" si="2"/>
        <v>12</v>
      </c>
    </row>
    <row r="4" spans="1:27" ht="15.75" customHeight="1">
      <c r="A4" s="123" t="s">
        <v>3006</v>
      </c>
      <c r="B4" s="124"/>
      <c r="C4" s="9" t="s">
        <v>6236</v>
      </c>
      <c r="D4" s="125" t="s">
        <v>431</v>
      </c>
      <c r="E4" s="125" t="s">
        <v>368</v>
      </c>
      <c r="F4" s="9" t="s">
        <v>436</v>
      </c>
      <c r="G4" s="125" t="s">
        <v>434</v>
      </c>
      <c r="H4" s="126">
        <v>4</v>
      </c>
      <c r="L4" s="127">
        <v>45805</v>
      </c>
      <c r="M4" s="9" t="s">
        <v>6705</v>
      </c>
      <c r="N4" s="9">
        <v>48</v>
      </c>
      <c r="O4" s="123" t="s">
        <v>6243</v>
      </c>
      <c r="P4" s="9">
        <f t="shared" si="1"/>
        <v>240</v>
      </c>
      <c r="Q4" s="9">
        <f t="shared" si="3"/>
        <v>48</v>
      </c>
      <c r="R4" s="9">
        <v>107</v>
      </c>
      <c r="S4" s="9">
        <f t="shared" si="2"/>
        <v>60</v>
      </c>
    </row>
    <row r="5" spans="1:27" ht="15.75" customHeight="1">
      <c r="A5" s="123" t="s">
        <v>3006</v>
      </c>
      <c r="B5" s="124"/>
      <c r="C5" s="9" t="s">
        <v>6671</v>
      </c>
      <c r="D5" s="125" t="s">
        <v>431</v>
      </c>
      <c r="E5" s="125" t="s">
        <v>439</v>
      </c>
      <c r="F5" s="9" t="s">
        <v>436</v>
      </c>
      <c r="G5" s="125" t="s">
        <v>440</v>
      </c>
      <c r="H5" s="126">
        <v>1</v>
      </c>
      <c r="L5" s="128">
        <v>45804</v>
      </c>
      <c r="M5" s="9" t="s">
        <v>6676</v>
      </c>
      <c r="N5" s="9">
        <f>107-12+1</f>
        <v>96</v>
      </c>
      <c r="O5" s="123" t="s">
        <v>6243</v>
      </c>
      <c r="P5" s="9">
        <f t="shared" si="1"/>
        <v>480</v>
      </c>
      <c r="Q5" s="9">
        <v>185</v>
      </c>
      <c r="R5" s="9">
        <v>107</v>
      </c>
      <c r="S5" s="9">
        <f t="shared" si="2"/>
        <v>12</v>
      </c>
    </row>
    <row r="6" spans="1:27" ht="15.75" customHeight="1">
      <c r="A6" s="123" t="s">
        <v>3006</v>
      </c>
      <c r="B6" s="124"/>
      <c r="C6" s="9" t="s">
        <v>6671</v>
      </c>
      <c r="D6" s="125" t="s">
        <v>431</v>
      </c>
      <c r="E6" s="125" t="s">
        <v>439</v>
      </c>
      <c r="F6" s="9" t="s">
        <v>436</v>
      </c>
      <c r="G6" s="125" t="s">
        <v>440</v>
      </c>
      <c r="H6" s="126">
        <v>1</v>
      </c>
      <c r="L6" s="128">
        <v>45803</v>
      </c>
      <c r="M6" s="9" t="s">
        <v>6901</v>
      </c>
      <c r="N6" s="9">
        <v>89</v>
      </c>
      <c r="O6" s="123" t="s">
        <v>6243</v>
      </c>
      <c r="P6" s="9">
        <f t="shared" si="1"/>
        <v>445</v>
      </c>
      <c r="Q6" s="9">
        <f>Q5-N5</f>
        <v>89</v>
      </c>
      <c r="R6" s="9">
        <v>107</v>
      </c>
      <c r="S6" s="9">
        <f t="shared" si="2"/>
        <v>19</v>
      </c>
    </row>
    <row r="7" spans="1:27" ht="15.75" customHeight="1">
      <c r="A7" s="123" t="s">
        <v>3006</v>
      </c>
      <c r="B7" s="124" t="s">
        <v>8149</v>
      </c>
      <c r="C7" s="123" t="s">
        <v>6923</v>
      </c>
      <c r="D7" s="125" t="s">
        <v>424</v>
      </c>
      <c r="E7" s="125" t="s">
        <v>6925</v>
      </c>
      <c r="F7" s="9" t="s">
        <v>383</v>
      </c>
      <c r="G7" s="125" t="s">
        <v>427</v>
      </c>
      <c r="H7" s="126">
        <v>1</v>
      </c>
      <c r="I7" s="9">
        <v>6</v>
      </c>
      <c r="J7" s="9">
        <v>4</v>
      </c>
      <c r="K7" s="9">
        <f>80+30</f>
        <v>110</v>
      </c>
      <c r="L7" s="129">
        <v>45802</v>
      </c>
      <c r="M7" s="9" t="s">
        <v>8150</v>
      </c>
      <c r="N7" s="9">
        <v>88</v>
      </c>
      <c r="O7" s="123" t="s">
        <v>6243</v>
      </c>
      <c r="P7" s="9">
        <f t="shared" si="1"/>
        <v>440</v>
      </c>
      <c r="Q7" s="9">
        <f>I7*K7/5</f>
        <v>132</v>
      </c>
      <c r="R7" s="9">
        <v>95</v>
      </c>
      <c r="S7" s="9">
        <f t="shared" si="2"/>
        <v>8</v>
      </c>
    </row>
    <row r="8" spans="1:27" ht="15.75" customHeight="1">
      <c r="A8" s="123" t="s">
        <v>3006</v>
      </c>
      <c r="B8" s="124" t="s">
        <v>8151</v>
      </c>
      <c r="C8" s="123" t="s">
        <v>6923</v>
      </c>
      <c r="D8" s="125" t="s">
        <v>424</v>
      </c>
      <c r="E8" s="125" t="s">
        <v>6925</v>
      </c>
      <c r="F8" s="9" t="s">
        <v>383</v>
      </c>
      <c r="G8" s="125" t="s">
        <v>427</v>
      </c>
      <c r="H8" s="126">
        <v>1</v>
      </c>
      <c r="I8" s="9">
        <v>6</v>
      </c>
      <c r="J8" s="9">
        <v>2</v>
      </c>
      <c r="K8" s="9">
        <v>110</v>
      </c>
      <c r="L8" s="130">
        <v>45801</v>
      </c>
      <c r="M8" s="9" t="s">
        <v>8152</v>
      </c>
      <c r="N8" s="9">
        <v>44</v>
      </c>
      <c r="O8" s="123" t="s">
        <v>6243</v>
      </c>
      <c r="P8" s="9">
        <f t="shared" si="1"/>
        <v>220</v>
      </c>
      <c r="Q8" s="9">
        <f>Q7-N7</f>
        <v>44</v>
      </c>
      <c r="R8" s="9">
        <v>95</v>
      </c>
      <c r="S8" s="9">
        <f t="shared" si="2"/>
        <v>52</v>
      </c>
    </row>
    <row r="9" spans="1:27" ht="15.75" customHeight="1">
      <c r="A9" s="123" t="s">
        <v>3006</v>
      </c>
      <c r="B9" s="124" t="s">
        <v>8153</v>
      </c>
      <c r="C9" s="123" t="s">
        <v>6923</v>
      </c>
      <c r="D9" s="125" t="s">
        <v>442</v>
      </c>
      <c r="E9" s="125" t="s">
        <v>6925</v>
      </c>
      <c r="F9" s="9" t="s">
        <v>383</v>
      </c>
      <c r="G9" s="125" t="s">
        <v>449</v>
      </c>
      <c r="H9" s="126">
        <v>1</v>
      </c>
      <c r="I9" s="131">
        <v>3</v>
      </c>
      <c r="J9" s="132">
        <v>3</v>
      </c>
      <c r="K9" s="123">
        <v>100</v>
      </c>
      <c r="L9" s="133">
        <v>45802</v>
      </c>
      <c r="M9" s="123" t="s">
        <v>8154</v>
      </c>
      <c r="N9" s="131">
        <v>60</v>
      </c>
      <c r="O9" s="123" t="s">
        <v>6243</v>
      </c>
      <c r="P9" s="131">
        <f t="shared" si="1"/>
        <v>300</v>
      </c>
      <c r="Q9" s="9">
        <f>I9*K9/5</f>
        <v>60</v>
      </c>
      <c r="R9" s="9">
        <v>95</v>
      </c>
      <c r="S9" s="9">
        <f t="shared" si="2"/>
        <v>36</v>
      </c>
    </row>
    <row r="10" spans="1:27" ht="15.75" customHeight="1">
      <c r="A10" s="123" t="s">
        <v>3006</v>
      </c>
      <c r="B10" s="124" t="s">
        <v>8153</v>
      </c>
      <c r="C10" s="123" t="s">
        <v>7228</v>
      </c>
      <c r="D10" s="125" t="s">
        <v>442</v>
      </c>
      <c r="E10" s="125" t="s">
        <v>11</v>
      </c>
      <c r="F10" s="9" t="s">
        <v>383</v>
      </c>
      <c r="G10" s="125" t="s">
        <v>426</v>
      </c>
      <c r="H10" s="126">
        <v>1</v>
      </c>
      <c r="I10" s="131">
        <v>3</v>
      </c>
      <c r="J10" s="132">
        <v>3</v>
      </c>
      <c r="K10" s="123">
        <v>70</v>
      </c>
      <c r="L10" s="134">
        <v>45801</v>
      </c>
      <c r="M10" s="123" t="s">
        <v>8155</v>
      </c>
      <c r="N10" s="131">
        <v>70</v>
      </c>
      <c r="O10" s="123" t="s">
        <v>6243</v>
      </c>
      <c r="P10" s="131">
        <f t="shared" si="1"/>
        <v>350</v>
      </c>
      <c r="Q10" s="9">
        <v>70</v>
      </c>
      <c r="R10" s="9">
        <v>95</v>
      </c>
      <c r="S10" s="9">
        <f t="shared" si="2"/>
        <v>26</v>
      </c>
    </row>
    <row r="11" spans="1:27" ht="15.75" customHeight="1"/>
    <row r="12" spans="1:27" ht="15.75" customHeight="1"/>
    <row r="13" spans="1:27" ht="15.75" customHeight="1"/>
    <row r="14" spans="1:27" ht="15.75" customHeight="1"/>
    <row r="15" spans="1:27" ht="15.75" customHeight="1"/>
    <row r="16" spans="1:2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A10" xr:uid="{00000000-0009-0000-0000-000013000000}"/>
  <phoneticPr fontId="42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Q542"/>
  <sheetViews>
    <sheetView workbookViewId="0"/>
  </sheetViews>
  <sheetFormatPr defaultColWidth="12.61328125" defaultRowHeight="15" customHeight="1"/>
  <cols>
    <col min="1" max="6" width="12.61328125" customWidth="1"/>
  </cols>
  <sheetData>
    <row r="1" spans="1:121" ht="15.75" customHeight="1">
      <c r="A1" s="9" t="s">
        <v>8156</v>
      </c>
      <c r="B1" s="87" t="s">
        <v>8157</v>
      </c>
      <c r="C1" s="87" t="s">
        <v>8158</v>
      </c>
      <c r="D1" s="87" t="s">
        <v>8159</v>
      </c>
      <c r="E1" s="87" t="s">
        <v>8160</v>
      </c>
      <c r="F1" s="87" t="s">
        <v>8161</v>
      </c>
      <c r="G1" s="87" t="s">
        <v>8162</v>
      </c>
      <c r="H1" s="87" t="s">
        <v>8163</v>
      </c>
      <c r="I1" s="87" t="s">
        <v>8164</v>
      </c>
      <c r="J1" s="87" t="s">
        <v>8165</v>
      </c>
      <c r="K1" s="87" t="s">
        <v>8166</v>
      </c>
      <c r="L1" s="87" t="s">
        <v>8167</v>
      </c>
      <c r="M1" s="87" t="s">
        <v>8168</v>
      </c>
      <c r="N1" s="87" t="s">
        <v>8169</v>
      </c>
      <c r="O1" s="87" t="s">
        <v>8170</v>
      </c>
      <c r="P1" s="87" t="s">
        <v>8171</v>
      </c>
      <c r="Q1" s="87" t="s">
        <v>8172</v>
      </c>
      <c r="R1" s="87" t="s">
        <v>8173</v>
      </c>
      <c r="S1" s="87" t="s">
        <v>8174</v>
      </c>
      <c r="T1" s="87" t="s">
        <v>8175</v>
      </c>
      <c r="U1" s="87" t="s">
        <v>8176</v>
      </c>
      <c r="V1" s="87" t="s">
        <v>8177</v>
      </c>
      <c r="W1" s="87" t="s">
        <v>8178</v>
      </c>
      <c r="X1" s="87" t="s">
        <v>8179</v>
      </c>
      <c r="Y1" s="87" t="s">
        <v>8180</v>
      </c>
      <c r="Z1" s="87" t="s">
        <v>8181</v>
      </c>
      <c r="AA1" s="87" t="s">
        <v>8182</v>
      </c>
      <c r="AB1" s="87" t="s">
        <v>8183</v>
      </c>
      <c r="AC1" s="87" t="s">
        <v>8184</v>
      </c>
      <c r="AD1" s="87" t="s">
        <v>8185</v>
      </c>
      <c r="AE1" s="87" t="s">
        <v>8186</v>
      </c>
      <c r="AF1" s="87" t="s">
        <v>8187</v>
      </c>
      <c r="AG1" s="87" t="s">
        <v>8188</v>
      </c>
      <c r="AH1" s="87" t="s">
        <v>8189</v>
      </c>
      <c r="AI1" s="87" t="s">
        <v>8190</v>
      </c>
      <c r="AJ1" s="87" t="s">
        <v>8191</v>
      </c>
      <c r="AK1" s="87" t="s">
        <v>8192</v>
      </c>
      <c r="AL1" s="87" t="s">
        <v>8193</v>
      </c>
      <c r="AM1" s="87" t="s">
        <v>8194</v>
      </c>
      <c r="AN1" s="87" t="s">
        <v>8195</v>
      </c>
      <c r="AO1" s="87" t="s">
        <v>8196</v>
      </c>
      <c r="AP1" s="87" t="s">
        <v>8197</v>
      </c>
      <c r="AQ1" s="87" t="s">
        <v>8198</v>
      </c>
      <c r="AR1" s="87" t="s">
        <v>8199</v>
      </c>
      <c r="AS1" s="87" t="s">
        <v>8200</v>
      </c>
      <c r="AT1" s="87" t="s">
        <v>8201</v>
      </c>
      <c r="AU1" s="87" t="s">
        <v>8202</v>
      </c>
      <c r="AV1" s="87" t="s">
        <v>8203</v>
      </c>
      <c r="AW1" s="87" t="s">
        <v>8204</v>
      </c>
      <c r="AX1" s="87" t="s">
        <v>8205</v>
      </c>
      <c r="AY1" s="87" t="s">
        <v>8206</v>
      </c>
      <c r="AZ1" s="87" t="s">
        <v>8207</v>
      </c>
      <c r="BA1" s="87" t="s">
        <v>8208</v>
      </c>
      <c r="BB1" s="87" t="s">
        <v>8209</v>
      </c>
      <c r="BC1" s="87" t="s">
        <v>8210</v>
      </c>
      <c r="BD1" s="87" t="s">
        <v>8211</v>
      </c>
      <c r="BE1" s="87" t="s">
        <v>8212</v>
      </c>
      <c r="BF1" s="87" t="s">
        <v>8213</v>
      </c>
      <c r="BG1" s="87" t="s">
        <v>8214</v>
      </c>
      <c r="BH1" s="87" t="s">
        <v>8215</v>
      </c>
      <c r="BI1" s="87" t="s">
        <v>8216</v>
      </c>
      <c r="BJ1" s="87" t="s">
        <v>8217</v>
      </c>
      <c r="BK1" s="87" t="s">
        <v>8218</v>
      </c>
      <c r="BL1" s="87" t="s">
        <v>8219</v>
      </c>
      <c r="BM1" s="87" t="s">
        <v>8220</v>
      </c>
      <c r="BN1" s="87" t="s">
        <v>8221</v>
      </c>
      <c r="BO1" s="87" t="s">
        <v>8222</v>
      </c>
      <c r="BP1" s="87" t="s">
        <v>8223</v>
      </c>
      <c r="BQ1" s="87" t="s">
        <v>8224</v>
      </c>
      <c r="BR1" s="87" t="s">
        <v>8225</v>
      </c>
      <c r="BS1" s="87" t="s">
        <v>8226</v>
      </c>
      <c r="BT1" s="87" t="s">
        <v>8227</v>
      </c>
      <c r="BU1" s="87" t="s">
        <v>8228</v>
      </c>
      <c r="BV1" s="87" t="s">
        <v>8229</v>
      </c>
      <c r="BW1" s="87" t="s">
        <v>8230</v>
      </c>
      <c r="BX1" s="87" t="s">
        <v>8231</v>
      </c>
      <c r="BY1" s="87" t="s">
        <v>8232</v>
      </c>
      <c r="BZ1" s="87" t="s">
        <v>8233</v>
      </c>
      <c r="CA1" s="87" t="s">
        <v>8234</v>
      </c>
      <c r="CB1" s="87" t="s">
        <v>8235</v>
      </c>
      <c r="CC1" s="87" t="s">
        <v>8236</v>
      </c>
      <c r="CD1" s="87" t="s">
        <v>8237</v>
      </c>
      <c r="CE1" s="87" t="s">
        <v>8238</v>
      </c>
      <c r="CF1" s="87" t="s">
        <v>8239</v>
      </c>
      <c r="CG1" s="87" t="s">
        <v>8240</v>
      </c>
      <c r="CH1" s="87" t="s">
        <v>8241</v>
      </c>
      <c r="CI1" s="87" t="s">
        <v>8242</v>
      </c>
      <c r="CJ1" s="87" t="s">
        <v>8243</v>
      </c>
      <c r="CK1" s="87" t="s">
        <v>8244</v>
      </c>
      <c r="CL1" s="87" t="s">
        <v>8245</v>
      </c>
      <c r="CM1" s="87" t="s">
        <v>8246</v>
      </c>
      <c r="CN1" s="87" t="s">
        <v>8247</v>
      </c>
      <c r="CO1" s="87" t="s">
        <v>8248</v>
      </c>
      <c r="CP1" s="87" t="s">
        <v>8249</v>
      </c>
      <c r="CQ1" s="87" t="s">
        <v>8250</v>
      </c>
      <c r="CR1" s="87" t="s">
        <v>8251</v>
      </c>
      <c r="CS1" s="87" t="s">
        <v>8252</v>
      </c>
      <c r="CT1" s="87" t="s">
        <v>8253</v>
      </c>
      <c r="CU1" s="87" t="s">
        <v>8254</v>
      </c>
      <c r="CV1" s="87" t="s">
        <v>8255</v>
      </c>
      <c r="CW1" s="87" t="s">
        <v>8256</v>
      </c>
      <c r="CX1" s="87" t="s">
        <v>8257</v>
      </c>
      <c r="CY1" s="87" t="s">
        <v>8258</v>
      </c>
      <c r="CZ1" s="87" t="s">
        <v>8259</v>
      </c>
      <c r="DA1" s="87" t="s">
        <v>8260</v>
      </c>
      <c r="DB1" s="87" t="s">
        <v>8261</v>
      </c>
      <c r="DC1" s="87" t="s">
        <v>8262</v>
      </c>
      <c r="DD1" s="87" t="s">
        <v>8263</v>
      </c>
      <c r="DE1" s="87" t="s">
        <v>8264</v>
      </c>
      <c r="DF1" s="87" t="s">
        <v>8265</v>
      </c>
      <c r="DG1" s="87" t="s">
        <v>8266</v>
      </c>
      <c r="DH1" s="87" t="s">
        <v>8267</v>
      </c>
      <c r="DI1" s="87" t="s">
        <v>8268</v>
      </c>
      <c r="DJ1" s="87" t="s">
        <v>8269</v>
      </c>
      <c r="DK1" s="87" t="s">
        <v>8270</v>
      </c>
      <c r="DL1" s="87" t="s">
        <v>8271</v>
      </c>
      <c r="DM1" s="87" t="s">
        <v>8272</v>
      </c>
      <c r="DN1" s="87" t="s">
        <v>8273</v>
      </c>
      <c r="DO1" s="87" t="s">
        <v>8274</v>
      </c>
      <c r="DP1" s="87" t="s">
        <v>8275</v>
      </c>
      <c r="DQ1" s="87" t="s">
        <v>8276</v>
      </c>
    </row>
    <row r="2" spans="1:121" ht="15.75" customHeight="1">
      <c r="A2" s="87" t="s">
        <v>8277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21" ht="15.75" customHeight="1">
      <c r="A3" s="87" t="s">
        <v>8278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21" ht="15.75" customHeight="1">
      <c r="A4" s="87" t="s">
        <v>8279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21" ht="15.75" customHeight="1">
      <c r="A5" s="87" t="s">
        <v>8280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21" ht="15.75" customHeight="1">
      <c r="A6" s="87" t="s">
        <v>8281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21" ht="15.75" customHeight="1">
      <c r="A7" s="87" t="s">
        <v>8282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21" ht="15.75" customHeight="1">
      <c r="A8" s="87" t="s">
        <v>8283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21" ht="15.75" customHeight="1">
      <c r="A9" s="87" t="s">
        <v>8284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21" ht="15.75" customHeight="1">
      <c r="A10" s="87" t="s">
        <v>8285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21" ht="15.75" customHeight="1">
      <c r="A11" s="87" t="s">
        <v>8286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21" ht="15.75" customHeight="1">
      <c r="A12" s="87" t="s">
        <v>8287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21" ht="15.75" customHeight="1">
      <c r="A13" s="87" t="s">
        <v>8288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21" ht="15.75" customHeight="1">
      <c r="A14" s="87" t="s">
        <v>8289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21" ht="15.75" customHeight="1">
      <c r="A15" s="87" t="s">
        <v>8290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21" ht="15.75" customHeight="1">
      <c r="A16" s="87" t="s">
        <v>8291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5.75" customHeight="1">
      <c r="A17" s="87" t="s">
        <v>8292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15.75" customHeight="1">
      <c r="A18" s="87" t="s">
        <v>8293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5.75" customHeight="1">
      <c r="A19" s="87" t="s">
        <v>8294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5.75" customHeight="1">
      <c r="A20" s="87" t="s">
        <v>8295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15.75" customHeight="1">
      <c r="A21" s="87" t="s">
        <v>8296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5.75" customHeight="1">
      <c r="A22" s="87" t="s">
        <v>8297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15.75" customHeight="1">
      <c r="A23" s="87" t="s">
        <v>8298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ht="15.75" customHeight="1">
      <c r="A24" s="87" t="s">
        <v>8299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15.75" customHeight="1">
      <c r="A25" s="87" t="s">
        <v>8300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5.75" customHeight="1">
      <c r="A26" s="87" t="s">
        <v>8301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15.75" customHeight="1">
      <c r="A27" s="87" t="s">
        <v>8302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15.75" customHeight="1">
      <c r="A28" s="87" t="s">
        <v>8303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15.75" customHeight="1">
      <c r="A29" s="87" t="s">
        <v>8304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5.75" customHeight="1">
      <c r="A30" s="87" t="s">
        <v>8305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15.75" customHeight="1">
      <c r="A31" s="87" t="s">
        <v>8306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15.75" customHeight="1">
      <c r="A32" s="87" t="s">
        <v>8307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15.75" customHeight="1">
      <c r="A33" s="87" t="s">
        <v>8308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15.75" customHeight="1">
      <c r="A34" s="87" t="s">
        <v>8309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15.75" customHeight="1">
      <c r="A35" s="87" t="s">
        <v>8310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15.75" customHeight="1">
      <c r="A36" s="87" t="s">
        <v>8311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15.75" customHeight="1">
      <c r="A37" s="87" t="s">
        <v>8312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5.75" customHeight="1">
      <c r="A38" s="87" t="s">
        <v>8313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t="15.75" customHeight="1">
      <c r="A39" s="87" t="s">
        <v>8314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15.75" customHeight="1">
      <c r="A40" s="87" t="s">
        <v>8315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15.75" customHeight="1">
      <c r="A41" s="87" t="s">
        <v>8316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ht="15.75" customHeight="1">
      <c r="A42" s="87" t="s">
        <v>8317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ht="15.75" customHeight="1">
      <c r="A43" s="87" t="s">
        <v>8318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ht="15.75" customHeight="1">
      <c r="A44" s="87" t="s">
        <v>8319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ht="15.75" customHeight="1">
      <c r="A45" s="87" t="s">
        <v>8320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ht="15.75" customHeight="1">
      <c r="A46" s="87" t="s">
        <v>8321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ht="15.75" customHeight="1">
      <c r="A47" s="87" t="s">
        <v>8322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ht="15.75" customHeight="1">
      <c r="A48" s="87" t="s">
        <v>8323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ht="15.75" customHeight="1">
      <c r="A49" s="87" t="s">
        <v>8324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ht="15.75" customHeight="1">
      <c r="A50" s="87" t="s">
        <v>8325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ht="15.75" customHeight="1">
      <c r="A51" s="87" t="s">
        <v>8326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ht="15.75" customHeight="1">
      <c r="A52" s="87" t="s">
        <v>8327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ht="15.75" customHeight="1">
      <c r="A53" s="87" t="s">
        <v>8328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ht="15.75" customHeight="1">
      <c r="A54" s="87" t="s">
        <v>8329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ht="15.75" customHeight="1">
      <c r="A55" s="87" t="s">
        <v>8330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ht="15.75" customHeight="1">
      <c r="A56" s="87" t="s">
        <v>8331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t="15.75" customHeight="1">
      <c r="A57" s="87" t="s">
        <v>8332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ht="15.75" customHeight="1">
      <c r="A58" s="87" t="s">
        <v>8333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ht="15.75" customHeight="1">
      <c r="A59" s="87" t="s">
        <v>8334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ht="15.75" customHeight="1">
      <c r="A60" s="87" t="s">
        <v>8335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t="15.75" customHeight="1">
      <c r="A61" s="87" t="s">
        <v>8336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ht="15.75" customHeight="1">
      <c r="A62" s="87" t="s">
        <v>8337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ht="15.75" customHeight="1">
      <c r="A63" s="87" t="s">
        <v>8338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ht="15.75" customHeight="1">
      <c r="A64" s="87" t="s">
        <v>8339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ht="15.75" customHeight="1">
      <c r="A65" s="87" t="s">
        <v>8340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ht="15.75" customHeight="1">
      <c r="A66" s="87" t="s">
        <v>8341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ht="15.75" customHeight="1">
      <c r="A67" s="87" t="s">
        <v>8342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ht="15.75" customHeight="1">
      <c r="A68" s="87" t="s">
        <v>8343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ht="15.75" customHeight="1">
      <c r="A69" s="87" t="s">
        <v>8344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ht="15.75" customHeight="1">
      <c r="A70" s="87" t="s">
        <v>8345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ht="15.75" customHeight="1">
      <c r="A71" s="87" t="s">
        <v>8346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ht="15.75" customHeight="1">
      <c r="A72" s="87" t="s">
        <v>8347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ht="15.75" customHeight="1">
      <c r="A73" s="87" t="s">
        <v>8348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ht="15.75" customHeight="1">
      <c r="A74" s="87" t="s">
        <v>8349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15.75" customHeight="1">
      <c r="A75" s="87" t="s">
        <v>8350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ht="15.75" customHeight="1">
      <c r="A76" s="87" t="s">
        <v>8351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ht="15.75" customHeight="1">
      <c r="A77" s="87" t="s">
        <v>8352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ht="15.75" customHeight="1">
      <c r="A78" s="87" t="s">
        <v>8353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ht="15.75" customHeight="1">
      <c r="A79" s="87" t="s">
        <v>8354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ht="15.75" customHeight="1">
      <c r="A80" s="87" t="s">
        <v>8355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ht="15.75" customHeight="1">
      <c r="A81" s="87" t="s">
        <v>8356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ht="15.75" customHeight="1">
      <c r="A82" s="87" t="s">
        <v>8357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ht="15.75" customHeight="1">
      <c r="A83" s="87" t="s">
        <v>8358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ht="15.75" customHeight="1">
      <c r="A84" s="87" t="s">
        <v>8359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ht="15.75" customHeight="1">
      <c r="A85" s="87" t="s">
        <v>8360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ht="15.75" customHeight="1">
      <c r="A86" s="87" t="s">
        <v>8361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ht="15.75" customHeight="1">
      <c r="A87" s="87" t="s">
        <v>8362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ht="15.75" customHeight="1">
      <c r="A88" s="87" t="s">
        <v>8363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ht="15.75" customHeight="1">
      <c r="A89" s="87" t="s">
        <v>8364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ht="15.75" customHeight="1">
      <c r="A90" s="87" t="s">
        <v>8365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ht="15.75" customHeight="1">
      <c r="A91" s="87" t="s">
        <v>8366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ht="15.75" customHeight="1">
      <c r="A92" s="87" t="s">
        <v>8367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ht="15.75" customHeight="1">
      <c r="A93" s="87" t="s">
        <v>8368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ht="15.75" customHeight="1">
      <c r="A94" s="87" t="s">
        <v>8369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ht="15.75" customHeight="1">
      <c r="A95" s="87" t="s">
        <v>8370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ht="15.75" customHeight="1">
      <c r="A96" s="87" t="s">
        <v>8371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ht="15.75" customHeight="1">
      <c r="A97" s="87" t="s">
        <v>8372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ht="15.75" customHeight="1">
      <c r="A98" s="87" t="s">
        <v>8373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ht="15.75" customHeight="1">
      <c r="A99" s="87" t="s">
        <v>8374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ht="15.75" customHeight="1">
      <c r="A100" s="87" t="s">
        <v>8375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ht="15.75" customHeight="1">
      <c r="A101" s="87" t="s">
        <v>8376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ht="15.75" customHeight="1">
      <c r="A102" s="87" t="s">
        <v>8377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ht="15.75" customHeight="1">
      <c r="A103" s="87" t="s">
        <v>8378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ht="15.75" customHeight="1">
      <c r="A104" s="87" t="s">
        <v>8379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ht="15.75" customHeight="1">
      <c r="A105" s="87" t="s">
        <v>8380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ht="15.75" customHeight="1">
      <c r="A106" s="87" t="s">
        <v>8381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ht="15.75" customHeight="1">
      <c r="A107" s="87" t="s">
        <v>8382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ht="15.75" customHeight="1">
      <c r="A108" s="87" t="s">
        <v>8383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ht="15.75" customHeight="1">
      <c r="A109" s="87" t="s">
        <v>8384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ht="15.75" customHeight="1">
      <c r="A110" s="87" t="s">
        <v>8385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ht="15.75" customHeight="1">
      <c r="A111" s="87" t="s">
        <v>8386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ht="15.75" customHeight="1">
      <c r="A112" s="87" t="s">
        <v>8387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19" ht="15.75" customHeight="1">
      <c r="A113" s="87" t="s">
        <v>8388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19" ht="15.75" customHeight="1">
      <c r="A114" s="87" t="s">
        <v>8389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19" ht="15.75" customHeight="1">
      <c r="A115" s="87" t="s">
        <v>8390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19" ht="15.75" customHeight="1">
      <c r="A116" s="87" t="s">
        <v>8391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19" ht="15.75" customHeight="1">
      <c r="A117" s="87" t="s">
        <v>8392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19" ht="15.75" customHeight="1">
      <c r="A118" s="87" t="s">
        <v>8393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19" ht="15.75" customHeight="1">
      <c r="A119" s="87" t="s">
        <v>8394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19" ht="15.75" customHeight="1">
      <c r="A120" s="87" t="s">
        <v>8395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19" ht="15.75" customHeight="1">
      <c r="A121" s="87" t="s">
        <v>8396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19" ht="15.75" customHeight="1">
      <c r="A122" s="87" t="s">
        <v>8397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19" ht="15.75" customHeight="1">
      <c r="A123" s="87" t="s">
        <v>8398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19" ht="15.75" customHeight="1">
      <c r="A124" s="87" t="s">
        <v>8399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19" ht="15.75" customHeight="1">
      <c r="A125" s="87" t="s">
        <v>8400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19" ht="15.75" customHeight="1">
      <c r="A126" s="87" t="s">
        <v>8401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19" ht="15.75" customHeight="1">
      <c r="A127" s="87" t="s">
        <v>8402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19" ht="15.75" customHeight="1">
      <c r="A128" s="87" t="s">
        <v>8403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19" ht="15.75" customHeight="1">
      <c r="A129" s="87" t="s">
        <v>8404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ht="15.75" customHeight="1">
      <c r="A130" s="87" t="s">
        <v>8405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ht="15.75" customHeight="1">
      <c r="A131" s="87" t="s">
        <v>8406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19" ht="15.75" customHeight="1">
      <c r="A132" s="87" t="s">
        <v>8407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19" ht="15.75" customHeight="1">
      <c r="A133" s="87" t="s">
        <v>8408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19" ht="15.75" customHeight="1">
      <c r="A134" s="87" t="s">
        <v>8409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19" ht="15.75" customHeight="1">
      <c r="A135" s="87" t="s">
        <v>8410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19" ht="15.75" customHeight="1">
      <c r="A136" s="87" t="s">
        <v>8411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19" ht="15.75" customHeight="1">
      <c r="A137" s="87" t="s">
        <v>8412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19" ht="15.75" customHeight="1">
      <c r="A138" s="87" t="s">
        <v>8413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19" ht="15.75" customHeight="1">
      <c r="A139" s="87" t="s">
        <v>8414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ht="15.75" customHeight="1">
      <c r="A140" s="87" t="s">
        <v>8415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ht="15.75" customHeight="1">
      <c r="A141" s="87" t="s">
        <v>8416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ht="15.75" customHeight="1">
      <c r="A142" s="87" t="s">
        <v>8417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19" ht="15.75" customHeight="1">
      <c r="A143" s="87" t="s">
        <v>8418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ht="15.75" customHeight="1">
      <c r="A144" s="87" t="s">
        <v>8419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19" ht="15.75" customHeight="1">
      <c r="A145" s="87" t="s">
        <v>8420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ht="15.75" customHeight="1">
      <c r="A146" s="87" t="s">
        <v>8421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19" ht="15.75" customHeight="1">
      <c r="A147" s="87" t="s">
        <v>8422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ht="15.75" customHeight="1">
      <c r="A148" s="87" t="s">
        <v>8423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ht="15.75" customHeight="1">
      <c r="A149" s="87" t="s">
        <v>8424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19" ht="15.75" customHeight="1">
      <c r="A150" s="87" t="s">
        <v>8425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19" ht="15.75" customHeight="1">
      <c r="A151" s="87" t="s">
        <v>8426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19" ht="15.75" customHeight="1">
      <c r="A152" s="87" t="s">
        <v>8427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19" ht="15.75" customHeight="1">
      <c r="A153" s="87" t="s">
        <v>8428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19" ht="15.75" customHeight="1">
      <c r="A154" s="87" t="s">
        <v>8429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ht="15.75" customHeight="1">
      <c r="A155" s="87" t="s">
        <v>8430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19" ht="15.75" customHeight="1">
      <c r="A156" s="87" t="s">
        <v>8431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19" ht="15.75" customHeight="1">
      <c r="A157" s="87" t="s">
        <v>8432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19" ht="15.75" customHeight="1">
      <c r="A158" s="87" t="s">
        <v>8433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19" ht="15.75" customHeight="1">
      <c r="A159" s="87" t="s">
        <v>8434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19" ht="15.75" customHeight="1">
      <c r="A160" s="87" t="s">
        <v>8435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19" ht="15.75" customHeight="1">
      <c r="A161" s="87" t="s">
        <v>8436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19" ht="15.75" customHeight="1">
      <c r="A162" s="87" t="s">
        <v>8437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ht="15.75" customHeight="1">
      <c r="A163" s="87" t="s">
        <v>8438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19" ht="15.75" customHeight="1">
      <c r="A164" s="87" t="s">
        <v>8439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ht="15.75" customHeight="1">
      <c r="A165" s="87" t="s">
        <v>8440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ht="15.75" customHeight="1">
      <c r="A166" s="87" t="s">
        <v>8441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19" ht="15.75" customHeight="1">
      <c r="A167" s="87" t="s">
        <v>8442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ht="15.75" customHeight="1">
      <c r="A168" s="87" t="s">
        <v>8443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19" ht="15.75" customHeight="1">
      <c r="A169" s="87" t="s">
        <v>8444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19" ht="15.75" customHeight="1">
      <c r="A170" s="87" t="s">
        <v>8445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19" ht="15.75" customHeight="1">
      <c r="A171" s="87" t="s">
        <v>8446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19" ht="15.75" customHeight="1">
      <c r="A172" s="87" t="s">
        <v>8447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19" ht="15.75" customHeight="1">
      <c r="A173" s="87" t="s">
        <v>8448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19" ht="15.75" customHeight="1">
      <c r="A174" s="87" t="s">
        <v>8449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19" ht="15.75" customHeight="1">
      <c r="A175" s="87" t="s">
        <v>8450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19" ht="15.75" customHeight="1">
      <c r="A176" s="87" t="s">
        <v>8451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19" ht="15.75" customHeight="1">
      <c r="A177" s="87" t="s">
        <v>8452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19" ht="15.75" customHeight="1">
      <c r="A178" s="87" t="s">
        <v>8453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19" ht="15.75" customHeight="1">
      <c r="A179" s="87" t="s">
        <v>8454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ht="15.75" customHeight="1">
      <c r="A180" s="87" t="s">
        <v>8455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ht="15.75" customHeight="1">
      <c r="A181" s="87" t="s">
        <v>8456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ht="15.75" customHeight="1">
      <c r="A182" s="87" t="s">
        <v>8457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ht="15.75" customHeight="1">
      <c r="A183" s="87" t="s">
        <v>8458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ht="15.75" customHeight="1">
      <c r="A184" s="87" t="s">
        <v>8459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ht="15.75" customHeight="1">
      <c r="A185" s="87" t="s">
        <v>8460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ht="15.75" customHeight="1">
      <c r="A186" s="87" t="s">
        <v>8461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ht="15.75" customHeight="1">
      <c r="A187" s="87" t="s">
        <v>8462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ht="15.75" customHeight="1">
      <c r="A188" s="87" t="s">
        <v>8463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ht="15.75" customHeight="1">
      <c r="A189" s="87" t="s">
        <v>8464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ht="15.75" customHeight="1">
      <c r="A190" s="87" t="s">
        <v>8465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ht="15.75" customHeight="1">
      <c r="A191" s="87" t="s">
        <v>8466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ht="15.75" customHeight="1">
      <c r="A192" s="87" t="s">
        <v>8467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19" ht="15.75" customHeight="1">
      <c r="A193" s="87" t="s">
        <v>8468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19" ht="15.75" customHeight="1">
      <c r="A194" s="87" t="s">
        <v>8469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19" ht="15.75" customHeight="1">
      <c r="A195" s="87" t="s">
        <v>8470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19" ht="15.75" customHeight="1">
      <c r="A196" s="87" t="s">
        <v>8471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19" ht="15.75" customHeight="1">
      <c r="A197" s="87" t="s">
        <v>8472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19" ht="15.75" customHeight="1">
      <c r="A198" s="87" t="s">
        <v>8473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19" ht="15.75" customHeight="1">
      <c r="A199" s="87" t="s">
        <v>8474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19" ht="15.75" customHeight="1">
      <c r="A200" s="87" t="s">
        <v>8475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19" ht="15.75" customHeight="1">
      <c r="A201" s="87" t="s">
        <v>8476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19" ht="15.75" customHeight="1">
      <c r="A202" s="87" t="s">
        <v>8477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19" ht="15.75" customHeight="1">
      <c r="A203" s="87" t="s">
        <v>8478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19" ht="15.75" customHeight="1">
      <c r="A204" s="87" t="s">
        <v>8479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19" ht="15.75" customHeight="1">
      <c r="A205" s="87" t="s">
        <v>8480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19" ht="15.75" customHeight="1">
      <c r="A206" s="87" t="s">
        <v>8481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19" ht="15.75" customHeight="1">
      <c r="A207" s="87" t="s">
        <v>8482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19" ht="15.75" customHeight="1">
      <c r="A208" s="87" t="s">
        <v>8483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19" ht="15.75" customHeight="1">
      <c r="A209" s="87" t="s">
        <v>8484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19" ht="15.75" customHeight="1">
      <c r="A210" s="87" t="s">
        <v>8485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19" ht="15.75" customHeight="1">
      <c r="A211" s="87" t="s">
        <v>8486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19" ht="15.75" customHeight="1">
      <c r="A212" s="87" t="s">
        <v>8487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19" ht="15.75" customHeight="1">
      <c r="A213" s="87" t="s">
        <v>8488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19" ht="15.75" customHeight="1">
      <c r="A214" s="87" t="s">
        <v>8489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19" ht="15.75" customHeight="1">
      <c r="A215" s="87" t="s">
        <v>8490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19" ht="15.75" customHeight="1">
      <c r="A216" s="87" t="s">
        <v>8491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19" ht="15.75" customHeight="1">
      <c r="A217" s="87" t="s">
        <v>8492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19" ht="15.75" customHeight="1">
      <c r="A218" s="87" t="s">
        <v>8493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19" ht="15.75" customHeight="1">
      <c r="A219" s="87" t="s">
        <v>8494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19" ht="15.75" customHeight="1">
      <c r="A220" s="87" t="s">
        <v>8495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19" ht="15.75" customHeight="1">
      <c r="A221" s="87" t="s">
        <v>8496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19" ht="15.75" customHeight="1">
      <c r="A222" s="87" t="s">
        <v>8497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19" ht="15.75" customHeight="1">
      <c r="A223" s="87" t="s">
        <v>8498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19" ht="15.75" customHeight="1">
      <c r="A224" s="87" t="s">
        <v>8499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19" ht="15.75" customHeight="1">
      <c r="A225" s="87" t="s">
        <v>8500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19" ht="15.75" customHeight="1">
      <c r="A226" s="87" t="s">
        <v>8501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ht="15.75" customHeight="1">
      <c r="A227" s="87" t="s">
        <v>8502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19" ht="15.75" customHeight="1">
      <c r="A228" s="87" t="s">
        <v>8503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19" ht="15.75" customHeight="1">
      <c r="A229" s="87" t="s">
        <v>8504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19" ht="15.75" customHeight="1">
      <c r="A230" s="87" t="s">
        <v>8505</v>
      </c>
    </row>
    <row r="231" spans="1:19" ht="15.75" customHeight="1">
      <c r="A231" s="87" t="s">
        <v>8506</v>
      </c>
    </row>
    <row r="232" spans="1:19" ht="15.75" customHeight="1">
      <c r="A232" s="87" t="s">
        <v>8507</v>
      </c>
    </row>
    <row r="233" spans="1:19" ht="15.75" customHeight="1">
      <c r="A233" s="87" t="s">
        <v>8508</v>
      </c>
    </row>
    <row r="234" spans="1:19" ht="15.75" customHeight="1">
      <c r="A234" s="87" t="s">
        <v>8509</v>
      </c>
    </row>
    <row r="235" spans="1:19" ht="15.75" customHeight="1">
      <c r="A235" s="87" t="s">
        <v>8510</v>
      </c>
    </row>
    <row r="236" spans="1:19" ht="15.75" customHeight="1">
      <c r="A236" s="87" t="s">
        <v>8511</v>
      </c>
    </row>
    <row r="237" spans="1:19" ht="15.75" customHeight="1">
      <c r="A237" s="87" t="s">
        <v>8512</v>
      </c>
    </row>
    <row r="238" spans="1:19" ht="15.75" customHeight="1">
      <c r="A238" s="87" t="s">
        <v>8513</v>
      </c>
    </row>
    <row r="239" spans="1:19" ht="15.75" customHeight="1">
      <c r="A239" s="87" t="s">
        <v>8514</v>
      </c>
    </row>
    <row r="240" spans="1:19" ht="15.75" customHeight="1">
      <c r="A240" s="87" t="s">
        <v>8515</v>
      </c>
    </row>
    <row r="241" spans="1:121" ht="15.75" customHeight="1">
      <c r="A241" s="87" t="s">
        <v>8516</v>
      </c>
      <c r="DO241" s="9" t="s">
        <v>6669</v>
      </c>
      <c r="DP241" s="9" t="s">
        <v>6669</v>
      </c>
      <c r="DQ241" s="9" t="s">
        <v>6669</v>
      </c>
    </row>
    <row r="242" spans="1:121" ht="15.75" customHeight="1">
      <c r="A242" s="87" t="s">
        <v>8517</v>
      </c>
    </row>
    <row r="243" spans="1:121" ht="15.75" customHeight="1">
      <c r="A243" s="87" t="s">
        <v>8518</v>
      </c>
    </row>
    <row r="244" spans="1:121" ht="15.75" customHeight="1">
      <c r="A244" s="87" t="s">
        <v>8519</v>
      </c>
      <c r="CT244" s="9" t="s">
        <v>2919</v>
      </c>
      <c r="CU244" s="9" t="s">
        <v>2919</v>
      </c>
      <c r="CV244" s="9" t="s">
        <v>2919</v>
      </c>
      <c r="CW244" s="9" t="s">
        <v>2919</v>
      </c>
      <c r="CX244" s="9" t="s">
        <v>2919</v>
      </c>
      <c r="CY244" s="9" t="s">
        <v>2919</v>
      </c>
      <c r="CZ244" s="9" t="s">
        <v>2919</v>
      </c>
      <c r="DA244" s="9" t="s">
        <v>2919</v>
      </c>
      <c r="DB244" s="9" t="s">
        <v>2919</v>
      </c>
      <c r="DC244" s="9" t="s">
        <v>2919</v>
      </c>
      <c r="DD244" s="9" t="s">
        <v>2919</v>
      </c>
      <c r="DE244" s="9" t="s">
        <v>2919</v>
      </c>
      <c r="DF244" s="9" t="s">
        <v>2919</v>
      </c>
      <c r="DG244" s="9" t="s">
        <v>2919</v>
      </c>
      <c r="DH244" s="9" t="s">
        <v>2919</v>
      </c>
      <c r="DI244" s="9" t="s">
        <v>2919</v>
      </c>
      <c r="DJ244" s="9" t="s">
        <v>2919</v>
      </c>
      <c r="DK244" s="9" t="s">
        <v>2919</v>
      </c>
      <c r="DL244" s="9" t="s">
        <v>2919</v>
      </c>
      <c r="DM244" s="9" t="s">
        <v>2919</v>
      </c>
      <c r="DN244" s="9" t="s">
        <v>2919</v>
      </c>
      <c r="DO244" s="9" t="s">
        <v>2919</v>
      </c>
      <c r="DP244" s="9" t="s">
        <v>2919</v>
      </c>
      <c r="DQ244" s="9" t="s">
        <v>2919</v>
      </c>
    </row>
    <row r="245" spans="1:121" ht="15.75" customHeight="1">
      <c r="A245" s="87" t="s">
        <v>8520</v>
      </c>
      <c r="Z245" s="9" t="s">
        <v>2919</v>
      </c>
      <c r="AA245" s="9" t="s">
        <v>2919</v>
      </c>
      <c r="AB245" s="9" t="s">
        <v>2919</v>
      </c>
      <c r="AC245" s="9" t="s">
        <v>2919</v>
      </c>
      <c r="AD245" s="9" t="s">
        <v>2919</v>
      </c>
      <c r="AE245" s="9" t="s">
        <v>2919</v>
      </c>
      <c r="AF245" s="9" t="s">
        <v>2919</v>
      </c>
      <c r="AG245" s="9" t="s">
        <v>2919</v>
      </c>
      <c r="AH245" s="9" t="s">
        <v>2919</v>
      </c>
      <c r="AI245" s="9" t="s">
        <v>2919</v>
      </c>
      <c r="AJ245" s="9" t="s">
        <v>2919</v>
      </c>
      <c r="AK245" s="9" t="s">
        <v>2919</v>
      </c>
      <c r="AL245" s="9" t="s">
        <v>2919</v>
      </c>
      <c r="AM245" s="9" t="s">
        <v>2919</v>
      </c>
      <c r="AN245" s="9" t="s">
        <v>2919</v>
      </c>
      <c r="AO245" s="9" t="s">
        <v>2919</v>
      </c>
      <c r="AP245" s="9" t="s">
        <v>2919</v>
      </c>
      <c r="AQ245" s="9" t="s">
        <v>2919</v>
      </c>
      <c r="AR245" s="9" t="s">
        <v>2919</v>
      </c>
      <c r="AS245" s="9" t="s">
        <v>2919</v>
      </c>
      <c r="AT245" s="9" t="s">
        <v>2919</v>
      </c>
      <c r="AU245" s="9" t="s">
        <v>2919</v>
      </c>
      <c r="AV245" s="9" t="s">
        <v>2919</v>
      </c>
      <c r="AW245" s="9" t="s">
        <v>2919</v>
      </c>
      <c r="AX245" s="9" t="s">
        <v>2919</v>
      </c>
      <c r="AY245" s="9" t="s">
        <v>2919</v>
      </c>
      <c r="AZ245" s="9" t="s">
        <v>2919</v>
      </c>
      <c r="BA245" s="9" t="s">
        <v>2919</v>
      </c>
      <c r="BB245" s="9" t="s">
        <v>2919</v>
      </c>
      <c r="BC245" s="9" t="s">
        <v>2919</v>
      </c>
      <c r="BD245" s="9" t="s">
        <v>2919</v>
      </c>
      <c r="BE245" s="9" t="s">
        <v>2919</v>
      </c>
      <c r="BF245" s="9" t="s">
        <v>2919</v>
      </c>
      <c r="BG245" s="9" t="s">
        <v>2919</v>
      </c>
      <c r="BH245" s="9" t="s">
        <v>2919</v>
      </c>
      <c r="BI245" s="9" t="s">
        <v>2919</v>
      </c>
      <c r="BJ245" s="9" t="s">
        <v>2919</v>
      </c>
      <c r="BK245" s="9" t="s">
        <v>2919</v>
      </c>
      <c r="BL245" s="9" t="s">
        <v>2919</v>
      </c>
      <c r="BM245" s="9" t="s">
        <v>2919</v>
      </c>
      <c r="BN245" s="9" t="s">
        <v>2919</v>
      </c>
      <c r="BO245" s="9" t="s">
        <v>2919</v>
      </c>
      <c r="BP245" s="9" t="s">
        <v>2919</v>
      </c>
      <c r="BQ245" s="9" t="s">
        <v>2919</v>
      </c>
      <c r="BR245" s="9" t="s">
        <v>2919</v>
      </c>
      <c r="BS245" s="9" t="s">
        <v>2919</v>
      </c>
      <c r="BT245" s="9" t="s">
        <v>2919</v>
      </c>
      <c r="BU245" s="9" t="s">
        <v>2919</v>
      </c>
      <c r="BV245" s="9" t="s">
        <v>2919</v>
      </c>
      <c r="BW245" s="9" t="s">
        <v>2919</v>
      </c>
      <c r="BX245" s="9" t="s">
        <v>2919</v>
      </c>
      <c r="BY245" s="9" t="s">
        <v>2919</v>
      </c>
      <c r="BZ245" s="9" t="s">
        <v>2919</v>
      </c>
      <c r="CA245" s="9" t="s">
        <v>2919</v>
      </c>
      <c r="CB245" s="9" t="s">
        <v>2919</v>
      </c>
      <c r="CC245" s="9" t="s">
        <v>2919</v>
      </c>
      <c r="CD245" s="9" t="s">
        <v>2919</v>
      </c>
      <c r="CE245" s="9" t="s">
        <v>2919</v>
      </c>
      <c r="CF245" s="9" t="s">
        <v>2919</v>
      </c>
      <c r="CG245" s="9" t="s">
        <v>2919</v>
      </c>
      <c r="CH245" s="9" t="s">
        <v>2919</v>
      </c>
      <c r="CI245" s="9" t="s">
        <v>2919</v>
      </c>
      <c r="CJ245" s="9" t="s">
        <v>2919</v>
      </c>
      <c r="CK245" s="9" t="s">
        <v>2919</v>
      </c>
      <c r="CL245" s="9" t="s">
        <v>2919</v>
      </c>
      <c r="CM245" s="9" t="s">
        <v>2919</v>
      </c>
      <c r="CN245" s="9" t="s">
        <v>2919</v>
      </c>
      <c r="CO245" s="9" t="s">
        <v>2919</v>
      </c>
      <c r="CP245" s="9" t="s">
        <v>2919</v>
      </c>
      <c r="CQ245" s="9" t="s">
        <v>2919</v>
      </c>
      <c r="CR245" s="9" t="s">
        <v>2919</v>
      </c>
      <c r="CS245" s="9" t="s">
        <v>2919</v>
      </c>
      <c r="CT245" s="9" t="s">
        <v>2919</v>
      </c>
      <c r="CU245" s="9" t="s">
        <v>2919</v>
      </c>
      <c r="CV245" s="9" t="s">
        <v>2919</v>
      </c>
      <c r="CW245" s="9" t="s">
        <v>2919</v>
      </c>
      <c r="CX245" s="9" t="s">
        <v>2919</v>
      </c>
      <c r="CY245" s="9" t="s">
        <v>2919</v>
      </c>
      <c r="CZ245" s="9" t="s">
        <v>2919</v>
      </c>
      <c r="DA245" s="9" t="s">
        <v>2919</v>
      </c>
      <c r="DB245" s="9" t="s">
        <v>2919</v>
      </c>
      <c r="DC245" s="9" t="s">
        <v>2919</v>
      </c>
      <c r="DD245" s="9" t="s">
        <v>2919</v>
      </c>
      <c r="DE245" s="9" t="s">
        <v>2919</v>
      </c>
      <c r="DF245" s="9" t="s">
        <v>2919</v>
      </c>
      <c r="DG245" s="9" t="s">
        <v>2919</v>
      </c>
      <c r="DH245" s="9" t="s">
        <v>2919</v>
      </c>
      <c r="DI245" s="9" t="s">
        <v>2919</v>
      </c>
      <c r="DJ245" s="9" t="s">
        <v>2919</v>
      </c>
      <c r="DK245" s="9" t="s">
        <v>2919</v>
      </c>
      <c r="DL245" s="9" t="s">
        <v>2919</v>
      </c>
      <c r="DM245" s="9" t="s">
        <v>2919</v>
      </c>
      <c r="DN245" s="9" t="s">
        <v>2919</v>
      </c>
      <c r="DO245" s="9" t="s">
        <v>2919</v>
      </c>
      <c r="DP245" s="9" t="s">
        <v>2919</v>
      </c>
      <c r="DQ245" s="9" t="s">
        <v>2919</v>
      </c>
    </row>
    <row r="246" spans="1:121" ht="15.75" customHeight="1">
      <c r="A246" s="87" t="s">
        <v>8521</v>
      </c>
      <c r="CQ246" s="9" t="s">
        <v>2963</v>
      </c>
      <c r="CR246" s="9" t="s">
        <v>2963</v>
      </c>
      <c r="CS246" s="9" t="s">
        <v>2963</v>
      </c>
      <c r="CT246" s="9" t="s">
        <v>2963</v>
      </c>
      <c r="CU246" s="9" t="s">
        <v>2963</v>
      </c>
      <c r="CV246" s="9" t="s">
        <v>2963</v>
      </c>
      <c r="CW246" s="9" t="s">
        <v>2963</v>
      </c>
      <c r="CX246" s="9" t="s">
        <v>2963</v>
      </c>
      <c r="CY246" s="9" t="s">
        <v>2963</v>
      </c>
      <c r="CZ246" s="9" t="s">
        <v>2963</v>
      </c>
      <c r="DA246" s="9" t="s">
        <v>2963</v>
      </c>
      <c r="DB246" s="9" t="s">
        <v>2963</v>
      </c>
      <c r="DC246" s="9" t="s">
        <v>2963</v>
      </c>
      <c r="DD246" s="9" t="s">
        <v>2963</v>
      </c>
      <c r="DE246" s="9" t="s">
        <v>2963</v>
      </c>
      <c r="DF246" s="9" t="s">
        <v>2963</v>
      </c>
      <c r="DG246" s="9" t="s">
        <v>2963</v>
      </c>
      <c r="DH246" s="9" t="s">
        <v>2963</v>
      </c>
      <c r="DI246" s="9" t="s">
        <v>2963</v>
      </c>
      <c r="DJ246" s="9" t="s">
        <v>2963</v>
      </c>
      <c r="DK246" s="9" t="s">
        <v>2963</v>
      </c>
      <c r="DL246" s="9" t="s">
        <v>2963</v>
      </c>
      <c r="DM246" s="9" t="s">
        <v>2963</v>
      </c>
      <c r="DN246" s="9" t="s">
        <v>2963</v>
      </c>
      <c r="DO246" s="9" t="s">
        <v>2963</v>
      </c>
      <c r="DP246" s="9" t="s">
        <v>2963</v>
      </c>
      <c r="DQ246" s="9" t="s">
        <v>2963</v>
      </c>
    </row>
    <row r="247" spans="1:121" ht="15.75" customHeight="1">
      <c r="A247" s="87" t="s">
        <v>8522</v>
      </c>
    </row>
    <row r="248" spans="1:121" ht="15.75" customHeight="1">
      <c r="A248" s="87" t="s">
        <v>8523</v>
      </c>
    </row>
    <row r="249" spans="1:121" ht="15.75" customHeight="1">
      <c r="A249" s="87" t="s">
        <v>8524</v>
      </c>
    </row>
    <row r="250" spans="1:121" ht="15.75" customHeight="1">
      <c r="A250" s="87" t="s">
        <v>8525</v>
      </c>
    </row>
    <row r="251" spans="1:121" ht="15.75" customHeight="1">
      <c r="A251" s="87" t="s">
        <v>8526</v>
      </c>
    </row>
    <row r="252" spans="1:121" ht="15.75" customHeight="1">
      <c r="A252" s="87" t="s">
        <v>8527</v>
      </c>
    </row>
    <row r="253" spans="1:121" ht="15.75" customHeight="1">
      <c r="A253" s="87" t="s">
        <v>8528</v>
      </c>
    </row>
    <row r="254" spans="1:121" ht="15.75" customHeight="1">
      <c r="A254" s="87" t="s">
        <v>8529</v>
      </c>
      <c r="BF254" s="9" t="s">
        <v>2908</v>
      </c>
      <c r="BG254" s="9" t="s">
        <v>2908</v>
      </c>
      <c r="BH254" s="9" t="s">
        <v>2908</v>
      </c>
      <c r="BI254" s="9" t="s">
        <v>2908</v>
      </c>
      <c r="BJ254" s="9" t="s">
        <v>2908</v>
      </c>
      <c r="BK254" s="9" t="s">
        <v>2908</v>
      </c>
      <c r="BL254" s="9" t="s">
        <v>2908</v>
      </c>
      <c r="BM254" s="9" t="s">
        <v>2908</v>
      </c>
      <c r="BN254" s="9" t="s">
        <v>2908</v>
      </c>
      <c r="BO254" s="9" t="s">
        <v>2908</v>
      </c>
      <c r="BP254" s="9" t="s">
        <v>2908</v>
      </c>
      <c r="BQ254" s="9" t="s">
        <v>2908</v>
      </c>
      <c r="BR254" s="9" t="s">
        <v>2908</v>
      </c>
      <c r="BS254" s="9" t="s">
        <v>2908</v>
      </c>
      <c r="BT254" s="9" t="s">
        <v>2908</v>
      </c>
      <c r="BU254" s="9" t="s">
        <v>2908</v>
      </c>
      <c r="BV254" s="9" t="s">
        <v>2908</v>
      </c>
      <c r="BW254" s="9" t="s">
        <v>2908</v>
      </c>
      <c r="BX254" s="9" t="s">
        <v>2908</v>
      </c>
      <c r="BY254" s="9" t="s">
        <v>2908</v>
      </c>
      <c r="BZ254" s="9" t="s">
        <v>2908</v>
      </c>
      <c r="CA254" s="9" t="s">
        <v>2908</v>
      </c>
      <c r="CB254" s="9" t="s">
        <v>2908</v>
      </c>
      <c r="CC254" s="9" t="s">
        <v>2908</v>
      </c>
      <c r="CD254" s="9" t="s">
        <v>2908</v>
      </c>
      <c r="CE254" s="9" t="s">
        <v>2908</v>
      </c>
      <c r="CF254" s="9" t="s">
        <v>2908</v>
      </c>
      <c r="CG254" s="9" t="s">
        <v>2908</v>
      </c>
      <c r="CH254" s="9" t="s">
        <v>2908</v>
      </c>
      <c r="CI254" s="9" t="s">
        <v>2908</v>
      </c>
      <c r="CJ254" s="9" t="s">
        <v>2908</v>
      </c>
      <c r="CK254" s="9" t="s">
        <v>2908</v>
      </c>
      <c r="CL254" s="9" t="s">
        <v>2908</v>
      </c>
      <c r="CM254" s="9" t="s">
        <v>2908</v>
      </c>
      <c r="CN254" s="9" t="s">
        <v>2908</v>
      </c>
      <c r="CO254" s="9" t="s">
        <v>2908</v>
      </c>
      <c r="CP254" s="9" t="s">
        <v>2908</v>
      </c>
      <c r="CQ254" s="9" t="s">
        <v>2908</v>
      </c>
      <c r="CR254" s="9" t="s">
        <v>2908</v>
      </c>
      <c r="CS254" s="9" t="s">
        <v>2908</v>
      </c>
      <c r="CT254" s="9" t="s">
        <v>2908</v>
      </c>
      <c r="CU254" s="9" t="s">
        <v>2908</v>
      </c>
      <c r="CV254" s="9" t="s">
        <v>2908</v>
      </c>
      <c r="CW254" s="9" t="s">
        <v>2908</v>
      </c>
      <c r="CX254" s="9" t="s">
        <v>2908</v>
      </c>
      <c r="CY254" s="9" t="s">
        <v>2908</v>
      </c>
      <c r="CZ254" s="9" t="s">
        <v>2908</v>
      </c>
      <c r="DA254" s="9" t="s">
        <v>2908</v>
      </c>
      <c r="DB254" s="9" t="s">
        <v>2908</v>
      </c>
      <c r="DC254" s="9" t="s">
        <v>2908</v>
      </c>
      <c r="DD254" s="9" t="s">
        <v>2908</v>
      </c>
      <c r="DE254" s="9" t="s">
        <v>2908</v>
      </c>
      <c r="DF254" s="9" t="s">
        <v>2908</v>
      </c>
      <c r="DG254" s="9" t="s">
        <v>2908</v>
      </c>
      <c r="DH254" s="9" t="s">
        <v>2908</v>
      </c>
      <c r="DI254" s="9" t="s">
        <v>2908</v>
      </c>
      <c r="DJ254" s="9" t="s">
        <v>2908</v>
      </c>
      <c r="DK254" s="9" t="s">
        <v>2908</v>
      </c>
      <c r="DL254" s="9" t="s">
        <v>2908</v>
      </c>
      <c r="DM254" s="9" t="s">
        <v>2908</v>
      </c>
      <c r="DN254" s="9" t="s">
        <v>2908</v>
      </c>
      <c r="DO254" s="9" t="s">
        <v>2908</v>
      </c>
      <c r="DP254" s="9" t="s">
        <v>2908</v>
      </c>
      <c r="DQ254" s="9" t="s">
        <v>2908</v>
      </c>
    </row>
    <row r="255" spans="1:121" ht="15.75" customHeight="1">
      <c r="A255" s="87" t="s">
        <v>8530</v>
      </c>
      <c r="Z255" s="9" t="s">
        <v>2908</v>
      </c>
      <c r="AA255" s="9" t="s">
        <v>2908</v>
      </c>
      <c r="AB255" s="9" t="s">
        <v>2908</v>
      </c>
      <c r="AC255" s="9" t="s">
        <v>2908</v>
      </c>
      <c r="AD255" s="9" t="s">
        <v>2908</v>
      </c>
      <c r="AE255" s="9" t="s">
        <v>2908</v>
      </c>
      <c r="AF255" s="9" t="s">
        <v>2908</v>
      </c>
      <c r="AG255" s="9" t="s">
        <v>2908</v>
      </c>
      <c r="AH255" s="9" t="s">
        <v>2908</v>
      </c>
      <c r="AI255" s="9" t="s">
        <v>2908</v>
      </c>
      <c r="AJ255" s="9" t="s">
        <v>2908</v>
      </c>
      <c r="AK255" s="9" t="s">
        <v>2908</v>
      </c>
      <c r="AL255" s="9" t="s">
        <v>2908</v>
      </c>
      <c r="AM255" s="9" t="s">
        <v>2908</v>
      </c>
      <c r="AN255" s="9" t="s">
        <v>2908</v>
      </c>
      <c r="AO255" s="9" t="s">
        <v>2908</v>
      </c>
      <c r="AP255" s="9" t="s">
        <v>2908</v>
      </c>
      <c r="AQ255" s="9" t="s">
        <v>2908</v>
      </c>
      <c r="AR255" s="9" t="s">
        <v>2908</v>
      </c>
      <c r="AS255" s="9" t="s">
        <v>2908</v>
      </c>
      <c r="AT255" s="9" t="s">
        <v>2908</v>
      </c>
      <c r="AU255" s="9" t="s">
        <v>2908</v>
      </c>
      <c r="AV255" s="9" t="s">
        <v>2908</v>
      </c>
      <c r="AW255" s="9" t="s">
        <v>2908</v>
      </c>
      <c r="AX255" s="9" t="s">
        <v>2908</v>
      </c>
      <c r="AY255" s="9" t="s">
        <v>2908</v>
      </c>
      <c r="AZ255" s="9" t="s">
        <v>2908</v>
      </c>
      <c r="BA255" s="9" t="s">
        <v>2908</v>
      </c>
      <c r="BB255" s="9" t="s">
        <v>2908</v>
      </c>
      <c r="BC255" s="9" t="s">
        <v>2908</v>
      </c>
      <c r="BD255" s="9" t="s">
        <v>2908</v>
      </c>
      <c r="BE255" s="9" t="s">
        <v>2908</v>
      </c>
      <c r="BF255" s="9" t="s">
        <v>2908</v>
      </c>
      <c r="BG255" s="9" t="s">
        <v>2908</v>
      </c>
      <c r="BH255" s="9" t="s">
        <v>2908</v>
      </c>
      <c r="BI255" s="9" t="s">
        <v>2908</v>
      </c>
      <c r="BJ255" s="9" t="s">
        <v>2908</v>
      </c>
      <c r="BK255" s="9" t="s">
        <v>2908</v>
      </c>
      <c r="BL255" s="9" t="s">
        <v>2908</v>
      </c>
      <c r="BM255" s="9" t="s">
        <v>2908</v>
      </c>
      <c r="BN255" s="9" t="s">
        <v>2908</v>
      </c>
      <c r="BO255" s="9" t="s">
        <v>2908</v>
      </c>
      <c r="BP255" s="9" t="s">
        <v>2908</v>
      </c>
      <c r="BQ255" s="9" t="s">
        <v>2908</v>
      </c>
      <c r="BR255" s="9" t="s">
        <v>2908</v>
      </c>
      <c r="BS255" s="9" t="s">
        <v>2908</v>
      </c>
      <c r="BT255" s="9" t="s">
        <v>2908</v>
      </c>
      <c r="BU255" s="9" t="s">
        <v>2908</v>
      </c>
      <c r="BV255" s="9" t="s">
        <v>2908</v>
      </c>
      <c r="BW255" s="9" t="s">
        <v>2908</v>
      </c>
      <c r="BX255" s="9" t="s">
        <v>2908</v>
      </c>
      <c r="BY255" s="9" t="s">
        <v>2908</v>
      </c>
      <c r="BZ255" s="9" t="s">
        <v>2908</v>
      </c>
      <c r="CA255" s="9" t="s">
        <v>2908</v>
      </c>
      <c r="CB255" s="9" t="s">
        <v>2908</v>
      </c>
      <c r="CC255" s="9" t="s">
        <v>2908</v>
      </c>
      <c r="CD255" s="9" t="s">
        <v>2908</v>
      </c>
      <c r="CE255" s="9" t="s">
        <v>2908</v>
      </c>
      <c r="CF255" s="9" t="s">
        <v>2908</v>
      </c>
      <c r="CG255" s="9" t="s">
        <v>2908</v>
      </c>
      <c r="CH255" s="9" t="s">
        <v>2908</v>
      </c>
      <c r="CI255" s="9" t="s">
        <v>2908</v>
      </c>
      <c r="CJ255" s="9" t="s">
        <v>2908</v>
      </c>
      <c r="CK255" s="9" t="s">
        <v>2908</v>
      </c>
      <c r="CL255" s="9" t="s">
        <v>2908</v>
      </c>
      <c r="CM255" s="9" t="s">
        <v>2908</v>
      </c>
      <c r="CN255" s="9" t="s">
        <v>2908</v>
      </c>
      <c r="CO255" s="9" t="s">
        <v>2908</v>
      </c>
      <c r="CP255" s="9" t="s">
        <v>2908</v>
      </c>
      <c r="CQ255" s="9" t="s">
        <v>2908</v>
      </c>
      <c r="CR255" s="9" t="s">
        <v>2908</v>
      </c>
      <c r="CS255" s="9" t="s">
        <v>2908</v>
      </c>
      <c r="CT255" s="9" t="s">
        <v>2908</v>
      </c>
      <c r="CU255" s="9" t="s">
        <v>2908</v>
      </c>
      <c r="CV255" s="9" t="s">
        <v>2908</v>
      </c>
      <c r="CW255" s="9" t="s">
        <v>2908</v>
      </c>
      <c r="CX255" s="9" t="s">
        <v>2908</v>
      </c>
      <c r="CY255" s="9" t="s">
        <v>2908</v>
      </c>
      <c r="CZ255" s="9" t="s">
        <v>2908</v>
      </c>
      <c r="DA255" s="9" t="s">
        <v>2908</v>
      </c>
      <c r="DB255" s="9" t="s">
        <v>2908</v>
      </c>
      <c r="DC255" s="9" t="s">
        <v>2908</v>
      </c>
      <c r="DD255" s="9" t="s">
        <v>2908</v>
      </c>
      <c r="DE255" s="9" t="s">
        <v>2908</v>
      </c>
      <c r="DF255" s="9" t="s">
        <v>2908</v>
      </c>
      <c r="DG255" s="9" t="s">
        <v>2908</v>
      </c>
      <c r="DH255" s="9" t="s">
        <v>2908</v>
      </c>
      <c r="DI255" s="9" t="s">
        <v>2908</v>
      </c>
      <c r="DJ255" s="9" t="s">
        <v>2908</v>
      </c>
      <c r="DK255" s="9" t="s">
        <v>2908</v>
      </c>
      <c r="DL255" s="9" t="s">
        <v>2908</v>
      </c>
      <c r="DM255" s="9" t="s">
        <v>2908</v>
      </c>
      <c r="DN255" s="9" t="s">
        <v>2908</v>
      </c>
      <c r="DO255" s="9" t="s">
        <v>2908</v>
      </c>
      <c r="DP255" s="9" t="s">
        <v>2908</v>
      </c>
      <c r="DQ255" s="9" t="s">
        <v>2908</v>
      </c>
    </row>
    <row r="256" spans="1:121" ht="15.75" customHeight="1">
      <c r="A256" s="87" t="s">
        <v>8531</v>
      </c>
      <c r="Z256" s="9" t="s">
        <v>2908</v>
      </c>
      <c r="AA256" s="9" t="s">
        <v>2908</v>
      </c>
      <c r="AB256" s="9" t="s">
        <v>2908</v>
      </c>
      <c r="AC256" s="9" t="s">
        <v>2908</v>
      </c>
      <c r="AD256" s="9" t="s">
        <v>2908</v>
      </c>
      <c r="AE256" s="9" t="s">
        <v>2908</v>
      </c>
      <c r="AF256" s="9" t="s">
        <v>2908</v>
      </c>
      <c r="AG256" s="9" t="s">
        <v>2908</v>
      </c>
      <c r="AH256" s="9" t="s">
        <v>2908</v>
      </c>
      <c r="AI256" s="9" t="s">
        <v>2908</v>
      </c>
      <c r="AJ256" s="9" t="s">
        <v>2908</v>
      </c>
      <c r="AK256" s="9" t="s">
        <v>2908</v>
      </c>
      <c r="AL256" s="9" t="s">
        <v>2908</v>
      </c>
      <c r="AM256" s="9" t="s">
        <v>2908</v>
      </c>
      <c r="AN256" s="9" t="s">
        <v>2908</v>
      </c>
      <c r="AO256" s="9" t="s">
        <v>2908</v>
      </c>
      <c r="AP256" s="9" t="s">
        <v>2908</v>
      </c>
      <c r="AQ256" s="9" t="s">
        <v>2908</v>
      </c>
      <c r="AR256" s="9" t="s">
        <v>2908</v>
      </c>
      <c r="AS256" s="9" t="s">
        <v>2908</v>
      </c>
      <c r="AT256" s="9" t="s">
        <v>2908</v>
      </c>
      <c r="AU256" s="9" t="s">
        <v>2908</v>
      </c>
      <c r="AV256" s="9" t="s">
        <v>2908</v>
      </c>
      <c r="AW256" s="9" t="s">
        <v>2908</v>
      </c>
      <c r="AX256" s="9" t="s">
        <v>2908</v>
      </c>
      <c r="AY256" s="9" t="s">
        <v>2908</v>
      </c>
      <c r="AZ256" s="9" t="s">
        <v>2908</v>
      </c>
      <c r="BA256" s="9" t="s">
        <v>2908</v>
      </c>
      <c r="BB256" s="9" t="s">
        <v>2908</v>
      </c>
      <c r="BC256" s="9" t="s">
        <v>2908</v>
      </c>
      <c r="BD256" s="9" t="s">
        <v>2908</v>
      </c>
      <c r="BE256" s="9" t="s">
        <v>2908</v>
      </c>
      <c r="BF256" s="9" t="s">
        <v>2908</v>
      </c>
      <c r="BG256" s="9" t="s">
        <v>2908</v>
      </c>
      <c r="BH256" s="9" t="s">
        <v>2908</v>
      </c>
      <c r="BI256" s="9" t="s">
        <v>2908</v>
      </c>
      <c r="BJ256" s="9" t="s">
        <v>2908</v>
      </c>
      <c r="BK256" s="9" t="s">
        <v>2908</v>
      </c>
      <c r="BL256" s="9" t="s">
        <v>2908</v>
      </c>
      <c r="BM256" s="9" t="s">
        <v>2908</v>
      </c>
      <c r="BN256" s="9" t="s">
        <v>2908</v>
      </c>
      <c r="BO256" s="9" t="s">
        <v>2908</v>
      </c>
      <c r="BP256" s="9" t="s">
        <v>2908</v>
      </c>
      <c r="BQ256" s="9" t="s">
        <v>2908</v>
      </c>
      <c r="BR256" s="9" t="s">
        <v>2908</v>
      </c>
      <c r="BS256" s="9" t="s">
        <v>2908</v>
      </c>
      <c r="BT256" s="9" t="s">
        <v>2908</v>
      </c>
      <c r="BU256" s="9" t="s">
        <v>2908</v>
      </c>
      <c r="BV256" s="9" t="s">
        <v>2908</v>
      </c>
      <c r="BW256" s="9" t="s">
        <v>2908</v>
      </c>
      <c r="BX256" s="9" t="s">
        <v>2908</v>
      </c>
      <c r="BY256" s="9" t="s">
        <v>2908</v>
      </c>
      <c r="BZ256" s="9" t="s">
        <v>2908</v>
      </c>
      <c r="CA256" s="9" t="s">
        <v>2908</v>
      </c>
      <c r="CB256" s="9" t="s">
        <v>2908</v>
      </c>
      <c r="CC256" s="9" t="s">
        <v>2908</v>
      </c>
      <c r="CD256" s="9" t="s">
        <v>2908</v>
      </c>
      <c r="CE256" s="9" t="s">
        <v>2908</v>
      </c>
      <c r="CF256" s="9" t="s">
        <v>2908</v>
      </c>
      <c r="CG256" s="9" t="s">
        <v>2908</v>
      </c>
      <c r="CH256" s="9" t="s">
        <v>2908</v>
      </c>
      <c r="CI256" s="9" t="s">
        <v>2908</v>
      </c>
      <c r="CJ256" s="9" t="s">
        <v>2908</v>
      </c>
      <c r="CK256" s="9" t="s">
        <v>2908</v>
      </c>
      <c r="CL256" s="9" t="s">
        <v>2908</v>
      </c>
      <c r="CM256" s="9" t="s">
        <v>2908</v>
      </c>
      <c r="CN256" s="9" t="s">
        <v>2908</v>
      </c>
      <c r="CO256" s="9" t="s">
        <v>2908</v>
      </c>
      <c r="CP256" s="9" t="s">
        <v>2908</v>
      </c>
      <c r="CQ256" s="9" t="s">
        <v>2908</v>
      </c>
      <c r="CR256" s="9" t="s">
        <v>2908</v>
      </c>
      <c r="CS256" s="9" t="s">
        <v>2908</v>
      </c>
      <c r="CT256" s="9" t="s">
        <v>2908</v>
      </c>
      <c r="CU256" s="9" t="s">
        <v>2908</v>
      </c>
      <c r="CV256" s="9" t="s">
        <v>2908</v>
      </c>
      <c r="CW256" s="9" t="s">
        <v>2908</v>
      </c>
      <c r="CX256" s="9" t="s">
        <v>2908</v>
      </c>
      <c r="CY256" s="9" t="s">
        <v>2908</v>
      </c>
      <c r="CZ256" s="9" t="s">
        <v>2908</v>
      </c>
      <c r="DA256" s="9" t="s">
        <v>2908</v>
      </c>
      <c r="DB256" s="9" t="s">
        <v>2908</v>
      </c>
      <c r="DC256" s="9" t="s">
        <v>2908</v>
      </c>
      <c r="DD256" s="9" t="s">
        <v>2908</v>
      </c>
      <c r="DE256" s="9" t="s">
        <v>2908</v>
      </c>
      <c r="DF256" s="9" t="s">
        <v>2908</v>
      </c>
      <c r="DG256" s="9" t="s">
        <v>2908</v>
      </c>
      <c r="DH256" s="9" t="s">
        <v>2908</v>
      </c>
      <c r="DI256" s="9" t="s">
        <v>2908</v>
      </c>
      <c r="DJ256" s="9" t="s">
        <v>2908</v>
      </c>
      <c r="DK256" s="9" t="s">
        <v>2908</v>
      </c>
      <c r="DL256" s="9" t="s">
        <v>2908</v>
      </c>
      <c r="DM256" s="9" t="s">
        <v>2908</v>
      </c>
      <c r="DN256" s="9" t="s">
        <v>2908</v>
      </c>
      <c r="DO256" s="9" t="s">
        <v>2908</v>
      </c>
      <c r="DP256" s="9" t="s">
        <v>2908</v>
      </c>
      <c r="DQ256" s="9" t="s">
        <v>2908</v>
      </c>
    </row>
    <row r="257" spans="1:121" ht="15.75" customHeight="1">
      <c r="A257" s="87" t="s">
        <v>8532</v>
      </c>
    </row>
    <row r="258" spans="1:121" ht="15.75" customHeight="1">
      <c r="A258" s="87" t="s">
        <v>8533</v>
      </c>
    </row>
    <row r="259" spans="1:121" ht="15.75" customHeight="1">
      <c r="A259" s="87" t="s">
        <v>8534</v>
      </c>
    </row>
    <row r="260" spans="1:121" ht="15.75" customHeight="1">
      <c r="A260" s="87" t="s">
        <v>8535</v>
      </c>
    </row>
    <row r="261" spans="1:121" ht="15.75" customHeight="1">
      <c r="A261" s="87" t="s">
        <v>8536</v>
      </c>
    </row>
    <row r="262" spans="1:121" ht="15.75" customHeight="1">
      <c r="A262" s="87" t="s">
        <v>8537</v>
      </c>
    </row>
    <row r="263" spans="1:121" ht="15.75" customHeight="1">
      <c r="A263" s="87" t="s">
        <v>8538</v>
      </c>
    </row>
    <row r="264" spans="1:121" ht="15.75" customHeight="1">
      <c r="A264" s="87" t="s">
        <v>8539</v>
      </c>
    </row>
    <row r="265" spans="1:121" ht="15.75" customHeight="1">
      <c r="A265" s="87" t="s">
        <v>8540</v>
      </c>
      <c r="BS265" s="9" t="s">
        <v>2909</v>
      </c>
      <c r="BT265" s="9" t="s">
        <v>2909</v>
      </c>
      <c r="BU265" s="9" t="s">
        <v>2909</v>
      </c>
      <c r="BV265" s="9" t="s">
        <v>2909</v>
      </c>
      <c r="BW265" s="9" t="s">
        <v>2909</v>
      </c>
      <c r="BX265" s="9" t="s">
        <v>2909</v>
      </c>
      <c r="BY265" s="9" t="s">
        <v>2909</v>
      </c>
      <c r="BZ265" s="9" t="s">
        <v>2909</v>
      </c>
      <c r="CA265" s="9" t="s">
        <v>2909</v>
      </c>
      <c r="CB265" s="9" t="s">
        <v>2909</v>
      </c>
      <c r="CC265" s="9" t="s">
        <v>2909</v>
      </c>
      <c r="CD265" s="9" t="s">
        <v>2909</v>
      </c>
      <c r="CE265" s="9" t="s">
        <v>2909</v>
      </c>
      <c r="CF265" s="9" t="s">
        <v>2909</v>
      </c>
      <c r="CG265" s="9" t="s">
        <v>2909</v>
      </c>
      <c r="CH265" s="9" t="s">
        <v>2909</v>
      </c>
      <c r="CI265" s="9" t="s">
        <v>2909</v>
      </c>
      <c r="CJ265" s="9" t="s">
        <v>2909</v>
      </c>
      <c r="CK265" s="9" t="s">
        <v>2909</v>
      </c>
      <c r="CL265" s="9" t="s">
        <v>2909</v>
      </c>
      <c r="CM265" s="9" t="s">
        <v>2909</v>
      </c>
      <c r="CN265" s="9" t="s">
        <v>2909</v>
      </c>
      <c r="CO265" s="9" t="s">
        <v>2909</v>
      </c>
      <c r="CP265" s="9" t="s">
        <v>2909</v>
      </c>
      <c r="CQ265" s="9" t="s">
        <v>2909</v>
      </c>
      <c r="CR265" s="9" t="s">
        <v>2909</v>
      </c>
      <c r="CS265" s="9" t="s">
        <v>2909</v>
      </c>
      <c r="CT265" s="9" t="s">
        <v>2909</v>
      </c>
      <c r="CU265" s="9" t="s">
        <v>2909</v>
      </c>
      <c r="CV265" s="9" t="s">
        <v>2909</v>
      </c>
      <c r="CW265" s="9" t="s">
        <v>2909</v>
      </c>
      <c r="CX265" s="9" t="s">
        <v>2909</v>
      </c>
      <c r="CY265" s="9" t="s">
        <v>2909</v>
      </c>
      <c r="CZ265" s="9" t="s">
        <v>2909</v>
      </c>
      <c r="DA265" s="9" t="s">
        <v>2909</v>
      </c>
      <c r="DB265" s="9" t="s">
        <v>2909</v>
      </c>
      <c r="DC265" s="9" t="s">
        <v>2909</v>
      </c>
      <c r="DD265" s="9" t="s">
        <v>2909</v>
      </c>
      <c r="DE265" s="9" t="s">
        <v>2909</v>
      </c>
      <c r="DF265" s="9" t="s">
        <v>2909</v>
      </c>
      <c r="DG265" s="9" t="s">
        <v>2909</v>
      </c>
      <c r="DH265" s="9" t="s">
        <v>2909</v>
      </c>
      <c r="DI265" s="9" t="s">
        <v>2909</v>
      </c>
      <c r="DJ265" s="9" t="s">
        <v>2909</v>
      </c>
      <c r="DK265" s="9" t="s">
        <v>2909</v>
      </c>
      <c r="DL265" s="9" t="s">
        <v>2909</v>
      </c>
      <c r="DM265" s="9" t="s">
        <v>2909</v>
      </c>
      <c r="DN265" s="9" t="s">
        <v>2909</v>
      </c>
      <c r="DO265" s="9" t="s">
        <v>2909</v>
      </c>
      <c r="DP265" s="9" t="s">
        <v>2909</v>
      </c>
      <c r="DQ265" s="9" t="s">
        <v>2909</v>
      </c>
    </row>
    <row r="266" spans="1:121" ht="15.75" customHeight="1">
      <c r="A266" s="87" t="s">
        <v>8541</v>
      </c>
      <c r="Z266" s="9" t="s">
        <v>2909</v>
      </c>
      <c r="AA266" s="9" t="s">
        <v>2909</v>
      </c>
      <c r="AB266" s="9" t="s">
        <v>2909</v>
      </c>
      <c r="AC266" s="9" t="s">
        <v>2909</v>
      </c>
      <c r="AD266" s="9" t="s">
        <v>2909</v>
      </c>
      <c r="AE266" s="9" t="s">
        <v>2909</v>
      </c>
      <c r="AF266" s="9" t="s">
        <v>2909</v>
      </c>
      <c r="AG266" s="9" t="s">
        <v>2909</v>
      </c>
      <c r="AH266" s="9" t="s">
        <v>2909</v>
      </c>
      <c r="AI266" s="9" t="s">
        <v>2909</v>
      </c>
      <c r="AJ266" s="9" t="s">
        <v>2909</v>
      </c>
      <c r="AK266" s="9" t="s">
        <v>2909</v>
      </c>
      <c r="AL266" s="9" t="s">
        <v>2909</v>
      </c>
      <c r="AM266" s="9" t="s">
        <v>2909</v>
      </c>
      <c r="AN266" s="9" t="s">
        <v>2909</v>
      </c>
      <c r="AO266" s="9" t="s">
        <v>2909</v>
      </c>
      <c r="AP266" s="9" t="s">
        <v>2909</v>
      </c>
      <c r="AQ266" s="9" t="s">
        <v>2909</v>
      </c>
      <c r="AR266" s="9" t="s">
        <v>2909</v>
      </c>
      <c r="AS266" s="9" t="s">
        <v>2909</v>
      </c>
      <c r="AT266" s="9" t="s">
        <v>2909</v>
      </c>
      <c r="AU266" s="9" t="s">
        <v>2909</v>
      </c>
      <c r="AV266" s="9" t="s">
        <v>2909</v>
      </c>
      <c r="AW266" s="9" t="s">
        <v>2909</v>
      </c>
      <c r="AX266" s="9" t="s">
        <v>2909</v>
      </c>
      <c r="AY266" s="9" t="s">
        <v>2909</v>
      </c>
      <c r="AZ266" s="9" t="s">
        <v>2909</v>
      </c>
      <c r="BA266" s="9" t="s">
        <v>2909</v>
      </c>
      <c r="BB266" s="9" t="s">
        <v>2909</v>
      </c>
      <c r="BC266" s="9" t="s">
        <v>2909</v>
      </c>
      <c r="BD266" s="9" t="s">
        <v>2909</v>
      </c>
      <c r="BE266" s="9" t="s">
        <v>2909</v>
      </c>
      <c r="BF266" s="9" t="s">
        <v>2909</v>
      </c>
      <c r="BG266" s="9" t="s">
        <v>2909</v>
      </c>
      <c r="BH266" s="9" t="s">
        <v>2909</v>
      </c>
      <c r="BI266" s="9" t="s">
        <v>2909</v>
      </c>
      <c r="BJ266" s="9" t="s">
        <v>2909</v>
      </c>
      <c r="BK266" s="9" t="s">
        <v>2909</v>
      </c>
      <c r="BL266" s="9" t="s">
        <v>2909</v>
      </c>
      <c r="BM266" s="9" t="s">
        <v>2909</v>
      </c>
      <c r="BN266" s="9" t="s">
        <v>2909</v>
      </c>
      <c r="BO266" s="9" t="s">
        <v>2909</v>
      </c>
      <c r="BP266" s="9" t="s">
        <v>2909</v>
      </c>
      <c r="BQ266" s="9" t="s">
        <v>2909</v>
      </c>
      <c r="BR266" s="9" t="s">
        <v>2909</v>
      </c>
      <c r="BS266" s="9" t="s">
        <v>2909</v>
      </c>
      <c r="BT266" s="9" t="s">
        <v>2909</v>
      </c>
      <c r="BU266" s="9" t="s">
        <v>2909</v>
      </c>
      <c r="BV266" s="9" t="s">
        <v>2909</v>
      </c>
      <c r="BW266" s="9" t="s">
        <v>2909</v>
      </c>
      <c r="BX266" s="9" t="s">
        <v>2909</v>
      </c>
      <c r="BY266" s="9" t="s">
        <v>2909</v>
      </c>
      <c r="BZ266" s="9" t="s">
        <v>2909</v>
      </c>
      <c r="CA266" s="9" t="s">
        <v>2909</v>
      </c>
      <c r="CB266" s="9" t="s">
        <v>2909</v>
      </c>
      <c r="CC266" s="9" t="s">
        <v>2909</v>
      </c>
      <c r="CD266" s="9" t="s">
        <v>2909</v>
      </c>
      <c r="CE266" s="9" t="s">
        <v>2909</v>
      </c>
      <c r="CF266" s="9" t="s">
        <v>2909</v>
      </c>
      <c r="CG266" s="9" t="s">
        <v>2909</v>
      </c>
      <c r="CH266" s="9" t="s">
        <v>2909</v>
      </c>
      <c r="CI266" s="9" t="s">
        <v>2909</v>
      </c>
      <c r="CJ266" s="9" t="s">
        <v>2909</v>
      </c>
      <c r="CK266" s="9" t="s">
        <v>2909</v>
      </c>
      <c r="CL266" s="9" t="s">
        <v>2909</v>
      </c>
      <c r="CM266" s="9" t="s">
        <v>2909</v>
      </c>
      <c r="CN266" s="9" t="s">
        <v>2909</v>
      </c>
      <c r="CO266" s="9" t="s">
        <v>2909</v>
      </c>
      <c r="CP266" s="9" t="s">
        <v>2909</v>
      </c>
      <c r="CQ266" s="9" t="s">
        <v>2909</v>
      </c>
      <c r="CR266" s="9" t="s">
        <v>2909</v>
      </c>
      <c r="CS266" s="9" t="s">
        <v>2909</v>
      </c>
      <c r="CT266" s="9" t="s">
        <v>2909</v>
      </c>
      <c r="CU266" s="9" t="s">
        <v>2909</v>
      </c>
      <c r="CV266" s="9" t="s">
        <v>2909</v>
      </c>
      <c r="CW266" s="9" t="s">
        <v>2909</v>
      </c>
      <c r="CX266" s="9" t="s">
        <v>2909</v>
      </c>
      <c r="CY266" s="9" t="s">
        <v>2909</v>
      </c>
      <c r="CZ266" s="9" t="s">
        <v>2909</v>
      </c>
      <c r="DA266" s="9" t="s">
        <v>2909</v>
      </c>
      <c r="DB266" s="9" t="s">
        <v>2909</v>
      </c>
      <c r="DC266" s="9" t="s">
        <v>2909</v>
      </c>
      <c r="DD266" s="9" t="s">
        <v>2909</v>
      </c>
      <c r="DE266" s="9" t="s">
        <v>2909</v>
      </c>
      <c r="DF266" s="9" t="s">
        <v>2909</v>
      </c>
      <c r="DG266" s="9" t="s">
        <v>2909</v>
      </c>
      <c r="DH266" s="9" t="s">
        <v>2909</v>
      </c>
      <c r="DI266" s="9" t="s">
        <v>2909</v>
      </c>
      <c r="DJ266" s="9" t="s">
        <v>2909</v>
      </c>
      <c r="DK266" s="9" t="s">
        <v>2909</v>
      </c>
      <c r="DL266" s="9" t="s">
        <v>2909</v>
      </c>
      <c r="DM266" s="9" t="s">
        <v>2909</v>
      </c>
      <c r="DN266" s="9" t="s">
        <v>2909</v>
      </c>
      <c r="DO266" s="9" t="s">
        <v>2909</v>
      </c>
      <c r="DP266" s="9" t="s">
        <v>2909</v>
      </c>
      <c r="DQ266" s="9" t="s">
        <v>2909</v>
      </c>
    </row>
    <row r="267" spans="1:121" ht="15.75" customHeight="1">
      <c r="A267" s="87" t="s">
        <v>8542</v>
      </c>
    </row>
    <row r="268" spans="1:121" ht="15.75" customHeight="1">
      <c r="A268" s="87" t="s">
        <v>8543</v>
      </c>
    </row>
    <row r="269" spans="1:121" ht="15.75" customHeight="1">
      <c r="A269" s="87" t="s">
        <v>8544</v>
      </c>
    </row>
    <row r="270" spans="1:121" ht="15.75" customHeight="1">
      <c r="A270" s="87" t="s">
        <v>8545</v>
      </c>
    </row>
    <row r="271" spans="1:121" ht="15.75" customHeight="1">
      <c r="A271" s="87" t="s">
        <v>8546</v>
      </c>
    </row>
    <row r="272" spans="1:121" ht="15.75" customHeight="1">
      <c r="A272" s="87" t="s">
        <v>8547</v>
      </c>
    </row>
    <row r="273" spans="1:121" ht="15.75" customHeight="1">
      <c r="A273" s="87" t="s">
        <v>8548</v>
      </c>
    </row>
    <row r="274" spans="1:121" ht="15.75" customHeight="1">
      <c r="A274" s="87" t="s">
        <v>8549</v>
      </c>
    </row>
    <row r="275" spans="1:121" ht="15.75" customHeight="1">
      <c r="A275" s="87" t="s">
        <v>8550</v>
      </c>
    </row>
    <row r="276" spans="1:121" ht="15.75" customHeight="1">
      <c r="A276" s="87" t="s">
        <v>8551</v>
      </c>
    </row>
    <row r="277" spans="1:121" ht="15.75" customHeight="1">
      <c r="A277" s="87" t="s">
        <v>8552</v>
      </c>
    </row>
    <row r="278" spans="1:121" ht="15.75" customHeight="1">
      <c r="A278" s="87" t="s">
        <v>8553</v>
      </c>
    </row>
    <row r="279" spans="1:121" ht="15.75" customHeight="1">
      <c r="A279" s="87" t="s">
        <v>8554</v>
      </c>
    </row>
    <row r="280" spans="1:121" ht="15.75" customHeight="1">
      <c r="A280" s="87" t="s">
        <v>8555</v>
      </c>
    </row>
    <row r="281" spans="1:121" ht="15.75" customHeight="1">
      <c r="A281" s="87" t="s">
        <v>8556</v>
      </c>
      <c r="CT281" s="9" t="s">
        <v>2915</v>
      </c>
      <c r="CU281" s="9" t="s">
        <v>2915</v>
      </c>
      <c r="CV281" s="9" t="s">
        <v>2915</v>
      </c>
      <c r="CW281" s="9" t="s">
        <v>2915</v>
      </c>
      <c r="CX281" s="9" t="s">
        <v>2915</v>
      </c>
      <c r="CY281" s="9" t="s">
        <v>2915</v>
      </c>
      <c r="CZ281" s="9" t="s">
        <v>2915</v>
      </c>
      <c r="DA281" s="9" t="s">
        <v>2915</v>
      </c>
      <c r="DB281" s="9" t="s">
        <v>2915</v>
      </c>
      <c r="DC281" s="9" t="s">
        <v>2915</v>
      </c>
      <c r="DD281" s="9" t="s">
        <v>2915</v>
      </c>
      <c r="DE281" s="9" t="s">
        <v>2915</v>
      </c>
      <c r="DF281" s="9" t="s">
        <v>2915</v>
      </c>
      <c r="DG281" s="9" t="s">
        <v>2915</v>
      </c>
      <c r="DH281" s="9" t="s">
        <v>2915</v>
      </c>
      <c r="DI281" s="9" t="s">
        <v>2915</v>
      </c>
      <c r="DJ281" s="9" t="s">
        <v>2915</v>
      </c>
      <c r="DK281" s="9" t="s">
        <v>2915</v>
      </c>
      <c r="DL281" s="9" t="s">
        <v>2915</v>
      </c>
      <c r="DM281" s="9" t="s">
        <v>2915</v>
      </c>
      <c r="DN281" s="9" t="s">
        <v>2915</v>
      </c>
      <c r="DO281" s="9" t="s">
        <v>2915</v>
      </c>
      <c r="DP281" s="9" t="s">
        <v>2915</v>
      </c>
      <c r="DQ281" s="9" t="s">
        <v>2915</v>
      </c>
    </row>
    <row r="282" spans="1:121" ht="15.75" customHeight="1">
      <c r="A282" s="87" t="s">
        <v>8557</v>
      </c>
      <c r="Z282" s="9" t="s">
        <v>2915</v>
      </c>
      <c r="AA282" s="9" t="s">
        <v>2915</v>
      </c>
      <c r="AB282" s="9" t="s">
        <v>2915</v>
      </c>
      <c r="AC282" s="9" t="s">
        <v>2915</v>
      </c>
      <c r="AD282" s="9" t="s">
        <v>2915</v>
      </c>
      <c r="AE282" s="9" t="s">
        <v>2915</v>
      </c>
      <c r="AF282" s="9" t="s">
        <v>2915</v>
      </c>
      <c r="AG282" s="9" t="s">
        <v>2915</v>
      </c>
      <c r="AH282" s="9" t="s">
        <v>2915</v>
      </c>
      <c r="AI282" s="9" t="s">
        <v>2915</v>
      </c>
      <c r="AJ282" s="9" t="s">
        <v>2915</v>
      </c>
      <c r="AK282" s="9" t="s">
        <v>2915</v>
      </c>
      <c r="AL282" s="9" t="s">
        <v>2915</v>
      </c>
      <c r="AM282" s="9" t="s">
        <v>2915</v>
      </c>
      <c r="AN282" s="9" t="s">
        <v>2915</v>
      </c>
      <c r="AO282" s="9" t="s">
        <v>2915</v>
      </c>
      <c r="AP282" s="9" t="s">
        <v>2915</v>
      </c>
      <c r="AQ282" s="9" t="s">
        <v>2915</v>
      </c>
      <c r="AR282" s="9" t="s">
        <v>2915</v>
      </c>
      <c r="AS282" s="9" t="s">
        <v>2915</v>
      </c>
      <c r="AT282" s="9" t="s">
        <v>2915</v>
      </c>
      <c r="AU282" s="9" t="s">
        <v>2915</v>
      </c>
      <c r="AV282" s="9" t="s">
        <v>2915</v>
      </c>
      <c r="AW282" s="9" t="s">
        <v>2915</v>
      </c>
      <c r="AX282" s="9" t="s">
        <v>2915</v>
      </c>
      <c r="AY282" s="9" t="s">
        <v>2915</v>
      </c>
      <c r="AZ282" s="9" t="s">
        <v>2915</v>
      </c>
      <c r="BA282" s="9" t="s">
        <v>2915</v>
      </c>
      <c r="BB282" s="9" t="s">
        <v>2915</v>
      </c>
      <c r="BC282" s="9" t="s">
        <v>2915</v>
      </c>
      <c r="BD282" s="9" t="s">
        <v>2915</v>
      </c>
      <c r="BE282" s="9" t="s">
        <v>2915</v>
      </c>
      <c r="BF282" s="9" t="s">
        <v>2915</v>
      </c>
      <c r="BG282" s="9" t="s">
        <v>2915</v>
      </c>
      <c r="BH282" s="9" t="s">
        <v>2915</v>
      </c>
      <c r="BI282" s="9" t="s">
        <v>2915</v>
      </c>
      <c r="BJ282" s="9" t="s">
        <v>2915</v>
      </c>
      <c r="BK282" s="9" t="s">
        <v>2915</v>
      </c>
      <c r="BL282" s="9" t="s">
        <v>2915</v>
      </c>
      <c r="BM282" s="9" t="s">
        <v>2915</v>
      </c>
      <c r="BN282" s="9" t="s">
        <v>2915</v>
      </c>
      <c r="BO282" s="9" t="s">
        <v>2915</v>
      </c>
      <c r="BP282" s="9" t="s">
        <v>2915</v>
      </c>
      <c r="BQ282" s="9" t="s">
        <v>2915</v>
      </c>
      <c r="BR282" s="9" t="s">
        <v>2915</v>
      </c>
      <c r="BS282" s="9" t="s">
        <v>2915</v>
      </c>
      <c r="BT282" s="9" t="s">
        <v>2915</v>
      </c>
      <c r="BU282" s="9" t="s">
        <v>2915</v>
      </c>
      <c r="BV282" s="9" t="s">
        <v>2915</v>
      </c>
      <c r="BW282" s="9" t="s">
        <v>2915</v>
      </c>
      <c r="BX282" s="9" t="s">
        <v>2915</v>
      </c>
      <c r="BY282" s="9" t="s">
        <v>2915</v>
      </c>
      <c r="BZ282" s="9" t="s">
        <v>2915</v>
      </c>
      <c r="CA282" s="9" t="s">
        <v>2915</v>
      </c>
      <c r="CB282" s="9" t="s">
        <v>2915</v>
      </c>
      <c r="CC282" s="9" t="s">
        <v>2915</v>
      </c>
      <c r="CD282" s="9" t="s">
        <v>2915</v>
      </c>
      <c r="CE282" s="9" t="s">
        <v>2915</v>
      </c>
      <c r="CF282" s="9" t="s">
        <v>2915</v>
      </c>
      <c r="CG282" s="9" t="s">
        <v>2915</v>
      </c>
      <c r="CH282" s="9" t="s">
        <v>2915</v>
      </c>
      <c r="CI282" s="9" t="s">
        <v>2915</v>
      </c>
      <c r="CJ282" s="9" t="s">
        <v>2915</v>
      </c>
      <c r="CK282" s="9" t="s">
        <v>2915</v>
      </c>
      <c r="CL282" s="9" t="s">
        <v>2915</v>
      </c>
      <c r="CM282" s="9" t="s">
        <v>2915</v>
      </c>
      <c r="CN282" s="9" t="s">
        <v>2915</v>
      </c>
      <c r="CO282" s="9" t="s">
        <v>2915</v>
      </c>
      <c r="CP282" s="9" t="s">
        <v>2915</v>
      </c>
      <c r="CQ282" s="9" t="s">
        <v>2915</v>
      </c>
      <c r="CR282" s="9" t="s">
        <v>2915</v>
      </c>
      <c r="CS282" s="9" t="s">
        <v>2915</v>
      </c>
      <c r="CT282" s="9" t="s">
        <v>2915</v>
      </c>
      <c r="CU282" s="9" t="s">
        <v>2915</v>
      </c>
      <c r="CV282" s="9" t="s">
        <v>2915</v>
      </c>
      <c r="CW282" s="9" t="s">
        <v>2915</v>
      </c>
      <c r="CX282" s="9" t="s">
        <v>2915</v>
      </c>
      <c r="CY282" s="9" t="s">
        <v>2915</v>
      </c>
      <c r="CZ282" s="9" t="s">
        <v>2915</v>
      </c>
      <c r="DA282" s="9" t="s">
        <v>2915</v>
      </c>
      <c r="DB282" s="9" t="s">
        <v>2915</v>
      </c>
      <c r="DC282" s="9" t="s">
        <v>2915</v>
      </c>
      <c r="DD282" s="9" t="s">
        <v>2915</v>
      </c>
      <c r="DE282" s="9" t="s">
        <v>2915</v>
      </c>
      <c r="DF282" s="9" t="s">
        <v>2915</v>
      </c>
      <c r="DG282" s="9" t="s">
        <v>2915</v>
      </c>
      <c r="DH282" s="9" t="s">
        <v>2915</v>
      </c>
      <c r="DI282" s="9" t="s">
        <v>2915</v>
      </c>
      <c r="DJ282" s="9" t="s">
        <v>2915</v>
      </c>
      <c r="DK282" s="9" t="s">
        <v>2915</v>
      </c>
      <c r="DL282" s="9" t="s">
        <v>2915</v>
      </c>
      <c r="DM282" s="9" t="s">
        <v>2915</v>
      </c>
      <c r="DN282" s="9" t="s">
        <v>2915</v>
      </c>
      <c r="DO282" s="9" t="s">
        <v>2915</v>
      </c>
      <c r="DP282" s="9" t="s">
        <v>2915</v>
      </c>
      <c r="DQ282" s="9" t="s">
        <v>2915</v>
      </c>
    </row>
    <row r="283" spans="1:121" ht="15.75" customHeight="1">
      <c r="A283" s="87" t="s">
        <v>8558</v>
      </c>
    </row>
    <row r="284" spans="1:121" ht="15.75" customHeight="1">
      <c r="A284" s="87" t="s">
        <v>8559</v>
      </c>
    </row>
    <row r="285" spans="1:121" ht="15.75" customHeight="1">
      <c r="A285" s="87" t="s">
        <v>8560</v>
      </c>
    </row>
    <row r="286" spans="1:121" ht="15.75" customHeight="1">
      <c r="A286" s="87" t="s">
        <v>8561</v>
      </c>
    </row>
    <row r="287" spans="1:121" ht="15.75" customHeight="1">
      <c r="A287" s="87" t="s">
        <v>8562</v>
      </c>
      <c r="CN287" s="9" t="s">
        <v>2926</v>
      </c>
      <c r="CO287" s="9" t="s">
        <v>2926</v>
      </c>
      <c r="CP287" s="9" t="s">
        <v>2926</v>
      </c>
      <c r="CQ287" s="9" t="s">
        <v>2926</v>
      </c>
      <c r="CR287" s="9" t="s">
        <v>2926</v>
      </c>
      <c r="CS287" s="9" t="s">
        <v>2926</v>
      </c>
      <c r="CT287" s="9" t="s">
        <v>2926</v>
      </c>
      <c r="CU287" s="9" t="s">
        <v>2926</v>
      </c>
      <c r="CV287" s="9" t="s">
        <v>2926</v>
      </c>
      <c r="CW287" s="9" t="s">
        <v>2926</v>
      </c>
      <c r="CX287" s="9" t="s">
        <v>2926</v>
      </c>
      <c r="CY287" s="9" t="s">
        <v>2926</v>
      </c>
      <c r="CZ287" s="9" t="s">
        <v>2926</v>
      </c>
      <c r="DA287" s="9" t="s">
        <v>2926</v>
      </c>
      <c r="DB287" s="9" t="s">
        <v>2926</v>
      </c>
      <c r="DC287" s="9" t="s">
        <v>2926</v>
      </c>
      <c r="DD287" s="9" t="s">
        <v>2926</v>
      </c>
      <c r="DE287" s="9" t="s">
        <v>2926</v>
      </c>
      <c r="DF287" s="9" t="s">
        <v>2926</v>
      </c>
      <c r="DG287" s="9" t="s">
        <v>2926</v>
      </c>
      <c r="DH287" s="9" t="s">
        <v>2926</v>
      </c>
      <c r="DI287" s="9" t="s">
        <v>2926</v>
      </c>
      <c r="DJ287" s="9" t="s">
        <v>2926</v>
      </c>
      <c r="DK287" s="9" t="s">
        <v>2926</v>
      </c>
      <c r="DL287" s="9" t="s">
        <v>2926</v>
      </c>
      <c r="DM287" s="9" t="s">
        <v>2926</v>
      </c>
      <c r="DN287" s="9" t="s">
        <v>2926</v>
      </c>
      <c r="DO287" s="9" t="s">
        <v>2926</v>
      </c>
      <c r="DP287" s="9" t="s">
        <v>2926</v>
      </c>
      <c r="DQ287" s="9" t="s">
        <v>2926</v>
      </c>
    </row>
    <row r="288" spans="1:121" ht="15.75" customHeight="1">
      <c r="A288" s="87" t="s">
        <v>8563</v>
      </c>
    </row>
    <row r="289" spans="1:121" ht="15.75" customHeight="1">
      <c r="A289" s="87" t="s">
        <v>8564</v>
      </c>
    </row>
    <row r="290" spans="1:121" ht="15.75" customHeight="1">
      <c r="A290" s="87" t="s">
        <v>8565</v>
      </c>
    </row>
    <row r="291" spans="1:121" ht="15.75" customHeight="1">
      <c r="A291" s="87" t="s">
        <v>8566</v>
      </c>
    </row>
    <row r="292" spans="1:121" ht="15.75" customHeight="1">
      <c r="A292" s="87" t="s">
        <v>8567</v>
      </c>
    </row>
    <row r="293" spans="1:121" ht="15.75" customHeight="1">
      <c r="A293" s="87" t="s">
        <v>8568</v>
      </c>
    </row>
    <row r="294" spans="1:121" ht="15.75" customHeight="1">
      <c r="A294" s="87" t="s">
        <v>8569</v>
      </c>
      <c r="AO294" s="9" t="s">
        <v>3016</v>
      </c>
      <c r="AP294" s="9" t="s">
        <v>3016</v>
      </c>
      <c r="AQ294" s="9" t="s">
        <v>3016</v>
      </c>
      <c r="AR294" s="9" t="s">
        <v>3016</v>
      </c>
      <c r="AS294" s="9" t="s">
        <v>3016</v>
      </c>
      <c r="AT294" s="9" t="s">
        <v>3016</v>
      </c>
      <c r="AU294" s="9" t="s">
        <v>3016</v>
      </c>
      <c r="AV294" s="9" t="s">
        <v>3016</v>
      </c>
      <c r="AW294" s="9" t="s">
        <v>3016</v>
      </c>
      <c r="AX294" s="9" t="s">
        <v>3016</v>
      </c>
      <c r="AY294" s="9" t="s">
        <v>3016</v>
      </c>
      <c r="AZ294" s="9" t="s">
        <v>3016</v>
      </c>
      <c r="BA294" s="9" t="s">
        <v>3016</v>
      </c>
      <c r="BB294" s="9" t="s">
        <v>3016</v>
      </c>
      <c r="BC294" s="9" t="s">
        <v>3016</v>
      </c>
      <c r="BD294" s="9" t="s">
        <v>3016</v>
      </c>
      <c r="BE294" s="9" t="s">
        <v>3016</v>
      </c>
      <c r="BF294" s="9" t="s">
        <v>3016</v>
      </c>
      <c r="BG294" s="9" t="s">
        <v>3016</v>
      </c>
      <c r="BH294" s="9" t="s">
        <v>3016</v>
      </c>
      <c r="BI294" s="9" t="s">
        <v>3016</v>
      </c>
      <c r="BJ294" s="9" t="s">
        <v>3016</v>
      </c>
      <c r="BK294" s="9" t="s">
        <v>3016</v>
      </c>
      <c r="BL294" s="9" t="s">
        <v>3016</v>
      </c>
      <c r="BM294" s="9" t="s">
        <v>3016</v>
      </c>
      <c r="BN294" s="9" t="s">
        <v>3016</v>
      </c>
      <c r="BO294" s="9" t="s">
        <v>3016</v>
      </c>
      <c r="BP294" s="9" t="s">
        <v>3016</v>
      </c>
      <c r="BQ294" s="9" t="s">
        <v>3016</v>
      </c>
      <c r="BR294" s="9" t="s">
        <v>3016</v>
      </c>
      <c r="BS294" s="9" t="s">
        <v>3016</v>
      </c>
      <c r="BT294" s="9" t="s">
        <v>3016</v>
      </c>
      <c r="BU294" s="9" t="s">
        <v>3016</v>
      </c>
      <c r="BV294" s="9" t="s">
        <v>3016</v>
      </c>
      <c r="BW294" s="9" t="s">
        <v>3016</v>
      </c>
      <c r="BX294" s="9" t="s">
        <v>3016</v>
      </c>
      <c r="BY294" s="9" t="s">
        <v>3016</v>
      </c>
      <c r="BZ294" s="9" t="s">
        <v>3016</v>
      </c>
      <c r="CA294" s="9" t="s">
        <v>3016</v>
      </c>
      <c r="CB294" s="9" t="s">
        <v>3016</v>
      </c>
      <c r="CC294" s="9" t="s">
        <v>3016</v>
      </c>
      <c r="CD294" s="9" t="s">
        <v>3016</v>
      </c>
      <c r="CE294" s="9" t="s">
        <v>3016</v>
      </c>
      <c r="CF294" s="9" t="s">
        <v>3016</v>
      </c>
      <c r="CG294" s="9" t="s">
        <v>3016</v>
      </c>
      <c r="CH294" s="9" t="s">
        <v>3016</v>
      </c>
      <c r="CI294" s="9" t="s">
        <v>3016</v>
      </c>
      <c r="CJ294" s="9" t="s">
        <v>3016</v>
      </c>
      <c r="CK294" s="9" t="s">
        <v>3016</v>
      </c>
      <c r="CL294" s="9" t="s">
        <v>3016</v>
      </c>
      <c r="CM294" s="9" t="s">
        <v>3016</v>
      </c>
      <c r="CN294" s="9" t="s">
        <v>3016</v>
      </c>
      <c r="CO294" s="9" t="s">
        <v>3016</v>
      </c>
      <c r="CP294" s="9" t="s">
        <v>3016</v>
      </c>
      <c r="CQ294" s="9" t="s">
        <v>3016</v>
      </c>
      <c r="CR294" s="9" t="s">
        <v>3016</v>
      </c>
      <c r="CS294" s="9" t="s">
        <v>3016</v>
      </c>
      <c r="CT294" s="9" t="s">
        <v>3016</v>
      </c>
      <c r="CU294" s="9" t="s">
        <v>3016</v>
      </c>
      <c r="CV294" s="9" t="s">
        <v>3016</v>
      </c>
      <c r="CW294" s="9" t="s">
        <v>3016</v>
      </c>
      <c r="CX294" s="9" t="s">
        <v>3016</v>
      </c>
      <c r="CY294" s="9" t="s">
        <v>3016</v>
      </c>
      <c r="CZ294" s="9" t="s">
        <v>3016</v>
      </c>
      <c r="DA294" s="9" t="s">
        <v>3016</v>
      </c>
      <c r="DB294" s="9" t="s">
        <v>3016</v>
      </c>
      <c r="DC294" s="9" t="s">
        <v>3016</v>
      </c>
      <c r="DD294" s="9" t="s">
        <v>3016</v>
      </c>
      <c r="DE294" s="9" t="s">
        <v>3016</v>
      </c>
      <c r="DF294" s="9" t="s">
        <v>3016</v>
      </c>
      <c r="DG294" s="9" t="s">
        <v>3016</v>
      </c>
      <c r="DH294" s="9" t="s">
        <v>3016</v>
      </c>
      <c r="DI294" s="9" t="s">
        <v>3016</v>
      </c>
      <c r="DJ294" s="9" t="s">
        <v>3016</v>
      </c>
      <c r="DK294" s="9" t="s">
        <v>3016</v>
      </c>
      <c r="DL294" s="9" t="s">
        <v>3016</v>
      </c>
      <c r="DM294" s="9" t="s">
        <v>3016</v>
      </c>
      <c r="DN294" s="9" t="s">
        <v>3016</v>
      </c>
      <c r="DO294" s="9" t="s">
        <v>3016</v>
      </c>
      <c r="DP294" s="9" t="s">
        <v>3016</v>
      </c>
      <c r="DQ294" s="9" t="s">
        <v>3016</v>
      </c>
    </row>
    <row r="295" spans="1:121" ht="15.75" customHeight="1">
      <c r="A295" s="87" t="s">
        <v>8570</v>
      </c>
      <c r="Z295" s="9" t="s">
        <v>3016</v>
      </c>
      <c r="AA295" s="9" t="s">
        <v>3016</v>
      </c>
      <c r="AB295" s="9" t="s">
        <v>3016</v>
      </c>
      <c r="AC295" s="9" t="s">
        <v>3016</v>
      </c>
      <c r="AD295" s="9" t="s">
        <v>3016</v>
      </c>
      <c r="AE295" s="9" t="s">
        <v>3016</v>
      </c>
      <c r="AF295" s="9" t="s">
        <v>3016</v>
      </c>
      <c r="AG295" s="9" t="s">
        <v>3016</v>
      </c>
      <c r="AH295" s="9" t="s">
        <v>3016</v>
      </c>
      <c r="AI295" s="9" t="s">
        <v>3016</v>
      </c>
      <c r="AJ295" s="9" t="s">
        <v>3016</v>
      </c>
      <c r="AK295" s="9" t="s">
        <v>3016</v>
      </c>
      <c r="AL295" s="9" t="s">
        <v>3016</v>
      </c>
      <c r="AM295" s="9" t="s">
        <v>3016</v>
      </c>
      <c r="AN295" s="9" t="s">
        <v>3016</v>
      </c>
      <c r="AO295" s="9" t="s">
        <v>3016</v>
      </c>
      <c r="AP295" s="9" t="s">
        <v>3016</v>
      </c>
      <c r="AQ295" s="9" t="s">
        <v>3016</v>
      </c>
      <c r="AR295" s="9" t="s">
        <v>3016</v>
      </c>
      <c r="AS295" s="9" t="s">
        <v>3016</v>
      </c>
      <c r="AT295" s="9" t="s">
        <v>3016</v>
      </c>
      <c r="AU295" s="9" t="s">
        <v>3016</v>
      </c>
      <c r="AV295" s="9" t="s">
        <v>3016</v>
      </c>
      <c r="AW295" s="9" t="s">
        <v>3016</v>
      </c>
      <c r="AX295" s="9" t="s">
        <v>3016</v>
      </c>
      <c r="AY295" s="9" t="s">
        <v>3016</v>
      </c>
      <c r="AZ295" s="9" t="s">
        <v>3016</v>
      </c>
      <c r="BA295" s="9" t="s">
        <v>3016</v>
      </c>
      <c r="BB295" s="9" t="s">
        <v>3016</v>
      </c>
      <c r="BC295" s="9" t="s">
        <v>3016</v>
      </c>
      <c r="BD295" s="9" t="s">
        <v>3016</v>
      </c>
      <c r="BE295" s="9" t="s">
        <v>3016</v>
      </c>
      <c r="BF295" s="9" t="s">
        <v>3016</v>
      </c>
      <c r="BG295" s="9" t="s">
        <v>3016</v>
      </c>
      <c r="BH295" s="9" t="s">
        <v>3016</v>
      </c>
      <c r="BI295" s="9" t="s">
        <v>3016</v>
      </c>
      <c r="BJ295" s="9" t="s">
        <v>3016</v>
      </c>
      <c r="BK295" s="9" t="s">
        <v>3016</v>
      </c>
      <c r="BL295" s="9" t="s">
        <v>3016</v>
      </c>
      <c r="BM295" s="9" t="s">
        <v>3016</v>
      </c>
      <c r="BN295" s="9" t="s">
        <v>3016</v>
      </c>
      <c r="BO295" s="9" t="s">
        <v>3016</v>
      </c>
      <c r="BP295" s="9" t="s">
        <v>3016</v>
      </c>
      <c r="BQ295" s="9" t="s">
        <v>3016</v>
      </c>
      <c r="BR295" s="9" t="s">
        <v>3016</v>
      </c>
      <c r="BS295" s="9" t="s">
        <v>3016</v>
      </c>
      <c r="BT295" s="9" t="s">
        <v>3016</v>
      </c>
      <c r="BU295" s="9" t="s">
        <v>3016</v>
      </c>
      <c r="BV295" s="9" t="s">
        <v>3016</v>
      </c>
      <c r="BW295" s="9" t="s">
        <v>3016</v>
      </c>
      <c r="BX295" s="9" t="s">
        <v>3016</v>
      </c>
      <c r="BY295" s="9" t="s">
        <v>3016</v>
      </c>
      <c r="BZ295" s="9" t="s">
        <v>3016</v>
      </c>
      <c r="CA295" s="9" t="s">
        <v>3016</v>
      </c>
      <c r="CB295" s="9" t="s">
        <v>3016</v>
      </c>
      <c r="CC295" s="9" t="s">
        <v>3016</v>
      </c>
      <c r="CD295" s="9" t="s">
        <v>3016</v>
      </c>
      <c r="CE295" s="9" t="s">
        <v>3016</v>
      </c>
      <c r="CF295" s="9" t="s">
        <v>3016</v>
      </c>
      <c r="CG295" s="9" t="s">
        <v>3016</v>
      </c>
      <c r="CH295" s="9" t="s">
        <v>3016</v>
      </c>
      <c r="CI295" s="9" t="s">
        <v>3016</v>
      </c>
      <c r="CJ295" s="9" t="s">
        <v>3016</v>
      </c>
      <c r="CK295" s="9" t="s">
        <v>3016</v>
      </c>
      <c r="CL295" s="9" t="s">
        <v>3016</v>
      </c>
      <c r="CM295" s="9" t="s">
        <v>3016</v>
      </c>
      <c r="CN295" s="9" t="s">
        <v>3016</v>
      </c>
      <c r="CO295" s="9" t="s">
        <v>3016</v>
      </c>
      <c r="CP295" s="9" t="s">
        <v>3016</v>
      </c>
      <c r="CQ295" s="9" t="s">
        <v>3016</v>
      </c>
      <c r="CR295" s="9" t="s">
        <v>3016</v>
      </c>
      <c r="CS295" s="9" t="s">
        <v>3016</v>
      </c>
      <c r="CT295" s="9" t="s">
        <v>3016</v>
      </c>
      <c r="CU295" s="9" t="s">
        <v>3016</v>
      </c>
      <c r="CV295" s="9" t="s">
        <v>3016</v>
      </c>
      <c r="CW295" s="9" t="s">
        <v>3016</v>
      </c>
      <c r="CX295" s="9" t="s">
        <v>3016</v>
      </c>
      <c r="CY295" s="9" t="s">
        <v>3016</v>
      </c>
      <c r="CZ295" s="9" t="s">
        <v>3016</v>
      </c>
      <c r="DA295" s="9" t="s">
        <v>3016</v>
      </c>
      <c r="DB295" s="9" t="s">
        <v>3016</v>
      </c>
      <c r="DC295" s="9" t="s">
        <v>3016</v>
      </c>
      <c r="DD295" s="9" t="s">
        <v>3016</v>
      </c>
      <c r="DE295" s="9" t="s">
        <v>3016</v>
      </c>
      <c r="DF295" s="9" t="s">
        <v>3016</v>
      </c>
      <c r="DG295" s="9" t="s">
        <v>3016</v>
      </c>
      <c r="DH295" s="9" t="s">
        <v>3016</v>
      </c>
      <c r="DI295" s="9" t="s">
        <v>3016</v>
      </c>
      <c r="DJ295" s="9" t="s">
        <v>3016</v>
      </c>
      <c r="DK295" s="9" t="s">
        <v>3016</v>
      </c>
      <c r="DL295" s="9" t="s">
        <v>3016</v>
      </c>
      <c r="DM295" s="9" t="s">
        <v>3016</v>
      </c>
      <c r="DN295" s="9" t="s">
        <v>3016</v>
      </c>
      <c r="DO295" s="9" t="s">
        <v>3016</v>
      </c>
      <c r="DP295" s="9" t="s">
        <v>3016</v>
      </c>
      <c r="DQ295" s="9" t="s">
        <v>3016</v>
      </c>
    </row>
    <row r="296" spans="1:121" ht="15.75" customHeight="1">
      <c r="A296" s="87" t="s">
        <v>8571</v>
      </c>
      <c r="Z296" s="9" t="s">
        <v>3016</v>
      </c>
      <c r="AA296" s="9" t="s">
        <v>3016</v>
      </c>
      <c r="AB296" s="9" t="s">
        <v>3016</v>
      </c>
      <c r="AC296" s="9" t="s">
        <v>3016</v>
      </c>
      <c r="AD296" s="9" t="s">
        <v>3016</v>
      </c>
      <c r="AE296" s="9" t="s">
        <v>3016</v>
      </c>
      <c r="AF296" s="9" t="s">
        <v>3016</v>
      </c>
      <c r="AG296" s="9" t="s">
        <v>3016</v>
      </c>
      <c r="AH296" s="9" t="s">
        <v>3016</v>
      </c>
      <c r="AI296" s="9" t="s">
        <v>3016</v>
      </c>
      <c r="AJ296" s="9" t="s">
        <v>3016</v>
      </c>
      <c r="AK296" s="9" t="s">
        <v>3016</v>
      </c>
      <c r="AL296" s="9" t="s">
        <v>3016</v>
      </c>
      <c r="AM296" s="9" t="s">
        <v>3016</v>
      </c>
      <c r="AN296" s="9" t="s">
        <v>3016</v>
      </c>
      <c r="AO296" s="9" t="s">
        <v>3016</v>
      </c>
      <c r="AP296" s="9" t="s">
        <v>3016</v>
      </c>
      <c r="AQ296" s="9" t="s">
        <v>3016</v>
      </c>
      <c r="AR296" s="9" t="s">
        <v>3016</v>
      </c>
      <c r="AS296" s="9" t="s">
        <v>3016</v>
      </c>
      <c r="AT296" s="9" t="s">
        <v>3016</v>
      </c>
      <c r="AU296" s="9" t="s">
        <v>3016</v>
      </c>
      <c r="AV296" s="9" t="s">
        <v>3016</v>
      </c>
      <c r="AW296" s="9" t="s">
        <v>3016</v>
      </c>
      <c r="AX296" s="9" t="s">
        <v>3016</v>
      </c>
      <c r="AY296" s="9" t="s">
        <v>3016</v>
      </c>
      <c r="AZ296" s="9" t="s">
        <v>3016</v>
      </c>
      <c r="BA296" s="9" t="s">
        <v>3016</v>
      </c>
      <c r="BB296" s="9" t="s">
        <v>3016</v>
      </c>
      <c r="BC296" s="9" t="s">
        <v>3016</v>
      </c>
      <c r="BD296" s="9" t="s">
        <v>3016</v>
      </c>
      <c r="BE296" s="9" t="s">
        <v>3016</v>
      </c>
      <c r="BF296" s="9" t="s">
        <v>3016</v>
      </c>
      <c r="BG296" s="9" t="s">
        <v>3016</v>
      </c>
      <c r="BH296" s="9" t="s">
        <v>3016</v>
      </c>
      <c r="BI296" s="9" t="s">
        <v>3016</v>
      </c>
      <c r="BJ296" s="9" t="s">
        <v>3016</v>
      </c>
      <c r="BK296" s="9" t="s">
        <v>3016</v>
      </c>
      <c r="BL296" s="9" t="s">
        <v>3016</v>
      </c>
      <c r="BM296" s="9" t="s">
        <v>3016</v>
      </c>
      <c r="BN296" s="9" t="s">
        <v>3016</v>
      </c>
      <c r="BO296" s="9" t="s">
        <v>3016</v>
      </c>
      <c r="BP296" s="9" t="s">
        <v>3016</v>
      </c>
      <c r="BQ296" s="9" t="s">
        <v>3016</v>
      </c>
      <c r="BR296" s="9" t="s">
        <v>3016</v>
      </c>
      <c r="BS296" s="9" t="s">
        <v>3016</v>
      </c>
      <c r="BT296" s="9" t="s">
        <v>3016</v>
      </c>
      <c r="BU296" s="9" t="s">
        <v>3016</v>
      </c>
      <c r="BV296" s="9" t="s">
        <v>3016</v>
      </c>
      <c r="BW296" s="9" t="s">
        <v>3016</v>
      </c>
      <c r="BX296" s="9" t="s">
        <v>3016</v>
      </c>
      <c r="BY296" s="9" t="s">
        <v>3016</v>
      </c>
      <c r="BZ296" s="9" t="s">
        <v>3016</v>
      </c>
      <c r="CA296" s="9" t="s">
        <v>3016</v>
      </c>
      <c r="CB296" s="9" t="s">
        <v>3016</v>
      </c>
      <c r="CC296" s="9" t="s">
        <v>3016</v>
      </c>
      <c r="CD296" s="9" t="s">
        <v>3016</v>
      </c>
      <c r="CE296" s="9" t="s">
        <v>3016</v>
      </c>
      <c r="CF296" s="9" t="s">
        <v>3016</v>
      </c>
      <c r="CG296" s="9" t="s">
        <v>3016</v>
      </c>
      <c r="CH296" s="9" t="s">
        <v>3016</v>
      </c>
      <c r="CI296" s="9" t="s">
        <v>3016</v>
      </c>
      <c r="CJ296" s="9" t="s">
        <v>3016</v>
      </c>
      <c r="CK296" s="9" t="s">
        <v>3016</v>
      </c>
      <c r="CL296" s="9" t="s">
        <v>3016</v>
      </c>
      <c r="CM296" s="9" t="s">
        <v>3016</v>
      </c>
      <c r="CN296" s="9" t="s">
        <v>3016</v>
      </c>
      <c r="CO296" s="9" t="s">
        <v>3016</v>
      </c>
      <c r="CP296" s="9" t="s">
        <v>3016</v>
      </c>
      <c r="CQ296" s="9" t="s">
        <v>3016</v>
      </c>
      <c r="CR296" s="9" t="s">
        <v>3016</v>
      </c>
      <c r="CS296" s="9" t="s">
        <v>3016</v>
      </c>
      <c r="CT296" s="9" t="s">
        <v>3016</v>
      </c>
      <c r="CU296" s="9" t="s">
        <v>3016</v>
      </c>
      <c r="CV296" s="9" t="s">
        <v>3016</v>
      </c>
      <c r="CW296" s="9" t="s">
        <v>3016</v>
      </c>
      <c r="CX296" s="9" t="s">
        <v>3016</v>
      </c>
      <c r="CY296" s="9" t="s">
        <v>3016</v>
      </c>
      <c r="CZ296" s="9" t="s">
        <v>3016</v>
      </c>
      <c r="DA296" s="9" t="s">
        <v>3016</v>
      </c>
      <c r="DB296" s="9" t="s">
        <v>3016</v>
      </c>
      <c r="DC296" s="9" t="s">
        <v>3016</v>
      </c>
      <c r="DD296" s="9" t="s">
        <v>3016</v>
      </c>
      <c r="DE296" s="9" t="s">
        <v>3016</v>
      </c>
      <c r="DF296" s="9" t="s">
        <v>3016</v>
      </c>
      <c r="DG296" s="9" t="s">
        <v>3016</v>
      </c>
      <c r="DH296" s="9" t="s">
        <v>3016</v>
      </c>
      <c r="DI296" s="9" t="s">
        <v>3016</v>
      </c>
      <c r="DJ296" s="9" t="s">
        <v>3016</v>
      </c>
      <c r="DK296" s="9" t="s">
        <v>3016</v>
      </c>
      <c r="DL296" s="9" t="s">
        <v>3016</v>
      </c>
      <c r="DM296" s="9" t="s">
        <v>3016</v>
      </c>
      <c r="DN296" s="9" t="s">
        <v>3016</v>
      </c>
      <c r="DO296" s="9" t="s">
        <v>3016</v>
      </c>
      <c r="DP296" s="9" t="s">
        <v>3016</v>
      </c>
      <c r="DQ296" s="9" t="s">
        <v>3016</v>
      </c>
    </row>
    <row r="297" spans="1:121" ht="15.75" customHeight="1">
      <c r="A297" s="87" t="s">
        <v>8572</v>
      </c>
      <c r="Z297" s="9" t="s">
        <v>3016</v>
      </c>
      <c r="AA297" s="9" t="s">
        <v>3016</v>
      </c>
      <c r="AB297" s="9" t="s">
        <v>3016</v>
      </c>
      <c r="AC297" s="9" t="s">
        <v>3016</v>
      </c>
      <c r="AD297" s="9" t="s">
        <v>3016</v>
      </c>
      <c r="AE297" s="9" t="s">
        <v>3016</v>
      </c>
      <c r="AF297" s="9" t="s">
        <v>3016</v>
      </c>
      <c r="AG297" s="9" t="s">
        <v>3016</v>
      </c>
      <c r="AH297" s="9" t="s">
        <v>3016</v>
      </c>
      <c r="AI297" s="9" t="s">
        <v>3016</v>
      </c>
      <c r="AJ297" s="9" t="s">
        <v>3016</v>
      </c>
      <c r="AK297" s="9" t="s">
        <v>3016</v>
      </c>
      <c r="AL297" s="9" t="s">
        <v>3016</v>
      </c>
      <c r="AM297" s="9" t="s">
        <v>3016</v>
      </c>
      <c r="AN297" s="9" t="s">
        <v>3016</v>
      </c>
      <c r="AO297" s="9" t="s">
        <v>3016</v>
      </c>
      <c r="AP297" s="9" t="s">
        <v>3016</v>
      </c>
      <c r="AQ297" s="9" t="s">
        <v>3016</v>
      </c>
      <c r="AR297" s="9" t="s">
        <v>3016</v>
      </c>
      <c r="AS297" s="9" t="s">
        <v>3016</v>
      </c>
      <c r="AT297" s="9" t="s">
        <v>3016</v>
      </c>
      <c r="AU297" s="9" t="s">
        <v>3016</v>
      </c>
      <c r="AV297" s="9" t="s">
        <v>3016</v>
      </c>
      <c r="AW297" s="9" t="s">
        <v>3016</v>
      </c>
      <c r="AX297" s="9" t="s">
        <v>3016</v>
      </c>
      <c r="AY297" s="9" t="s">
        <v>3016</v>
      </c>
      <c r="AZ297" s="9" t="s">
        <v>3016</v>
      </c>
      <c r="BA297" s="9" t="s">
        <v>6646</v>
      </c>
      <c r="BB297" s="9" t="s">
        <v>6646</v>
      </c>
      <c r="BC297" s="9" t="s">
        <v>6646</v>
      </c>
      <c r="BD297" s="9" t="s">
        <v>6646</v>
      </c>
      <c r="BE297" s="9" t="s">
        <v>6646</v>
      </c>
      <c r="BF297" s="9" t="s">
        <v>6646</v>
      </c>
      <c r="BG297" s="9" t="s">
        <v>6646</v>
      </c>
      <c r="BH297" s="9" t="s">
        <v>6646</v>
      </c>
      <c r="BI297" s="9" t="s">
        <v>6646</v>
      </c>
      <c r="BJ297" s="9" t="s">
        <v>6646</v>
      </c>
      <c r="BK297" s="9" t="s">
        <v>6646</v>
      </c>
      <c r="BL297" s="9" t="s">
        <v>6646</v>
      </c>
      <c r="BM297" s="9" t="s">
        <v>6646</v>
      </c>
      <c r="BN297" s="9" t="s">
        <v>6646</v>
      </c>
      <c r="BO297" s="9" t="s">
        <v>6646</v>
      </c>
      <c r="BP297" s="9" t="s">
        <v>6646</v>
      </c>
      <c r="BQ297" s="9" t="s">
        <v>6646</v>
      </c>
      <c r="BR297" s="9" t="s">
        <v>6646</v>
      </c>
      <c r="BS297" s="9" t="s">
        <v>6646</v>
      </c>
      <c r="BT297" s="9" t="s">
        <v>6646</v>
      </c>
      <c r="BU297" s="9" t="s">
        <v>6646</v>
      </c>
      <c r="BV297" s="9" t="s">
        <v>6646</v>
      </c>
      <c r="BW297" s="9" t="s">
        <v>6646</v>
      </c>
      <c r="BX297" s="9" t="s">
        <v>6646</v>
      </c>
      <c r="BY297" s="9" t="s">
        <v>6646</v>
      </c>
      <c r="BZ297" s="9" t="s">
        <v>6646</v>
      </c>
      <c r="CA297" s="9" t="s">
        <v>6646</v>
      </c>
      <c r="CB297" s="9" t="s">
        <v>6646</v>
      </c>
      <c r="CC297" s="9" t="s">
        <v>6646</v>
      </c>
      <c r="CD297" s="9" t="s">
        <v>6646</v>
      </c>
      <c r="CE297" s="9" t="s">
        <v>6646</v>
      </c>
      <c r="CF297" s="9" t="s">
        <v>6646</v>
      </c>
      <c r="CG297" s="9" t="s">
        <v>6646</v>
      </c>
      <c r="CH297" s="9" t="s">
        <v>6646</v>
      </c>
      <c r="CI297" s="9" t="s">
        <v>6646</v>
      </c>
      <c r="CJ297" s="9" t="s">
        <v>6646</v>
      </c>
      <c r="CK297" s="9" t="s">
        <v>6646</v>
      </c>
      <c r="CL297" s="9" t="s">
        <v>6646</v>
      </c>
      <c r="CM297" s="9" t="s">
        <v>6646</v>
      </c>
      <c r="CN297" s="9" t="s">
        <v>6646</v>
      </c>
      <c r="CO297" s="9" t="s">
        <v>6646</v>
      </c>
      <c r="CP297" s="9" t="s">
        <v>6646</v>
      </c>
      <c r="CQ297" s="9" t="s">
        <v>6646</v>
      </c>
      <c r="CR297" s="9" t="s">
        <v>6646</v>
      </c>
      <c r="CS297" s="9" t="s">
        <v>6646</v>
      </c>
      <c r="CT297" s="9" t="s">
        <v>6646</v>
      </c>
      <c r="CU297" s="9" t="s">
        <v>6646</v>
      </c>
      <c r="CV297" s="9" t="s">
        <v>6646</v>
      </c>
      <c r="CW297" s="9" t="s">
        <v>6646</v>
      </c>
      <c r="CX297" s="9" t="s">
        <v>6646</v>
      </c>
      <c r="CY297" s="9" t="s">
        <v>6646</v>
      </c>
      <c r="CZ297" s="9" t="s">
        <v>6646</v>
      </c>
      <c r="DA297" s="9" t="s">
        <v>6646</v>
      </c>
      <c r="DB297" s="9" t="s">
        <v>6646</v>
      </c>
      <c r="DC297" s="9" t="s">
        <v>6646</v>
      </c>
      <c r="DD297" s="9" t="s">
        <v>6646</v>
      </c>
      <c r="DE297" s="9" t="s">
        <v>6646</v>
      </c>
      <c r="DF297" s="9" t="s">
        <v>6646</v>
      </c>
      <c r="DG297" s="9" t="s">
        <v>6646</v>
      </c>
      <c r="DH297" s="9" t="s">
        <v>6646</v>
      </c>
      <c r="DI297" s="9" t="s">
        <v>6646</v>
      </c>
      <c r="DJ297" s="9" t="s">
        <v>6646</v>
      </c>
      <c r="DK297" s="9" t="s">
        <v>6646</v>
      </c>
      <c r="DL297" s="9" t="s">
        <v>6646</v>
      </c>
      <c r="DM297" s="9" t="s">
        <v>6646</v>
      </c>
      <c r="DN297" s="9" t="s">
        <v>6646</v>
      </c>
      <c r="DO297" s="9" t="s">
        <v>6646</v>
      </c>
      <c r="DP297" s="9" t="s">
        <v>6646</v>
      </c>
      <c r="DQ297" s="9" t="s">
        <v>6646</v>
      </c>
    </row>
    <row r="298" spans="1:121" ht="15.75" customHeight="1">
      <c r="A298" s="87" t="s">
        <v>8573</v>
      </c>
      <c r="Z298" s="9" t="s">
        <v>6646</v>
      </c>
      <c r="AA298" s="9" t="s">
        <v>6646</v>
      </c>
      <c r="AB298" s="9" t="s">
        <v>6646</v>
      </c>
      <c r="AC298" s="9" t="s">
        <v>6646</v>
      </c>
      <c r="AD298" s="9" t="s">
        <v>6646</v>
      </c>
      <c r="AE298" s="9" t="s">
        <v>6646</v>
      </c>
      <c r="AF298" s="9" t="s">
        <v>6646</v>
      </c>
      <c r="AG298" s="9" t="s">
        <v>6646</v>
      </c>
      <c r="AH298" s="9" t="s">
        <v>6646</v>
      </c>
      <c r="AI298" s="9" t="s">
        <v>6646</v>
      </c>
      <c r="AJ298" s="9" t="s">
        <v>6646</v>
      </c>
      <c r="AK298" s="9" t="s">
        <v>6646</v>
      </c>
      <c r="AL298" s="9" t="s">
        <v>6646</v>
      </c>
      <c r="AM298" s="9" t="s">
        <v>6646</v>
      </c>
      <c r="AN298" s="9" t="s">
        <v>6646</v>
      </c>
      <c r="AO298" s="9" t="s">
        <v>6646</v>
      </c>
      <c r="AP298" s="9" t="s">
        <v>6646</v>
      </c>
      <c r="AQ298" s="9" t="s">
        <v>6646</v>
      </c>
      <c r="AR298" s="9" t="s">
        <v>6646</v>
      </c>
      <c r="AS298" s="9" t="s">
        <v>6646</v>
      </c>
      <c r="AT298" s="9" t="s">
        <v>6646</v>
      </c>
      <c r="AU298" s="9" t="s">
        <v>6646</v>
      </c>
      <c r="AV298" s="9" t="s">
        <v>6646</v>
      </c>
      <c r="AW298" s="9" t="s">
        <v>6646</v>
      </c>
      <c r="AX298" s="9" t="s">
        <v>6646</v>
      </c>
      <c r="AY298" s="9" t="s">
        <v>6646</v>
      </c>
      <c r="AZ298" s="9" t="s">
        <v>6646</v>
      </c>
      <c r="BA298" s="9" t="s">
        <v>6646</v>
      </c>
      <c r="BB298" s="9" t="s">
        <v>6646</v>
      </c>
      <c r="BC298" s="9" t="s">
        <v>6646</v>
      </c>
      <c r="BD298" s="9" t="s">
        <v>6646</v>
      </c>
      <c r="BE298" s="9" t="s">
        <v>6646</v>
      </c>
      <c r="BF298" s="9" t="s">
        <v>6646</v>
      </c>
      <c r="BG298" s="9" t="s">
        <v>6646</v>
      </c>
      <c r="BH298" s="9" t="s">
        <v>6646</v>
      </c>
      <c r="BI298" s="9" t="s">
        <v>6646</v>
      </c>
      <c r="BJ298" s="9" t="s">
        <v>6646</v>
      </c>
      <c r="BK298" s="9" t="s">
        <v>6646</v>
      </c>
      <c r="BL298" s="9" t="s">
        <v>6646</v>
      </c>
      <c r="BM298" s="9" t="s">
        <v>6646</v>
      </c>
      <c r="BN298" s="9" t="s">
        <v>6646</v>
      </c>
      <c r="BO298" s="9" t="s">
        <v>6646</v>
      </c>
      <c r="BP298" s="9" t="s">
        <v>6646</v>
      </c>
      <c r="BQ298" s="9" t="s">
        <v>6646</v>
      </c>
      <c r="BR298" s="9" t="s">
        <v>6646</v>
      </c>
      <c r="BS298" s="9" t="s">
        <v>6646</v>
      </c>
      <c r="BT298" s="9" t="s">
        <v>6646</v>
      </c>
      <c r="BU298" s="9" t="s">
        <v>6646</v>
      </c>
      <c r="BV298" s="9" t="s">
        <v>6646</v>
      </c>
      <c r="BW298" s="9" t="s">
        <v>6646</v>
      </c>
      <c r="BX298" s="9" t="s">
        <v>6646</v>
      </c>
      <c r="BY298" s="9" t="s">
        <v>6646</v>
      </c>
      <c r="BZ298" s="9" t="s">
        <v>6646</v>
      </c>
      <c r="CA298" s="9" t="s">
        <v>6646</v>
      </c>
      <c r="CB298" s="9" t="s">
        <v>6646</v>
      </c>
      <c r="CC298" s="9" t="s">
        <v>6646</v>
      </c>
      <c r="CD298" s="9" t="s">
        <v>6646</v>
      </c>
      <c r="CE298" s="9" t="s">
        <v>6646</v>
      </c>
      <c r="CF298" s="9" t="s">
        <v>6646</v>
      </c>
      <c r="CG298" s="9" t="s">
        <v>6646</v>
      </c>
      <c r="CH298" s="9" t="s">
        <v>6646</v>
      </c>
      <c r="CI298" s="9" t="s">
        <v>6646</v>
      </c>
      <c r="CJ298" s="9" t="s">
        <v>6646</v>
      </c>
      <c r="CK298" s="9" t="s">
        <v>6646</v>
      </c>
      <c r="CL298" s="9" t="s">
        <v>6646</v>
      </c>
      <c r="CM298" s="9" t="s">
        <v>6646</v>
      </c>
      <c r="CN298" s="9" t="s">
        <v>6646</v>
      </c>
      <c r="CO298" s="9" t="s">
        <v>6646</v>
      </c>
      <c r="CP298" s="9" t="s">
        <v>6646</v>
      </c>
      <c r="CQ298" s="9" t="s">
        <v>6646</v>
      </c>
      <c r="CR298" s="9" t="s">
        <v>6646</v>
      </c>
      <c r="CS298" s="9" t="s">
        <v>6646</v>
      </c>
      <c r="CT298" s="9" t="s">
        <v>6646</v>
      </c>
      <c r="CU298" s="9" t="s">
        <v>6646</v>
      </c>
      <c r="CV298" s="9" t="s">
        <v>6646</v>
      </c>
      <c r="CW298" s="9" t="s">
        <v>6646</v>
      </c>
      <c r="CX298" s="9" t="s">
        <v>6646</v>
      </c>
      <c r="CY298" s="9" t="s">
        <v>6646</v>
      </c>
      <c r="CZ298" s="9" t="s">
        <v>6646</v>
      </c>
      <c r="DA298" s="9" t="s">
        <v>6646</v>
      </c>
      <c r="DB298" s="9" t="s">
        <v>6646</v>
      </c>
      <c r="DC298" s="9" t="s">
        <v>6646</v>
      </c>
      <c r="DD298" s="9" t="s">
        <v>6646</v>
      </c>
      <c r="DE298" s="9" t="s">
        <v>6646</v>
      </c>
      <c r="DF298" s="9" t="s">
        <v>6646</v>
      </c>
      <c r="DG298" s="9" t="s">
        <v>6646</v>
      </c>
      <c r="DH298" s="9" t="s">
        <v>6646</v>
      </c>
      <c r="DI298" s="9" t="s">
        <v>6646</v>
      </c>
      <c r="DJ298" s="9" t="s">
        <v>6646</v>
      </c>
      <c r="DK298" s="9" t="s">
        <v>6646</v>
      </c>
      <c r="DL298" s="9" t="s">
        <v>6646</v>
      </c>
      <c r="DM298" s="9" t="s">
        <v>6646</v>
      </c>
      <c r="DN298" s="9" t="s">
        <v>6646</v>
      </c>
      <c r="DO298" s="9" t="s">
        <v>6646</v>
      </c>
      <c r="DP298" s="9" t="s">
        <v>6646</v>
      </c>
      <c r="DQ298" s="9" t="s">
        <v>6646</v>
      </c>
    </row>
    <row r="299" spans="1:121" ht="15.75" customHeight="1">
      <c r="A299" s="87" t="s">
        <v>8574</v>
      </c>
    </row>
    <row r="300" spans="1:121" ht="15.75" customHeight="1">
      <c r="A300" s="87" t="s">
        <v>8575</v>
      </c>
      <c r="DE300" s="9" t="s">
        <v>2989</v>
      </c>
      <c r="DF300" s="9" t="s">
        <v>2989</v>
      </c>
      <c r="DG300" s="9" t="s">
        <v>2989</v>
      </c>
      <c r="DH300" s="9" t="s">
        <v>2989</v>
      </c>
      <c r="DI300" s="9" t="s">
        <v>2989</v>
      </c>
      <c r="DJ300" s="9" t="s">
        <v>2989</v>
      </c>
      <c r="DK300" s="9" t="s">
        <v>2989</v>
      </c>
      <c r="DL300" s="9" t="s">
        <v>2989</v>
      </c>
      <c r="DM300" s="9" t="s">
        <v>2989</v>
      </c>
      <c r="DN300" s="9" t="s">
        <v>2989</v>
      </c>
      <c r="DO300" s="9" t="s">
        <v>2989</v>
      </c>
      <c r="DP300" s="9" t="s">
        <v>2989</v>
      </c>
      <c r="DQ300" s="9" t="s">
        <v>2989</v>
      </c>
    </row>
    <row r="301" spans="1:121" ht="15.75" customHeight="1">
      <c r="A301" s="87" t="s">
        <v>8576</v>
      </c>
      <c r="Z301" s="9" t="s">
        <v>2989</v>
      </c>
      <c r="AA301" s="9" t="s">
        <v>2989</v>
      </c>
      <c r="AB301" s="9" t="s">
        <v>2989</v>
      </c>
      <c r="AC301" s="9" t="s">
        <v>2989</v>
      </c>
      <c r="AD301" s="9" t="s">
        <v>2989</v>
      </c>
      <c r="AE301" s="9" t="s">
        <v>2989</v>
      </c>
      <c r="AF301" s="9" t="s">
        <v>2989</v>
      </c>
      <c r="AG301" s="9" t="s">
        <v>2989</v>
      </c>
      <c r="AH301" s="9" t="s">
        <v>2989</v>
      </c>
      <c r="AI301" s="9" t="s">
        <v>2989</v>
      </c>
      <c r="AJ301" s="9" t="s">
        <v>2989</v>
      </c>
      <c r="AK301" s="9" t="s">
        <v>2989</v>
      </c>
      <c r="AL301" s="9" t="s">
        <v>2989</v>
      </c>
      <c r="AM301" s="9" t="s">
        <v>2989</v>
      </c>
      <c r="AN301" s="9" t="s">
        <v>2989</v>
      </c>
      <c r="AO301" s="9" t="s">
        <v>2989</v>
      </c>
      <c r="AP301" s="9" t="s">
        <v>2989</v>
      </c>
      <c r="AQ301" s="9" t="s">
        <v>2989</v>
      </c>
      <c r="AR301" s="9" t="s">
        <v>2989</v>
      </c>
      <c r="AS301" s="9" t="s">
        <v>2989</v>
      </c>
      <c r="AT301" s="9" t="s">
        <v>2989</v>
      </c>
      <c r="AU301" s="9" t="s">
        <v>2989</v>
      </c>
      <c r="AV301" s="9" t="s">
        <v>2989</v>
      </c>
      <c r="AW301" s="9" t="s">
        <v>2989</v>
      </c>
      <c r="AX301" s="9" t="s">
        <v>2989</v>
      </c>
      <c r="AY301" s="9" t="s">
        <v>2989</v>
      </c>
      <c r="AZ301" s="9" t="s">
        <v>2989</v>
      </c>
      <c r="BA301" s="9" t="s">
        <v>2989</v>
      </c>
      <c r="BB301" s="9" t="s">
        <v>2989</v>
      </c>
      <c r="BC301" s="9" t="s">
        <v>2989</v>
      </c>
      <c r="BD301" s="9" t="s">
        <v>2989</v>
      </c>
      <c r="BE301" s="9" t="s">
        <v>2989</v>
      </c>
      <c r="BF301" s="9" t="s">
        <v>2989</v>
      </c>
      <c r="BG301" s="9" t="s">
        <v>2989</v>
      </c>
      <c r="BH301" s="9" t="s">
        <v>2989</v>
      </c>
      <c r="BI301" s="9" t="s">
        <v>2989</v>
      </c>
      <c r="BJ301" s="9" t="s">
        <v>2989</v>
      </c>
      <c r="BK301" s="9" t="s">
        <v>2989</v>
      </c>
      <c r="BL301" s="9" t="s">
        <v>2989</v>
      </c>
      <c r="BM301" s="9" t="s">
        <v>2989</v>
      </c>
      <c r="BN301" s="9" t="s">
        <v>2989</v>
      </c>
      <c r="BO301" s="9" t="s">
        <v>2989</v>
      </c>
      <c r="BP301" s="9" t="s">
        <v>2989</v>
      </c>
      <c r="BQ301" s="9" t="s">
        <v>2989</v>
      </c>
      <c r="BR301" s="9" t="s">
        <v>2989</v>
      </c>
      <c r="BS301" s="9" t="s">
        <v>2989</v>
      </c>
      <c r="BT301" s="9" t="s">
        <v>2989</v>
      </c>
      <c r="BU301" s="9" t="s">
        <v>2989</v>
      </c>
      <c r="BV301" s="9" t="s">
        <v>2989</v>
      </c>
      <c r="BW301" s="9" t="s">
        <v>2989</v>
      </c>
      <c r="BX301" s="9" t="s">
        <v>2989</v>
      </c>
      <c r="BY301" s="9" t="s">
        <v>2989</v>
      </c>
      <c r="BZ301" s="9" t="s">
        <v>2989</v>
      </c>
      <c r="CA301" s="9" t="s">
        <v>2989</v>
      </c>
      <c r="CB301" s="9" t="s">
        <v>2989</v>
      </c>
      <c r="CC301" s="9" t="s">
        <v>2989</v>
      </c>
      <c r="CD301" s="9" t="s">
        <v>2989</v>
      </c>
      <c r="CE301" s="9" t="s">
        <v>2989</v>
      </c>
      <c r="CF301" s="9" t="s">
        <v>2989</v>
      </c>
      <c r="CG301" s="9" t="s">
        <v>2989</v>
      </c>
      <c r="CH301" s="9" t="s">
        <v>2989</v>
      </c>
      <c r="CI301" s="9" t="s">
        <v>2989</v>
      </c>
      <c r="CJ301" s="9" t="s">
        <v>2989</v>
      </c>
      <c r="CK301" s="9" t="s">
        <v>2989</v>
      </c>
      <c r="CL301" s="9" t="s">
        <v>2989</v>
      </c>
      <c r="CM301" s="9" t="s">
        <v>2989</v>
      </c>
      <c r="CN301" s="9" t="s">
        <v>2989</v>
      </c>
      <c r="CO301" s="9" t="s">
        <v>2989</v>
      </c>
      <c r="CP301" s="9" t="s">
        <v>2989</v>
      </c>
      <c r="CQ301" s="9" t="s">
        <v>2989</v>
      </c>
      <c r="CR301" s="9" t="s">
        <v>2989</v>
      </c>
      <c r="CS301" s="9" t="s">
        <v>2989</v>
      </c>
      <c r="CT301" s="9" t="s">
        <v>2989</v>
      </c>
      <c r="CU301" s="9" t="s">
        <v>2989</v>
      </c>
      <c r="CV301" s="9" t="s">
        <v>2989</v>
      </c>
      <c r="CW301" s="9" t="s">
        <v>2989</v>
      </c>
      <c r="CX301" s="9" t="s">
        <v>2989</v>
      </c>
      <c r="CY301" s="9" t="s">
        <v>2989</v>
      </c>
      <c r="CZ301" s="9" t="s">
        <v>2989</v>
      </c>
      <c r="DA301" s="9" t="s">
        <v>2989</v>
      </c>
      <c r="DB301" s="9" t="s">
        <v>2989</v>
      </c>
      <c r="DC301" s="9" t="s">
        <v>2989</v>
      </c>
      <c r="DD301" s="9" t="s">
        <v>2989</v>
      </c>
      <c r="DE301" s="9" t="s">
        <v>2989</v>
      </c>
      <c r="DF301" s="9" t="s">
        <v>2989</v>
      </c>
      <c r="DG301" s="9" t="s">
        <v>2989</v>
      </c>
      <c r="DH301" s="9" t="s">
        <v>2989</v>
      </c>
      <c r="DI301" s="9" t="s">
        <v>2989</v>
      </c>
      <c r="DJ301" s="9" t="s">
        <v>2989</v>
      </c>
      <c r="DK301" s="9" t="s">
        <v>2989</v>
      </c>
      <c r="DL301" s="9" t="s">
        <v>2989</v>
      </c>
      <c r="DM301" s="9" t="s">
        <v>2989</v>
      </c>
      <c r="DN301" s="9" t="s">
        <v>2989</v>
      </c>
      <c r="DO301" s="9" t="s">
        <v>2989</v>
      </c>
      <c r="DP301" s="9" t="s">
        <v>2989</v>
      </c>
      <c r="DQ301" s="9" t="s">
        <v>2989</v>
      </c>
    </row>
    <row r="302" spans="1:121" ht="15.75" customHeight="1">
      <c r="A302" s="87" t="s">
        <v>8577</v>
      </c>
      <c r="AW302" s="9" t="s">
        <v>2932</v>
      </c>
      <c r="AX302" s="9" t="s">
        <v>2932</v>
      </c>
      <c r="AY302" s="9" t="s">
        <v>2932</v>
      </c>
      <c r="AZ302" s="9" t="s">
        <v>2932</v>
      </c>
      <c r="BA302" s="9" t="s">
        <v>2932</v>
      </c>
      <c r="BB302" s="9" t="s">
        <v>2932</v>
      </c>
      <c r="BC302" s="9" t="s">
        <v>2932</v>
      </c>
      <c r="BD302" s="9" t="s">
        <v>2932</v>
      </c>
      <c r="BE302" s="9" t="s">
        <v>2932</v>
      </c>
      <c r="BF302" s="9" t="s">
        <v>2932</v>
      </c>
      <c r="BG302" s="9" t="s">
        <v>2932</v>
      </c>
      <c r="BH302" s="9" t="s">
        <v>2932</v>
      </c>
      <c r="BI302" s="9" t="s">
        <v>2932</v>
      </c>
      <c r="BJ302" s="9" t="s">
        <v>2932</v>
      </c>
      <c r="BK302" s="9" t="s">
        <v>2932</v>
      </c>
      <c r="BL302" s="9" t="s">
        <v>2932</v>
      </c>
      <c r="BM302" s="9" t="s">
        <v>2932</v>
      </c>
      <c r="BN302" s="9" t="s">
        <v>2932</v>
      </c>
      <c r="BO302" s="9" t="s">
        <v>2932</v>
      </c>
      <c r="BP302" s="9" t="s">
        <v>2932</v>
      </c>
      <c r="BQ302" s="9" t="s">
        <v>2932</v>
      </c>
      <c r="BR302" s="9" t="s">
        <v>2932</v>
      </c>
      <c r="BS302" s="9" t="s">
        <v>2932</v>
      </c>
      <c r="BT302" s="9" t="s">
        <v>2932</v>
      </c>
      <c r="BU302" s="9" t="s">
        <v>2932</v>
      </c>
      <c r="BV302" s="9" t="s">
        <v>2932</v>
      </c>
      <c r="BW302" s="9" t="s">
        <v>2932</v>
      </c>
      <c r="BX302" s="9" t="s">
        <v>2932</v>
      </c>
      <c r="BY302" s="9" t="s">
        <v>2932</v>
      </c>
      <c r="BZ302" s="9" t="s">
        <v>2932</v>
      </c>
      <c r="CA302" s="9" t="s">
        <v>2932</v>
      </c>
      <c r="CB302" s="9" t="s">
        <v>2932</v>
      </c>
      <c r="CC302" s="9" t="s">
        <v>2932</v>
      </c>
      <c r="CD302" s="9" t="s">
        <v>2932</v>
      </c>
      <c r="CE302" s="9" t="s">
        <v>2932</v>
      </c>
      <c r="CF302" s="9" t="s">
        <v>2932</v>
      </c>
      <c r="CG302" s="9" t="s">
        <v>2932</v>
      </c>
      <c r="CH302" s="9" t="s">
        <v>2932</v>
      </c>
      <c r="CI302" s="9" t="s">
        <v>2932</v>
      </c>
      <c r="CJ302" s="9" t="s">
        <v>2932</v>
      </c>
      <c r="CK302" s="9" t="s">
        <v>2932</v>
      </c>
      <c r="CL302" s="9" t="s">
        <v>2932</v>
      </c>
      <c r="CM302" s="9" t="s">
        <v>2932</v>
      </c>
      <c r="CN302" s="9" t="s">
        <v>2932</v>
      </c>
      <c r="CO302" s="9" t="s">
        <v>2932</v>
      </c>
      <c r="CP302" s="9" t="s">
        <v>2932</v>
      </c>
      <c r="CQ302" s="9" t="s">
        <v>2932</v>
      </c>
      <c r="CR302" s="9" t="s">
        <v>2932</v>
      </c>
      <c r="CS302" s="9" t="s">
        <v>2932</v>
      </c>
      <c r="CT302" s="9" t="s">
        <v>2932</v>
      </c>
      <c r="CU302" s="9" t="s">
        <v>2932</v>
      </c>
      <c r="CV302" s="9" t="s">
        <v>2932</v>
      </c>
      <c r="CW302" s="9" t="s">
        <v>2932</v>
      </c>
      <c r="CX302" s="9" t="s">
        <v>2932</v>
      </c>
      <c r="CY302" s="9" t="s">
        <v>2932</v>
      </c>
      <c r="CZ302" s="9" t="s">
        <v>2932</v>
      </c>
      <c r="DA302" s="9" t="s">
        <v>2932</v>
      </c>
      <c r="DB302" s="9" t="s">
        <v>2932</v>
      </c>
      <c r="DC302" s="9" t="s">
        <v>2932</v>
      </c>
      <c r="DD302" s="9" t="s">
        <v>2932</v>
      </c>
      <c r="DE302" s="9" t="s">
        <v>2932</v>
      </c>
      <c r="DF302" s="9" t="s">
        <v>2932</v>
      </c>
      <c r="DG302" s="9" t="s">
        <v>2932</v>
      </c>
      <c r="DH302" s="9" t="s">
        <v>2932</v>
      </c>
      <c r="DI302" s="9" t="s">
        <v>2932</v>
      </c>
      <c r="DJ302" s="9" t="s">
        <v>2932</v>
      </c>
      <c r="DK302" s="9" t="s">
        <v>2932</v>
      </c>
      <c r="DL302" s="9" t="s">
        <v>2932</v>
      </c>
      <c r="DM302" s="9" t="s">
        <v>2932</v>
      </c>
      <c r="DN302" s="9" t="s">
        <v>2932</v>
      </c>
      <c r="DO302" s="9" t="s">
        <v>2932</v>
      </c>
      <c r="DP302" s="9" t="s">
        <v>2932</v>
      </c>
      <c r="DQ302" s="9" t="s">
        <v>2932</v>
      </c>
    </row>
    <row r="303" spans="1:121" ht="15.75" customHeight="1">
      <c r="A303" s="87" t="s">
        <v>8578</v>
      </c>
      <c r="Z303" s="9" t="s">
        <v>2932</v>
      </c>
      <c r="AA303" s="9" t="s">
        <v>2932</v>
      </c>
      <c r="AB303" s="9" t="s">
        <v>2932</v>
      </c>
      <c r="AC303" s="9" t="s">
        <v>2932</v>
      </c>
      <c r="AD303" s="9" t="s">
        <v>2932</v>
      </c>
      <c r="AE303" s="9" t="s">
        <v>2932</v>
      </c>
      <c r="AF303" s="9" t="s">
        <v>2932</v>
      </c>
      <c r="AG303" s="9" t="s">
        <v>2932</v>
      </c>
      <c r="AH303" s="9" t="s">
        <v>2932</v>
      </c>
      <c r="AI303" s="9" t="s">
        <v>2932</v>
      </c>
      <c r="AJ303" s="9" t="s">
        <v>2932</v>
      </c>
      <c r="AK303" s="9" t="s">
        <v>2932</v>
      </c>
      <c r="AL303" s="9" t="s">
        <v>2932</v>
      </c>
      <c r="AM303" s="9" t="s">
        <v>2932</v>
      </c>
      <c r="AN303" s="9" t="s">
        <v>2932</v>
      </c>
      <c r="AO303" s="9" t="s">
        <v>2932</v>
      </c>
      <c r="AP303" s="9" t="s">
        <v>2932</v>
      </c>
      <c r="AQ303" s="9" t="s">
        <v>2932</v>
      </c>
      <c r="AR303" s="9" t="s">
        <v>2932</v>
      </c>
      <c r="AS303" s="9" t="s">
        <v>2932</v>
      </c>
      <c r="AT303" s="9" t="s">
        <v>2932</v>
      </c>
      <c r="AU303" s="9" t="s">
        <v>2932</v>
      </c>
      <c r="AV303" s="9" t="s">
        <v>2932</v>
      </c>
      <c r="AW303" s="9" t="s">
        <v>2932</v>
      </c>
      <c r="AX303" s="9" t="s">
        <v>2932</v>
      </c>
      <c r="AY303" s="9" t="s">
        <v>2932</v>
      </c>
      <c r="AZ303" s="9" t="s">
        <v>2932</v>
      </c>
      <c r="BA303" s="9" t="s">
        <v>2932</v>
      </c>
      <c r="BB303" s="9" t="s">
        <v>2932</v>
      </c>
      <c r="BC303" s="9" t="s">
        <v>2932</v>
      </c>
      <c r="BD303" s="9" t="s">
        <v>2932</v>
      </c>
      <c r="BE303" s="9" t="s">
        <v>2932</v>
      </c>
      <c r="BF303" s="9" t="s">
        <v>2932</v>
      </c>
      <c r="BG303" s="9" t="s">
        <v>2932</v>
      </c>
      <c r="BH303" s="9" t="s">
        <v>2932</v>
      </c>
      <c r="BI303" s="9" t="s">
        <v>2932</v>
      </c>
      <c r="BJ303" s="9" t="s">
        <v>2932</v>
      </c>
      <c r="BK303" s="9" t="s">
        <v>2932</v>
      </c>
      <c r="BL303" s="9" t="s">
        <v>2932</v>
      </c>
      <c r="BM303" s="9" t="s">
        <v>2932</v>
      </c>
      <c r="BN303" s="9" t="s">
        <v>2932</v>
      </c>
      <c r="BO303" s="9" t="s">
        <v>2932</v>
      </c>
      <c r="BP303" s="9" t="s">
        <v>2932</v>
      </c>
      <c r="BQ303" s="9" t="s">
        <v>2932</v>
      </c>
      <c r="BR303" s="9" t="s">
        <v>2932</v>
      </c>
      <c r="BS303" s="9" t="s">
        <v>2932</v>
      </c>
      <c r="BT303" s="9" t="s">
        <v>2932</v>
      </c>
      <c r="BU303" s="9" t="s">
        <v>2932</v>
      </c>
      <c r="BV303" s="9" t="s">
        <v>2932</v>
      </c>
      <c r="BW303" s="9" t="s">
        <v>2932</v>
      </c>
      <c r="BX303" s="9" t="s">
        <v>2932</v>
      </c>
      <c r="BY303" s="9" t="s">
        <v>2932</v>
      </c>
      <c r="BZ303" s="9" t="s">
        <v>2932</v>
      </c>
      <c r="CA303" s="9" t="s">
        <v>2932</v>
      </c>
      <c r="CB303" s="9" t="s">
        <v>2932</v>
      </c>
      <c r="CC303" s="9" t="s">
        <v>2932</v>
      </c>
      <c r="CD303" s="9" t="s">
        <v>2932</v>
      </c>
      <c r="CE303" s="9" t="s">
        <v>2932</v>
      </c>
      <c r="CF303" s="9" t="s">
        <v>2932</v>
      </c>
      <c r="CG303" s="9" t="s">
        <v>2932</v>
      </c>
      <c r="CH303" s="9" t="s">
        <v>2932</v>
      </c>
      <c r="CI303" s="9" t="s">
        <v>2932</v>
      </c>
      <c r="CJ303" s="9" t="s">
        <v>2932</v>
      </c>
      <c r="CK303" s="9" t="s">
        <v>2932</v>
      </c>
      <c r="CL303" s="9" t="s">
        <v>2932</v>
      </c>
      <c r="CM303" s="9" t="s">
        <v>2932</v>
      </c>
      <c r="CN303" s="9" t="s">
        <v>2932</v>
      </c>
      <c r="CO303" s="9" t="s">
        <v>2932</v>
      </c>
      <c r="CP303" s="9" t="s">
        <v>2932</v>
      </c>
      <c r="CQ303" s="9" t="s">
        <v>2932</v>
      </c>
      <c r="CR303" s="9" t="s">
        <v>2932</v>
      </c>
      <c r="CS303" s="9" t="s">
        <v>2932</v>
      </c>
      <c r="CT303" s="9" t="s">
        <v>2932</v>
      </c>
      <c r="CU303" s="9" t="s">
        <v>2932</v>
      </c>
      <c r="CV303" s="9" t="s">
        <v>2932</v>
      </c>
      <c r="CW303" s="9" t="s">
        <v>2932</v>
      </c>
      <c r="CX303" s="9" t="s">
        <v>2932</v>
      </c>
      <c r="CY303" s="9" t="s">
        <v>2932</v>
      </c>
      <c r="CZ303" s="9" t="s">
        <v>2932</v>
      </c>
      <c r="DA303" s="9" t="s">
        <v>2932</v>
      </c>
      <c r="DB303" s="9" t="s">
        <v>2932</v>
      </c>
      <c r="DC303" s="9" t="s">
        <v>2932</v>
      </c>
      <c r="DD303" s="9" t="s">
        <v>2932</v>
      </c>
      <c r="DE303" s="9" t="s">
        <v>2932</v>
      </c>
      <c r="DF303" s="9" t="s">
        <v>2932</v>
      </c>
      <c r="DG303" s="9" t="s">
        <v>2932</v>
      </c>
      <c r="DH303" s="9" t="s">
        <v>2932</v>
      </c>
      <c r="DI303" s="9" t="s">
        <v>2932</v>
      </c>
      <c r="DJ303" s="9" t="s">
        <v>2932</v>
      </c>
      <c r="DK303" s="9" t="s">
        <v>2932</v>
      </c>
      <c r="DL303" s="9" t="s">
        <v>2932</v>
      </c>
      <c r="DM303" s="9" t="s">
        <v>2932</v>
      </c>
      <c r="DN303" s="9" t="s">
        <v>2932</v>
      </c>
      <c r="DO303" s="9" t="s">
        <v>2932</v>
      </c>
      <c r="DP303" s="9" t="s">
        <v>2932</v>
      </c>
      <c r="DQ303" s="9" t="s">
        <v>2932</v>
      </c>
    </row>
    <row r="304" spans="1:121" ht="15.75" customHeight="1">
      <c r="A304" s="87" t="s">
        <v>8579</v>
      </c>
    </row>
    <row r="305" spans="1:121" ht="15.75" customHeight="1">
      <c r="A305" s="87" t="s">
        <v>8580</v>
      </c>
      <c r="CN305" s="9" t="s">
        <v>2913</v>
      </c>
      <c r="CO305" s="9" t="s">
        <v>2913</v>
      </c>
      <c r="CP305" s="9" t="s">
        <v>2913</v>
      </c>
      <c r="CQ305" s="9" t="s">
        <v>2913</v>
      </c>
      <c r="CR305" s="9" t="s">
        <v>2913</v>
      </c>
      <c r="CS305" s="9" t="s">
        <v>2913</v>
      </c>
      <c r="CT305" s="9" t="s">
        <v>2913</v>
      </c>
      <c r="CU305" s="9" t="s">
        <v>2913</v>
      </c>
      <c r="CV305" s="9" t="s">
        <v>2913</v>
      </c>
      <c r="CW305" s="9" t="s">
        <v>2913</v>
      </c>
      <c r="CX305" s="9" t="s">
        <v>2913</v>
      </c>
      <c r="CY305" s="9" t="s">
        <v>2913</v>
      </c>
      <c r="CZ305" s="9" t="s">
        <v>2913</v>
      </c>
      <c r="DA305" s="9" t="s">
        <v>2913</v>
      </c>
      <c r="DB305" s="9" t="s">
        <v>2913</v>
      </c>
      <c r="DC305" s="9" t="s">
        <v>2913</v>
      </c>
      <c r="DD305" s="9" t="s">
        <v>2913</v>
      </c>
      <c r="DE305" s="9" t="s">
        <v>2913</v>
      </c>
      <c r="DF305" s="9" t="s">
        <v>2913</v>
      </c>
      <c r="DG305" s="9" t="s">
        <v>2913</v>
      </c>
      <c r="DH305" s="9" t="s">
        <v>2913</v>
      </c>
      <c r="DI305" s="9" t="s">
        <v>2913</v>
      </c>
      <c r="DJ305" s="9" t="s">
        <v>2913</v>
      </c>
      <c r="DK305" s="9" t="s">
        <v>2913</v>
      </c>
      <c r="DL305" s="9" t="s">
        <v>2913</v>
      </c>
      <c r="DM305" s="9" t="s">
        <v>2913</v>
      </c>
      <c r="DN305" s="9" t="s">
        <v>2913</v>
      </c>
      <c r="DO305" s="9" t="s">
        <v>2913</v>
      </c>
      <c r="DP305" s="9" t="s">
        <v>2913</v>
      </c>
      <c r="DQ305" s="9" t="s">
        <v>2913</v>
      </c>
    </row>
    <row r="306" spans="1:121" ht="15.75" customHeight="1">
      <c r="A306" s="87" t="s">
        <v>8581</v>
      </c>
    </row>
    <row r="307" spans="1:121" ht="15.75" customHeight="1">
      <c r="A307" s="87" t="s">
        <v>8582</v>
      </c>
    </row>
    <row r="308" spans="1:121" ht="15.75" customHeight="1">
      <c r="A308" s="87" t="s">
        <v>8583</v>
      </c>
    </row>
    <row r="309" spans="1:121" ht="15.75" customHeight="1">
      <c r="A309" s="87" t="s">
        <v>8584</v>
      </c>
    </row>
    <row r="310" spans="1:121" ht="15.75" customHeight="1">
      <c r="A310" s="87" t="s">
        <v>8585</v>
      </c>
      <c r="CD310" s="9" t="s">
        <v>2972</v>
      </c>
      <c r="CE310" s="9" t="s">
        <v>2972</v>
      </c>
      <c r="CF310" s="9" t="s">
        <v>2972</v>
      </c>
      <c r="CG310" s="9" t="s">
        <v>2972</v>
      </c>
      <c r="CH310" s="9" t="s">
        <v>2972</v>
      </c>
      <c r="CI310" s="9" t="s">
        <v>2972</v>
      </c>
      <c r="CJ310" s="9" t="s">
        <v>2972</v>
      </c>
      <c r="CK310" s="9" t="s">
        <v>2972</v>
      </c>
      <c r="CL310" s="9" t="s">
        <v>2972</v>
      </c>
      <c r="CM310" s="9" t="s">
        <v>2972</v>
      </c>
      <c r="CN310" s="9" t="s">
        <v>2972</v>
      </c>
      <c r="CO310" s="9" t="s">
        <v>2972</v>
      </c>
      <c r="CP310" s="9" t="s">
        <v>2972</v>
      </c>
      <c r="CQ310" s="9" t="s">
        <v>2972</v>
      </c>
      <c r="CR310" s="9" t="s">
        <v>2972</v>
      </c>
      <c r="CS310" s="9" t="s">
        <v>2972</v>
      </c>
      <c r="CT310" s="9" t="s">
        <v>2972</v>
      </c>
      <c r="CU310" s="9" t="s">
        <v>2972</v>
      </c>
      <c r="CV310" s="9" t="s">
        <v>2972</v>
      </c>
      <c r="CW310" s="9" t="s">
        <v>2972</v>
      </c>
      <c r="CX310" s="9" t="s">
        <v>2972</v>
      </c>
      <c r="CY310" s="9" t="s">
        <v>2972</v>
      </c>
      <c r="CZ310" s="9" t="s">
        <v>2972</v>
      </c>
      <c r="DA310" s="9" t="s">
        <v>2972</v>
      </c>
      <c r="DB310" s="9" t="s">
        <v>2972</v>
      </c>
      <c r="DC310" s="9" t="s">
        <v>2972</v>
      </c>
      <c r="DD310" s="9" t="s">
        <v>2972</v>
      </c>
      <c r="DE310" s="9" t="s">
        <v>2972</v>
      </c>
      <c r="DF310" s="9" t="s">
        <v>2972</v>
      </c>
      <c r="DG310" s="9" t="s">
        <v>2972</v>
      </c>
      <c r="DH310" s="9" t="s">
        <v>2972</v>
      </c>
      <c r="DI310" s="9" t="s">
        <v>2972</v>
      </c>
      <c r="DJ310" s="9" t="s">
        <v>2972</v>
      </c>
      <c r="DK310" s="9" t="s">
        <v>2972</v>
      </c>
      <c r="DL310" s="9" t="s">
        <v>2972</v>
      </c>
      <c r="DM310" s="9" t="s">
        <v>2972</v>
      </c>
      <c r="DN310" s="9" t="s">
        <v>2972</v>
      </c>
      <c r="DO310" s="9" t="s">
        <v>2972</v>
      </c>
      <c r="DP310" s="9" t="s">
        <v>2972</v>
      </c>
      <c r="DQ310" s="9" t="s">
        <v>2972</v>
      </c>
    </row>
    <row r="311" spans="1:121" ht="15.75" customHeight="1">
      <c r="A311" s="87" t="s">
        <v>8586</v>
      </c>
    </row>
    <row r="312" spans="1:121" ht="15.75" customHeight="1">
      <c r="A312" s="87" t="s">
        <v>8587</v>
      </c>
    </row>
    <row r="313" spans="1:121" ht="15.75" customHeight="1">
      <c r="A313" s="87" t="s">
        <v>8588</v>
      </c>
      <c r="AJ313" s="9" t="s">
        <v>2922</v>
      </c>
      <c r="AK313" s="9" t="s">
        <v>2922</v>
      </c>
      <c r="AL313" s="9" t="s">
        <v>2922</v>
      </c>
      <c r="AM313" s="9" t="s">
        <v>2922</v>
      </c>
      <c r="AN313" s="9" t="s">
        <v>2922</v>
      </c>
      <c r="AO313" s="9" t="s">
        <v>2922</v>
      </c>
      <c r="AP313" s="9" t="s">
        <v>2922</v>
      </c>
      <c r="AQ313" s="9" t="s">
        <v>2922</v>
      </c>
      <c r="AR313" s="9" t="s">
        <v>2922</v>
      </c>
      <c r="AS313" s="9" t="s">
        <v>2922</v>
      </c>
      <c r="AT313" s="9" t="s">
        <v>2922</v>
      </c>
      <c r="AU313" s="9" t="s">
        <v>2922</v>
      </c>
      <c r="AV313" s="9" t="s">
        <v>2922</v>
      </c>
      <c r="AW313" s="9" t="s">
        <v>2922</v>
      </c>
      <c r="AX313" s="9" t="s">
        <v>2922</v>
      </c>
      <c r="AY313" s="9" t="s">
        <v>2922</v>
      </c>
      <c r="AZ313" s="9" t="s">
        <v>2922</v>
      </c>
      <c r="BA313" s="9" t="s">
        <v>2922</v>
      </c>
      <c r="BB313" s="9" t="s">
        <v>2922</v>
      </c>
      <c r="BC313" s="9" t="s">
        <v>2922</v>
      </c>
      <c r="BD313" s="9" t="s">
        <v>2922</v>
      </c>
      <c r="BE313" s="9" t="s">
        <v>2922</v>
      </c>
      <c r="BF313" s="9" t="s">
        <v>2922</v>
      </c>
      <c r="BG313" s="9" t="s">
        <v>2922</v>
      </c>
      <c r="BH313" s="9" t="s">
        <v>2922</v>
      </c>
      <c r="BI313" s="9" t="s">
        <v>2922</v>
      </c>
      <c r="BJ313" s="9" t="s">
        <v>2922</v>
      </c>
      <c r="BK313" s="9" t="s">
        <v>2922</v>
      </c>
      <c r="BL313" s="9" t="s">
        <v>2922</v>
      </c>
      <c r="BM313" s="9" t="s">
        <v>2922</v>
      </c>
      <c r="BN313" s="9" t="s">
        <v>2922</v>
      </c>
      <c r="BO313" s="9" t="s">
        <v>2922</v>
      </c>
      <c r="BP313" s="9" t="s">
        <v>2922</v>
      </c>
      <c r="BQ313" s="9" t="s">
        <v>2922</v>
      </c>
      <c r="BR313" s="9" t="s">
        <v>2936</v>
      </c>
      <c r="BS313" s="9" t="s">
        <v>2936</v>
      </c>
      <c r="BT313" s="9" t="s">
        <v>2936</v>
      </c>
      <c r="BU313" s="9" t="s">
        <v>2936</v>
      </c>
      <c r="BV313" s="9" t="s">
        <v>2936</v>
      </c>
      <c r="BW313" s="9" t="s">
        <v>2936</v>
      </c>
      <c r="BX313" s="9" t="s">
        <v>2936</v>
      </c>
      <c r="BY313" s="9" t="s">
        <v>2936</v>
      </c>
      <c r="BZ313" s="9" t="s">
        <v>2936</v>
      </c>
      <c r="CA313" s="9" t="s">
        <v>2936</v>
      </c>
      <c r="CB313" s="9" t="s">
        <v>2936</v>
      </c>
      <c r="CC313" s="9" t="s">
        <v>2936</v>
      </c>
      <c r="CD313" s="9" t="s">
        <v>2936</v>
      </c>
      <c r="CE313" s="9" t="s">
        <v>2936</v>
      </c>
      <c r="CF313" s="9" t="s">
        <v>2936</v>
      </c>
      <c r="CG313" s="9" t="s">
        <v>2936</v>
      </c>
      <c r="CH313" s="9" t="s">
        <v>2936</v>
      </c>
      <c r="CI313" s="9" t="s">
        <v>2936</v>
      </c>
      <c r="CJ313" s="9" t="s">
        <v>2936</v>
      </c>
      <c r="CK313" s="9" t="s">
        <v>2936</v>
      </c>
      <c r="CL313" s="9" t="s">
        <v>2936</v>
      </c>
      <c r="CM313" s="9" t="s">
        <v>2936</v>
      </c>
      <c r="CN313" s="9" t="s">
        <v>2936</v>
      </c>
      <c r="CO313" s="9" t="s">
        <v>2936</v>
      </c>
      <c r="CP313" s="9" t="s">
        <v>2936</v>
      </c>
      <c r="CQ313" s="9" t="s">
        <v>2936</v>
      </c>
      <c r="CR313" s="9" t="s">
        <v>2936</v>
      </c>
      <c r="CS313" s="9" t="s">
        <v>2936</v>
      </c>
      <c r="CT313" s="9" t="s">
        <v>2936</v>
      </c>
      <c r="CU313" s="9" t="s">
        <v>2936</v>
      </c>
      <c r="CV313" s="9" t="s">
        <v>2936</v>
      </c>
      <c r="CW313" s="9" t="s">
        <v>2936</v>
      </c>
      <c r="CX313" s="9" t="s">
        <v>2936</v>
      </c>
      <c r="CY313" s="9" t="s">
        <v>2936</v>
      </c>
      <c r="CZ313" s="9" t="s">
        <v>2936</v>
      </c>
      <c r="DA313" s="9" t="s">
        <v>2936</v>
      </c>
      <c r="DB313" s="9" t="s">
        <v>2936</v>
      </c>
      <c r="DC313" s="9" t="s">
        <v>2936</v>
      </c>
      <c r="DD313" s="9" t="s">
        <v>2936</v>
      </c>
      <c r="DE313" s="9" t="s">
        <v>2936</v>
      </c>
      <c r="DF313" s="9" t="s">
        <v>2936</v>
      </c>
      <c r="DG313" s="9" t="s">
        <v>2936</v>
      </c>
      <c r="DH313" s="9" t="s">
        <v>2936</v>
      </c>
      <c r="DI313" s="9" t="s">
        <v>2936</v>
      </c>
      <c r="DJ313" s="9" t="s">
        <v>2936</v>
      </c>
      <c r="DK313" s="9" t="s">
        <v>2936</v>
      </c>
      <c r="DL313" s="9" t="s">
        <v>2936</v>
      </c>
      <c r="DM313" s="9" t="s">
        <v>2936</v>
      </c>
      <c r="DN313" s="9" t="s">
        <v>2936</v>
      </c>
      <c r="DO313" s="9" t="s">
        <v>2936</v>
      </c>
      <c r="DP313" s="9" t="s">
        <v>2936</v>
      </c>
      <c r="DQ313" s="9" t="s">
        <v>2936</v>
      </c>
    </row>
    <row r="314" spans="1:121" ht="15.75" customHeight="1">
      <c r="A314" s="87" t="s">
        <v>8589</v>
      </c>
      <c r="Z314" s="9" t="s">
        <v>2936</v>
      </c>
      <c r="AA314" s="9" t="s">
        <v>2936</v>
      </c>
      <c r="AB314" s="9" t="s">
        <v>2936</v>
      </c>
      <c r="AC314" s="9" t="s">
        <v>2936</v>
      </c>
      <c r="AD314" s="9" t="s">
        <v>2936</v>
      </c>
      <c r="AE314" s="9" t="s">
        <v>2936</v>
      </c>
      <c r="AF314" s="9" t="s">
        <v>2936</v>
      </c>
      <c r="AG314" s="9" t="s">
        <v>2936</v>
      </c>
      <c r="AH314" s="9" t="s">
        <v>2936</v>
      </c>
      <c r="AI314" s="9" t="s">
        <v>2936</v>
      </c>
      <c r="AJ314" s="9" t="s">
        <v>2936</v>
      </c>
      <c r="AK314" s="9" t="s">
        <v>2936</v>
      </c>
      <c r="AL314" s="9" t="s">
        <v>2936</v>
      </c>
      <c r="AM314" s="9" t="s">
        <v>2936</v>
      </c>
      <c r="AN314" s="9" t="s">
        <v>2936</v>
      </c>
      <c r="AO314" s="9" t="s">
        <v>2936</v>
      </c>
      <c r="AP314" s="9" t="s">
        <v>2936</v>
      </c>
      <c r="AQ314" s="9" t="s">
        <v>2936</v>
      </c>
      <c r="AR314" s="9" t="s">
        <v>2936</v>
      </c>
      <c r="AS314" s="9" t="s">
        <v>2936</v>
      </c>
      <c r="AT314" s="9" t="s">
        <v>2936</v>
      </c>
      <c r="AU314" s="9" t="s">
        <v>2936</v>
      </c>
      <c r="AV314" s="9" t="s">
        <v>2936</v>
      </c>
      <c r="AW314" s="9" t="s">
        <v>2936</v>
      </c>
      <c r="AX314" s="9" t="s">
        <v>2936</v>
      </c>
      <c r="AY314" s="9" t="s">
        <v>2936</v>
      </c>
      <c r="AZ314" s="9" t="s">
        <v>2936</v>
      </c>
      <c r="BA314" s="9" t="s">
        <v>2936</v>
      </c>
      <c r="BB314" s="9" t="s">
        <v>2936</v>
      </c>
      <c r="BC314" s="9" t="s">
        <v>2936</v>
      </c>
      <c r="BD314" s="9" t="s">
        <v>2936</v>
      </c>
      <c r="BE314" s="9" t="s">
        <v>2936</v>
      </c>
      <c r="BF314" s="9" t="s">
        <v>2936</v>
      </c>
      <c r="BG314" s="9" t="s">
        <v>2936</v>
      </c>
      <c r="BH314" s="9" t="s">
        <v>2936</v>
      </c>
      <c r="BI314" s="9" t="s">
        <v>2936</v>
      </c>
      <c r="BJ314" s="9" t="s">
        <v>2936</v>
      </c>
      <c r="BK314" s="9" t="s">
        <v>2936</v>
      </c>
      <c r="BL314" s="9" t="s">
        <v>2936</v>
      </c>
      <c r="BM314" s="9" t="s">
        <v>2936</v>
      </c>
      <c r="BN314" s="9" t="s">
        <v>2936</v>
      </c>
      <c r="BO314" s="9" t="s">
        <v>2936</v>
      </c>
      <c r="BP314" s="9" t="s">
        <v>2936</v>
      </c>
      <c r="BQ314" s="9" t="s">
        <v>2936</v>
      </c>
      <c r="BR314" s="9" t="s">
        <v>2936</v>
      </c>
      <c r="BS314" s="9" t="s">
        <v>2936</v>
      </c>
      <c r="BT314" s="9" t="s">
        <v>2936</v>
      </c>
      <c r="BU314" s="9" t="s">
        <v>2936</v>
      </c>
      <c r="BV314" s="9" t="s">
        <v>2936</v>
      </c>
      <c r="BW314" s="9" t="s">
        <v>2936</v>
      </c>
      <c r="BX314" s="9" t="s">
        <v>2936</v>
      </c>
      <c r="BY314" s="9" t="s">
        <v>2936</v>
      </c>
      <c r="BZ314" s="9" t="s">
        <v>2936</v>
      </c>
      <c r="CA314" s="9" t="s">
        <v>2936</v>
      </c>
      <c r="CB314" s="9" t="s">
        <v>2936</v>
      </c>
      <c r="CC314" s="9" t="s">
        <v>2936</v>
      </c>
      <c r="CD314" s="9" t="s">
        <v>2936</v>
      </c>
      <c r="CE314" s="9" t="s">
        <v>2936</v>
      </c>
      <c r="CF314" s="9" t="s">
        <v>2936</v>
      </c>
      <c r="CG314" s="9" t="s">
        <v>2936</v>
      </c>
      <c r="CH314" s="9" t="s">
        <v>2936</v>
      </c>
      <c r="CI314" s="9" t="s">
        <v>2936</v>
      </c>
      <c r="CJ314" s="9" t="s">
        <v>2936</v>
      </c>
      <c r="CK314" s="9" t="s">
        <v>2936</v>
      </c>
      <c r="CL314" s="9" t="s">
        <v>2936</v>
      </c>
      <c r="CM314" s="9" t="s">
        <v>2936</v>
      </c>
      <c r="CN314" s="9" t="s">
        <v>2936</v>
      </c>
      <c r="CO314" s="9" t="s">
        <v>2936</v>
      </c>
      <c r="CP314" s="9" t="s">
        <v>2936</v>
      </c>
      <c r="CQ314" s="9" t="s">
        <v>2936</v>
      </c>
      <c r="CR314" s="9" t="s">
        <v>2936</v>
      </c>
      <c r="CS314" s="9" t="s">
        <v>2936</v>
      </c>
      <c r="CT314" s="9" t="s">
        <v>2936</v>
      </c>
      <c r="CU314" s="9" t="s">
        <v>2936</v>
      </c>
      <c r="CV314" s="9" t="s">
        <v>2936</v>
      </c>
      <c r="CW314" s="9" t="s">
        <v>2936</v>
      </c>
      <c r="CX314" s="9" t="s">
        <v>2936</v>
      </c>
      <c r="CY314" s="9" t="s">
        <v>2936</v>
      </c>
      <c r="CZ314" s="9" t="s">
        <v>2936</v>
      </c>
      <c r="DA314" s="9" t="s">
        <v>2936</v>
      </c>
      <c r="DB314" s="9" t="s">
        <v>2936</v>
      </c>
      <c r="DC314" s="9" t="s">
        <v>2936</v>
      </c>
      <c r="DD314" s="9" t="s">
        <v>2936</v>
      </c>
      <c r="DE314" s="9" t="s">
        <v>2936</v>
      </c>
      <c r="DF314" s="9" t="s">
        <v>2936</v>
      </c>
      <c r="DG314" s="9" t="s">
        <v>2936</v>
      </c>
      <c r="DH314" s="9" t="s">
        <v>2936</v>
      </c>
      <c r="DI314" s="9" t="s">
        <v>2936</v>
      </c>
      <c r="DJ314" s="9" t="s">
        <v>2936</v>
      </c>
      <c r="DK314" s="9" t="s">
        <v>2936</v>
      </c>
      <c r="DL314" s="9" t="s">
        <v>2936</v>
      </c>
      <c r="DM314" s="9" t="s">
        <v>2936</v>
      </c>
      <c r="DN314" s="9" t="s">
        <v>2936</v>
      </c>
      <c r="DO314" s="9" t="s">
        <v>2936</v>
      </c>
      <c r="DP314" s="9" t="s">
        <v>2936</v>
      </c>
      <c r="DQ314" s="9" t="s">
        <v>2936</v>
      </c>
    </row>
    <row r="315" spans="1:121" ht="15.75" customHeight="1">
      <c r="A315" s="87" t="s">
        <v>8590</v>
      </c>
      <c r="Z315" s="9" t="s">
        <v>2936</v>
      </c>
      <c r="AA315" s="9" t="s">
        <v>2936</v>
      </c>
      <c r="AB315" s="9" t="s">
        <v>2936</v>
      </c>
      <c r="AC315" s="9" t="s">
        <v>2936</v>
      </c>
      <c r="AD315" s="9" t="s">
        <v>2936</v>
      </c>
      <c r="AE315" s="9" t="s">
        <v>2936</v>
      </c>
      <c r="AF315" s="9" t="s">
        <v>2936</v>
      </c>
      <c r="AG315" s="9" t="s">
        <v>2936</v>
      </c>
      <c r="AH315" s="9" t="s">
        <v>2936</v>
      </c>
      <c r="AI315" s="9" t="s">
        <v>2936</v>
      </c>
      <c r="AJ315" s="9" t="s">
        <v>2936</v>
      </c>
      <c r="AK315" s="9" t="s">
        <v>2936</v>
      </c>
      <c r="AL315" s="9" t="s">
        <v>2936</v>
      </c>
      <c r="AM315" s="9" t="s">
        <v>2936</v>
      </c>
      <c r="AN315" s="9" t="s">
        <v>2936</v>
      </c>
      <c r="AO315" s="9" t="s">
        <v>2936</v>
      </c>
      <c r="AP315" s="9" t="s">
        <v>2936</v>
      </c>
      <c r="AQ315" s="9" t="s">
        <v>2936</v>
      </c>
      <c r="AR315" s="9" t="s">
        <v>2936</v>
      </c>
      <c r="AS315" s="9" t="s">
        <v>2936</v>
      </c>
      <c r="AT315" s="9" t="s">
        <v>2936</v>
      </c>
      <c r="AU315" s="9" t="s">
        <v>2936</v>
      </c>
      <c r="AV315" s="9" t="s">
        <v>2936</v>
      </c>
      <c r="AW315" s="9" t="s">
        <v>2936</v>
      </c>
      <c r="AX315" s="9" t="s">
        <v>2936</v>
      </c>
      <c r="AY315" s="9" t="s">
        <v>2936</v>
      </c>
      <c r="AZ315" s="9" t="s">
        <v>2936</v>
      </c>
      <c r="BA315" s="9" t="s">
        <v>2936</v>
      </c>
      <c r="BB315" s="9" t="s">
        <v>2936</v>
      </c>
      <c r="BC315" s="9" t="s">
        <v>2936</v>
      </c>
      <c r="BD315" s="9" t="s">
        <v>2936</v>
      </c>
      <c r="BE315" s="9" t="s">
        <v>2936</v>
      </c>
      <c r="BF315" s="9" t="s">
        <v>2936</v>
      </c>
      <c r="BG315" s="9" t="s">
        <v>2936</v>
      </c>
      <c r="BH315" s="9" t="s">
        <v>2936</v>
      </c>
      <c r="BI315" s="9" t="s">
        <v>2936</v>
      </c>
      <c r="BJ315" s="9" t="s">
        <v>2936</v>
      </c>
      <c r="BK315" s="9" t="s">
        <v>2936</v>
      </c>
      <c r="BL315" s="9" t="s">
        <v>2936</v>
      </c>
      <c r="BM315" s="9" t="s">
        <v>2936</v>
      </c>
      <c r="BN315" s="9" t="s">
        <v>2936</v>
      </c>
      <c r="BO315" s="9" t="s">
        <v>2936</v>
      </c>
      <c r="BP315" s="9" t="s">
        <v>2936</v>
      </c>
      <c r="BQ315" s="9" t="s">
        <v>2936</v>
      </c>
      <c r="BR315" s="9" t="s">
        <v>2936</v>
      </c>
      <c r="BS315" s="9" t="s">
        <v>2936</v>
      </c>
      <c r="BT315" s="9" t="s">
        <v>2936</v>
      </c>
      <c r="BU315" s="9" t="s">
        <v>2936</v>
      </c>
      <c r="BV315" s="9" t="s">
        <v>2936</v>
      </c>
      <c r="BW315" s="9" t="s">
        <v>2936</v>
      </c>
      <c r="BX315" s="9" t="s">
        <v>2936</v>
      </c>
      <c r="BY315" s="9" t="s">
        <v>2936</v>
      </c>
      <c r="BZ315" s="9" t="s">
        <v>2936</v>
      </c>
      <c r="CA315" s="9" t="s">
        <v>2936</v>
      </c>
      <c r="CB315" s="9" t="s">
        <v>2936</v>
      </c>
      <c r="CC315" s="9" t="s">
        <v>2936</v>
      </c>
      <c r="CD315" s="9" t="s">
        <v>2936</v>
      </c>
      <c r="CE315" s="9" t="s">
        <v>2936</v>
      </c>
      <c r="CF315" s="9" t="s">
        <v>2936</v>
      </c>
      <c r="CG315" s="9" t="s">
        <v>2936</v>
      </c>
      <c r="CH315" s="9" t="s">
        <v>2936</v>
      </c>
      <c r="CI315" s="9" t="s">
        <v>2936</v>
      </c>
      <c r="CJ315" s="9" t="s">
        <v>2936</v>
      </c>
      <c r="CK315" s="9" t="s">
        <v>2936</v>
      </c>
      <c r="CL315" s="9" t="s">
        <v>2936</v>
      </c>
      <c r="CM315" s="9" t="s">
        <v>2936</v>
      </c>
      <c r="CN315" s="9" t="s">
        <v>2936</v>
      </c>
      <c r="CO315" s="9" t="s">
        <v>2936</v>
      </c>
      <c r="CP315" s="9" t="s">
        <v>2936</v>
      </c>
      <c r="CQ315" s="9" t="s">
        <v>2936</v>
      </c>
      <c r="CR315" s="9" t="s">
        <v>2936</v>
      </c>
      <c r="CS315" s="9" t="s">
        <v>2936</v>
      </c>
      <c r="CT315" s="9" t="s">
        <v>2936</v>
      </c>
      <c r="CU315" s="9" t="s">
        <v>2936</v>
      </c>
      <c r="CV315" s="9" t="s">
        <v>2936</v>
      </c>
      <c r="CW315" s="9" t="s">
        <v>2936</v>
      </c>
      <c r="CX315" s="9" t="s">
        <v>2936</v>
      </c>
      <c r="CY315" s="9" t="s">
        <v>2892</v>
      </c>
      <c r="CZ315" s="9" t="s">
        <v>2892</v>
      </c>
      <c r="DA315" s="9" t="s">
        <v>2892</v>
      </c>
      <c r="DB315" s="9" t="s">
        <v>2892</v>
      </c>
      <c r="DC315" s="9" t="s">
        <v>2892</v>
      </c>
      <c r="DD315" s="9" t="s">
        <v>2892</v>
      </c>
      <c r="DE315" s="9" t="s">
        <v>2892</v>
      </c>
      <c r="DF315" s="9" t="s">
        <v>2892</v>
      </c>
      <c r="DG315" s="9" t="s">
        <v>2892</v>
      </c>
      <c r="DH315" s="9" t="s">
        <v>2892</v>
      </c>
      <c r="DI315" s="9" t="s">
        <v>2892</v>
      </c>
      <c r="DJ315" s="9" t="s">
        <v>2892</v>
      </c>
      <c r="DK315" s="9" t="s">
        <v>2892</v>
      </c>
      <c r="DL315" s="9" t="s">
        <v>2892</v>
      </c>
      <c r="DM315" s="9" t="s">
        <v>2892</v>
      </c>
      <c r="DN315" s="9" t="s">
        <v>2892</v>
      </c>
      <c r="DO315" s="9" t="s">
        <v>2892</v>
      </c>
      <c r="DP315" s="9" t="s">
        <v>2892</v>
      </c>
      <c r="DQ315" s="9" t="s">
        <v>2892</v>
      </c>
    </row>
    <row r="316" spans="1:121" ht="15.75" customHeight="1">
      <c r="A316" s="87" t="s">
        <v>8591</v>
      </c>
      <c r="Z316" s="9" t="s">
        <v>2892</v>
      </c>
      <c r="AA316" s="9" t="s">
        <v>2892</v>
      </c>
      <c r="AB316" s="9" t="s">
        <v>2892</v>
      </c>
      <c r="AC316" s="9" t="s">
        <v>2892</v>
      </c>
      <c r="AD316" s="9" t="s">
        <v>2892</v>
      </c>
      <c r="AE316" s="9" t="s">
        <v>2892</v>
      </c>
      <c r="AF316" s="9" t="s">
        <v>2892</v>
      </c>
      <c r="AG316" s="9" t="s">
        <v>2892</v>
      </c>
      <c r="AH316" s="9" t="s">
        <v>2892</v>
      </c>
      <c r="AI316" s="9" t="s">
        <v>2892</v>
      </c>
      <c r="AJ316" s="9" t="s">
        <v>2892</v>
      </c>
      <c r="AK316" s="9" t="s">
        <v>2892</v>
      </c>
      <c r="AL316" s="9" t="s">
        <v>2892</v>
      </c>
      <c r="AM316" s="9" t="s">
        <v>2892</v>
      </c>
      <c r="AN316" s="9" t="s">
        <v>2892</v>
      </c>
      <c r="AO316" s="9" t="s">
        <v>2892</v>
      </c>
      <c r="AP316" s="9" t="s">
        <v>2892</v>
      </c>
      <c r="AQ316" s="9" t="s">
        <v>2892</v>
      </c>
      <c r="AR316" s="9" t="s">
        <v>2892</v>
      </c>
      <c r="AS316" s="9" t="s">
        <v>2892</v>
      </c>
      <c r="AT316" s="9" t="s">
        <v>2892</v>
      </c>
      <c r="AU316" s="9" t="s">
        <v>2892</v>
      </c>
      <c r="AV316" s="9" t="s">
        <v>2892</v>
      </c>
      <c r="AW316" s="9" t="s">
        <v>2892</v>
      </c>
      <c r="AX316" s="9" t="s">
        <v>2892</v>
      </c>
      <c r="AY316" s="9" t="s">
        <v>2892</v>
      </c>
      <c r="AZ316" s="9" t="s">
        <v>2892</v>
      </c>
      <c r="BA316" s="9" t="s">
        <v>2892</v>
      </c>
      <c r="BB316" s="9" t="s">
        <v>3027</v>
      </c>
      <c r="BC316" s="9" t="s">
        <v>3027</v>
      </c>
      <c r="BD316" s="9" t="s">
        <v>3027</v>
      </c>
      <c r="BE316" s="9" t="s">
        <v>3027</v>
      </c>
      <c r="BF316" s="9" t="s">
        <v>3027</v>
      </c>
      <c r="BG316" s="9" t="s">
        <v>3027</v>
      </c>
      <c r="BH316" s="9" t="s">
        <v>3027</v>
      </c>
      <c r="BI316" s="9" t="s">
        <v>3027</v>
      </c>
      <c r="BJ316" s="9" t="s">
        <v>3027</v>
      </c>
      <c r="BK316" s="9" t="s">
        <v>3027</v>
      </c>
      <c r="BL316" s="9" t="s">
        <v>3027</v>
      </c>
      <c r="BM316" s="9" t="s">
        <v>3027</v>
      </c>
      <c r="BN316" s="9" t="s">
        <v>3027</v>
      </c>
      <c r="BO316" s="9" t="s">
        <v>3027</v>
      </c>
      <c r="BP316" s="9" t="s">
        <v>3027</v>
      </c>
      <c r="BQ316" s="9" t="s">
        <v>3027</v>
      </c>
      <c r="BR316" s="9" t="s">
        <v>3027</v>
      </c>
      <c r="BS316" s="9" t="s">
        <v>3027</v>
      </c>
      <c r="BT316" s="9" t="s">
        <v>3027</v>
      </c>
      <c r="BU316" s="9" t="s">
        <v>3027</v>
      </c>
      <c r="BV316" s="9" t="s">
        <v>3027</v>
      </c>
      <c r="BW316" s="9" t="s">
        <v>3027</v>
      </c>
      <c r="BX316" s="9" t="s">
        <v>3027</v>
      </c>
      <c r="BY316" s="9" t="s">
        <v>3027</v>
      </c>
      <c r="BZ316" s="9" t="s">
        <v>3027</v>
      </c>
      <c r="CA316" s="9" t="s">
        <v>3027</v>
      </c>
      <c r="CB316" s="9" t="s">
        <v>3027</v>
      </c>
      <c r="CC316" s="9" t="s">
        <v>3027</v>
      </c>
      <c r="CD316" s="9" t="s">
        <v>3027</v>
      </c>
      <c r="CE316" s="9" t="s">
        <v>3027</v>
      </c>
      <c r="CF316" s="9" t="s">
        <v>3027</v>
      </c>
      <c r="CG316" s="9" t="s">
        <v>3027</v>
      </c>
      <c r="CH316" s="9" t="s">
        <v>3027</v>
      </c>
      <c r="CI316" s="9" t="s">
        <v>3027</v>
      </c>
      <c r="CJ316" s="9" t="s">
        <v>3027</v>
      </c>
      <c r="CK316" s="9" t="s">
        <v>3027</v>
      </c>
      <c r="CL316" s="9" t="s">
        <v>3027</v>
      </c>
      <c r="CM316" s="9" t="s">
        <v>3027</v>
      </c>
      <c r="CN316" s="9" t="s">
        <v>3027</v>
      </c>
      <c r="CO316" s="9" t="s">
        <v>3027</v>
      </c>
      <c r="CP316" s="9" t="s">
        <v>3027</v>
      </c>
      <c r="CQ316" s="9" t="s">
        <v>3027</v>
      </c>
      <c r="CR316" s="9" t="s">
        <v>3027</v>
      </c>
      <c r="CS316" s="9" t="s">
        <v>3027</v>
      </c>
      <c r="CT316" s="9" t="s">
        <v>3027</v>
      </c>
      <c r="CU316" s="9" t="s">
        <v>3027</v>
      </c>
      <c r="CV316" s="9" t="s">
        <v>3027</v>
      </c>
      <c r="CW316" s="9" t="s">
        <v>3027</v>
      </c>
      <c r="CX316" s="9" t="s">
        <v>3027</v>
      </c>
      <c r="CY316" s="9" t="s">
        <v>3027</v>
      </c>
      <c r="CZ316" s="9" t="s">
        <v>3027</v>
      </c>
      <c r="DA316" s="9" t="s">
        <v>3027</v>
      </c>
      <c r="DB316" s="9" t="s">
        <v>3027</v>
      </c>
      <c r="DC316" s="9" t="s">
        <v>3027</v>
      </c>
      <c r="DD316" s="9" t="s">
        <v>3027</v>
      </c>
      <c r="DE316" s="9" t="s">
        <v>3027</v>
      </c>
      <c r="DF316" s="9" t="s">
        <v>3027</v>
      </c>
      <c r="DG316" s="9" t="s">
        <v>3027</v>
      </c>
      <c r="DH316" s="9" t="s">
        <v>3027</v>
      </c>
      <c r="DI316" s="9" t="s">
        <v>3027</v>
      </c>
      <c r="DJ316" s="9" t="s">
        <v>3027</v>
      </c>
      <c r="DK316" s="9" t="s">
        <v>3027</v>
      </c>
      <c r="DL316" s="9" t="s">
        <v>3027</v>
      </c>
      <c r="DM316" s="9" t="s">
        <v>3027</v>
      </c>
      <c r="DN316" s="9" t="s">
        <v>3027</v>
      </c>
      <c r="DO316" s="9" t="s">
        <v>3027</v>
      </c>
      <c r="DP316" s="9" t="s">
        <v>3027</v>
      </c>
      <c r="DQ316" s="9" t="s">
        <v>3027</v>
      </c>
    </row>
    <row r="317" spans="1:121" ht="15.75" customHeight="1">
      <c r="A317" s="87" t="s">
        <v>8592</v>
      </c>
      <c r="Z317" s="9" t="s">
        <v>3027</v>
      </c>
      <c r="AA317" s="9" t="s">
        <v>3027</v>
      </c>
      <c r="AB317" s="9" t="s">
        <v>3027</v>
      </c>
      <c r="AC317" s="9" t="s">
        <v>3027</v>
      </c>
      <c r="AD317" s="9" t="s">
        <v>3027</v>
      </c>
      <c r="AE317" s="9" t="s">
        <v>3027</v>
      </c>
      <c r="AF317" s="9" t="s">
        <v>3027</v>
      </c>
      <c r="AG317" s="9" t="s">
        <v>3027</v>
      </c>
      <c r="AH317" s="9" t="s">
        <v>3027</v>
      </c>
      <c r="AI317" s="9" t="s">
        <v>3027</v>
      </c>
      <c r="AJ317" s="9" t="s">
        <v>3027</v>
      </c>
      <c r="AK317" s="9" t="s">
        <v>3027</v>
      </c>
      <c r="AL317" s="9" t="s">
        <v>3027</v>
      </c>
      <c r="AM317" s="9" t="s">
        <v>3027</v>
      </c>
      <c r="AN317" s="9" t="s">
        <v>3027</v>
      </c>
      <c r="AO317" s="9" t="s">
        <v>3027</v>
      </c>
      <c r="AP317" s="9" t="s">
        <v>3027</v>
      </c>
      <c r="AQ317" s="9" t="s">
        <v>3027</v>
      </c>
      <c r="AR317" s="9" t="s">
        <v>3027</v>
      </c>
      <c r="AS317" s="9" t="s">
        <v>3027</v>
      </c>
      <c r="AT317" s="9" t="s">
        <v>3027</v>
      </c>
      <c r="AU317" s="9" t="s">
        <v>3027</v>
      </c>
      <c r="AV317" s="9" t="s">
        <v>3027</v>
      </c>
      <c r="AW317" s="9" t="s">
        <v>3027</v>
      </c>
      <c r="AX317" s="9" t="s">
        <v>3027</v>
      </c>
      <c r="AY317" s="9" t="s">
        <v>3027</v>
      </c>
      <c r="AZ317" s="9" t="s">
        <v>3027</v>
      </c>
      <c r="BA317" s="9" t="s">
        <v>3027</v>
      </c>
      <c r="BB317" s="9" t="s">
        <v>2874</v>
      </c>
      <c r="BC317" s="9" t="s">
        <v>2874</v>
      </c>
      <c r="BD317" s="9" t="s">
        <v>2874</v>
      </c>
      <c r="BE317" s="9" t="s">
        <v>2874</v>
      </c>
      <c r="BF317" s="9" t="s">
        <v>2874</v>
      </c>
      <c r="BG317" s="9" t="s">
        <v>2874</v>
      </c>
      <c r="BH317" s="9" t="s">
        <v>2874</v>
      </c>
      <c r="BI317" s="9" t="s">
        <v>2874</v>
      </c>
      <c r="BJ317" s="9" t="s">
        <v>2874</v>
      </c>
      <c r="BK317" s="9" t="s">
        <v>2874</v>
      </c>
      <c r="BL317" s="9" t="s">
        <v>2874</v>
      </c>
      <c r="BM317" s="9" t="s">
        <v>2874</v>
      </c>
      <c r="BN317" s="9" t="s">
        <v>2874</v>
      </c>
      <c r="BO317" s="9" t="s">
        <v>2874</v>
      </c>
      <c r="BP317" s="9" t="s">
        <v>2874</v>
      </c>
      <c r="BQ317" s="9" t="s">
        <v>2874</v>
      </c>
      <c r="BR317" s="9" t="s">
        <v>2874</v>
      </c>
      <c r="BS317" s="9" t="s">
        <v>2874</v>
      </c>
      <c r="BT317" s="9" t="s">
        <v>2874</v>
      </c>
      <c r="BU317" s="9" t="s">
        <v>2874</v>
      </c>
      <c r="BV317" s="9" t="s">
        <v>2874</v>
      </c>
      <c r="BW317" s="9" t="s">
        <v>2874</v>
      </c>
      <c r="BX317" s="9" t="s">
        <v>2874</v>
      </c>
      <c r="BY317" s="9" t="s">
        <v>2874</v>
      </c>
      <c r="BZ317" s="9" t="s">
        <v>2874</v>
      </c>
      <c r="CA317" s="9" t="s">
        <v>2874</v>
      </c>
      <c r="CB317" s="9" t="s">
        <v>2874</v>
      </c>
      <c r="CC317" s="9" t="s">
        <v>2874</v>
      </c>
      <c r="CD317" s="9" t="s">
        <v>2874</v>
      </c>
      <c r="CE317" s="9" t="s">
        <v>2874</v>
      </c>
      <c r="CF317" s="9" t="s">
        <v>2874</v>
      </c>
      <c r="CG317" s="9" t="s">
        <v>2874</v>
      </c>
      <c r="CH317" s="9" t="s">
        <v>2874</v>
      </c>
      <c r="CI317" s="9" t="s">
        <v>2874</v>
      </c>
      <c r="CJ317" s="9" t="s">
        <v>2874</v>
      </c>
      <c r="CK317" s="9" t="s">
        <v>2874</v>
      </c>
      <c r="CL317" s="9" t="s">
        <v>2874</v>
      </c>
      <c r="CM317" s="9" t="s">
        <v>2874</v>
      </c>
      <c r="CN317" s="9" t="s">
        <v>2874</v>
      </c>
      <c r="CO317" s="9" t="s">
        <v>2874</v>
      </c>
      <c r="CP317" s="9" t="s">
        <v>2874</v>
      </c>
      <c r="CQ317" s="9" t="s">
        <v>2874</v>
      </c>
      <c r="CR317" s="9" t="s">
        <v>2874</v>
      </c>
      <c r="CS317" s="9" t="s">
        <v>2874</v>
      </c>
      <c r="CT317" s="9" t="s">
        <v>2874</v>
      </c>
      <c r="CU317" s="9" t="s">
        <v>2874</v>
      </c>
      <c r="CV317" s="9" t="s">
        <v>2874</v>
      </c>
      <c r="CW317" s="9" t="s">
        <v>2874</v>
      </c>
      <c r="CX317" s="9" t="s">
        <v>2874</v>
      </c>
      <c r="CY317" s="9" t="s">
        <v>2874</v>
      </c>
      <c r="CZ317" s="9" t="s">
        <v>2874</v>
      </c>
      <c r="DA317" s="9" t="s">
        <v>2874</v>
      </c>
      <c r="DB317" s="9" t="s">
        <v>2874</v>
      </c>
      <c r="DC317" s="9" t="s">
        <v>2874</v>
      </c>
      <c r="DD317" s="9" t="s">
        <v>2874</v>
      </c>
      <c r="DE317" s="9" t="s">
        <v>2874</v>
      </c>
      <c r="DF317" s="9" t="s">
        <v>2874</v>
      </c>
      <c r="DG317" s="9" t="s">
        <v>2874</v>
      </c>
      <c r="DH317" s="9" t="s">
        <v>2874</v>
      </c>
      <c r="DI317" s="9" t="s">
        <v>2874</v>
      </c>
      <c r="DJ317" s="9" t="s">
        <v>2874</v>
      </c>
      <c r="DK317" s="9" t="s">
        <v>2874</v>
      </c>
      <c r="DL317" s="9" t="s">
        <v>2874</v>
      </c>
      <c r="DM317" s="9" t="s">
        <v>2874</v>
      </c>
      <c r="DN317" s="9" t="s">
        <v>2874</v>
      </c>
      <c r="DO317" s="9" t="s">
        <v>2874</v>
      </c>
      <c r="DP317" s="9" t="s">
        <v>2874</v>
      </c>
      <c r="DQ317" s="9" t="s">
        <v>2874</v>
      </c>
    </row>
    <row r="318" spans="1:121" ht="15.75" customHeight="1">
      <c r="A318" s="87" t="s">
        <v>8593</v>
      </c>
      <c r="Z318" s="9" t="s">
        <v>2874</v>
      </c>
      <c r="AA318" s="9" t="s">
        <v>2874</v>
      </c>
      <c r="AB318" s="9" t="s">
        <v>2874</v>
      </c>
      <c r="AC318" s="9" t="s">
        <v>2874</v>
      </c>
      <c r="AD318" s="9" t="s">
        <v>2874</v>
      </c>
      <c r="AE318" s="9" t="s">
        <v>2874</v>
      </c>
      <c r="AF318" s="9" t="s">
        <v>2874</v>
      </c>
      <c r="AG318" s="9" t="s">
        <v>2874</v>
      </c>
      <c r="AH318" s="9" t="s">
        <v>2874</v>
      </c>
      <c r="AI318" s="9" t="s">
        <v>2874</v>
      </c>
      <c r="AJ318" s="9" t="s">
        <v>2874</v>
      </c>
      <c r="AK318" s="9" t="s">
        <v>2874</v>
      </c>
      <c r="AL318" s="9" t="s">
        <v>2977</v>
      </c>
      <c r="AM318" s="9" t="s">
        <v>2977</v>
      </c>
      <c r="AN318" s="9" t="s">
        <v>2977</v>
      </c>
      <c r="AO318" s="9" t="s">
        <v>2977</v>
      </c>
      <c r="AP318" s="9" t="s">
        <v>2977</v>
      </c>
      <c r="AQ318" s="9" t="s">
        <v>2977</v>
      </c>
      <c r="AR318" s="9" t="s">
        <v>2977</v>
      </c>
      <c r="AS318" s="9" t="s">
        <v>2977</v>
      </c>
      <c r="AT318" s="9" t="s">
        <v>2977</v>
      </c>
      <c r="AU318" s="9" t="s">
        <v>2977</v>
      </c>
      <c r="AV318" s="9" t="s">
        <v>2977</v>
      </c>
      <c r="AW318" s="9" t="s">
        <v>2977</v>
      </c>
      <c r="AX318" s="9" t="s">
        <v>2977</v>
      </c>
      <c r="AY318" s="9" t="s">
        <v>2977</v>
      </c>
      <c r="AZ318" s="9" t="s">
        <v>3007</v>
      </c>
      <c r="BA318" s="9" t="s">
        <v>3007</v>
      </c>
      <c r="BB318" s="9" t="s">
        <v>3007</v>
      </c>
      <c r="BC318" s="9" t="s">
        <v>3007</v>
      </c>
      <c r="BD318" s="9" t="s">
        <v>3007</v>
      </c>
      <c r="BE318" s="9" t="s">
        <v>3007</v>
      </c>
      <c r="BF318" s="9" t="s">
        <v>3007</v>
      </c>
      <c r="BG318" s="9" t="s">
        <v>3007</v>
      </c>
      <c r="BH318" s="9" t="s">
        <v>3007</v>
      </c>
      <c r="BI318" s="9" t="s">
        <v>3007</v>
      </c>
      <c r="BJ318" s="9" t="s">
        <v>3007</v>
      </c>
      <c r="BK318" s="9" t="s">
        <v>3007</v>
      </c>
      <c r="BL318" s="9" t="s">
        <v>3007</v>
      </c>
      <c r="BM318" s="9" t="s">
        <v>3007</v>
      </c>
      <c r="BN318" s="9" t="s">
        <v>3007</v>
      </c>
      <c r="BO318" s="9" t="s">
        <v>3007</v>
      </c>
      <c r="BP318" s="9" t="s">
        <v>3007</v>
      </c>
      <c r="BQ318" s="9" t="s">
        <v>3007</v>
      </c>
      <c r="BR318" s="9" t="s">
        <v>3007</v>
      </c>
      <c r="BS318" s="9" t="s">
        <v>3007</v>
      </c>
      <c r="BT318" s="9" t="s">
        <v>3007</v>
      </c>
      <c r="BU318" s="9" t="s">
        <v>3007</v>
      </c>
      <c r="BV318" s="9" t="s">
        <v>3007</v>
      </c>
      <c r="BW318" s="9" t="s">
        <v>3007</v>
      </c>
      <c r="BX318" s="9" t="s">
        <v>3007</v>
      </c>
      <c r="BY318" s="9" t="s">
        <v>3007</v>
      </c>
      <c r="BZ318" s="9" t="s">
        <v>3007</v>
      </c>
      <c r="CA318" s="9" t="s">
        <v>3007</v>
      </c>
      <c r="CB318" s="9" t="s">
        <v>3007</v>
      </c>
      <c r="CC318" s="9" t="s">
        <v>3007</v>
      </c>
      <c r="CD318" s="9" t="s">
        <v>3007</v>
      </c>
      <c r="CE318" s="9" t="s">
        <v>3007</v>
      </c>
      <c r="CF318" s="9" t="s">
        <v>3007</v>
      </c>
      <c r="CG318" s="9" t="s">
        <v>3007</v>
      </c>
      <c r="CH318" s="9" t="s">
        <v>3007</v>
      </c>
      <c r="CI318" s="9" t="s">
        <v>3007</v>
      </c>
      <c r="CJ318" s="9" t="s">
        <v>3007</v>
      </c>
      <c r="CK318" s="9" t="s">
        <v>3007</v>
      </c>
      <c r="CL318" s="9" t="s">
        <v>3007</v>
      </c>
      <c r="CM318" s="9" t="s">
        <v>3007</v>
      </c>
      <c r="CN318" s="9" t="s">
        <v>3007</v>
      </c>
      <c r="CO318" s="9" t="s">
        <v>3007</v>
      </c>
      <c r="CP318" s="9" t="s">
        <v>3007</v>
      </c>
      <c r="CQ318" s="9" t="s">
        <v>3007</v>
      </c>
      <c r="CR318" s="9" t="s">
        <v>3007</v>
      </c>
      <c r="CS318" s="9" t="s">
        <v>3007</v>
      </c>
      <c r="CT318" s="9" t="s">
        <v>3007</v>
      </c>
      <c r="CU318" s="9" t="s">
        <v>3007</v>
      </c>
      <c r="CV318" s="9" t="s">
        <v>3007</v>
      </c>
      <c r="CW318" s="9" t="s">
        <v>3007</v>
      </c>
      <c r="CX318" s="9" t="s">
        <v>3007</v>
      </c>
      <c r="CY318" s="9" t="s">
        <v>3007</v>
      </c>
      <c r="CZ318" s="9" t="s">
        <v>3007</v>
      </c>
      <c r="DA318" s="9" t="s">
        <v>3007</v>
      </c>
      <c r="DB318" s="9" t="s">
        <v>3007</v>
      </c>
      <c r="DC318" s="9" t="s">
        <v>3007</v>
      </c>
      <c r="DD318" s="9" t="s">
        <v>3007</v>
      </c>
      <c r="DE318" s="9" t="s">
        <v>3007</v>
      </c>
      <c r="DF318" s="9" t="s">
        <v>3007</v>
      </c>
      <c r="DG318" s="9" t="s">
        <v>3007</v>
      </c>
      <c r="DH318" s="9" t="s">
        <v>3007</v>
      </c>
      <c r="DI318" s="9" t="s">
        <v>3007</v>
      </c>
      <c r="DJ318" s="9" t="s">
        <v>3007</v>
      </c>
      <c r="DK318" s="9" t="s">
        <v>3007</v>
      </c>
      <c r="DL318" s="9" t="s">
        <v>3007</v>
      </c>
      <c r="DM318" s="9" t="s">
        <v>3007</v>
      </c>
      <c r="DN318" s="9" t="s">
        <v>3007</v>
      </c>
      <c r="DO318" s="9" t="s">
        <v>3007</v>
      </c>
      <c r="DP318" s="9" t="s">
        <v>3007</v>
      </c>
      <c r="DQ318" s="9" t="s">
        <v>3007</v>
      </c>
    </row>
    <row r="319" spans="1:121" ht="15.75" customHeight="1">
      <c r="A319" s="87" t="s">
        <v>8594</v>
      </c>
      <c r="Z319" s="9" t="s">
        <v>3007</v>
      </c>
      <c r="AA319" s="9" t="s">
        <v>3007</v>
      </c>
      <c r="AB319" s="9" t="s">
        <v>3007</v>
      </c>
      <c r="AC319" s="9" t="s">
        <v>3007</v>
      </c>
      <c r="AD319" s="9" t="s">
        <v>3007</v>
      </c>
      <c r="AE319" s="9" t="s">
        <v>3007</v>
      </c>
      <c r="AF319" s="9" t="s">
        <v>3007</v>
      </c>
      <c r="AG319" s="9" t="s">
        <v>3007</v>
      </c>
      <c r="AH319" s="9" t="s">
        <v>3007</v>
      </c>
      <c r="AI319" s="9" t="s">
        <v>3007</v>
      </c>
      <c r="AJ319" s="9" t="s">
        <v>3007</v>
      </c>
      <c r="AK319" s="9" t="s">
        <v>3007</v>
      </c>
      <c r="AL319" s="9" t="s">
        <v>3007</v>
      </c>
      <c r="AM319" s="9" t="s">
        <v>3007</v>
      </c>
      <c r="AN319" s="9" t="s">
        <v>3007</v>
      </c>
      <c r="AO319" s="9" t="s">
        <v>3007</v>
      </c>
      <c r="AP319" s="9" t="s">
        <v>3007</v>
      </c>
      <c r="AQ319" s="9" t="s">
        <v>3007</v>
      </c>
      <c r="AR319" s="9" t="s">
        <v>3007</v>
      </c>
      <c r="AS319" s="9" t="s">
        <v>3007</v>
      </c>
      <c r="AT319" s="9" t="s">
        <v>3007</v>
      </c>
      <c r="AU319" s="9" t="s">
        <v>3007</v>
      </c>
      <c r="AV319" s="9" t="s">
        <v>3007</v>
      </c>
      <c r="AW319" s="9" t="s">
        <v>3007</v>
      </c>
      <c r="AX319" s="9" t="s">
        <v>3007</v>
      </c>
      <c r="AY319" s="9" t="s">
        <v>3007</v>
      </c>
      <c r="AZ319" s="9" t="s">
        <v>3007</v>
      </c>
      <c r="BA319" s="9" t="s">
        <v>3007</v>
      </c>
      <c r="BB319" s="9" t="s">
        <v>3007</v>
      </c>
      <c r="BC319" s="9" t="s">
        <v>3007</v>
      </c>
      <c r="BD319" s="9" t="s">
        <v>3007</v>
      </c>
      <c r="BE319" s="9" t="s">
        <v>3007</v>
      </c>
      <c r="BF319" s="9" t="s">
        <v>3007</v>
      </c>
      <c r="BG319" s="9" t="s">
        <v>3007</v>
      </c>
      <c r="BH319" s="9" t="s">
        <v>3007</v>
      </c>
      <c r="BI319" s="9" t="s">
        <v>3007</v>
      </c>
      <c r="BJ319" s="9" t="s">
        <v>3007</v>
      </c>
      <c r="BK319" s="9" t="s">
        <v>3007</v>
      </c>
      <c r="BL319" s="9" t="s">
        <v>3007</v>
      </c>
      <c r="BM319" s="9" t="s">
        <v>3007</v>
      </c>
      <c r="BN319" s="9" t="s">
        <v>3007</v>
      </c>
      <c r="BO319" s="9" t="s">
        <v>3007</v>
      </c>
      <c r="BP319" s="9" t="s">
        <v>3007</v>
      </c>
      <c r="BQ319" s="9" t="s">
        <v>3007</v>
      </c>
      <c r="BR319" s="9" t="s">
        <v>3007</v>
      </c>
      <c r="BS319" s="9" t="s">
        <v>3007</v>
      </c>
      <c r="BT319" s="9" t="s">
        <v>3007</v>
      </c>
      <c r="BU319" s="9" t="s">
        <v>3007</v>
      </c>
      <c r="BV319" s="9" t="s">
        <v>3007</v>
      </c>
      <c r="BW319" s="9" t="s">
        <v>3007</v>
      </c>
      <c r="BX319" s="9" t="s">
        <v>2852</v>
      </c>
      <c r="BY319" s="9" t="s">
        <v>2852</v>
      </c>
      <c r="BZ319" s="9" t="s">
        <v>2852</v>
      </c>
      <c r="CA319" s="9" t="s">
        <v>2852</v>
      </c>
      <c r="CB319" s="9" t="s">
        <v>2852</v>
      </c>
      <c r="CC319" s="9" t="s">
        <v>2852</v>
      </c>
      <c r="CD319" s="9" t="s">
        <v>2852</v>
      </c>
      <c r="CE319" s="9" t="s">
        <v>2852</v>
      </c>
      <c r="CF319" s="9" t="s">
        <v>2852</v>
      </c>
      <c r="CG319" s="9" t="s">
        <v>2852</v>
      </c>
      <c r="CH319" s="9" t="s">
        <v>2852</v>
      </c>
      <c r="CI319" s="9" t="s">
        <v>2852</v>
      </c>
      <c r="CJ319" s="9" t="s">
        <v>2852</v>
      </c>
      <c r="CK319" s="9" t="s">
        <v>2852</v>
      </c>
      <c r="CL319" s="9" t="s">
        <v>2852</v>
      </c>
      <c r="CM319" s="9" t="s">
        <v>2852</v>
      </c>
      <c r="CN319" s="9" t="s">
        <v>2852</v>
      </c>
      <c r="CO319" s="9" t="s">
        <v>2852</v>
      </c>
      <c r="CP319" s="9" t="s">
        <v>2852</v>
      </c>
      <c r="CQ319" s="9" t="s">
        <v>2852</v>
      </c>
      <c r="CR319" s="9" t="s">
        <v>2852</v>
      </c>
      <c r="CS319" s="9" t="s">
        <v>2852</v>
      </c>
      <c r="CT319" s="9" t="s">
        <v>2852</v>
      </c>
      <c r="CU319" s="9" t="s">
        <v>2852</v>
      </c>
      <c r="CV319" s="9" t="s">
        <v>2852</v>
      </c>
      <c r="CW319" s="9" t="s">
        <v>2852</v>
      </c>
      <c r="CX319" s="9" t="s">
        <v>2852</v>
      </c>
      <c r="CY319" s="9" t="s">
        <v>2852</v>
      </c>
      <c r="CZ319" s="9" t="s">
        <v>2852</v>
      </c>
      <c r="DA319" s="9" t="s">
        <v>2852</v>
      </c>
      <c r="DB319" s="9" t="s">
        <v>2852</v>
      </c>
      <c r="DC319" s="9" t="s">
        <v>2852</v>
      </c>
      <c r="DD319" s="9" t="s">
        <v>2852</v>
      </c>
      <c r="DE319" s="9" t="s">
        <v>2852</v>
      </c>
      <c r="DF319" s="9" t="s">
        <v>2852</v>
      </c>
      <c r="DG319" s="9" t="s">
        <v>2852</v>
      </c>
      <c r="DH319" s="9" t="s">
        <v>3008</v>
      </c>
      <c r="DI319" s="9" t="s">
        <v>3008</v>
      </c>
      <c r="DJ319" s="9" t="s">
        <v>3008</v>
      </c>
      <c r="DK319" s="9" t="s">
        <v>3008</v>
      </c>
      <c r="DL319" s="9" t="s">
        <v>3008</v>
      </c>
      <c r="DM319" s="9" t="s">
        <v>3008</v>
      </c>
      <c r="DN319" s="9" t="s">
        <v>3008</v>
      </c>
      <c r="DO319" s="9" t="s">
        <v>3008</v>
      </c>
      <c r="DP319" s="9" t="s">
        <v>3008</v>
      </c>
      <c r="DQ319" s="9" t="s">
        <v>3008</v>
      </c>
    </row>
    <row r="320" spans="1:121" ht="15.75" customHeight="1">
      <c r="A320" s="87" t="s">
        <v>8595</v>
      </c>
      <c r="Z320" s="9" t="s">
        <v>3008</v>
      </c>
      <c r="AA320" s="9" t="s">
        <v>3008</v>
      </c>
      <c r="AB320" s="9" t="s">
        <v>3008</v>
      </c>
      <c r="AC320" s="9" t="s">
        <v>3008</v>
      </c>
      <c r="AD320" s="9" t="s">
        <v>3008</v>
      </c>
      <c r="AE320" s="9" t="s">
        <v>3008</v>
      </c>
      <c r="AF320" s="9" t="s">
        <v>3008</v>
      </c>
      <c r="AG320" s="9" t="s">
        <v>3008</v>
      </c>
      <c r="AH320" s="9" t="s">
        <v>3008</v>
      </c>
      <c r="AI320" s="9" t="s">
        <v>3008</v>
      </c>
      <c r="AJ320" s="9" t="s">
        <v>3008</v>
      </c>
      <c r="AK320" s="9" t="s">
        <v>3008</v>
      </c>
      <c r="AL320" s="9" t="s">
        <v>3008</v>
      </c>
      <c r="AM320" s="9" t="s">
        <v>3008</v>
      </c>
      <c r="AN320" s="9" t="s">
        <v>3008</v>
      </c>
      <c r="AO320" s="9" t="s">
        <v>3008</v>
      </c>
      <c r="AP320" s="9" t="s">
        <v>3008</v>
      </c>
      <c r="AQ320" s="9" t="s">
        <v>3008</v>
      </c>
      <c r="AR320" s="9" t="s">
        <v>3008</v>
      </c>
      <c r="AS320" s="9" t="s">
        <v>3008</v>
      </c>
      <c r="AT320" s="9" t="s">
        <v>3008</v>
      </c>
      <c r="AU320" s="9" t="s">
        <v>3008</v>
      </c>
      <c r="AV320" s="9" t="s">
        <v>3008</v>
      </c>
      <c r="AW320" s="9" t="s">
        <v>3008</v>
      </c>
      <c r="AX320" s="9" t="s">
        <v>3008</v>
      </c>
      <c r="AY320" s="9" t="s">
        <v>3008</v>
      </c>
      <c r="AZ320" s="9" t="s">
        <v>3008</v>
      </c>
      <c r="BA320" s="9" t="s">
        <v>3008</v>
      </c>
      <c r="BB320" s="9" t="s">
        <v>3008</v>
      </c>
      <c r="BC320" s="9" t="s">
        <v>3008</v>
      </c>
      <c r="BD320" s="9" t="s">
        <v>3008</v>
      </c>
      <c r="BE320" s="9" t="s">
        <v>3008</v>
      </c>
      <c r="BF320" s="9" t="s">
        <v>3008</v>
      </c>
      <c r="BG320" s="9" t="s">
        <v>3008</v>
      </c>
      <c r="BH320" s="9" t="s">
        <v>3008</v>
      </c>
      <c r="BI320" s="9" t="s">
        <v>3008</v>
      </c>
      <c r="BJ320" s="9" t="s">
        <v>3008</v>
      </c>
      <c r="BK320" s="9" t="s">
        <v>3008</v>
      </c>
      <c r="BL320" s="9" t="s">
        <v>3008</v>
      </c>
      <c r="BM320" s="9" t="s">
        <v>3008</v>
      </c>
      <c r="BN320" s="9" t="s">
        <v>3008</v>
      </c>
      <c r="BO320" s="9" t="s">
        <v>3008</v>
      </c>
      <c r="BP320" s="9" t="s">
        <v>3008</v>
      </c>
      <c r="BQ320" s="9" t="s">
        <v>3008</v>
      </c>
      <c r="BR320" s="9" t="s">
        <v>3008</v>
      </c>
      <c r="BS320" s="9" t="s">
        <v>3008</v>
      </c>
      <c r="BT320" s="9" t="s">
        <v>3008</v>
      </c>
      <c r="BU320" s="9" t="s">
        <v>3008</v>
      </c>
      <c r="BV320" s="9" t="s">
        <v>3008</v>
      </c>
      <c r="BW320" s="9" t="s">
        <v>3008</v>
      </c>
      <c r="BX320" s="9" t="s">
        <v>3008</v>
      </c>
      <c r="BY320" s="9" t="s">
        <v>3008</v>
      </c>
      <c r="BZ320" s="9" t="s">
        <v>3008</v>
      </c>
      <c r="CA320" s="9" t="s">
        <v>3008</v>
      </c>
      <c r="CB320" s="9" t="s">
        <v>3008</v>
      </c>
      <c r="CC320" s="9" t="s">
        <v>3008</v>
      </c>
      <c r="CD320" s="9" t="s">
        <v>3008</v>
      </c>
      <c r="CE320" s="9" t="s">
        <v>3008</v>
      </c>
      <c r="CF320" s="9" t="s">
        <v>3008</v>
      </c>
      <c r="CG320" s="9" t="s">
        <v>3008</v>
      </c>
      <c r="CH320" s="9" t="s">
        <v>3008</v>
      </c>
      <c r="CI320" s="9" t="s">
        <v>3008</v>
      </c>
      <c r="CJ320" s="9" t="s">
        <v>3008</v>
      </c>
      <c r="CK320" s="9" t="s">
        <v>3008</v>
      </c>
      <c r="CL320" s="9" t="s">
        <v>3008</v>
      </c>
      <c r="CM320" s="9" t="s">
        <v>3008</v>
      </c>
      <c r="CN320" s="9" t="s">
        <v>3008</v>
      </c>
      <c r="CO320" s="9" t="s">
        <v>3008</v>
      </c>
      <c r="CP320" s="9" t="s">
        <v>2876</v>
      </c>
      <c r="CQ320" s="9" t="s">
        <v>2876</v>
      </c>
      <c r="CR320" s="9" t="s">
        <v>2876</v>
      </c>
      <c r="CS320" s="9" t="s">
        <v>2876</v>
      </c>
      <c r="CT320" s="9" t="s">
        <v>2876</v>
      </c>
      <c r="CU320" s="9" t="s">
        <v>2876</v>
      </c>
      <c r="CV320" s="9" t="s">
        <v>2876</v>
      </c>
      <c r="CW320" s="9" t="s">
        <v>2876</v>
      </c>
      <c r="CX320" s="9" t="s">
        <v>2876</v>
      </c>
      <c r="CY320" s="9" t="s">
        <v>2876</v>
      </c>
      <c r="CZ320" s="9" t="s">
        <v>2876</v>
      </c>
      <c r="DA320" s="9" t="s">
        <v>2876</v>
      </c>
      <c r="DB320" s="9" t="s">
        <v>2876</v>
      </c>
      <c r="DC320" s="9" t="s">
        <v>2876</v>
      </c>
      <c r="DD320" s="9" t="s">
        <v>2876</v>
      </c>
      <c r="DE320" s="9" t="s">
        <v>2876</v>
      </c>
      <c r="DF320" s="9" t="s">
        <v>2876</v>
      </c>
      <c r="DG320" s="9" t="s">
        <v>2876</v>
      </c>
      <c r="DH320" s="9" t="s">
        <v>2876</v>
      </c>
      <c r="DI320" s="9" t="s">
        <v>2876</v>
      </c>
      <c r="DJ320" s="9" t="s">
        <v>2876</v>
      </c>
      <c r="DK320" s="9" t="s">
        <v>2876</v>
      </c>
      <c r="DL320" s="9" t="s">
        <v>2876</v>
      </c>
      <c r="DM320" s="9" t="s">
        <v>2876</v>
      </c>
      <c r="DN320" s="9" t="s">
        <v>2876</v>
      </c>
      <c r="DO320" s="9" t="s">
        <v>2876</v>
      </c>
      <c r="DP320" s="9" t="s">
        <v>2876</v>
      </c>
      <c r="DQ320" s="9" t="s">
        <v>2876</v>
      </c>
    </row>
    <row r="321" spans="1:121" ht="15.75" customHeight="1">
      <c r="A321" s="87" t="s">
        <v>8596</v>
      </c>
      <c r="Z321" s="9" t="s">
        <v>2876</v>
      </c>
      <c r="AA321" s="9" t="s">
        <v>2876</v>
      </c>
      <c r="AB321" s="9" t="s">
        <v>2876</v>
      </c>
      <c r="AC321" s="9" t="s">
        <v>2876</v>
      </c>
      <c r="AD321" s="9" t="s">
        <v>2876</v>
      </c>
      <c r="AE321" s="9" t="s">
        <v>2876</v>
      </c>
      <c r="AF321" s="9" t="s">
        <v>2876</v>
      </c>
      <c r="AG321" s="9" t="s">
        <v>2876</v>
      </c>
      <c r="AH321" s="9" t="s">
        <v>2876</v>
      </c>
      <c r="AI321" s="9" t="s">
        <v>2876</v>
      </c>
      <c r="AJ321" s="9" t="s">
        <v>2876</v>
      </c>
      <c r="AK321" s="9" t="s">
        <v>2876</v>
      </c>
      <c r="AL321" s="9" t="s">
        <v>2876</v>
      </c>
      <c r="AM321" s="9" t="s">
        <v>2876</v>
      </c>
      <c r="AN321" s="9" t="s">
        <v>2876</v>
      </c>
      <c r="AO321" s="9" t="s">
        <v>2876</v>
      </c>
      <c r="AP321" s="9" t="s">
        <v>2876</v>
      </c>
      <c r="AQ321" s="9" t="s">
        <v>2876</v>
      </c>
      <c r="AR321" s="9" t="s">
        <v>2876</v>
      </c>
      <c r="AS321" s="9" t="s">
        <v>2876</v>
      </c>
      <c r="AT321" s="9" t="s">
        <v>2876</v>
      </c>
      <c r="AU321" s="9" t="s">
        <v>2876</v>
      </c>
      <c r="AV321" s="9" t="s">
        <v>2876</v>
      </c>
      <c r="AW321" s="9" t="s">
        <v>2876</v>
      </c>
      <c r="AX321" s="9" t="s">
        <v>2876</v>
      </c>
      <c r="AY321" s="9" t="s">
        <v>2876</v>
      </c>
      <c r="AZ321" s="9" t="s">
        <v>2876</v>
      </c>
      <c r="BA321" s="9" t="s">
        <v>2876</v>
      </c>
      <c r="BB321" s="9" t="s">
        <v>2876</v>
      </c>
      <c r="BC321" s="9" t="s">
        <v>2876</v>
      </c>
      <c r="BD321" s="9" t="s">
        <v>2876</v>
      </c>
      <c r="BE321" s="9" t="s">
        <v>2876</v>
      </c>
      <c r="BF321" s="9" t="s">
        <v>2876</v>
      </c>
      <c r="BG321" s="9" t="s">
        <v>2876</v>
      </c>
      <c r="BH321" s="9" t="s">
        <v>2876</v>
      </c>
      <c r="BI321" s="9" t="s">
        <v>2876</v>
      </c>
      <c r="BJ321" s="9" t="s">
        <v>2876</v>
      </c>
      <c r="BK321" s="9" t="s">
        <v>2876</v>
      </c>
      <c r="BL321" s="9" t="s">
        <v>2876</v>
      </c>
      <c r="BM321" s="9" t="s">
        <v>2876</v>
      </c>
      <c r="BN321" s="9" t="s">
        <v>2876</v>
      </c>
      <c r="BO321" s="9" t="s">
        <v>2876</v>
      </c>
      <c r="BP321" s="9" t="s">
        <v>2876</v>
      </c>
      <c r="BQ321" s="9" t="s">
        <v>2876</v>
      </c>
      <c r="BR321" s="9" t="s">
        <v>2876</v>
      </c>
      <c r="BS321" s="9" t="s">
        <v>2876</v>
      </c>
      <c r="BT321" s="9" t="s">
        <v>2876</v>
      </c>
      <c r="BU321" s="9" t="s">
        <v>2876</v>
      </c>
      <c r="BV321" s="9" t="s">
        <v>2876</v>
      </c>
      <c r="BW321" s="9" t="s">
        <v>2876</v>
      </c>
      <c r="BX321" s="9" t="s">
        <v>2876</v>
      </c>
      <c r="BY321" s="9" t="s">
        <v>2876</v>
      </c>
      <c r="BZ321" s="9" t="s">
        <v>2846</v>
      </c>
      <c r="CA321" s="9" t="s">
        <v>2846</v>
      </c>
      <c r="CB321" s="9" t="s">
        <v>2846</v>
      </c>
      <c r="CC321" s="9" t="s">
        <v>2846</v>
      </c>
      <c r="CD321" s="9" t="s">
        <v>2846</v>
      </c>
      <c r="CE321" s="9" t="s">
        <v>2846</v>
      </c>
      <c r="CF321" s="9" t="s">
        <v>2846</v>
      </c>
      <c r="CG321" s="9" t="s">
        <v>2846</v>
      </c>
      <c r="CH321" s="9" t="s">
        <v>2846</v>
      </c>
      <c r="CI321" s="9" t="s">
        <v>2846</v>
      </c>
      <c r="CJ321" s="9" t="s">
        <v>2846</v>
      </c>
      <c r="CK321" s="9" t="s">
        <v>2846</v>
      </c>
      <c r="CL321" s="9" t="s">
        <v>2846</v>
      </c>
      <c r="CM321" s="9" t="s">
        <v>2846</v>
      </c>
      <c r="CN321" s="9" t="s">
        <v>2846</v>
      </c>
      <c r="CO321" s="9" t="s">
        <v>2846</v>
      </c>
      <c r="CP321" s="9" t="s">
        <v>2846</v>
      </c>
      <c r="CQ321" s="9" t="s">
        <v>2846</v>
      </c>
      <c r="CR321" s="9" t="s">
        <v>2846</v>
      </c>
      <c r="CS321" s="9" t="s">
        <v>2846</v>
      </c>
      <c r="CT321" s="9" t="s">
        <v>2846</v>
      </c>
      <c r="CU321" s="9" t="s">
        <v>2846</v>
      </c>
      <c r="CV321" s="9" t="s">
        <v>2846</v>
      </c>
      <c r="CW321" s="9" t="s">
        <v>2846</v>
      </c>
      <c r="CX321" s="9" t="s">
        <v>2846</v>
      </c>
      <c r="CY321" s="9" t="s">
        <v>2846</v>
      </c>
      <c r="CZ321" s="9" t="s">
        <v>2846</v>
      </c>
      <c r="DA321" s="9" t="s">
        <v>2846</v>
      </c>
      <c r="DB321" s="9" t="s">
        <v>2846</v>
      </c>
      <c r="DC321" s="9" t="s">
        <v>2846</v>
      </c>
      <c r="DD321" s="9" t="s">
        <v>2846</v>
      </c>
      <c r="DE321" s="9" t="s">
        <v>2846</v>
      </c>
      <c r="DF321" s="9" t="s">
        <v>2846</v>
      </c>
      <c r="DG321" s="9" t="s">
        <v>2846</v>
      </c>
      <c r="DH321" s="9" t="s">
        <v>2846</v>
      </c>
      <c r="DI321" s="9" t="s">
        <v>2846</v>
      </c>
      <c r="DJ321" s="9" t="s">
        <v>2846</v>
      </c>
      <c r="DK321" s="9" t="s">
        <v>2846</v>
      </c>
      <c r="DL321" s="9" t="s">
        <v>2846</v>
      </c>
      <c r="DM321" s="9" t="s">
        <v>2846</v>
      </c>
      <c r="DN321" s="9" t="s">
        <v>2880</v>
      </c>
      <c r="DO321" s="9" t="s">
        <v>2880</v>
      </c>
      <c r="DP321" s="9" t="s">
        <v>2880</v>
      </c>
      <c r="DQ321" s="9" t="s">
        <v>2912</v>
      </c>
    </row>
    <row r="322" spans="1:121" ht="15.75" customHeight="1">
      <c r="A322" s="87" t="s">
        <v>8597</v>
      </c>
      <c r="Z322" s="9" t="s">
        <v>2912</v>
      </c>
      <c r="AA322" s="9" t="s">
        <v>2912</v>
      </c>
      <c r="AB322" s="9" t="s">
        <v>2912</v>
      </c>
      <c r="AC322" s="9" t="s">
        <v>2912</v>
      </c>
      <c r="AD322" s="9" t="s">
        <v>2912</v>
      </c>
      <c r="AE322" s="9" t="s">
        <v>2912</v>
      </c>
      <c r="AF322" s="9" t="s">
        <v>2912</v>
      </c>
      <c r="AG322" s="9" t="s">
        <v>2912</v>
      </c>
      <c r="AH322" s="9" t="s">
        <v>2912</v>
      </c>
      <c r="AI322" s="9" t="s">
        <v>2912</v>
      </c>
      <c r="AJ322" s="9" t="s">
        <v>2912</v>
      </c>
      <c r="AK322" s="9" t="s">
        <v>2912</v>
      </c>
      <c r="AL322" s="9" t="s">
        <v>2912</v>
      </c>
      <c r="AM322" s="9" t="s">
        <v>2912</v>
      </c>
      <c r="AN322" s="9" t="s">
        <v>2912</v>
      </c>
      <c r="AO322" s="9" t="s">
        <v>2912</v>
      </c>
      <c r="AP322" s="9" t="s">
        <v>2912</v>
      </c>
      <c r="AQ322" s="9" t="s">
        <v>2912</v>
      </c>
      <c r="AR322" s="9" t="s">
        <v>2912</v>
      </c>
      <c r="AS322" s="9" t="s">
        <v>2912</v>
      </c>
      <c r="AT322" s="9" t="s">
        <v>2912</v>
      </c>
      <c r="AU322" s="9" t="s">
        <v>2912</v>
      </c>
      <c r="AV322" s="9" t="s">
        <v>2912</v>
      </c>
      <c r="AW322" s="9" t="s">
        <v>2912</v>
      </c>
      <c r="AX322" s="9" t="s">
        <v>2912</v>
      </c>
      <c r="AY322" s="9" t="s">
        <v>2912</v>
      </c>
      <c r="AZ322" s="9" t="s">
        <v>2912</v>
      </c>
      <c r="BA322" s="9" t="s">
        <v>2912</v>
      </c>
      <c r="BB322" s="9" t="s">
        <v>2912</v>
      </c>
      <c r="BC322" s="9" t="s">
        <v>2912</v>
      </c>
      <c r="BD322" s="9" t="s">
        <v>2912</v>
      </c>
      <c r="BE322" s="9" t="s">
        <v>2912</v>
      </c>
      <c r="BF322" s="9" t="s">
        <v>2912</v>
      </c>
      <c r="BG322" s="9" t="s">
        <v>2912</v>
      </c>
      <c r="BH322" s="9" t="s">
        <v>2912</v>
      </c>
      <c r="BI322" s="9" t="s">
        <v>2912</v>
      </c>
      <c r="BJ322" s="9" t="s">
        <v>2912</v>
      </c>
      <c r="BK322" s="9" t="s">
        <v>3014</v>
      </c>
      <c r="BL322" s="9" t="s">
        <v>3014</v>
      </c>
      <c r="BM322" s="9" t="s">
        <v>3014</v>
      </c>
      <c r="BN322" s="9" t="s">
        <v>3014</v>
      </c>
      <c r="BO322" s="9" t="s">
        <v>3014</v>
      </c>
      <c r="BP322" s="9" t="s">
        <v>3014</v>
      </c>
      <c r="BQ322" s="9" t="s">
        <v>3014</v>
      </c>
      <c r="BR322" s="9" t="s">
        <v>3014</v>
      </c>
      <c r="BS322" s="9" t="s">
        <v>3014</v>
      </c>
      <c r="BT322" s="9" t="s">
        <v>3014</v>
      </c>
      <c r="BU322" s="9" t="s">
        <v>3014</v>
      </c>
      <c r="BV322" s="9" t="s">
        <v>3014</v>
      </c>
      <c r="BW322" s="9" t="s">
        <v>3014</v>
      </c>
      <c r="BX322" s="9" t="s">
        <v>3014</v>
      </c>
      <c r="BY322" s="9" t="s">
        <v>3014</v>
      </c>
      <c r="BZ322" s="9" t="s">
        <v>3014</v>
      </c>
      <c r="CA322" s="9" t="s">
        <v>3014</v>
      </c>
      <c r="CB322" s="9" t="s">
        <v>3014</v>
      </c>
      <c r="CC322" s="9" t="s">
        <v>3014</v>
      </c>
      <c r="CD322" s="9" t="s">
        <v>3014</v>
      </c>
      <c r="CE322" s="9" t="s">
        <v>3014</v>
      </c>
      <c r="CF322" s="9" t="s">
        <v>3014</v>
      </c>
      <c r="CG322" s="9" t="s">
        <v>3014</v>
      </c>
      <c r="CH322" s="9" t="s">
        <v>3014</v>
      </c>
      <c r="CI322" s="9" t="s">
        <v>3014</v>
      </c>
      <c r="CJ322" s="9" t="s">
        <v>3014</v>
      </c>
      <c r="CK322" s="9" t="s">
        <v>3014</v>
      </c>
      <c r="CL322" s="9" t="s">
        <v>3014</v>
      </c>
      <c r="CM322" s="9" t="s">
        <v>3014</v>
      </c>
      <c r="CN322" s="9" t="s">
        <v>3014</v>
      </c>
      <c r="CO322" s="9" t="s">
        <v>3014</v>
      </c>
      <c r="CP322" s="9" t="s">
        <v>3014</v>
      </c>
      <c r="CQ322" s="9" t="s">
        <v>3014</v>
      </c>
      <c r="CR322" s="9" t="s">
        <v>3014</v>
      </c>
      <c r="CS322" s="9" t="s">
        <v>3014</v>
      </c>
      <c r="CT322" s="9" t="s">
        <v>3014</v>
      </c>
      <c r="CU322" s="9" t="s">
        <v>3014</v>
      </c>
      <c r="CV322" s="9" t="s">
        <v>3014</v>
      </c>
      <c r="CW322" s="9" t="s">
        <v>3014</v>
      </c>
      <c r="CX322" s="9" t="s">
        <v>3014</v>
      </c>
      <c r="CY322" s="9" t="s">
        <v>3014</v>
      </c>
      <c r="CZ322" s="9" t="s">
        <v>3014</v>
      </c>
      <c r="DA322" s="9" t="s">
        <v>3014</v>
      </c>
      <c r="DB322" s="9" t="s">
        <v>3014</v>
      </c>
      <c r="DC322" s="9" t="s">
        <v>3014</v>
      </c>
      <c r="DD322" s="9" t="s">
        <v>3014</v>
      </c>
      <c r="DE322" s="9" t="s">
        <v>3014</v>
      </c>
      <c r="DF322" s="9" t="s">
        <v>3014</v>
      </c>
      <c r="DG322" s="9" t="s">
        <v>3014</v>
      </c>
      <c r="DH322" s="9" t="s">
        <v>3014</v>
      </c>
      <c r="DI322" s="9" t="s">
        <v>3014</v>
      </c>
      <c r="DJ322" s="9" t="s">
        <v>3014</v>
      </c>
      <c r="DK322" s="9" t="s">
        <v>3014</v>
      </c>
      <c r="DL322" s="9" t="s">
        <v>3014</v>
      </c>
      <c r="DM322" s="9" t="s">
        <v>3014</v>
      </c>
      <c r="DN322" s="9" t="s">
        <v>3014</v>
      </c>
      <c r="DO322" s="9" t="s">
        <v>3014</v>
      </c>
      <c r="DP322" s="9" t="s">
        <v>3014</v>
      </c>
      <c r="DQ322" s="9" t="s">
        <v>3014</v>
      </c>
    </row>
    <row r="323" spans="1:121" ht="15.75" customHeight="1">
      <c r="A323" s="87" t="s">
        <v>8598</v>
      </c>
      <c r="Z323" s="9" t="s">
        <v>3014</v>
      </c>
      <c r="AA323" s="9" t="s">
        <v>3014</v>
      </c>
      <c r="AB323" s="9" t="s">
        <v>3014</v>
      </c>
      <c r="AC323" s="9" t="s">
        <v>3014</v>
      </c>
      <c r="AD323" s="9" t="s">
        <v>3014</v>
      </c>
      <c r="AE323" s="9" t="s">
        <v>3014</v>
      </c>
      <c r="AF323" s="9" t="s">
        <v>3014</v>
      </c>
      <c r="AG323" s="9" t="s">
        <v>3014</v>
      </c>
      <c r="AH323" s="9" t="s">
        <v>3014</v>
      </c>
      <c r="AI323" s="9" t="s">
        <v>3014</v>
      </c>
      <c r="AJ323" s="9" t="s">
        <v>3014</v>
      </c>
      <c r="AK323" s="9" t="s">
        <v>3014</v>
      </c>
      <c r="AL323" s="9" t="s">
        <v>3014</v>
      </c>
      <c r="AM323" s="9" t="s">
        <v>3014</v>
      </c>
      <c r="AN323" s="9" t="s">
        <v>3014</v>
      </c>
      <c r="AO323" s="9" t="s">
        <v>3014</v>
      </c>
      <c r="AP323" s="9" t="s">
        <v>3014</v>
      </c>
      <c r="AQ323" s="9" t="s">
        <v>3014</v>
      </c>
      <c r="AR323" s="9" t="s">
        <v>3014</v>
      </c>
      <c r="AS323" s="9" t="s">
        <v>3014</v>
      </c>
      <c r="AT323" s="9" t="s">
        <v>3014</v>
      </c>
      <c r="AU323" s="9" t="s">
        <v>3014</v>
      </c>
      <c r="AV323" s="9" t="s">
        <v>3014</v>
      </c>
      <c r="AW323" s="9" t="s">
        <v>3014</v>
      </c>
      <c r="AX323" s="9" t="s">
        <v>3014</v>
      </c>
      <c r="AY323" s="9" t="s">
        <v>3014</v>
      </c>
      <c r="AZ323" s="9" t="s">
        <v>3014</v>
      </c>
      <c r="BA323" s="9" t="s">
        <v>3014</v>
      </c>
      <c r="BB323" s="9" t="s">
        <v>3014</v>
      </c>
      <c r="BC323" s="9" t="s">
        <v>3014</v>
      </c>
      <c r="BD323" s="9" t="s">
        <v>3014</v>
      </c>
      <c r="BE323" s="9" t="s">
        <v>3014</v>
      </c>
      <c r="BF323" s="9" t="s">
        <v>3014</v>
      </c>
      <c r="BG323" s="9" t="s">
        <v>3014</v>
      </c>
      <c r="BH323" s="9" t="s">
        <v>3014</v>
      </c>
      <c r="BI323" s="9" t="s">
        <v>3014</v>
      </c>
      <c r="BJ323" s="9" t="s">
        <v>3014</v>
      </c>
      <c r="BK323" s="9" t="s">
        <v>3014</v>
      </c>
      <c r="BL323" s="9" t="s">
        <v>3014</v>
      </c>
      <c r="BM323" s="9" t="s">
        <v>3014</v>
      </c>
      <c r="BN323" s="9" t="s">
        <v>3014</v>
      </c>
      <c r="BO323" s="9" t="s">
        <v>3014</v>
      </c>
      <c r="BP323" s="9" t="s">
        <v>3014</v>
      </c>
      <c r="BQ323" s="9" t="s">
        <v>3014</v>
      </c>
      <c r="BR323" s="9" t="s">
        <v>3014</v>
      </c>
      <c r="BS323" s="9" t="s">
        <v>3014</v>
      </c>
      <c r="BT323" s="9" t="s">
        <v>3014</v>
      </c>
      <c r="BU323" s="9" t="s">
        <v>3014</v>
      </c>
      <c r="BV323" s="9" t="s">
        <v>3014</v>
      </c>
      <c r="BW323" s="9" t="s">
        <v>3014</v>
      </c>
      <c r="BX323" s="9" t="s">
        <v>3014</v>
      </c>
      <c r="BY323" s="9" t="s">
        <v>3014</v>
      </c>
      <c r="BZ323" s="9" t="s">
        <v>3014</v>
      </c>
      <c r="CA323" s="9" t="s">
        <v>3014</v>
      </c>
      <c r="CB323" s="9" t="s">
        <v>3014</v>
      </c>
      <c r="CC323" s="9" t="s">
        <v>3014</v>
      </c>
      <c r="CD323" s="9" t="s">
        <v>3014</v>
      </c>
      <c r="CE323" s="9" t="s">
        <v>3014</v>
      </c>
      <c r="CF323" s="9" t="s">
        <v>3014</v>
      </c>
      <c r="CG323" s="9" t="s">
        <v>3014</v>
      </c>
      <c r="CH323" s="9" t="s">
        <v>3014</v>
      </c>
      <c r="CI323" s="9" t="s">
        <v>2840</v>
      </c>
      <c r="CJ323" s="9" t="s">
        <v>2840</v>
      </c>
      <c r="CK323" s="9" t="s">
        <v>2840</v>
      </c>
      <c r="CL323" s="9" t="s">
        <v>2840</v>
      </c>
      <c r="CM323" s="9" t="s">
        <v>2840</v>
      </c>
      <c r="CN323" s="9" t="s">
        <v>2840</v>
      </c>
      <c r="CO323" s="9" t="s">
        <v>2840</v>
      </c>
      <c r="CP323" s="9" t="s">
        <v>2840</v>
      </c>
      <c r="CQ323" s="9" t="s">
        <v>2840</v>
      </c>
      <c r="CR323" s="9" t="s">
        <v>2840</v>
      </c>
      <c r="CS323" s="9" t="s">
        <v>2840</v>
      </c>
      <c r="CT323" s="9" t="s">
        <v>2840</v>
      </c>
      <c r="CU323" s="9" t="s">
        <v>2840</v>
      </c>
      <c r="CV323" s="9" t="s">
        <v>2840</v>
      </c>
      <c r="CW323" s="9" t="s">
        <v>2840</v>
      </c>
      <c r="CX323" s="9" t="s">
        <v>2934</v>
      </c>
      <c r="CY323" s="9" t="s">
        <v>2934</v>
      </c>
      <c r="CZ323" s="9" t="s">
        <v>2934</v>
      </c>
      <c r="DA323" s="9" t="s">
        <v>2934</v>
      </c>
      <c r="DB323" s="9" t="s">
        <v>2934</v>
      </c>
      <c r="DC323" s="9" t="s">
        <v>2934</v>
      </c>
      <c r="DD323" s="9" t="s">
        <v>2934</v>
      </c>
      <c r="DE323" s="9" t="s">
        <v>2934</v>
      </c>
      <c r="DF323" s="9" t="s">
        <v>2934</v>
      </c>
      <c r="DG323" s="9" t="s">
        <v>2934</v>
      </c>
      <c r="DH323" s="9" t="s">
        <v>2934</v>
      </c>
      <c r="DI323" s="9" t="s">
        <v>2934</v>
      </c>
      <c r="DJ323" s="9" t="s">
        <v>2934</v>
      </c>
      <c r="DK323" s="9" t="s">
        <v>2934</v>
      </c>
      <c r="DL323" s="9" t="s">
        <v>2934</v>
      </c>
      <c r="DM323" s="9" t="s">
        <v>2934</v>
      </c>
      <c r="DN323" s="9" t="s">
        <v>2934</v>
      </c>
      <c r="DO323" s="9" t="s">
        <v>2934</v>
      </c>
      <c r="DP323" s="9" t="s">
        <v>2934</v>
      </c>
      <c r="DQ323" s="9" t="s">
        <v>2934</v>
      </c>
    </row>
    <row r="324" spans="1:121" ht="15.75" customHeight="1">
      <c r="A324" s="87" t="s">
        <v>8599</v>
      </c>
      <c r="Z324" s="9" t="s">
        <v>2934</v>
      </c>
      <c r="AA324" s="9" t="s">
        <v>2934</v>
      </c>
      <c r="AB324" s="9" t="s">
        <v>2934</v>
      </c>
      <c r="AC324" s="9" t="s">
        <v>2934</v>
      </c>
      <c r="AD324" s="9" t="s">
        <v>2934</v>
      </c>
      <c r="AE324" s="9" t="s">
        <v>2934</v>
      </c>
      <c r="AF324" s="9" t="s">
        <v>2934</v>
      </c>
      <c r="AG324" s="9" t="s">
        <v>2934</v>
      </c>
      <c r="AH324" s="9" t="s">
        <v>2934</v>
      </c>
      <c r="AI324" s="9" t="s">
        <v>2934</v>
      </c>
      <c r="AJ324" s="9" t="s">
        <v>2934</v>
      </c>
      <c r="AK324" s="9" t="s">
        <v>2934</v>
      </c>
      <c r="AL324" s="9" t="s">
        <v>2934</v>
      </c>
      <c r="AM324" s="9" t="s">
        <v>2934</v>
      </c>
      <c r="AN324" s="9" t="s">
        <v>2934</v>
      </c>
      <c r="AO324" s="9" t="s">
        <v>2934</v>
      </c>
      <c r="AP324" s="9" t="s">
        <v>2934</v>
      </c>
      <c r="AQ324" s="9" t="s">
        <v>2934</v>
      </c>
      <c r="AR324" s="9" t="s">
        <v>2934</v>
      </c>
      <c r="AS324" s="9" t="s">
        <v>2934</v>
      </c>
      <c r="AT324" s="9" t="s">
        <v>2934</v>
      </c>
      <c r="AU324" s="9" t="s">
        <v>2934</v>
      </c>
      <c r="AV324" s="9" t="s">
        <v>2934</v>
      </c>
      <c r="AW324" s="9" t="s">
        <v>2934</v>
      </c>
      <c r="AX324" s="9" t="s">
        <v>2934</v>
      </c>
      <c r="AY324" s="9" t="s">
        <v>2934</v>
      </c>
      <c r="AZ324" s="9" t="s">
        <v>2934</v>
      </c>
      <c r="BA324" s="9" t="s">
        <v>2934</v>
      </c>
      <c r="BB324" s="9" t="s">
        <v>2934</v>
      </c>
      <c r="BC324" s="9" t="s">
        <v>2934</v>
      </c>
      <c r="BD324" s="9" t="s">
        <v>2934</v>
      </c>
      <c r="BE324" s="9" t="s">
        <v>2934</v>
      </c>
      <c r="BF324" s="9" t="s">
        <v>2934</v>
      </c>
      <c r="BG324" s="9" t="s">
        <v>2934</v>
      </c>
      <c r="BH324" s="9" t="s">
        <v>2934</v>
      </c>
      <c r="BI324" s="9" t="s">
        <v>2934</v>
      </c>
      <c r="BJ324" s="9" t="s">
        <v>2934</v>
      </c>
      <c r="BK324" s="9" t="s">
        <v>2934</v>
      </c>
      <c r="BL324" s="9" t="s">
        <v>2934</v>
      </c>
      <c r="BM324" s="9" t="s">
        <v>2934</v>
      </c>
      <c r="BN324" s="9" t="s">
        <v>2934</v>
      </c>
      <c r="BO324" s="9" t="s">
        <v>2934</v>
      </c>
      <c r="BP324" s="9" t="s">
        <v>2934</v>
      </c>
      <c r="BQ324" s="9" t="s">
        <v>2934</v>
      </c>
      <c r="BR324" s="9" t="s">
        <v>2934</v>
      </c>
      <c r="BS324" s="9" t="s">
        <v>2934</v>
      </c>
      <c r="BT324" s="9" t="s">
        <v>2934</v>
      </c>
      <c r="BU324" s="9" t="s">
        <v>2934</v>
      </c>
      <c r="BV324" s="9" t="s">
        <v>2934</v>
      </c>
      <c r="BW324" s="9" t="s">
        <v>2934</v>
      </c>
      <c r="BX324" s="9" t="s">
        <v>2934</v>
      </c>
      <c r="BY324" s="9" t="s">
        <v>2934</v>
      </c>
      <c r="BZ324" s="9" t="s">
        <v>2934</v>
      </c>
      <c r="CA324" s="9" t="s">
        <v>2934</v>
      </c>
      <c r="CB324" s="9" t="s">
        <v>2934</v>
      </c>
      <c r="CC324" s="9" t="s">
        <v>2934</v>
      </c>
      <c r="CD324" s="9" t="s">
        <v>2934</v>
      </c>
      <c r="CE324" s="9" t="s">
        <v>2934</v>
      </c>
      <c r="CF324" s="9" t="s">
        <v>2934</v>
      </c>
      <c r="CG324" s="9" t="s">
        <v>2934</v>
      </c>
      <c r="CH324" s="9" t="s">
        <v>2934</v>
      </c>
      <c r="CI324" s="9" t="s">
        <v>2934</v>
      </c>
      <c r="CJ324" s="9" t="s">
        <v>2934</v>
      </c>
      <c r="CK324" s="9" t="s">
        <v>2934</v>
      </c>
      <c r="CL324" s="9" t="s">
        <v>2934</v>
      </c>
      <c r="CM324" s="9" t="s">
        <v>2934</v>
      </c>
      <c r="CN324" s="9" t="s">
        <v>2934</v>
      </c>
      <c r="CO324" s="9" t="s">
        <v>2934</v>
      </c>
      <c r="CP324" s="9" t="s">
        <v>2934</v>
      </c>
      <c r="CQ324" s="9" t="s">
        <v>2934</v>
      </c>
      <c r="CR324" s="9" t="s">
        <v>2934</v>
      </c>
      <c r="CS324" s="9" t="s">
        <v>2934</v>
      </c>
      <c r="CT324" s="9" t="s">
        <v>2934</v>
      </c>
      <c r="CU324" s="9" t="s">
        <v>2934</v>
      </c>
      <c r="CV324" s="9" t="s">
        <v>2934</v>
      </c>
      <c r="CW324" s="9" t="s">
        <v>2934</v>
      </c>
      <c r="CX324" s="9" t="s">
        <v>2934</v>
      </c>
      <c r="CY324" s="9" t="s">
        <v>2934</v>
      </c>
      <c r="CZ324" s="9" t="s">
        <v>2934</v>
      </c>
      <c r="DA324" s="9" t="s">
        <v>2934</v>
      </c>
      <c r="DB324" s="9" t="s">
        <v>2934</v>
      </c>
      <c r="DC324" s="9" t="s">
        <v>2934</v>
      </c>
      <c r="DD324" s="9" t="s">
        <v>2934</v>
      </c>
      <c r="DE324" s="9" t="s">
        <v>2934</v>
      </c>
      <c r="DF324" s="9" t="s">
        <v>2934</v>
      </c>
      <c r="DG324" s="9" t="s">
        <v>2934</v>
      </c>
      <c r="DH324" s="9" t="s">
        <v>2934</v>
      </c>
      <c r="DI324" s="9" t="s">
        <v>2934</v>
      </c>
      <c r="DJ324" s="9" t="s">
        <v>2934</v>
      </c>
      <c r="DK324" s="9" t="s">
        <v>2934</v>
      </c>
      <c r="DL324" s="9" t="s">
        <v>3025</v>
      </c>
      <c r="DM324" s="9" t="s">
        <v>3025</v>
      </c>
      <c r="DN324" s="9" t="s">
        <v>3025</v>
      </c>
      <c r="DO324" s="9" t="s">
        <v>3025</v>
      </c>
      <c r="DP324" s="9" t="s">
        <v>3025</v>
      </c>
      <c r="DQ324" s="9" t="s">
        <v>3025</v>
      </c>
    </row>
    <row r="325" spans="1:121" ht="15.75" customHeight="1">
      <c r="A325" s="87" t="s">
        <v>8600</v>
      </c>
      <c r="Z325" s="9" t="s">
        <v>3025</v>
      </c>
      <c r="AA325" s="9" t="s">
        <v>3025</v>
      </c>
      <c r="AB325" s="9" t="s">
        <v>3025</v>
      </c>
      <c r="AC325" s="9" t="s">
        <v>3025</v>
      </c>
      <c r="AD325" s="9" t="s">
        <v>3025</v>
      </c>
      <c r="AE325" s="9" t="s">
        <v>3025</v>
      </c>
      <c r="AF325" s="9" t="s">
        <v>3025</v>
      </c>
      <c r="AG325" s="9" t="s">
        <v>3025</v>
      </c>
      <c r="AH325" s="9" t="s">
        <v>3025</v>
      </c>
      <c r="AI325" s="9" t="s">
        <v>3025</v>
      </c>
      <c r="AJ325" s="9" t="s">
        <v>3025</v>
      </c>
      <c r="AK325" s="9" t="s">
        <v>3025</v>
      </c>
      <c r="AL325" s="9" t="s">
        <v>3025</v>
      </c>
      <c r="AM325" s="9" t="s">
        <v>3025</v>
      </c>
      <c r="AN325" s="9" t="s">
        <v>3025</v>
      </c>
      <c r="AO325" s="9" t="s">
        <v>3025</v>
      </c>
      <c r="AP325" s="9" t="s">
        <v>3025</v>
      </c>
      <c r="AQ325" s="9" t="s">
        <v>3025</v>
      </c>
      <c r="AR325" s="9" t="s">
        <v>3025</v>
      </c>
      <c r="AS325" s="9" t="s">
        <v>3025</v>
      </c>
      <c r="AT325" s="9" t="s">
        <v>3025</v>
      </c>
      <c r="AU325" s="9" t="s">
        <v>3025</v>
      </c>
      <c r="AV325" s="9" t="s">
        <v>3025</v>
      </c>
      <c r="AW325" s="9" t="s">
        <v>3025</v>
      </c>
      <c r="AX325" s="9" t="s">
        <v>3025</v>
      </c>
      <c r="AY325" s="9" t="s">
        <v>3025</v>
      </c>
      <c r="AZ325" s="9" t="s">
        <v>3025</v>
      </c>
      <c r="BA325" s="9" t="s">
        <v>3025</v>
      </c>
      <c r="BB325" s="9" t="s">
        <v>3025</v>
      </c>
      <c r="BC325" s="9" t="s">
        <v>3025</v>
      </c>
      <c r="BD325" s="9" t="s">
        <v>3025</v>
      </c>
      <c r="BE325" s="9" t="s">
        <v>3025</v>
      </c>
      <c r="BF325" s="9" t="s">
        <v>3025</v>
      </c>
      <c r="BG325" s="9" t="s">
        <v>3025</v>
      </c>
      <c r="BH325" s="9" t="s">
        <v>3025</v>
      </c>
      <c r="BI325" s="9" t="s">
        <v>3025</v>
      </c>
      <c r="BJ325" s="9" t="s">
        <v>3025</v>
      </c>
      <c r="BK325" s="9" t="s">
        <v>3025</v>
      </c>
      <c r="BL325" s="9" t="s">
        <v>3025</v>
      </c>
      <c r="BM325" s="9" t="s">
        <v>2991</v>
      </c>
      <c r="BN325" s="9" t="s">
        <v>2991</v>
      </c>
      <c r="BO325" s="9" t="s">
        <v>2991</v>
      </c>
      <c r="BP325" s="9" t="s">
        <v>2991</v>
      </c>
      <c r="BQ325" s="9" t="s">
        <v>2991</v>
      </c>
      <c r="BR325" s="9" t="s">
        <v>2991</v>
      </c>
      <c r="BS325" s="9" t="s">
        <v>2991</v>
      </c>
      <c r="BT325" s="9" t="s">
        <v>2991</v>
      </c>
      <c r="BU325" s="9" t="s">
        <v>2991</v>
      </c>
      <c r="BV325" s="9" t="s">
        <v>2991</v>
      </c>
      <c r="BW325" s="9" t="s">
        <v>2991</v>
      </c>
      <c r="BX325" s="9" t="s">
        <v>2991</v>
      </c>
      <c r="BY325" s="9" t="s">
        <v>2991</v>
      </c>
      <c r="BZ325" s="9" t="s">
        <v>2991</v>
      </c>
      <c r="CA325" s="9" t="s">
        <v>2991</v>
      </c>
      <c r="CB325" s="9" t="s">
        <v>2991</v>
      </c>
      <c r="CC325" s="9" t="s">
        <v>2991</v>
      </c>
      <c r="CD325" s="9" t="s">
        <v>2991</v>
      </c>
      <c r="CE325" s="9" t="s">
        <v>2991</v>
      </c>
      <c r="CF325" s="9" t="s">
        <v>2991</v>
      </c>
      <c r="CG325" s="9" t="s">
        <v>2991</v>
      </c>
      <c r="CH325" s="9" t="s">
        <v>2991</v>
      </c>
      <c r="CI325" s="9" t="s">
        <v>2991</v>
      </c>
      <c r="CJ325" s="9" t="s">
        <v>2991</v>
      </c>
      <c r="CK325" s="9" t="s">
        <v>2991</v>
      </c>
      <c r="CL325" s="9" t="s">
        <v>2991</v>
      </c>
      <c r="CM325" s="9" t="s">
        <v>2991</v>
      </c>
      <c r="CN325" s="9" t="s">
        <v>2991</v>
      </c>
      <c r="CO325" s="9" t="s">
        <v>2991</v>
      </c>
      <c r="CP325" s="9" t="s">
        <v>2991</v>
      </c>
      <c r="CQ325" s="9" t="s">
        <v>2991</v>
      </c>
      <c r="CR325" s="9" t="s">
        <v>2991</v>
      </c>
      <c r="CS325" s="9" t="s">
        <v>2991</v>
      </c>
      <c r="CT325" s="9" t="s">
        <v>2991</v>
      </c>
      <c r="CU325" s="9" t="s">
        <v>2991</v>
      </c>
      <c r="CV325" s="9" t="s">
        <v>2991</v>
      </c>
      <c r="CW325" s="9" t="s">
        <v>2991</v>
      </c>
      <c r="CX325" s="9" t="s">
        <v>2991</v>
      </c>
      <c r="CY325" s="9" t="s">
        <v>2991</v>
      </c>
      <c r="CZ325" s="9" t="s">
        <v>2991</v>
      </c>
      <c r="DA325" s="9" t="s">
        <v>2991</v>
      </c>
      <c r="DB325" s="9" t="s">
        <v>2991</v>
      </c>
      <c r="DC325" s="9" t="s">
        <v>2991</v>
      </c>
      <c r="DD325" s="9" t="s">
        <v>2991</v>
      </c>
      <c r="DE325" s="9" t="s">
        <v>2991</v>
      </c>
      <c r="DF325" s="9" t="s">
        <v>2991</v>
      </c>
      <c r="DG325" s="9" t="s">
        <v>2991</v>
      </c>
      <c r="DH325" s="9" t="s">
        <v>2991</v>
      </c>
      <c r="DI325" s="9" t="s">
        <v>2991</v>
      </c>
      <c r="DJ325" s="9" t="s">
        <v>2991</v>
      </c>
      <c r="DK325" s="9" t="s">
        <v>2991</v>
      </c>
      <c r="DL325" s="9" t="s">
        <v>2991</v>
      </c>
      <c r="DM325" s="9" t="s">
        <v>2991</v>
      </c>
      <c r="DN325" s="9" t="s">
        <v>2991</v>
      </c>
      <c r="DO325" s="9" t="s">
        <v>2991</v>
      </c>
      <c r="DP325" s="9" t="s">
        <v>2991</v>
      </c>
      <c r="DQ325" s="9" t="s">
        <v>2991</v>
      </c>
    </row>
    <row r="326" spans="1:121" ht="15.75" customHeight="1">
      <c r="A326" s="87" t="s">
        <v>8601</v>
      </c>
      <c r="Z326" s="9" t="s">
        <v>2991</v>
      </c>
      <c r="AA326" s="9" t="s">
        <v>2991</v>
      </c>
      <c r="AB326" s="9" t="s">
        <v>2991</v>
      </c>
      <c r="AC326" s="9" t="s">
        <v>2991</v>
      </c>
      <c r="AD326" s="9" t="s">
        <v>2991</v>
      </c>
      <c r="AE326" s="9" t="s">
        <v>2991</v>
      </c>
      <c r="AF326" s="9" t="s">
        <v>2991</v>
      </c>
      <c r="AG326" s="9" t="s">
        <v>2991</v>
      </c>
      <c r="AH326" s="9" t="s">
        <v>2991</v>
      </c>
      <c r="AI326" s="9" t="s">
        <v>2991</v>
      </c>
      <c r="AJ326" s="9" t="s">
        <v>2991</v>
      </c>
      <c r="AK326" s="9" t="s">
        <v>2991</v>
      </c>
      <c r="AL326" s="9" t="s">
        <v>2991</v>
      </c>
      <c r="AM326" s="9" t="s">
        <v>2991</v>
      </c>
      <c r="AN326" s="9" t="s">
        <v>2991</v>
      </c>
      <c r="AO326" s="9" t="s">
        <v>2991</v>
      </c>
      <c r="AP326" s="9" t="s">
        <v>2991</v>
      </c>
      <c r="AQ326" s="9" t="s">
        <v>2991</v>
      </c>
      <c r="AR326" s="9" t="s">
        <v>2991</v>
      </c>
      <c r="AS326" s="9" t="s">
        <v>2991</v>
      </c>
      <c r="AT326" s="9" t="s">
        <v>2991</v>
      </c>
      <c r="AU326" s="9" t="s">
        <v>2991</v>
      </c>
      <c r="AV326" s="9" t="s">
        <v>2991</v>
      </c>
      <c r="AW326" s="9" t="s">
        <v>2991</v>
      </c>
      <c r="AX326" s="9" t="s">
        <v>2991</v>
      </c>
      <c r="AY326" s="9" t="s">
        <v>2991</v>
      </c>
      <c r="AZ326" s="9" t="s">
        <v>2991</v>
      </c>
      <c r="BA326" s="9" t="s">
        <v>2991</v>
      </c>
      <c r="BB326" s="9" t="s">
        <v>2991</v>
      </c>
      <c r="BC326" s="9" t="s">
        <v>2991</v>
      </c>
      <c r="BD326" s="9" t="s">
        <v>2991</v>
      </c>
      <c r="BE326" s="9" t="s">
        <v>2991</v>
      </c>
      <c r="BF326" s="9" t="s">
        <v>2991</v>
      </c>
      <c r="BG326" s="9" t="s">
        <v>2991</v>
      </c>
      <c r="BH326" s="9" t="s">
        <v>2991</v>
      </c>
      <c r="BI326" s="9" t="s">
        <v>2991</v>
      </c>
      <c r="BJ326" s="9" t="s">
        <v>2991</v>
      </c>
      <c r="BK326" s="9" t="s">
        <v>2991</v>
      </c>
      <c r="BL326" s="9" t="s">
        <v>2991</v>
      </c>
      <c r="BM326" s="9" t="s">
        <v>2991</v>
      </c>
      <c r="BN326" s="9" t="s">
        <v>2991</v>
      </c>
      <c r="BO326" s="9" t="s">
        <v>2991</v>
      </c>
      <c r="BP326" s="9" t="s">
        <v>2991</v>
      </c>
      <c r="BQ326" s="9" t="s">
        <v>2991</v>
      </c>
      <c r="BR326" s="9" t="s">
        <v>2991</v>
      </c>
      <c r="BS326" s="9" t="s">
        <v>2991</v>
      </c>
      <c r="BT326" s="9" t="s">
        <v>2991</v>
      </c>
      <c r="BU326" s="9" t="s">
        <v>2991</v>
      </c>
      <c r="BV326" s="9" t="s">
        <v>2991</v>
      </c>
      <c r="BW326" s="9" t="s">
        <v>2991</v>
      </c>
      <c r="BX326" s="9" t="s">
        <v>2991</v>
      </c>
      <c r="BY326" s="9" t="s">
        <v>2991</v>
      </c>
      <c r="BZ326" s="9" t="s">
        <v>2991</v>
      </c>
      <c r="CA326" s="9" t="s">
        <v>2991</v>
      </c>
      <c r="CB326" s="9" t="s">
        <v>2991</v>
      </c>
      <c r="CC326" s="9" t="s">
        <v>2991</v>
      </c>
      <c r="CD326" s="9" t="s">
        <v>2991</v>
      </c>
      <c r="CE326" s="9" t="s">
        <v>2991</v>
      </c>
      <c r="CF326" s="9" t="s">
        <v>2991</v>
      </c>
      <c r="CG326" s="9" t="s">
        <v>2991</v>
      </c>
      <c r="CH326" s="9" t="s">
        <v>2991</v>
      </c>
      <c r="CI326" s="9" t="s">
        <v>2991</v>
      </c>
      <c r="CJ326" s="9" t="s">
        <v>2991</v>
      </c>
      <c r="CK326" s="9" t="s">
        <v>2991</v>
      </c>
      <c r="CL326" s="9" t="s">
        <v>2991</v>
      </c>
      <c r="CM326" s="9" t="s">
        <v>2991</v>
      </c>
      <c r="CN326" s="9" t="s">
        <v>2991</v>
      </c>
      <c r="CO326" s="9" t="s">
        <v>2991</v>
      </c>
      <c r="CP326" s="9" t="s">
        <v>2991</v>
      </c>
      <c r="CQ326" s="9" t="s">
        <v>2991</v>
      </c>
      <c r="CR326" s="9" t="s">
        <v>2991</v>
      </c>
      <c r="CS326" s="9" t="s">
        <v>2991</v>
      </c>
      <c r="CT326" s="9" t="s">
        <v>2991</v>
      </c>
      <c r="CU326" s="9" t="s">
        <v>2991</v>
      </c>
      <c r="CV326" s="9" t="s">
        <v>2991</v>
      </c>
      <c r="CW326" s="9" t="s">
        <v>2991</v>
      </c>
      <c r="CX326" s="9" t="s">
        <v>2991</v>
      </c>
      <c r="CY326" s="9" t="s">
        <v>2991</v>
      </c>
      <c r="CZ326" s="9" t="s">
        <v>2991</v>
      </c>
      <c r="DA326" s="9" t="s">
        <v>2991</v>
      </c>
      <c r="DB326" s="9" t="s">
        <v>2991</v>
      </c>
      <c r="DC326" s="9" t="s">
        <v>2991</v>
      </c>
      <c r="DD326" s="9" t="s">
        <v>2991</v>
      </c>
      <c r="DE326" s="9" t="s">
        <v>2991</v>
      </c>
      <c r="DF326" s="9" t="s">
        <v>2991</v>
      </c>
      <c r="DG326" s="9" t="s">
        <v>2991</v>
      </c>
      <c r="DH326" s="9" t="s">
        <v>2991</v>
      </c>
      <c r="DI326" s="9" t="s">
        <v>2991</v>
      </c>
      <c r="DJ326" s="9" t="s">
        <v>2991</v>
      </c>
      <c r="DK326" s="9" t="s">
        <v>2991</v>
      </c>
      <c r="DL326" s="9" t="s">
        <v>2991</v>
      </c>
      <c r="DM326" s="9" t="s">
        <v>2991</v>
      </c>
      <c r="DN326" s="9" t="s">
        <v>2991</v>
      </c>
      <c r="DO326" s="9" t="s">
        <v>2991</v>
      </c>
      <c r="DP326" s="9" t="s">
        <v>2991</v>
      </c>
      <c r="DQ326" s="9" t="s">
        <v>2991</v>
      </c>
    </row>
    <row r="327" spans="1:121" ht="15.75" customHeight="1">
      <c r="A327" s="87" t="s">
        <v>8602</v>
      </c>
      <c r="Z327" s="9" t="s">
        <v>2991</v>
      </c>
      <c r="AA327" s="9" t="s">
        <v>2991</v>
      </c>
      <c r="AB327" s="9" t="s">
        <v>2991</v>
      </c>
      <c r="AC327" s="9" t="s">
        <v>2991</v>
      </c>
      <c r="AD327" s="9" t="s">
        <v>2991</v>
      </c>
      <c r="AE327" s="9" t="s">
        <v>2991</v>
      </c>
      <c r="AF327" s="9" t="s">
        <v>2991</v>
      </c>
      <c r="AG327" s="9" t="s">
        <v>2991</v>
      </c>
      <c r="AH327" s="9" t="s">
        <v>2991</v>
      </c>
      <c r="AI327" s="9" t="s">
        <v>2991</v>
      </c>
      <c r="AJ327" s="9" t="s">
        <v>2991</v>
      </c>
      <c r="AK327" s="9" t="s">
        <v>2991</v>
      </c>
      <c r="AL327" s="9" t="s">
        <v>2991</v>
      </c>
      <c r="AM327" s="9" t="s">
        <v>2991</v>
      </c>
      <c r="AN327" s="9" t="s">
        <v>2991</v>
      </c>
      <c r="AO327" s="9" t="s">
        <v>2991</v>
      </c>
      <c r="AP327" s="9" t="s">
        <v>2991</v>
      </c>
      <c r="AQ327" s="9" t="s">
        <v>2991</v>
      </c>
      <c r="AR327" s="9" t="s">
        <v>2991</v>
      </c>
      <c r="AS327" s="9" t="s">
        <v>2991</v>
      </c>
      <c r="AT327" s="9" t="s">
        <v>2991</v>
      </c>
      <c r="AU327" s="9" t="s">
        <v>2991</v>
      </c>
      <c r="AV327" s="9" t="s">
        <v>2991</v>
      </c>
      <c r="AW327" s="9" t="s">
        <v>2991</v>
      </c>
      <c r="AX327" s="9" t="s">
        <v>2991</v>
      </c>
      <c r="AY327" s="9" t="s">
        <v>2991</v>
      </c>
      <c r="AZ327" s="9" t="s">
        <v>2991</v>
      </c>
      <c r="BA327" s="9" t="s">
        <v>2991</v>
      </c>
      <c r="BB327" s="9" t="s">
        <v>2991</v>
      </c>
      <c r="BC327" s="9" t="s">
        <v>2991</v>
      </c>
      <c r="BD327" s="9" t="s">
        <v>2991</v>
      </c>
      <c r="BE327" s="9" t="s">
        <v>2991</v>
      </c>
      <c r="BF327" s="9" t="s">
        <v>2991</v>
      </c>
      <c r="BG327" s="9" t="s">
        <v>2991</v>
      </c>
      <c r="BH327" s="9" t="s">
        <v>2991</v>
      </c>
      <c r="BI327" s="9" t="s">
        <v>2991</v>
      </c>
      <c r="BJ327" s="9" t="s">
        <v>2991</v>
      </c>
      <c r="BK327" s="9" t="s">
        <v>2991</v>
      </c>
      <c r="BL327" s="9" t="s">
        <v>2991</v>
      </c>
      <c r="BM327" s="9" t="s">
        <v>2991</v>
      </c>
      <c r="BN327" s="9" t="s">
        <v>2991</v>
      </c>
      <c r="BO327" s="9" t="s">
        <v>2991</v>
      </c>
      <c r="BP327" s="9" t="s">
        <v>2991</v>
      </c>
      <c r="BQ327" s="9" t="s">
        <v>2991</v>
      </c>
      <c r="BR327" s="9" t="s">
        <v>2991</v>
      </c>
      <c r="BS327" s="9" t="s">
        <v>2991</v>
      </c>
      <c r="BT327" s="9" t="s">
        <v>2991</v>
      </c>
      <c r="BU327" s="9" t="s">
        <v>2991</v>
      </c>
      <c r="BV327" s="9" t="s">
        <v>2991</v>
      </c>
      <c r="BW327" s="9" t="s">
        <v>2991</v>
      </c>
      <c r="BX327" s="9" t="s">
        <v>2991</v>
      </c>
      <c r="BY327" s="9" t="s">
        <v>2991</v>
      </c>
      <c r="BZ327" s="9" t="s">
        <v>2991</v>
      </c>
      <c r="CA327" s="9" t="s">
        <v>2991</v>
      </c>
      <c r="CB327" s="9" t="s">
        <v>2991</v>
      </c>
      <c r="CC327" s="9" t="s">
        <v>2991</v>
      </c>
      <c r="CD327" s="9" t="s">
        <v>2991</v>
      </c>
      <c r="CE327" s="9" t="s">
        <v>2991</v>
      </c>
      <c r="CF327" s="9" t="s">
        <v>2991</v>
      </c>
      <c r="CG327" s="9" t="s">
        <v>2991</v>
      </c>
      <c r="CH327" s="9" t="s">
        <v>2991</v>
      </c>
      <c r="CI327" s="9" t="s">
        <v>2991</v>
      </c>
      <c r="CJ327" s="9" t="s">
        <v>2991</v>
      </c>
      <c r="CK327" s="9" t="s">
        <v>2991</v>
      </c>
      <c r="CL327" s="9" t="s">
        <v>2991</v>
      </c>
      <c r="CM327" s="9" t="s">
        <v>2991</v>
      </c>
      <c r="CN327" s="9" t="s">
        <v>2991</v>
      </c>
      <c r="CO327" s="9" t="s">
        <v>2991</v>
      </c>
      <c r="CP327" s="9" t="s">
        <v>2991</v>
      </c>
      <c r="CQ327" s="9" t="s">
        <v>2991</v>
      </c>
      <c r="CR327" s="9" t="s">
        <v>2991</v>
      </c>
      <c r="CS327" s="9" t="s">
        <v>2991</v>
      </c>
      <c r="CT327" s="9" t="s">
        <v>2991</v>
      </c>
      <c r="CU327" s="9" t="s">
        <v>2991</v>
      </c>
      <c r="CV327" s="9" t="s">
        <v>2991</v>
      </c>
      <c r="CW327" s="9" t="s">
        <v>2991</v>
      </c>
      <c r="CX327" s="9" t="s">
        <v>2991</v>
      </c>
      <c r="CY327" s="9" t="s">
        <v>2991</v>
      </c>
      <c r="CZ327" s="9" t="s">
        <v>2991</v>
      </c>
      <c r="DA327" s="9" t="s">
        <v>2991</v>
      </c>
      <c r="DB327" s="9" t="s">
        <v>2991</v>
      </c>
      <c r="DC327" s="9" t="s">
        <v>2991</v>
      </c>
      <c r="DD327" s="9" t="s">
        <v>2991</v>
      </c>
      <c r="DE327" s="9" t="s">
        <v>2991</v>
      </c>
      <c r="DF327" s="9" t="s">
        <v>2991</v>
      </c>
      <c r="DG327" s="9" t="s">
        <v>2991</v>
      </c>
      <c r="DH327" s="9" t="s">
        <v>2991</v>
      </c>
      <c r="DI327" s="9" t="s">
        <v>2991</v>
      </c>
      <c r="DJ327" s="9" t="s">
        <v>2991</v>
      </c>
      <c r="DK327" s="9" t="s">
        <v>2991</v>
      </c>
      <c r="DL327" s="9" t="s">
        <v>2991</v>
      </c>
      <c r="DM327" s="9" t="s">
        <v>2991</v>
      </c>
      <c r="DN327" s="9" t="s">
        <v>2991</v>
      </c>
      <c r="DO327" s="9" t="s">
        <v>2991</v>
      </c>
      <c r="DP327" s="9" t="s">
        <v>2991</v>
      </c>
      <c r="DQ327" s="9" t="s">
        <v>2991</v>
      </c>
    </row>
    <row r="328" spans="1:121" ht="15.75" customHeight="1">
      <c r="A328" s="87" t="s">
        <v>8603</v>
      </c>
      <c r="Z328" s="9" t="s">
        <v>2991</v>
      </c>
      <c r="AA328" s="9" t="s">
        <v>2991</v>
      </c>
      <c r="AB328" s="9" t="s">
        <v>2991</v>
      </c>
      <c r="AC328" s="9" t="s">
        <v>2991</v>
      </c>
      <c r="AD328" s="9" t="s">
        <v>2991</v>
      </c>
      <c r="AE328" s="9" t="s">
        <v>2991</v>
      </c>
      <c r="AF328" s="9" t="s">
        <v>2991</v>
      </c>
      <c r="AG328" s="9" t="s">
        <v>2991</v>
      </c>
      <c r="AH328" s="9" t="s">
        <v>2991</v>
      </c>
      <c r="AI328" s="9" t="s">
        <v>2991</v>
      </c>
      <c r="AJ328" s="9" t="s">
        <v>2991</v>
      </c>
      <c r="AK328" s="9" t="s">
        <v>2991</v>
      </c>
      <c r="AL328" s="9" t="s">
        <v>2991</v>
      </c>
      <c r="AM328" s="9" t="s">
        <v>2991</v>
      </c>
      <c r="AN328" s="9" t="s">
        <v>2991</v>
      </c>
      <c r="AO328" s="9" t="s">
        <v>2991</v>
      </c>
      <c r="AP328" s="9" t="s">
        <v>2991</v>
      </c>
      <c r="AQ328" s="9" t="s">
        <v>2991</v>
      </c>
      <c r="AR328" s="9" t="s">
        <v>2991</v>
      </c>
      <c r="AS328" s="9" t="s">
        <v>2991</v>
      </c>
      <c r="AT328" s="9" t="s">
        <v>2991</v>
      </c>
      <c r="AU328" s="9" t="s">
        <v>2991</v>
      </c>
      <c r="AV328" s="9" t="s">
        <v>2991</v>
      </c>
      <c r="AW328" s="9" t="s">
        <v>2991</v>
      </c>
      <c r="AX328" s="9" t="s">
        <v>2991</v>
      </c>
      <c r="AY328" s="9" t="s">
        <v>2991</v>
      </c>
      <c r="AZ328" s="9" t="s">
        <v>2991</v>
      </c>
      <c r="BA328" s="9" t="s">
        <v>2991</v>
      </c>
      <c r="BB328" s="9" t="s">
        <v>2991</v>
      </c>
      <c r="BC328" s="9" t="s">
        <v>2991</v>
      </c>
      <c r="BD328" s="9" t="s">
        <v>2991</v>
      </c>
      <c r="BE328" s="9" t="s">
        <v>2991</v>
      </c>
      <c r="BF328" s="9" t="s">
        <v>2991</v>
      </c>
      <c r="BG328" s="9" t="s">
        <v>2991</v>
      </c>
      <c r="BH328" s="9" t="s">
        <v>2991</v>
      </c>
      <c r="BI328" s="9" t="s">
        <v>2991</v>
      </c>
      <c r="BJ328" s="9" t="s">
        <v>2991</v>
      </c>
      <c r="BK328" s="9" t="s">
        <v>2991</v>
      </c>
      <c r="BL328" s="9" t="s">
        <v>2991</v>
      </c>
      <c r="BM328" s="9" t="s">
        <v>2991</v>
      </c>
      <c r="BN328" s="9" t="s">
        <v>2991</v>
      </c>
      <c r="BO328" s="9" t="s">
        <v>2991</v>
      </c>
      <c r="BP328" s="9" t="s">
        <v>2991</v>
      </c>
      <c r="BQ328" s="9" t="s">
        <v>2991</v>
      </c>
      <c r="BR328" s="9" t="s">
        <v>2991</v>
      </c>
      <c r="BS328" s="9" t="s">
        <v>2991</v>
      </c>
      <c r="BT328" s="9" t="s">
        <v>2991</v>
      </c>
      <c r="BU328" s="9" t="s">
        <v>2991</v>
      </c>
      <c r="BV328" s="9" t="s">
        <v>2991</v>
      </c>
      <c r="BW328" s="9" t="s">
        <v>2991</v>
      </c>
      <c r="BX328" s="9" t="s">
        <v>2991</v>
      </c>
      <c r="BY328" s="9" t="s">
        <v>2991</v>
      </c>
      <c r="BZ328" s="9" t="s">
        <v>2991</v>
      </c>
      <c r="CA328" s="9" t="s">
        <v>2991</v>
      </c>
      <c r="CB328" s="9" t="s">
        <v>2991</v>
      </c>
      <c r="CC328" s="9" t="s">
        <v>2991</v>
      </c>
      <c r="CD328" s="9" t="s">
        <v>2991</v>
      </c>
      <c r="CE328" s="9" t="s">
        <v>2991</v>
      </c>
      <c r="CF328" s="9" t="s">
        <v>2991</v>
      </c>
      <c r="CG328" s="9" t="s">
        <v>2991</v>
      </c>
      <c r="CH328" s="9" t="s">
        <v>2991</v>
      </c>
      <c r="CI328" s="9" t="s">
        <v>2991</v>
      </c>
      <c r="CJ328" s="9" t="s">
        <v>2991</v>
      </c>
      <c r="CK328" s="9" t="s">
        <v>2991</v>
      </c>
      <c r="CL328" s="9" t="s">
        <v>2991</v>
      </c>
      <c r="CM328" s="9" t="s">
        <v>2991</v>
      </c>
      <c r="CN328" s="9" t="s">
        <v>2991</v>
      </c>
      <c r="CO328" s="9" t="s">
        <v>2991</v>
      </c>
      <c r="CP328" s="9" t="s">
        <v>2991</v>
      </c>
      <c r="CQ328" s="9" t="s">
        <v>2991</v>
      </c>
      <c r="CR328" s="9" t="s">
        <v>2991</v>
      </c>
      <c r="CS328" s="9" t="s">
        <v>2991</v>
      </c>
      <c r="CT328" s="9" t="s">
        <v>2991</v>
      </c>
      <c r="CU328" s="9" t="s">
        <v>2991</v>
      </c>
      <c r="CV328" s="9" t="s">
        <v>2991</v>
      </c>
      <c r="CW328" s="9" t="s">
        <v>2991</v>
      </c>
      <c r="CX328" s="9" t="s">
        <v>2991</v>
      </c>
      <c r="CY328" s="9" t="s">
        <v>2991</v>
      </c>
      <c r="CZ328" s="9" t="s">
        <v>2991</v>
      </c>
      <c r="DA328" s="9" t="s">
        <v>2991</v>
      </c>
      <c r="DB328" s="9" t="s">
        <v>2991</v>
      </c>
      <c r="DC328" s="9" t="s">
        <v>2991</v>
      </c>
      <c r="DD328" s="9" t="s">
        <v>2991</v>
      </c>
      <c r="DE328" s="9" t="s">
        <v>2991</v>
      </c>
      <c r="DF328" s="9" t="s">
        <v>2991</v>
      </c>
      <c r="DG328" s="9" t="s">
        <v>2991</v>
      </c>
      <c r="DH328" s="9" t="s">
        <v>2991</v>
      </c>
      <c r="DI328" s="9" t="s">
        <v>2991</v>
      </c>
      <c r="DJ328" s="9" t="s">
        <v>2991</v>
      </c>
      <c r="DK328" s="9" t="s">
        <v>2991</v>
      </c>
      <c r="DL328" s="9" t="s">
        <v>2991</v>
      </c>
      <c r="DM328" s="9" t="s">
        <v>2991</v>
      </c>
      <c r="DN328" s="9" t="s">
        <v>2991</v>
      </c>
      <c r="DO328" s="9" t="s">
        <v>2991</v>
      </c>
      <c r="DP328" s="9" t="s">
        <v>2991</v>
      </c>
      <c r="DQ328" s="9" t="s">
        <v>2991</v>
      </c>
    </row>
    <row r="329" spans="1:121" ht="15.75" customHeight="1">
      <c r="A329" s="87" t="s">
        <v>8604</v>
      </c>
      <c r="Z329" s="9" t="s">
        <v>2991</v>
      </c>
      <c r="AA329" s="9" t="s">
        <v>2991</v>
      </c>
      <c r="AB329" s="9" t="s">
        <v>2991</v>
      </c>
      <c r="AC329" s="9" t="s">
        <v>2991</v>
      </c>
      <c r="AD329" s="9" t="s">
        <v>2991</v>
      </c>
      <c r="AE329" s="9" t="s">
        <v>2991</v>
      </c>
      <c r="AF329" s="9" t="s">
        <v>2991</v>
      </c>
      <c r="AG329" s="9" t="s">
        <v>2991</v>
      </c>
      <c r="AH329" s="9" t="s">
        <v>2991</v>
      </c>
      <c r="AI329" s="9" t="s">
        <v>2991</v>
      </c>
      <c r="AJ329" s="9" t="s">
        <v>2991</v>
      </c>
      <c r="AK329" s="9" t="s">
        <v>2991</v>
      </c>
      <c r="AL329" s="9" t="s">
        <v>2991</v>
      </c>
      <c r="AM329" s="9" t="s">
        <v>2991</v>
      </c>
      <c r="AN329" s="9" t="s">
        <v>2991</v>
      </c>
      <c r="AO329" s="9" t="s">
        <v>2991</v>
      </c>
      <c r="AP329" s="9" t="s">
        <v>2991</v>
      </c>
      <c r="AQ329" s="9" t="s">
        <v>2991</v>
      </c>
      <c r="AR329" s="9" t="s">
        <v>2991</v>
      </c>
      <c r="AS329" s="9" t="s">
        <v>2991</v>
      </c>
      <c r="AT329" s="9" t="s">
        <v>2991</v>
      </c>
      <c r="AU329" s="9" t="s">
        <v>2991</v>
      </c>
      <c r="AV329" s="9" t="s">
        <v>2991</v>
      </c>
      <c r="AW329" s="9" t="s">
        <v>2991</v>
      </c>
      <c r="AX329" s="9" t="s">
        <v>2991</v>
      </c>
      <c r="AY329" s="9" t="s">
        <v>2991</v>
      </c>
      <c r="AZ329" s="9" t="s">
        <v>2991</v>
      </c>
      <c r="BA329" s="9" t="s">
        <v>2991</v>
      </c>
      <c r="BB329" s="9" t="s">
        <v>2991</v>
      </c>
      <c r="BC329" s="9" t="s">
        <v>2991</v>
      </c>
      <c r="BD329" s="9" t="s">
        <v>2899</v>
      </c>
      <c r="BE329" s="9" t="s">
        <v>2899</v>
      </c>
      <c r="BF329" s="9" t="s">
        <v>2899</v>
      </c>
      <c r="BG329" s="9" t="s">
        <v>2899</v>
      </c>
      <c r="BH329" s="9" t="s">
        <v>2899</v>
      </c>
      <c r="BI329" s="9" t="s">
        <v>2899</v>
      </c>
      <c r="BJ329" s="9" t="s">
        <v>2899</v>
      </c>
      <c r="BK329" s="9" t="s">
        <v>2899</v>
      </c>
      <c r="BL329" s="9" t="s">
        <v>2899</v>
      </c>
      <c r="BM329" s="9" t="s">
        <v>2899</v>
      </c>
      <c r="BN329" s="9" t="s">
        <v>2899</v>
      </c>
      <c r="BO329" s="9" t="s">
        <v>2899</v>
      </c>
      <c r="BP329" s="9" t="s">
        <v>2899</v>
      </c>
      <c r="BQ329" s="9" t="s">
        <v>2899</v>
      </c>
      <c r="BR329" s="9" t="s">
        <v>2899</v>
      </c>
      <c r="BS329" s="9" t="s">
        <v>2899</v>
      </c>
      <c r="BT329" s="9" t="s">
        <v>2899</v>
      </c>
      <c r="BU329" s="9" t="s">
        <v>2899</v>
      </c>
      <c r="BV329" s="9" t="s">
        <v>2899</v>
      </c>
      <c r="BW329" s="9" t="s">
        <v>2899</v>
      </c>
      <c r="BX329" s="9" t="s">
        <v>2899</v>
      </c>
      <c r="BY329" s="9" t="s">
        <v>2899</v>
      </c>
      <c r="BZ329" s="9" t="s">
        <v>2899</v>
      </c>
      <c r="CA329" s="9" t="s">
        <v>2899</v>
      </c>
      <c r="CB329" s="9" t="s">
        <v>2899</v>
      </c>
      <c r="CC329" s="9" t="s">
        <v>2899</v>
      </c>
      <c r="CD329" s="9" t="s">
        <v>2899</v>
      </c>
      <c r="CE329" s="9" t="s">
        <v>2899</v>
      </c>
      <c r="CF329" s="9" t="s">
        <v>2899</v>
      </c>
      <c r="CG329" s="9" t="s">
        <v>2899</v>
      </c>
      <c r="CH329" s="9" t="s">
        <v>2899</v>
      </c>
      <c r="CI329" s="9" t="s">
        <v>2899</v>
      </c>
      <c r="CJ329" s="9" t="s">
        <v>2899</v>
      </c>
      <c r="CK329" s="9" t="s">
        <v>2899</v>
      </c>
      <c r="CL329" s="9" t="s">
        <v>2899</v>
      </c>
      <c r="CM329" s="9" t="s">
        <v>2899</v>
      </c>
      <c r="CN329" s="9" t="s">
        <v>2899</v>
      </c>
      <c r="CO329" s="9" t="s">
        <v>2899</v>
      </c>
      <c r="CP329" s="9" t="s">
        <v>2899</v>
      </c>
      <c r="CQ329" s="9" t="s">
        <v>2899</v>
      </c>
      <c r="CR329" s="9" t="s">
        <v>2902</v>
      </c>
      <c r="CS329" s="9" t="s">
        <v>2902</v>
      </c>
      <c r="CT329" s="9" t="s">
        <v>2902</v>
      </c>
      <c r="CU329" s="9" t="s">
        <v>2902</v>
      </c>
      <c r="CV329" s="9" t="s">
        <v>2902</v>
      </c>
      <c r="CW329" s="9" t="s">
        <v>2902</v>
      </c>
      <c r="CX329" s="9" t="s">
        <v>2902</v>
      </c>
      <c r="CY329" s="9" t="s">
        <v>2902</v>
      </c>
      <c r="CZ329" s="9" t="s">
        <v>2902</v>
      </c>
      <c r="DA329" s="9" t="s">
        <v>2902</v>
      </c>
      <c r="DB329" s="9" t="s">
        <v>2902</v>
      </c>
      <c r="DC329" s="9" t="s">
        <v>2902</v>
      </c>
      <c r="DD329" s="9" t="s">
        <v>2902</v>
      </c>
      <c r="DE329" s="9" t="s">
        <v>2902</v>
      </c>
      <c r="DF329" s="9" t="s">
        <v>2902</v>
      </c>
      <c r="DG329" s="9" t="s">
        <v>2902</v>
      </c>
      <c r="DH329" s="9" t="s">
        <v>2902</v>
      </c>
      <c r="DI329" s="9" t="s">
        <v>2902</v>
      </c>
      <c r="DJ329" s="9" t="s">
        <v>2902</v>
      </c>
      <c r="DK329" s="9" t="s">
        <v>2902</v>
      </c>
      <c r="DL329" s="9" t="s">
        <v>2902</v>
      </c>
      <c r="DM329" s="9" t="s">
        <v>2902</v>
      </c>
      <c r="DN329" s="9" t="s">
        <v>2902</v>
      </c>
      <c r="DO329" s="9" t="s">
        <v>2902</v>
      </c>
      <c r="DP329" s="9" t="s">
        <v>2902</v>
      </c>
      <c r="DQ329" s="9" t="s">
        <v>2902</v>
      </c>
    </row>
    <row r="330" spans="1:121" ht="15.75" customHeight="1">
      <c r="A330" s="87" t="s">
        <v>8605</v>
      </c>
      <c r="Z330" s="9" t="s">
        <v>2902</v>
      </c>
      <c r="AA330" s="9" t="s">
        <v>2902</v>
      </c>
      <c r="AB330" s="9" t="s">
        <v>2902</v>
      </c>
      <c r="AC330" s="9" t="s">
        <v>2902</v>
      </c>
      <c r="AD330" s="9" t="s">
        <v>2902</v>
      </c>
      <c r="AE330" s="9" t="s">
        <v>2902</v>
      </c>
      <c r="AF330" s="9" t="s">
        <v>2902</v>
      </c>
      <c r="AG330" s="9" t="s">
        <v>2902</v>
      </c>
      <c r="AH330" s="9" t="s">
        <v>2902</v>
      </c>
      <c r="AI330" s="9" t="s">
        <v>2902</v>
      </c>
      <c r="AJ330" s="9" t="s">
        <v>2902</v>
      </c>
      <c r="AK330" s="9" t="s">
        <v>2902</v>
      </c>
      <c r="AL330" s="9" t="s">
        <v>2902</v>
      </c>
      <c r="AM330" s="9" t="s">
        <v>2902</v>
      </c>
      <c r="AN330" s="9" t="s">
        <v>2902</v>
      </c>
      <c r="AO330" s="9" t="s">
        <v>2902</v>
      </c>
      <c r="AP330" s="9" t="s">
        <v>2902</v>
      </c>
      <c r="AQ330" s="9" t="s">
        <v>2902</v>
      </c>
      <c r="AR330" s="9" t="s">
        <v>2902</v>
      </c>
      <c r="AS330" s="9" t="s">
        <v>2902</v>
      </c>
      <c r="AT330" s="9" t="s">
        <v>2902</v>
      </c>
      <c r="AU330" s="9" t="s">
        <v>2902</v>
      </c>
      <c r="AV330" s="9" t="s">
        <v>2902</v>
      </c>
      <c r="AW330" s="9" t="s">
        <v>2902</v>
      </c>
      <c r="AX330" s="9" t="s">
        <v>2902</v>
      </c>
      <c r="AY330" s="9" t="s">
        <v>2902</v>
      </c>
      <c r="AZ330" s="9" t="s">
        <v>2902</v>
      </c>
      <c r="BA330" s="9" t="s">
        <v>2902</v>
      </c>
      <c r="BB330" s="9" t="s">
        <v>2902</v>
      </c>
      <c r="BC330" s="9" t="s">
        <v>2902</v>
      </c>
      <c r="BD330" s="9" t="s">
        <v>2902</v>
      </c>
      <c r="BE330" s="9" t="s">
        <v>2902</v>
      </c>
      <c r="BF330" s="9" t="s">
        <v>2902</v>
      </c>
      <c r="BG330" s="9" t="s">
        <v>2902</v>
      </c>
      <c r="BH330" s="9" t="s">
        <v>2902</v>
      </c>
      <c r="BI330" s="9" t="s">
        <v>2902</v>
      </c>
      <c r="BJ330" s="9" t="s">
        <v>2902</v>
      </c>
      <c r="BK330" s="9" t="s">
        <v>2902</v>
      </c>
      <c r="BL330" s="9" t="s">
        <v>2902</v>
      </c>
      <c r="BM330" s="9" t="s">
        <v>2902</v>
      </c>
      <c r="BN330" s="9" t="s">
        <v>2902</v>
      </c>
      <c r="BO330" s="9" t="s">
        <v>2902</v>
      </c>
      <c r="BP330" s="9" t="s">
        <v>2902</v>
      </c>
      <c r="BQ330" s="9" t="s">
        <v>2902</v>
      </c>
      <c r="BR330" s="9" t="s">
        <v>2902</v>
      </c>
      <c r="BS330" s="9" t="s">
        <v>2902</v>
      </c>
      <c r="BT330" s="9" t="s">
        <v>2902</v>
      </c>
      <c r="BU330" s="9" t="s">
        <v>2902</v>
      </c>
      <c r="BV330" s="9" t="s">
        <v>2902</v>
      </c>
      <c r="BW330" s="9" t="s">
        <v>2902</v>
      </c>
      <c r="BX330" s="9" t="s">
        <v>2902</v>
      </c>
      <c r="BY330" s="9" t="s">
        <v>2902</v>
      </c>
      <c r="BZ330" s="9" t="s">
        <v>2902</v>
      </c>
      <c r="CA330" s="9" t="s">
        <v>2902</v>
      </c>
      <c r="CB330" s="9" t="s">
        <v>2902</v>
      </c>
      <c r="CC330" s="9" t="s">
        <v>2902</v>
      </c>
      <c r="CD330" s="9" t="s">
        <v>2902</v>
      </c>
      <c r="CE330" s="9" t="s">
        <v>2902</v>
      </c>
      <c r="CF330" s="9" t="s">
        <v>2902</v>
      </c>
      <c r="CG330" s="9" t="s">
        <v>2902</v>
      </c>
      <c r="CH330" s="9" t="s">
        <v>2902</v>
      </c>
      <c r="CI330" s="9" t="s">
        <v>2902</v>
      </c>
      <c r="CJ330" s="9" t="s">
        <v>2902</v>
      </c>
      <c r="CK330" s="9" t="s">
        <v>2902</v>
      </c>
      <c r="CL330" s="9" t="s">
        <v>2902</v>
      </c>
      <c r="CM330" s="9" t="s">
        <v>2902</v>
      </c>
      <c r="CN330" s="9" t="s">
        <v>2902</v>
      </c>
      <c r="CO330" s="9" t="s">
        <v>2902</v>
      </c>
      <c r="CP330" s="9" t="s">
        <v>2902</v>
      </c>
      <c r="CQ330" s="9" t="s">
        <v>2902</v>
      </c>
      <c r="CR330" s="9" t="s">
        <v>2847</v>
      </c>
      <c r="CS330" s="9" t="s">
        <v>2847</v>
      </c>
      <c r="CT330" s="9" t="s">
        <v>2847</v>
      </c>
      <c r="CU330" s="9" t="s">
        <v>2847</v>
      </c>
      <c r="CV330" s="9" t="s">
        <v>2847</v>
      </c>
      <c r="CW330" s="9" t="s">
        <v>2847</v>
      </c>
      <c r="CX330" s="9" t="s">
        <v>2847</v>
      </c>
      <c r="CY330" s="9" t="s">
        <v>2847</v>
      </c>
      <c r="CZ330" s="9" t="s">
        <v>2847</v>
      </c>
      <c r="DA330" s="9" t="s">
        <v>2847</v>
      </c>
      <c r="DB330" s="9" t="s">
        <v>2847</v>
      </c>
      <c r="DC330" s="9" t="s">
        <v>2847</v>
      </c>
      <c r="DD330" s="9" t="s">
        <v>2847</v>
      </c>
      <c r="DE330" s="9" t="s">
        <v>2847</v>
      </c>
      <c r="DF330" s="9" t="s">
        <v>2847</v>
      </c>
      <c r="DG330" s="9" t="s">
        <v>2847</v>
      </c>
      <c r="DH330" s="9" t="s">
        <v>2847</v>
      </c>
      <c r="DI330" s="9" t="s">
        <v>2847</v>
      </c>
      <c r="DJ330" s="9" t="s">
        <v>2847</v>
      </c>
      <c r="DK330" s="9" t="s">
        <v>2847</v>
      </c>
      <c r="DL330" s="9" t="s">
        <v>2847</v>
      </c>
      <c r="DM330" s="9" t="s">
        <v>2847</v>
      </c>
      <c r="DN330" s="9" t="s">
        <v>2847</v>
      </c>
      <c r="DO330" s="9" t="s">
        <v>2847</v>
      </c>
      <c r="DP330" s="9" t="s">
        <v>2847</v>
      </c>
      <c r="DQ330" s="9" t="s">
        <v>2847</v>
      </c>
    </row>
    <row r="331" spans="1:121" ht="15.75" customHeight="1">
      <c r="A331" s="87" t="s">
        <v>8606</v>
      </c>
      <c r="Z331" s="9" t="s">
        <v>2847</v>
      </c>
      <c r="AA331" s="9" t="s">
        <v>2847</v>
      </c>
      <c r="AB331" s="9" t="s">
        <v>2847</v>
      </c>
      <c r="AC331" s="9" t="s">
        <v>2847</v>
      </c>
      <c r="AD331" s="9" t="s">
        <v>2847</v>
      </c>
      <c r="AE331" s="9" t="s">
        <v>2847</v>
      </c>
      <c r="AF331" s="9" t="s">
        <v>2847</v>
      </c>
      <c r="AG331" s="9" t="s">
        <v>2847</v>
      </c>
      <c r="AH331" s="9" t="s">
        <v>2847</v>
      </c>
      <c r="AI331" s="9" t="s">
        <v>2847</v>
      </c>
      <c r="AJ331" s="9" t="s">
        <v>2847</v>
      </c>
      <c r="AK331" s="9" t="s">
        <v>2847</v>
      </c>
      <c r="AL331" s="9" t="s">
        <v>2847</v>
      </c>
      <c r="AM331" s="9" t="s">
        <v>2847</v>
      </c>
      <c r="AN331" s="9" t="s">
        <v>2847</v>
      </c>
      <c r="AO331" s="9" t="s">
        <v>2847</v>
      </c>
      <c r="AP331" s="9" t="s">
        <v>2847</v>
      </c>
      <c r="AQ331" s="9" t="s">
        <v>2847</v>
      </c>
      <c r="AR331" s="9" t="s">
        <v>2847</v>
      </c>
      <c r="AS331" s="9" t="s">
        <v>2847</v>
      </c>
      <c r="AT331" s="9" t="s">
        <v>2847</v>
      </c>
      <c r="AU331" s="9" t="s">
        <v>2847</v>
      </c>
      <c r="AV331" s="9" t="s">
        <v>2847</v>
      </c>
      <c r="AW331" s="9" t="s">
        <v>2847</v>
      </c>
      <c r="AX331" s="9" t="s">
        <v>2847</v>
      </c>
      <c r="AY331" s="9" t="s">
        <v>2847</v>
      </c>
      <c r="AZ331" s="9" t="s">
        <v>2847</v>
      </c>
      <c r="BA331" s="9" t="s">
        <v>2847</v>
      </c>
      <c r="BB331" s="9" t="s">
        <v>2847</v>
      </c>
      <c r="BC331" s="9" t="s">
        <v>2847</v>
      </c>
      <c r="BD331" s="9" t="s">
        <v>2847</v>
      </c>
      <c r="BE331" s="9" t="s">
        <v>2847</v>
      </c>
      <c r="BF331" s="9" t="s">
        <v>2847</v>
      </c>
      <c r="BG331" s="9" t="s">
        <v>2847</v>
      </c>
      <c r="BH331" s="9" t="s">
        <v>2847</v>
      </c>
      <c r="BI331" s="9" t="s">
        <v>2847</v>
      </c>
      <c r="BJ331" s="9" t="s">
        <v>2847</v>
      </c>
      <c r="BK331" s="9" t="s">
        <v>2847</v>
      </c>
      <c r="BL331" s="9" t="s">
        <v>2847</v>
      </c>
      <c r="BM331" s="9" t="s">
        <v>2847</v>
      </c>
      <c r="BN331" s="9" t="s">
        <v>2847</v>
      </c>
      <c r="BO331" s="9" t="s">
        <v>2847</v>
      </c>
      <c r="BP331" s="9" t="s">
        <v>2847</v>
      </c>
      <c r="BQ331" s="9" t="s">
        <v>2847</v>
      </c>
      <c r="BR331" s="9" t="s">
        <v>2847</v>
      </c>
      <c r="BS331" s="9" t="s">
        <v>2847</v>
      </c>
      <c r="BT331" s="9" t="s">
        <v>2847</v>
      </c>
      <c r="BU331" s="9" t="s">
        <v>2847</v>
      </c>
      <c r="BV331" s="9" t="s">
        <v>2847</v>
      </c>
      <c r="BW331" s="9" t="s">
        <v>2847</v>
      </c>
      <c r="BX331" s="9" t="s">
        <v>2847</v>
      </c>
      <c r="BY331" s="9" t="s">
        <v>2847</v>
      </c>
      <c r="BZ331" s="9" t="s">
        <v>2847</v>
      </c>
      <c r="CA331" s="9" t="s">
        <v>2847</v>
      </c>
      <c r="CB331" s="9" t="s">
        <v>2847</v>
      </c>
      <c r="CC331" s="9" t="s">
        <v>2847</v>
      </c>
      <c r="CD331" s="9" t="s">
        <v>2847</v>
      </c>
      <c r="CE331" s="9" t="s">
        <v>2847</v>
      </c>
      <c r="CF331" s="9" t="s">
        <v>2847</v>
      </c>
      <c r="CG331" s="9" t="s">
        <v>2847</v>
      </c>
      <c r="CH331" s="9" t="s">
        <v>2847</v>
      </c>
      <c r="CI331" s="9" t="s">
        <v>2847</v>
      </c>
      <c r="CJ331" s="9" t="s">
        <v>2847</v>
      </c>
      <c r="CK331" s="9" t="s">
        <v>2847</v>
      </c>
      <c r="CL331" s="9" t="s">
        <v>2847</v>
      </c>
      <c r="CM331" s="9" t="s">
        <v>2847</v>
      </c>
      <c r="CN331" s="9" t="s">
        <v>2847</v>
      </c>
      <c r="CO331" s="9" t="s">
        <v>2847</v>
      </c>
      <c r="CP331" s="9" t="s">
        <v>2847</v>
      </c>
      <c r="CQ331" s="9" t="s">
        <v>2847</v>
      </c>
      <c r="CR331" s="9" t="s">
        <v>2847</v>
      </c>
      <c r="CS331" s="9" t="s">
        <v>2847</v>
      </c>
      <c r="CT331" s="9" t="s">
        <v>2847</v>
      </c>
      <c r="CU331" s="9" t="s">
        <v>2847</v>
      </c>
      <c r="CV331" s="9" t="s">
        <v>2847</v>
      </c>
      <c r="CW331" s="9" t="s">
        <v>2847</v>
      </c>
      <c r="CX331" s="9" t="s">
        <v>2847</v>
      </c>
      <c r="CY331" s="9" t="s">
        <v>2847</v>
      </c>
      <c r="CZ331" s="9" t="s">
        <v>2847</v>
      </c>
      <c r="DA331" s="9" t="s">
        <v>2847</v>
      </c>
      <c r="DB331" s="9" t="s">
        <v>2847</v>
      </c>
      <c r="DC331" s="9" t="s">
        <v>2847</v>
      </c>
      <c r="DD331" s="9" t="s">
        <v>2847</v>
      </c>
      <c r="DE331" s="9" t="s">
        <v>2847</v>
      </c>
      <c r="DF331" s="9" t="s">
        <v>2847</v>
      </c>
      <c r="DG331" s="9" t="s">
        <v>2847</v>
      </c>
      <c r="DH331" s="9" t="s">
        <v>2847</v>
      </c>
      <c r="DI331" s="9" t="s">
        <v>2847</v>
      </c>
      <c r="DJ331" s="9" t="s">
        <v>2847</v>
      </c>
      <c r="DK331" s="9" t="s">
        <v>2847</v>
      </c>
      <c r="DL331" s="9" t="s">
        <v>2847</v>
      </c>
      <c r="DM331" s="9" t="s">
        <v>2847</v>
      </c>
      <c r="DN331" s="9" t="s">
        <v>2847</v>
      </c>
      <c r="DO331" s="9" t="s">
        <v>2847</v>
      </c>
      <c r="DP331" s="9" t="s">
        <v>2847</v>
      </c>
      <c r="DQ331" s="9" t="s">
        <v>2847</v>
      </c>
    </row>
    <row r="332" spans="1:121" ht="15.75" customHeight="1">
      <c r="A332" s="87" t="s">
        <v>8607</v>
      </c>
      <c r="Z332" s="9" t="s">
        <v>2847</v>
      </c>
      <c r="AA332" s="9" t="s">
        <v>2847</v>
      </c>
      <c r="AB332" s="9" t="s">
        <v>2847</v>
      </c>
      <c r="AC332" s="9" t="s">
        <v>2847</v>
      </c>
      <c r="AD332" s="9" t="s">
        <v>2847</v>
      </c>
      <c r="AE332" s="9" t="s">
        <v>2847</v>
      </c>
      <c r="AF332" s="9" t="s">
        <v>2847</v>
      </c>
      <c r="AG332" s="9" t="s">
        <v>2847</v>
      </c>
      <c r="AH332" s="9" t="s">
        <v>2847</v>
      </c>
      <c r="AI332" s="9" t="s">
        <v>2847</v>
      </c>
      <c r="AJ332" s="9" t="s">
        <v>2847</v>
      </c>
      <c r="AK332" s="9" t="s">
        <v>2847</v>
      </c>
      <c r="AL332" s="9" t="s">
        <v>2847</v>
      </c>
      <c r="AM332" s="9" t="s">
        <v>2847</v>
      </c>
      <c r="AN332" s="9" t="s">
        <v>2847</v>
      </c>
      <c r="AO332" s="9" t="s">
        <v>2847</v>
      </c>
      <c r="AP332" s="9" t="s">
        <v>2847</v>
      </c>
      <c r="AQ332" s="9" t="s">
        <v>2847</v>
      </c>
      <c r="AR332" s="9" t="s">
        <v>2847</v>
      </c>
      <c r="AS332" s="9" t="s">
        <v>2847</v>
      </c>
      <c r="AT332" s="9" t="s">
        <v>2847</v>
      </c>
      <c r="AU332" s="9" t="s">
        <v>2847</v>
      </c>
      <c r="AV332" s="9" t="s">
        <v>2847</v>
      </c>
      <c r="AW332" s="9" t="s">
        <v>2847</v>
      </c>
      <c r="AX332" s="9" t="s">
        <v>2847</v>
      </c>
      <c r="AY332" s="9" t="s">
        <v>2847</v>
      </c>
      <c r="AZ332" s="9" t="s">
        <v>2847</v>
      </c>
      <c r="BA332" s="9" t="s">
        <v>2847</v>
      </c>
      <c r="BB332" s="9" t="s">
        <v>2847</v>
      </c>
      <c r="BC332" s="9" t="s">
        <v>2847</v>
      </c>
      <c r="BD332" s="9" t="s">
        <v>2847</v>
      </c>
      <c r="BE332" s="9" t="s">
        <v>2847</v>
      </c>
      <c r="BF332" s="9" t="s">
        <v>2847</v>
      </c>
      <c r="BG332" s="9" t="s">
        <v>2847</v>
      </c>
      <c r="BH332" s="9" t="s">
        <v>2847</v>
      </c>
      <c r="BI332" s="9" t="s">
        <v>2847</v>
      </c>
      <c r="BJ332" s="9" t="s">
        <v>2847</v>
      </c>
      <c r="BK332" s="9" t="s">
        <v>2847</v>
      </c>
      <c r="BL332" s="9" t="s">
        <v>2847</v>
      </c>
      <c r="BM332" s="9" t="s">
        <v>2847</v>
      </c>
      <c r="BN332" s="9" t="s">
        <v>2847</v>
      </c>
      <c r="BO332" s="9" t="s">
        <v>2847</v>
      </c>
      <c r="BP332" s="9" t="s">
        <v>2847</v>
      </c>
      <c r="BQ332" s="9" t="s">
        <v>2847</v>
      </c>
      <c r="BR332" s="9" t="s">
        <v>2847</v>
      </c>
      <c r="BS332" s="9" t="s">
        <v>2847</v>
      </c>
      <c r="BT332" s="9" t="s">
        <v>2847</v>
      </c>
      <c r="BU332" s="9" t="s">
        <v>2847</v>
      </c>
      <c r="BV332" s="9" t="s">
        <v>2847</v>
      </c>
      <c r="BW332" s="9" t="s">
        <v>2847</v>
      </c>
      <c r="BX332" s="9" t="s">
        <v>2847</v>
      </c>
      <c r="BY332" s="9" t="s">
        <v>2847</v>
      </c>
      <c r="BZ332" s="9" t="s">
        <v>2847</v>
      </c>
      <c r="CA332" s="9" t="s">
        <v>2847</v>
      </c>
      <c r="CB332" s="9" t="s">
        <v>2847</v>
      </c>
      <c r="CC332" s="9" t="s">
        <v>2847</v>
      </c>
      <c r="CD332" s="9" t="s">
        <v>2847</v>
      </c>
      <c r="CE332" s="9" t="s">
        <v>2847</v>
      </c>
      <c r="CF332" s="9" t="s">
        <v>2847</v>
      </c>
      <c r="CG332" s="9" t="s">
        <v>2847</v>
      </c>
      <c r="CH332" s="9" t="s">
        <v>2847</v>
      </c>
      <c r="CI332" s="9" t="s">
        <v>2847</v>
      </c>
      <c r="CJ332" s="9" t="s">
        <v>2847</v>
      </c>
      <c r="CK332" s="9" t="s">
        <v>2847</v>
      </c>
      <c r="CL332" s="9" t="s">
        <v>2847</v>
      </c>
      <c r="CM332" s="9" t="s">
        <v>2847</v>
      </c>
      <c r="CN332" s="9" t="s">
        <v>2847</v>
      </c>
      <c r="CO332" s="9" t="s">
        <v>2847</v>
      </c>
      <c r="CP332" s="9" t="s">
        <v>2847</v>
      </c>
      <c r="CQ332" s="9" t="s">
        <v>2847</v>
      </c>
      <c r="CR332" s="9" t="s">
        <v>2847</v>
      </c>
      <c r="CS332" s="9" t="s">
        <v>2847</v>
      </c>
      <c r="CT332" s="9" t="s">
        <v>2847</v>
      </c>
      <c r="CU332" s="9" t="s">
        <v>2847</v>
      </c>
      <c r="CV332" s="9" t="s">
        <v>2847</v>
      </c>
      <c r="CW332" s="9" t="s">
        <v>2847</v>
      </c>
      <c r="CX332" s="9" t="s">
        <v>2847</v>
      </c>
      <c r="CY332" s="9" t="s">
        <v>2847</v>
      </c>
      <c r="CZ332" s="9" t="s">
        <v>2847</v>
      </c>
      <c r="DA332" s="9" t="s">
        <v>2847</v>
      </c>
      <c r="DB332" s="9" t="s">
        <v>2847</v>
      </c>
      <c r="DC332" s="9" t="s">
        <v>2847</v>
      </c>
      <c r="DD332" s="9" t="s">
        <v>2847</v>
      </c>
      <c r="DE332" s="9" t="s">
        <v>2847</v>
      </c>
      <c r="DF332" s="9" t="s">
        <v>2847</v>
      </c>
      <c r="DG332" s="9" t="s">
        <v>2847</v>
      </c>
      <c r="DH332" s="9" t="s">
        <v>2847</v>
      </c>
      <c r="DI332" s="9" t="s">
        <v>2847</v>
      </c>
      <c r="DJ332" s="9" t="s">
        <v>2847</v>
      </c>
      <c r="DK332" s="9" t="s">
        <v>2847</v>
      </c>
      <c r="DL332" s="9" t="s">
        <v>2847</v>
      </c>
      <c r="DM332" s="9" t="s">
        <v>2847</v>
      </c>
      <c r="DN332" s="9" t="s">
        <v>2847</v>
      </c>
      <c r="DO332" s="9" t="s">
        <v>2847</v>
      </c>
      <c r="DP332" s="9" t="s">
        <v>2847</v>
      </c>
      <c r="DQ332" s="9" t="s">
        <v>2847</v>
      </c>
    </row>
    <row r="333" spans="1:121" ht="15.75" customHeight="1">
      <c r="A333" s="87" t="s">
        <v>8608</v>
      </c>
      <c r="Z333" s="9" t="s">
        <v>2847</v>
      </c>
      <c r="AA333" s="9" t="s">
        <v>2847</v>
      </c>
      <c r="AB333" s="9" t="s">
        <v>2847</v>
      </c>
      <c r="AC333" s="9" t="s">
        <v>2847</v>
      </c>
      <c r="AD333" s="9" t="s">
        <v>2847</v>
      </c>
      <c r="AE333" s="9" t="s">
        <v>2847</v>
      </c>
      <c r="AF333" s="9" t="s">
        <v>2847</v>
      </c>
      <c r="AG333" s="9" t="s">
        <v>2847</v>
      </c>
      <c r="AH333" s="9" t="s">
        <v>2847</v>
      </c>
      <c r="AI333" s="9" t="s">
        <v>2847</v>
      </c>
      <c r="AJ333" s="9" t="s">
        <v>2847</v>
      </c>
      <c r="AK333" s="9" t="s">
        <v>2847</v>
      </c>
      <c r="AL333" s="9" t="s">
        <v>2847</v>
      </c>
      <c r="AM333" s="9" t="s">
        <v>2847</v>
      </c>
      <c r="AN333" s="9" t="s">
        <v>2847</v>
      </c>
      <c r="AO333" s="9" t="s">
        <v>2847</v>
      </c>
      <c r="AP333" s="9" t="s">
        <v>2847</v>
      </c>
      <c r="AQ333" s="9" t="s">
        <v>2847</v>
      </c>
      <c r="AR333" s="9" t="s">
        <v>2847</v>
      </c>
      <c r="AS333" s="9" t="s">
        <v>2847</v>
      </c>
      <c r="AT333" s="9" t="s">
        <v>2847</v>
      </c>
      <c r="AU333" s="9" t="s">
        <v>2847</v>
      </c>
      <c r="AV333" s="9" t="s">
        <v>2847</v>
      </c>
      <c r="AW333" s="9" t="s">
        <v>2847</v>
      </c>
      <c r="AX333" s="9" t="s">
        <v>2847</v>
      </c>
      <c r="AY333" s="9" t="s">
        <v>2847</v>
      </c>
      <c r="AZ333" s="9" t="s">
        <v>2847</v>
      </c>
      <c r="BA333" s="9" t="s">
        <v>2847</v>
      </c>
      <c r="BB333" s="9" t="s">
        <v>2847</v>
      </c>
      <c r="BC333" s="9" t="s">
        <v>2847</v>
      </c>
      <c r="BD333" s="9" t="s">
        <v>2847</v>
      </c>
      <c r="BE333" s="9" t="s">
        <v>2847</v>
      </c>
      <c r="BF333" s="9" t="s">
        <v>2847</v>
      </c>
      <c r="BG333" s="9" t="s">
        <v>2847</v>
      </c>
      <c r="BH333" s="9" t="s">
        <v>2847</v>
      </c>
      <c r="BI333" s="9" t="s">
        <v>2847</v>
      </c>
      <c r="BJ333" s="9" t="s">
        <v>2847</v>
      </c>
      <c r="BK333" s="9" t="s">
        <v>2847</v>
      </c>
      <c r="BL333" s="9" t="s">
        <v>2847</v>
      </c>
      <c r="BM333" s="9" t="s">
        <v>2847</v>
      </c>
      <c r="BN333" s="9" t="s">
        <v>2847</v>
      </c>
      <c r="BO333" s="9" t="s">
        <v>2847</v>
      </c>
      <c r="BP333" s="9" t="s">
        <v>2847</v>
      </c>
      <c r="BQ333" s="9" t="s">
        <v>2847</v>
      </c>
      <c r="BR333" s="9" t="s">
        <v>2847</v>
      </c>
      <c r="BS333" s="9" t="s">
        <v>2847</v>
      </c>
      <c r="BT333" s="9" t="s">
        <v>2847</v>
      </c>
      <c r="BU333" s="9" t="s">
        <v>2847</v>
      </c>
      <c r="BV333" s="9" t="s">
        <v>2847</v>
      </c>
      <c r="BW333" s="9" t="s">
        <v>2847</v>
      </c>
      <c r="BX333" s="9" t="s">
        <v>2847</v>
      </c>
      <c r="BY333" s="9" t="s">
        <v>2847</v>
      </c>
      <c r="BZ333" s="9" t="s">
        <v>2847</v>
      </c>
      <c r="CA333" s="9" t="s">
        <v>2847</v>
      </c>
      <c r="CB333" s="9" t="s">
        <v>2847</v>
      </c>
      <c r="CC333" s="9" t="s">
        <v>2847</v>
      </c>
      <c r="CD333" s="9" t="s">
        <v>2847</v>
      </c>
      <c r="CE333" s="9" t="s">
        <v>2847</v>
      </c>
      <c r="CF333" s="9" t="s">
        <v>2847</v>
      </c>
      <c r="CG333" s="9" t="s">
        <v>2847</v>
      </c>
      <c r="CH333" s="9" t="s">
        <v>2847</v>
      </c>
      <c r="CI333" s="9" t="s">
        <v>2847</v>
      </c>
      <c r="CJ333" s="9" t="s">
        <v>2847</v>
      </c>
      <c r="CK333" s="9" t="s">
        <v>2847</v>
      </c>
      <c r="CL333" s="9" t="s">
        <v>2847</v>
      </c>
      <c r="CM333" s="9" t="s">
        <v>2847</v>
      </c>
      <c r="CN333" s="9" t="s">
        <v>2847</v>
      </c>
      <c r="CO333" s="9" t="s">
        <v>2847</v>
      </c>
      <c r="CP333" s="9" t="s">
        <v>2847</v>
      </c>
      <c r="CQ333" s="9" t="s">
        <v>2847</v>
      </c>
      <c r="CR333" s="9" t="s">
        <v>2847</v>
      </c>
      <c r="CS333" s="9" t="s">
        <v>2847</v>
      </c>
      <c r="CT333" s="9" t="s">
        <v>2847</v>
      </c>
      <c r="CU333" s="9" t="s">
        <v>2847</v>
      </c>
      <c r="CV333" s="9" t="s">
        <v>2847</v>
      </c>
      <c r="CW333" s="9" t="s">
        <v>2847</v>
      </c>
      <c r="CX333" s="9" t="s">
        <v>2847</v>
      </c>
      <c r="CY333" s="9" t="s">
        <v>2847</v>
      </c>
      <c r="CZ333" s="9" t="s">
        <v>2847</v>
      </c>
      <c r="DA333" s="9" t="s">
        <v>2847</v>
      </c>
      <c r="DB333" s="9" t="s">
        <v>2847</v>
      </c>
      <c r="DC333" s="9" t="s">
        <v>2847</v>
      </c>
      <c r="DD333" s="9" t="s">
        <v>2847</v>
      </c>
      <c r="DE333" s="9" t="s">
        <v>2847</v>
      </c>
      <c r="DF333" s="9" t="s">
        <v>2847</v>
      </c>
      <c r="DG333" s="9" t="s">
        <v>2847</v>
      </c>
      <c r="DH333" s="9" t="s">
        <v>2847</v>
      </c>
      <c r="DI333" s="9" t="s">
        <v>2847</v>
      </c>
      <c r="DJ333" s="9" t="s">
        <v>2847</v>
      </c>
      <c r="DK333" s="9" t="s">
        <v>2847</v>
      </c>
      <c r="DL333" s="9" t="s">
        <v>2847</v>
      </c>
      <c r="DM333" s="9" t="s">
        <v>2847</v>
      </c>
      <c r="DN333" s="9" t="s">
        <v>2847</v>
      </c>
      <c r="DO333" s="9" t="s">
        <v>2847</v>
      </c>
      <c r="DP333" s="9" t="s">
        <v>2847</v>
      </c>
      <c r="DQ333" s="9" t="s">
        <v>2847</v>
      </c>
    </row>
    <row r="334" spans="1:121" ht="15.75" customHeight="1">
      <c r="A334" s="87" t="s">
        <v>8609</v>
      </c>
      <c r="Z334" s="9" t="s">
        <v>2847</v>
      </c>
      <c r="AA334" s="9" t="s">
        <v>2847</v>
      </c>
      <c r="AB334" s="9" t="s">
        <v>2847</v>
      </c>
      <c r="AC334" s="9" t="s">
        <v>2847</v>
      </c>
      <c r="AD334" s="9" t="s">
        <v>2847</v>
      </c>
      <c r="AE334" s="9" t="s">
        <v>2847</v>
      </c>
      <c r="AF334" s="9" t="s">
        <v>2847</v>
      </c>
      <c r="AG334" s="9" t="s">
        <v>2847</v>
      </c>
      <c r="AH334" s="9" t="s">
        <v>2847</v>
      </c>
      <c r="AI334" s="9" t="s">
        <v>2847</v>
      </c>
      <c r="AJ334" s="9" t="s">
        <v>2847</v>
      </c>
      <c r="AK334" s="9" t="s">
        <v>2847</v>
      </c>
      <c r="AL334" s="9" t="s">
        <v>2847</v>
      </c>
      <c r="AM334" s="9" t="s">
        <v>2847</v>
      </c>
      <c r="AN334" s="9" t="s">
        <v>2999</v>
      </c>
      <c r="AO334" s="9" t="s">
        <v>2999</v>
      </c>
      <c r="AP334" s="9" t="s">
        <v>2999</v>
      </c>
      <c r="AQ334" s="9" t="s">
        <v>2999</v>
      </c>
      <c r="AR334" s="9" t="s">
        <v>2999</v>
      </c>
      <c r="AS334" s="9" t="s">
        <v>2999</v>
      </c>
      <c r="AT334" s="9" t="s">
        <v>2999</v>
      </c>
      <c r="AU334" s="9" t="s">
        <v>2999</v>
      </c>
      <c r="AV334" s="9" t="s">
        <v>2999</v>
      </c>
      <c r="AW334" s="9" t="s">
        <v>2999</v>
      </c>
      <c r="AX334" s="9" t="s">
        <v>2999</v>
      </c>
      <c r="AY334" s="9" t="s">
        <v>2999</v>
      </c>
      <c r="AZ334" s="9" t="s">
        <v>2999</v>
      </c>
      <c r="BA334" s="9" t="s">
        <v>2999</v>
      </c>
      <c r="BB334" s="9" t="s">
        <v>2999</v>
      </c>
      <c r="BC334" s="9" t="s">
        <v>2999</v>
      </c>
      <c r="BD334" s="9" t="s">
        <v>2999</v>
      </c>
      <c r="BE334" s="9" t="s">
        <v>2999</v>
      </c>
      <c r="BF334" s="9" t="s">
        <v>2999</v>
      </c>
      <c r="BG334" s="9" t="s">
        <v>2999</v>
      </c>
      <c r="BH334" s="9" t="s">
        <v>2999</v>
      </c>
      <c r="BI334" s="9" t="s">
        <v>2999</v>
      </c>
      <c r="BJ334" s="9" t="s">
        <v>2999</v>
      </c>
      <c r="BK334" s="9" t="s">
        <v>2999</v>
      </c>
      <c r="BL334" s="9" t="s">
        <v>2999</v>
      </c>
      <c r="BM334" s="9" t="s">
        <v>2999</v>
      </c>
      <c r="BN334" s="9" t="s">
        <v>2999</v>
      </c>
      <c r="BO334" s="9" t="s">
        <v>2999</v>
      </c>
      <c r="BP334" s="9" t="s">
        <v>2999</v>
      </c>
      <c r="BQ334" s="9" t="s">
        <v>2999</v>
      </c>
      <c r="BR334" s="9" t="s">
        <v>2999</v>
      </c>
      <c r="BS334" s="9" t="s">
        <v>2999</v>
      </c>
      <c r="BT334" s="9" t="s">
        <v>2999</v>
      </c>
      <c r="BU334" s="9" t="s">
        <v>2999</v>
      </c>
      <c r="BV334" s="9" t="s">
        <v>2999</v>
      </c>
      <c r="BW334" s="9" t="s">
        <v>2999</v>
      </c>
      <c r="BX334" s="9" t="s">
        <v>2999</v>
      </c>
      <c r="BY334" s="9" t="s">
        <v>2999</v>
      </c>
      <c r="BZ334" s="9" t="s">
        <v>2999</v>
      </c>
      <c r="CA334" s="9" t="s">
        <v>2999</v>
      </c>
      <c r="CB334" s="9" t="s">
        <v>2999</v>
      </c>
      <c r="CC334" s="9" t="s">
        <v>2999</v>
      </c>
      <c r="CD334" s="9" t="s">
        <v>2999</v>
      </c>
      <c r="CE334" s="9" t="s">
        <v>2999</v>
      </c>
      <c r="CF334" s="9" t="s">
        <v>2999</v>
      </c>
      <c r="CG334" s="9" t="s">
        <v>2999</v>
      </c>
      <c r="CH334" s="9" t="s">
        <v>2999</v>
      </c>
      <c r="CI334" s="9" t="s">
        <v>2999</v>
      </c>
      <c r="CJ334" s="9" t="s">
        <v>2999</v>
      </c>
      <c r="CK334" s="9" t="s">
        <v>2999</v>
      </c>
      <c r="CL334" s="9" t="s">
        <v>2999</v>
      </c>
      <c r="CM334" s="9" t="s">
        <v>2999</v>
      </c>
      <c r="CN334" s="9" t="s">
        <v>2999</v>
      </c>
      <c r="CO334" s="9" t="s">
        <v>2999</v>
      </c>
      <c r="CP334" s="9" t="s">
        <v>2999</v>
      </c>
      <c r="CQ334" s="9" t="s">
        <v>2999</v>
      </c>
      <c r="CR334" s="9" t="s">
        <v>2999</v>
      </c>
      <c r="CS334" s="9" t="s">
        <v>2999</v>
      </c>
      <c r="CT334" s="9" t="s">
        <v>2999</v>
      </c>
      <c r="CU334" s="9" t="s">
        <v>2999</v>
      </c>
      <c r="CV334" s="9" t="s">
        <v>2999</v>
      </c>
      <c r="CW334" s="9" t="s">
        <v>2999</v>
      </c>
      <c r="CX334" s="9" t="s">
        <v>2999</v>
      </c>
      <c r="CY334" s="9" t="s">
        <v>2999</v>
      </c>
      <c r="CZ334" s="9" t="s">
        <v>2999</v>
      </c>
      <c r="DA334" s="9" t="s">
        <v>2999</v>
      </c>
      <c r="DB334" s="9" t="s">
        <v>2999</v>
      </c>
      <c r="DC334" s="9" t="s">
        <v>2999</v>
      </c>
      <c r="DD334" s="9" t="s">
        <v>2999</v>
      </c>
      <c r="DE334" s="9" t="s">
        <v>2999</v>
      </c>
      <c r="DF334" s="9" t="s">
        <v>2999</v>
      </c>
      <c r="DG334" s="9" t="s">
        <v>2999</v>
      </c>
      <c r="DH334" s="9" t="s">
        <v>2999</v>
      </c>
      <c r="DI334" s="9" t="s">
        <v>2999</v>
      </c>
      <c r="DJ334" s="9" t="s">
        <v>2999</v>
      </c>
      <c r="DK334" s="9" t="s">
        <v>2999</v>
      </c>
      <c r="DL334" s="9" t="s">
        <v>2999</v>
      </c>
      <c r="DM334" s="9" t="s">
        <v>2999</v>
      </c>
      <c r="DN334" s="9" t="s">
        <v>2999</v>
      </c>
      <c r="DO334" s="9" t="s">
        <v>2999</v>
      </c>
      <c r="DP334" s="9" t="s">
        <v>2999</v>
      </c>
      <c r="DQ334" s="9" t="s">
        <v>2999</v>
      </c>
    </row>
    <row r="335" spans="1:121" ht="15.75" customHeight="1">
      <c r="A335" s="87" t="s">
        <v>8610</v>
      </c>
      <c r="Z335" s="9" t="s">
        <v>2999</v>
      </c>
      <c r="AA335" s="9" t="s">
        <v>2999</v>
      </c>
      <c r="AB335" s="9" t="s">
        <v>2999</v>
      </c>
      <c r="AC335" s="9" t="s">
        <v>2999</v>
      </c>
      <c r="AD335" s="9" t="s">
        <v>2999</v>
      </c>
      <c r="AE335" s="9" t="s">
        <v>2999</v>
      </c>
      <c r="AF335" s="9" t="s">
        <v>2999</v>
      </c>
      <c r="AG335" s="9" t="s">
        <v>2999</v>
      </c>
      <c r="AH335" s="9" t="s">
        <v>2999</v>
      </c>
      <c r="AI335" s="9" t="s">
        <v>2999</v>
      </c>
      <c r="AJ335" s="9" t="s">
        <v>2999</v>
      </c>
      <c r="AK335" s="9" t="s">
        <v>2999</v>
      </c>
      <c r="AL335" s="9" t="s">
        <v>2999</v>
      </c>
      <c r="AM335" s="9" t="s">
        <v>2999</v>
      </c>
      <c r="AN335" s="9" t="s">
        <v>2999</v>
      </c>
      <c r="AO335" s="9" t="s">
        <v>2999</v>
      </c>
      <c r="AP335" s="9" t="s">
        <v>2999</v>
      </c>
      <c r="AQ335" s="9" t="s">
        <v>2999</v>
      </c>
      <c r="AR335" s="9" t="s">
        <v>2999</v>
      </c>
      <c r="AS335" s="9" t="s">
        <v>2999</v>
      </c>
      <c r="AT335" s="9" t="s">
        <v>2999</v>
      </c>
      <c r="AU335" s="9" t="s">
        <v>2999</v>
      </c>
      <c r="AV335" s="9" t="s">
        <v>2999</v>
      </c>
      <c r="AW335" s="9" t="s">
        <v>2999</v>
      </c>
      <c r="AX335" s="9" t="s">
        <v>2999</v>
      </c>
      <c r="AY335" s="9" t="s">
        <v>2999</v>
      </c>
      <c r="AZ335" s="9" t="s">
        <v>2999</v>
      </c>
      <c r="BA335" s="9" t="s">
        <v>2999</v>
      </c>
      <c r="BB335" s="9" t="s">
        <v>2999</v>
      </c>
      <c r="BC335" s="9" t="s">
        <v>2999</v>
      </c>
      <c r="BD335" s="9" t="s">
        <v>2999</v>
      </c>
      <c r="BE335" s="9" t="s">
        <v>2999</v>
      </c>
      <c r="BF335" s="9" t="s">
        <v>2999</v>
      </c>
      <c r="BG335" s="9" t="s">
        <v>2999</v>
      </c>
      <c r="BH335" s="9" t="s">
        <v>2999</v>
      </c>
      <c r="BI335" s="9" t="s">
        <v>2999</v>
      </c>
      <c r="BJ335" s="9" t="s">
        <v>2999</v>
      </c>
      <c r="BK335" s="9" t="s">
        <v>2999</v>
      </c>
      <c r="BL335" s="9" t="s">
        <v>2894</v>
      </c>
      <c r="BM335" s="9" t="s">
        <v>2894</v>
      </c>
      <c r="BN335" s="9" t="s">
        <v>2894</v>
      </c>
      <c r="BO335" s="9" t="s">
        <v>2894</v>
      </c>
      <c r="BP335" s="9" t="s">
        <v>2894</v>
      </c>
      <c r="BQ335" s="9" t="s">
        <v>2894</v>
      </c>
      <c r="BR335" s="9" t="s">
        <v>2894</v>
      </c>
      <c r="BS335" s="9" t="s">
        <v>2894</v>
      </c>
      <c r="BT335" s="9" t="s">
        <v>2894</v>
      </c>
      <c r="BU335" s="9" t="s">
        <v>2894</v>
      </c>
      <c r="BV335" s="9" t="s">
        <v>2894</v>
      </c>
      <c r="BW335" s="9" t="s">
        <v>2894</v>
      </c>
      <c r="BX335" s="9" t="s">
        <v>2894</v>
      </c>
      <c r="BY335" s="9" t="s">
        <v>2894</v>
      </c>
      <c r="BZ335" s="9" t="s">
        <v>2894</v>
      </c>
      <c r="CA335" s="9" t="s">
        <v>2894</v>
      </c>
      <c r="CB335" s="9" t="s">
        <v>2894</v>
      </c>
      <c r="CC335" s="9" t="s">
        <v>2894</v>
      </c>
      <c r="CD335" s="9" t="s">
        <v>2894</v>
      </c>
      <c r="CE335" s="9" t="s">
        <v>2894</v>
      </c>
      <c r="CF335" s="9" t="s">
        <v>2894</v>
      </c>
      <c r="CG335" s="9" t="s">
        <v>2894</v>
      </c>
      <c r="CH335" s="9" t="s">
        <v>2894</v>
      </c>
      <c r="CI335" s="9" t="s">
        <v>2894</v>
      </c>
      <c r="CJ335" s="9" t="s">
        <v>2894</v>
      </c>
      <c r="CK335" s="9" t="s">
        <v>2894</v>
      </c>
      <c r="CL335" s="9" t="s">
        <v>2894</v>
      </c>
      <c r="CM335" s="9" t="s">
        <v>2894</v>
      </c>
      <c r="CN335" s="9" t="s">
        <v>2894</v>
      </c>
      <c r="CO335" s="9" t="s">
        <v>2894</v>
      </c>
      <c r="CP335" s="9" t="s">
        <v>2894</v>
      </c>
      <c r="CQ335" s="9" t="s">
        <v>2894</v>
      </c>
      <c r="CR335" s="9" t="s">
        <v>2894</v>
      </c>
      <c r="CS335" s="9" t="s">
        <v>2894</v>
      </c>
      <c r="CT335" s="9" t="s">
        <v>2894</v>
      </c>
      <c r="CU335" s="9" t="s">
        <v>2894</v>
      </c>
      <c r="CV335" s="9" t="s">
        <v>2894</v>
      </c>
      <c r="CW335" s="9" t="s">
        <v>2894</v>
      </c>
      <c r="CX335" s="9" t="s">
        <v>2894</v>
      </c>
      <c r="CY335" s="9" t="s">
        <v>2894</v>
      </c>
      <c r="CZ335" s="9" t="s">
        <v>2894</v>
      </c>
      <c r="DA335" s="9" t="s">
        <v>2894</v>
      </c>
      <c r="DB335" s="9" t="s">
        <v>2894</v>
      </c>
      <c r="DC335" s="9" t="s">
        <v>2894</v>
      </c>
      <c r="DD335" s="9" t="s">
        <v>2894</v>
      </c>
      <c r="DE335" s="9" t="s">
        <v>2894</v>
      </c>
      <c r="DF335" s="9" t="s">
        <v>2894</v>
      </c>
      <c r="DG335" s="9" t="s">
        <v>2894</v>
      </c>
      <c r="DH335" s="9" t="s">
        <v>2894</v>
      </c>
      <c r="DI335" s="9" t="s">
        <v>2894</v>
      </c>
      <c r="DJ335" s="9" t="s">
        <v>2894</v>
      </c>
      <c r="DK335" s="9" t="s">
        <v>2894</v>
      </c>
      <c r="DL335" s="9" t="s">
        <v>2894</v>
      </c>
      <c r="DM335" s="9" t="s">
        <v>2894</v>
      </c>
      <c r="DN335" s="9" t="s">
        <v>2894</v>
      </c>
      <c r="DO335" s="9" t="s">
        <v>2894</v>
      </c>
      <c r="DP335" s="9" t="s">
        <v>2894</v>
      </c>
      <c r="DQ335" s="9" t="s">
        <v>2894</v>
      </c>
    </row>
    <row r="336" spans="1:121" ht="15.75" customHeight="1">
      <c r="A336" s="87" t="s">
        <v>8611</v>
      </c>
      <c r="Z336" s="9" t="s">
        <v>2894</v>
      </c>
      <c r="AA336" s="9" t="s">
        <v>2894</v>
      </c>
      <c r="AB336" s="9" t="s">
        <v>2894</v>
      </c>
      <c r="AC336" s="9" t="s">
        <v>2894</v>
      </c>
      <c r="AD336" s="9" t="s">
        <v>2894</v>
      </c>
      <c r="AE336" s="9" t="s">
        <v>2894</v>
      </c>
      <c r="AF336" s="9" t="s">
        <v>2894</v>
      </c>
      <c r="AG336" s="9" t="s">
        <v>2894</v>
      </c>
      <c r="AH336" s="9" t="s">
        <v>2894</v>
      </c>
      <c r="AI336" s="9" t="s">
        <v>2894</v>
      </c>
      <c r="AJ336" s="9" t="s">
        <v>2894</v>
      </c>
      <c r="AK336" s="9" t="s">
        <v>2894</v>
      </c>
      <c r="AL336" s="9" t="s">
        <v>2894</v>
      </c>
      <c r="AM336" s="9" t="s">
        <v>2894</v>
      </c>
      <c r="AN336" s="9" t="s">
        <v>2894</v>
      </c>
      <c r="AO336" s="9" t="s">
        <v>2894</v>
      </c>
      <c r="AP336" s="9" t="s">
        <v>2894</v>
      </c>
      <c r="AQ336" s="9" t="s">
        <v>2894</v>
      </c>
      <c r="AR336" s="9" t="s">
        <v>2894</v>
      </c>
      <c r="AS336" s="9" t="s">
        <v>2894</v>
      </c>
      <c r="AT336" s="9" t="s">
        <v>2894</v>
      </c>
      <c r="AU336" s="9" t="s">
        <v>2894</v>
      </c>
      <c r="AV336" s="9" t="s">
        <v>2894</v>
      </c>
      <c r="AW336" s="9" t="s">
        <v>2894</v>
      </c>
      <c r="AX336" s="9" t="s">
        <v>2894</v>
      </c>
      <c r="AY336" s="9" t="s">
        <v>2894</v>
      </c>
      <c r="AZ336" s="9" t="s">
        <v>2894</v>
      </c>
      <c r="BA336" s="9" t="s">
        <v>2894</v>
      </c>
      <c r="BB336" s="9" t="s">
        <v>2911</v>
      </c>
      <c r="BC336" s="9" t="s">
        <v>2911</v>
      </c>
      <c r="BD336" s="9" t="s">
        <v>2911</v>
      </c>
      <c r="BE336" s="9" t="s">
        <v>2911</v>
      </c>
      <c r="BF336" s="9" t="s">
        <v>2911</v>
      </c>
      <c r="BG336" s="9" t="s">
        <v>2911</v>
      </c>
      <c r="BH336" s="9" t="s">
        <v>2911</v>
      </c>
      <c r="BI336" s="9" t="s">
        <v>2911</v>
      </c>
      <c r="BJ336" s="9" t="s">
        <v>2911</v>
      </c>
      <c r="BK336" s="9" t="s">
        <v>2911</v>
      </c>
      <c r="BL336" s="9" t="s">
        <v>2911</v>
      </c>
      <c r="BM336" s="9" t="s">
        <v>2911</v>
      </c>
      <c r="BN336" s="9" t="s">
        <v>2911</v>
      </c>
      <c r="BO336" s="9" t="s">
        <v>2911</v>
      </c>
      <c r="BP336" s="9" t="s">
        <v>2911</v>
      </c>
      <c r="BQ336" s="9" t="s">
        <v>2911</v>
      </c>
      <c r="BR336" s="9" t="s">
        <v>2911</v>
      </c>
      <c r="BS336" s="9" t="s">
        <v>2911</v>
      </c>
      <c r="BT336" s="9" t="s">
        <v>2911</v>
      </c>
      <c r="BU336" s="9" t="s">
        <v>2911</v>
      </c>
      <c r="BV336" s="9" t="s">
        <v>2911</v>
      </c>
      <c r="BW336" s="9" t="s">
        <v>2911</v>
      </c>
      <c r="BX336" s="9" t="s">
        <v>2911</v>
      </c>
      <c r="BY336" s="9" t="s">
        <v>2911</v>
      </c>
      <c r="BZ336" s="9" t="s">
        <v>2911</v>
      </c>
      <c r="CA336" s="9" t="s">
        <v>2911</v>
      </c>
      <c r="CB336" s="9" t="s">
        <v>2911</v>
      </c>
      <c r="CC336" s="9" t="s">
        <v>2911</v>
      </c>
      <c r="CD336" s="9" t="s">
        <v>2911</v>
      </c>
      <c r="CE336" s="9" t="s">
        <v>2911</v>
      </c>
      <c r="CF336" s="9" t="s">
        <v>2911</v>
      </c>
      <c r="CG336" s="9" t="s">
        <v>2911</v>
      </c>
      <c r="CH336" s="9" t="s">
        <v>2911</v>
      </c>
      <c r="CI336" s="9" t="s">
        <v>2911</v>
      </c>
      <c r="CJ336" s="9" t="s">
        <v>2911</v>
      </c>
      <c r="CK336" s="9" t="s">
        <v>2911</v>
      </c>
      <c r="CL336" s="9" t="s">
        <v>2911</v>
      </c>
      <c r="CM336" s="9" t="s">
        <v>2911</v>
      </c>
      <c r="CN336" s="9" t="s">
        <v>2911</v>
      </c>
      <c r="CO336" s="9" t="s">
        <v>2911</v>
      </c>
      <c r="CP336" s="9" t="s">
        <v>2911</v>
      </c>
      <c r="CQ336" s="9" t="s">
        <v>2911</v>
      </c>
      <c r="CR336" s="9" t="s">
        <v>2911</v>
      </c>
      <c r="CS336" s="9" t="s">
        <v>2911</v>
      </c>
      <c r="CT336" s="9" t="s">
        <v>2911</v>
      </c>
      <c r="CU336" s="9" t="s">
        <v>2911</v>
      </c>
      <c r="CV336" s="9" t="s">
        <v>2911</v>
      </c>
      <c r="CW336" s="9" t="s">
        <v>2911</v>
      </c>
      <c r="CX336" s="9" t="s">
        <v>2911</v>
      </c>
      <c r="CY336" s="9" t="s">
        <v>2911</v>
      </c>
      <c r="CZ336" s="9" t="s">
        <v>2911</v>
      </c>
      <c r="DA336" s="9" t="s">
        <v>2911</v>
      </c>
      <c r="DB336" s="9" t="s">
        <v>2911</v>
      </c>
      <c r="DC336" s="9" t="s">
        <v>2911</v>
      </c>
      <c r="DD336" s="9" t="s">
        <v>2911</v>
      </c>
      <c r="DE336" s="9" t="s">
        <v>2911</v>
      </c>
      <c r="DF336" s="9" t="s">
        <v>2911</v>
      </c>
      <c r="DG336" s="9" t="s">
        <v>2911</v>
      </c>
      <c r="DH336" s="9" t="s">
        <v>2911</v>
      </c>
      <c r="DI336" s="9" t="s">
        <v>2911</v>
      </c>
      <c r="DJ336" s="9" t="s">
        <v>2911</v>
      </c>
      <c r="DK336" s="9" t="s">
        <v>2911</v>
      </c>
      <c r="DL336" s="9" t="s">
        <v>2911</v>
      </c>
      <c r="DM336" s="9" t="s">
        <v>2911</v>
      </c>
      <c r="DN336" s="9" t="s">
        <v>2911</v>
      </c>
      <c r="DO336" s="9" t="s">
        <v>2911</v>
      </c>
      <c r="DP336" s="9" t="s">
        <v>2911</v>
      </c>
      <c r="DQ336" s="9" t="s">
        <v>2911</v>
      </c>
    </row>
    <row r="337" spans="1:121" ht="15.75" customHeight="1">
      <c r="A337" s="87" t="s">
        <v>8612</v>
      </c>
      <c r="Z337" s="9" t="s">
        <v>2911</v>
      </c>
      <c r="AA337" s="9" t="s">
        <v>2911</v>
      </c>
      <c r="AB337" s="9" t="s">
        <v>2911</v>
      </c>
      <c r="AC337" s="9" t="s">
        <v>2911</v>
      </c>
      <c r="AD337" s="9" t="s">
        <v>2911</v>
      </c>
      <c r="AE337" s="9" t="s">
        <v>2911</v>
      </c>
      <c r="AF337" s="9" t="s">
        <v>2911</v>
      </c>
      <c r="AG337" s="9" t="s">
        <v>2911</v>
      </c>
      <c r="AH337" s="9" t="s">
        <v>2911</v>
      </c>
      <c r="AI337" s="9" t="s">
        <v>2911</v>
      </c>
      <c r="AJ337" s="9" t="s">
        <v>2911</v>
      </c>
      <c r="AK337" s="9" t="s">
        <v>2911</v>
      </c>
      <c r="AL337" s="9" t="s">
        <v>2911</v>
      </c>
      <c r="AM337" s="9" t="s">
        <v>2911</v>
      </c>
      <c r="AN337" s="9" t="s">
        <v>2911</v>
      </c>
      <c r="AO337" s="9" t="s">
        <v>2911</v>
      </c>
      <c r="AP337" s="9" t="s">
        <v>2911</v>
      </c>
      <c r="AQ337" s="9" t="s">
        <v>2911</v>
      </c>
      <c r="AR337" s="9" t="s">
        <v>2911</v>
      </c>
      <c r="AS337" s="9" t="s">
        <v>2911</v>
      </c>
      <c r="AT337" s="9" t="s">
        <v>2911</v>
      </c>
      <c r="AU337" s="9" t="s">
        <v>2911</v>
      </c>
      <c r="AV337" s="9" t="s">
        <v>2911</v>
      </c>
      <c r="AW337" s="9" t="s">
        <v>2911</v>
      </c>
      <c r="AX337" s="9" t="s">
        <v>2911</v>
      </c>
      <c r="AY337" s="9" t="s">
        <v>2911</v>
      </c>
      <c r="AZ337" s="9" t="s">
        <v>2911</v>
      </c>
      <c r="BA337" s="9" t="s">
        <v>2911</v>
      </c>
      <c r="BB337" s="9" t="s">
        <v>2911</v>
      </c>
      <c r="BC337" s="9" t="s">
        <v>2911</v>
      </c>
      <c r="BD337" s="9" t="s">
        <v>2911</v>
      </c>
      <c r="BE337" s="9" t="s">
        <v>2911</v>
      </c>
      <c r="BF337" s="9" t="s">
        <v>2911</v>
      </c>
      <c r="BG337" s="9" t="s">
        <v>2911</v>
      </c>
      <c r="BH337" s="9" t="s">
        <v>2911</v>
      </c>
      <c r="BI337" s="9" t="s">
        <v>2911</v>
      </c>
      <c r="BJ337" s="9" t="s">
        <v>2911</v>
      </c>
      <c r="BK337" s="9" t="s">
        <v>2911</v>
      </c>
      <c r="BL337" s="9" t="s">
        <v>2911</v>
      </c>
      <c r="BM337" s="9" t="s">
        <v>2911</v>
      </c>
      <c r="BN337" s="9" t="s">
        <v>2911</v>
      </c>
      <c r="BO337" s="9" t="s">
        <v>2911</v>
      </c>
      <c r="BP337" s="9" t="s">
        <v>2911</v>
      </c>
      <c r="BQ337" s="9" t="s">
        <v>2911</v>
      </c>
      <c r="BR337" s="9" t="s">
        <v>3011</v>
      </c>
      <c r="BS337" s="9" t="s">
        <v>3011</v>
      </c>
      <c r="BT337" s="9" t="s">
        <v>3011</v>
      </c>
      <c r="BU337" s="9" t="s">
        <v>3011</v>
      </c>
      <c r="BV337" s="9" t="s">
        <v>3011</v>
      </c>
      <c r="BW337" s="9" t="s">
        <v>3011</v>
      </c>
      <c r="BX337" s="9" t="s">
        <v>3011</v>
      </c>
      <c r="BY337" s="9" t="s">
        <v>3011</v>
      </c>
      <c r="BZ337" s="9" t="s">
        <v>3011</v>
      </c>
      <c r="CA337" s="9" t="s">
        <v>3011</v>
      </c>
      <c r="CB337" s="9" t="s">
        <v>3011</v>
      </c>
      <c r="CC337" s="9" t="s">
        <v>3011</v>
      </c>
      <c r="CD337" s="9" t="s">
        <v>3011</v>
      </c>
      <c r="CE337" s="9" t="s">
        <v>3011</v>
      </c>
      <c r="CF337" s="9" t="s">
        <v>3011</v>
      </c>
      <c r="CG337" s="9" t="s">
        <v>3011</v>
      </c>
      <c r="CH337" s="9" t="s">
        <v>3011</v>
      </c>
      <c r="CI337" s="9" t="s">
        <v>3011</v>
      </c>
      <c r="CJ337" s="9" t="s">
        <v>3011</v>
      </c>
      <c r="CK337" s="9" t="s">
        <v>3011</v>
      </c>
      <c r="CL337" s="9" t="s">
        <v>3011</v>
      </c>
      <c r="CM337" s="9" t="s">
        <v>3011</v>
      </c>
      <c r="CN337" s="9" t="s">
        <v>3011</v>
      </c>
      <c r="CO337" s="9" t="s">
        <v>3011</v>
      </c>
      <c r="CP337" s="9" t="s">
        <v>3011</v>
      </c>
      <c r="CQ337" s="9" t="s">
        <v>3011</v>
      </c>
      <c r="CR337" s="9" t="s">
        <v>3011</v>
      </c>
      <c r="CS337" s="9" t="s">
        <v>3011</v>
      </c>
      <c r="CT337" s="9" t="s">
        <v>3011</v>
      </c>
      <c r="CU337" s="9" t="s">
        <v>3011</v>
      </c>
      <c r="CV337" s="9" t="s">
        <v>3011</v>
      </c>
      <c r="CW337" s="9" t="s">
        <v>3011</v>
      </c>
      <c r="CX337" s="9" t="s">
        <v>3011</v>
      </c>
      <c r="CY337" s="9" t="s">
        <v>3011</v>
      </c>
      <c r="CZ337" s="9" t="s">
        <v>3011</v>
      </c>
      <c r="DA337" s="9" t="s">
        <v>3011</v>
      </c>
      <c r="DB337" s="9" t="s">
        <v>3011</v>
      </c>
      <c r="DC337" s="9" t="s">
        <v>3011</v>
      </c>
      <c r="DD337" s="9" t="s">
        <v>3011</v>
      </c>
      <c r="DE337" s="9" t="s">
        <v>3011</v>
      </c>
      <c r="DF337" s="9" t="s">
        <v>3011</v>
      </c>
      <c r="DG337" s="9" t="s">
        <v>3011</v>
      </c>
      <c r="DH337" s="9" t="s">
        <v>3011</v>
      </c>
      <c r="DI337" s="9" t="s">
        <v>3011</v>
      </c>
      <c r="DJ337" s="9" t="s">
        <v>3011</v>
      </c>
      <c r="DK337" s="9" t="s">
        <v>3011</v>
      </c>
      <c r="DL337" s="9" t="s">
        <v>3011</v>
      </c>
      <c r="DM337" s="9" t="s">
        <v>3011</v>
      </c>
      <c r="DN337" s="9" t="s">
        <v>3011</v>
      </c>
      <c r="DO337" s="9" t="s">
        <v>3011</v>
      </c>
      <c r="DP337" s="9" t="s">
        <v>3011</v>
      </c>
      <c r="DQ337" s="9" t="s">
        <v>3011</v>
      </c>
    </row>
    <row r="338" spans="1:121" ht="15.75" customHeight="1">
      <c r="A338" s="87" t="s">
        <v>8613</v>
      </c>
      <c r="Z338" s="9" t="s">
        <v>3011</v>
      </c>
      <c r="AA338" s="9" t="s">
        <v>3011</v>
      </c>
      <c r="AB338" s="9" t="s">
        <v>3011</v>
      </c>
      <c r="AC338" s="9" t="s">
        <v>3011</v>
      </c>
      <c r="AD338" s="9" t="s">
        <v>3011</v>
      </c>
      <c r="AE338" s="9" t="s">
        <v>3011</v>
      </c>
      <c r="AF338" s="9" t="s">
        <v>3011</v>
      </c>
      <c r="AG338" s="9" t="s">
        <v>3011</v>
      </c>
      <c r="AH338" s="9" t="s">
        <v>3011</v>
      </c>
      <c r="AI338" s="9" t="s">
        <v>3011</v>
      </c>
      <c r="AJ338" s="9" t="s">
        <v>3011</v>
      </c>
      <c r="AK338" s="9" t="s">
        <v>3011</v>
      </c>
      <c r="AL338" s="9" t="s">
        <v>3011</v>
      </c>
      <c r="AM338" s="9" t="s">
        <v>3011</v>
      </c>
      <c r="AN338" s="9" t="s">
        <v>3011</v>
      </c>
      <c r="AO338" s="9" t="s">
        <v>3011</v>
      </c>
      <c r="AP338" s="9" t="s">
        <v>3011</v>
      </c>
      <c r="AQ338" s="9" t="s">
        <v>3011</v>
      </c>
      <c r="AR338" s="9" t="s">
        <v>3011</v>
      </c>
      <c r="AS338" s="9" t="s">
        <v>3011</v>
      </c>
      <c r="AT338" s="9" t="s">
        <v>3011</v>
      </c>
      <c r="AU338" s="9" t="s">
        <v>3011</v>
      </c>
      <c r="AV338" s="9" t="s">
        <v>3011</v>
      </c>
      <c r="AW338" s="9" t="s">
        <v>3011</v>
      </c>
      <c r="AX338" s="9" t="s">
        <v>3011</v>
      </c>
      <c r="AY338" s="9" t="s">
        <v>3011</v>
      </c>
      <c r="AZ338" s="9" t="s">
        <v>3011</v>
      </c>
      <c r="BA338" s="9" t="s">
        <v>3011</v>
      </c>
      <c r="BB338" s="9" t="s">
        <v>3011</v>
      </c>
      <c r="BC338" s="9" t="s">
        <v>3011</v>
      </c>
      <c r="BD338" s="9" t="s">
        <v>3011</v>
      </c>
      <c r="BE338" s="9" t="s">
        <v>3011</v>
      </c>
      <c r="BF338" s="9" t="s">
        <v>3011</v>
      </c>
      <c r="BG338" s="9" t="s">
        <v>3011</v>
      </c>
      <c r="BH338" s="9" t="s">
        <v>3011</v>
      </c>
      <c r="BI338" s="9" t="s">
        <v>3011</v>
      </c>
      <c r="BJ338" s="9" t="s">
        <v>3011</v>
      </c>
      <c r="BK338" s="9" t="s">
        <v>3011</v>
      </c>
      <c r="BL338" s="9" t="s">
        <v>3011</v>
      </c>
      <c r="BM338" s="9" t="s">
        <v>3011</v>
      </c>
      <c r="BN338" s="9" t="s">
        <v>3011</v>
      </c>
      <c r="BO338" s="9" t="s">
        <v>3011</v>
      </c>
      <c r="BP338" s="9" t="s">
        <v>3011</v>
      </c>
      <c r="BQ338" s="9" t="s">
        <v>3011</v>
      </c>
      <c r="BR338" s="9" t="s">
        <v>3011</v>
      </c>
      <c r="BS338" s="9" t="s">
        <v>3011</v>
      </c>
      <c r="BT338" s="9" t="s">
        <v>3011</v>
      </c>
      <c r="BU338" s="9" t="s">
        <v>3011</v>
      </c>
      <c r="BV338" s="9" t="s">
        <v>3011</v>
      </c>
      <c r="BW338" s="9" t="s">
        <v>3011</v>
      </c>
      <c r="BX338" s="9" t="s">
        <v>3011</v>
      </c>
      <c r="BY338" s="9" t="s">
        <v>3011</v>
      </c>
      <c r="BZ338" s="9" t="s">
        <v>3011</v>
      </c>
      <c r="CA338" s="9" t="s">
        <v>3011</v>
      </c>
      <c r="CB338" s="9" t="s">
        <v>3011</v>
      </c>
      <c r="CC338" s="9" t="s">
        <v>3011</v>
      </c>
      <c r="CD338" s="9" t="s">
        <v>3011</v>
      </c>
      <c r="CE338" s="9" t="s">
        <v>3011</v>
      </c>
      <c r="CF338" s="9" t="s">
        <v>3011</v>
      </c>
      <c r="CG338" s="9" t="s">
        <v>3011</v>
      </c>
      <c r="CH338" s="9" t="s">
        <v>3011</v>
      </c>
      <c r="CI338" s="9" t="s">
        <v>3011</v>
      </c>
      <c r="CJ338" s="9" t="s">
        <v>3011</v>
      </c>
      <c r="CK338" s="9" t="s">
        <v>3011</v>
      </c>
      <c r="CL338" s="9" t="s">
        <v>3011</v>
      </c>
      <c r="CM338" s="9" t="s">
        <v>3011</v>
      </c>
      <c r="CN338" s="9" t="s">
        <v>3011</v>
      </c>
      <c r="CO338" s="9" t="s">
        <v>3011</v>
      </c>
      <c r="CP338" s="9" t="s">
        <v>3011</v>
      </c>
      <c r="CQ338" s="9" t="s">
        <v>3011</v>
      </c>
      <c r="CR338" s="9" t="s">
        <v>3011</v>
      </c>
      <c r="CS338" s="9" t="s">
        <v>3011</v>
      </c>
      <c r="CT338" s="9" t="s">
        <v>3011</v>
      </c>
      <c r="CU338" s="9" t="s">
        <v>3011</v>
      </c>
      <c r="CV338" s="9" t="s">
        <v>3011</v>
      </c>
      <c r="CW338" s="9" t="s">
        <v>3011</v>
      </c>
      <c r="CX338" s="9" t="s">
        <v>3011</v>
      </c>
      <c r="CY338" s="9" t="s">
        <v>3011</v>
      </c>
      <c r="CZ338" s="9" t="s">
        <v>3011</v>
      </c>
      <c r="DA338" s="9" t="s">
        <v>3011</v>
      </c>
      <c r="DB338" s="9" t="s">
        <v>3011</v>
      </c>
      <c r="DC338" s="9" t="s">
        <v>3011</v>
      </c>
      <c r="DD338" s="9" t="s">
        <v>2891</v>
      </c>
      <c r="DE338" s="9" t="s">
        <v>2891</v>
      </c>
      <c r="DF338" s="9" t="s">
        <v>2891</v>
      </c>
      <c r="DG338" s="9" t="s">
        <v>2891</v>
      </c>
      <c r="DH338" s="9" t="s">
        <v>2891</v>
      </c>
      <c r="DI338" s="9" t="s">
        <v>2891</v>
      </c>
      <c r="DJ338" s="9" t="s">
        <v>2891</v>
      </c>
      <c r="DK338" s="9" t="s">
        <v>2891</v>
      </c>
      <c r="DL338" s="9" t="s">
        <v>2891</v>
      </c>
      <c r="DM338" s="9" t="s">
        <v>2891</v>
      </c>
      <c r="DN338" s="9" t="s">
        <v>2891</v>
      </c>
      <c r="DO338" s="9" t="s">
        <v>2891</v>
      </c>
      <c r="DP338" s="9" t="s">
        <v>2891</v>
      </c>
      <c r="DQ338" s="9" t="s">
        <v>2891</v>
      </c>
    </row>
    <row r="339" spans="1:121" ht="15.75" customHeight="1">
      <c r="A339" s="87" t="s">
        <v>8614</v>
      </c>
      <c r="Z339" s="9" t="s">
        <v>2891</v>
      </c>
      <c r="AA339" s="9" t="s">
        <v>2891</v>
      </c>
      <c r="AB339" s="9" t="s">
        <v>2891</v>
      </c>
      <c r="AC339" s="9" t="s">
        <v>2891</v>
      </c>
      <c r="AD339" s="9" t="s">
        <v>2891</v>
      </c>
      <c r="AE339" s="9" t="s">
        <v>2891</v>
      </c>
      <c r="AF339" s="9" t="s">
        <v>2891</v>
      </c>
      <c r="AG339" s="9" t="s">
        <v>2891</v>
      </c>
      <c r="AH339" s="9" t="s">
        <v>2891</v>
      </c>
      <c r="AI339" s="9" t="s">
        <v>2891</v>
      </c>
      <c r="AJ339" s="9" t="s">
        <v>3028</v>
      </c>
      <c r="AK339" s="9" t="s">
        <v>3028</v>
      </c>
      <c r="AL339" s="9" t="s">
        <v>3028</v>
      </c>
      <c r="AM339" s="9" t="s">
        <v>3028</v>
      </c>
      <c r="AN339" s="9" t="s">
        <v>3028</v>
      </c>
      <c r="AO339" s="9" t="s">
        <v>3028</v>
      </c>
      <c r="AP339" s="9" t="s">
        <v>3028</v>
      </c>
      <c r="AQ339" s="9" t="s">
        <v>3028</v>
      </c>
      <c r="AR339" s="9" t="s">
        <v>3028</v>
      </c>
      <c r="AS339" s="9" t="s">
        <v>3028</v>
      </c>
      <c r="AT339" s="9" t="s">
        <v>3028</v>
      </c>
      <c r="AU339" s="9" t="s">
        <v>3028</v>
      </c>
      <c r="AV339" s="9" t="s">
        <v>3028</v>
      </c>
      <c r="AW339" s="9" t="s">
        <v>3028</v>
      </c>
      <c r="AX339" s="9" t="s">
        <v>3028</v>
      </c>
      <c r="AY339" s="9" t="s">
        <v>3028</v>
      </c>
      <c r="AZ339" s="9" t="s">
        <v>3028</v>
      </c>
      <c r="BA339" s="9" t="s">
        <v>3028</v>
      </c>
      <c r="BB339" s="9" t="s">
        <v>3028</v>
      </c>
      <c r="BC339" s="9" t="s">
        <v>3028</v>
      </c>
      <c r="BD339" s="9" t="s">
        <v>3028</v>
      </c>
      <c r="BE339" s="9" t="s">
        <v>3028</v>
      </c>
      <c r="BF339" s="9" t="s">
        <v>3028</v>
      </c>
      <c r="BG339" s="9" t="s">
        <v>3028</v>
      </c>
      <c r="BH339" s="9" t="s">
        <v>3028</v>
      </c>
      <c r="BI339" s="9" t="s">
        <v>3028</v>
      </c>
      <c r="BJ339" s="9" t="s">
        <v>3028</v>
      </c>
      <c r="BK339" s="9" t="s">
        <v>3028</v>
      </c>
      <c r="BL339" s="9" t="s">
        <v>3028</v>
      </c>
      <c r="BM339" s="9" t="s">
        <v>3028</v>
      </c>
      <c r="BN339" s="9" t="s">
        <v>3028</v>
      </c>
      <c r="BO339" s="9" t="s">
        <v>3028</v>
      </c>
      <c r="BP339" s="9" t="s">
        <v>3028</v>
      </c>
      <c r="BQ339" s="9" t="s">
        <v>3028</v>
      </c>
      <c r="BR339" s="9" t="s">
        <v>3028</v>
      </c>
      <c r="BS339" s="9" t="s">
        <v>3028</v>
      </c>
      <c r="BT339" s="9" t="s">
        <v>3028</v>
      </c>
      <c r="BU339" s="9" t="s">
        <v>3028</v>
      </c>
      <c r="BV339" s="9" t="s">
        <v>3028</v>
      </c>
      <c r="BW339" s="9" t="s">
        <v>3028</v>
      </c>
      <c r="BX339" s="9" t="s">
        <v>3028</v>
      </c>
      <c r="BY339" s="9" t="s">
        <v>3028</v>
      </c>
      <c r="BZ339" s="9" t="s">
        <v>3028</v>
      </c>
      <c r="CA339" s="9" t="s">
        <v>3028</v>
      </c>
      <c r="CB339" s="9" t="s">
        <v>3028</v>
      </c>
      <c r="CC339" s="9" t="s">
        <v>3028</v>
      </c>
      <c r="CD339" s="9" t="s">
        <v>3028</v>
      </c>
      <c r="CE339" s="9" t="s">
        <v>3028</v>
      </c>
      <c r="CF339" s="9" t="s">
        <v>3028</v>
      </c>
      <c r="CG339" s="9" t="s">
        <v>3028</v>
      </c>
      <c r="CH339" s="9" t="s">
        <v>3028</v>
      </c>
      <c r="CI339" s="9" t="s">
        <v>3028</v>
      </c>
      <c r="CJ339" s="9" t="s">
        <v>3028</v>
      </c>
      <c r="CK339" s="9" t="s">
        <v>3028</v>
      </c>
      <c r="CL339" s="9" t="s">
        <v>3028</v>
      </c>
      <c r="CM339" s="9" t="s">
        <v>3028</v>
      </c>
      <c r="CN339" s="9" t="s">
        <v>3028</v>
      </c>
      <c r="CO339" s="9" t="s">
        <v>3028</v>
      </c>
      <c r="CP339" s="9" t="s">
        <v>3028</v>
      </c>
      <c r="CQ339" s="9" t="s">
        <v>3028</v>
      </c>
      <c r="CR339" s="9" t="s">
        <v>3028</v>
      </c>
      <c r="CS339" s="9" t="s">
        <v>3028</v>
      </c>
      <c r="CT339" s="9" t="s">
        <v>3028</v>
      </c>
      <c r="CU339" s="9" t="s">
        <v>3028</v>
      </c>
      <c r="CV339" s="9" t="s">
        <v>3028</v>
      </c>
      <c r="CW339" s="9" t="s">
        <v>3028</v>
      </c>
      <c r="CX339" s="9" t="s">
        <v>3028</v>
      </c>
      <c r="CY339" s="9" t="s">
        <v>3028</v>
      </c>
      <c r="CZ339" s="9" t="s">
        <v>3028</v>
      </c>
      <c r="DA339" s="9" t="s">
        <v>3028</v>
      </c>
      <c r="DB339" s="9" t="s">
        <v>3028</v>
      </c>
      <c r="DC339" s="9" t="s">
        <v>3028</v>
      </c>
      <c r="DD339" s="9" t="s">
        <v>3028</v>
      </c>
      <c r="DE339" s="9" t="s">
        <v>3028</v>
      </c>
      <c r="DF339" s="9" t="s">
        <v>3028</v>
      </c>
      <c r="DG339" s="9" t="s">
        <v>2920</v>
      </c>
      <c r="DH339" s="9" t="s">
        <v>2920</v>
      </c>
      <c r="DI339" s="9" t="s">
        <v>2920</v>
      </c>
      <c r="DJ339" s="9" t="s">
        <v>2920</v>
      </c>
      <c r="DK339" s="9" t="s">
        <v>2920</v>
      </c>
      <c r="DL339" s="9" t="s">
        <v>2920</v>
      </c>
      <c r="DM339" s="9" t="s">
        <v>2920</v>
      </c>
      <c r="DN339" s="9" t="s">
        <v>2920</v>
      </c>
      <c r="DO339" s="9" t="s">
        <v>2920</v>
      </c>
      <c r="DP339" s="9" t="s">
        <v>2920</v>
      </c>
      <c r="DQ339" s="9" t="s">
        <v>2920</v>
      </c>
    </row>
    <row r="340" spans="1:121" ht="15.75" customHeight="1">
      <c r="A340" s="87" t="s">
        <v>8615</v>
      </c>
      <c r="Z340" s="9" t="s">
        <v>2920</v>
      </c>
      <c r="AA340" s="9" t="s">
        <v>2920</v>
      </c>
      <c r="AB340" s="9" t="s">
        <v>2920</v>
      </c>
      <c r="AC340" s="9" t="s">
        <v>2920</v>
      </c>
      <c r="AD340" s="9" t="s">
        <v>2920</v>
      </c>
      <c r="AE340" s="9" t="s">
        <v>2920</v>
      </c>
      <c r="AF340" s="9" t="s">
        <v>2920</v>
      </c>
      <c r="AG340" s="9" t="s">
        <v>2920</v>
      </c>
      <c r="AH340" s="9" t="s">
        <v>2920</v>
      </c>
      <c r="AI340" s="9" t="s">
        <v>2920</v>
      </c>
      <c r="AJ340" s="9" t="s">
        <v>2920</v>
      </c>
      <c r="AK340" s="9" t="s">
        <v>2920</v>
      </c>
      <c r="AL340" s="9" t="s">
        <v>2920</v>
      </c>
      <c r="AM340" s="9" t="s">
        <v>2920</v>
      </c>
      <c r="AN340" s="9" t="s">
        <v>2920</v>
      </c>
      <c r="AO340" s="9" t="s">
        <v>2920</v>
      </c>
      <c r="AP340" s="9" t="s">
        <v>2920</v>
      </c>
      <c r="AQ340" s="9" t="s">
        <v>2920</v>
      </c>
      <c r="AR340" s="9" t="s">
        <v>2920</v>
      </c>
      <c r="AS340" s="9" t="s">
        <v>2920</v>
      </c>
      <c r="AT340" s="9" t="s">
        <v>2920</v>
      </c>
      <c r="AU340" s="9" t="s">
        <v>2920</v>
      </c>
      <c r="AV340" s="9" t="s">
        <v>2920</v>
      </c>
      <c r="AW340" s="9" t="s">
        <v>2920</v>
      </c>
      <c r="AX340" s="9" t="s">
        <v>2920</v>
      </c>
      <c r="AY340" s="9" t="s">
        <v>2920</v>
      </c>
      <c r="AZ340" s="9" t="s">
        <v>2920</v>
      </c>
      <c r="BA340" s="9" t="s">
        <v>2920</v>
      </c>
      <c r="BB340" s="9" t="s">
        <v>2920</v>
      </c>
      <c r="BC340" s="9" t="s">
        <v>2893</v>
      </c>
      <c r="BD340" s="9" t="s">
        <v>2893</v>
      </c>
      <c r="BE340" s="9" t="s">
        <v>2893</v>
      </c>
      <c r="BF340" s="9" t="s">
        <v>2893</v>
      </c>
      <c r="BG340" s="9" t="s">
        <v>2893</v>
      </c>
      <c r="BH340" s="9" t="s">
        <v>2893</v>
      </c>
      <c r="BI340" s="9" t="s">
        <v>2893</v>
      </c>
      <c r="BJ340" s="9" t="s">
        <v>2893</v>
      </c>
      <c r="BK340" s="9" t="s">
        <v>2893</v>
      </c>
      <c r="BL340" s="9" t="s">
        <v>2893</v>
      </c>
      <c r="BM340" s="9" t="s">
        <v>2893</v>
      </c>
      <c r="BN340" s="9" t="s">
        <v>2893</v>
      </c>
      <c r="BO340" s="9" t="s">
        <v>2893</v>
      </c>
      <c r="BP340" s="9" t="s">
        <v>2893</v>
      </c>
      <c r="BQ340" s="9" t="s">
        <v>2893</v>
      </c>
      <c r="BR340" s="9" t="s">
        <v>2893</v>
      </c>
      <c r="BS340" s="9" t="s">
        <v>2893</v>
      </c>
      <c r="BT340" s="9" t="s">
        <v>2893</v>
      </c>
      <c r="BU340" s="9" t="s">
        <v>2893</v>
      </c>
      <c r="BV340" s="9" t="s">
        <v>2893</v>
      </c>
      <c r="BW340" s="9" t="s">
        <v>2893</v>
      </c>
      <c r="BX340" s="9" t="s">
        <v>2893</v>
      </c>
      <c r="BY340" s="9" t="s">
        <v>2893</v>
      </c>
      <c r="BZ340" s="9" t="s">
        <v>2893</v>
      </c>
      <c r="CA340" s="9" t="s">
        <v>2893</v>
      </c>
      <c r="CB340" s="9" t="s">
        <v>2893</v>
      </c>
      <c r="CC340" s="9" t="s">
        <v>2893</v>
      </c>
      <c r="CD340" s="9" t="s">
        <v>2893</v>
      </c>
      <c r="CE340" s="9" t="s">
        <v>2893</v>
      </c>
      <c r="CF340" s="9" t="s">
        <v>2893</v>
      </c>
      <c r="CG340" s="9" t="s">
        <v>2893</v>
      </c>
      <c r="CH340" s="9" t="s">
        <v>2893</v>
      </c>
      <c r="CI340" s="9" t="s">
        <v>2893</v>
      </c>
      <c r="CJ340" s="9" t="s">
        <v>2893</v>
      </c>
      <c r="CK340" s="9" t="s">
        <v>2893</v>
      </c>
      <c r="CL340" s="9" t="s">
        <v>2893</v>
      </c>
      <c r="CM340" s="9" t="s">
        <v>2893</v>
      </c>
      <c r="CN340" s="9" t="s">
        <v>2893</v>
      </c>
      <c r="CO340" s="9" t="s">
        <v>2893</v>
      </c>
      <c r="CP340" s="9" t="s">
        <v>2893</v>
      </c>
      <c r="CQ340" s="9" t="s">
        <v>2893</v>
      </c>
      <c r="CR340" s="9" t="s">
        <v>2893</v>
      </c>
      <c r="CS340" s="9" t="s">
        <v>2893</v>
      </c>
      <c r="CT340" s="9" t="s">
        <v>2893</v>
      </c>
      <c r="CU340" s="9" t="s">
        <v>2893</v>
      </c>
      <c r="CV340" s="9" t="s">
        <v>2893</v>
      </c>
      <c r="CW340" s="9" t="s">
        <v>2893</v>
      </c>
      <c r="CX340" s="9" t="s">
        <v>2893</v>
      </c>
      <c r="CY340" s="9" t="s">
        <v>2893</v>
      </c>
      <c r="CZ340" s="9" t="s">
        <v>2893</v>
      </c>
      <c r="DA340" s="9" t="s">
        <v>2893</v>
      </c>
      <c r="DB340" s="9" t="s">
        <v>2893</v>
      </c>
      <c r="DC340" s="9" t="s">
        <v>2893</v>
      </c>
      <c r="DD340" s="9" t="s">
        <v>2893</v>
      </c>
      <c r="DE340" s="9" t="s">
        <v>2893</v>
      </c>
      <c r="DF340" s="9" t="s">
        <v>2893</v>
      </c>
      <c r="DG340" s="9" t="s">
        <v>2893</v>
      </c>
      <c r="DH340" s="9" t="s">
        <v>2893</v>
      </c>
      <c r="DI340" s="9" t="s">
        <v>2893</v>
      </c>
      <c r="DJ340" s="9" t="s">
        <v>2893</v>
      </c>
      <c r="DK340" s="9" t="s">
        <v>2951</v>
      </c>
      <c r="DL340" s="9" t="s">
        <v>2951</v>
      </c>
      <c r="DM340" s="9" t="s">
        <v>2951</v>
      </c>
      <c r="DN340" s="9" t="s">
        <v>2951</v>
      </c>
      <c r="DO340" s="9" t="s">
        <v>2951</v>
      </c>
      <c r="DP340" s="9" t="s">
        <v>2951</v>
      </c>
      <c r="DQ340" s="9" t="s">
        <v>2951</v>
      </c>
    </row>
    <row r="341" spans="1:121" ht="15.75" customHeight="1">
      <c r="A341" s="87" t="s">
        <v>8616</v>
      </c>
      <c r="Z341" s="9" t="s">
        <v>2951</v>
      </c>
      <c r="AA341" s="9" t="s">
        <v>2951</v>
      </c>
      <c r="AB341" s="9" t="s">
        <v>2951</v>
      </c>
      <c r="AC341" s="9" t="s">
        <v>2951</v>
      </c>
      <c r="AD341" s="9" t="s">
        <v>2951</v>
      </c>
      <c r="AE341" s="9" t="s">
        <v>2951</v>
      </c>
      <c r="AF341" s="9" t="s">
        <v>2951</v>
      </c>
      <c r="AG341" s="9" t="s">
        <v>2951</v>
      </c>
      <c r="AH341" s="9" t="s">
        <v>2951</v>
      </c>
      <c r="AI341" s="9" t="s">
        <v>2951</v>
      </c>
      <c r="AJ341" s="9" t="s">
        <v>2951</v>
      </c>
      <c r="AK341" s="9" t="s">
        <v>2951</v>
      </c>
      <c r="AL341" s="9" t="s">
        <v>2951</v>
      </c>
      <c r="AM341" s="9" t="s">
        <v>2951</v>
      </c>
      <c r="AN341" s="9" t="s">
        <v>2951</v>
      </c>
      <c r="AO341" s="9" t="s">
        <v>2951</v>
      </c>
      <c r="AP341" s="9" t="s">
        <v>2951</v>
      </c>
      <c r="AQ341" s="9" t="s">
        <v>2951</v>
      </c>
      <c r="AR341" s="9" t="s">
        <v>2951</v>
      </c>
      <c r="AS341" s="9" t="s">
        <v>2951</v>
      </c>
      <c r="AT341" s="9" t="s">
        <v>2951</v>
      </c>
      <c r="AU341" s="9" t="s">
        <v>2951</v>
      </c>
      <c r="AV341" s="9" t="s">
        <v>2951</v>
      </c>
      <c r="AW341" s="9" t="s">
        <v>2951</v>
      </c>
      <c r="AX341" s="9" t="s">
        <v>2951</v>
      </c>
      <c r="AY341" s="9" t="s">
        <v>2951</v>
      </c>
      <c r="AZ341" s="9" t="s">
        <v>2951</v>
      </c>
      <c r="BA341" s="9" t="s">
        <v>2951</v>
      </c>
      <c r="BB341" s="9" t="s">
        <v>2951</v>
      </c>
      <c r="BC341" s="9" t="s">
        <v>2951</v>
      </c>
      <c r="BD341" s="9" t="s">
        <v>2951</v>
      </c>
      <c r="BE341" s="9" t="s">
        <v>2951</v>
      </c>
      <c r="BF341" s="9" t="s">
        <v>2951</v>
      </c>
      <c r="BG341" s="9" t="s">
        <v>2951</v>
      </c>
      <c r="BH341" s="9" t="s">
        <v>2951</v>
      </c>
      <c r="BI341" s="9" t="s">
        <v>2951</v>
      </c>
      <c r="BJ341" s="9" t="s">
        <v>2951</v>
      </c>
      <c r="BK341" s="9" t="s">
        <v>2951</v>
      </c>
      <c r="BL341" s="9" t="s">
        <v>2951</v>
      </c>
      <c r="BM341" s="9" t="s">
        <v>2951</v>
      </c>
      <c r="BN341" s="9" t="s">
        <v>2951</v>
      </c>
      <c r="BO341" s="9" t="s">
        <v>2951</v>
      </c>
      <c r="BP341" s="9" t="s">
        <v>2951</v>
      </c>
      <c r="BQ341" s="9" t="s">
        <v>2951</v>
      </c>
      <c r="BR341" s="9" t="s">
        <v>2951</v>
      </c>
      <c r="BS341" s="9" t="s">
        <v>2951</v>
      </c>
      <c r="BT341" s="9" t="s">
        <v>2951</v>
      </c>
      <c r="BU341" s="9" t="s">
        <v>2951</v>
      </c>
      <c r="BV341" s="9" t="s">
        <v>2951</v>
      </c>
      <c r="BW341" s="9" t="s">
        <v>2951</v>
      </c>
      <c r="BX341" s="9" t="s">
        <v>2951</v>
      </c>
      <c r="BY341" s="9" t="s">
        <v>2951</v>
      </c>
      <c r="BZ341" s="9" t="s">
        <v>2951</v>
      </c>
      <c r="CA341" s="9" t="s">
        <v>2951</v>
      </c>
      <c r="CB341" s="9" t="s">
        <v>2951</v>
      </c>
      <c r="CC341" s="9" t="s">
        <v>2951</v>
      </c>
      <c r="CD341" s="9" t="s">
        <v>2951</v>
      </c>
      <c r="CE341" s="9" t="s">
        <v>2951</v>
      </c>
      <c r="CF341" s="9" t="s">
        <v>2951</v>
      </c>
      <c r="CG341" s="9" t="s">
        <v>2951</v>
      </c>
      <c r="CH341" s="9" t="s">
        <v>2951</v>
      </c>
      <c r="CI341" s="9" t="s">
        <v>2951</v>
      </c>
      <c r="CJ341" s="9" t="s">
        <v>2951</v>
      </c>
      <c r="CK341" s="9" t="s">
        <v>2951</v>
      </c>
      <c r="CL341" s="9" t="s">
        <v>2951</v>
      </c>
      <c r="CM341" s="9" t="s">
        <v>2951</v>
      </c>
      <c r="CN341" s="9" t="s">
        <v>2951</v>
      </c>
      <c r="CO341" s="9" t="s">
        <v>2951</v>
      </c>
      <c r="CP341" s="9" t="s">
        <v>2951</v>
      </c>
      <c r="CQ341" s="9" t="s">
        <v>2951</v>
      </c>
      <c r="CR341" s="9" t="s">
        <v>2951</v>
      </c>
      <c r="CS341" s="9" t="s">
        <v>2951</v>
      </c>
      <c r="CT341" s="9" t="s">
        <v>2951</v>
      </c>
      <c r="CU341" s="9" t="s">
        <v>2951</v>
      </c>
      <c r="CV341" s="9" t="s">
        <v>2951</v>
      </c>
      <c r="CW341" s="9" t="s">
        <v>2951</v>
      </c>
      <c r="CX341" s="9" t="s">
        <v>2951</v>
      </c>
      <c r="CY341" s="9" t="s">
        <v>2951</v>
      </c>
      <c r="CZ341" s="9" t="s">
        <v>2951</v>
      </c>
      <c r="DA341" s="9" t="s">
        <v>2951</v>
      </c>
      <c r="DB341" s="9" t="s">
        <v>2951</v>
      </c>
      <c r="DC341" s="9" t="s">
        <v>2951</v>
      </c>
      <c r="DD341" s="9" t="s">
        <v>2951</v>
      </c>
      <c r="DE341" s="9" t="s">
        <v>2951</v>
      </c>
      <c r="DF341" s="9" t="s">
        <v>2951</v>
      </c>
      <c r="DG341" s="9" t="s">
        <v>2951</v>
      </c>
      <c r="DH341" s="9" t="s">
        <v>2951</v>
      </c>
      <c r="DI341" s="9" t="s">
        <v>2951</v>
      </c>
      <c r="DJ341" s="9" t="s">
        <v>2951</v>
      </c>
      <c r="DK341" s="9" t="s">
        <v>2951</v>
      </c>
      <c r="DL341" s="9" t="s">
        <v>2951</v>
      </c>
      <c r="DM341" s="9" t="s">
        <v>2951</v>
      </c>
      <c r="DN341" s="9" t="s">
        <v>2951</v>
      </c>
      <c r="DO341" s="9" t="s">
        <v>2951</v>
      </c>
      <c r="DP341" s="9" t="s">
        <v>2951</v>
      </c>
      <c r="DQ341" s="9" t="s">
        <v>2951</v>
      </c>
    </row>
    <row r="342" spans="1:121" ht="15.75" customHeight="1">
      <c r="A342" s="87" t="s">
        <v>8617</v>
      </c>
      <c r="Z342" s="9" t="s">
        <v>2951</v>
      </c>
      <c r="AA342" s="9" t="s">
        <v>2951</v>
      </c>
      <c r="AB342" s="9" t="s">
        <v>2951</v>
      </c>
      <c r="AC342" s="9" t="s">
        <v>2951</v>
      </c>
      <c r="AD342" s="9" t="s">
        <v>2951</v>
      </c>
      <c r="AE342" s="9" t="s">
        <v>2951</v>
      </c>
      <c r="AF342" s="9" t="s">
        <v>2951</v>
      </c>
      <c r="AG342" s="9" t="s">
        <v>2951</v>
      </c>
      <c r="AH342" s="9" t="s">
        <v>2951</v>
      </c>
      <c r="AI342" s="9" t="s">
        <v>2951</v>
      </c>
      <c r="AJ342" s="9" t="s">
        <v>2951</v>
      </c>
      <c r="AK342" s="9" t="s">
        <v>2951</v>
      </c>
      <c r="AL342" s="9" t="s">
        <v>2951</v>
      </c>
      <c r="AM342" s="9" t="s">
        <v>2951</v>
      </c>
      <c r="AN342" s="9" t="s">
        <v>2951</v>
      </c>
      <c r="AO342" s="9" t="s">
        <v>2951</v>
      </c>
      <c r="AP342" s="9" t="s">
        <v>2951</v>
      </c>
      <c r="AQ342" s="9" t="s">
        <v>2953</v>
      </c>
      <c r="AR342" s="9" t="s">
        <v>2953</v>
      </c>
      <c r="AS342" s="9" t="s">
        <v>2953</v>
      </c>
      <c r="AT342" s="9" t="s">
        <v>2953</v>
      </c>
      <c r="AU342" s="9" t="s">
        <v>2953</v>
      </c>
      <c r="AV342" s="9" t="s">
        <v>2953</v>
      </c>
      <c r="AW342" s="9" t="s">
        <v>2953</v>
      </c>
      <c r="AX342" s="9" t="s">
        <v>2953</v>
      </c>
      <c r="AY342" s="9" t="s">
        <v>2953</v>
      </c>
      <c r="AZ342" s="9" t="s">
        <v>2953</v>
      </c>
      <c r="BA342" s="9" t="s">
        <v>2953</v>
      </c>
      <c r="BB342" s="9" t="s">
        <v>2953</v>
      </c>
      <c r="BC342" s="9" t="s">
        <v>2953</v>
      </c>
      <c r="BD342" s="9" t="s">
        <v>2953</v>
      </c>
      <c r="BE342" s="9" t="s">
        <v>2953</v>
      </c>
      <c r="BF342" s="9" t="s">
        <v>2953</v>
      </c>
      <c r="BG342" s="9" t="s">
        <v>2953</v>
      </c>
      <c r="BH342" s="9" t="s">
        <v>2953</v>
      </c>
      <c r="BI342" s="9" t="s">
        <v>2953</v>
      </c>
      <c r="BJ342" s="9" t="s">
        <v>2953</v>
      </c>
      <c r="BK342" s="9" t="s">
        <v>2953</v>
      </c>
      <c r="BL342" s="9" t="s">
        <v>2953</v>
      </c>
      <c r="BM342" s="9" t="s">
        <v>2953</v>
      </c>
      <c r="BN342" s="9" t="s">
        <v>2953</v>
      </c>
      <c r="BO342" s="9" t="s">
        <v>2953</v>
      </c>
      <c r="BP342" s="9" t="s">
        <v>2953</v>
      </c>
      <c r="BQ342" s="9" t="s">
        <v>2953</v>
      </c>
      <c r="BR342" s="9" t="s">
        <v>2953</v>
      </c>
      <c r="BS342" s="9" t="s">
        <v>2953</v>
      </c>
      <c r="BT342" s="9" t="s">
        <v>2953</v>
      </c>
      <c r="BU342" s="9" t="s">
        <v>2953</v>
      </c>
      <c r="BV342" s="9" t="s">
        <v>2953</v>
      </c>
      <c r="BW342" s="9" t="s">
        <v>2900</v>
      </c>
      <c r="BX342" s="9" t="s">
        <v>2900</v>
      </c>
      <c r="BY342" s="9" t="s">
        <v>2900</v>
      </c>
      <c r="BZ342" s="9" t="s">
        <v>2900</v>
      </c>
      <c r="CA342" s="9" t="s">
        <v>2900</v>
      </c>
      <c r="CB342" s="9" t="s">
        <v>2900</v>
      </c>
      <c r="CC342" s="9" t="s">
        <v>2900</v>
      </c>
      <c r="CD342" s="9" t="s">
        <v>2900</v>
      </c>
      <c r="CE342" s="9" t="s">
        <v>2900</v>
      </c>
      <c r="CF342" s="9" t="s">
        <v>2900</v>
      </c>
      <c r="CG342" s="9" t="s">
        <v>2900</v>
      </c>
      <c r="CH342" s="9" t="s">
        <v>2900</v>
      </c>
      <c r="CI342" s="9" t="s">
        <v>2900</v>
      </c>
      <c r="CJ342" s="9" t="s">
        <v>2900</v>
      </c>
      <c r="CK342" s="9" t="s">
        <v>2900</v>
      </c>
      <c r="CL342" s="9" t="s">
        <v>2900</v>
      </c>
      <c r="CM342" s="9" t="s">
        <v>2900</v>
      </c>
      <c r="CN342" s="9" t="s">
        <v>2900</v>
      </c>
      <c r="CO342" s="9" t="s">
        <v>2900</v>
      </c>
      <c r="CP342" s="9" t="s">
        <v>2900</v>
      </c>
      <c r="CQ342" s="9" t="s">
        <v>2900</v>
      </c>
      <c r="CR342" s="9" t="s">
        <v>2900</v>
      </c>
      <c r="CS342" s="9" t="s">
        <v>2900</v>
      </c>
      <c r="CT342" s="9" t="s">
        <v>2900</v>
      </c>
      <c r="CU342" s="9" t="s">
        <v>2900</v>
      </c>
      <c r="CV342" s="9" t="s">
        <v>2900</v>
      </c>
      <c r="CW342" s="9" t="s">
        <v>2900</v>
      </c>
      <c r="CX342" s="9" t="s">
        <v>2900</v>
      </c>
      <c r="CY342" s="9" t="s">
        <v>2900</v>
      </c>
      <c r="CZ342" s="9" t="s">
        <v>2900</v>
      </c>
      <c r="DA342" s="9" t="s">
        <v>2900</v>
      </c>
      <c r="DB342" s="9" t="s">
        <v>2900</v>
      </c>
      <c r="DC342" s="9" t="s">
        <v>2900</v>
      </c>
      <c r="DD342" s="9" t="s">
        <v>2900</v>
      </c>
      <c r="DE342" s="9" t="s">
        <v>2900</v>
      </c>
      <c r="DF342" s="9" t="s">
        <v>2900</v>
      </c>
      <c r="DG342" s="9" t="s">
        <v>2900</v>
      </c>
      <c r="DH342" s="9" t="s">
        <v>2900</v>
      </c>
      <c r="DI342" s="9" t="s">
        <v>2900</v>
      </c>
      <c r="DJ342" s="9" t="s">
        <v>2900</v>
      </c>
      <c r="DK342" s="9" t="s">
        <v>2900</v>
      </c>
      <c r="DL342" s="9" t="s">
        <v>2900</v>
      </c>
      <c r="DM342" s="9" t="s">
        <v>2900</v>
      </c>
      <c r="DN342" s="9" t="s">
        <v>2900</v>
      </c>
      <c r="DO342" s="9" t="s">
        <v>2900</v>
      </c>
      <c r="DP342" s="9" t="s">
        <v>2900</v>
      </c>
      <c r="DQ342" s="9" t="s">
        <v>2900</v>
      </c>
    </row>
    <row r="343" spans="1:121" ht="15.75" customHeight="1">
      <c r="A343" s="87" t="s">
        <v>8618</v>
      </c>
      <c r="Z343" s="9" t="s">
        <v>2900</v>
      </c>
      <c r="AA343" s="9" t="s">
        <v>2900</v>
      </c>
      <c r="AB343" s="9" t="s">
        <v>2900</v>
      </c>
      <c r="AC343" s="9" t="s">
        <v>2900</v>
      </c>
      <c r="AD343" s="9" t="s">
        <v>2900</v>
      </c>
      <c r="AE343" s="9" t="s">
        <v>2900</v>
      </c>
      <c r="AF343" s="9" t="s">
        <v>2900</v>
      </c>
      <c r="AG343" s="9" t="s">
        <v>2900</v>
      </c>
      <c r="AH343" s="9" t="s">
        <v>2900</v>
      </c>
      <c r="AI343" s="9" t="s">
        <v>2900</v>
      </c>
      <c r="AJ343" s="9" t="s">
        <v>2900</v>
      </c>
      <c r="AK343" s="9" t="s">
        <v>2900</v>
      </c>
      <c r="AL343" s="9" t="s">
        <v>2900</v>
      </c>
      <c r="AM343" s="9" t="s">
        <v>2900</v>
      </c>
      <c r="AN343" s="9" t="s">
        <v>2900</v>
      </c>
      <c r="AO343" s="9" t="s">
        <v>2900</v>
      </c>
      <c r="AP343" s="9" t="s">
        <v>2900</v>
      </c>
      <c r="AQ343" s="9" t="s">
        <v>2900</v>
      </c>
      <c r="AR343" s="9" t="s">
        <v>2900</v>
      </c>
      <c r="AS343" s="9" t="s">
        <v>2900</v>
      </c>
      <c r="AT343" s="9" t="s">
        <v>2900</v>
      </c>
      <c r="AU343" s="9" t="s">
        <v>2900</v>
      </c>
      <c r="AV343" s="9" t="s">
        <v>2900</v>
      </c>
      <c r="AW343" s="9" t="s">
        <v>2900</v>
      </c>
      <c r="AX343" s="9" t="s">
        <v>2900</v>
      </c>
      <c r="AY343" s="9" t="s">
        <v>2900</v>
      </c>
      <c r="AZ343" s="9" t="s">
        <v>2900</v>
      </c>
      <c r="BA343" s="9" t="s">
        <v>2900</v>
      </c>
      <c r="BB343" s="9" t="s">
        <v>2900</v>
      </c>
      <c r="BC343" s="9" t="s">
        <v>2900</v>
      </c>
      <c r="BD343" s="9" t="s">
        <v>2900</v>
      </c>
      <c r="BE343" s="9" t="s">
        <v>2900</v>
      </c>
      <c r="BF343" s="9" t="s">
        <v>2900</v>
      </c>
      <c r="BG343" s="9" t="s">
        <v>2900</v>
      </c>
      <c r="BH343" s="9" t="s">
        <v>2900</v>
      </c>
      <c r="BI343" s="9" t="s">
        <v>2900</v>
      </c>
      <c r="BJ343" s="9" t="s">
        <v>2900</v>
      </c>
      <c r="BK343" s="9" t="s">
        <v>2900</v>
      </c>
      <c r="BL343" s="9" t="s">
        <v>2900</v>
      </c>
      <c r="BM343" s="9" t="s">
        <v>2900</v>
      </c>
      <c r="BN343" s="9" t="s">
        <v>2900</v>
      </c>
      <c r="BO343" s="9" t="s">
        <v>2900</v>
      </c>
      <c r="BP343" s="9" t="s">
        <v>2900</v>
      </c>
      <c r="BQ343" s="9" t="s">
        <v>2900</v>
      </c>
      <c r="BR343" s="9" t="s">
        <v>2900</v>
      </c>
      <c r="BS343" s="9" t="s">
        <v>2900</v>
      </c>
      <c r="BT343" s="9" t="s">
        <v>2900</v>
      </c>
      <c r="BU343" s="9" t="s">
        <v>2900</v>
      </c>
      <c r="BV343" s="9" t="s">
        <v>2900</v>
      </c>
      <c r="BW343" s="9" t="s">
        <v>2900</v>
      </c>
      <c r="BX343" s="9" t="s">
        <v>2900</v>
      </c>
      <c r="BY343" s="9" t="s">
        <v>2900</v>
      </c>
      <c r="BZ343" s="9" t="s">
        <v>2900</v>
      </c>
      <c r="CA343" s="9" t="s">
        <v>2900</v>
      </c>
      <c r="CB343" s="9" t="s">
        <v>2900</v>
      </c>
      <c r="CC343" s="9" t="s">
        <v>2900</v>
      </c>
      <c r="CD343" s="9" t="s">
        <v>2900</v>
      </c>
      <c r="CE343" s="9" t="s">
        <v>2900</v>
      </c>
      <c r="CF343" s="9" t="s">
        <v>2900</v>
      </c>
      <c r="CG343" s="9" t="s">
        <v>2900</v>
      </c>
      <c r="CH343" s="9" t="s">
        <v>2900</v>
      </c>
      <c r="CI343" s="9" t="s">
        <v>2900</v>
      </c>
      <c r="CJ343" s="9" t="s">
        <v>2900</v>
      </c>
      <c r="CK343" s="9" t="s">
        <v>3010</v>
      </c>
      <c r="CL343" s="9" t="s">
        <v>3010</v>
      </c>
      <c r="CM343" s="9" t="s">
        <v>3010</v>
      </c>
      <c r="CN343" s="9" t="s">
        <v>3010</v>
      </c>
      <c r="CO343" s="9" t="s">
        <v>3010</v>
      </c>
      <c r="CP343" s="9" t="s">
        <v>3010</v>
      </c>
      <c r="CQ343" s="9" t="s">
        <v>3010</v>
      </c>
      <c r="CR343" s="9" t="s">
        <v>3010</v>
      </c>
      <c r="CS343" s="9" t="s">
        <v>3010</v>
      </c>
      <c r="CT343" s="9" t="s">
        <v>3010</v>
      </c>
      <c r="CU343" s="9" t="s">
        <v>3010</v>
      </c>
      <c r="CV343" s="9" t="s">
        <v>3010</v>
      </c>
      <c r="CW343" s="9" t="s">
        <v>3010</v>
      </c>
      <c r="CX343" s="9" t="s">
        <v>3010</v>
      </c>
      <c r="CY343" s="9" t="s">
        <v>3010</v>
      </c>
      <c r="CZ343" s="9" t="s">
        <v>3010</v>
      </c>
      <c r="DA343" s="9" t="s">
        <v>3010</v>
      </c>
      <c r="DB343" s="9" t="s">
        <v>3010</v>
      </c>
      <c r="DC343" s="9" t="s">
        <v>3010</v>
      </c>
      <c r="DD343" s="9" t="s">
        <v>3010</v>
      </c>
      <c r="DE343" s="9" t="s">
        <v>3010</v>
      </c>
      <c r="DF343" s="9" t="s">
        <v>3010</v>
      </c>
      <c r="DG343" s="9" t="s">
        <v>3010</v>
      </c>
      <c r="DH343" s="9" t="s">
        <v>3010</v>
      </c>
      <c r="DI343" s="9" t="s">
        <v>3010</v>
      </c>
      <c r="DJ343" s="9" t="s">
        <v>3010</v>
      </c>
      <c r="DK343" s="9" t="s">
        <v>3010</v>
      </c>
      <c r="DL343" s="9" t="s">
        <v>3010</v>
      </c>
      <c r="DM343" s="9" t="s">
        <v>3010</v>
      </c>
      <c r="DN343" s="9" t="s">
        <v>3010</v>
      </c>
      <c r="DO343" s="9" t="s">
        <v>3010</v>
      </c>
      <c r="DP343" s="9" t="s">
        <v>3010</v>
      </c>
      <c r="DQ343" s="9" t="s">
        <v>3010</v>
      </c>
    </row>
    <row r="344" spans="1:121" ht="15.75" customHeight="1">
      <c r="A344" s="87" t="s">
        <v>8619</v>
      </c>
      <c r="Z344" s="9" t="s">
        <v>3010</v>
      </c>
      <c r="AA344" s="9" t="s">
        <v>3010</v>
      </c>
      <c r="AB344" s="9" t="s">
        <v>3010</v>
      </c>
      <c r="AC344" s="9" t="s">
        <v>3010</v>
      </c>
      <c r="AD344" s="9" t="s">
        <v>3010</v>
      </c>
      <c r="AE344" s="9" t="s">
        <v>3010</v>
      </c>
      <c r="AF344" s="9" t="s">
        <v>3010</v>
      </c>
      <c r="AG344" s="9" t="s">
        <v>2914</v>
      </c>
      <c r="AH344" s="9" t="s">
        <v>2914</v>
      </c>
      <c r="AI344" s="9" t="s">
        <v>2914</v>
      </c>
      <c r="AJ344" s="9" t="s">
        <v>2914</v>
      </c>
      <c r="AK344" s="9" t="s">
        <v>2914</v>
      </c>
      <c r="AL344" s="9" t="s">
        <v>2914</v>
      </c>
      <c r="AM344" s="9" t="s">
        <v>2914</v>
      </c>
      <c r="AN344" s="9" t="s">
        <v>2914</v>
      </c>
      <c r="AO344" s="9" t="s">
        <v>2914</v>
      </c>
      <c r="AP344" s="9" t="s">
        <v>2914</v>
      </c>
      <c r="AQ344" s="9" t="s">
        <v>2914</v>
      </c>
      <c r="AR344" s="9" t="s">
        <v>2914</v>
      </c>
      <c r="AS344" s="9" t="s">
        <v>2914</v>
      </c>
      <c r="AT344" s="9" t="s">
        <v>2914</v>
      </c>
      <c r="AU344" s="9" t="s">
        <v>2914</v>
      </c>
      <c r="AV344" s="9" t="s">
        <v>2914</v>
      </c>
      <c r="AW344" s="9" t="s">
        <v>2914</v>
      </c>
      <c r="AX344" s="9" t="s">
        <v>2914</v>
      </c>
      <c r="AY344" s="9" t="s">
        <v>2914</v>
      </c>
      <c r="AZ344" s="9" t="s">
        <v>2914</v>
      </c>
      <c r="BA344" s="9" t="s">
        <v>2914</v>
      </c>
      <c r="BB344" s="9" t="s">
        <v>2914</v>
      </c>
      <c r="BC344" s="9" t="s">
        <v>2914</v>
      </c>
      <c r="BD344" s="9" t="s">
        <v>2914</v>
      </c>
      <c r="BE344" s="9" t="s">
        <v>2914</v>
      </c>
      <c r="BF344" s="9" t="s">
        <v>2914</v>
      </c>
      <c r="BG344" s="9" t="s">
        <v>2914</v>
      </c>
      <c r="BH344" s="9" t="s">
        <v>2914</v>
      </c>
      <c r="BI344" s="9" t="s">
        <v>2914</v>
      </c>
      <c r="BJ344" s="9" t="s">
        <v>2914</v>
      </c>
      <c r="BK344" s="9" t="s">
        <v>2855</v>
      </c>
      <c r="BL344" s="9" t="s">
        <v>2855</v>
      </c>
      <c r="BM344" s="9" t="s">
        <v>2855</v>
      </c>
      <c r="BN344" s="9" t="s">
        <v>2855</v>
      </c>
      <c r="BO344" s="9" t="s">
        <v>2855</v>
      </c>
      <c r="BP344" s="9" t="s">
        <v>2855</v>
      </c>
      <c r="BQ344" s="9" t="s">
        <v>2855</v>
      </c>
      <c r="BR344" s="9" t="s">
        <v>2855</v>
      </c>
      <c r="BS344" s="9" t="s">
        <v>2855</v>
      </c>
      <c r="BT344" s="9" t="s">
        <v>2855</v>
      </c>
      <c r="BU344" s="9" t="s">
        <v>2855</v>
      </c>
      <c r="BV344" s="9" t="s">
        <v>2855</v>
      </c>
      <c r="BW344" s="9" t="s">
        <v>2855</v>
      </c>
      <c r="BX344" s="9" t="s">
        <v>2855</v>
      </c>
      <c r="BY344" s="9" t="s">
        <v>2855</v>
      </c>
      <c r="BZ344" s="9" t="s">
        <v>2855</v>
      </c>
      <c r="CA344" s="9" t="s">
        <v>2872</v>
      </c>
      <c r="CB344" s="9" t="s">
        <v>2872</v>
      </c>
      <c r="CC344" s="9" t="s">
        <v>2872</v>
      </c>
      <c r="CD344" s="9" t="s">
        <v>2872</v>
      </c>
      <c r="CE344" s="9" t="s">
        <v>2872</v>
      </c>
      <c r="CF344" s="9" t="s">
        <v>2872</v>
      </c>
      <c r="CG344" s="9" t="s">
        <v>2872</v>
      </c>
      <c r="CH344" s="9" t="s">
        <v>2973</v>
      </c>
      <c r="CI344" s="9" t="s">
        <v>2973</v>
      </c>
      <c r="CJ344" s="9" t="s">
        <v>2973</v>
      </c>
      <c r="CK344" s="9" t="s">
        <v>2973</v>
      </c>
      <c r="CL344" s="9" t="s">
        <v>2973</v>
      </c>
      <c r="CM344" s="9" t="s">
        <v>2973</v>
      </c>
      <c r="CN344" s="9" t="s">
        <v>2973</v>
      </c>
      <c r="CO344" s="9" t="s">
        <v>2973</v>
      </c>
      <c r="CP344" s="9" t="s">
        <v>2973</v>
      </c>
      <c r="CQ344" s="9" t="s">
        <v>2973</v>
      </c>
      <c r="CR344" s="9" t="s">
        <v>2973</v>
      </c>
      <c r="CS344" s="9" t="s">
        <v>2973</v>
      </c>
      <c r="CT344" s="9" t="s">
        <v>2973</v>
      </c>
      <c r="CU344" s="9" t="s">
        <v>2973</v>
      </c>
      <c r="CV344" s="9" t="s">
        <v>2973</v>
      </c>
      <c r="CW344" s="9" t="s">
        <v>2973</v>
      </c>
      <c r="CX344" s="9" t="s">
        <v>2973</v>
      </c>
      <c r="CY344" s="9" t="s">
        <v>2973</v>
      </c>
      <c r="CZ344" s="9" t="s">
        <v>2973</v>
      </c>
      <c r="DA344" s="9" t="s">
        <v>2973</v>
      </c>
      <c r="DB344" s="9" t="s">
        <v>2973</v>
      </c>
      <c r="DC344" s="9" t="s">
        <v>2973</v>
      </c>
      <c r="DD344" s="9" t="s">
        <v>2973</v>
      </c>
      <c r="DE344" s="9" t="s">
        <v>2973</v>
      </c>
      <c r="DF344" s="9" t="s">
        <v>2973</v>
      </c>
      <c r="DG344" s="9" t="s">
        <v>2973</v>
      </c>
      <c r="DH344" s="9" t="s">
        <v>2973</v>
      </c>
      <c r="DI344" s="9" t="s">
        <v>2973</v>
      </c>
      <c r="DJ344" s="9" t="s">
        <v>2973</v>
      </c>
      <c r="DK344" s="9" t="s">
        <v>2973</v>
      </c>
      <c r="DL344" s="9" t="s">
        <v>2973</v>
      </c>
      <c r="DM344" s="9" t="s">
        <v>2973</v>
      </c>
      <c r="DN344" s="9" t="s">
        <v>2973</v>
      </c>
      <c r="DO344" s="9" t="s">
        <v>2973</v>
      </c>
      <c r="DP344" s="9" t="s">
        <v>2973</v>
      </c>
      <c r="DQ344" s="9" t="s">
        <v>2973</v>
      </c>
    </row>
    <row r="345" spans="1:121" ht="15.75" customHeight="1">
      <c r="A345" s="87" t="s">
        <v>8620</v>
      </c>
      <c r="Z345" s="9" t="s">
        <v>2973</v>
      </c>
      <c r="AA345" s="9" t="s">
        <v>2973</v>
      </c>
      <c r="AB345" s="9" t="s">
        <v>2973</v>
      </c>
      <c r="AC345" s="9" t="s">
        <v>2973</v>
      </c>
      <c r="AD345" s="9" t="s">
        <v>2973</v>
      </c>
      <c r="AE345" s="9" t="s">
        <v>2973</v>
      </c>
      <c r="AF345" s="9" t="s">
        <v>2973</v>
      </c>
      <c r="AG345" s="9" t="s">
        <v>2973</v>
      </c>
      <c r="AH345" s="9" t="s">
        <v>2973</v>
      </c>
      <c r="AI345" s="9" t="s">
        <v>2973</v>
      </c>
      <c r="AJ345" s="9" t="s">
        <v>2973</v>
      </c>
      <c r="AK345" s="9" t="s">
        <v>2973</v>
      </c>
      <c r="AL345" s="9" t="s">
        <v>2973</v>
      </c>
      <c r="AM345" s="9" t="s">
        <v>2973</v>
      </c>
      <c r="AN345" s="9" t="s">
        <v>2973</v>
      </c>
      <c r="AO345" s="9" t="s">
        <v>2973</v>
      </c>
      <c r="AP345" s="9" t="s">
        <v>2973</v>
      </c>
      <c r="AQ345" s="9" t="s">
        <v>2973</v>
      </c>
      <c r="AR345" s="9" t="s">
        <v>2973</v>
      </c>
      <c r="AS345" s="9" t="s">
        <v>2973</v>
      </c>
      <c r="AT345" s="9" t="s">
        <v>2973</v>
      </c>
      <c r="AU345" s="9" t="s">
        <v>2973</v>
      </c>
      <c r="AV345" s="9" t="s">
        <v>2973</v>
      </c>
      <c r="AW345" s="9" t="s">
        <v>2973</v>
      </c>
      <c r="AX345" s="9" t="s">
        <v>2973</v>
      </c>
      <c r="AY345" s="9" t="s">
        <v>2973</v>
      </c>
      <c r="AZ345" s="9" t="s">
        <v>2973</v>
      </c>
      <c r="BA345" s="9" t="s">
        <v>2973</v>
      </c>
      <c r="BB345" s="9" t="s">
        <v>2973</v>
      </c>
      <c r="BC345" s="9" t="s">
        <v>2973</v>
      </c>
      <c r="BD345" s="9" t="s">
        <v>2973</v>
      </c>
      <c r="BE345" s="9" t="s">
        <v>2973</v>
      </c>
      <c r="BF345" s="9" t="s">
        <v>2973</v>
      </c>
      <c r="BG345" s="9" t="s">
        <v>2973</v>
      </c>
      <c r="BH345" s="9" t="s">
        <v>2973</v>
      </c>
      <c r="BI345" s="9" t="s">
        <v>2973</v>
      </c>
      <c r="BJ345" s="9" t="s">
        <v>2973</v>
      </c>
      <c r="BK345" s="9" t="s">
        <v>2973</v>
      </c>
      <c r="BL345" s="9" t="s">
        <v>2973</v>
      </c>
      <c r="BM345" s="9" t="s">
        <v>2973</v>
      </c>
      <c r="BN345" s="9" t="s">
        <v>2973</v>
      </c>
      <c r="BO345" s="9" t="s">
        <v>2973</v>
      </c>
      <c r="BP345" s="9" t="s">
        <v>2973</v>
      </c>
      <c r="BQ345" s="9" t="s">
        <v>2973</v>
      </c>
      <c r="BR345" s="9" t="s">
        <v>2973</v>
      </c>
      <c r="BS345" s="9" t="s">
        <v>2973</v>
      </c>
      <c r="BT345" s="9" t="s">
        <v>2973</v>
      </c>
      <c r="BU345" s="9" t="s">
        <v>2973</v>
      </c>
      <c r="BV345" s="9" t="s">
        <v>2973</v>
      </c>
      <c r="BW345" s="9" t="s">
        <v>2973</v>
      </c>
      <c r="BX345" s="9" t="s">
        <v>2973</v>
      </c>
      <c r="BY345" s="9" t="s">
        <v>2973</v>
      </c>
      <c r="BZ345" s="9" t="s">
        <v>2973</v>
      </c>
      <c r="CA345" s="9" t="s">
        <v>2973</v>
      </c>
      <c r="CB345" s="9" t="s">
        <v>2973</v>
      </c>
      <c r="CC345" s="9" t="s">
        <v>2973</v>
      </c>
      <c r="CD345" s="9" t="s">
        <v>2973</v>
      </c>
      <c r="CE345" s="9" t="s">
        <v>2973</v>
      </c>
      <c r="CF345" s="9" t="s">
        <v>2973</v>
      </c>
      <c r="CG345" s="9" t="s">
        <v>2973</v>
      </c>
      <c r="CH345" s="9" t="s">
        <v>2973</v>
      </c>
      <c r="CI345" s="9" t="s">
        <v>2973</v>
      </c>
      <c r="CJ345" s="9" t="s">
        <v>2973</v>
      </c>
      <c r="CK345" s="9" t="s">
        <v>2973</v>
      </c>
      <c r="CL345" s="9" t="s">
        <v>2955</v>
      </c>
      <c r="CM345" s="9" t="s">
        <v>2955</v>
      </c>
      <c r="CN345" s="9" t="s">
        <v>2955</v>
      </c>
      <c r="CO345" s="9" t="s">
        <v>2955</v>
      </c>
      <c r="CP345" s="9" t="s">
        <v>2955</v>
      </c>
      <c r="CQ345" s="9" t="s">
        <v>2955</v>
      </c>
      <c r="CR345" s="9" t="s">
        <v>2955</v>
      </c>
      <c r="CS345" s="9" t="s">
        <v>2955</v>
      </c>
      <c r="CT345" s="9" t="s">
        <v>2955</v>
      </c>
      <c r="CU345" s="9" t="s">
        <v>2955</v>
      </c>
      <c r="CV345" s="9" t="s">
        <v>2955</v>
      </c>
      <c r="CW345" s="9" t="s">
        <v>2955</v>
      </c>
      <c r="CX345" s="9" t="s">
        <v>2955</v>
      </c>
      <c r="CY345" s="9" t="s">
        <v>2955</v>
      </c>
      <c r="CZ345" s="9" t="s">
        <v>2955</v>
      </c>
      <c r="DA345" s="9" t="s">
        <v>2955</v>
      </c>
      <c r="DB345" s="9" t="s">
        <v>2955</v>
      </c>
      <c r="DC345" s="9" t="s">
        <v>2955</v>
      </c>
      <c r="DD345" s="9" t="s">
        <v>2955</v>
      </c>
      <c r="DE345" s="9" t="s">
        <v>2955</v>
      </c>
      <c r="DF345" s="9" t="s">
        <v>2955</v>
      </c>
      <c r="DG345" s="9" t="s">
        <v>2955</v>
      </c>
      <c r="DH345" s="9" t="s">
        <v>2955</v>
      </c>
      <c r="DI345" s="9" t="s">
        <v>2955</v>
      </c>
      <c r="DJ345" s="9" t="s">
        <v>2955</v>
      </c>
      <c r="DK345" s="9" t="s">
        <v>2955</v>
      </c>
      <c r="DL345" s="9" t="s">
        <v>2955</v>
      </c>
      <c r="DM345" s="9" t="s">
        <v>2955</v>
      </c>
      <c r="DN345" s="9" t="s">
        <v>2955</v>
      </c>
      <c r="DO345" s="9" t="s">
        <v>2955</v>
      </c>
      <c r="DP345" s="9" t="s">
        <v>2955</v>
      </c>
      <c r="DQ345" s="9" t="s">
        <v>2955</v>
      </c>
    </row>
    <row r="346" spans="1:121" ht="15.75" customHeight="1">
      <c r="A346" s="87" t="s">
        <v>8621</v>
      </c>
      <c r="Z346" s="9" t="s">
        <v>2955</v>
      </c>
      <c r="AA346" s="9" t="s">
        <v>2955</v>
      </c>
      <c r="AB346" s="9" t="s">
        <v>2955</v>
      </c>
      <c r="AC346" s="9" t="s">
        <v>2955</v>
      </c>
      <c r="AD346" s="9" t="s">
        <v>2955</v>
      </c>
      <c r="AE346" s="9" t="s">
        <v>2955</v>
      </c>
      <c r="AF346" s="9" t="s">
        <v>2955</v>
      </c>
      <c r="AG346" s="9" t="s">
        <v>2955</v>
      </c>
      <c r="AH346" s="9" t="s">
        <v>2955</v>
      </c>
      <c r="AI346" s="9" t="s">
        <v>2955</v>
      </c>
      <c r="AJ346" s="9" t="s">
        <v>2955</v>
      </c>
      <c r="AK346" s="9" t="s">
        <v>2955</v>
      </c>
      <c r="AL346" s="9" t="s">
        <v>2955</v>
      </c>
      <c r="AM346" s="9" t="s">
        <v>2955</v>
      </c>
      <c r="AN346" s="9" t="s">
        <v>2955</v>
      </c>
      <c r="AO346" s="9" t="s">
        <v>2955</v>
      </c>
      <c r="AP346" s="9" t="s">
        <v>2955</v>
      </c>
      <c r="AQ346" s="9" t="s">
        <v>2955</v>
      </c>
      <c r="AR346" s="9" t="s">
        <v>2955</v>
      </c>
      <c r="AS346" s="9" t="s">
        <v>2955</v>
      </c>
      <c r="AT346" s="9" t="s">
        <v>2955</v>
      </c>
      <c r="AU346" s="9" t="s">
        <v>2955</v>
      </c>
      <c r="AV346" s="9" t="s">
        <v>2955</v>
      </c>
      <c r="AW346" s="9" t="s">
        <v>2955</v>
      </c>
      <c r="AX346" s="9" t="s">
        <v>2955</v>
      </c>
      <c r="AY346" s="9" t="s">
        <v>2955</v>
      </c>
      <c r="AZ346" s="9" t="s">
        <v>2955</v>
      </c>
      <c r="BA346" s="9" t="s">
        <v>2955</v>
      </c>
      <c r="BB346" s="9" t="s">
        <v>2955</v>
      </c>
      <c r="BC346" s="9" t="s">
        <v>2955</v>
      </c>
      <c r="BD346" s="9" t="s">
        <v>2955</v>
      </c>
      <c r="BE346" s="9" t="s">
        <v>2955</v>
      </c>
      <c r="BF346" s="9" t="s">
        <v>2955</v>
      </c>
      <c r="BG346" s="9" t="s">
        <v>2955</v>
      </c>
      <c r="BH346" s="9" t="s">
        <v>2955</v>
      </c>
      <c r="BI346" s="9" t="s">
        <v>2955</v>
      </c>
      <c r="BJ346" s="9" t="s">
        <v>2955</v>
      </c>
      <c r="BK346" s="9" t="s">
        <v>2955</v>
      </c>
      <c r="BL346" s="9" t="s">
        <v>2955</v>
      </c>
      <c r="BM346" s="9" t="s">
        <v>2955</v>
      </c>
      <c r="BN346" s="9" t="s">
        <v>2955</v>
      </c>
      <c r="BO346" s="9" t="s">
        <v>2955</v>
      </c>
      <c r="BP346" s="9" t="s">
        <v>2955</v>
      </c>
      <c r="BQ346" s="9" t="s">
        <v>2955</v>
      </c>
      <c r="BR346" s="9" t="s">
        <v>2955</v>
      </c>
      <c r="BS346" s="9" t="s">
        <v>2955</v>
      </c>
      <c r="BT346" s="9" t="s">
        <v>2955</v>
      </c>
      <c r="BU346" s="9" t="s">
        <v>2955</v>
      </c>
      <c r="BV346" s="9" t="s">
        <v>2955</v>
      </c>
      <c r="BW346" s="9" t="s">
        <v>2955</v>
      </c>
      <c r="BX346" s="9" t="s">
        <v>2955</v>
      </c>
      <c r="BY346" s="9" t="s">
        <v>2955</v>
      </c>
      <c r="BZ346" s="9" t="s">
        <v>2955</v>
      </c>
      <c r="CA346" s="9" t="s">
        <v>2955</v>
      </c>
      <c r="CB346" s="9" t="s">
        <v>2955</v>
      </c>
      <c r="CC346" s="9" t="s">
        <v>2955</v>
      </c>
      <c r="CD346" s="9" t="s">
        <v>2955</v>
      </c>
      <c r="CE346" s="9" t="s">
        <v>2955</v>
      </c>
      <c r="CF346" s="9" t="s">
        <v>2955</v>
      </c>
      <c r="CG346" s="9" t="s">
        <v>2955</v>
      </c>
      <c r="CH346" s="9" t="s">
        <v>2955</v>
      </c>
      <c r="CI346" s="9" t="s">
        <v>2955</v>
      </c>
      <c r="CJ346" s="9" t="s">
        <v>2955</v>
      </c>
      <c r="CK346" s="9" t="s">
        <v>2955</v>
      </c>
      <c r="CL346" s="9" t="s">
        <v>2955</v>
      </c>
      <c r="CM346" s="9" t="s">
        <v>2955</v>
      </c>
      <c r="CN346" s="9" t="s">
        <v>2955</v>
      </c>
      <c r="CO346" s="9" t="s">
        <v>2955</v>
      </c>
      <c r="CP346" s="9" t="s">
        <v>2955</v>
      </c>
      <c r="CQ346" s="9" t="s">
        <v>2955</v>
      </c>
      <c r="CR346" s="9" t="s">
        <v>2955</v>
      </c>
      <c r="CS346" s="9" t="s">
        <v>2955</v>
      </c>
      <c r="CT346" s="9" t="s">
        <v>2955</v>
      </c>
      <c r="CU346" s="9" t="s">
        <v>2955</v>
      </c>
      <c r="CV346" s="9" t="s">
        <v>2955</v>
      </c>
      <c r="CW346" s="9" t="s">
        <v>2955</v>
      </c>
      <c r="CX346" s="9" t="s">
        <v>2955</v>
      </c>
      <c r="CY346" s="9" t="s">
        <v>2955</v>
      </c>
      <c r="CZ346" s="9" t="s">
        <v>2955</v>
      </c>
      <c r="DA346" s="9" t="s">
        <v>2955</v>
      </c>
      <c r="DB346" s="9" t="s">
        <v>2955</v>
      </c>
      <c r="DC346" s="9" t="s">
        <v>2955</v>
      </c>
      <c r="DD346" s="9" t="s">
        <v>2955</v>
      </c>
      <c r="DE346" s="9" t="s">
        <v>2955</v>
      </c>
      <c r="DF346" s="9" t="s">
        <v>2955</v>
      </c>
      <c r="DG346" s="9" t="s">
        <v>2955</v>
      </c>
      <c r="DH346" s="9" t="s">
        <v>2955</v>
      </c>
      <c r="DI346" s="9" t="s">
        <v>2955</v>
      </c>
      <c r="DJ346" s="9" t="s">
        <v>2955</v>
      </c>
      <c r="DK346" s="9" t="s">
        <v>2955</v>
      </c>
      <c r="DL346" s="9" t="s">
        <v>2955</v>
      </c>
      <c r="DM346" s="9" t="s">
        <v>2955</v>
      </c>
      <c r="DN346" s="9" t="s">
        <v>2955</v>
      </c>
      <c r="DO346" s="9" t="s">
        <v>2955</v>
      </c>
      <c r="DP346" s="9" t="s">
        <v>2955</v>
      </c>
      <c r="DQ346" s="9" t="s">
        <v>2955</v>
      </c>
    </row>
    <row r="347" spans="1:121" ht="15.75" customHeight="1">
      <c r="A347" s="87" t="s">
        <v>8622</v>
      </c>
      <c r="Z347" s="9" t="s">
        <v>2955</v>
      </c>
      <c r="AA347" s="9" t="s">
        <v>2955</v>
      </c>
      <c r="AB347" s="9" t="s">
        <v>2955</v>
      </c>
      <c r="AC347" s="9" t="s">
        <v>2955</v>
      </c>
      <c r="AD347" s="9" t="s">
        <v>2955</v>
      </c>
      <c r="AE347" s="9" t="s">
        <v>2955</v>
      </c>
      <c r="AF347" s="9" t="s">
        <v>2955</v>
      </c>
      <c r="AG347" s="9" t="s">
        <v>2955</v>
      </c>
      <c r="AH347" s="9" t="s">
        <v>2955</v>
      </c>
      <c r="AI347" s="9" t="s">
        <v>2955</v>
      </c>
      <c r="AJ347" s="9" t="s">
        <v>2955</v>
      </c>
      <c r="AK347" s="9" t="s">
        <v>2955</v>
      </c>
      <c r="AL347" s="9" t="s">
        <v>2955</v>
      </c>
      <c r="AM347" s="9" t="s">
        <v>2955</v>
      </c>
      <c r="AN347" s="9" t="s">
        <v>2955</v>
      </c>
      <c r="AO347" s="9" t="s">
        <v>2955</v>
      </c>
      <c r="AP347" s="9" t="s">
        <v>2955</v>
      </c>
      <c r="AQ347" s="9" t="s">
        <v>2955</v>
      </c>
      <c r="AR347" s="9" t="s">
        <v>2955</v>
      </c>
      <c r="AS347" s="9" t="s">
        <v>2955</v>
      </c>
      <c r="AT347" s="9" t="s">
        <v>2955</v>
      </c>
      <c r="AU347" s="9" t="s">
        <v>2955</v>
      </c>
      <c r="AV347" s="9" t="s">
        <v>2955</v>
      </c>
      <c r="AW347" s="9" t="s">
        <v>2955</v>
      </c>
      <c r="AX347" s="9" t="s">
        <v>2955</v>
      </c>
      <c r="AY347" s="9" t="s">
        <v>2955</v>
      </c>
      <c r="AZ347" s="9" t="s">
        <v>2955</v>
      </c>
      <c r="BA347" s="9" t="s">
        <v>2955</v>
      </c>
      <c r="BB347" s="9" t="s">
        <v>2955</v>
      </c>
      <c r="BC347" s="9" t="s">
        <v>2955</v>
      </c>
      <c r="BD347" s="9" t="s">
        <v>2955</v>
      </c>
      <c r="BE347" s="9" t="s">
        <v>2955</v>
      </c>
      <c r="BF347" s="9" t="s">
        <v>2955</v>
      </c>
      <c r="BG347" s="9" t="s">
        <v>2955</v>
      </c>
      <c r="BH347" s="9" t="s">
        <v>2955</v>
      </c>
      <c r="BI347" s="9" t="s">
        <v>2955</v>
      </c>
      <c r="BJ347" s="9" t="s">
        <v>2955</v>
      </c>
      <c r="BK347" s="9" t="s">
        <v>2955</v>
      </c>
      <c r="BL347" s="9" t="s">
        <v>2955</v>
      </c>
      <c r="BM347" s="9" t="s">
        <v>2955</v>
      </c>
      <c r="BN347" s="9" t="s">
        <v>2955</v>
      </c>
      <c r="BO347" s="9" t="s">
        <v>2955</v>
      </c>
      <c r="BP347" s="9" t="s">
        <v>2955</v>
      </c>
      <c r="BQ347" s="9" t="s">
        <v>2955</v>
      </c>
      <c r="BR347" s="9" t="s">
        <v>2955</v>
      </c>
      <c r="BS347" s="9" t="s">
        <v>2955</v>
      </c>
      <c r="BT347" s="9" t="s">
        <v>2955</v>
      </c>
      <c r="BU347" s="9" t="s">
        <v>2955</v>
      </c>
      <c r="BV347" s="9" t="s">
        <v>2955</v>
      </c>
      <c r="BW347" s="9" t="s">
        <v>2955</v>
      </c>
      <c r="BX347" s="9" t="s">
        <v>2955</v>
      </c>
      <c r="BY347" s="9" t="s">
        <v>2955</v>
      </c>
      <c r="BZ347" s="9" t="s">
        <v>2955</v>
      </c>
      <c r="CA347" s="9" t="s">
        <v>2955</v>
      </c>
      <c r="CB347" s="9" t="s">
        <v>2955</v>
      </c>
      <c r="CC347" s="9" t="s">
        <v>2955</v>
      </c>
      <c r="CD347" s="9" t="s">
        <v>2955</v>
      </c>
      <c r="CE347" s="9" t="s">
        <v>2955</v>
      </c>
      <c r="CF347" s="9" t="s">
        <v>2955</v>
      </c>
      <c r="CG347" s="9" t="s">
        <v>2955</v>
      </c>
      <c r="CH347" s="9" t="s">
        <v>2955</v>
      </c>
      <c r="CI347" s="9" t="s">
        <v>2955</v>
      </c>
      <c r="CJ347" s="9" t="s">
        <v>2955</v>
      </c>
      <c r="CK347" s="9" t="s">
        <v>2955</v>
      </c>
      <c r="CL347" s="9" t="s">
        <v>2955</v>
      </c>
      <c r="CM347" s="9" t="s">
        <v>2955</v>
      </c>
      <c r="CN347" s="9" t="s">
        <v>2955</v>
      </c>
      <c r="CO347" s="9" t="s">
        <v>2955</v>
      </c>
      <c r="CP347" s="9" t="s">
        <v>2955</v>
      </c>
      <c r="CQ347" s="9" t="s">
        <v>2955</v>
      </c>
      <c r="CR347" s="9" t="s">
        <v>2955</v>
      </c>
      <c r="CS347" s="9" t="s">
        <v>2955</v>
      </c>
      <c r="CT347" s="9" t="s">
        <v>2955</v>
      </c>
      <c r="CU347" s="9" t="s">
        <v>2955</v>
      </c>
      <c r="CV347" s="9" t="s">
        <v>2955</v>
      </c>
      <c r="CW347" s="9" t="s">
        <v>2955</v>
      </c>
      <c r="CX347" s="9" t="s">
        <v>2955</v>
      </c>
      <c r="CY347" s="9" t="s">
        <v>2955</v>
      </c>
      <c r="CZ347" s="9" t="s">
        <v>2955</v>
      </c>
      <c r="DA347" s="9" t="s">
        <v>2955</v>
      </c>
      <c r="DB347" s="9" t="s">
        <v>2955</v>
      </c>
      <c r="DC347" s="9" t="s">
        <v>2955</v>
      </c>
      <c r="DD347" s="9" t="s">
        <v>2955</v>
      </c>
      <c r="DE347" s="9" t="s">
        <v>2955</v>
      </c>
      <c r="DF347" s="9" t="s">
        <v>2955</v>
      </c>
      <c r="DG347" s="9" t="s">
        <v>2955</v>
      </c>
      <c r="DH347" s="9" t="s">
        <v>2955</v>
      </c>
      <c r="DI347" s="9" t="s">
        <v>2955</v>
      </c>
      <c r="DJ347" s="9" t="s">
        <v>2955</v>
      </c>
      <c r="DK347" s="9" t="s">
        <v>2955</v>
      </c>
      <c r="DL347" s="9" t="s">
        <v>2955</v>
      </c>
      <c r="DM347" s="9" t="s">
        <v>2955</v>
      </c>
      <c r="DN347" s="9" t="s">
        <v>2955</v>
      </c>
      <c r="DO347" s="9" t="s">
        <v>2955</v>
      </c>
      <c r="DP347" s="9" t="s">
        <v>2955</v>
      </c>
      <c r="DQ347" s="9" t="s">
        <v>2955</v>
      </c>
    </row>
    <row r="348" spans="1:121" ht="15.75" customHeight="1">
      <c r="A348" s="87" t="s">
        <v>8623</v>
      </c>
      <c r="Z348" s="9" t="s">
        <v>2955</v>
      </c>
      <c r="AA348" s="9" t="s">
        <v>2955</v>
      </c>
      <c r="AB348" s="9" t="s">
        <v>2955</v>
      </c>
      <c r="AC348" s="9" t="s">
        <v>2955</v>
      </c>
      <c r="AD348" s="9" t="s">
        <v>2955</v>
      </c>
      <c r="AE348" s="9" t="s">
        <v>2955</v>
      </c>
      <c r="AF348" s="9" t="s">
        <v>2955</v>
      </c>
      <c r="AG348" s="9" t="s">
        <v>2955</v>
      </c>
      <c r="AH348" s="9" t="s">
        <v>2955</v>
      </c>
      <c r="AI348" s="9" t="s">
        <v>2955</v>
      </c>
      <c r="AJ348" s="9" t="s">
        <v>2955</v>
      </c>
      <c r="AK348" s="9" t="s">
        <v>2955</v>
      </c>
      <c r="AL348" s="9" t="s">
        <v>2955</v>
      </c>
      <c r="AM348" s="9" t="s">
        <v>2955</v>
      </c>
      <c r="AN348" s="9" t="s">
        <v>2955</v>
      </c>
      <c r="AO348" s="9" t="s">
        <v>2955</v>
      </c>
      <c r="AP348" s="9" t="s">
        <v>2890</v>
      </c>
      <c r="AQ348" s="9" t="s">
        <v>2890</v>
      </c>
      <c r="AR348" s="9" t="s">
        <v>2890</v>
      </c>
      <c r="AS348" s="9" t="s">
        <v>2890</v>
      </c>
      <c r="AT348" s="9" t="s">
        <v>2890</v>
      </c>
      <c r="AU348" s="9" t="s">
        <v>2890</v>
      </c>
      <c r="AV348" s="9" t="s">
        <v>2890</v>
      </c>
      <c r="AW348" s="9" t="s">
        <v>2890</v>
      </c>
      <c r="AX348" s="9" t="s">
        <v>2890</v>
      </c>
      <c r="AY348" s="9" t="s">
        <v>2890</v>
      </c>
      <c r="AZ348" s="9" t="s">
        <v>2890</v>
      </c>
      <c r="BA348" s="9" t="s">
        <v>2890</v>
      </c>
      <c r="BB348" s="9" t="s">
        <v>2890</v>
      </c>
      <c r="BC348" s="9" t="s">
        <v>2890</v>
      </c>
      <c r="BD348" s="9" t="s">
        <v>2890</v>
      </c>
      <c r="BE348" s="9" t="s">
        <v>2890</v>
      </c>
      <c r="BF348" s="9" t="s">
        <v>2890</v>
      </c>
      <c r="BG348" s="9" t="s">
        <v>2890</v>
      </c>
      <c r="BH348" s="9" t="s">
        <v>2879</v>
      </c>
      <c r="BI348" s="9" t="s">
        <v>2879</v>
      </c>
      <c r="BJ348" s="9" t="s">
        <v>2879</v>
      </c>
      <c r="BK348" s="9" t="s">
        <v>2879</v>
      </c>
      <c r="BL348" s="9" t="s">
        <v>2879</v>
      </c>
      <c r="BM348" s="9" t="s">
        <v>2879</v>
      </c>
      <c r="BN348" s="9" t="s">
        <v>2879</v>
      </c>
      <c r="BO348" s="9" t="s">
        <v>2879</v>
      </c>
      <c r="BP348" s="9" t="s">
        <v>2879</v>
      </c>
      <c r="BQ348" s="9" t="s">
        <v>2879</v>
      </c>
      <c r="BR348" s="9" t="s">
        <v>2879</v>
      </c>
      <c r="BS348" s="9" t="s">
        <v>2879</v>
      </c>
      <c r="BT348" s="9" t="s">
        <v>2879</v>
      </c>
      <c r="BU348" s="9" t="s">
        <v>2879</v>
      </c>
      <c r="BV348" s="9" t="s">
        <v>2879</v>
      </c>
      <c r="BW348" s="9" t="s">
        <v>2879</v>
      </c>
      <c r="BX348" s="9" t="s">
        <v>2879</v>
      </c>
      <c r="BY348" s="9" t="s">
        <v>2879</v>
      </c>
      <c r="BZ348" s="9" t="s">
        <v>2879</v>
      </c>
      <c r="CA348" s="9" t="s">
        <v>2879</v>
      </c>
      <c r="CB348" s="9" t="s">
        <v>2879</v>
      </c>
      <c r="CC348" s="9" t="s">
        <v>2879</v>
      </c>
      <c r="CD348" s="9" t="s">
        <v>2879</v>
      </c>
      <c r="CE348" s="9" t="s">
        <v>2879</v>
      </c>
      <c r="CF348" s="9" t="s">
        <v>2879</v>
      </c>
      <c r="CG348" s="9" t="s">
        <v>2879</v>
      </c>
      <c r="CH348" s="9" t="s">
        <v>2879</v>
      </c>
      <c r="CI348" s="9" t="s">
        <v>2879</v>
      </c>
      <c r="CJ348" s="9" t="s">
        <v>2879</v>
      </c>
      <c r="CK348" s="9" t="s">
        <v>2879</v>
      </c>
      <c r="CL348" s="9" t="s">
        <v>2879</v>
      </c>
      <c r="CM348" s="9" t="s">
        <v>2879</v>
      </c>
      <c r="CN348" s="9" t="s">
        <v>2879</v>
      </c>
      <c r="CO348" s="9" t="s">
        <v>2879</v>
      </c>
      <c r="CP348" s="9" t="s">
        <v>2879</v>
      </c>
      <c r="CQ348" s="9" t="s">
        <v>2918</v>
      </c>
      <c r="CR348" s="9" t="s">
        <v>2918</v>
      </c>
      <c r="CS348" s="9" t="s">
        <v>2918</v>
      </c>
      <c r="CT348" s="9" t="s">
        <v>2918</v>
      </c>
      <c r="CU348" s="9" t="s">
        <v>2918</v>
      </c>
      <c r="CV348" s="9" t="s">
        <v>2918</v>
      </c>
      <c r="CW348" s="9" t="s">
        <v>2918</v>
      </c>
      <c r="CX348" s="9" t="s">
        <v>2918</v>
      </c>
      <c r="CY348" s="9" t="s">
        <v>2918</v>
      </c>
      <c r="CZ348" s="9" t="s">
        <v>2918</v>
      </c>
      <c r="DA348" s="9" t="s">
        <v>2918</v>
      </c>
      <c r="DB348" s="9" t="s">
        <v>2918</v>
      </c>
      <c r="DC348" s="9" t="s">
        <v>2918</v>
      </c>
      <c r="DD348" s="9" t="s">
        <v>2918</v>
      </c>
      <c r="DE348" s="9" t="s">
        <v>2918</v>
      </c>
      <c r="DF348" s="9" t="s">
        <v>2918</v>
      </c>
      <c r="DG348" s="9" t="s">
        <v>2918</v>
      </c>
      <c r="DH348" s="9" t="s">
        <v>2918</v>
      </c>
      <c r="DI348" s="9" t="s">
        <v>2918</v>
      </c>
      <c r="DJ348" s="9" t="s">
        <v>2918</v>
      </c>
      <c r="DK348" s="9" t="s">
        <v>2918</v>
      </c>
      <c r="DL348" s="9" t="s">
        <v>2918</v>
      </c>
      <c r="DM348" s="9" t="s">
        <v>2918</v>
      </c>
      <c r="DN348" s="9" t="s">
        <v>2918</v>
      </c>
      <c r="DO348" s="9" t="s">
        <v>3020</v>
      </c>
      <c r="DP348" s="9" t="s">
        <v>3020</v>
      </c>
      <c r="DQ348" s="9" t="s">
        <v>3020</v>
      </c>
    </row>
    <row r="349" spans="1:121" ht="15.75" customHeight="1">
      <c r="A349" s="87" t="s">
        <v>8624</v>
      </c>
      <c r="Z349" s="9" t="s">
        <v>3020</v>
      </c>
      <c r="AA349" s="9" t="s">
        <v>3020</v>
      </c>
      <c r="AB349" s="9" t="s">
        <v>3020</v>
      </c>
      <c r="AC349" s="9" t="s">
        <v>3020</v>
      </c>
      <c r="AD349" s="9" t="s">
        <v>3020</v>
      </c>
      <c r="AE349" s="9" t="s">
        <v>3020</v>
      </c>
      <c r="AF349" s="9" t="s">
        <v>3020</v>
      </c>
      <c r="AG349" s="9" t="s">
        <v>3020</v>
      </c>
      <c r="AH349" s="9" t="s">
        <v>3020</v>
      </c>
      <c r="AI349" s="9" t="s">
        <v>3020</v>
      </c>
      <c r="AJ349" s="9" t="s">
        <v>3020</v>
      </c>
      <c r="AK349" s="9" t="s">
        <v>3020</v>
      </c>
      <c r="AL349" s="9" t="s">
        <v>3020</v>
      </c>
      <c r="AM349" s="9" t="s">
        <v>3020</v>
      </c>
      <c r="AN349" s="9" t="s">
        <v>3020</v>
      </c>
      <c r="AO349" s="9" t="s">
        <v>3020</v>
      </c>
      <c r="AP349" s="9" t="s">
        <v>3020</v>
      </c>
      <c r="AQ349" s="9" t="s">
        <v>3020</v>
      </c>
      <c r="AR349" s="9" t="s">
        <v>3020</v>
      </c>
      <c r="AS349" s="9" t="s">
        <v>3020</v>
      </c>
      <c r="AT349" s="9" t="s">
        <v>3020</v>
      </c>
      <c r="AU349" s="9" t="s">
        <v>3020</v>
      </c>
      <c r="AV349" s="9" t="s">
        <v>3020</v>
      </c>
      <c r="AW349" s="9" t="s">
        <v>3020</v>
      </c>
      <c r="AX349" s="9" t="s">
        <v>3020</v>
      </c>
      <c r="AY349" s="9" t="s">
        <v>3020</v>
      </c>
      <c r="AZ349" s="9" t="s">
        <v>3020</v>
      </c>
      <c r="BA349" s="9" t="s">
        <v>3020</v>
      </c>
      <c r="BB349" s="9" t="s">
        <v>3020</v>
      </c>
      <c r="BC349" s="9" t="s">
        <v>3020</v>
      </c>
      <c r="BD349" s="9" t="s">
        <v>3020</v>
      </c>
      <c r="BE349" s="9" t="s">
        <v>3020</v>
      </c>
      <c r="BF349" s="9" t="s">
        <v>3020</v>
      </c>
      <c r="BG349" s="9" t="s">
        <v>3020</v>
      </c>
      <c r="BH349" s="9" t="s">
        <v>3020</v>
      </c>
      <c r="BI349" s="9" t="s">
        <v>3020</v>
      </c>
      <c r="BJ349" s="9" t="s">
        <v>3020</v>
      </c>
      <c r="BK349" s="9" t="s">
        <v>3020</v>
      </c>
      <c r="BL349" s="9" t="s">
        <v>3020</v>
      </c>
      <c r="BM349" s="9" t="s">
        <v>3020</v>
      </c>
      <c r="BN349" s="9" t="s">
        <v>3020</v>
      </c>
      <c r="BO349" s="9" t="s">
        <v>3020</v>
      </c>
      <c r="BP349" s="9" t="s">
        <v>3020</v>
      </c>
      <c r="BQ349" s="9" t="s">
        <v>3020</v>
      </c>
      <c r="BR349" s="9" t="s">
        <v>3020</v>
      </c>
      <c r="BS349" s="9" t="s">
        <v>3020</v>
      </c>
      <c r="BT349" s="9" t="s">
        <v>3020</v>
      </c>
      <c r="BU349" s="9" t="s">
        <v>3020</v>
      </c>
      <c r="BV349" s="9" t="s">
        <v>3020</v>
      </c>
      <c r="BW349" s="9" t="s">
        <v>3020</v>
      </c>
      <c r="BX349" s="9" t="s">
        <v>3020</v>
      </c>
      <c r="BY349" s="9" t="s">
        <v>3020</v>
      </c>
      <c r="BZ349" s="9" t="s">
        <v>3020</v>
      </c>
      <c r="CA349" s="9" t="s">
        <v>3020</v>
      </c>
      <c r="CB349" s="9" t="s">
        <v>3020</v>
      </c>
      <c r="CC349" s="9" t="s">
        <v>3020</v>
      </c>
      <c r="CD349" s="9" t="s">
        <v>3020</v>
      </c>
      <c r="CE349" s="9" t="s">
        <v>3020</v>
      </c>
      <c r="CF349" s="9" t="s">
        <v>3020</v>
      </c>
      <c r="CG349" s="9" t="s">
        <v>3020</v>
      </c>
      <c r="CH349" s="9" t="s">
        <v>3020</v>
      </c>
      <c r="CI349" s="9" t="s">
        <v>3020</v>
      </c>
      <c r="CJ349" s="9" t="s">
        <v>3020</v>
      </c>
      <c r="CK349" s="9" t="s">
        <v>3020</v>
      </c>
      <c r="CL349" s="9" t="s">
        <v>2825</v>
      </c>
      <c r="CM349" s="9" t="s">
        <v>2825</v>
      </c>
      <c r="CN349" s="9" t="s">
        <v>2825</v>
      </c>
      <c r="CO349" s="9" t="s">
        <v>2825</v>
      </c>
      <c r="CP349" s="9" t="s">
        <v>2825</v>
      </c>
      <c r="CQ349" s="9" t="s">
        <v>2825</v>
      </c>
      <c r="CR349" s="9" t="s">
        <v>2825</v>
      </c>
      <c r="CS349" s="9" t="s">
        <v>2825</v>
      </c>
      <c r="CT349" s="9" t="s">
        <v>2825</v>
      </c>
      <c r="CU349" s="9" t="s">
        <v>2825</v>
      </c>
      <c r="CV349" s="9" t="s">
        <v>2825</v>
      </c>
      <c r="CW349" s="9" t="s">
        <v>6522</v>
      </c>
      <c r="CX349" s="9" t="s">
        <v>6522</v>
      </c>
      <c r="CY349" s="9" t="s">
        <v>6522</v>
      </c>
      <c r="CZ349" s="9" t="s">
        <v>6522</v>
      </c>
      <c r="DA349" s="9" t="s">
        <v>6522</v>
      </c>
      <c r="DB349" s="9" t="s">
        <v>6522</v>
      </c>
      <c r="DC349" s="9" t="s">
        <v>6522</v>
      </c>
      <c r="DD349" s="9" t="s">
        <v>6522</v>
      </c>
      <c r="DE349" s="9" t="s">
        <v>6522</v>
      </c>
      <c r="DF349" s="9" t="s">
        <v>6522</v>
      </c>
      <c r="DG349" s="9" t="s">
        <v>6522</v>
      </c>
      <c r="DH349" s="9" t="s">
        <v>6522</v>
      </c>
      <c r="DI349" s="9" t="s">
        <v>6522</v>
      </c>
      <c r="DJ349" s="9" t="s">
        <v>6522</v>
      </c>
      <c r="DK349" s="9" t="s">
        <v>6522</v>
      </c>
      <c r="DL349" s="9" t="s">
        <v>6522</v>
      </c>
      <c r="DM349" s="9" t="s">
        <v>6522</v>
      </c>
      <c r="DN349" s="9" t="s">
        <v>6522</v>
      </c>
      <c r="DO349" s="9" t="s">
        <v>6522</v>
      </c>
      <c r="DP349" s="9" t="s">
        <v>6522</v>
      </c>
      <c r="DQ349" s="9" t="s">
        <v>6522</v>
      </c>
    </row>
    <row r="350" spans="1:121" ht="15.75" customHeight="1">
      <c r="A350" s="87" t="s">
        <v>8625</v>
      </c>
      <c r="Z350" s="9" t="s">
        <v>6522</v>
      </c>
      <c r="AA350" s="9" t="s">
        <v>6522</v>
      </c>
      <c r="AB350" s="9" t="s">
        <v>6522</v>
      </c>
      <c r="AC350" s="9" t="s">
        <v>6522</v>
      </c>
      <c r="AD350" s="9" t="s">
        <v>6522</v>
      </c>
      <c r="AE350" s="9" t="s">
        <v>6522</v>
      </c>
      <c r="AF350" s="9" t="s">
        <v>6522</v>
      </c>
      <c r="AG350" s="9" t="s">
        <v>6522</v>
      </c>
      <c r="AH350" s="9" t="s">
        <v>6522</v>
      </c>
      <c r="AI350" s="9" t="s">
        <v>6522</v>
      </c>
      <c r="AJ350" s="9" t="s">
        <v>6522</v>
      </c>
      <c r="AK350" s="9" t="s">
        <v>6522</v>
      </c>
      <c r="AL350" s="9" t="s">
        <v>6522</v>
      </c>
      <c r="AM350" s="9" t="s">
        <v>6522</v>
      </c>
      <c r="AN350" s="9" t="s">
        <v>3031</v>
      </c>
      <c r="AO350" s="9" t="s">
        <v>3031</v>
      </c>
      <c r="AP350" s="9" t="s">
        <v>3031</v>
      </c>
      <c r="AQ350" s="9" t="s">
        <v>3031</v>
      </c>
      <c r="AR350" s="9" t="s">
        <v>3031</v>
      </c>
      <c r="AS350" s="9" t="s">
        <v>3031</v>
      </c>
      <c r="AT350" s="9" t="s">
        <v>3031</v>
      </c>
      <c r="AU350" s="9" t="s">
        <v>3031</v>
      </c>
      <c r="AV350" s="9" t="s">
        <v>3031</v>
      </c>
      <c r="AW350" s="9" t="s">
        <v>3031</v>
      </c>
      <c r="AX350" s="9" t="s">
        <v>3031</v>
      </c>
      <c r="AY350" s="9" t="s">
        <v>3031</v>
      </c>
      <c r="AZ350" s="9" t="s">
        <v>3031</v>
      </c>
      <c r="BA350" s="9" t="s">
        <v>3031</v>
      </c>
      <c r="BB350" s="9" t="s">
        <v>3031</v>
      </c>
      <c r="BC350" s="9" t="s">
        <v>3031</v>
      </c>
      <c r="BD350" s="9" t="s">
        <v>3031</v>
      </c>
      <c r="BE350" s="9" t="s">
        <v>3031</v>
      </c>
      <c r="BF350" s="9" t="s">
        <v>3031</v>
      </c>
      <c r="BG350" s="9" t="s">
        <v>3031</v>
      </c>
      <c r="BH350" s="9" t="s">
        <v>3031</v>
      </c>
      <c r="BI350" s="9" t="s">
        <v>3031</v>
      </c>
      <c r="BJ350" s="9" t="s">
        <v>3031</v>
      </c>
      <c r="BK350" s="9" t="s">
        <v>3031</v>
      </c>
      <c r="BL350" s="9" t="s">
        <v>3031</v>
      </c>
      <c r="BM350" s="9" t="s">
        <v>3031</v>
      </c>
      <c r="BN350" s="9" t="s">
        <v>3031</v>
      </c>
      <c r="BO350" s="9" t="s">
        <v>3031</v>
      </c>
      <c r="BP350" s="9" t="s">
        <v>3031</v>
      </c>
      <c r="BQ350" s="9" t="s">
        <v>3031</v>
      </c>
      <c r="BR350" s="9" t="s">
        <v>3031</v>
      </c>
      <c r="BS350" s="9" t="s">
        <v>3031</v>
      </c>
      <c r="BT350" s="9" t="s">
        <v>3031</v>
      </c>
      <c r="BU350" s="9" t="s">
        <v>3031</v>
      </c>
      <c r="BV350" s="9" t="s">
        <v>3031</v>
      </c>
      <c r="BW350" s="9" t="s">
        <v>3031</v>
      </c>
      <c r="BX350" s="9" t="s">
        <v>3031</v>
      </c>
      <c r="BY350" s="9" t="s">
        <v>3031</v>
      </c>
      <c r="BZ350" s="9" t="s">
        <v>3031</v>
      </c>
      <c r="CA350" s="9" t="s">
        <v>3031</v>
      </c>
      <c r="CB350" s="9" t="s">
        <v>3031</v>
      </c>
      <c r="CC350" s="9" t="s">
        <v>3031</v>
      </c>
      <c r="CD350" s="9" t="s">
        <v>3031</v>
      </c>
      <c r="CE350" s="9" t="s">
        <v>3031</v>
      </c>
      <c r="CF350" s="9" t="s">
        <v>3031</v>
      </c>
      <c r="CG350" s="9" t="s">
        <v>3031</v>
      </c>
      <c r="CH350" s="9" t="s">
        <v>3031</v>
      </c>
      <c r="CI350" s="9" t="s">
        <v>3031</v>
      </c>
      <c r="CJ350" s="9" t="s">
        <v>3031</v>
      </c>
      <c r="CK350" s="9" t="s">
        <v>3031</v>
      </c>
      <c r="CL350" s="9" t="s">
        <v>2928</v>
      </c>
      <c r="CM350" s="9" t="s">
        <v>2928</v>
      </c>
      <c r="CN350" s="9" t="s">
        <v>2928</v>
      </c>
      <c r="CO350" s="9" t="s">
        <v>2928</v>
      </c>
      <c r="CP350" s="9" t="s">
        <v>2928</v>
      </c>
      <c r="CQ350" s="9" t="s">
        <v>2928</v>
      </c>
      <c r="CR350" s="9" t="s">
        <v>2928</v>
      </c>
      <c r="CS350" s="9" t="s">
        <v>2928</v>
      </c>
      <c r="CT350" s="9" t="s">
        <v>2928</v>
      </c>
      <c r="CU350" s="9" t="s">
        <v>2928</v>
      </c>
      <c r="CV350" s="9" t="s">
        <v>2928</v>
      </c>
      <c r="CW350" s="9" t="s">
        <v>2928</v>
      </c>
      <c r="CX350" s="9" t="s">
        <v>2928</v>
      </c>
      <c r="CY350" s="9" t="s">
        <v>2928</v>
      </c>
      <c r="CZ350" s="9" t="s">
        <v>2928</v>
      </c>
      <c r="DA350" s="9" t="s">
        <v>2928</v>
      </c>
      <c r="DB350" s="9" t="s">
        <v>2928</v>
      </c>
      <c r="DC350" s="9" t="s">
        <v>2928</v>
      </c>
      <c r="DD350" s="9" t="s">
        <v>2928</v>
      </c>
      <c r="DE350" s="9" t="s">
        <v>2928</v>
      </c>
      <c r="DF350" s="9" t="s">
        <v>2928</v>
      </c>
      <c r="DG350" s="9" t="s">
        <v>2928</v>
      </c>
      <c r="DH350" s="9" t="s">
        <v>2928</v>
      </c>
      <c r="DI350" s="9" t="s">
        <v>2928</v>
      </c>
      <c r="DJ350" s="9" t="s">
        <v>2928</v>
      </c>
      <c r="DK350" s="9" t="s">
        <v>2928</v>
      </c>
      <c r="DL350" s="9" t="s">
        <v>2928</v>
      </c>
      <c r="DM350" s="9" t="s">
        <v>2928</v>
      </c>
      <c r="DN350" s="9" t="s">
        <v>2928</v>
      </c>
      <c r="DO350" s="9" t="s">
        <v>2928</v>
      </c>
      <c r="DP350" s="9" t="s">
        <v>2928</v>
      </c>
      <c r="DQ350" s="9" t="s">
        <v>2928</v>
      </c>
    </row>
    <row r="351" spans="1:121" ht="15.75" customHeight="1">
      <c r="A351" s="87" t="s">
        <v>8626</v>
      </c>
      <c r="Z351" s="9" t="s">
        <v>2928</v>
      </c>
      <c r="AA351" s="9" t="s">
        <v>2928</v>
      </c>
      <c r="AB351" s="9" t="s">
        <v>2928</v>
      </c>
      <c r="AC351" s="9" t="s">
        <v>2983</v>
      </c>
      <c r="AD351" s="9" t="s">
        <v>2983</v>
      </c>
      <c r="AE351" s="9" t="s">
        <v>2983</v>
      </c>
      <c r="AF351" s="9" t="s">
        <v>2983</v>
      </c>
      <c r="AG351" s="9" t="s">
        <v>2983</v>
      </c>
      <c r="AH351" s="9" t="s">
        <v>2983</v>
      </c>
      <c r="AI351" s="9" t="s">
        <v>2983</v>
      </c>
      <c r="AJ351" s="9" t="s">
        <v>2983</v>
      </c>
      <c r="AK351" s="9" t="s">
        <v>2983</v>
      </c>
      <c r="AL351" s="9" t="s">
        <v>2983</v>
      </c>
      <c r="AM351" s="9" t="s">
        <v>2983</v>
      </c>
      <c r="AN351" s="9" t="s">
        <v>2983</v>
      </c>
      <c r="AO351" s="9" t="s">
        <v>2983</v>
      </c>
      <c r="AP351" s="9" t="s">
        <v>2983</v>
      </c>
      <c r="AQ351" s="9" t="s">
        <v>2983</v>
      </c>
      <c r="AR351" s="9" t="s">
        <v>2983</v>
      </c>
      <c r="AS351" s="9" t="s">
        <v>2983</v>
      </c>
      <c r="AT351" s="9" t="s">
        <v>2983</v>
      </c>
      <c r="AU351" s="9" t="s">
        <v>2983</v>
      </c>
      <c r="AV351" s="9" t="s">
        <v>2983</v>
      </c>
      <c r="AW351" s="9" t="s">
        <v>2983</v>
      </c>
      <c r="AX351" s="9" t="s">
        <v>2983</v>
      </c>
      <c r="AY351" s="9" t="s">
        <v>2983</v>
      </c>
      <c r="AZ351" s="9" t="s">
        <v>2983</v>
      </c>
      <c r="BA351" s="9" t="s">
        <v>2983</v>
      </c>
      <c r="BB351" s="9" t="s">
        <v>2983</v>
      </c>
      <c r="BC351" s="9" t="s">
        <v>2983</v>
      </c>
      <c r="BD351" s="9" t="s">
        <v>2983</v>
      </c>
      <c r="BE351" s="9" t="s">
        <v>2983</v>
      </c>
      <c r="BF351" s="9" t="s">
        <v>2983</v>
      </c>
      <c r="BG351" s="9" t="s">
        <v>2983</v>
      </c>
      <c r="BH351" s="9" t="s">
        <v>2983</v>
      </c>
      <c r="BI351" s="9" t="s">
        <v>2983</v>
      </c>
      <c r="BJ351" s="9" t="s">
        <v>2983</v>
      </c>
      <c r="BK351" s="9" t="s">
        <v>2983</v>
      </c>
      <c r="BL351" s="9" t="s">
        <v>2983</v>
      </c>
      <c r="BM351" s="9" t="s">
        <v>2983</v>
      </c>
      <c r="BN351" s="9" t="s">
        <v>2983</v>
      </c>
      <c r="BO351" s="9" t="s">
        <v>2983</v>
      </c>
      <c r="BP351" s="9" t="s">
        <v>2983</v>
      </c>
      <c r="BQ351" s="9" t="s">
        <v>2983</v>
      </c>
      <c r="BR351" s="9" t="s">
        <v>2983</v>
      </c>
      <c r="BS351" s="9" t="s">
        <v>2983</v>
      </c>
      <c r="BT351" s="9" t="s">
        <v>2983</v>
      </c>
      <c r="BU351" s="9" t="s">
        <v>2983</v>
      </c>
      <c r="BV351" s="9" t="s">
        <v>2983</v>
      </c>
      <c r="BW351" s="9" t="s">
        <v>2983</v>
      </c>
      <c r="BX351" s="9" t="s">
        <v>2983</v>
      </c>
      <c r="BY351" s="9" t="s">
        <v>2983</v>
      </c>
      <c r="BZ351" s="9" t="s">
        <v>2983</v>
      </c>
      <c r="CA351" s="9" t="s">
        <v>2983</v>
      </c>
      <c r="CB351" s="9" t="s">
        <v>2983</v>
      </c>
      <c r="CC351" s="9" t="s">
        <v>2983</v>
      </c>
      <c r="CD351" s="9" t="s">
        <v>2983</v>
      </c>
      <c r="CE351" s="9" t="s">
        <v>2983</v>
      </c>
      <c r="CF351" s="9" t="s">
        <v>2983</v>
      </c>
      <c r="CG351" s="9" t="s">
        <v>2983</v>
      </c>
      <c r="CH351" s="9" t="s">
        <v>2983</v>
      </c>
      <c r="CI351" s="9" t="s">
        <v>2983</v>
      </c>
      <c r="CJ351" s="9" t="s">
        <v>2983</v>
      </c>
      <c r="CK351" s="9" t="s">
        <v>2983</v>
      </c>
      <c r="CL351" s="9" t="s">
        <v>2983</v>
      </c>
      <c r="CM351" s="9" t="s">
        <v>2983</v>
      </c>
      <c r="CN351" s="9" t="s">
        <v>2983</v>
      </c>
      <c r="CO351" s="9" t="s">
        <v>2983</v>
      </c>
      <c r="CP351" s="9" t="s">
        <v>2983</v>
      </c>
      <c r="CQ351" s="9" t="s">
        <v>2983</v>
      </c>
      <c r="CR351" s="9" t="s">
        <v>2983</v>
      </c>
      <c r="CS351" s="9" t="s">
        <v>2983</v>
      </c>
      <c r="CT351" s="9" t="s">
        <v>2983</v>
      </c>
      <c r="CU351" s="9" t="s">
        <v>2983</v>
      </c>
      <c r="CV351" s="9" t="s">
        <v>2983</v>
      </c>
      <c r="CW351" s="9" t="s">
        <v>2983</v>
      </c>
      <c r="CX351" s="9" t="s">
        <v>2983</v>
      </c>
      <c r="CY351" s="9" t="s">
        <v>2983</v>
      </c>
      <c r="CZ351" s="9" t="s">
        <v>2983</v>
      </c>
      <c r="DA351" s="9" t="s">
        <v>2983</v>
      </c>
      <c r="DB351" s="9" t="s">
        <v>2983</v>
      </c>
      <c r="DC351" s="9" t="s">
        <v>2983</v>
      </c>
      <c r="DD351" s="9" t="s">
        <v>2983</v>
      </c>
      <c r="DE351" s="9" t="s">
        <v>2983</v>
      </c>
      <c r="DF351" s="9" t="s">
        <v>2983</v>
      </c>
      <c r="DG351" s="9" t="s">
        <v>2983</v>
      </c>
      <c r="DH351" s="9" t="s">
        <v>2983</v>
      </c>
      <c r="DI351" s="9" t="s">
        <v>2983</v>
      </c>
      <c r="DJ351" s="9" t="s">
        <v>2983</v>
      </c>
      <c r="DK351" s="9" t="s">
        <v>2983</v>
      </c>
      <c r="DL351" s="9" t="s">
        <v>2983</v>
      </c>
      <c r="DM351" s="9" t="s">
        <v>2983</v>
      </c>
      <c r="DN351" s="9" t="s">
        <v>2983</v>
      </c>
      <c r="DO351" s="9" t="s">
        <v>2983</v>
      </c>
      <c r="DP351" s="9" t="s">
        <v>2983</v>
      </c>
      <c r="DQ351" s="9" t="s">
        <v>2983</v>
      </c>
    </row>
    <row r="352" spans="1:121" ht="15.75" customHeight="1">
      <c r="A352" s="87" t="s">
        <v>8627</v>
      </c>
      <c r="Z352" s="9" t="s">
        <v>2983</v>
      </c>
      <c r="AA352" s="9" t="s">
        <v>2983</v>
      </c>
      <c r="AB352" s="9" t="s">
        <v>2983</v>
      </c>
      <c r="AC352" s="9" t="s">
        <v>2983</v>
      </c>
      <c r="AD352" s="9" t="s">
        <v>2983</v>
      </c>
      <c r="AE352" s="9" t="s">
        <v>2983</v>
      </c>
      <c r="AF352" s="9" t="s">
        <v>2983</v>
      </c>
      <c r="AG352" s="9" t="s">
        <v>2983</v>
      </c>
      <c r="AH352" s="9" t="s">
        <v>2983</v>
      </c>
      <c r="AI352" s="9" t="s">
        <v>2983</v>
      </c>
      <c r="AJ352" s="9" t="s">
        <v>2983</v>
      </c>
      <c r="AK352" s="9" t="s">
        <v>2983</v>
      </c>
      <c r="AL352" s="9" t="s">
        <v>2983</v>
      </c>
      <c r="AM352" s="9" t="s">
        <v>2983</v>
      </c>
      <c r="AN352" s="9" t="s">
        <v>2983</v>
      </c>
      <c r="AO352" s="9" t="s">
        <v>2983</v>
      </c>
      <c r="AP352" s="9" t="s">
        <v>2983</v>
      </c>
      <c r="AQ352" s="9" t="s">
        <v>2983</v>
      </c>
      <c r="AR352" s="9" t="s">
        <v>2983</v>
      </c>
      <c r="AS352" s="9" t="s">
        <v>2983</v>
      </c>
      <c r="AT352" s="9" t="s">
        <v>2983</v>
      </c>
      <c r="AU352" s="9" t="s">
        <v>2983</v>
      </c>
      <c r="AV352" s="9" t="s">
        <v>2983</v>
      </c>
      <c r="AW352" s="9" t="s">
        <v>2983</v>
      </c>
      <c r="AX352" s="9" t="s">
        <v>2983</v>
      </c>
      <c r="AY352" s="9" t="s">
        <v>2983</v>
      </c>
      <c r="AZ352" s="9" t="s">
        <v>2983</v>
      </c>
      <c r="BA352" s="9" t="s">
        <v>2983</v>
      </c>
      <c r="BB352" s="9" t="s">
        <v>2983</v>
      </c>
      <c r="BC352" s="9" t="s">
        <v>2983</v>
      </c>
      <c r="BD352" s="9" t="s">
        <v>2983</v>
      </c>
      <c r="BE352" s="9" t="s">
        <v>2983</v>
      </c>
      <c r="BF352" s="9" t="s">
        <v>2983</v>
      </c>
      <c r="BG352" s="9" t="s">
        <v>2983</v>
      </c>
      <c r="BH352" s="9" t="s">
        <v>2983</v>
      </c>
      <c r="BI352" s="9" t="s">
        <v>2983</v>
      </c>
      <c r="BJ352" s="9" t="s">
        <v>2983</v>
      </c>
      <c r="BK352" s="9" t="s">
        <v>2983</v>
      </c>
      <c r="BL352" s="9" t="s">
        <v>2983</v>
      </c>
      <c r="BM352" s="9" t="s">
        <v>2983</v>
      </c>
      <c r="BN352" s="9" t="s">
        <v>2983</v>
      </c>
      <c r="BO352" s="9" t="s">
        <v>2983</v>
      </c>
      <c r="BP352" s="9" t="s">
        <v>2983</v>
      </c>
      <c r="BQ352" s="9" t="s">
        <v>2983</v>
      </c>
      <c r="BR352" s="9" t="s">
        <v>2983</v>
      </c>
      <c r="BS352" s="9" t="s">
        <v>2983</v>
      </c>
      <c r="BT352" s="9" t="s">
        <v>2983</v>
      </c>
      <c r="BU352" s="9" t="s">
        <v>2983</v>
      </c>
      <c r="BV352" s="9" t="s">
        <v>2983</v>
      </c>
      <c r="BW352" s="9" t="s">
        <v>2983</v>
      </c>
      <c r="BX352" s="9" t="s">
        <v>2983</v>
      </c>
      <c r="BY352" s="9" t="s">
        <v>2983</v>
      </c>
      <c r="BZ352" s="9" t="s">
        <v>2983</v>
      </c>
      <c r="CA352" s="9" t="s">
        <v>2983</v>
      </c>
      <c r="CB352" s="9" t="s">
        <v>2896</v>
      </c>
      <c r="CC352" s="9" t="s">
        <v>2896</v>
      </c>
      <c r="CD352" s="9" t="s">
        <v>2896</v>
      </c>
      <c r="CE352" s="9" t="s">
        <v>2896</v>
      </c>
      <c r="CF352" s="9" t="s">
        <v>2896</v>
      </c>
      <c r="CG352" s="9" t="s">
        <v>2896</v>
      </c>
      <c r="CH352" s="9" t="s">
        <v>2896</v>
      </c>
      <c r="CI352" s="9" t="s">
        <v>2896</v>
      </c>
      <c r="CJ352" s="9" t="s">
        <v>2896</v>
      </c>
      <c r="CK352" s="9" t="s">
        <v>2896</v>
      </c>
      <c r="CL352" s="9" t="s">
        <v>2896</v>
      </c>
      <c r="CM352" s="9" t="s">
        <v>2896</v>
      </c>
      <c r="CN352" s="9" t="s">
        <v>2896</v>
      </c>
      <c r="CO352" s="9" t="s">
        <v>2896</v>
      </c>
      <c r="CP352" s="9" t="s">
        <v>2896</v>
      </c>
      <c r="CQ352" s="9" t="s">
        <v>2896</v>
      </c>
      <c r="CR352" s="9" t="s">
        <v>2896</v>
      </c>
      <c r="CS352" s="9" t="s">
        <v>2896</v>
      </c>
      <c r="CT352" s="9" t="s">
        <v>2896</v>
      </c>
      <c r="CU352" s="9" t="s">
        <v>2896</v>
      </c>
      <c r="CV352" s="9" t="s">
        <v>2896</v>
      </c>
      <c r="CW352" s="9" t="s">
        <v>2896</v>
      </c>
      <c r="CX352" s="9" t="s">
        <v>2957</v>
      </c>
      <c r="CY352" s="9" t="s">
        <v>2957</v>
      </c>
      <c r="CZ352" s="9" t="s">
        <v>2957</v>
      </c>
      <c r="DA352" s="9" t="s">
        <v>2957</v>
      </c>
      <c r="DB352" s="9" t="s">
        <v>2957</v>
      </c>
      <c r="DC352" s="9" t="s">
        <v>2957</v>
      </c>
      <c r="DD352" s="9" t="s">
        <v>2957</v>
      </c>
      <c r="DE352" s="9" t="s">
        <v>2957</v>
      </c>
      <c r="DF352" s="9" t="s">
        <v>2957</v>
      </c>
      <c r="DG352" s="9" t="s">
        <v>2957</v>
      </c>
      <c r="DH352" s="9" t="s">
        <v>2957</v>
      </c>
      <c r="DI352" s="9" t="s">
        <v>2957</v>
      </c>
      <c r="DJ352" s="9" t="s">
        <v>2957</v>
      </c>
      <c r="DK352" s="9" t="s">
        <v>2957</v>
      </c>
      <c r="DL352" s="9" t="s">
        <v>2957</v>
      </c>
      <c r="DM352" s="9" t="s">
        <v>2957</v>
      </c>
      <c r="DN352" s="9" t="s">
        <v>2957</v>
      </c>
      <c r="DO352" s="9" t="s">
        <v>2957</v>
      </c>
      <c r="DP352" s="9" t="s">
        <v>2957</v>
      </c>
      <c r="DQ352" s="9" t="s">
        <v>2957</v>
      </c>
    </row>
    <row r="353" spans="1:121" ht="15.75" customHeight="1">
      <c r="A353" s="87" t="s">
        <v>8628</v>
      </c>
      <c r="Z353" s="9" t="s">
        <v>2957</v>
      </c>
      <c r="AA353" s="9" t="s">
        <v>2957</v>
      </c>
      <c r="AB353" s="9" t="s">
        <v>2957</v>
      </c>
      <c r="AC353" s="9" t="s">
        <v>2957</v>
      </c>
      <c r="AD353" s="9" t="s">
        <v>2957</v>
      </c>
      <c r="AE353" s="9" t="s">
        <v>2957</v>
      </c>
      <c r="AF353" s="9" t="s">
        <v>2957</v>
      </c>
      <c r="AG353" s="9" t="s">
        <v>2957</v>
      </c>
      <c r="AH353" s="9" t="s">
        <v>2957</v>
      </c>
      <c r="AI353" s="9" t="s">
        <v>2957</v>
      </c>
      <c r="AJ353" s="9" t="s">
        <v>2957</v>
      </c>
      <c r="AK353" s="9" t="s">
        <v>2957</v>
      </c>
      <c r="AL353" s="9" t="s">
        <v>2957</v>
      </c>
      <c r="AM353" s="9" t="s">
        <v>2957</v>
      </c>
      <c r="AN353" s="9" t="s">
        <v>2957</v>
      </c>
      <c r="AO353" s="9" t="s">
        <v>2957</v>
      </c>
      <c r="AP353" s="9" t="s">
        <v>2957</v>
      </c>
      <c r="AQ353" s="9" t="s">
        <v>2957</v>
      </c>
      <c r="AR353" s="9" t="s">
        <v>2957</v>
      </c>
      <c r="AS353" s="9" t="s">
        <v>2957</v>
      </c>
      <c r="AT353" s="9" t="s">
        <v>2957</v>
      </c>
      <c r="AU353" s="9" t="s">
        <v>2957</v>
      </c>
      <c r="AV353" s="9" t="s">
        <v>2957</v>
      </c>
      <c r="AW353" s="9" t="s">
        <v>2957</v>
      </c>
      <c r="AX353" s="9" t="s">
        <v>2957</v>
      </c>
      <c r="AY353" s="9" t="s">
        <v>2957</v>
      </c>
      <c r="AZ353" s="9" t="s">
        <v>2957</v>
      </c>
      <c r="BA353" s="9" t="s">
        <v>2957</v>
      </c>
      <c r="BB353" s="9" t="s">
        <v>2957</v>
      </c>
      <c r="BC353" s="9" t="s">
        <v>2957</v>
      </c>
      <c r="BD353" s="9" t="s">
        <v>2957</v>
      </c>
      <c r="BE353" s="9" t="s">
        <v>2957</v>
      </c>
      <c r="BF353" s="9" t="s">
        <v>2957</v>
      </c>
      <c r="BG353" s="9" t="s">
        <v>2957</v>
      </c>
      <c r="BH353" s="9" t="s">
        <v>2957</v>
      </c>
      <c r="BI353" s="9" t="s">
        <v>2957</v>
      </c>
      <c r="BJ353" s="9" t="s">
        <v>2957</v>
      </c>
      <c r="BK353" s="9" t="s">
        <v>2957</v>
      </c>
      <c r="BL353" s="9" t="s">
        <v>2957</v>
      </c>
      <c r="BM353" s="9" t="s">
        <v>2957</v>
      </c>
      <c r="BN353" s="9" t="s">
        <v>2957</v>
      </c>
      <c r="BO353" s="9" t="s">
        <v>2957</v>
      </c>
      <c r="BP353" s="9" t="s">
        <v>2957</v>
      </c>
      <c r="BQ353" s="9" t="s">
        <v>2957</v>
      </c>
      <c r="BR353" s="9" t="s">
        <v>2957</v>
      </c>
      <c r="BS353" s="9" t="s">
        <v>2957</v>
      </c>
      <c r="BT353" s="9" t="s">
        <v>2957</v>
      </c>
      <c r="BU353" s="9" t="s">
        <v>2957</v>
      </c>
      <c r="BV353" s="9" t="s">
        <v>2957</v>
      </c>
      <c r="BW353" s="9" t="s">
        <v>2957</v>
      </c>
      <c r="BX353" s="9" t="s">
        <v>2957</v>
      </c>
      <c r="BY353" s="9" t="s">
        <v>2957</v>
      </c>
      <c r="BZ353" s="9" t="s">
        <v>2957</v>
      </c>
      <c r="CA353" s="9" t="s">
        <v>2957</v>
      </c>
      <c r="CB353" s="9" t="s">
        <v>2957</v>
      </c>
      <c r="CC353" s="9" t="s">
        <v>2957</v>
      </c>
      <c r="CD353" s="9" t="s">
        <v>2957</v>
      </c>
      <c r="CE353" s="9" t="s">
        <v>2957</v>
      </c>
      <c r="CF353" s="9" t="s">
        <v>2957</v>
      </c>
      <c r="CG353" s="9" t="s">
        <v>2957</v>
      </c>
      <c r="CH353" s="9" t="s">
        <v>2957</v>
      </c>
      <c r="CI353" s="9" t="s">
        <v>2957</v>
      </c>
      <c r="CJ353" s="9" t="s">
        <v>2957</v>
      </c>
      <c r="CK353" s="9" t="s">
        <v>2957</v>
      </c>
      <c r="CL353" s="9" t="s">
        <v>2957</v>
      </c>
      <c r="CM353" s="9" t="s">
        <v>2957</v>
      </c>
      <c r="CN353" s="9" t="s">
        <v>2957</v>
      </c>
      <c r="CO353" s="9" t="s">
        <v>2957</v>
      </c>
      <c r="CP353" s="9" t="s">
        <v>2957</v>
      </c>
      <c r="CQ353" s="9" t="s">
        <v>2957</v>
      </c>
      <c r="CR353" s="9" t="s">
        <v>2957</v>
      </c>
      <c r="CS353" s="9" t="s">
        <v>2957</v>
      </c>
      <c r="CT353" s="9" t="s">
        <v>2957</v>
      </c>
      <c r="CU353" s="9" t="s">
        <v>2957</v>
      </c>
      <c r="CV353" s="9" t="s">
        <v>2957</v>
      </c>
      <c r="CW353" s="9" t="s">
        <v>2957</v>
      </c>
      <c r="CX353" s="9" t="s">
        <v>2957</v>
      </c>
      <c r="CY353" s="9" t="s">
        <v>2957</v>
      </c>
      <c r="CZ353" s="9" t="s">
        <v>2957</v>
      </c>
      <c r="DA353" s="9" t="s">
        <v>2957</v>
      </c>
      <c r="DB353" s="9" t="s">
        <v>2834</v>
      </c>
      <c r="DC353" s="9" t="s">
        <v>2834</v>
      </c>
      <c r="DD353" s="9" t="s">
        <v>2834</v>
      </c>
      <c r="DE353" s="9" t="s">
        <v>2834</v>
      </c>
      <c r="DF353" s="9" t="s">
        <v>2834</v>
      </c>
      <c r="DG353" s="9" t="s">
        <v>2834</v>
      </c>
      <c r="DH353" s="9" t="s">
        <v>2834</v>
      </c>
      <c r="DI353" s="9" t="s">
        <v>2834</v>
      </c>
      <c r="DJ353" s="9" t="s">
        <v>2834</v>
      </c>
      <c r="DK353" s="9" t="s">
        <v>2834</v>
      </c>
      <c r="DL353" s="9" t="s">
        <v>2834</v>
      </c>
      <c r="DM353" s="9" t="s">
        <v>2834</v>
      </c>
      <c r="DN353" s="9" t="s">
        <v>2834</v>
      </c>
      <c r="DO353" s="9" t="s">
        <v>2834</v>
      </c>
      <c r="DP353" s="9" t="s">
        <v>2834</v>
      </c>
      <c r="DQ353" s="9" t="s">
        <v>2834</v>
      </c>
    </row>
    <row r="354" spans="1:121" ht="15.75" customHeight="1">
      <c r="A354" s="87" t="s">
        <v>8629</v>
      </c>
      <c r="Z354" s="9" t="s">
        <v>3009</v>
      </c>
      <c r="AA354" s="9" t="s">
        <v>3009</v>
      </c>
      <c r="AB354" s="9" t="s">
        <v>3009</v>
      </c>
      <c r="AC354" s="9" t="s">
        <v>3009</v>
      </c>
      <c r="AD354" s="9" t="s">
        <v>3009</v>
      </c>
      <c r="AE354" s="9" t="s">
        <v>3009</v>
      </c>
      <c r="AF354" s="9" t="s">
        <v>3009</v>
      </c>
      <c r="AG354" s="9" t="s">
        <v>3009</v>
      </c>
      <c r="AH354" s="9" t="s">
        <v>3009</v>
      </c>
      <c r="AI354" s="9" t="s">
        <v>3009</v>
      </c>
      <c r="AJ354" s="9" t="s">
        <v>3009</v>
      </c>
      <c r="AK354" s="9" t="s">
        <v>3009</v>
      </c>
      <c r="AL354" s="9" t="s">
        <v>3009</v>
      </c>
      <c r="AM354" s="9" t="s">
        <v>3009</v>
      </c>
      <c r="AN354" s="9" t="s">
        <v>3009</v>
      </c>
      <c r="AO354" s="9" t="s">
        <v>3009</v>
      </c>
      <c r="AP354" s="9" t="s">
        <v>3009</v>
      </c>
      <c r="AQ354" s="9" t="s">
        <v>3009</v>
      </c>
      <c r="AR354" s="9" t="s">
        <v>3009</v>
      </c>
      <c r="AS354" s="9" t="s">
        <v>3009</v>
      </c>
      <c r="AT354" s="9" t="s">
        <v>3009</v>
      </c>
      <c r="AU354" s="9" t="s">
        <v>3009</v>
      </c>
      <c r="AV354" s="9" t="s">
        <v>3009</v>
      </c>
      <c r="AW354" s="9" t="s">
        <v>3009</v>
      </c>
      <c r="AX354" s="9" t="s">
        <v>3009</v>
      </c>
      <c r="AY354" s="9" t="s">
        <v>3009</v>
      </c>
      <c r="AZ354" s="9" t="s">
        <v>3009</v>
      </c>
      <c r="BA354" s="9" t="s">
        <v>3009</v>
      </c>
      <c r="BB354" s="9" t="s">
        <v>3009</v>
      </c>
      <c r="BC354" s="9" t="s">
        <v>3009</v>
      </c>
      <c r="BD354" s="9" t="s">
        <v>3009</v>
      </c>
      <c r="BE354" s="9" t="s">
        <v>3009</v>
      </c>
      <c r="BF354" s="9" t="s">
        <v>3009</v>
      </c>
      <c r="BG354" s="9" t="s">
        <v>3009</v>
      </c>
      <c r="BH354" s="9" t="s">
        <v>3009</v>
      </c>
      <c r="BI354" s="9" t="s">
        <v>3009</v>
      </c>
      <c r="BJ354" s="9" t="s">
        <v>3009</v>
      </c>
      <c r="BK354" s="9" t="s">
        <v>3009</v>
      </c>
      <c r="BL354" s="9" t="s">
        <v>3009</v>
      </c>
      <c r="BM354" s="9" t="s">
        <v>3009</v>
      </c>
      <c r="BN354" s="9" t="s">
        <v>3009</v>
      </c>
      <c r="BO354" s="9" t="s">
        <v>3009</v>
      </c>
      <c r="BP354" s="9" t="s">
        <v>3009</v>
      </c>
      <c r="BQ354" s="9" t="s">
        <v>3009</v>
      </c>
      <c r="BR354" s="9" t="s">
        <v>3009</v>
      </c>
      <c r="BS354" s="9" t="s">
        <v>3009</v>
      </c>
      <c r="BT354" s="9" t="s">
        <v>3009</v>
      </c>
      <c r="BU354" s="9" t="s">
        <v>3009</v>
      </c>
      <c r="BV354" s="9" t="s">
        <v>3009</v>
      </c>
      <c r="BW354" s="9" t="s">
        <v>3009</v>
      </c>
      <c r="BX354" s="9" t="s">
        <v>3009</v>
      </c>
      <c r="BY354" s="9" t="s">
        <v>3009</v>
      </c>
      <c r="BZ354" s="9" t="s">
        <v>3009</v>
      </c>
      <c r="CA354" s="9" t="s">
        <v>3009</v>
      </c>
      <c r="CB354" s="9" t="s">
        <v>3009</v>
      </c>
      <c r="CC354" s="9" t="s">
        <v>3009</v>
      </c>
      <c r="CD354" s="9" t="s">
        <v>3009</v>
      </c>
      <c r="CE354" s="9" t="s">
        <v>3009</v>
      </c>
      <c r="CF354" s="9" t="s">
        <v>3009</v>
      </c>
      <c r="CG354" s="9" t="s">
        <v>3009</v>
      </c>
      <c r="CH354" s="9" t="s">
        <v>3009</v>
      </c>
      <c r="CI354" s="9" t="s">
        <v>3009</v>
      </c>
      <c r="CJ354" s="9" t="s">
        <v>3009</v>
      </c>
      <c r="CK354" s="9" t="s">
        <v>3009</v>
      </c>
      <c r="CL354" s="9" t="s">
        <v>3009</v>
      </c>
      <c r="CM354" s="9" t="s">
        <v>3009</v>
      </c>
      <c r="CN354" s="9" t="s">
        <v>3009</v>
      </c>
      <c r="CO354" s="9" t="s">
        <v>3009</v>
      </c>
      <c r="CP354" s="9" t="s">
        <v>3009</v>
      </c>
      <c r="CQ354" s="9" t="s">
        <v>3009</v>
      </c>
      <c r="CR354" s="9" t="s">
        <v>3009</v>
      </c>
      <c r="CS354" s="9" t="s">
        <v>3009</v>
      </c>
      <c r="CT354" s="9" t="s">
        <v>3009</v>
      </c>
      <c r="CU354" s="9" t="s">
        <v>3009</v>
      </c>
      <c r="CV354" s="9" t="s">
        <v>3009</v>
      </c>
      <c r="CW354" s="9" t="s">
        <v>3009</v>
      </c>
      <c r="CX354" s="9" t="s">
        <v>3009</v>
      </c>
      <c r="CY354" s="9" t="s">
        <v>3009</v>
      </c>
      <c r="CZ354" s="9" t="s">
        <v>3009</v>
      </c>
      <c r="DA354" s="9" t="s">
        <v>3009</v>
      </c>
      <c r="DB354" s="9" t="s">
        <v>3009</v>
      </c>
      <c r="DC354" s="9" t="s">
        <v>3009</v>
      </c>
      <c r="DD354" s="9" t="s">
        <v>3009</v>
      </c>
      <c r="DE354" s="9" t="s">
        <v>3009</v>
      </c>
      <c r="DF354" s="9" t="s">
        <v>3009</v>
      </c>
      <c r="DG354" s="9" t="s">
        <v>3009</v>
      </c>
      <c r="DH354" s="9" t="s">
        <v>3009</v>
      </c>
      <c r="DI354" s="9" t="s">
        <v>3009</v>
      </c>
      <c r="DJ354" s="9" t="s">
        <v>3009</v>
      </c>
      <c r="DK354" s="9" t="s">
        <v>3009</v>
      </c>
      <c r="DL354" s="9" t="s">
        <v>3009</v>
      </c>
      <c r="DM354" s="9" t="s">
        <v>3009</v>
      </c>
      <c r="DN354" s="9" t="s">
        <v>3009</v>
      </c>
      <c r="DO354" s="9" t="s">
        <v>3009</v>
      </c>
      <c r="DP354" s="9" t="s">
        <v>3009</v>
      </c>
      <c r="DQ354" s="9" t="s">
        <v>3009</v>
      </c>
    </row>
    <row r="355" spans="1:121" ht="15.75" customHeight="1">
      <c r="A355" s="87" t="s">
        <v>8630</v>
      </c>
      <c r="Z355" s="9" t="s">
        <v>3009</v>
      </c>
      <c r="AA355" s="9" t="s">
        <v>3009</v>
      </c>
      <c r="AB355" s="9" t="s">
        <v>3009</v>
      </c>
      <c r="AC355" s="9" t="s">
        <v>3009</v>
      </c>
      <c r="AD355" s="9" t="s">
        <v>3009</v>
      </c>
      <c r="AE355" s="9" t="s">
        <v>3009</v>
      </c>
      <c r="AF355" s="9" t="s">
        <v>3009</v>
      </c>
      <c r="AG355" s="9" t="s">
        <v>3009</v>
      </c>
      <c r="AH355" s="9" t="s">
        <v>3009</v>
      </c>
      <c r="AI355" s="9" t="s">
        <v>3009</v>
      </c>
      <c r="AJ355" s="9" t="s">
        <v>3009</v>
      </c>
      <c r="AK355" s="9" t="s">
        <v>3009</v>
      </c>
      <c r="AL355" s="9" t="s">
        <v>3009</v>
      </c>
      <c r="AM355" s="9" t="s">
        <v>3009</v>
      </c>
      <c r="AN355" s="9" t="s">
        <v>3009</v>
      </c>
      <c r="AO355" s="9" t="s">
        <v>3009</v>
      </c>
      <c r="AP355" s="9" t="s">
        <v>3009</v>
      </c>
      <c r="AQ355" s="9" t="s">
        <v>3009</v>
      </c>
      <c r="AR355" s="9" t="s">
        <v>3009</v>
      </c>
      <c r="AS355" s="9" t="s">
        <v>2995</v>
      </c>
      <c r="AT355" s="9" t="s">
        <v>2995</v>
      </c>
      <c r="AU355" s="9" t="s">
        <v>2995</v>
      </c>
      <c r="AV355" s="9" t="s">
        <v>2995</v>
      </c>
      <c r="AW355" s="9" t="s">
        <v>2995</v>
      </c>
      <c r="AX355" s="9" t="s">
        <v>2995</v>
      </c>
      <c r="AY355" s="9" t="s">
        <v>2995</v>
      </c>
      <c r="AZ355" s="9" t="s">
        <v>2995</v>
      </c>
      <c r="BA355" s="9" t="s">
        <v>2995</v>
      </c>
      <c r="BB355" s="9" t="s">
        <v>2995</v>
      </c>
      <c r="BC355" s="9" t="s">
        <v>2995</v>
      </c>
      <c r="BD355" s="9" t="s">
        <v>2995</v>
      </c>
      <c r="BE355" s="9" t="s">
        <v>2995</v>
      </c>
      <c r="BF355" s="9" t="s">
        <v>2995</v>
      </c>
      <c r="BG355" s="9" t="s">
        <v>2995</v>
      </c>
      <c r="BH355" s="9" t="s">
        <v>2995</v>
      </c>
      <c r="BI355" s="9" t="s">
        <v>2995</v>
      </c>
      <c r="BJ355" s="9" t="s">
        <v>2995</v>
      </c>
      <c r="BK355" s="9" t="s">
        <v>2995</v>
      </c>
      <c r="BL355" s="9" t="s">
        <v>2995</v>
      </c>
      <c r="BM355" s="9" t="s">
        <v>2995</v>
      </c>
      <c r="BN355" s="9" t="s">
        <v>2995</v>
      </c>
      <c r="BO355" s="9" t="s">
        <v>2995</v>
      </c>
      <c r="BP355" s="9" t="s">
        <v>2995</v>
      </c>
      <c r="BQ355" s="9" t="s">
        <v>2995</v>
      </c>
      <c r="BR355" s="9" t="s">
        <v>2995</v>
      </c>
      <c r="BS355" s="9" t="s">
        <v>2995</v>
      </c>
      <c r="BT355" s="9" t="s">
        <v>2995</v>
      </c>
      <c r="BU355" s="9" t="s">
        <v>2995</v>
      </c>
      <c r="BV355" s="9" t="s">
        <v>2995</v>
      </c>
      <c r="BW355" s="9" t="s">
        <v>2995</v>
      </c>
      <c r="BX355" s="9" t="s">
        <v>2995</v>
      </c>
      <c r="BY355" s="9" t="s">
        <v>2995</v>
      </c>
      <c r="BZ355" s="9" t="s">
        <v>2995</v>
      </c>
      <c r="CA355" s="9" t="s">
        <v>2995</v>
      </c>
      <c r="CB355" s="9" t="s">
        <v>2995</v>
      </c>
      <c r="CC355" s="9" t="s">
        <v>2995</v>
      </c>
      <c r="CD355" s="9" t="s">
        <v>2995</v>
      </c>
      <c r="CE355" s="9" t="s">
        <v>2995</v>
      </c>
      <c r="CF355" s="9" t="s">
        <v>2995</v>
      </c>
      <c r="CG355" s="9" t="s">
        <v>2995</v>
      </c>
      <c r="CH355" s="9" t="s">
        <v>2995</v>
      </c>
      <c r="CI355" s="9" t="s">
        <v>2995</v>
      </c>
      <c r="CJ355" s="9" t="s">
        <v>2995</v>
      </c>
      <c r="CK355" s="9" t="s">
        <v>2995</v>
      </c>
      <c r="CL355" s="9" t="s">
        <v>2995</v>
      </c>
      <c r="CM355" s="9" t="s">
        <v>2995</v>
      </c>
      <c r="CN355" s="9" t="s">
        <v>2995</v>
      </c>
      <c r="CO355" s="9" t="s">
        <v>2940</v>
      </c>
      <c r="CP355" s="9" t="s">
        <v>2940</v>
      </c>
      <c r="CQ355" s="9" t="s">
        <v>2940</v>
      </c>
      <c r="CR355" s="9" t="s">
        <v>2940</v>
      </c>
      <c r="CS355" s="9" t="s">
        <v>2940</v>
      </c>
      <c r="CT355" s="9" t="s">
        <v>2940</v>
      </c>
      <c r="CU355" s="9" t="s">
        <v>2940</v>
      </c>
      <c r="CV355" s="9" t="s">
        <v>2940</v>
      </c>
      <c r="CW355" s="9" t="s">
        <v>2940</v>
      </c>
      <c r="CX355" s="9" t="s">
        <v>2940</v>
      </c>
      <c r="CY355" s="9" t="s">
        <v>2940</v>
      </c>
      <c r="CZ355" s="9" t="s">
        <v>2940</v>
      </c>
      <c r="DA355" s="9" t="s">
        <v>2940</v>
      </c>
      <c r="DB355" s="9" t="s">
        <v>2940</v>
      </c>
      <c r="DC355" s="9" t="s">
        <v>2940</v>
      </c>
      <c r="DD355" s="9" t="s">
        <v>2940</v>
      </c>
      <c r="DE355" s="9" t="s">
        <v>2940</v>
      </c>
      <c r="DF355" s="9" t="s">
        <v>2940</v>
      </c>
      <c r="DG355" s="9" t="s">
        <v>2940</v>
      </c>
      <c r="DH355" s="9" t="s">
        <v>2940</v>
      </c>
      <c r="DI355" s="9" t="s">
        <v>2940</v>
      </c>
      <c r="DJ355" s="9" t="s">
        <v>2940</v>
      </c>
      <c r="DK355" s="9" t="s">
        <v>2940</v>
      </c>
      <c r="DL355" s="9" t="s">
        <v>2940</v>
      </c>
      <c r="DM355" s="9" t="s">
        <v>2940</v>
      </c>
      <c r="DN355" s="9" t="s">
        <v>2940</v>
      </c>
      <c r="DO355" s="9" t="s">
        <v>2940</v>
      </c>
      <c r="DP355" s="9" t="s">
        <v>2940</v>
      </c>
      <c r="DQ355" s="9" t="s">
        <v>2940</v>
      </c>
    </row>
    <row r="356" spans="1:121" ht="15.75" customHeight="1">
      <c r="A356" s="87" t="s">
        <v>8631</v>
      </c>
      <c r="Z356" s="9" t="s">
        <v>2940</v>
      </c>
      <c r="AA356" s="9" t="s">
        <v>2940</v>
      </c>
      <c r="AB356" s="9" t="s">
        <v>2940</v>
      </c>
      <c r="AC356" s="9" t="s">
        <v>2940</v>
      </c>
      <c r="AD356" s="9" t="s">
        <v>2940</v>
      </c>
      <c r="AE356" s="9" t="s">
        <v>2940</v>
      </c>
      <c r="AF356" s="9" t="s">
        <v>2940</v>
      </c>
      <c r="AG356" s="9" t="s">
        <v>2940</v>
      </c>
      <c r="AH356" s="9" t="s">
        <v>2940</v>
      </c>
      <c r="AI356" s="9" t="s">
        <v>2940</v>
      </c>
      <c r="AJ356" s="9" t="s">
        <v>2940</v>
      </c>
      <c r="AK356" s="9" t="s">
        <v>2940</v>
      </c>
      <c r="AL356" s="9" t="s">
        <v>2940</v>
      </c>
      <c r="AM356" s="9" t="s">
        <v>2940</v>
      </c>
      <c r="AN356" s="9" t="s">
        <v>2940</v>
      </c>
      <c r="AO356" s="9" t="s">
        <v>2940</v>
      </c>
      <c r="AP356" s="9" t="s">
        <v>2940</v>
      </c>
      <c r="AQ356" s="9" t="s">
        <v>2940</v>
      </c>
      <c r="AR356" s="9" t="s">
        <v>2940</v>
      </c>
      <c r="AS356" s="9" t="s">
        <v>2940</v>
      </c>
      <c r="AT356" s="9" t="s">
        <v>2940</v>
      </c>
      <c r="AU356" s="9" t="s">
        <v>2940</v>
      </c>
      <c r="AV356" s="9" t="s">
        <v>2940</v>
      </c>
      <c r="AW356" s="9" t="s">
        <v>2940</v>
      </c>
      <c r="AX356" s="9" t="s">
        <v>2940</v>
      </c>
      <c r="AY356" s="9" t="s">
        <v>2940</v>
      </c>
      <c r="AZ356" s="9" t="s">
        <v>2940</v>
      </c>
      <c r="BA356" s="9" t="s">
        <v>2940</v>
      </c>
      <c r="BB356" s="9" t="s">
        <v>2940</v>
      </c>
      <c r="BC356" s="9" t="s">
        <v>2940</v>
      </c>
      <c r="BD356" s="9" t="s">
        <v>2940</v>
      </c>
      <c r="BE356" s="9" t="s">
        <v>2940</v>
      </c>
      <c r="BF356" s="9" t="s">
        <v>2940</v>
      </c>
      <c r="BG356" s="9" t="s">
        <v>2940</v>
      </c>
      <c r="BH356" s="9" t="s">
        <v>2940</v>
      </c>
      <c r="BI356" s="9" t="s">
        <v>2940</v>
      </c>
      <c r="BJ356" s="9" t="s">
        <v>2940</v>
      </c>
      <c r="BK356" s="9" t="s">
        <v>2940</v>
      </c>
      <c r="BL356" s="9" t="s">
        <v>2940</v>
      </c>
      <c r="BM356" s="9" t="s">
        <v>2940</v>
      </c>
      <c r="BN356" s="9" t="s">
        <v>2940</v>
      </c>
      <c r="BO356" s="9" t="s">
        <v>2940</v>
      </c>
      <c r="BP356" s="9" t="s">
        <v>2940</v>
      </c>
      <c r="BQ356" s="9" t="s">
        <v>2940</v>
      </c>
      <c r="BR356" s="9" t="s">
        <v>2940</v>
      </c>
      <c r="BS356" s="9" t="s">
        <v>2940</v>
      </c>
      <c r="BT356" s="9" t="s">
        <v>2940</v>
      </c>
      <c r="BU356" s="9" t="s">
        <v>2940</v>
      </c>
      <c r="BV356" s="9" t="s">
        <v>2940</v>
      </c>
      <c r="BW356" s="9" t="s">
        <v>2940</v>
      </c>
      <c r="BX356" s="9" t="s">
        <v>2940</v>
      </c>
      <c r="BY356" s="9" t="s">
        <v>2940</v>
      </c>
      <c r="BZ356" s="9" t="s">
        <v>2940</v>
      </c>
      <c r="CA356" s="9" t="s">
        <v>2940</v>
      </c>
      <c r="CB356" s="9" t="s">
        <v>2940</v>
      </c>
      <c r="CC356" s="9" t="s">
        <v>2940</v>
      </c>
      <c r="CD356" s="9" t="s">
        <v>2940</v>
      </c>
      <c r="CE356" s="9" t="s">
        <v>2940</v>
      </c>
      <c r="CF356" s="9" t="s">
        <v>2940</v>
      </c>
      <c r="CG356" s="9" t="s">
        <v>2940</v>
      </c>
      <c r="CH356" s="9" t="s">
        <v>2940</v>
      </c>
      <c r="CI356" s="9" t="s">
        <v>2940</v>
      </c>
      <c r="CJ356" s="9" t="s">
        <v>2940</v>
      </c>
      <c r="CK356" s="9" t="s">
        <v>2940</v>
      </c>
      <c r="CL356" s="9" t="s">
        <v>2940</v>
      </c>
      <c r="CM356" s="9" t="s">
        <v>2940</v>
      </c>
      <c r="CN356" s="9" t="s">
        <v>2940</v>
      </c>
      <c r="CO356" s="9" t="s">
        <v>2940</v>
      </c>
      <c r="CP356" s="9" t="s">
        <v>2940</v>
      </c>
      <c r="CQ356" s="9" t="s">
        <v>2940</v>
      </c>
      <c r="CR356" s="9" t="s">
        <v>2940</v>
      </c>
      <c r="CS356" s="9" t="s">
        <v>2940</v>
      </c>
      <c r="CT356" s="9" t="s">
        <v>2940</v>
      </c>
      <c r="CU356" s="9" t="s">
        <v>2940</v>
      </c>
      <c r="CV356" s="9" t="s">
        <v>2940</v>
      </c>
      <c r="CW356" s="9" t="s">
        <v>2940</v>
      </c>
      <c r="CX356" s="9" t="s">
        <v>2940</v>
      </c>
      <c r="CY356" s="9" t="s">
        <v>2940</v>
      </c>
      <c r="CZ356" s="9" t="s">
        <v>2940</v>
      </c>
      <c r="DA356" s="9" t="s">
        <v>2940</v>
      </c>
      <c r="DB356" s="9" t="s">
        <v>2940</v>
      </c>
      <c r="DC356" s="9" t="s">
        <v>2940</v>
      </c>
      <c r="DD356" s="9" t="s">
        <v>2940</v>
      </c>
      <c r="DE356" s="9" t="s">
        <v>2940</v>
      </c>
      <c r="DF356" s="9" t="s">
        <v>2940</v>
      </c>
      <c r="DG356" s="9" t="s">
        <v>2940</v>
      </c>
      <c r="DH356" s="9" t="s">
        <v>2940</v>
      </c>
      <c r="DI356" s="9" t="s">
        <v>2940</v>
      </c>
      <c r="DJ356" s="9" t="s">
        <v>2940</v>
      </c>
      <c r="DK356" s="9" t="s">
        <v>2940</v>
      </c>
      <c r="DL356" s="9" t="s">
        <v>2940</v>
      </c>
      <c r="DM356" s="9" t="s">
        <v>2940</v>
      </c>
      <c r="DN356" s="9" t="s">
        <v>2940</v>
      </c>
      <c r="DO356" s="9" t="s">
        <v>2940</v>
      </c>
      <c r="DP356" s="9" t="s">
        <v>2940</v>
      </c>
      <c r="DQ356" s="9" t="s">
        <v>2940</v>
      </c>
    </row>
    <row r="357" spans="1:121" ht="15.75" customHeight="1">
      <c r="A357" s="87" t="s">
        <v>8632</v>
      </c>
      <c r="Z357" s="9" t="s">
        <v>2940</v>
      </c>
      <c r="AA357" s="9" t="s">
        <v>2940</v>
      </c>
      <c r="AB357" s="9" t="s">
        <v>2940</v>
      </c>
      <c r="AC357" s="9" t="s">
        <v>2940</v>
      </c>
      <c r="AD357" s="9" t="s">
        <v>2940</v>
      </c>
      <c r="AE357" s="9" t="s">
        <v>2940</v>
      </c>
      <c r="AF357" s="9" t="s">
        <v>2940</v>
      </c>
      <c r="AG357" s="9" t="s">
        <v>2940</v>
      </c>
      <c r="AH357" s="9" t="s">
        <v>2940</v>
      </c>
      <c r="AI357" s="9" t="s">
        <v>2940</v>
      </c>
      <c r="AJ357" s="9" t="s">
        <v>2940</v>
      </c>
      <c r="AK357" s="9" t="s">
        <v>2940</v>
      </c>
      <c r="AL357" s="9" t="s">
        <v>2940</v>
      </c>
      <c r="AM357" s="9" t="s">
        <v>2940</v>
      </c>
      <c r="AN357" s="9" t="s">
        <v>2940</v>
      </c>
      <c r="AO357" s="9" t="s">
        <v>2940</v>
      </c>
      <c r="AP357" s="9" t="s">
        <v>2940</v>
      </c>
      <c r="AQ357" s="9" t="s">
        <v>2940</v>
      </c>
      <c r="AR357" s="9" t="s">
        <v>2940</v>
      </c>
      <c r="AS357" s="9" t="s">
        <v>2940</v>
      </c>
      <c r="AT357" s="9" t="s">
        <v>2940</v>
      </c>
      <c r="AU357" s="9" t="s">
        <v>2940</v>
      </c>
      <c r="AV357" s="9" t="s">
        <v>2940</v>
      </c>
      <c r="AW357" s="9" t="s">
        <v>2940</v>
      </c>
      <c r="AX357" s="9" t="s">
        <v>2940</v>
      </c>
      <c r="AY357" s="9" t="s">
        <v>2940</v>
      </c>
      <c r="AZ357" s="9" t="s">
        <v>2940</v>
      </c>
      <c r="BA357" s="9" t="s">
        <v>2940</v>
      </c>
      <c r="BB357" s="9" t="s">
        <v>2940</v>
      </c>
      <c r="BC357" s="9" t="s">
        <v>2940</v>
      </c>
      <c r="BD357" s="9" t="s">
        <v>2940</v>
      </c>
      <c r="BE357" s="9" t="s">
        <v>2940</v>
      </c>
      <c r="BF357" s="9" t="s">
        <v>2940</v>
      </c>
      <c r="BG357" s="9" t="s">
        <v>2940</v>
      </c>
      <c r="BH357" s="9" t="s">
        <v>2940</v>
      </c>
      <c r="BI357" s="9" t="s">
        <v>2940</v>
      </c>
      <c r="BJ357" s="9" t="s">
        <v>2940</v>
      </c>
      <c r="BK357" s="9" t="s">
        <v>2940</v>
      </c>
      <c r="BL357" s="9" t="s">
        <v>2940</v>
      </c>
      <c r="BM357" s="9" t="s">
        <v>2940</v>
      </c>
      <c r="BN357" s="9" t="s">
        <v>2940</v>
      </c>
      <c r="BO357" s="9" t="s">
        <v>2940</v>
      </c>
      <c r="BP357" s="9" t="s">
        <v>2940</v>
      </c>
      <c r="BQ357" s="9" t="s">
        <v>2940</v>
      </c>
      <c r="BR357" s="9" t="s">
        <v>2940</v>
      </c>
      <c r="BS357" s="9" t="s">
        <v>2940</v>
      </c>
      <c r="BT357" s="9" t="s">
        <v>2940</v>
      </c>
      <c r="BU357" s="9" t="s">
        <v>2940</v>
      </c>
      <c r="BV357" s="9" t="s">
        <v>2940</v>
      </c>
      <c r="BW357" s="9" t="s">
        <v>2940</v>
      </c>
      <c r="BX357" s="9" t="s">
        <v>2940</v>
      </c>
      <c r="BY357" s="9" t="s">
        <v>2940</v>
      </c>
      <c r="BZ357" s="9" t="s">
        <v>2940</v>
      </c>
      <c r="CA357" s="9" t="s">
        <v>2940</v>
      </c>
      <c r="CB357" s="9" t="s">
        <v>2940</v>
      </c>
      <c r="CC357" s="9" t="s">
        <v>2940</v>
      </c>
      <c r="CD357" s="9" t="s">
        <v>2940</v>
      </c>
      <c r="CE357" s="9" t="s">
        <v>2940</v>
      </c>
      <c r="CF357" s="9" t="s">
        <v>2940</v>
      </c>
      <c r="CG357" s="9" t="s">
        <v>2940</v>
      </c>
      <c r="CH357" s="9" t="s">
        <v>2940</v>
      </c>
      <c r="CI357" s="9" t="s">
        <v>2940</v>
      </c>
      <c r="CJ357" s="9" t="s">
        <v>2940</v>
      </c>
      <c r="CK357" s="9" t="s">
        <v>2940</v>
      </c>
      <c r="CL357" s="9" t="s">
        <v>2940</v>
      </c>
      <c r="CM357" s="9" t="s">
        <v>2940</v>
      </c>
      <c r="CN357" s="9" t="s">
        <v>2940</v>
      </c>
      <c r="CO357" s="9" t="s">
        <v>2940</v>
      </c>
      <c r="CP357" s="9" t="s">
        <v>2940</v>
      </c>
      <c r="CQ357" s="9" t="s">
        <v>2940</v>
      </c>
      <c r="CR357" s="9" t="s">
        <v>2940</v>
      </c>
      <c r="CS357" s="9" t="s">
        <v>2940</v>
      </c>
      <c r="CT357" s="9" t="s">
        <v>2940</v>
      </c>
      <c r="CU357" s="9" t="s">
        <v>2940</v>
      </c>
      <c r="CV357" s="9" t="s">
        <v>2940</v>
      </c>
      <c r="CW357" s="9" t="s">
        <v>2940</v>
      </c>
      <c r="CX357" s="9" t="s">
        <v>2940</v>
      </c>
      <c r="CY357" s="9" t="s">
        <v>2940</v>
      </c>
      <c r="CZ357" s="9" t="s">
        <v>2940</v>
      </c>
      <c r="DA357" s="9" t="s">
        <v>2940</v>
      </c>
      <c r="DB357" s="9" t="s">
        <v>2940</v>
      </c>
      <c r="DC357" s="9" t="s">
        <v>2940</v>
      </c>
      <c r="DD357" s="9" t="s">
        <v>2940</v>
      </c>
      <c r="DE357" s="9" t="s">
        <v>2940</v>
      </c>
      <c r="DF357" s="9" t="s">
        <v>2940</v>
      </c>
      <c r="DG357" s="9" t="s">
        <v>2940</v>
      </c>
      <c r="DH357" s="9" t="s">
        <v>2940</v>
      </c>
      <c r="DI357" s="9" t="s">
        <v>2940</v>
      </c>
      <c r="DJ357" s="9" t="s">
        <v>2940</v>
      </c>
      <c r="DK357" s="9" t="s">
        <v>2940</v>
      </c>
      <c r="DL357" s="9" t="s">
        <v>2940</v>
      </c>
      <c r="DM357" s="9" t="s">
        <v>2940</v>
      </c>
      <c r="DN357" s="9" t="s">
        <v>2940</v>
      </c>
      <c r="DO357" s="9" t="s">
        <v>3030</v>
      </c>
      <c r="DP357" s="9" t="s">
        <v>3030</v>
      </c>
      <c r="DQ357" s="9" t="s">
        <v>3030</v>
      </c>
    </row>
    <row r="358" spans="1:121" ht="15.75" customHeight="1">
      <c r="A358" s="87" t="s">
        <v>8633</v>
      </c>
      <c r="Z358" s="9" t="s">
        <v>3030</v>
      </c>
      <c r="AA358" s="9" t="s">
        <v>3030</v>
      </c>
      <c r="AB358" s="9" t="s">
        <v>3030</v>
      </c>
      <c r="AC358" s="9" t="s">
        <v>3030</v>
      </c>
      <c r="AD358" s="9" t="s">
        <v>3030</v>
      </c>
      <c r="AE358" s="9" t="s">
        <v>3030</v>
      </c>
      <c r="AF358" s="9" t="s">
        <v>3030</v>
      </c>
      <c r="AG358" s="9" t="s">
        <v>3030</v>
      </c>
      <c r="AH358" s="9" t="s">
        <v>3030</v>
      </c>
      <c r="AI358" s="9" t="s">
        <v>3030</v>
      </c>
      <c r="AJ358" s="9" t="s">
        <v>3030</v>
      </c>
      <c r="AK358" s="9" t="s">
        <v>3030</v>
      </c>
      <c r="AL358" s="9" t="s">
        <v>3030</v>
      </c>
      <c r="AM358" s="9" t="s">
        <v>3030</v>
      </c>
      <c r="AN358" s="9" t="s">
        <v>3030</v>
      </c>
      <c r="AO358" s="9" t="s">
        <v>3030</v>
      </c>
      <c r="AP358" s="9" t="s">
        <v>3030</v>
      </c>
      <c r="AQ358" s="9" t="s">
        <v>3030</v>
      </c>
      <c r="AR358" s="9" t="s">
        <v>3030</v>
      </c>
      <c r="AS358" s="9" t="s">
        <v>3030</v>
      </c>
      <c r="AT358" s="9" t="s">
        <v>3030</v>
      </c>
      <c r="AU358" s="9" t="s">
        <v>3030</v>
      </c>
      <c r="AV358" s="9" t="s">
        <v>3030</v>
      </c>
      <c r="AW358" s="9" t="s">
        <v>3030</v>
      </c>
      <c r="AX358" s="9" t="s">
        <v>3030</v>
      </c>
      <c r="AY358" s="9" t="s">
        <v>3030</v>
      </c>
      <c r="AZ358" s="9" t="s">
        <v>3030</v>
      </c>
      <c r="BA358" s="9" t="s">
        <v>3030</v>
      </c>
      <c r="BB358" s="9" t="s">
        <v>3030</v>
      </c>
      <c r="BC358" s="9" t="s">
        <v>3030</v>
      </c>
      <c r="BD358" s="9" t="s">
        <v>3030</v>
      </c>
      <c r="BE358" s="9" t="s">
        <v>3030</v>
      </c>
      <c r="BF358" s="9" t="s">
        <v>3030</v>
      </c>
      <c r="BG358" s="9" t="s">
        <v>3030</v>
      </c>
      <c r="BH358" s="9" t="s">
        <v>3030</v>
      </c>
      <c r="BI358" s="9" t="s">
        <v>3030</v>
      </c>
      <c r="BJ358" s="9" t="s">
        <v>3030</v>
      </c>
      <c r="BK358" s="9" t="s">
        <v>3030</v>
      </c>
      <c r="BL358" s="9" t="s">
        <v>3030</v>
      </c>
      <c r="BM358" s="9" t="s">
        <v>3030</v>
      </c>
      <c r="BN358" s="9" t="s">
        <v>3030</v>
      </c>
      <c r="BO358" s="9" t="s">
        <v>3030</v>
      </c>
      <c r="BP358" s="9" t="s">
        <v>3030</v>
      </c>
      <c r="BQ358" s="9" t="s">
        <v>3030</v>
      </c>
      <c r="BR358" s="9" t="s">
        <v>3030</v>
      </c>
      <c r="BS358" s="9" t="s">
        <v>3030</v>
      </c>
      <c r="BT358" s="9" t="s">
        <v>3030</v>
      </c>
      <c r="BU358" s="9" t="s">
        <v>3030</v>
      </c>
      <c r="BV358" s="9" t="s">
        <v>3030</v>
      </c>
      <c r="BW358" s="9" t="s">
        <v>3030</v>
      </c>
      <c r="BX358" s="9" t="s">
        <v>3030</v>
      </c>
      <c r="BY358" s="9" t="s">
        <v>3030</v>
      </c>
      <c r="BZ358" s="9" t="s">
        <v>3030</v>
      </c>
      <c r="CA358" s="9" t="s">
        <v>3030</v>
      </c>
      <c r="CB358" s="9" t="s">
        <v>3030</v>
      </c>
      <c r="CC358" s="9" t="s">
        <v>3030</v>
      </c>
      <c r="CD358" s="9" t="s">
        <v>3030</v>
      </c>
      <c r="CE358" s="9" t="s">
        <v>3030</v>
      </c>
      <c r="CF358" s="9" t="s">
        <v>3030</v>
      </c>
      <c r="CG358" s="9" t="s">
        <v>3030</v>
      </c>
      <c r="CH358" s="9" t="s">
        <v>2968</v>
      </c>
      <c r="CI358" s="9" t="s">
        <v>2968</v>
      </c>
      <c r="CJ358" s="9" t="s">
        <v>2968</v>
      </c>
      <c r="CK358" s="9" t="s">
        <v>2968</v>
      </c>
      <c r="CL358" s="9" t="s">
        <v>2968</v>
      </c>
      <c r="CM358" s="9" t="s">
        <v>2968</v>
      </c>
      <c r="CN358" s="9" t="s">
        <v>2968</v>
      </c>
      <c r="CO358" s="9" t="s">
        <v>2968</v>
      </c>
      <c r="CP358" s="9" t="s">
        <v>2968</v>
      </c>
      <c r="CQ358" s="9" t="s">
        <v>2968</v>
      </c>
      <c r="CR358" s="9" t="s">
        <v>2968</v>
      </c>
      <c r="CS358" s="9" t="s">
        <v>2968</v>
      </c>
      <c r="CT358" s="9" t="s">
        <v>2968</v>
      </c>
      <c r="CU358" s="9" t="s">
        <v>2968</v>
      </c>
      <c r="CV358" s="9" t="s">
        <v>2968</v>
      </c>
      <c r="CW358" s="9" t="s">
        <v>2968</v>
      </c>
      <c r="CX358" s="9" t="s">
        <v>2968</v>
      </c>
      <c r="CY358" s="9" t="s">
        <v>2968</v>
      </c>
      <c r="CZ358" s="9" t="s">
        <v>2968</v>
      </c>
      <c r="DA358" s="9" t="s">
        <v>2968</v>
      </c>
      <c r="DB358" s="9" t="s">
        <v>2968</v>
      </c>
      <c r="DC358" s="9" t="s">
        <v>2968</v>
      </c>
      <c r="DD358" s="9" t="s">
        <v>2968</v>
      </c>
      <c r="DE358" s="9" t="s">
        <v>2968</v>
      </c>
      <c r="DF358" s="9" t="s">
        <v>2968</v>
      </c>
      <c r="DG358" s="9" t="s">
        <v>2968</v>
      </c>
      <c r="DH358" s="9" t="s">
        <v>2968</v>
      </c>
      <c r="DI358" s="9" t="s">
        <v>2968</v>
      </c>
      <c r="DJ358" s="9" t="s">
        <v>2968</v>
      </c>
      <c r="DK358" s="9" t="s">
        <v>2968</v>
      </c>
      <c r="DL358" s="9" t="s">
        <v>2968</v>
      </c>
      <c r="DM358" s="9" t="s">
        <v>2968</v>
      </c>
      <c r="DN358" s="9" t="s">
        <v>2968</v>
      </c>
      <c r="DO358" s="9" t="s">
        <v>2968</v>
      </c>
      <c r="DP358" s="9" t="s">
        <v>2968</v>
      </c>
      <c r="DQ358" s="9" t="s">
        <v>2968</v>
      </c>
    </row>
    <row r="359" spans="1:121" ht="15.75" customHeight="1">
      <c r="A359" s="87" t="s">
        <v>8634</v>
      </c>
      <c r="Z359" s="9" t="s">
        <v>2968</v>
      </c>
      <c r="AA359" s="9" t="s">
        <v>2968</v>
      </c>
      <c r="AB359" s="9" t="s">
        <v>2968</v>
      </c>
      <c r="AC359" s="9" t="s">
        <v>2968</v>
      </c>
      <c r="AD359" s="9" t="s">
        <v>2968</v>
      </c>
      <c r="AE359" s="9" t="s">
        <v>2968</v>
      </c>
      <c r="AF359" s="9" t="s">
        <v>2968</v>
      </c>
      <c r="AG359" s="9" t="s">
        <v>2968</v>
      </c>
      <c r="AH359" s="9" t="s">
        <v>2968</v>
      </c>
      <c r="AI359" s="9" t="s">
        <v>2968</v>
      </c>
      <c r="AJ359" s="9" t="s">
        <v>2968</v>
      </c>
      <c r="AK359" s="9" t="s">
        <v>2968</v>
      </c>
      <c r="AL359" s="9" t="s">
        <v>2968</v>
      </c>
      <c r="AM359" s="9" t="s">
        <v>2968</v>
      </c>
      <c r="AN359" s="9" t="s">
        <v>2968</v>
      </c>
      <c r="AO359" s="9" t="s">
        <v>2968</v>
      </c>
      <c r="AP359" s="9" t="s">
        <v>2968</v>
      </c>
      <c r="AQ359" s="9" t="s">
        <v>2968</v>
      </c>
      <c r="AR359" s="9" t="s">
        <v>2968</v>
      </c>
      <c r="AS359" s="9" t="s">
        <v>2968</v>
      </c>
      <c r="AT359" s="9" t="s">
        <v>2968</v>
      </c>
      <c r="AU359" s="9" t="s">
        <v>2968</v>
      </c>
      <c r="AV359" s="9" t="s">
        <v>2968</v>
      </c>
      <c r="AW359" s="9" t="s">
        <v>2968</v>
      </c>
      <c r="AX359" s="9" t="s">
        <v>2979</v>
      </c>
      <c r="AY359" s="9" t="s">
        <v>2979</v>
      </c>
      <c r="AZ359" s="9" t="s">
        <v>2979</v>
      </c>
      <c r="BA359" s="9" t="s">
        <v>2979</v>
      </c>
      <c r="BB359" s="9" t="s">
        <v>2979</v>
      </c>
      <c r="BC359" s="9" t="s">
        <v>2979</v>
      </c>
      <c r="BD359" s="9" t="s">
        <v>2979</v>
      </c>
      <c r="BE359" s="9" t="s">
        <v>2979</v>
      </c>
      <c r="BF359" s="9" t="s">
        <v>2979</v>
      </c>
      <c r="BG359" s="9" t="s">
        <v>2979</v>
      </c>
      <c r="BH359" s="9" t="s">
        <v>2979</v>
      </c>
      <c r="BI359" s="9" t="s">
        <v>2979</v>
      </c>
      <c r="BJ359" s="9" t="s">
        <v>2979</v>
      </c>
      <c r="BK359" s="9" t="s">
        <v>2979</v>
      </c>
      <c r="BL359" s="9" t="s">
        <v>2979</v>
      </c>
      <c r="BM359" s="9" t="s">
        <v>2979</v>
      </c>
      <c r="BN359" s="9" t="s">
        <v>2979</v>
      </c>
      <c r="BO359" s="9" t="s">
        <v>2979</v>
      </c>
      <c r="BP359" s="9" t="s">
        <v>2979</v>
      </c>
      <c r="BQ359" s="9" t="s">
        <v>2979</v>
      </c>
      <c r="BR359" s="9" t="s">
        <v>2979</v>
      </c>
      <c r="BS359" s="9" t="s">
        <v>2979</v>
      </c>
      <c r="BT359" s="9" t="s">
        <v>2979</v>
      </c>
      <c r="BU359" s="9" t="s">
        <v>2979</v>
      </c>
      <c r="BV359" s="9" t="s">
        <v>2979</v>
      </c>
      <c r="BW359" s="9" t="s">
        <v>2979</v>
      </c>
      <c r="BX359" s="9" t="s">
        <v>2979</v>
      </c>
      <c r="BY359" s="9" t="s">
        <v>2979</v>
      </c>
      <c r="BZ359" s="9" t="s">
        <v>2979</v>
      </c>
      <c r="CA359" s="9" t="s">
        <v>2979</v>
      </c>
      <c r="CB359" s="9" t="s">
        <v>2979</v>
      </c>
      <c r="CC359" s="9" t="s">
        <v>2979</v>
      </c>
      <c r="CD359" s="9" t="s">
        <v>2979</v>
      </c>
      <c r="CE359" s="9" t="s">
        <v>2979</v>
      </c>
      <c r="CF359" s="9" t="s">
        <v>2979</v>
      </c>
      <c r="CG359" s="9" t="s">
        <v>2979</v>
      </c>
      <c r="CH359" s="9" t="s">
        <v>2979</v>
      </c>
      <c r="CI359" s="9" t="s">
        <v>2979</v>
      </c>
      <c r="CJ359" s="9" t="s">
        <v>2979</v>
      </c>
      <c r="CK359" s="9" t="s">
        <v>2979</v>
      </c>
      <c r="CL359" s="9" t="s">
        <v>2979</v>
      </c>
      <c r="CM359" s="9" t="s">
        <v>2979</v>
      </c>
      <c r="CN359" s="9" t="s">
        <v>2979</v>
      </c>
      <c r="CO359" s="9" t="s">
        <v>3006</v>
      </c>
      <c r="CP359" s="9" t="s">
        <v>3006</v>
      </c>
      <c r="CQ359" s="9" t="s">
        <v>3006</v>
      </c>
      <c r="CR359" s="9" t="s">
        <v>3006</v>
      </c>
      <c r="CS359" s="9" t="s">
        <v>3006</v>
      </c>
      <c r="CT359" s="9" t="s">
        <v>3006</v>
      </c>
      <c r="CU359" s="9" t="s">
        <v>3006</v>
      </c>
      <c r="CV359" s="9" t="s">
        <v>3006</v>
      </c>
      <c r="CW359" s="9" t="s">
        <v>3006</v>
      </c>
      <c r="CX359" s="9" t="s">
        <v>3006</v>
      </c>
      <c r="CY359" s="9" t="s">
        <v>3006</v>
      </c>
      <c r="CZ359" s="9" t="s">
        <v>3006</v>
      </c>
      <c r="DA359" s="9" t="s">
        <v>3006</v>
      </c>
      <c r="DB359" s="9" t="s">
        <v>3006</v>
      </c>
      <c r="DC359" s="9" t="s">
        <v>3006</v>
      </c>
      <c r="DD359" s="9" t="s">
        <v>3006</v>
      </c>
      <c r="DE359" s="9" t="s">
        <v>3006</v>
      </c>
      <c r="DF359" s="9" t="s">
        <v>3006</v>
      </c>
      <c r="DG359" s="9" t="s">
        <v>3006</v>
      </c>
      <c r="DH359" s="9" t="s">
        <v>3006</v>
      </c>
      <c r="DI359" s="9" t="s">
        <v>3006</v>
      </c>
      <c r="DJ359" s="9" t="s">
        <v>3006</v>
      </c>
      <c r="DK359" s="9" t="s">
        <v>3006</v>
      </c>
      <c r="DL359" s="9" t="s">
        <v>3006</v>
      </c>
      <c r="DM359" s="9" t="s">
        <v>3006</v>
      </c>
      <c r="DN359" s="9" t="s">
        <v>3006</v>
      </c>
      <c r="DO359" s="9" t="s">
        <v>3006</v>
      </c>
      <c r="DP359" s="9" t="s">
        <v>3006</v>
      </c>
      <c r="DQ359" s="9" t="s">
        <v>3006</v>
      </c>
    </row>
    <row r="360" spans="1:121" ht="15.75" customHeight="1">
      <c r="A360" s="87" t="s">
        <v>8635</v>
      </c>
      <c r="Z360" s="9" t="s">
        <v>3006</v>
      </c>
      <c r="AA360" s="9" t="s">
        <v>3006</v>
      </c>
      <c r="AB360" s="9" t="s">
        <v>3006</v>
      </c>
      <c r="AC360" s="9" t="s">
        <v>3006</v>
      </c>
      <c r="AD360" s="9" t="s">
        <v>3006</v>
      </c>
      <c r="AE360" s="9" t="s">
        <v>3006</v>
      </c>
      <c r="AF360" s="9" t="s">
        <v>3006</v>
      </c>
      <c r="AG360" s="9" t="s">
        <v>3006</v>
      </c>
      <c r="AH360" s="9" t="s">
        <v>3006</v>
      </c>
      <c r="AI360" s="9" t="s">
        <v>3006</v>
      </c>
      <c r="AJ360" s="9" t="s">
        <v>3006</v>
      </c>
      <c r="AK360" s="9" t="s">
        <v>3006</v>
      </c>
      <c r="AL360" s="9" t="s">
        <v>3006</v>
      </c>
      <c r="AM360" s="9" t="s">
        <v>3006</v>
      </c>
      <c r="AN360" s="9" t="s">
        <v>3006</v>
      </c>
      <c r="AO360" s="9" t="s">
        <v>3006</v>
      </c>
      <c r="AP360" s="9" t="s">
        <v>3006</v>
      </c>
      <c r="AQ360" s="9" t="s">
        <v>3006</v>
      </c>
      <c r="AR360" s="9" t="s">
        <v>3006</v>
      </c>
      <c r="AS360" s="9" t="s">
        <v>3006</v>
      </c>
      <c r="AT360" s="9" t="s">
        <v>3006</v>
      </c>
      <c r="AU360" s="9" t="s">
        <v>3006</v>
      </c>
      <c r="AV360" s="9" t="s">
        <v>3006</v>
      </c>
      <c r="AW360" s="9" t="s">
        <v>3006</v>
      </c>
      <c r="AX360" s="9" t="s">
        <v>3006</v>
      </c>
      <c r="AY360" s="9" t="s">
        <v>3006</v>
      </c>
      <c r="AZ360" s="9" t="s">
        <v>3006</v>
      </c>
      <c r="BA360" s="9" t="s">
        <v>3006</v>
      </c>
      <c r="BB360" s="9" t="s">
        <v>3006</v>
      </c>
      <c r="BC360" s="9" t="s">
        <v>3006</v>
      </c>
      <c r="BD360" s="9" t="s">
        <v>3006</v>
      </c>
      <c r="BE360" s="9" t="s">
        <v>3006</v>
      </c>
      <c r="BF360" s="9" t="s">
        <v>3006</v>
      </c>
      <c r="BG360" s="9" t="s">
        <v>3006</v>
      </c>
      <c r="BH360" s="9" t="s">
        <v>3006</v>
      </c>
      <c r="BI360" s="9" t="s">
        <v>3006</v>
      </c>
      <c r="BJ360" s="9" t="s">
        <v>3006</v>
      </c>
      <c r="BK360" s="9" t="s">
        <v>3006</v>
      </c>
      <c r="BL360" s="9" t="s">
        <v>3006</v>
      </c>
      <c r="BM360" s="9" t="s">
        <v>3006</v>
      </c>
      <c r="BN360" s="9" t="s">
        <v>3006</v>
      </c>
      <c r="BO360" s="9" t="s">
        <v>3006</v>
      </c>
      <c r="BP360" s="9" t="s">
        <v>3006</v>
      </c>
      <c r="BQ360" s="9" t="s">
        <v>3006</v>
      </c>
      <c r="BR360" s="9" t="s">
        <v>3006</v>
      </c>
      <c r="BS360" s="9" t="s">
        <v>3006</v>
      </c>
      <c r="BT360" s="9" t="s">
        <v>3006</v>
      </c>
      <c r="BU360" s="9" t="s">
        <v>3006</v>
      </c>
      <c r="BV360" s="9" t="s">
        <v>3006</v>
      </c>
      <c r="BW360" s="9" t="s">
        <v>3006</v>
      </c>
      <c r="BX360" s="9" t="s">
        <v>3006</v>
      </c>
      <c r="BY360" s="9" t="s">
        <v>3006</v>
      </c>
      <c r="BZ360" s="9" t="s">
        <v>3006</v>
      </c>
      <c r="CA360" s="9" t="s">
        <v>3006</v>
      </c>
      <c r="CB360" s="9" t="s">
        <v>3006</v>
      </c>
      <c r="CC360" s="9" t="s">
        <v>3006</v>
      </c>
      <c r="CD360" s="9" t="s">
        <v>3006</v>
      </c>
      <c r="CE360" s="9" t="s">
        <v>3006</v>
      </c>
      <c r="CF360" s="9" t="s">
        <v>3006</v>
      </c>
      <c r="CG360" s="9" t="s">
        <v>3006</v>
      </c>
      <c r="CH360" s="9" t="s">
        <v>3006</v>
      </c>
      <c r="CI360" s="9" t="s">
        <v>3006</v>
      </c>
      <c r="CJ360" s="9" t="s">
        <v>3006</v>
      </c>
      <c r="CK360" s="9" t="s">
        <v>3006</v>
      </c>
      <c r="CL360" s="9" t="s">
        <v>3006</v>
      </c>
      <c r="CM360" s="9" t="s">
        <v>3006</v>
      </c>
      <c r="CN360" s="9" t="s">
        <v>3006</v>
      </c>
      <c r="CO360" s="9" t="s">
        <v>3006</v>
      </c>
      <c r="CP360" s="9" t="s">
        <v>3006</v>
      </c>
      <c r="CQ360" s="9" t="s">
        <v>3006</v>
      </c>
      <c r="CR360" s="9" t="s">
        <v>3006</v>
      </c>
      <c r="CS360" s="9" t="s">
        <v>3006</v>
      </c>
      <c r="CT360" s="9" t="s">
        <v>3006</v>
      </c>
      <c r="CU360" s="9" t="s">
        <v>3006</v>
      </c>
      <c r="CV360" s="9" t="s">
        <v>3006</v>
      </c>
      <c r="CW360" s="9" t="s">
        <v>3006</v>
      </c>
      <c r="CX360" s="9" t="s">
        <v>3006</v>
      </c>
      <c r="CY360" s="9" t="s">
        <v>3006</v>
      </c>
      <c r="CZ360" s="9" t="s">
        <v>3006</v>
      </c>
      <c r="DA360" s="9" t="s">
        <v>3006</v>
      </c>
      <c r="DB360" s="9" t="s">
        <v>3006</v>
      </c>
      <c r="DC360" s="9" t="s">
        <v>3006</v>
      </c>
      <c r="DD360" s="9" t="s">
        <v>3006</v>
      </c>
      <c r="DE360" s="9" t="s">
        <v>3006</v>
      </c>
      <c r="DF360" s="9" t="s">
        <v>3006</v>
      </c>
      <c r="DG360" s="9" t="s">
        <v>3006</v>
      </c>
      <c r="DH360" s="9" t="s">
        <v>3006</v>
      </c>
      <c r="DI360" s="9" t="s">
        <v>3006</v>
      </c>
      <c r="DJ360" s="9" t="s">
        <v>3006</v>
      </c>
      <c r="DK360" s="9" t="s">
        <v>3006</v>
      </c>
      <c r="DL360" s="9" t="s">
        <v>3006</v>
      </c>
      <c r="DM360" s="9" t="s">
        <v>3006</v>
      </c>
      <c r="DN360" s="9" t="s">
        <v>3006</v>
      </c>
      <c r="DO360" s="9" t="s">
        <v>3006</v>
      </c>
      <c r="DP360" s="9" t="s">
        <v>3006</v>
      </c>
      <c r="DQ360" s="9" t="s">
        <v>3006</v>
      </c>
    </row>
    <row r="361" spans="1:121" ht="15.75" customHeight="1">
      <c r="A361" s="87" t="s">
        <v>8636</v>
      </c>
      <c r="Z361" s="9" t="s">
        <v>3006</v>
      </c>
      <c r="AA361" s="9" t="s">
        <v>3006</v>
      </c>
      <c r="AB361" s="9" t="s">
        <v>3006</v>
      </c>
      <c r="AC361" s="9" t="s">
        <v>3006</v>
      </c>
      <c r="AD361" s="9" t="s">
        <v>3006</v>
      </c>
      <c r="AE361" s="9" t="s">
        <v>3006</v>
      </c>
      <c r="AF361" s="9" t="s">
        <v>3006</v>
      </c>
      <c r="AG361" s="9" t="s">
        <v>3006</v>
      </c>
      <c r="AH361" s="9" t="s">
        <v>3006</v>
      </c>
      <c r="AI361" s="9" t="s">
        <v>3006</v>
      </c>
      <c r="AJ361" s="9" t="s">
        <v>3006</v>
      </c>
      <c r="AK361" s="9" t="s">
        <v>3006</v>
      </c>
      <c r="AL361" s="9" t="s">
        <v>3006</v>
      </c>
      <c r="AM361" s="9" t="s">
        <v>3006</v>
      </c>
      <c r="AN361" s="9" t="s">
        <v>3006</v>
      </c>
      <c r="AO361" s="9" t="s">
        <v>3006</v>
      </c>
      <c r="AP361" s="9" t="s">
        <v>3006</v>
      </c>
      <c r="AQ361" s="9" t="s">
        <v>3006</v>
      </c>
      <c r="AR361" s="9" t="s">
        <v>3006</v>
      </c>
      <c r="AS361" s="9" t="s">
        <v>3006</v>
      </c>
      <c r="AT361" s="9" t="s">
        <v>3006</v>
      </c>
      <c r="AU361" s="9" t="s">
        <v>3006</v>
      </c>
      <c r="AV361" s="9" t="s">
        <v>3006</v>
      </c>
      <c r="AW361" s="9" t="s">
        <v>3006</v>
      </c>
      <c r="AX361" s="9" t="s">
        <v>3006</v>
      </c>
      <c r="AY361" s="9" t="s">
        <v>3006</v>
      </c>
      <c r="AZ361" s="9" t="s">
        <v>3006</v>
      </c>
      <c r="BA361" s="9" t="s">
        <v>3006</v>
      </c>
      <c r="BB361" s="9" t="s">
        <v>3006</v>
      </c>
      <c r="BC361" s="9" t="s">
        <v>3006</v>
      </c>
      <c r="BD361" s="9" t="s">
        <v>3006</v>
      </c>
      <c r="BE361" s="9" t="s">
        <v>3006</v>
      </c>
      <c r="BF361" s="9" t="s">
        <v>3006</v>
      </c>
      <c r="BG361" s="9" t="s">
        <v>3006</v>
      </c>
      <c r="BH361" s="9" t="s">
        <v>3006</v>
      </c>
      <c r="BI361" s="9" t="s">
        <v>3006</v>
      </c>
      <c r="BJ361" s="9" t="s">
        <v>3006</v>
      </c>
      <c r="BK361" s="9" t="s">
        <v>3006</v>
      </c>
      <c r="BL361" s="9" t="s">
        <v>3006</v>
      </c>
      <c r="BM361" s="9" t="s">
        <v>3006</v>
      </c>
      <c r="BN361" s="9" t="s">
        <v>3006</v>
      </c>
      <c r="BO361" s="9" t="s">
        <v>3006</v>
      </c>
      <c r="BP361" s="9" t="s">
        <v>3006</v>
      </c>
      <c r="BQ361" s="9" t="s">
        <v>3006</v>
      </c>
      <c r="BR361" s="9" t="s">
        <v>3006</v>
      </c>
      <c r="BS361" s="9" t="s">
        <v>3006</v>
      </c>
      <c r="BT361" s="9" t="s">
        <v>3006</v>
      </c>
      <c r="BU361" s="9" t="s">
        <v>3006</v>
      </c>
      <c r="BV361" s="9" t="s">
        <v>3006</v>
      </c>
      <c r="BW361" s="9" t="s">
        <v>3006</v>
      </c>
      <c r="BX361" s="9" t="s">
        <v>3006</v>
      </c>
      <c r="BY361" s="9" t="s">
        <v>3006</v>
      </c>
      <c r="BZ361" s="9" t="s">
        <v>3006</v>
      </c>
      <c r="CA361" s="9" t="s">
        <v>3006</v>
      </c>
      <c r="CB361" s="9" t="s">
        <v>3006</v>
      </c>
      <c r="CC361" s="9" t="s">
        <v>3006</v>
      </c>
      <c r="CD361" s="9" t="s">
        <v>3006</v>
      </c>
      <c r="CE361" s="9" t="s">
        <v>3006</v>
      </c>
      <c r="CF361" s="9" t="s">
        <v>3006</v>
      </c>
      <c r="CG361" s="9" t="s">
        <v>3006</v>
      </c>
      <c r="CH361" s="9" t="s">
        <v>3006</v>
      </c>
      <c r="CI361" s="9" t="s">
        <v>3006</v>
      </c>
      <c r="CJ361" s="9" t="s">
        <v>3006</v>
      </c>
      <c r="CK361" s="9" t="s">
        <v>3006</v>
      </c>
      <c r="CL361" s="9" t="s">
        <v>3006</v>
      </c>
      <c r="CM361" s="9" t="s">
        <v>3006</v>
      </c>
      <c r="CN361" s="9" t="s">
        <v>3006</v>
      </c>
      <c r="CO361" s="9" t="s">
        <v>3006</v>
      </c>
      <c r="CP361" s="9" t="s">
        <v>3006</v>
      </c>
      <c r="CQ361" s="9" t="s">
        <v>3006</v>
      </c>
      <c r="CR361" s="9" t="s">
        <v>3006</v>
      </c>
      <c r="CS361" s="9" t="s">
        <v>3006</v>
      </c>
      <c r="CT361" s="9" t="s">
        <v>3006</v>
      </c>
      <c r="CU361" s="9" t="s">
        <v>3006</v>
      </c>
      <c r="CV361" s="9" t="s">
        <v>3006</v>
      </c>
      <c r="CW361" s="9" t="s">
        <v>3006</v>
      </c>
      <c r="CX361" s="9" t="s">
        <v>3006</v>
      </c>
      <c r="CY361" s="9" t="s">
        <v>3006</v>
      </c>
      <c r="CZ361" s="9" t="s">
        <v>3006</v>
      </c>
      <c r="DA361" s="9" t="s">
        <v>3006</v>
      </c>
      <c r="DB361" s="9" t="s">
        <v>3006</v>
      </c>
      <c r="DC361" s="9" t="s">
        <v>3006</v>
      </c>
      <c r="DD361" s="9" t="s">
        <v>3006</v>
      </c>
      <c r="DE361" s="9" t="s">
        <v>3006</v>
      </c>
      <c r="DF361" s="9" t="s">
        <v>3006</v>
      </c>
      <c r="DG361" s="9" t="s">
        <v>3006</v>
      </c>
      <c r="DH361" s="9" t="s">
        <v>3006</v>
      </c>
      <c r="DI361" s="9" t="s">
        <v>3006</v>
      </c>
      <c r="DJ361" s="9" t="s">
        <v>3006</v>
      </c>
      <c r="DK361" s="9" t="s">
        <v>3006</v>
      </c>
      <c r="DL361" s="9" t="s">
        <v>3006</v>
      </c>
      <c r="DM361" s="9" t="s">
        <v>3006</v>
      </c>
      <c r="DN361" s="9" t="s">
        <v>3006</v>
      </c>
      <c r="DO361" s="9" t="s">
        <v>3006</v>
      </c>
      <c r="DP361" s="9" t="s">
        <v>3006</v>
      </c>
      <c r="DQ361" s="9" t="s">
        <v>3006</v>
      </c>
    </row>
    <row r="362" spans="1:121" ht="15.75" customHeight="1">
      <c r="A362" s="87" t="s">
        <v>8637</v>
      </c>
      <c r="Z362" s="9" t="s">
        <v>3006</v>
      </c>
      <c r="AA362" s="9" t="s">
        <v>3006</v>
      </c>
      <c r="AB362" s="9" t="s">
        <v>3006</v>
      </c>
      <c r="AC362" s="9" t="s">
        <v>3006</v>
      </c>
      <c r="AD362" s="9" t="s">
        <v>3006</v>
      </c>
      <c r="AE362" s="9" t="s">
        <v>3006</v>
      </c>
      <c r="AF362" s="9" t="s">
        <v>3006</v>
      </c>
      <c r="AG362" s="9" t="s">
        <v>3006</v>
      </c>
      <c r="AH362" s="9" t="s">
        <v>3006</v>
      </c>
      <c r="AI362" s="9" t="s">
        <v>3006</v>
      </c>
      <c r="AJ362" s="9" t="s">
        <v>3006</v>
      </c>
      <c r="AK362" s="9" t="s">
        <v>3006</v>
      </c>
      <c r="AL362" s="9" t="s">
        <v>3006</v>
      </c>
      <c r="AM362" s="9" t="s">
        <v>3006</v>
      </c>
      <c r="AN362" s="9" t="s">
        <v>3006</v>
      </c>
      <c r="AO362" s="9" t="s">
        <v>3006</v>
      </c>
      <c r="AP362" s="9" t="s">
        <v>3006</v>
      </c>
      <c r="AQ362" s="9" t="s">
        <v>3006</v>
      </c>
      <c r="AR362" s="9" t="s">
        <v>3006</v>
      </c>
      <c r="AS362" s="9" t="s">
        <v>2883</v>
      </c>
      <c r="AT362" s="9" t="s">
        <v>2883</v>
      </c>
      <c r="AU362" s="9" t="s">
        <v>3004</v>
      </c>
      <c r="AV362" s="9" t="s">
        <v>3004</v>
      </c>
      <c r="AW362" s="9" t="s">
        <v>3004</v>
      </c>
      <c r="AX362" s="9" t="s">
        <v>2904</v>
      </c>
      <c r="AY362" s="9" t="s">
        <v>2904</v>
      </c>
      <c r="AZ362" s="9" t="s">
        <v>2904</v>
      </c>
      <c r="BA362" s="9" t="s">
        <v>2904</v>
      </c>
      <c r="BB362" s="9" t="s">
        <v>2904</v>
      </c>
      <c r="BC362" s="9" t="s">
        <v>2904</v>
      </c>
      <c r="BD362" s="9" t="s">
        <v>2904</v>
      </c>
      <c r="BE362" s="9" t="s">
        <v>2904</v>
      </c>
      <c r="BF362" s="9" t="s">
        <v>2904</v>
      </c>
      <c r="BG362" s="9" t="s">
        <v>2904</v>
      </c>
      <c r="BH362" s="9" t="s">
        <v>2904</v>
      </c>
      <c r="BI362" s="9" t="s">
        <v>2904</v>
      </c>
      <c r="BJ362" s="9" t="s">
        <v>2904</v>
      </c>
      <c r="BK362" s="9" t="s">
        <v>2904</v>
      </c>
      <c r="BL362" s="9" t="s">
        <v>2904</v>
      </c>
      <c r="BM362" s="9" t="s">
        <v>2904</v>
      </c>
      <c r="BN362" s="9" t="s">
        <v>2904</v>
      </c>
      <c r="BO362" s="9" t="s">
        <v>2904</v>
      </c>
      <c r="BP362" s="9" t="s">
        <v>3032</v>
      </c>
      <c r="BQ362" s="9" t="s">
        <v>3032</v>
      </c>
      <c r="BR362" s="9" t="s">
        <v>3032</v>
      </c>
      <c r="BS362" s="9" t="s">
        <v>3032</v>
      </c>
      <c r="BT362" s="9" t="s">
        <v>3032</v>
      </c>
      <c r="BU362" s="9" t="s">
        <v>3032</v>
      </c>
      <c r="BV362" s="9" t="s">
        <v>3032</v>
      </c>
      <c r="BW362" s="9" t="s">
        <v>3032</v>
      </c>
      <c r="BX362" s="9" t="s">
        <v>3032</v>
      </c>
      <c r="BY362" s="9" t="s">
        <v>3032</v>
      </c>
      <c r="BZ362" s="9" t="s">
        <v>3032</v>
      </c>
      <c r="CA362" s="9" t="s">
        <v>3032</v>
      </c>
      <c r="CB362" s="9" t="s">
        <v>3032</v>
      </c>
      <c r="CC362" s="9" t="s">
        <v>3032</v>
      </c>
      <c r="CD362" s="9" t="s">
        <v>3032</v>
      </c>
      <c r="CE362" s="9" t="s">
        <v>3032</v>
      </c>
      <c r="CF362" s="9" t="s">
        <v>3032</v>
      </c>
      <c r="CG362" s="9" t="s">
        <v>3032</v>
      </c>
      <c r="CH362" s="9" t="s">
        <v>3032</v>
      </c>
      <c r="CI362" s="9" t="s">
        <v>3032</v>
      </c>
      <c r="CJ362" s="9" t="s">
        <v>3032</v>
      </c>
      <c r="CK362" s="9" t="s">
        <v>3032</v>
      </c>
      <c r="CL362" s="9" t="s">
        <v>3032</v>
      </c>
      <c r="CM362" s="9" t="s">
        <v>3032</v>
      </c>
      <c r="CN362" s="9" t="s">
        <v>3032</v>
      </c>
      <c r="CO362" s="9" t="s">
        <v>3032</v>
      </c>
      <c r="CP362" s="9" t="s">
        <v>3032</v>
      </c>
      <c r="CQ362" s="9" t="s">
        <v>3032</v>
      </c>
      <c r="CR362" s="9" t="s">
        <v>3032</v>
      </c>
      <c r="CS362" s="9" t="s">
        <v>3032</v>
      </c>
      <c r="CT362" s="9" t="s">
        <v>3032</v>
      </c>
      <c r="CU362" s="9" t="s">
        <v>3032</v>
      </c>
      <c r="CV362" s="9" t="s">
        <v>3032</v>
      </c>
      <c r="CW362" s="9" t="s">
        <v>3032</v>
      </c>
      <c r="CX362" s="9" t="s">
        <v>3032</v>
      </c>
      <c r="CY362" s="9" t="s">
        <v>3032</v>
      </c>
      <c r="CZ362" s="9" t="s">
        <v>3032</v>
      </c>
      <c r="DA362" s="9" t="s">
        <v>3032</v>
      </c>
      <c r="DB362" s="9" t="s">
        <v>3032</v>
      </c>
      <c r="DC362" s="9" t="s">
        <v>3032</v>
      </c>
      <c r="DD362" s="9" t="s">
        <v>3032</v>
      </c>
      <c r="DE362" s="9" t="s">
        <v>3032</v>
      </c>
      <c r="DF362" s="9" t="s">
        <v>3032</v>
      </c>
      <c r="DG362" s="9" t="s">
        <v>3032</v>
      </c>
      <c r="DH362" s="9" t="s">
        <v>3032</v>
      </c>
      <c r="DI362" s="9" t="s">
        <v>3032</v>
      </c>
      <c r="DJ362" s="9" t="s">
        <v>3032</v>
      </c>
      <c r="DK362" s="9" t="s">
        <v>3032</v>
      </c>
      <c r="DL362" s="9" t="s">
        <v>3032</v>
      </c>
      <c r="DM362" s="9" t="s">
        <v>3032</v>
      </c>
      <c r="DN362" s="9" t="s">
        <v>3032</v>
      </c>
      <c r="DO362" s="9" t="s">
        <v>3032</v>
      </c>
      <c r="DP362" s="9" t="s">
        <v>3032</v>
      </c>
      <c r="DQ362" s="9" t="s">
        <v>3032</v>
      </c>
    </row>
    <row r="363" spans="1:121" ht="15.75" customHeight="1">
      <c r="A363" s="87" t="s">
        <v>8638</v>
      </c>
      <c r="Z363" s="9" t="s">
        <v>3032</v>
      </c>
      <c r="AA363" s="9" t="s">
        <v>3032</v>
      </c>
      <c r="AB363" s="9" t="s">
        <v>3032</v>
      </c>
      <c r="AC363" s="9" t="s">
        <v>3032</v>
      </c>
      <c r="AD363" s="9" t="s">
        <v>3032</v>
      </c>
      <c r="AE363" s="9" t="s">
        <v>3032</v>
      </c>
      <c r="AF363" s="9" t="s">
        <v>3032</v>
      </c>
      <c r="AG363" s="9" t="s">
        <v>3032</v>
      </c>
      <c r="AH363" s="9" t="s">
        <v>3032</v>
      </c>
      <c r="AI363" s="9" t="s">
        <v>3032</v>
      </c>
      <c r="AJ363" s="9" t="s">
        <v>3032</v>
      </c>
      <c r="AK363" s="9" t="s">
        <v>3032</v>
      </c>
      <c r="AL363" s="9" t="s">
        <v>3032</v>
      </c>
      <c r="AM363" s="9" t="s">
        <v>3032</v>
      </c>
      <c r="AN363" s="9" t="s">
        <v>3032</v>
      </c>
      <c r="AO363" s="9" t="s">
        <v>3032</v>
      </c>
      <c r="AP363" s="9" t="s">
        <v>3032</v>
      </c>
      <c r="AQ363" s="9" t="s">
        <v>3032</v>
      </c>
      <c r="AR363" s="9" t="s">
        <v>3032</v>
      </c>
      <c r="AS363" s="9" t="s">
        <v>3032</v>
      </c>
      <c r="AT363" s="9" t="s">
        <v>3032</v>
      </c>
      <c r="AU363" s="9" t="s">
        <v>3032</v>
      </c>
      <c r="AV363" s="9" t="s">
        <v>3032</v>
      </c>
      <c r="AW363" s="9" t="s">
        <v>3032</v>
      </c>
      <c r="AX363" s="9" t="s">
        <v>3032</v>
      </c>
      <c r="AY363" s="9" t="s">
        <v>3032</v>
      </c>
      <c r="AZ363" s="9" t="s">
        <v>3032</v>
      </c>
      <c r="BA363" s="9" t="s">
        <v>3032</v>
      </c>
      <c r="BB363" s="9" t="s">
        <v>3032</v>
      </c>
      <c r="BC363" s="9" t="s">
        <v>3032</v>
      </c>
      <c r="BD363" s="9" t="s">
        <v>3032</v>
      </c>
      <c r="BE363" s="9" t="s">
        <v>3032</v>
      </c>
      <c r="BF363" s="9" t="s">
        <v>3032</v>
      </c>
      <c r="BG363" s="9" t="s">
        <v>3032</v>
      </c>
      <c r="BH363" s="9" t="s">
        <v>3032</v>
      </c>
      <c r="BI363" s="9" t="s">
        <v>3032</v>
      </c>
      <c r="BJ363" s="9" t="s">
        <v>3032</v>
      </c>
      <c r="BK363" s="9" t="s">
        <v>3032</v>
      </c>
      <c r="BL363" s="9" t="s">
        <v>3032</v>
      </c>
      <c r="BM363" s="9" t="s">
        <v>3032</v>
      </c>
      <c r="BN363" s="9" t="s">
        <v>3032</v>
      </c>
      <c r="BO363" s="9" t="s">
        <v>3032</v>
      </c>
      <c r="BP363" s="9" t="s">
        <v>3032</v>
      </c>
      <c r="BQ363" s="9" t="s">
        <v>3032</v>
      </c>
      <c r="BR363" s="9" t="s">
        <v>3032</v>
      </c>
      <c r="BS363" s="9" t="s">
        <v>3032</v>
      </c>
      <c r="BT363" s="9" t="s">
        <v>3032</v>
      </c>
      <c r="BU363" s="9" t="s">
        <v>3032</v>
      </c>
      <c r="BV363" s="9" t="s">
        <v>3032</v>
      </c>
      <c r="BW363" s="9" t="s">
        <v>3032</v>
      </c>
      <c r="BX363" s="9" t="s">
        <v>3032</v>
      </c>
      <c r="BY363" s="9" t="s">
        <v>3032</v>
      </c>
      <c r="BZ363" s="9" t="s">
        <v>3032</v>
      </c>
      <c r="CA363" s="9" t="s">
        <v>3032</v>
      </c>
      <c r="CB363" s="9" t="s">
        <v>3032</v>
      </c>
      <c r="CC363" s="9" t="s">
        <v>3032</v>
      </c>
      <c r="CD363" s="9" t="s">
        <v>3032</v>
      </c>
      <c r="CE363" s="9" t="s">
        <v>3032</v>
      </c>
      <c r="CF363" s="9" t="s">
        <v>3032</v>
      </c>
      <c r="CG363" s="9" t="s">
        <v>3032</v>
      </c>
      <c r="CH363" s="9" t="s">
        <v>3032</v>
      </c>
      <c r="CI363" s="9" t="s">
        <v>3032</v>
      </c>
      <c r="CJ363" s="9" t="s">
        <v>3032</v>
      </c>
      <c r="CK363" s="9" t="s">
        <v>3032</v>
      </c>
      <c r="CL363" s="9" t="s">
        <v>3032</v>
      </c>
      <c r="CM363" s="9" t="s">
        <v>3032</v>
      </c>
      <c r="CN363" s="9" t="s">
        <v>3032</v>
      </c>
      <c r="CO363" s="9" t="s">
        <v>3032</v>
      </c>
      <c r="CP363" s="9" t="s">
        <v>3032</v>
      </c>
      <c r="CQ363" s="9" t="s">
        <v>3032</v>
      </c>
      <c r="CR363" s="9" t="s">
        <v>3032</v>
      </c>
      <c r="CS363" s="9" t="s">
        <v>3032</v>
      </c>
      <c r="CT363" s="9" t="s">
        <v>3032</v>
      </c>
      <c r="CU363" s="9" t="s">
        <v>3032</v>
      </c>
      <c r="CV363" s="9" t="s">
        <v>3032</v>
      </c>
      <c r="CW363" s="9" t="s">
        <v>3032</v>
      </c>
      <c r="CX363" s="9" t="s">
        <v>3032</v>
      </c>
      <c r="CY363" s="9" t="s">
        <v>3032</v>
      </c>
      <c r="CZ363" s="9" t="s">
        <v>3032</v>
      </c>
      <c r="DA363" s="9" t="s">
        <v>3032</v>
      </c>
      <c r="DB363" s="9" t="s">
        <v>3032</v>
      </c>
      <c r="DC363" s="9" t="s">
        <v>3032</v>
      </c>
      <c r="DD363" s="9" t="s">
        <v>3032</v>
      </c>
      <c r="DE363" s="9" t="s">
        <v>3032</v>
      </c>
      <c r="DF363" s="9" t="s">
        <v>3032</v>
      </c>
      <c r="DG363" s="9" t="s">
        <v>3032</v>
      </c>
      <c r="DH363" s="9" t="s">
        <v>3032</v>
      </c>
      <c r="DI363" s="9" t="s">
        <v>3032</v>
      </c>
      <c r="DJ363" s="9" t="s">
        <v>3032</v>
      </c>
      <c r="DK363" s="9" t="s">
        <v>3032</v>
      </c>
      <c r="DL363" s="9" t="s">
        <v>3032</v>
      </c>
      <c r="DM363" s="9" t="s">
        <v>3032</v>
      </c>
      <c r="DN363" s="9" t="s">
        <v>3032</v>
      </c>
      <c r="DO363" s="9" t="s">
        <v>3032</v>
      </c>
      <c r="DP363" s="9" t="s">
        <v>3032</v>
      </c>
      <c r="DQ363" s="9" t="s">
        <v>3032</v>
      </c>
    </row>
    <row r="364" spans="1:121" ht="15.75" customHeight="1">
      <c r="A364" s="87" t="s">
        <v>8639</v>
      </c>
      <c r="Z364" s="9" t="s">
        <v>3032</v>
      </c>
      <c r="AA364" s="9" t="s">
        <v>3032</v>
      </c>
      <c r="AB364" s="9" t="s">
        <v>3032</v>
      </c>
      <c r="AC364" s="9" t="s">
        <v>3032</v>
      </c>
      <c r="AD364" s="9" t="s">
        <v>3032</v>
      </c>
      <c r="AE364" s="9" t="s">
        <v>3032</v>
      </c>
      <c r="AF364" s="9" t="s">
        <v>3032</v>
      </c>
      <c r="AG364" s="9" t="s">
        <v>3032</v>
      </c>
      <c r="AH364" s="9" t="s">
        <v>3032</v>
      </c>
      <c r="AI364" s="9" t="s">
        <v>3032</v>
      </c>
      <c r="AJ364" s="9" t="s">
        <v>3032</v>
      </c>
      <c r="AK364" s="9" t="s">
        <v>3032</v>
      </c>
      <c r="AL364" s="9" t="s">
        <v>3032</v>
      </c>
      <c r="AM364" s="9" t="s">
        <v>3032</v>
      </c>
      <c r="AN364" s="9" t="s">
        <v>3032</v>
      </c>
      <c r="AO364" s="9" t="s">
        <v>3032</v>
      </c>
      <c r="AP364" s="9" t="s">
        <v>3032</v>
      </c>
      <c r="AQ364" s="9" t="s">
        <v>3032</v>
      </c>
      <c r="AR364" s="9" t="s">
        <v>3032</v>
      </c>
      <c r="AS364" s="9" t="s">
        <v>3032</v>
      </c>
      <c r="AT364" s="9" t="s">
        <v>3032</v>
      </c>
      <c r="AU364" s="9" t="s">
        <v>3032</v>
      </c>
      <c r="AV364" s="9" t="s">
        <v>3032</v>
      </c>
      <c r="AW364" s="9" t="s">
        <v>3032</v>
      </c>
      <c r="AX364" s="9" t="s">
        <v>3032</v>
      </c>
      <c r="AY364" s="9" t="s">
        <v>3032</v>
      </c>
      <c r="AZ364" s="9" t="s">
        <v>3032</v>
      </c>
      <c r="BA364" s="9" t="s">
        <v>3032</v>
      </c>
      <c r="BB364" s="9" t="s">
        <v>3032</v>
      </c>
      <c r="BC364" s="9" t="s">
        <v>3032</v>
      </c>
      <c r="BD364" s="9" t="s">
        <v>3032</v>
      </c>
      <c r="BE364" s="9" t="s">
        <v>3032</v>
      </c>
      <c r="BF364" s="9" t="s">
        <v>3032</v>
      </c>
      <c r="BG364" s="9" t="s">
        <v>3032</v>
      </c>
      <c r="BH364" s="9" t="s">
        <v>3032</v>
      </c>
      <c r="BI364" s="9" t="s">
        <v>3032</v>
      </c>
      <c r="BJ364" s="9" t="s">
        <v>3032</v>
      </c>
      <c r="BK364" s="9" t="s">
        <v>3032</v>
      </c>
      <c r="BL364" s="9" t="s">
        <v>3032</v>
      </c>
      <c r="BM364" s="9" t="s">
        <v>3032</v>
      </c>
      <c r="BN364" s="9" t="s">
        <v>3032</v>
      </c>
      <c r="BO364" s="9" t="s">
        <v>3032</v>
      </c>
      <c r="BP364" s="9" t="s">
        <v>3032</v>
      </c>
      <c r="BQ364" s="9" t="s">
        <v>3032</v>
      </c>
      <c r="BR364" s="9" t="s">
        <v>3032</v>
      </c>
      <c r="BS364" s="9" t="s">
        <v>3032</v>
      </c>
      <c r="BT364" s="9" t="s">
        <v>3032</v>
      </c>
      <c r="BU364" s="9" t="s">
        <v>3032</v>
      </c>
      <c r="BV364" s="9" t="s">
        <v>3032</v>
      </c>
      <c r="BW364" s="9" t="s">
        <v>3032</v>
      </c>
      <c r="BX364" s="9" t="s">
        <v>3032</v>
      </c>
      <c r="BY364" s="9" t="s">
        <v>3032</v>
      </c>
      <c r="BZ364" s="9" t="s">
        <v>3032</v>
      </c>
      <c r="CA364" s="9" t="s">
        <v>3032</v>
      </c>
      <c r="CB364" s="9" t="s">
        <v>3032</v>
      </c>
      <c r="CC364" s="9" t="s">
        <v>3032</v>
      </c>
      <c r="CD364" s="9" t="s">
        <v>3032</v>
      </c>
      <c r="CE364" s="9" t="s">
        <v>3032</v>
      </c>
      <c r="CF364" s="9" t="s">
        <v>3032</v>
      </c>
      <c r="CG364" s="9" t="s">
        <v>3032</v>
      </c>
      <c r="CH364" s="9" t="s">
        <v>3032</v>
      </c>
      <c r="CI364" s="9" t="s">
        <v>3032</v>
      </c>
      <c r="CJ364" s="9" t="s">
        <v>6472</v>
      </c>
      <c r="CK364" s="9" t="s">
        <v>6472</v>
      </c>
      <c r="CL364" s="9" t="s">
        <v>6472</v>
      </c>
      <c r="CM364" s="9" t="s">
        <v>6472</v>
      </c>
      <c r="CN364" s="9" t="s">
        <v>6472</v>
      </c>
      <c r="CO364" s="9" t="s">
        <v>6472</v>
      </c>
      <c r="CP364" s="9" t="s">
        <v>6472</v>
      </c>
      <c r="CQ364" s="9" t="s">
        <v>6472</v>
      </c>
      <c r="CR364" s="9" t="s">
        <v>6472</v>
      </c>
      <c r="CS364" s="9" t="s">
        <v>6472</v>
      </c>
      <c r="CT364" s="9" t="s">
        <v>6472</v>
      </c>
      <c r="CU364" s="9" t="s">
        <v>6472</v>
      </c>
      <c r="CV364" s="9" t="s">
        <v>6472</v>
      </c>
      <c r="CW364" s="9" t="s">
        <v>6472</v>
      </c>
      <c r="CX364" s="9" t="s">
        <v>6472</v>
      </c>
      <c r="CY364" s="9" t="s">
        <v>6472</v>
      </c>
      <c r="CZ364" s="9" t="s">
        <v>6472</v>
      </c>
      <c r="DA364" s="9" t="s">
        <v>6472</v>
      </c>
      <c r="DB364" s="9" t="s">
        <v>6472</v>
      </c>
      <c r="DC364" s="9" t="s">
        <v>6472</v>
      </c>
      <c r="DD364" s="9" t="s">
        <v>6472</v>
      </c>
      <c r="DE364" s="9" t="s">
        <v>6472</v>
      </c>
      <c r="DF364" s="9" t="s">
        <v>6472</v>
      </c>
      <c r="DG364" s="9" t="s">
        <v>6472</v>
      </c>
      <c r="DH364" s="9" t="s">
        <v>6472</v>
      </c>
      <c r="DI364" s="9" t="s">
        <v>6472</v>
      </c>
      <c r="DJ364" s="9" t="s">
        <v>6472</v>
      </c>
      <c r="DK364" s="9" t="s">
        <v>6472</v>
      </c>
      <c r="DL364" s="9" t="s">
        <v>6472</v>
      </c>
      <c r="DM364" s="9" t="s">
        <v>6472</v>
      </c>
      <c r="DN364" s="9" t="s">
        <v>6472</v>
      </c>
      <c r="DO364" s="9" t="s">
        <v>6472</v>
      </c>
      <c r="DP364" s="9" t="s">
        <v>6472</v>
      </c>
      <c r="DQ364" s="9" t="s">
        <v>6472</v>
      </c>
    </row>
    <row r="365" spans="1:121" ht="15.75" customHeight="1">
      <c r="A365" s="87" t="s">
        <v>8640</v>
      </c>
      <c r="Z365" s="9" t="s">
        <v>6472</v>
      </c>
      <c r="AA365" s="9" t="s">
        <v>6472</v>
      </c>
      <c r="AB365" s="9" t="s">
        <v>6472</v>
      </c>
      <c r="AC365" s="9" t="s">
        <v>6472</v>
      </c>
      <c r="AD365" s="9" t="s">
        <v>6472</v>
      </c>
      <c r="AE365" s="9" t="s">
        <v>6472</v>
      </c>
      <c r="AF365" s="9" t="s">
        <v>6472</v>
      </c>
      <c r="AG365" s="9" t="s">
        <v>6472</v>
      </c>
      <c r="AH365" s="9" t="s">
        <v>6472</v>
      </c>
      <c r="AI365" s="9" t="s">
        <v>6472</v>
      </c>
      <c r="AJ365" s="9" t="s">
        <v>6472</v>
      </c>
      <c r="AK365" s="9" t="s">
        <v>6472</v>
      </c>
      <c r="AL365" s="9" t="s">
        <v>6472</v>
      </c>
      <c r="AM365" s="9" t="s">
        <v>6472</v>
      </c>
      <c r="AN365" s="9" t="s">
        <v>6472</v>
      </c>
      <c r="AO365" s="9" t="s">
        <v>6472</v>
      </c>
      <c r="AP365" s="9" t="s">
        <v>6472</v>
      </c>
      <c r="AQ365" s="9" t="s">
        <v>6472</v>
      </c>
      <c r="AR365" s="9" t="s">
        <v>6472</v>
      </c>
      <c r="AS365" s="9" t="s">
        <v>6472</v>
      </c>
      <c r="AT365" s="9" t="s">
        <v>6472</v>
      </c>
      <c r="AU365" s="9" t="s">
        <v>6472</v>
      </c>
      <c r="AV365" s="9" t="s">
        <v>6472</v>
      </c>
      <c r="AW365" s="9" t="s">
        <v>6472</v>
      </c>
      <c r="AX365" s="9" t="s">
        <v>6472</v>
      </c>
      <c r="AY365" s="9" t="s">
        <v>6472</v>
      </c>
      <c r="AZ365" s="9" t="s">
        <v>6472</v>
      </c>
      <c r="BA365" s="9" t="s">
        <v>6472</v>
      </c>
      <c r="BB365" s="9" t="s">
        <v>6472</v>
      </c>
      <c r="BC365" s="9" t="s">
        <v>6472</v>
      </c>
      <c r="BD365" s="9" t="s">
        <v>6472</v>
      </c>
      <c r="BE365" s="9" t="s">
        <v>6472</v>
      </c>
      <c r="BF365" s="9" t="s">
        <v>6472</v>
      </c>
      <c r="BG365" s="9" t="s">
        <v>6472</v>
      </c>
      <c r="BH365" s="9" t="s">
        <v>6472</v>
      </c>
      <c r="BI365" s="9" t="s">
        <v>6472</v>
      </c>
      <c r="BJ365" s="9" t="s">
        <v>6472</v>
      </c>
      <c r="BK365" s="9" t="s">
        <v>6472</v>
      </c>
      <c r="BL365" s="9" t="s">
        <v>6472</v>
      </c>
      <c r="BM365" s="9" t="s">
        <v>6472</v>
      </c>
      <c r="BN365" s="9" t="s">
        <v>6472</v>
      </c>
      <c r="BO365" s="9" t="s">
        <v>6472</v>
      </c>
      <c r="BP365" s="9" t="s">
        <v>6472</v>
      </c>
      <c r="BQ365" s="9" t="s">
        <v>6472</v>
      </c>
      <c r="BR365" s="9" t="s">
        <v>6472</v>
      </c>
      <c r="BS365" s="9" t="s">
        <v>6472</v>
      </c>
      <c r="BT365" s="9" t="s">
        <v>6472</v>
      </c>
      <c r="BU365" s="9" t="s">
        <v>6472</v>
      </c>
      <c r="BV365" s="9" t="s">
        <v>6472</v>
      </c>
      <c r="BW365" s="9" t="s">
        <v>6472</v>
      </c>
      <c r="BX365" s="9" t="s">
        <v>6472</v>
      </c>
      <c r="BY365" s="9" t="s">
        <v>6472</v>
      </c>
      <c r="BZ365" s="9" t="s">
        <v>6472</v>
      </c>
      <c r="CA365" s="9" t="s">
        <v>6472</v>
      </c>
      <c r="CB365" s="9" t="s">
        <v>6472</v>
      </c>
      <c r="CC365" s="9" t="s">
        <v>6472</v>
      </c>
      <c r="CD365" s="9" t="s">
        <v>6472</v>
      </c>
      <c r="CE365" s="9" t="s">
        <v>6472</v>
      </c>
      <c r="CF365" s="9" t="s">
        <v>6472</v>
      </c>
      <c r="CG365" s="9" t="s">
        <v>6472</v>
      </c>
      <c r="CH365" s="9" t="s">
        <v>6472</v>
      </c>
      <c r="CI365" s="9" t="s">
        <v>6472</v>
      </c>
      <c r="CJ365" s="9" t="s">
        <v>6472</v>
      </c>
      <c r="CK365" s="9" t="s">
        <v>6472</v>
      </c>
      <c r="CL365" s="9" t="s">
        <v>6472</v>
      </c>
      <c r="CM365" s="9" t="s">
        <v>6472</v>
      </c>
      <c r="CN365" s="9" t="s">
        <v>6472</v>
      </c>
      <c r="CO365" s="9" t="s">
        <v>6472</v>
      </c>
      <c r="CP365" s="9" t="s">
        <v>6472</v>
      </c>
      <c r="CQ365" s="9" t="s">
        <v>6472</v>
      </c>
      <c r="CR365" s="9" t="s">
        <v>6472</v>
      </c>
      <c r="CS365" s="9" t="s">
        <v>6472</v>
      </c>
      <c r="CT365" s="9" t="s">
        <v>6472</v>
      </c>
      <c r="CU365" s="9" t="s">
        <v>6472</v>
      </c>
      <c r="CV365" s="9" t="s">
        <v>6472</v>
      </c>
      <c r="CW365" s="9" t="s">
        <v>6472</v>
      </c>
      <c r="CX365" s="9" t="s">
        <v>6472</v>
      </c>
      <c r="CY365" s="9" t="s">
        <v>6472</v>
      </c>
      <c r="CZ365" s="9" t="s">
        <v>6472</v>
      </c>
      <c r="DA365" s="9" t="s">
        <v>6472</v>
      </c>
      <c r="DB365" s="9" t="s">
        <v>6472</v>
      </c>
      <c r="DC365" s="9" t="s">
        <v>6472</v>
      </c>
      <c r="DD365" s="9" t="s">
        <v>6472</v>
      </c>
      <c r="DE365" s="9" t="s">
        <v>6472</v>
      </c>
      <c r="DF365" s="9" t="s">
        <v>6472</v>
      </c>
      <c r="DG365" s="9" t="s">
        <v>6472</v>
      </c>
      <c r="DH365" s="9" t="s">
        <v>6472</v>
      </c>
      <c r="DI365" s="9" t="s">
        <v>6472</v>
      </c>
      <c r="DJ365" s="9" t="s">
        <v>6472</v>
      </c>
      <c r="DK365" s="9" t="s">
        <v>6472</v>
      </c>
      <c r="DL365" s="9" t="s">
        <v>6472</v>
      </c>
      <c r="DM365" s="9" t="s">
        <v>6472</v>
      </c>
      <c r="DN365" s="9" t="s">
        <v>6472</v>
      </c>
      <c r="DO365" s="9" t="s">
        <v>6472</v>
      </c>
      <c r="DP365" s="9" t="s">
        <v>6472</v>
      </c>
      <c r="DQ365" s="9" t="s">
        <v>6472</v>
      </c>
    </row>
    <row r="366" spans="1:121" ht="15.75" customHeight="1">
      <c r="A366" s="87" t="s">
        <v>8641</v>
      </c>
      <c r="Z366" s="9" t="s">
        <v>6472</v>
      </c>
      <c r="AA366" s="9" t="s">
        <v>6472</v>
      </c>
      <c r="AB366" s="9" t="s">
        <v>6472</v>
      </c>
      <c r="AC366" s="9" t="s">
        <v>6472</v>
      </c>
      <c r="AD366" s="9" t="s">
        <v>6472</v>
      </c>
      <c r="AE366" s="9" t="s">
        <v>6472</v>
      </c>
      <c r="AF366" s="9" t="s">
        <v>6472</v>
      </c>
      <c r="AG366" s="9" t="s">
        <v>6472</v>
      </c>
      <c r="AH366" s="9" t="s">
        <v>6472</v>
      </c>
      <c r="AI366" s="9" t="s">
        <v>6472</v>
      </c>
      <c r="AJ366" s="9" t="s">
        <v>6472</v>
      </c>
      <c r="AK366" s="9" t="s">
        <v>6472</v>
      </c>
      <c r="AL366" s="9" t="s">
        <v>6472</v>
      </c>
      <c r="AM366" s="9" t="s">
        <v>6472</v>
      </c>
      <c r="AN366" s="9" t="s">
        <v>6472</v>
      </c>
      <c r="AO366" s="9" t="s">
        <v>6472</v>
      </c>
      <c r="AP366" s="9" t="s">
        <v>6472</v>
      </c>
      <c r="AQ366" s="9" t="s">
        <v>6472</v>
      </c>
      <c r="AR366" s="9" t="s">
        <v>6472</v>
      </c>
      <c r="AS366" s="9" t="s">
        <v>6472</v>
      </c>
      <c r="AT366" s="9" t="s">
        <v>6472</v>
      </c>
      <c r="AU366" s="9" t="s">
        <v>6472</v>
      </c>
      <c r="AV366" s="9" t="s">
        <v>6472</v>
      </c>
      <c r="AW366" s="9" t="s">
        <v>6472</v>
      </c>
      <c r="AX366" s="9" t="s">
        <v>6472</v>
      </c>
      <c r="AY366" s="9" t="s">
        <v>6472</v>
      </c>
      <c r="AZ366" s="9" t="s">
        <v>6472</v>
      </c>
      <c r="BA366" s="9" t="s">
        <v>6472</v>
      </c>
      <c r="BB366" s="9" t="s">
        <v>6472</v>
      </c>
      <c r="BC366" s="9" t="s">
        <v>6472</v>
      </c>
      <c r="BD366" s="9" t="s">
        <v>6472</v>
      </c>
      <c r="BE366" s="9" t="s">
        <v>6472</v>
      </c>
      <c r="BF366" s="9" t="s">
        <v>6472</v>
      </c>
      <c r="BG366" s="9" t="s">
        <v>6472</v>
      </c>
      <c r="BH366" s="9" t="s">
        <v>6472</v>
      </c>
      <c r="BI366" s="9" t="s">
        <v>6472</v>
      </c>
      <c r="BJ366" s="9" t="s">
        <v>6472</v>
      </c>
      <c r="BK366" s="9" t="s">
        <v>6472</v>
      </c>
      <c r="BL366" s="9" t="s">
        <v>6472</v>
      </c>
      <c r="BM366" s="9" t="s">
        <v>6472</v>
      </c>
      <c r="BN366" s="9" t="s">
        <v>6472</v>
      </c>
      <c r="BO366" s="9" t="s">
        <v>6472</v>
      </c>
      <c r="BP366" s="9" t="s">
        <v>6472</v>
      </c>
      <c r="BQ366" s="9" t="s">
        <v>6472</v>
      </c>
      <c r="BR366" s="9" t="s">
        <v>6472</v>
      </c>
      <c r="BS366" s="9" t="s">
        <v>6472</v>
      </c>
      <c r="BT366" s="9" t="s">
        <v>6472</v>
      </c>
      <c r="BU366" s="9" t="s">
        <v>6472</v>
      </c>
      <c r="BV366" s="9" t="s">
        <v>6472</v>
      </c>
      <c r="BW366" s="9" t="s">
        <v>6472</v>
      </c>
      <c r="BX366" s="9" t="s">
        <v>6472</v>
      </c>
      <c r="BY366" s="9" t="s">
        <v>6472</v>
      </c>
      <c r="BZ366" s="9" t="s">
        <v>6472</v>
      </c>
      <c r="CA366" s="9" t="s">
        <v>6472</v>
      </c>
      <c r="CB366" s="9" t="s">
        <v>6472</v>
      </c>
      <c r="CC366" s="9" t="s">
        <v>6472</v>
      </c>
      <c r="CD366" s="9" t="s">
        <v>6472</v>
      </c>
      <c r="CE366" s="9" t="s">
        <v>6472</v>
      </c>
      <c r="CF366" s="9" t="s">
        <v>6472</v>
      </c>
      <c r="CG366" s="9" t="s">
        <v>6472</v>
      </c>
      <c r="CH366" s="9" t="s">
        <v>6472</v>
      </c>
      <c r="CI366" s="9" t="s">
        <v>6472</v>
      </c>
      <c r="CJ366" s="9" t="s">
        <v>6472</v>
      </c>
      <c r="CK366" s="9" t="s">
        <v>6472</v>
      </c>
      <c r="CL366" s="9" t="s">
        <v>6472</v>
      </c>
      <c r="CM366" s="9" t="s">
        <v>6472</v>
      </c>
      <c r="CN366" s="9" t="s">
        <v>6472</v>
      </c>
      <c r="CO366" s="9" t="s">
        <v>6472</v>
      </c>
      <c r="CP366" s="9" t="s">
        <v>6472</v>
      </c>
      <c r="CQ366" s="9" t="s">
        <v>6472</v>
      </c>
      <c r="CR366" s="9" t="s">
        <v>6472</v>
      </c>
      <c r="CS366" s="9" t="s">
        <v>6472</v>
      </c>
      <c r="CT366" s="9" t="s">
        <v>6472</v>
      </c>
      <c r="CU366" s="9" t="s">
        <v>6472</v>
      </c>
      <c r="CV366" s="9" t="s">
        <v>6472</v>
      </c>
      <c r="CW366" s="9" t="s">
        <v>6472</v>
      </c>
      <c r="CX366" s="9" t="s">
        <v>6472</v>
      </c>
      <c r="CY366" s="9" t="s">
        <v>6472</v>
      </c>
      <c r="CZ366" s="9" t="s">
        <v>6472</v>
      </c>
      <c r="DA366" s="9" t="s">
        <v>6472</v>
      </c>
      <c r="DB366" s="9" t="s">
        <v>6472</v>
      </c>
      <c r="DC366" s="9" t="s">
        <v>6472</v>
      </c>
      <c r="DD366" s="9" t="s">
        <v>6467</v>
      </c>
      <c r="DE366" s="9" t="s">
        <v>6467</v>
      </c>
      <c r="DF366" s="9" t="s">
        <v>6467</v>
      </c>
      <c r="DG366" s="9" t="s">
        <v>6467</v>
      </c>
      <c r="DH366" s="9" t="s">
        <v>6467</v>
      </c>
      <c r="DI366" s="9" t="s">
        <v>6467</v>
      </c>
      <c r="DJ366" s="9" t="s">
        <v>6467</v>
      </c>
      <c r="DK366" s="9" t="s">
        <v>6467</v>
      </c>
      <c r="DL366" s="9" t="s">
        <v>6467</v>
      </c>
      <c r="DM366" s="9" t="s">
        <v>6467</v>
      </c>
      <c r="DN366" s="9" t="s">
        <v>6467</v>
      </c>
      <c r="DO366" s="9" t="s">
        <v>6467</v>
      </c>
      <c r="DP366" s="9" t="s">
        <v>6467</v>
      </c>
      <c r="DQ366" s="9" t="s">
        <v>6467</v>
      </c>
    </row>
    <row r="367" spans="1:121" ht="15.75" customHeight="1">
      <c r="A367" s="87" t="s">
        <v>8642</v>
      </c>
      <c r="Z367" s="9" t="s">
        <v>6467</v>
      </c>
      <c r="AA367" s="9" t="s">
        <v>6467</v>
      </c>
      <c r="AB367" s="9" t="s">
        <v>6467</v>
      </c>
      <c r="AC367" s="9" t="s">
        <v>6467</v>
      </c>
      <c r="AD367" s="9" t="s">
        <v>6467</v>
      </c>
      <c r="AE367" s="9" t="s">
        <v>6467</v>
      </c>
      <c r="AF367" s="9" t="s">
        <v>6467</v>
      </c>
      <c r="AG367" s="9" t="s">
        <v>6467</v>
      </c>
      <c r="AH367" s="9" t="s">
        <v>6467</v>
      </c>
      <c r="AI367" s="9" t="s">
        <v>6467</v>
      </c>
      <c r="AJ367" s="9" t="s">
        <v>6467</v>
      </c>
      <c r="AK367" s="9" t="s">
        <v>6467</v>
      </c>
      <c r="AL367" s="9" t="s">
        <v>6467</v>
      </c>
      <c r="AM367" s="9" t="s">
        <v>6467</v>
      </c>
      <c r="AN367" s="9" t="s">
        <v>6467</v>
      </c>
      <c r="AO367" s="9" t="s">
        <v>6467</v>
      </c>
      <c r="AP367" s="9" t="s">
        <v>6467</v>
      </c>
      <c r="AQ367" s="9" t="s">
        <v>6467</v>
      </c>
      <c r="AR367" s="9" t="s">
        <v>6467</v>
      </c>
      <c r="AS367" s="9" t="s">
        <v>6467</v>
      </c>
      <c r="AT367" s="9" t="s">
        <v>6467</v>
      </c>
      <c r="AU367" s="9" t="s">
        <v>6467</v>
      </c>
      <c r="AV367" s="9" t="s">
        <v>6467</v>
      </c>
      <c r="AW367" s="9" t="s">
        <v>6467</v>
      </c>
      <c r="AX367" s="9" t="s">
        <v>6467</v>
      </c>
      <c r="AY367" s="9" t="s">
        <v>6467</v>
      </c>
      <c r="AZ367" s="9" t="s">
        <v>6467</v>
      </c>
      <c r="BA367" s="9" t="s">
        <v>6467</v>
      </c>
      <c r="BB367" s="9" t="s">
        <v>6467</v>
      </c>
      <c r="BC367" s="9" t="s">
        <v>6467</v>
      </c>
      <c r="BD367" s="9" t="s">
        <v>6467</v>
      </c>
      <c r="BE367" s="9" t="s">
        <v>6467</v>
      </c>
      <c r="BF367" s="9" t="s">
        <v>6467</v>
      </c>
      <c r="BG367" s="9" t="s">
        <v>6467</v>
      </c>
      <c r="BH367" s="9" t="s">
        <v>6467</v>
      </c>
      <c r="BI367" s="9" t="s">
        <v>6467</v>
      </c>
      <c r="BJ367" s="9" t="s">
        <v>6467</v>
      </c>
      <c r="BK367" s="9" t="s">
        <v>6467</v>
      </c>
      <c r="BL367" s="9" t="s">
        <v>6467</v>
      </c>
      <c r="BM367" s="9" t="s">
        <v>6467</v>
      </c>
      <c r="BN367" s="9" t="s">
        <v>6467</v>
      </c>
      <c r="BO367" s="9" t="s">
        <v>6467</v>
      </c>
      <c r="BP367" s="9" t="s">
        <v>6467</v>
      </c>
      <c r="BQ367" s="9" t="s">
        <v>6467</v>
      </c>
      <c r="BR367" s="9" t="s">
        <v>6467</v>
      </c>
      <c r="BS367" s="9" t="s">
        <v>6467</v>
      </c>
      <c r="BT367" s="9" t="s">
        <v>6467</v>
      </c>
      <c r="BU367" s="9" t="s">
        <v>6467</v>
      </c>
      <c r="BV367" s="9" t="s">
        <v>6467</v>
      </c>
      <c r="BW367" s="9" t="s">
        <v>6467</v>
      </c>
      <c r="BX367" s="9" t="s">
        <v>6467</v>
      </c>
      <c r="BY367" s="9" t="s">
        <v>6467</v>
      </c>
      <c r="BZ367" s="9" t="s">
        <v>6467</v>
      </c>
      <c r="CA367" s="9" t="s">
        <v>6467</v>
      </c>
      <c r="CB367" s="9" t="s">
        <v>6467</v>
      </c>
      <c r="CC367" s="9" t="s">
        <v>6467</v>
      </c>
      <c r="CD367" s="9" t="s">
        <v>6467</v>
      </c>
      <c r="CE367" s="9" t="s">
        <v>6467</v>
      </c>
      <c r="CF367" s="9" t="s">
        <v>6467</v>
      </c>
      <c r="CG367" s="9" t="s">
        <v>6467</v>
      </c>
      <c r="CH367" s="9" t="s">
        <v>6467</v>
      </c>
      <c r="CI367" s="9" t="s">
        <v>6467</v>
      </c>
      <c r="CJ367" s="9" t="s">
        <v>6467</v>
      </c>
      <c r="CK367" s="9" t="s">
        <v>6467</v>
      </c>
      <c r="CL367" s="9" t="s">
        <v>6467</v>
      </c>
      <c r="CM367" s="9" t="s">
        <v>6467</v>
      </c>
      <c r="CN367" s="9" t="s">
        <v>6467</v>
      </c>
      <c r="CO367" s="9" t="s">
        <v>6467</v>
      </c>
      <c r="CP367" s="9" t="s">
        <v>6467</v>
      </c>
      <c r="CQ367" s="9" t="s">
        <v>6467</v>
      </c>
      <c r="CR367" s="9" t="s">
        <v>6467</v>
      </c>
      <c r="CS367" s="9" t="s">
        <v>6467</v>
      </c>
      <c r="CT367" s="9" t="s">
        <v>6467</v>
      </c>
      <c r="CU367" s="9" t="s">
        <v>6467</v>
      </c>
      <c r="CV367" s="9" t="s">
        <v>6467</v>
      </c>
      <c r="CW367" s="9" t="s">
        <v>6467</v>
      </c>
      <c r="CX367" s="9" t="s">
        <v>6467</v>
      </c>
      <c r="CY367" s="9" t="s">
        <v>6467</v>
      </c>
      <c r="CZ367" s="9" t="s">
        <v>6467</v>
      </c>
      <c r="DA367" s="9" t="s">
        <v>6467</v>
      </c>
      <c r="DB367" s="9" t="s">
        <v>6467</v>
      </c>
      <c r="DC367" s="9" t="s">
        <v>6467</v>
      </c>
      <c r="DD367" s="9" t="s">
        <v>6467</v>
      </c>
      <c r="DE367" s="9" t="s">
        <v>6467</v>
      </c>
      <c r="DF367" s="9" t="s">
        <v>6467</v>
      </c>
      <c r="DG367" s="9" t="s">
        <v>6467</v>
      </c>
      <c r="DH367" s="9" t="s">
        <v>6467</v>
      </c>
      <c r="DI367" s="9" t="s">
        <v>6467</v>
      </c>
      <c r="DJ367" s="9" t="s">
        <v>6467</v>
      </c>
      <c r="DK367" s="9" t="s">
        <v>6467</v>
      </c>
      <c r="DL367" s="9" t="s">
        <v>6467</v>
      </c>
      <c r="DM367" s="9" t="s">
        <v>6467</v>
      </c>
      <c r="DN367" s="9" t="s">
        <v>6467</v>
      </c>
      <c r="DO367" s="9" t="s">
        <v>6467</v>
      </c>
      <c r="DP367" s="9" t="s">
        <v>6467</v>
      </c>
      <c r="DQ367" s="9" t="s">
        <v>6467</v>
      </c>
    </row>
    <row r="368" spans="1:121" ht="15.75" customHeight="1">
      <c r="A368" s="87" t="s">
        <v>8643</v>
      </c>
      <c r="Z368" s="9" t="s">
        <v>6467</v>
      </c>
      <c r="AA368" s="9" t="s">
        <v>6467</v>
      </c>
      <c r="AB368" s="9" t="s">
        <v>6467</v>
      </c>
      <c r="AC368" s="9" t="s">
        <v>6467</v>
      </c>
      <c r="AD368" s="9" t="s">
        <v>6467</v>
      </c>
      <c r="AE368" s="9" t="s">
        <v>6467</v>
      </c>
      <c r="AF368" s="9" t="s">
        <v>6467</v>
      </c>
      <c r="AG368" s="9" t="s">
        <v>6467</v>
      </c>
      <c r="AH368" s="9" t="s">
        <v>6467</v>
      </c>
      <c r="AI368" s="9" t="s">
        <v>6467</v>
      </c>
      <c r="AJ368" s="9" t="s">
        <v>6467</v>
      </c>
      <c r="AK368" s="9" t="s">
        <v>6467</v>
      </c>
      <c r="AL368" s="9" t="s">
        <v>6467</v>
      </c>
      <c r="AM368" s="9" t="s">
        <v>6467</v>
      </c>
      <c r="AN368" s="9" t="s">
        <v>6467</v>
      </c>
      <c r="AO368" s="9" t="s">
        <v>6467</v>
      </c>
      <c r="AP368" s="9" t="s">
        <v>6467</v>
      </c>
      <c r="AQ368" s="9" t="s">
        <v>6467</v>
      </c>
      <c r="AR368" s="9" t="s">
        <v>6467</v>
      </c>
      <c r="AS368" s="9" t="s">
        <v>6467</v>
      </c>
      <c r="AT368" s="9" t="s">
        <v>6467</v>
      </c>
      <c r="AU368" s="9" t="s">
        <v>6467</v>
      </c>
      <c r="AV368" s="9" t="s">
        <v>6467</v>
      </c>
      <c r="AW368" s="9" t="s">
        <v>6467</v>
      </c>
      <c r="AX368" s="9" t="s">
        <v>6467</v>
      </c>
      <c r="AY368" s="9" t="s">
        <v>6467</v>
      </c>
      <c r="AZ368" s="9" t="s">
        <v>6467</v>
      </c>
      <c r="BA368" s="9" t="s">
        <v>6467</v>
      </c>
      <c r="BB368" s="9" t="s">
        <v>6467</v>
      </c>
      <c r="BC368" s="9" t="s">
        <v>6467</v>
      </c>
      <c r="BD368" s="9" t="s">
        <v>6467</v>
      </c>
      <c r="BE368" s="9" t="s">
        <v>6467</v>
      </c>
      <c r="BF368" s="9" t="s">
        <v>6467</v>
      </c>
      <c r="BG368" s="9" t="s">
        <v>6467</v>
      </c>
      <c r="BH368" s="9" t="s">
        <v>6467</v>
      </c>
      <c r="BI368" s="9" t="s">
        <v>6467</v>
      </c>
      <c r="BJ368" s="9" t="s">
        <v>6467</v>
      </c>
      <c r="BK368" s="9" t="s">
        <v>6467</v>
      </c>
      <c r="BL368" s="9" t="s">
        <v>6467</v>
      </c>
      <c r="BM368" s="9" t="s">
        <v>6467</v>
      </c>
      <c r="BN368" s="9" t="s">
        <v>6467</v>
      </c>
      <c r="BO368" s="9" t="s">
        <v>6467</v>
      </c>
      <c r="BP368" s="9" t="s">
        <v>6467</v>
      </c>
      <c r="BQ368" s="9" t="s">
        <v>6467</v>
      </c>
      <c r="BR368" s="9" t="s">
        <v>6467</v>
      </c>
      <c r="BS368" s="9" t="s">
        <v>6467</v>
      </c>
      <c r="BT368" s="9" t="s">
        <v>6467</v>
      </c>
      <c r="BU368" s="9" t="s">
        <v>6467</v>
      </c>
      <c r="BV368" s="9" t="s">
        <v>6467</v>
      </c>
      <c r="BW368" s="9" t="s">
        <v>6467</v>
      </c>
      <c r="BX368" s="9" t="s">
        <v>6467</v>
      </c>
      <c r="BY368" s="9" t="s">
        <v>6467</v>
      </c>
      <c r="BZ368" s="9" t="s">
        <v>6467</v>
      </c>
      <c r="CA368" s="9" t="s">
        <v>6467</v>
      </c>
      <c r="CB368" s="9" t="s">
        <v>6467</v>
      </c>
      <c r="CC368" s="9" t="s">
        <v>6467</v>
      </c>
      <c r="CD368" s="9" t="s">
        <v>6467</v>
      </c>
      <c r="CE368" s="9" t="s">
        <v>6467</v>
      </c>
      <c r="CF368" s="9" t="s">
        <v>6467</v>
      </c>
      <c r="CG368" s="9" t="s">
        <v>6467</v>
      </c>
      <c r="CH368" s="9" t="s">
        <v>6467</v>
      </c>
      <c r="CI368" s="9" t="s">
        <v>6467</v>
      </c>
      <c r="CJ368" s="9" t="s">
        <v>6467</v>
      </c>
      <c r="CK368" s="9" t="s">
        <v>6467</v>
      </c>
      <c r="CL368" s="9" t="s">
        <v>6467</v>
      </c>
      <c r="CM368" s="9" t="s">
        <v>6467</v>
      </c>
      <c r="CN368" s="9" t="s">
        <v>6467</v>
      </c>
      <c r="CO368" s="9" t="s">
        <v>6467</v>
      </c>
      <c r="CP368" s="9" t="s">
        <v>6467</v>
      </c>
      <c r="CQ368" s="9" t="s">
        <v>6467</v>
      </c>
      <c r="CR368" s="9" t="s">
        <v>6467</v>
      </c>
      <c r="CS368" s="9" t="s">
        <v>6467</v>
      </c>
      <c r="CT368" s="9" t="s">
        <v>6467</v>
      </c>
      <c r="CU368" s="9" t="s">
        <v>6467</v>
      </c>
      <c r="CV368" s="9" t="s">
        <v>6467</v>
      </c>
      <c r="CW368" s="9" t="s">
        <v>6467</v>
      </c>
      <c r="CX368" s="9" t="s">
        <v>6467</v>
      </c>
      <c r="CY368" s="9" t="s">
        <v>6467</v>
      </c>
      <c r="CZ368" s="9" t="s">
        <v>6467</v>
      </c>
      <c r="DA368" s="9" t="s">
        <v>6467</v>
      </c>
      <c r="DB368" s="9" t="s">
        <v>6467</v>
      </c>
      <c r="DC368" s="9" t="s">
        <v>6467</v>
      </c>
      <c r="DD368" s="9" t="s">
        <v>6467</v>
      </c>
      <c r="DE368" s="9" t="s">
        <v>6467</v>
      </c>
      <c r="DF368" s="9" t="s">
        <v>6467</v>
      </c>
      <c r="DG368" s="9" t="s">
        <v>6467</v>
      </c>
      <c r="DH368" s="9" t="s">
        <v>6467</v>
      </c>
      <c r="DI368" s="9" t="s">
        <v>6467</v>
      </c>
      <c r="DJ368" s="9" t="s">
        <v>6467</v>
      </c>
      <c r="DK368" s="9" t="s">
        <v>6467</v>
      </c>
      <c r="DL368" s="9" t="s">
        <v>6467</v>
      </c>
      <c r="DM368" s="9" t="s">
        <v>6467</v>
      </c>
      <c r="DN368" s="9" t="s">
        <v>6467</v>
      </c>
      <c r="DO368" s="9" t="s">
        <v>6467</v>
      </c>
      <c r="DP368" s="9" t="s">
        <v>6467</v>
      </c>
      <c r="DQ368" s="9" t="s">
        <v>6467</v>
      </c>
    </row>
    <row r="369" spans="1:121" ht="15.75" customHeight="1">
      <c r="A369" s="87" t="s">
        <v>8644</v>
      </c>
      <c r="Z369" s="9" t="s">
        <v>6467</v>
      </c>
      <c r="AA369" s="9" t="s">
        <v>6467</v>
      </c>
      <c r="AB369" s="9" t="s">
        <v>6467</v>
      </c>
      <c r="AC369" s="9" t="s">
        <v>6467</v>
      </c>
      <c r="AD369" s="9" t="s">
        <v>6467</v>
      </c>
      <c r="AE369" s="9" t="s">
        <v>6467</v>
      </c>
      <c r="AF369" s="9" t="s">
        <v>6465</v>
      </c>
      <c r="AG369" s="9" t="s">
        <v>6465</v>
      </c>
      <c r="AH369" s="9" t="s">
        <v>6465</v>
      </c>
      <c r="AI369" s="9" t="s">
        <v>6465</v>
      </c>
      <c r="AJ369" s="9" t="s">
        <v>6465</v>
      </c>
      <c r="AK369" s="9" t="s">
        <v>6465</v>
      </c>
      <c r="AL369" s="9" t="s">
        <v>6465</v>
      </c>
      <c r="AM369" s="9" t="s">
        <v>6465</v>
      </c>
      <c r="AN369" s="9" t="s">
        <v>6465</v>
      </c>
      <c r="AO369" s="9" t="s">
        <v>6465</v>
      </c>
      <c r="AP369" s="9" t="s">
        <v>6465</v>
      </c>
      <c r="AQ369" s="9" t="s">
        <v>6465</v>
      </c>
      <c r="AR369" s="9" t="s">
        <v>6465</v>
      </c>
      <c r="AS369" s="9" t="s">
        <v>6465</v>
      </c>
      <c r="AT369" s="9" t="s">
        <v>6465</v>
      </c>
      <c r="AU369" s="9" t="s">
        <v>6465</v>
      </c>
      <c r="AV369" s="9" t="s">
        <v>6465</v>
      </c>
      <c r="AW369" s="9" t="s">
        <v>6465</v>
      </c>
      <c r="AX369" s="9" t="s">
        <v>6465</v>
      </c>
      <c r="AY369" s="9" t="s">
        <v>6465</v>
      </c>
      <c r="AZ369" s="9" t="s">
        <v>6465</v>
      </c>
      <c r="BA369" s="9" t="s">
        <v>6465</v>
      </c>
      <c r="BB369" s="9" t="s">
        <v>6465</v>
      </c>
      <c r="BC369" s="9" t="s">
        <v>6465</v>
      </c>
      <c r="BD369" s="9" t="s">
        <v>6465</v>
      </c>
      <c r="BE369" s="9" t="s">
        <v>6465</v>
      </c>
      <c r="BF369" s="9" t="s">
        <v>6465</v>
      </c>
      <c r="BG369" s="9" t="s">
        <v>6465</v>
      </c>
      <c r="BH369" s="9" t="s">
        <v>6465</v>
      </c>
      <c r="BI369" s="9" t="s">
        <v>6465</v>
      </c>
      <c r="BJ369" s="9" t="s">
        <v>6465</v>
      </c>
      <c r="BK369" s="9" t="s">
        <v>6465</v>
      </c>
      <c r="BL369" s="9" t="s">
        <v>6465</v>
      </c>
      <c r="BM369" s="9" t="s">
        <v>6465</v>
      </c>
      <c r="BN369" s="9" t="s">
        <v>6465</v>
      </c>
      <c r="BO369" s="9" t="s">
        <v>6465</v>
      </c>
      <c r="BP369" s="9" t="s">
        <v>6465</v>
      </c>
      <c r="BQ369" s="9" t="s">
        <v>6465</v>
      </c>
      <c r="BR369" s="9" t="s">
        <v>6465</v>
      </c>
      <c r="BS369" s="9" t="s">
        <v>6465</v>
      </c>
      <c r="BT369" s="9" t="s">
        <v>6465</v>
      </c>
      <c r="BU369" s="9" t="s">
        <v>6465</v>
      </c>
      <c r="BV369" s="9" t="s">
        <v>6465</v>
      </c>
      <c r="BW369" s="9" t="s">
        <v>6465</v>
      </c>
      <c r="BX369" s="9" t="s">
        <v>6465</v>
      </c>
      <c r="BY369" s="9" t="s">
        <v>6465</v>
      </c>
      <c r="BZ369" s="9" t="s">
        <v>6465</v>
      </c>
      <c r="CA369" s="9" t="s">
        <v>6465</v>
      </c>
      <c r="CB369" s="9" t="s">
        <v>6460</v>
      </c>
      <c r="CC369" s="9" t="s">
        <v>6460</v>
      </c>
      <c r="CD369" s="9" t="s">
        <v>6460</v>
      </c>
      <c r="CE369" s="9" t="s">
        <v>6460</v>
      </c>
      <c r="CF369" s="9" t="s">
        <v>6460</v>
      </c>
      <c r="CG369" s="9" t="s">
        <v>6460</v>
      </c>
      <c r="CH369" s="9" t="s">
        <v>6460</v>
      </c>
      <c r="CI369" s="9" t="s">
        <v>6460</v>
      </c>
      <c r="CJ369" s="9" t="s">
        <v>6460</v>
      </c>
      <c r="CK369" s="9" t="s">
        <v>6460</v>
      </c>
      <c r="CL369" s="9" t="s">
        <v>6460</v>
      </c>
      <c r="CM369" s="9" t="s">
        <v>6460</v>
      </c>
      <c r="CN369" s="9" t="s">
        <v>6460</v>
      </c>
      <c r="CO369" s="9" t="s">
        <v>6460</v>
      </c>
      <c r="CP369" s="9" t="s">
        <v>6460</v>
      </c>
      <c r="CQ369" s="9" t="s">
        <v>6460</v>
      </c>
      <c r="CR369" s="9" t="s">
        <v>6460</v>
      </c>
      <c r="CS369" s="9" t="s">
        <v>6460</v>
      </c>
      <c r="CT369" s="9" t="s">
        <v>6460</v>
      </c>
      <c r="CU369" s="9" t="s">
        <v>6460</v>
      </c>
      <c r="CV369" s="9" t="s">
        <v>6460</v>
      </c>
      <c r="CW369" s="9" t="s">
        <v>6460</v>
      </c>
      <c r="CX369" s="9" t="s">
        <v>6460</v>
      </c>
      <c r="CY369" s="9" t="s">
        <v>6460</v>
      </c>
      <c r="CZ369" s="9" t="s">
        <v>6460</v>
      </c>
      <c r="DA369" s="9" t="s">
        <v>6460</v>
      </c>
      <c r="DB369" s="9" t="s">
        <v>6460</v>
      </c>
      <c r="DC369" s="9" t="s">
        <v>6460</v>
      </c>
      <c r="DD369" s="9" t="s">
        <v>6460</v>
      </c>
      <c r="DE369" s="9" t="s">
        <v>6460</v>
      </c>
      <c r="DF369" s="9" t="s">
        <v>6460</v>
      </c>
      <c r="DG369" s="9" t="s">
        <v>6460</v>
      </c>
      <c r="DH369" s="9" t="s">
        <v>6460</v>
      </c>
      <c r="DI369" s="9" t="s">
        <v>6460</v>
      </c>
      <c r="DJ369" s="9" t="s">
        <v>6460</v>
      </c>
      <c r="DK369" s="9" t="s">
        <v>6460</v>
      </c>
      <c r="DL369" s="9" t="s">
        <v>6460</v>
      </c>
      <c r="DM369" s="9" t="s">
        <v>6460</v>
      </c>
      <c r="DN369" s="9" t="s">
        <v>6460</v>
      </c>
      <c r="DO369" s="9" t="s">
        <v>6460</v>
      </c>
      <c r="DP369" s="9" t="s">
        <v>6460</v>
      </c>
      <c r="DQ369" s="9" t="s">
        <v>6460</v>
      </c>
    </row>
    <row r="370" spans="1:121" ht="15.75" customHeight="1">
      <c r="A370" s="87" t="s">
        <v>8645</v>
      </c>
      <c r="Z370" s="9" t="s">
        <v>6460</v>
      </c>
      <c r="AA370" s="9" t="s">
        <v>6460</v>
      </c>
      <c r="AB370" s="9" t="s">
        <v>6460</v>
      </c>
      <c r="AC370" s="9" t="s">
        <v>6460</v>
      </c>
      <c r="AD370" s="9" t="s">
        <v>6460</v>
      </c>
      <c r="AE370" s="9" t="s">
        <v>6460</v>
      </c>
      <c r="AF370" s="9" t="s">
        <v>6457</v>
      </c>
      <c r="AG370" s="9" t="s">
        <v>6457</v>
      </c>
      <c r="AH370" s="9" t="s">
        <v>6457</v>
      </c>
      <c r="AI370" s="9" t="s">
        <v>6457</v>
      </c>
      <c r="AJ370" s="9" t="s">
        <v>6457</v>
      </c>
      <c r="AK370" s="9" t="s">
        <v>6457</v>
      </c>
      <c r="AL370" s="9" t="s">
        <v>6457</v>
      </c>
      <c r="AM370" s="9" t="s">
        <v>6457</v>
      </c>
      <c r="AN370" s="9" t="s">
        <v>6457</v>
      </c>
      <c r="AO370" s="9" t="s">
        <v>6457</v>
      </c>
      <c r="AP370" s="9" t="s">
        <v>6457</v>
      </c>
      <c r="AQ370" s="9" t="s">
        <v>6457</v>
      </c>
      <c r="AR370" s="9" t="s">
        <v>6457</v>
      </c>
      <c r="AS370" s="9" t="s">
        <v>6457</v>
      </c>
      <c r="AT370" s="9" t="s">
        <v>6457</v>
      </c>
      <c r="AU370" s="9" t="s">
        <v>6457</v>
      </c>
      <c r="AV370" s="9" t="s">
        <v>6457</v>
      </c>
      <c r="AW370" s="9" t="s">
        <v>6457</v>
      </c>
      <c r="AX370" s="9" t="s">
        <v>6457</v>
      </c>
      <c r="AY370" s="9" t="s">
        <v>6457</v>
      </c>
      <c r="AZ370" s="9" t="s">
        <v>6457</v>
      </c>
      <c r="BA370" s="9" t="s">
        <v>6457</v>
      </c>
      <c r="BB370" s="9" t="s">
        <v>6457</v>
      </c>
      <c r="BC370" s="9" t="s">
        <v>6457</v>
      </c>
      <c r="BD370" s="9" t="s">
        <v>6457</v>
      </c>
      <c r="BE370" s="9" t="s">
        <v>6457</v>
      </c>
      <c r="BF370" s="9" t="s">
        <v>6457</v>
      </c>
      <c r="BG370" s="9" t="s">
        <v>6457</v>
      </c>
      <c r="BH370" s="9" t="s">
        <v>6457</v>
      </c>
      <c r="BI370" s="9" t="s">
        <v>6457</v>
      </c>
      <c r="BJ370" s="9" t="s">
        <v>6457</v>
      </c>
      <c r="BK370" s="9" t="s">
        <v>6457</v>
      </c>
      <c r="BL370" s="9" t="s">
        <v>6457</v>
      </c>
      <c r="BM370" s="9" t="s">
        <v>6457</v>
      </c>
      <c r="BN370" s="9" t="s">
        <v>6457</v>
      </c>
      <c r="BO370" s="9" t="s">
        <v>6457</v>
      </c>
      <c r="BP370" s="9" t="s">
        <v>6457</v>
      </c>
      <c r="BQ370" s="9" t="s">
        <v>6457</v>
      </c>
      <c r="BR370" s="9" t="s">
        <v>6457</v>
      </c>
      <c r="BS370" s="9" t="s">
        <v>6457</v>
      </c>
      <c r="BT370" s="9" t="s">
        <v>6457</v>
      </c>
      <c r="BU370" s="9" t="s">
        <v>6457</v>
      </c>
      <c r="BV370" s="9" t="s">
        <v>6457</v>
      </c>
      <c r="BW370" s="9" t="s">
        <v>6457</v>
      </c>
      <c r="BX370" s="9" t="s">
        <v>6457</v>
      </c>
      <c r="BY370" s="9" t="s">
        <v>6457</v>
      </c>
      <c r="BZ370" s="9" t="s">
        <v>6457</v>
      </c>
      <c r="CA370" s="9" t="s">
        <v>6457</v>
      </c>
      <c r="CB370" s="9" t="s">
        <v>6450</v>
      </c>
      <c r="CC370" s="9" t="s">
        <v>6450</v>
      </c>
      <c r="CD370" s="9" t="s">
        <v>6450</v>
      </c>
      <c r="CE370" s="9" t="s">
        <v>6450</v>
      </c>
      <c r="CF370" s="9" t="s">
        <v>6450</v>
      </c>
      <c r="CG370" s="9" t="s">
        <v>6450</v>
      </c>
      <c r="CH370" s="9" t="s">
        <v>6450</v>
      </c>
      <c r="CI370" s="9" t="s">
        <v>6450</v>
      </c>
      <c r="CJ370" s="9" t="s">
        <v>6450</v>
      </c>
      <c r="CK370" s="9" t="s">
        <v>6450</v>
      </c>
      <c r="CL370" s="9" t="s">
        <v>6450</v>
      </c>
      <c r="CM370" s="9" t="s">
        <v>6450</v>
      </c>
      <c r="CN370" s="9" t="s">
        <v>6450</v>
      </c>
      <c r="CO370" s="9" t="s">
        <v>6450</v>
      </c>
      <c r="CP370" s="9" t="s">
        <v>6450</v>
      </c>
      <c r="CQ370" s="9" t="s">
        <v>6450</v>
      </c>
      <c r="CR370" s="9" t="s">
        <v>6450</v>
      </c>
      <c r="CS370" s="9" t="s">
        <v>6450</v>
      </c>
      <c r="CT370" s="9" t="s">
        <v>6450</v>
      </c>
      <c r="CU370" s="9" t="s">
        <v>6450</v>
      </c>
      <c r="CV370" s="9" t="s">
        <v>6450</v>
      </c>
      <c r="CW370" s="9" t="s">
        <v>6450</v>
      </c>
      <c r="CX370" s="9" t="s">
        <v>6450</v>
      </c>
      <c r="CY370" s="9" t="s">
        <v>6450</v>
      </c>
      <c r="CZ370" s="9" t="s">
        <v>6450</v>
      </c>
      <c r="DA370" s="9" t="s">
        <v>6450</v>
      </c>
      <c r="DB370" s="9" t="s">
        <v>6450</v>
      </c>
      <c r="DC370" s="9" t="s">
        <v>6450</v>
      </c>
      <c r="DD370" s="9" t="s">
        <v>6450</v>
      </c>
      <c r="DE370" s="9" t="s">
        <v>6450</v>
      </c>
      <c r="DF370" s="9" t="s">
        <v>6450</v>
      </c>
      <c r="DG370" s="9" t="s">
        <v>6450</v>
      </c>
      <c r="DH370" s="9" t="s">
        <v>6450</v>
      </c>
      <c r="DI370" s="9" t="s">
        <v>6450</v>
      </c>
      <c r="DJ370" s="9" t="s">
        <v>6450</v>
      </c>
      <c r="DK370" s="9" t="s">
        <v>6450</v>
      </c>
      <c r="DL370" s="9" t="s">
        <v>6450</v>
      </c>
      <c r="DM370" s="9" t="s">
        <v>6450</v>
      </c>
      <c r="DN370" s="9" t="s">
        <v>6450</v>
      </c>
      <c r="DO370" s="9" t="s">
        <v>6450</v>
      </c>
      <c r="DP370" s="9" t="s">
        <v>6450</v>
      </c>
      <c r="DQ370" s="9" t="s">
        <v>6450</v>
      </c>
    </row>
    <row r="371" spans="1:121" ht="15.75" customHeight="1">
      <c r="A371" s="87" t="s">
        <v>8646</v>
      </c>
      <c r="Z371" s="9" t="s">
        <v>6450</v>
      </c>
      <c r="AA371" s="9" t="s">
        <v>6450</v>
      </c>
      <c r="AB371" s="9" t="s">
        <v>6450</v>
      </c>
      <c r="AC371" s="9" t="s">
        <v>6450</v>
      </c>
      <c r="AD371" s="9" t="s">
        <v>6450</v>
      </c>
      <c r="AE371" s="9" t="s">
        <v>6450</v>
      </c>
      <c r="AF371" s="9" t="s">
        <v>6450</v>
      </c>
      <c r="AG371" s="9" t="s">
        <v>6450</v>
      </c>
      <c r="AH371" s="9" t="s">
        <v>6450</v>
      </c>
      <c r="AI371" s="9" t="s">
        <v>6450</v>
      </c>
      <c r="AJ371" s="9" t="s">
        <v>6450</v>
      </c>
      <c r="AK371" s="9" t="s">
        <v>6450</v>
      </c>
      <c r="AL371" s="9" t="s">
        <v>6450</v>
      </c>
      <c r="AM371" s="9" t="s">
        <v>6450</v>
      </c>
      <c r="AN371" s="9" t="s">
        <v>6450</v>
      </c>
      <c r="AO371" s="9" t="s">
        <v>6450</v>
      </c>
      <c r="AP371" s="9" t="s">
        <v>6450</v>
      </c>
      <c r="AQ371" s="9" t="s">
        <v>6450</v>
      </c>
      <c r="AR371" s="9" t="s">
        <v>6450</v>
      </c>
      <c r="AS371" s="9" t="s">
        <v>6450</v>
      </c>
      <c r="AT371" s="9" t="s">
        <v>6450</v>
      </c>
      <c r="AU371" s="9" t="s">
        <v>6450</v>
      </c>
      <c r="AV371" s="9" t="s">
        <v>6450</v>
      </c>
      <c r="AW371" s="9" t="s">
        <v>6450</v>
      </c>
      <c r="AX371" s="9" t="s">
        <v>6450</v>
      </c>
      <c r="AY371" s="9" t="s">
        <v>6450</v>
      </c>
      <c r="AZ371" s="9" t="s">
        <v>6450</v>
      </c>
      <c r="BA371" s="9" t="s">
        <v>6450</v>
      </c>
      <c r="BB371" s="9" t="s">
        <v>6450</v>
      </c>
      <c r="BC371" s="9" t="s">
        <v>6450</v>
      </c>
      <c r="BD371" s="9" t="s">
        <v>6450</v>
      </c>
      <c r="BE371" s="9" t="s">
        <v>6450</v>
      </c>
      <c r="BF371" s="9" t="s">
        <v>6450</v>
      </c>
      <c r="BG371" s="9" t="s">
        <v>6450</v>
      </c>
      <c r="BH371" s="9" t="s">
        <v>6450</v>
      </c>
      <c r="BI371" s="9" t="s">
        <v>6450</v>
      </c>
      <c r="BJ371" s="9" t="s">
        <v>6450</v>
      </c>
      <c r="BK371" s="9" t="s">
        <v>6450</v>
      </c>
      <c r="BL371" s="9" t="s">
        <v>6450</v>
      </c>
      <c r="BM371" s="9" t="s">
        <v>6450</v>
      </c>
      <c r="BN371" s="9" t="s">
        <v>6450</v>
      </c>
      <c r="BO371" s="9" t="s">
        <v>6450</v>
      </c>
      <c r="BP371" s="9" t="s">
        <v>6450</v>
      </c>
      <c r="BQ371" s="9" t="s">
        <v>6450</v>
      </c>
      <c r="BR371" s="9" t="s">
        <v>6450</v>
      </c>
      <c r="BS371" s="9" t="s">
        <v>6450</v>
      </c>
      <c r="BT371" s="9" t="s">
        <v>6450</v>
      </c>
      <c r="BU371" s="9" t="s">
        <v>6450</v>
      </c>
      <c r="BV371" s="9" t="s">
        <v>6450</v>
      </c>
      <c r="BW371" s="9" t="s">
        <v>6450</v>
      </c>
      <c r="BX371" s="9" t="s">
        <v>6450</v>
      </c>
      <c r="BY371" s="9" t="s">
        <v>6450</v>
      </c>
      <c r="BZ371" s="9" t="s">
        <v>6450</v>
      </c>
      <c r="CA371" s="9" t="s">
        <v>6450</v>
      </c>
      <c r="CB371" s="9" t="s">
        <v>6450</v>
      </c>
      <c r="CC371" s="9" t="s">
        <v>6450</v>
      </c>
      <c r="CD371" s="9" t="s">
        <v>6450</v>
      </c>
      <c r="CE371" s="9" t="s">
        <v>6450</v>
      </c>
      <c r="CF371" s="9" t="s">
        <v>6450</v>
      </c>
      <c r="CG371" s="9" t="s">
        <v>6450</v>
      </c>
      <c r="CH371" s="9" t="s">
        <v>6450</v>
      </c>
      <c r="CI371" s="9" t="s">
        <v>6450</v>
      </c>
      <c r="CJ371" s="9" t="s">
        <v>6450</v>
      </c>
      <c r="CK371" s="9" t="s">
        <v>6450</v>
      </c>
      <c r="CL371" s="9" t="s">
        <v>6450</v>
      </c>
      <c r="CM371" s="9" t="s">
        <v>6450</v>
      </c>
      <c r="CN371" s="9" t="s">
        <v>6450</v>
      </c>
      <c r="CO371" s="9" t="s">
        <v>6450</v>
      </c>
      <c r="CP371" s="9" t="s">
        <v>6450</v>
      </c>
      <c r="CQ371" s="9" t="s">
        <v>6450</v>
      </c>
      <c r="CR371" s="9" t="s">
        <v>6450</v>
      </c>
      <c r="CS371" s="9" t="s">
        <v>6450</v>
      </c>
      <c r="CT371" s="9" t="s">
        <v>6450</v>
      </c>
      <c r="CU371" s="9" t="s">
        <v>6450</v>
      </c>
      <c r="CV371" s="9" t="s">
        <v>6450</v>
      </c>
      <c r="CW371" s="9" t="s">
        <v>6450</v>
      </c>
      <c r="CX371" s="9" t="s">
        <v>6450</v>
      </c>
      <c r="CY371" s="9" t="s">
        <v>6450</v>
      </c>
      <c r="CZ371" s="9" t="s">
        <v>6450</v>
      </c>
      <c r="DA371" s="9" t="s">
        <v>6450</v>
      </c>
      <c r="DB371" s="9" t="s">
        <v>6450</v>
      </c>
      <c r="DC371" s="9" t="s">
        <v>6450</v>
      </c>
      <c r="DD371" s="9" t="s">
        <v>6450</v>
      </c>
      <c r="DE371" s="9" t="s">
        <v>6450</v>
      </c>
      <c r="DF371" s="9" t="s">
        <v>6450</v>
      </c>
      <c r="DG371" s="9" t="s">
        <v>6450</v>
      </c>
      <c r="DH371" s="9" t="s">
        <v>6450</v>
      </c>
      <c r="DI371" s="9" t="s">
        <v>6450</v>
      </c>
      <c r="DJ371" s="9" t="s">
        <v>6450</v>
      </c>
      <c r="DK371" s="9" t="s">
        <v>6450</v>
      </c>
      <c r="DL371" s="9" t="s">
        <v>6450</v>
      </c>
      <c r="DM371" s="9" t="s">
        <v>6450</v>
      </c>
      <c r="DN371" s="9" t="s">
        <v>6450</v>
      </c>
      <c r="DO371" s="9" t="s">
        <v>6450</v>
      </c>
      <c r="DP371" s="9" t="s">
        <v>6450</v>
      </c>
      <c r="DQ371" s="9" t="s">
        <v>6450</v>
      </c>
    </row>
    <row r="372" spans="1:121" ht="15.75" customHeight="1">
      <c r="A372" s="87" t="s">
        <v>8647</v>
      </c>
      <c r="Z372" s="9" t="s">
        <v>6450</v>
      </c>
      <c r="AA372" s="9" t="s">
        <v>6450</v>
      </c>
      <c r="AB372" s="9" t="s">
        <v>6450</v>
      </c>
      <c r="AC372" s="9" t="s">
        <v>6450</v>
      </c>
      <c r="AD372" s="9" t="s">
        <v>6450</v>
      </c>
      <c r="AE372" s="9" t="s">
        <v>6450</v>
      </c>
      <c r="AF372" s="9" t="s">
        <v>6450</v>
      </c>
      <c r="AG372" s="9" t="s">
        <v>6450</v>
      </c>
      <c r="AH372" s="9" t="s">
        <v>6450</v>
      </c>
      <c r="AI372" s="9" t="s">
        <v>6450</v>
      </c>
      <c r="AJ372" s="9" t="s">
        <v>6450</v>
      </c>
      <c r="AK372" s="9" t="s">
        <v>6450</v>
      </c>
      <c r="AL372" s="9" t="s">
        <v>6450</v>
      </c>
      <c r="AM372" s="9" t="s">
        <v>6450</v>
      </c>
      <c r="AN372" s="9" t="s">
        <v>6450</v>
      </c>
      <c r="AO372" s="9" t="s">
        <v>6450</v>
      </c>
      <c r="AP372" s="9" t="s">
        <v>6450</v>
      </c>
      <c r="AQ372" s="9" t="s">
        <v>6450</v>
      </c>
      <c r="AR372" s="9" t="s">
        <v>6450</v>
      </c>
      <c r="AS372" s="9" t="s">
        <v>6450</v>
      </c>
      <c r="AT372" s="9" t="s">
        <v>6450</v>
      </c>
      <c r="AU372" s="9" t="s">
        <v>6450</v>
      </c>
      <c r="AV372" s="9" t="s">
        <v>6450</v>
      </c>
      <c r="AW372" s="9" t="s">
        <v>6450</v>
      </c>
      <c r="AX372" s="9" t="s">
        <v>6450</v>
      </c>
      <c r="AY372" s="9" t="s">
        <v>6450</v>
      </c>
      <c r="AZ372" s="9" t="s">
        <v>6450</v>
      </c>
      <c r="BA372" s="9" t="s">
        <v>6447</v>
      </c>
      <c r="BB372" s="9" t="s">
        <v>6447</v>
      </c>
      <c r="BC372" s="9" t="s">
        <v>6447</v>
      </c>
      <c r="BD372" s="9" t="s">
        <v>6447</v>
      </c>
      <c r="BE372" s="9" t="s">
        <v>6447</v>
      </c>
      <c r="BF372" s="9" t="s">
        <v>6447</v>
      </c>
      <c r="BG372" s="9" t="s">
        <v>6447</v>
      </c>
      <c r="BH372" s="9" t="s">
        <v>6447</v>
      </c>
      <c r="BI372" s="9" t="s">
        <v>6447</v>
      </c>
      <c r="BJ372" s="9" t="s">
        <v>6447</v>
      </c>
      <c r="BK372" s="9" t="s">
        <v>6447</v>
      </c>
      <c r="BL372" s="9" t="s">
        <v>6447</v>
      </c>
      <c r="BM372" s="9" t="s">
        <v>6447</v>
      </c>
      <c r="BN372" s="9" t="s">
        <v>6447</v>
      </c>
      <c r="BO372" s="9" t="s">
        <v>6447</v>
      </c>
      <c r="BP372" s="9" t="s">
        <v>6447</v>
      </c>
      <c r="BQ372" s="9" t="s">
        <v>6447</v>
      </c>
      <c r="BR372" s="9" t="s">
        <v>6447</v>
      </c>
      <c r="BS372" s="9" t="s">
        <v>6447</v>
      </c>
      <c r="BT372" s="9" t="s">
        <v>6447</v>
      </c>
      <c r="BU372" s="9" t="s">
        <v>6447</v>
      </c>
      <c r="BV372" s="9" t="s">
        <v>6447</v>
      </c>
      <c r="BW372" s="9" t="s">
        <v>6447</v>
      </c>
      <c r="BX372" s="9" t="s">
        <v>6447</v>
      </c>
      <c r="BY372" s="9" t="s">
        <v>6447</v>
      </c>
      <c r="BZ372" s="9" t="s">
        <v>6447</v>
      </c>
      <c r="CA372" s="9" t="s">
        <v>6447</v>
      </c>
      <c r="CB372" s="9" t="s">
        <v>6447</v>
      </c>
      <c r="CC372" s="9" t="s">
        <v>6447</v>
      </c>
      <c r="CD372" s="9" t="s">
        <v>6447</v>
      </c>
      <c r="CE372" s="9" t="s">
        <v>6447</v>
      </c>
      <c r="CF372" s="9" t="s">
        <v>6447</v>
      </c>
      <c r="CG372" s="9" t="s">
        <v>6447</v>
      </c>
      <c r="CH372" s="9" t="s">
        <v>6447</v>
      </c>
      <c r="CI372" s="9" t="s">
        <v>6447</v>
      </c>
      <c r="CJ372" s="9" t="s">
        <v>6447</v>
      </c>
      <c r="CK372" s="9" t="s">
        <v>6447</v>
      </c>
      <c r="CL372" s="9" t="s">
        <v>6447</v>
      </c>
      <c r="CM372" s="9" t="s">
        <v>6447</v>
      </c>
      <c r="CN372" s="9" t="s">
        <v>6447</v>
      </c>
      <c r="CO372" s="9" t="s">
        <v>6447</v>
      </c>
      <c r="CP372" s="9" t="s">
        <v>6447</v>
      </c>
      <c r="CQ372" s="9" t="s">
        <v>6447</v>
      </c>
      <c r="CR372" s="9" t="s">
        <v>6447</v>
      </c>
      <c r="CS372" s="9" t="s">
        <v>6447</v>
      </c>
      <c r="CT372" s="9" t="s">
        <v>6447</v>
      </c>
      <c r="CU372" s="9" t="s">
        <v>6447</v>
      </c>
      <c r="CV372" s="9" t="s">
        <v>6447</v>
      </c>
      <c r="CW372" s="9" t="s">
        <v>6447</v>
      </c>
      <c r="CX372" s="9" t="s">
        <v>6447</v>
      </c>
      <c r="CY372" s="9" t="s">
        <v>6447</v>
      </c>
      <c r="CZ372" s="9" t="s">
        <v>6447</v>
      </c>
      <c r="DA372" s="9" t="s">
        <v>6447</v>
      </c>
      <c r="DB372" s="9" t="s">
        <v>6447</v>
      </c>
      <c r="DC372" s="9" t="s">
        <v>6447</v>
      </c>
      <c r="DD372" s="9" t="s">
        <v>6447</v>
      </c>
      <c r="DE372" s="9" t="s">
        <v>6447</v>
      </c>
      <c r="DF372" s="9" t="s">
        <v>6447</v>
      </c>
      <c r="DG372" s="9" t="s">
        <v>6447</v>
      </c>
      <c r="DH372" s="9" t="s">
        <v>6447</v>
      </c>
      <c r="DI372" s="9" t="s">
        <v>6447</v>
      </c>
      <c r="DJ372" s="9" t="s">
        <v>6447</v>
      </c>
      <c r="DK372" s="9" t="s">
        <v>6447</v>
      </c>
      <c r="DL372" s="9" t="s">
        <v>6447</v>
      </c>
      <c r="DM372" s="9" t="s">
        <v>6447</v>
      </c>
      <c r="DN372" s="9" t="s">
        <v>6447</v>
      </c>
      <c r="DO372" s="9" t="s">
        <v>6447</v>
      </c>
      <c r="DP372" s="9" t="s">
        <v>6447</v>
      </c>
      <c r="DQ372" s="9" t="s">
        <v>6447</v>
      </c>
    </row>
    <row r="373" spans="1:121" ht="15.75" customHeight="1">
      <c r="A373" s="87" t="s">
        <v>8648</v>
      </c>
      <c r="Z373" s="9" t="s">
        <v>6447</v>
      </c>
      <c r="AA373" s="9" t="s">
        <v>6447</v>
      </c>
      <c r="AB373" s="9" t="s">
        <v>6447</v>
      </c>
      <c r="AC373" s="9" t="s">
        <v>6447</v>
      </c>
      <c r="AD373" s="9" t="s">
        <v>6447</v>
      </c>
      <c r="AE373" s="9" t="s">
        <v>6447</v>
      </c>
      <c r="AF373" s="9" t="s">
        <v>6447</v>
      </c>
      <c r="AG373" s="9" t="s">
        <v>6447</v>
      </c>
      <c r="AH373" s="9" t="s">
        <v>6447</v>
      </c>
      <c r="AI373" s="9" t="s">
        <v>6447</v>
      </c>
      <c r="AJ373" s="9" t="s">
        <v>6447</v>
      </c>
      <c r="AK373" s="9" t="s">
        <v>6447</v>
      </c>
      <c r="AL373" s="9" t="s">
        <v>6447</v>
      </c>
      <c r="AM373" s="9" t="s">
        <v>6447</v>
      </c>
      <c r="AN373" s="9" t="s">
        <v>6447</v>
      </c>
      <c r="AO373" s="9" t="s">
        <v>6447</v>
      </c>
      <c r="AP373" s="9" t="s">
        <v>6447</v>
      </c>
      <c r="AQ373" s="9" t="s">
        <v>6447</v>
      </c>
      <c r="AR373" s="9" t="s">
        <v>6447</v>
      </c>
      <c r="AS373" s="9" t="s">
        <v>6447</v>
      </c>
      <c r="AT373" s="9" t="s">
        <v>6447</v>
      </c>
      <c r="AU373" s="9" t="s">
        <v>6447</v>
      </c>
      <c r="AV373" s="9" t="s">
        <v>6447</v>
      </c>
      <c r="AW373" s="9" t="s">
        <v>6447</v>
      </c>
      <c r="AX373" s="9" t="s">
        <v>6447</v>
      </c>
      <c r="AY373" s="9" t="s">
        <v>6447</v>
      </c>
      <c r="AZ373" s="9" t="s">
        <v>6447</v>
      </c>
      <c r="BA373" s="9" t="s">
        <v>6447</v>
      </c>
      <c r="BB373" s="9" t="s">
        <v>6447</v>
      </c>
      <c r="BC373" s="9" t="s">
        <v>6447</v>
      </c>
      <c r="BD373" s="9" t="s">
        <v>6447</v>
      </c>
      <c r="BE373" s="9" t="s">
        <v>6447</v>
      </c>
      <c r="BF373" s="9" t="s">
        <v>6447</v>
      </c>
      <c r="BG373" s="9" t="s">
        <v>6447</v>
      </c>
      <c r="BH373" s="9" t="s">
        <v>6447</v>
      </c>
      <c r="BI373" s="9" t="s">
        <v>6447</v>
      </c>
      <c r="BJ373" s="9" t="s">
        <v>6447</v>
      </c>
      <c r="BK373" s="9" t="s">
        <v>6447</v>
      </c>
      <c r="BL373" s="9" t="s">
        <v>6447</v>
      </c>
      <c r="BM373" s="9" t="s">
        <v>6447</v>
      </c>
      <c r="BN373" s="9" t="s">
        <v>6447</v>
      </c>
      <c r="BO373" s="9" t="s">
        <v>6447</v>
      </c>
      <c r="BP373" s="9" t="s">
        <v>6447</v>
      </c>
      <c r="BQ373" s="9" t="s">
        <v>6447</v>
      </c>
      <c r="BR373" s="9" t="s">
        <v>6447</v>
      </c>
      <c r="BS373" s="9" t="s">
        <v>6447</v>
      </c>
      <c r="BT373" s="9" t="s">
        <v>6447</v>
      </c>
      <c r="BU373" s="9" t="s">
        <v>6447</v>
      </c>
      <c r="BV373" s="9" t="s">
        <v>6447</v>
      </c>
      <c r="BW373" s="9" t="s">
        <v>6447</v>
      </c>
      <c r="BX373" s="9" t="s">
        <v>6447</v>
      </c>
      <c r="BY373" s="9" t="s">
        <v>6447</v>
      </c>
      <c r="BZ373" s="9" t="s">
        <v>6447</v>
      </c>
      <c r="CA373" s="9" t="s">
        <v>6447</v>
      </c>
      <c r="CB373" s="9" t="s">
        <v>6447</v>
      </c>
      <c r="CC373" s="9" t="s">
        <v>6447</v>
      </c>
      <c r="CD373" s="9" t="s">
        <v>6447</v>
      </c>
      <c r="CE373" s="9" t="s">
        <v>6447</v>
      </c>
      <c r="CF373" s="9" t="s">
        <v>6447</v>
      </c>
      <c r="CG373" s="9" t="s">
        <v>6447</v>
      </c>
      <c r="CH373" s="9" t="s">
        <v>6447</v>
      </c>
      <c r="CI373" s="9" t="s">
        <v>6447</v>
      </c>
      <c r="CJ373" s="9" t="s">
        <v>6447</v>
      </c>
      <c r="CK373" s="9" t="s">
        <v>6447</v>
      </c>
      <c r="CL373" s="9" t="s">
        <v>6447</v>
      </c>
      <c r="CM373" s="9" t="s">
        <v>6447</v>
      </c>
      <c r="CN373" s="9" t="s">
        <v>6447</v>
      </c>
      <c r="CO373" s="9" t="s">
        <v>6447</v>
      </c>
      <c r="CP373" s="9" t="s">
        <v>6447</v>
      </c>
      <c r="CQ373" s="9" t="s">
        <v>6447</v>
      </c>
      <c r="CR373" s="9" t="s">
        <v>6447</v>
      </c>
      <c r="CS373" s="9" t="s">
        <v>6447</v>
      </c>
      <c r="CT373" s="9" t="s">
        <v>6447</v>
      </c>
      <c r="CU373" s="9" t="s">
        <v>6447</v>
      </c>
      <c r="CV373" s="9" t="s">
        <v>6447</v>
      </c>
      <c r="CW373" s="9" t="s">
        <v>6447</v>
      </c>
      <c r="CX373" s="9" t="s">
        <v>6447</v>
      </c>
      <c r="CY373" s="9" t="s">
        <v>6447</v>
      </c>
      <c r="CZ373" s="9" t="s">
        <v>6447</v>
      </c>
      <c r="DA373" s="9" t="s">
        <v>6447</v>
      </c>
      <c r="DB373" s="9" t="s">
        <v>6447</v>
      </c>
      <c r="DC373" s="9" t="s">
        <v>6447</v>
      </c>
      <c r="DD373" s="9" t="s">
        <v>6447</v>
      </c>
      <c r="DE373" s="9" t="s">
        <v>6447</v>
      </c>
      <c r="DF373" s="9" t="s">
        <v>6447</v>
      </c>
      <c r="DG373" s="9" t="s">
        <v>6447</v>
      </c>
      <c r="DH373" s="9" t="s">
        <v>6447</v>
      </c>
      <c r="DI373" s="9" t="s">
        <v>6447</v>
      </c>
      <c r="DJ373" s="9" t="s">
        <v>6447</v>
      </c>
      <c r="DK373" s="9" t="s">
        <v>6447</v>
      </c>
      <c r="DL373" s="9" t="s">
        <v>6447</v>
      </c>
      <c r="DM373" s="9" t="s">
        <v>6447</v>
      </c>
      <c r="DN373" s="9" t="s">
        <v>6447</v>
      </c>
      <c r="DO373" s="9" t="s">
        <v>6447</v>
      </c>
      <c r="DP373" s="9" t="s">
        <v>6447</v>
      </c>
      <c r="DQ373" s="9" t="s">
        <v>6447</v>
      </c>
    </row>
    <row r="374" spans="1:121" ht="15.75" customHeight="1">
      <c r="A374" s="87" t="s">
        <v>8649</v>
      </c>
    </row>
    <row r="375" spans="1:121" ht="15.75" customHeight="1">
      <c r="A375" s="87" t="s">
        <v>8650</v>
      </c>
    </row>
    <row r="376" spans="1:121" ht="15.75" customHeight="1">
      <c r="A376" s="87" t="s">
        <v>8651</v>
      </c>
    </row>
    <row r="377" spans="1:121" ht="15.75" customHeight="1">
      <c r="A377" s="87" t="s">
        <v>8652</v>
      </c>
    </row>
    <row r="378" spans="1:121" ht="15.75" customHeight="1">
      <c r="A378" s="87" t="s">
        <v>8653</v>
      </c>
      <c r="AB378" s="9" t="s">
        <v>2917</v>
      </c>
      <c r="AC378" s="9" t="s">
        <v>2917</v>
      </c>
      <c r="AD378" s="9" t="s">
        <v>2917</v>
      </c>
      <c r="AE378" s="9" t="s">
        <v>2917</v>
      </c>
      <c r="AF378" s="9" t="s">
        <v>2917</v>
      </c>
      <c r="AG378" s="9" t="s">
        <v>2917</v>
      </c>
      <c r="AH378" s="9" t="s">
        <v>2917</v>
      </c>
      <c r="AI378" s="9" t="s">
        <v>2917</v>
      </c>
      <c r="AJ378" s="9" t="s">
        <v>2917</v>
      </c>
      <c r="AK378" s="9" t="s">
        <v>2917</v>
      </c>
      <c r="AL378" s="9" t="s">
        <v>2917</v>
      </c>
      <c r="AM378" s="9" t="s">
        <v>2917</v>
      </c>
      <c r="AN378" s="9" t="s">
        <v>2917</v>
      </c>
      <c r="AO378" s="9" t="s">
        <v>2917</v>
      </c>
      <c r="AP378" s="9" t="s">
        <v>2917</v>
      </c>
      <c r="AQ378" s="9" t="s">
        <v>2917</v>
      </c>
      <c r="AR378" s="9" t="s">
        <v>2917</v>
      </c>
      <c r="AS378" s="9" t="s">
        <v>2917</v>
      </c>
      <c r="AT378" s="9" t="s">
        <v>2917</v>
      </c>
      <c r="AU378" s="9" t="s">
        <v>2917</v>
      </c>
      <c r="AV378" s="9" t="s">
        <v>2917</v>
      </c>
      <c r="AW378" s="9" t="s">
        <v>2917</v>
      </c>
      <c r="AX378" s="9" t="s">
        <v>2917</v>
      </c>
      <c r="AY378" s="9" t="s">
        <v>2917</v>
      </c>
      <c r="AZ378" s="9" t="s">
        <v>2917</v>
      </c>
      <c r="BA378" s="9" t="s">
        <v>2917</v>
      </c>
      <c r="BB378" s="9" t="s">
        <v>2917</v>
      </c>
      <c r="BC378" s="9" t="s">
        <v>2917</v>
      </c>
      <c r="BD378" s="9" t="s">
        <v>2917</v>
      </c>
      <c r="BE378" s="9" t="s">
        <v>2917</v>
      </c>
      <c r="BF378" s="9" t="s">
        <v>2917</v>
      </c>
      <c r="BG378" s="9" t="s">
        <v>2917</v>
      </c>
      <c r="BH378" s="9" t="s">
        <v>2917</v>
      </c>
      <c r="BI378" s="9" t="s">
        <v>2917</v>
      </c>
      <c r="BJ378" s="9" t="s">
        <v>2917</v>
      </c>
      <c r="BK378" s="9" t="s">
        <v>2917</v>
      </c>
      <c r="BL378" s="9" t="s">
        <v>2917</v>
      </c>
      <c r="BM378" s="9" t="s">
        <v>2917</v>
      </c>
      <c r="BN378" s="9" t="s">
        <v>2917</v>
      </c>
      <c r="BO378" s="9" t="s">
        <v>2917</v>
      </c>
      <c r="BP378" s="9" t="s">
        <v>2985</v>
      </c>
      <c r="BQ378" s="9" t="s">
        <v>2985</v>
      </c>
      <c r="BR378" s="9" t="s">
        <v>2985</v>
      </c>
      <c r="BS378" s="9" t="s">
        <v>2985</v>
      </c>
      <c r="BT378" s="9" t="s">
        <v>2985</v>
      </c>
      <c r="BU378" s="9" t="s">
        <v>2985</v>
      </c>
      <c r="BV378" s="9" t="s">
        <v>2985</v>
      </c>
      <c r="BW378" s="9" t="s">
        <v>2985</v>
      </c>
      <c r="BX378" s="9" t="s">
        <v>2985</v>
      </c>
      <c r="BY378" s="9" t="s">
        <v>2985</v>
      </c>
      <c r="BZ378" s="9" t="s">
        <v>2985</v>
      </c>
      <c r="CA378" s="9" t="s">
        <v>2985</v>
      </c>
      <c r="CB378" s="9" t="s">
        <v>2985</v>
      </c>
      <c r="CC378" s="9" t="s">
        <v>2985</v>
      </c>
      <c r="CD378" s="9" t="s">
        <v>2985</v>
      </c>
      <c r="CE378" s="9" t="s">
        <v>2985</v>
      </c>
      <c r="CF378" s="9" t="s">
        <v>2985</v>
      </c>
      <c r="CG378" s="9" t="s">
        <v>2985</v>
      </c>
      <c r="CH378" s="9" t="s">
        <v>2985</v>
      </c>
      <c r="CI378" s="9" t="s">
        <v>2985</v>
      </c>
      <c r="CJ378" s="9" t="s">
        <v>2985</v>
      </c>
      <c r="CK378" s="9" t="s">
        <v>2985</v>
      </c>
      <c r="CL378" s="9" t="s">
        <v>2985</v>
      </c>
      <c r="CM378" s="9" t="s">
        <v>2985</v>
      </c>
      <c r="CN378" s="9" t="s">
        <v>2985</v>
      </c>
      <c r="CO378" s="9" t="s">
        <v>2985</v>
      </c>
      <c r="CP378" s="9" t="s">
        <v>2985</v>
      </c>
      <c r="CQ378" s="9" t="s">
        <v>2985</v>
      </c>
      <c r="CR378" s="9" t="s">
        <v>2985</v>
      </c>
      <c r="CS378" s="9" t="s">
        <v>2985</v>
      </c>
      <c r="CT378" s="9" t="s">
        <v>2985</v>
      </c>
      <c r="CU378" s="9" t="s">
        <v>2985</v>
      </c>
      <c r="CV378" s="9" t="s">
        <v>2985</v>
      </c>
      <c r="CW378" s="9" t="s">
        <v>2985</v>
      </c>
      <c r="CX378" s="9" t="s">
        <v>3003</v>
      </c>
      <c r="CY378" s="9" t="s">
        <v>3003</v>
      </c>
      <c r="CZ378" s="9" t="s">
        <v>3003</v>
      </c>
      <c r="DA378" s="9" t="s">
        <v>3003</v>
      </c>
      <c r="DB378" s="9" t="s">
        <v>3003</v>
      </c>
      <c r="DC378" s="9" t="s">
        <v>3003</v>
      </c>
      <c r="DD378" s="9" t="s">
        <v>3003</v>
      </c>
      <c r="DE378" s="9" t="s">
        <v>3003</v>
      </c>
      <c r="DF378" s="9" t="s">
        <v>3003</v>
      </c>
      <c r="DG378" s="9" t="s">
        <v>3003</v>
      </c>
      <c r="DH378" s="9" t="s">
        <v>3003</v>
      </c>
      <c r="DI378" s="9" t="s">
        <v>3003</v>
      </c>
      <c r="DJ378" s="9" t="s">
        <v>3003</v>
      </c>
      <c r="DK378" s="9" t="s">
        <v>3003</v>
      </c>
      <c r="DL378" s="9" t="s">
        <v>3003</v>
      </c>
      <c r="DM378" s="9" t="s">
        <v>3003</v>
      </c>
      <c r="DN378" s="9" t="s">
        <v>3003</v>
      </c>
      <c r="DO378" s="9" t="s">
        <v>3003</v>
      </c>
      <c r="DP378" s="9" t="s">
        <v>3003</v>
      </c>
      <c r="DQ378" s="9" t="s">
        <v>3003</v>
      </c>
    </row>
    <row r="379" spans="1:121" ht="15.75" customHeight="1">
      <c r="A379" s="87" t="s">
        <v>8654</v>
      </c>
      <c r="Z379" s="9" t="s">
        <v>3003</v>
      </c>
      <c r="AA379" s="9" t="s">
        <v>3003</v>
      </c>
      <c r="AB379" s="9" t="s">
        <v>2947</v>
      </c>
      <c r="AC379" s="9" t="s">
        <v>2947</v>
      </c>
      <c r="AD379" s="9" t="s">
        <v>2947</v>
      </c>
      <c r="AE379" s="9" t="s">
        <v>2947</v>
      </c>
      <c r="AF379" s="9" t="s">
        <v>2947</v>
      </c>
      <c r="AG379" s="9" t="s">
        <v>2947</v>
      </c>
      <c r="AH379" s="9" t="s">
        <v>2947</v>
      </c>
      <c r="AI379" s="9" t="s">
        <v>2947</v>
      </c>
      <c r="AJ379" s="9" t="s">
        <v>2947</v>
      </c>
      <c r="AK379" s="9" t="s">
        <v>2947</v>
      </c>
      <c r="AL379" s="9" t="s">
        <v>2947</v>
      </c>
      <c r="AM379" s="9" t="s">
        <v>2947</v>
      </c>
      <c r="AN379" s="9" t="s">
        <v>2947</v>
      </c>
      <c r="AO379" s="9" t="s">
        <v>2947</v>
      </c>
      <c r="AP379" s="9" t="s">
        <v>2947</v>
      </c>
      <c r="AQ379" s="9" t="s">
        <v>2947</v>
      </c>
      <c r="AR379" s="9" t="s">
        <v>2947</v>
      </c>
      <c r="AS379" s="9" t="s">
        <v>2947</v>
      </c>
      <c r="AT379" s="9" t="s">
        <v>2947</v>
      </c>
      <c r="AU379" s="9" t="s">
        <v>2947</v>
      </c>
      <c r="AV379" s="9" t="s">
        <v>2947</v>
      </c>
      <c r="AW379" s="9" t="s">
        <v>2947</v>
      </c>
      <c r="AX379" s="9" t="s">
        <v>2947</v>
      </c>
      <c r="AY379" s="9" t="s">
        <v>2947</v>
      </c>
      <c r="AZ379" s="9" t="s">
        <v>2947</v>
      </c>
      <c r="BA379" s="9" t="s">
        <v>2947</v>
      </c>
      <c r="BB379" s="9" t="s">
        <v>2947</v>
      </c>
      <c r="BC379" s="9" t="s">
        <v>2947</v>
      </c>
      <c r="BD379" s="9" t="s">
        <v>2947</v>
      </c>
      <c r="BE379" s="9" t="s">
        <v>2947</v>
      </c>
      <c r="BF379" s="9" t="s">
        <v>2947</v>
      </c>
      <c r="BG379" s="9" t="s">
        <v>2947</v>
      </c>
      <c r="BH379" s="9" t="s">
        <v>2947</v>
      </c>
      <c r="BI379" s="9" t="s">
        <v>2947</v>
      </c>
      <c r="BJ379" s="9" t="s">
        <v>2947</v>
      </c>
      <c r="BK379" s="9" t="s">
        <v>2947</v>
      </c>
      <c r="BL379" s="9" t="s">
        <v>2947</v>
      </c>
      <c r="BM379" s="9" t="s">
        <v>2947</v>
      </c>
      <c r="BN379" s="9" t="s">
        <v>2947</v>
      </c>
      <c r="BO379" s="9" t="s">
        <v>2947</v>
      </c>
      <c r="BP379" s="9" t="s">
        <v>2947</v>
      </c>
      <c r="BQ379" s="9" t="s">
        <v>2947</v>
      </c>
      <c r="BR379" s="9" t="s">
        <v>2947</v>
      </c>
      <c r="BS379" s="9" t="s">
        <v>2959</v>
      </c>
      <c r="BT379" s="9" t="s">
        <v>2959</v>
      </c>
      <c r="BU379" s="9" t="s">
        <v>2959</v>
      </c>
      <c r="BV379" s="9" t="s">
        <v>2959</v>
      </c>
      <c r="BW379" s="9" t="s">
        <v>2959</v>
      </c>
      <c r="BX379" s="9" t="s">
        <v>2959</v>
      </c>
      <c r="BY379" s="9" t="s">
        <v>2959</v>
      </c>
      <c r="BZ379" s="9" t="s">
        <v>2959</v>
      </c>
      <c r="CA379" s="9" t="s">
        <v>2959</v>
      </c>
      <c r="CB379" s="9" t="s">
        <v>2959</v>
      </c>
      <c r="CC379" s="9" t="s">
        <v>2959</v>
      </c>
      <c r="CD379" s="9" t="s">
        <v>2959</v>
      </c>
      <c r="CE379" s="9" t="s">
        <v>2959</v>
      </c>
      <c r="CF379" s="9" t="s">
        <v>2959</v>
      </c>
      <c r="CG379" s="9" t="s">
        <v>2959</v>
      </c>
      <c r="CH379" s="9" t="s">
        <v>2959</v>
      </c>
      <c r="CI379" s="9" t="s">
        <v>2959</v>
      </c>
      <c r="CJ379" s="9" t="s">
        <v>2959</v>
      </c>
      <c r="CK379" s="9" t="s">
        <v>2959</v>
      </c>
      <c r="CL379" s="9" t="s">
        <v>2959</v>
      </c>
      <c r="CM379" s="9" t="s">
        <v>2959</v>
      </c>
      <c r="CN379" s="9" t="s">
        <v>2959</v>
      </c>
      <c r="CO379" s="9" t="s">
        <v>2959</v>
      </c>
      <c r="CP379" s="9" t="s">
        <v>2959</v>
      </c>
      <c r="CQ379" s="9" t="s">
        <v>2959</v>
      </c>
      <c r="CR379" s="9" t="s">
        <v>2959</v>
      </c>
      <c r="CS379" s="9" t="s">
        <v>2959</v>
      </c>
      <c r="CT379" s="9" t="s">
        <v>2959</v>
      </c>
      <c r="CU379" s="9" t="s">
        <v>2959</v>
      </c>
      <c r="CV379" s="9" t="s">
        <v>2959</v>
      </c>
      <c r="CW379" s="9" t="s">
        <v>2959</v>
      </c>
      <c r="CX379" s="9" t="s">
        <v>2959</v>
      </c>
      <c r="CY379" s="9" t="s">
        <v>2959</v>
      </c>
      <c r="CZ379" s="9" t="s">
        <v>2959</v>
      </c>
      <c r="DA379" s="9" t="s">
        <v>2959</v>
      </c>
      <c r="DB379" s="9" t="s">
        <v>2959</v>
      </c>
      <c r="DC379" s="9" t="s">
        <v>2959</v>
      </c>
      <c r="DD379" s="9" t="s">
        <v>2959</v>
      </c>
      <c r="DE379" s="9" t="s">
        <v>2959</v>
      </c>
      <c r="DF379" s="9" t="s">
        <v>2959</v>
      </c>
      <c r="DG379" s="9" t="s">
        <v>2886</v>
      </c>
      <c r="DH379" s="9" t="s">
        <v>2886</v>
      </c>
      <c r="DI379" s="9" t="s">
        <v>2886</v>
      </c>
      <c r="DJ379" s="9" t="s">
        <v>2886</v>
      </c>
      <c r="DK379" s="9" t="s">
        <v>2886</v>
      </c>
      <c r="DL379" s="9" t="s">
        <v>2886</v>
      </c>
      <c r="DM379" s="9" t="s">
        <v>2886</v>
      </c>
      <c r="DN379" s="9" t="s">
        <v>2886</v>
      </c>
      <c r="DO379" s="9" t="s">
        <v>2886</v>
      </c>
      <c r="DP379" s="9" t="s">
        <v>2886</v>
      </c>
      <c r="DQ379" s="9" t="s">
        <v>2886</v>
      </c>
    </row>
    <row r="380" spans="1:121" ht="15.75" customHeight="1">
      <c r="A380" s="87" t="s">
        <v>8655</v>
      </c>
      <c r="AN380" s="9" t="s">
        <v>2859</v>
      </c>
      <c r="AO380" s="9" t="s">
        <v>2859</v>
      </c>
      <c r="AP380" s="9" t="s">
        <v>2859</v>
      </c>
      <c r="AQ380" s="9" t="s">
        <v>2859</v>
      </c>
      <c r="AR380" s="9" t="s">
        <v>2859</v>
      </c>
      <c r="AS380" s="9" t="s">
        <v>2859</v>
      </c>
      <c r="AT380" s="9" t="s">
        <v>2859</v>
      </c>
      <c r="AU380" s="9" t="s">
        <v>2859</v>
      </c>
      <c r="AV380" s="9" t="s">
        <v>2859</v>
      </c>
      <c r="AW380" s="9" t="s">
        <v>2859</v>
      </c>
      <c r="AX380" s="9" t="s">
        <v>2859</v>
      </c>
      <c r="AY380" s="9" t="s">
        <v>2859</v>
      </c>
      <c r="AZ380" s="9" t="s">
        <v>2859</v>
      </c>
      <c r="BA380" s="9" t="s">
        <v>2859</v>
      </c>
      <c r="BB380" s="9" t="s">
        <v>2859</v>
      </c>
      <c r="BC380" s="9" t="s">
        <v>2859</v>
      </c>
      <c r="BD380" s="9" t="s">
        <v>2859</v>
      </c>
      <c r="BE380" s="9" t="s">
        <v>2859</v>
      </c>
      <c r="BF380" s="9" t="s">
        <v>2859</v>
      </c>
      <c r="BG380" s="9" t="s">
        <v>2859</v>
      </c>
      <c r="BH380" s="9" t="s">
        <v>2948</v>
      </c>
      <c r="BI380" s="9" t="s">
        <v>2948</v>
      </c>
      <c r="BJ380" s="9" t="s">
        <v>2948</v>
      </c>
      <c r="BK380" s="9" t="s">
        <v>2948</v>
      </c>
      <c r="BL380" s="9" t="s">
        <v>2948</v>
      </c>
      <c r="BM380" s="9" t="s">
        <v>2948</v>
      </c>
      <c r="BN380" s="9" t="s">
        <v>2948</v>
      </c>
      <c r="BO380" s="9" t="s">
        <v>2948</v>
      </c>
      <c r="BP380" s="9" t="s">
        <v>2948</v>
      </c>
      <c r="BQ380" s="9" t="s">
        <v>2948</v>
      </c>
      <c r="BR380" s="9" t="s">
        <v>2948</v>
      </c>
      <c r="BS380" s="9" t="s">
        <v>2948</v>
      </c>
      <c r="BT380" s="9" t="s">
        <v>2948</v>
      </c>
      <c r="BU380" s="9" t="s">
        <v>2948</v>
      </c>
      <c r="BV380" s="9" t="s">
        <v>2948</v>
      </c>
      <c r="BW380" s="9" t="s">
        <v>2948</v>
      </c>
      <c r="BX380" s="9" t="s">
        <v>2948</v>
      </c>
      <c r="BY380" s="9" t="s">
        <v>2948</v>
      </c>
      <c r="BZ380" s="9" t="s">
        <v>2948</v>
      </c>
      <c r="CA380" s="9" t="s">
        <v>2948</v>
      </c>
      <c r="CB380" s="9" t="s">
        <v>2948</v>
      </c>
      <c r="CC380" s="9" t="s">
        <v>2948</v>
      </c>
      <c r="CD380" s="9" t="s">
        <v>2948</v>
      </c>
      <c r="CE380" s="9" t="s">
        <v>2948</v>
      </c>
      <c r="CF380" s="9" t="s">
        <v>2948</v>
      </c>
      <c r="CG380" s="9" t="s">
        <v>2948</v>
      </c>
      <c r="CH380" s="9" t="s">
        <v>2948</v>
      </c>
      <c r="CI380" s="9" t="s">
        <v>2948</v>
      </c>
      <c r="CJ380" s="9" t="s">
        <v>2948</v>
      </c>
      <c r="CK380" s="9" t="s">
        <v>2948</v>
      </c>
      <c r="CL380" s="9" t="s">
        <v>2948</v>
      </c>
      <c r="CM380" s="9" t="s">
        <v>2948</v>
      </c>
      <c r="CN380" s="9" t="s">
        <v>2948</v>
      </c>
      <c r="CO380" s="9" t="s">
        <v>2948</v>
      </c>
      <c r="CP380" s="9" t="s">
        <v>2948</v>
      </c>
      <c r="CQ380" s="9" t="s">
        <v>2948</v>
      </c>
      <c r="CR380" s="9" t="s">
        <v>2948</v>
      </c>
      <c r="CS380" s="9" t="s">
        <v>2948</v>
      </c>
      <c r="CT380" s="9" t="s">
        <v>2948</v>
      </c>
      <c r="CU380" s="9" t="s">
        <v>2948</v>
      </c>
      <c r="CV380" s="9" t="s">
        <v>2948</v>
      </c>
      <c r="CW380" s="9" t="s">
        <v>2948</v>
      </c>
      <c r="CX380" s="9" t="s">
        <v>2948</v>
      </c>
      <c r="CY380" s="9" t="s">
        <v>2948</v>
      </c>
      <c r="CZ380" s="9" t="s">
        <v>2948</v>
      </c>
      <c r="DA380" s="9" t="s">
        <v>2948</v>
      </c>
      <c r="DB380" s="9" t="s">
        <v>2948</v>
      </c>
      <c r="DC380" s="9" t="s">
        <v>2948</v>
      </c>
      <c r="DD380" s="9" t="s">
        <v>2948</v>
      </c>
      <c r="DE380" s="9" t="s">
        <v>2948</v>
      </c>
      <c r="DF380" s="9" t="s">
        <v>2948</v>
      </c>
      <c r="DG380" s="9" t="s">
        <v>2948</v>
      </c>
      <c r="DH380" s="9" t="s">
        <v>2948</v>
      </c>
      <c r="DI380" s="9" t="s">
        <v>2948</v>
      </c>
      <c r="DJ380" s="9" t="s">
        <v>2948</v>
      </c>
      <c r="DK380" s="9" t="s">
        <v>2948</v>
      </c>
      <c r="DL380" s="9" t="s">
        <v>2948</v>
      </c>
      <c r="DM380" s="9" t="s">
        <v>2948</v>
      </c>
      <c r="DN380" s="9" t="s">
        <v>2948</v>
      </c>
      <c r="DO380" s="9" t="s">
        <v>2948</v>
      </c>
      <c r="DP380" s="9" t="s">
        <v>2948</v>
      </c>
      <c r="DQ380" s="9" t="s">
        <v>2948</v>
      </c>
    </row>
    <row r="381" spans="1:121" ht="15.75" customHeight="1">
      <c r="A381" s="87" t="s">
        <v>8656</v>
      </c>
    </row>
    <row r="382" spans="1:121" ht="15.75" customHeight="1">
      <c r="A382" s="87" t="s">
        <v>8657</v>
      </c>
    </row>
    <row r="383" spans="1:121" ht="15.75" customHeight="1">
      <c r="A383" s="87" t="s">
        <v>8658</v>
      </c>
      <c r="CD383" s="9" t="s">
        <v>2941</v>
      </c>
      <c r="CE383" s="9" t="s">
        <v>2941</v>
      </c>
      <c r="CF383" s="9" t="s">
        <v>2941</v>
      </c>
      <c r="CG383" s="9" t="s">
        <v>2941</v>
      </c>
      <c r="CH383" s="9" t="s">
        <v>2941</v>
      </c>
      <c r="CI383" s="9" t="s">
        <v>2941</v>
      </c>
      <c r="CJ383" s="9" t="s">
        <v>2941</v>
      </c>
      <c r="CK383" s="9" t="s">
        <v>2941</v>
      </c>
      <c r="CL383" s="9" t="s">
        <v>2941</v>
      </c>
      <c r="CM383" s="9" t="s">
        <v>2941</v>
      </c>
      <c r="CN383" s="9" t="s">
        <v>2941</v>
      </c>
      <c r="CO383" s="9" t="s">
        <v>2941</v>
      </c>
      <c r="CP383" s="9" t="s">
        <v>2941</v>
      </c>
      <c r="CQ383" s="9" t="s">
        <v>2941</v>
      </c>
      <c r="CR383" s="9" t="s">
        <v>2941</v>
      </c>
      <c r="CS383" s="9" t="s">
        <v>2941</v>
      </c>
      <c r="CT383" s="9" t="s">
        <v>2941</v>
      </c>
      <c r="CU383" s="9" t="s">
        <v>2941</v>
      </c>
      <c r="CV383" s="9" t="s">
        <v>2941</v>
      </c>
      <c r="CW383" s="9" t="s">
        <v>2941</v>
      </c>
      <c r="CX383" s="9" t="s">
        <v>2941</v>
      </c>
      <c r="CY383" s="9" t="s">
        <v>2941</v>
      </c>
      <c r="CZ383" s="9" t="s">
        <v>2941</v>
      </c>
      <c r="DA383" s="9" t="s">
        <v>2941</v>
      </c>
      <c r="DB383" s="9" t="s">
        <v>2870</v>
      </c>
      <c r="DC383" s="9" t="s">
        <v>2870</v>
      </c>
      <c r="DD383" s="9" t="s">
        <v>2870</v>
      </c>
      <c r="DE383" s="9" t="s">
        <v>2870</v>
      </c>
      <c r="DF383" s="9" t="s">
        <v>2870</v>
      </c>
      <c r="DG383" s="9" t="s">
        <v>2870</v>
      </c>
      <c r="DH383" s="9" t="s">
        <v>2870</v>
      </c>
      <c r="DI383" s="9" t="s">
        <v>2870</v>
      </c>
      <c r="DJ383" s="9" t="s">
        <v>2870</v>
      </c>
      <c r="DK383" s="9" t="s">
        <v>2870</v>
      </c>
      <c r="DL383" s="9" t="s">
        <v>2870</v>
      </c>
      <c r="DM383" s="9" t="s">
        <v>2870</v>
      </c>
      <c r="DN383" s="9" t="s">
        <v>2870</v>
      </c>
      <c r="DO383" s="9" t="s">
        <v>2870</v>
      </c>
      <c r="DP383" s="9" t="s">
        <v>2870</v>
      </c>
      <c r="DQ383" s="9" t="s">
        <v>2870</v>
      </c>
    </row>
    <row r="384" spans="1:121" ht="15.75" customHeight="1">
      <c r="A384" s="87" t="s">
        <v>8659</v>
      </c>
      <c r="Z384" s="9" t="s">
        <v>2870</v>
      </c>
      <c r="AA384" s="9" t="s">
        <v>2870</v>
      </c>
      <c r="AB384" s="9" t="s">
        <v>2870</v>
      </c>
      <c r="AC384" s="9" t="s">
        <v>2870</v>
      </c>
      <c r="AD384" s="9" t="s">
        <v>2870</v>
      </c>
      <c r="AE384" s="9" t="s">
        <v>2870</v>
      </c>
      <c r="AF384" s="9" t="s">
        <v>2870</v>
      </c>
      <c r="AG384" s="9" t="s">
        <v>2870</v>
      </c>
      <c r="AH384" s="9" t="s">
        <v>2870</v>
      </c>
      <c r="AI384" s="9" t="s">
        <v>2870</v>
      </c>
      <c r="AJ384" s="9" t="s">
        <v>2870</v>
      </c>
      <c r="AK384" s="9" t="s">
        <v>2870</v>
      </c>
      <c r="AL384" s="9" t="s">
        <v>2870</v>
      </c>
      <c r="AM384" s="9" t="s">
        <v>2870</v>
      </c>
      <c r="AN384" s="9" t="s">
        <v>2870</v>
      </c>
      <c r="AO384" s="9" t="s">
        <v>2870</v>
      </c>
      <c r="AP384" s="9" t="s">
        <v>2870</v>
      </c>
      <c r="AQ384" s="9" t="s">
        <v>2870</v>
      </c>
      <c r="AR384" s="9" t="s">
        <v>2870</v>
      </c>
      <c r="AS384" s="9" t="s">
        <v>2870</v>
      </c>
      <c r="AT384" s="9" t="s">
        <v>2870</v>
      </c>
      <c r="AU384" s="9" t="s">
        <v>2870</v>
      </c>
      <c r="AV384" s="9" t="s">
        <v>2870</v>
      </c>
      <c r="AW384" s="9" t="s">
        <v>2870</v>
      </c>
      <c r="AX384" s="9" t="s">
        <v>2870</v>
      </c>
      <c r="AY384" s="9" t="s">
        <v>2870</v>
      </c>
      <c r="AZ384" s="9" t="s">
        <v>2870</v>
      </c>
      <c r="BA384" s="9" t="s">
        <v>2870</v>
      </c>
      <c r="BB384" s="9" t="s">
        <v>2870</v>
      </c>
      <c r="BC384" s="9" t="s">
        <v>2870</v>
      </c>
      <c r="BD384" s="9" t="s">
        <v>2870</v>
      </c>
      <c r="BE384" s="9" t="s">
        <v>2870</v>
      </c>
      <c r="BF384" s="9" t="s">
        <v>2870</v>
      </c>
      <c r="BG384" s="9" t="s">
        <v>2870</v>
      </c>
      <c r="BH384" s="9" t="s">
        <v>2870</v>
      </c>
      <c r="BI384" s="9" t="s">
        <v>2870</v>
      </c>
      <c r="BJ384" s="9" t="s">
        <v>2870</v>
      </c>
      <c r="BK384" s="9" t="s">
        <v>2870</v>
      </c>
      <c r="BL384" s="9" t="s">
        <v>2870</v>
      </c>
      <c r="BM384" s="9" t="s">
        <v>2870</v>
      </c>
      <c r="BN384" s="9" t="s">
        <v>2870</v>
      </c>
      <c r="BO384" s="9" t="s">
        <v>2870</v>
      </c>
      <c r="BP384" s="9" t="s">
        <v>2870</v>
      </c>
      <c r="BQ384" s="9" t="s">
        <v>2870</v>
      </c>
      <c r="BR384" s="9" t="s">
        <v>2870</v>
      </c>
      <c r="BS384" s="9" t="s">
        <v>2870</v>
      </c>
      <c r="BT384" s="9" t="s">
        <v>2870</v>
      </c>
      <c r="BU384" s="9" t="s">
        <v>2870</v>
      </c>
      <c r="BV384" s="9" t="s">
        <v>2870</v>
      </c>
      <c r="BW384" s="9" t="s">
        <v>2870</v>
      </c>
      <c r="BX384" s="9" t="s">
        <v>2870</v>
      </c>
      <c r="BY384" s="9" t="s">
        <v>2870</v>
      </c>
      <c r="BZ384" s="9" t="s">
        <v>2870</v>
      </c>
      <c r="CA384" s="9" t="s">
        <v>2870</v>
      </c>
      <c r="CB384" s="9" t="s">
        <v>2870</v>
      </c>
      <c r="CC384" s="9" t="s">
        <v>2870</v>
      </c>
      <c r="CD384" s="9" t="s">
        <v>2870</v>
      </c>
      <c r="CE384" s="9" t="s">
        <v>2870</v>
      </c>
      <c r="CF384" s="9" t="s">
        <v>2870</v>
      </c>
      <c r="CG384" s="9" t="s">
        <v>2870</v>
      </c>
      <c r="CH384" s="9" t="s">
        <v>2870</v>
      </c>
      <c r="CI384" s="9" t="s">
        <v>2870</v>
      </c>
      <c r="CJ384" s="9" t="s">
        <v>2870</v>
      </c>
      <c r="CK384" s="9" t="s">
        <v>2870</v>
      </c>
      <c r="CL384" s="9" t="s">
        <v>2870</v>
      </c>
      <c r="CM384" s="9" t="s">
        <v>2870</v>
      </c>
      <c r="CN384" s="9" t="s">
        <v>2870</v>
      </c>
      <c r="CO384" s="9" t="s">
        <v>2870</v>
      </c>
      <c r="CP384" s="9" t="s">
        <v>2870</v>
      </c>
      <c r="CQ384" s="9" t="s">
        <v>2870</v>
      </c>
      <c r="CR384" s="9" t="s">
        <v>2870</v>
      </c>
      <c r="CS384" s="9" t="s">
        <v>2870</v>
      </c>
      <c r="CT384" s="9" t="s">
        <v>2870</v>
      </c>
      <c r="CU384" s="9" t="s">
        <v>2870</v>
      </c>
      <c r="CV384" s="9" t="s">
        <v>2870</v>
      </c>
      <c r="CW384" s="9" t="s">
        <v>2870</v>
      </c>
      <c r="CX384" s="9" t="s">
        <v>2870</v>
      </c>
      <c r="CY384" s="9" t="s">
        <v>2870</v>
      </c>
      <c r="CZ384" s="9" t="s">
        <v>2870</v>
      </c>
      <c r="DA384" s="9" t="s">
        <v>2870</v>
      </c>
      <c r="DB384" s="9" t="s">
        <v>2870</v>
      </c>
      <c r="DC384" s="9" t="s">
        <v>2870</v>
      </c>
      <c r="DD384" s="9" t="s">
        <v>2870</v>
      </c>
      <c r="DE384" s="9" t="s">
        <v>2870</v>
      </c>
      <c r="DF384" s="9" t="s">
        <v>2870</v>
      </c>
      <c r="DG384" s="9" t="s">
        <v>2870</v>
      </c>
      <c r="DH384" s="9" t="s">
        <v>2870</v>
      </c>
      <c r="DI384" s="9" t="s">
        <v>2870</v>
      </c>
      <c r="DJ384" s="9" t="s">
        <v>2870</v>
      </c>
      <c r="DK384" s="9" t="s">
        <v>2870</v>
      </c>
      <c r="DL384" s="9" t="s">
        <v>2870</v>
      </c>
      <c r="DM384" s="9" t="s">
        <v>2870</v>
      </c>
      <c r="DN384" s="9" t="s">
        <v>2870</v>
      </c>
      <c r="DO384" s="9" t="s">
        <v>2870</v>
      </c>
      <c r="DP384" s="9" t="s">
        <v>2870</v>
      </c>
      <c r="DQ384" s="9" t="s">
        <v>2870</v>
      </c>
    </row>
    <row r="385" spans="1:121" ht="15.75" customHeight="1">
      <c r="A385" s="87" t="s">
        <v>8660</v>
      </c>
      <c r="Z385" s="9" t="s">
        <v>2870</v>
      </c>
      <c r="AA385" s="9" t="s">
        <v>2870</v>
      </c>
      <c r="AB385" s="9" t="s">
        <v>2870</v>
      </c>
      <c r="AC385" s="9" t="s">
        <v>2870</v>
      </c>
      <c r="AD385" s="9" t="s">
        <v>2870</v>
      </c>
      <c r="AE385" s="9" t="s">
        <v>2870</v>
      </c>
      <c r="AF385" s="9" t="s">
        <v>2870</v>
      </c>
      <c r="AG385" s="9" t="s">
        <v>2870</v>
      </c>
      <c r="AH385" s="9" t="s">
        <v>2870</v>
      </c>
      <c r="AI385" s="9" t="s">
        <v>2870</v>
      </c>
      <c r="AJ385" s="9" t="s">
        <v>2870</v>
      </c>
      <c r="AK385" s="9" t="s">
        <v>2870</v>
      </c>
      <c r="AL385" s="9" t="s">
        <v>2870</v>
      </c>
      <c r="AM385" s="9" t="s">
        <v>2870</v>
      </c>
      <c r="AN385" s="9" t="s">
        <v>2870</v>
      </c>
      <c r="AO385" s="9" t="s">
        <v>2870</v>
      </c>
      <c r="AP385" s="9" t="s">
        <v>2870</v>
      </c>
      <c r="AQ385" s="9" t="s">
        <v>2870</v>
      </c>
      <c r="AR385" s="9" t="s">
        <v>2870</v>
      </c>
      <c r="AS385" s="9" t="s">
        <v>2870</v>
      </c>
      <c r="AT385" s="9" t="s">
        <v>2870</v>
      </c>
      <c r="AU385" s="9" t="s">
        <v>2870</v>
      </c>
      <c r="AV385" s="9" t="s">
        <v>2870</v>
      </c>
      <c r="AW385" s="9" t="s">
        <v>2868</v>
      </c>
      <c r="AX385" s="9" t="s">
        <v>2868</v>
      </c>
      <c r="AY385" s="9" t="s">
        <v>2868</v>
      </c>
      <c r="AZ385" s="9" t="s">
        <v>2868</v>
      </c>
      <c r="BA385" s="9" t="s">
        <v>2868</v>
      </c>
      <c r="BB385" s="9" t="s">
        <v>2868</v>
      </c>
      <c r="BC385" s="9" t="s">
        <v>2868</v>
      </c>
      <c r="BD385" s="9" t="s">
        <v>2868</v>
      </c>
      <c r="BE385" s="9" t="s">
        <v>2844</v>
      </c>
      <c r="BF385" s="9" t="s">
        <v>3018</v>
      </c>
      <c r="BG385" s="9" t="s">
        <v>3018</v>
      </c>
      <c r="BH385" s="9" t="s">
        <v>3018</v>
      </c>
      <c r="BI385" s="9" t="s">
        <v>3018</v>
      </c>
      <c r="BJ385" s="9" t="s">
        <v>3018</v>
      </c>
      <c r="BK385" s="9" t="s">
        <v>3018</v>
      </c>
      <c r="BL385" s="9" t="s">
        <v>3018</v>
      </c>
      <c r="BM385" s="9" t="s">
        <v>3018</v>
      </c>
      <c r="BN385" s="9" t="s">
        <v>3018</v>
      </c>
      <c r="BO385" s="9" t="s">
        <v>3018</v>
      </c>
      <c r="BP385" s="9" t="s">
        <v>3018</v>
      </c>
      <c r="BQ385" s="9" t="s">
        <v>3018</v>
      </c>
      <c r="BR385" s="9" t="s">
        <v>3018</v>
      </c>
      <c r="BS385" s="9" t="s">
        <v>3018</v>
      </c>
      <c r="BT385" s="9" t="s">
        <v>3018</v>
      </c>
      <c r="BU385" s="9" t="s">
        <v>3018</v>
      </c>
      <c r="BV385" s="9" t="s">
        <v>3018</v>
      </c>
      <c r="BW385" s="9" t="s">
        <v>3018</v>
      </c>
      <c r="BX385" s="9" t="s">
        <v>3018</v>
      </c>
      <c r="BY385" s="9" t="s">
        <v>3018</v>
      </c>
      <c r="BZ385" s="9" t="s">
        <v>3018</v>
      </c>
      <c r="CA385" s="9" t="s">
        <v>3018</v>
      </c>
      <c r="CB385" s="9" t="s">
        <v>3018</v>
      </c>
      <c r="CC385" s="9" t="s">
        <v>3018</v>
      </c>
      <c r="CD385" s="9" t="s">
        <v>3018</v>
      </c>
      <c r="CE385" s="9" t="s">
        <v>3018</v>
      </c>
      <c r="CF385" s="9" t="s">
        <v>3018</v>
      </c>
      <c r="CG385" s="9" t="s">
        <v>3018</v>
      </c>
      <c r="CH385" s="9" t="s">
        <v>3018</v>
      </c>
      <c r="CI385" s="9" t="s">
        <v>3018</v>
      </c>
      <c r="CJ385" s="9" t="s">
        <v>3018</v>
      </c>
      <c r="CK385" s="9" t="s">
        <v>3018</v>
      </c>
      <c r="CL385" s="9" t="s">
        <v>3018</v>
      </c>
      <c r="CM385" s="9" t="s">
        <v>3018</v>
      </c>
      <c r="CN385" s="9" t="s">
        <v>3018</v>
      </c>
      <c r="CO385" s="9" t="s">
        <v>3018</v>
      </c>
      <c r="CP385" s="9" t="s">
        <v>3018</v>
      </c>
      <c r="CQ385" s="9" t="s">
        <v>3018</v>
      </c>
      <c r="CR385" s="9" t="s">
        <v>3018</v>
      </c>
      <c r="CS385" s="9" t="s">
        <v>3018</v>
      </c>
      <c r="CT385" s="9" t="s">
        <v>3018</v>
      </c>
      <c r="CU385" s="9" t="s">
        <v>3018</v>
      </c>
      <c r="CV385" s="9" t="s">
        <v>3018</v>
      </c>
      <c r="CW385" s="9" t="s">
        <v>3018</v>
      </c>
      <c r="CX385" s="9" t="s">
        <v>3018</v>
      </c>
      <c r="CY385" s="9" t="s">
        <v>3018</v>
      </c>
      <c r="CZ385" s="9" t="s">
        <v>3018</v>
      </c>
      <c r="DA385" s="9" t="s">
        <v>2863</v>
      </c>
      <c r="DB385" s="9" t="s">
        <v>2863</v>
      </c>
      <c r="DC385" s="9" t="s">
        <v>2863</v>
      </c>
      <c r="DD385" s="9" t="s">
        <v>2863</v>
      </c>
      <c r="DE385" s="9" t="s">
        <v>2863</v>
      </c>
      <c r="DF385" s="9" t="s">
        <v>2863</v>
      </c>
      <c r="DG385" s="9" t="s">
        <v>2863</v>
      </c>
      <c r="DH385" s="9" t="s">
        <v>2863</v>
      </c>
      <c r="DI385" s="9" t="s">
        <v>2863</v>
      </c>
      <c r="DJ385" s="9" t="s">
        <v>2863</v>
      </c>
      <c r="DK385" s="9" t="s">
        <v>2863</v>
      </c>
      <c r="DL385" s="9" t="s">
        <v>2863</v>
      </c>
      <c r="DM385" s="9" t="s">
        <v>2863</v>
      </c>
      <c r="DN385" s="9" t="s">
        <v>2863</v>
      </c>
      <c r="DO385" s="9" t="s">
        <v>2863</v>
      </c>
      <c r="DP385" s="9" t="s">
        <v>2863</v>
      </c>
      <c r="DQ385" s="9" t="s">
        <v>2863</v>
      </c>
    </row>
    <row r="386" spans="1:121" ht="15.75" customHeight="1">
      <c r="A386" s="87" t="s">
        <v>8661</v>
      </c>
      <c r="Z386" s="9" t="s">
        <v>2863</v>
      </c>
      <c r="AA386" s="9" t="s">
        <v>2863</v>
      </c>
      <c r="AB386" s="9" t="s">
        <v>2863</v>
      </c>
      <c r="AC386" s="9" t="s">
        <v>2863</v>
      </c>
      <c r="AD386" s="9" t="s">
        <v>2863</v>
      </c>
      <c r="AE386" s="9" t="s">
        <v>2863</v>
      </c>
      <c r="AF386" s="9" t="s">
        <v>2863</v>
      </c>
      <c r="AG386" s="9" t="s">
        <v>2863</v>
      </c>
      <c r="AH386" s="9" t="s">
        <v>2849</v>
      </c>
      <c r="AI386" s="9" t="s">
        <v>2849</v>
      </c>
      <c r="AJ386" s="9" t="s">
        <v>2849</v>
      </c>
      <c r="AK386" s="9" t="s">
        <v>2849</v>
      </c>
      <c r="AL386" s="9" t="s">
        <v>2849</v>
      </c>
      <c r="AM386" s="9" t="s">
        <v>2849</v>
      </c>
      <c r="AN386" s="9" t="s">
        <v>2849</v>
      </c>
      <c r="AO386" s="9" t="s">
        <v>2849</v>
      </c>
      <c r="AP386" s="9" t="s">
        <v>2849</v>
      </c>
      <c r="AQ386" s="9" t="s">
        <v>2849</v>
      </c>
      <c r="AR386" s="9" t="s">
        <v>2849</v>
      </c>
      <c r="AS386" s="9" t="s">
        <v>2849</v>
      </c>
      <c r="AT386" s="9" t="s">
        <v>2849</v>
      </c>
      <c r="AU386" s="9" t="s">
        <v>2849</v>
      </c>
      <c r="AV386" s="9" t="s">
        <v>2849</v>
      </c>
      <c r="AW386" s="9" t="s">
        <v>2849</v>
      </c>
      <c r="AX386" s="9" t="s">
        <v>2849</v>
      </c>
      <c r="AY386" s="9" t="s">
        <v>2849</v>
      </c>
      <c r="AZ386" s="9" t="s">
        <v>2849</v>
      </c>
      <c r="BA386" s="9" t="s">
        <v>2849</v>
      </c>
      <c r="BB386" s="9" t="s">
        <v>2849</v>
      </c>
      <c r="BC386" s="9" t="s">
        <v>2849</v>
      </c>
      <c r="BD386" s="9" t="s">
        <v>2849</v>
      </c>
      <c r="BE386" s="9" t="s">
        <v>2849</v>
      </c>
      <c r="BF386" s="9" t="s">
        <v>2849</v>
      </c>
      <c r="BG386" s="9" t="s">
        <v>2978</v>
      </c>
      <c r="BH386" s="9" t="s">
        <v>2978</v>
      </c>
      <c r="BI386" s="9" t="s">
        <v>2978</v>
      </c>
      <c r="BJ386" s="9" t="s">
        <v>2978</v>
      </c>
      <c r="BK386" s="9" t="s">
        <v>2978</v>
      </c>
      <c r="BL386" s="9" t="s">
        <v>2978</v>
      </c>
      <c r="BM386" s="9" t="s">
        <v>2978</v>
      </c>
      <c r="BN386" s="9" t="s">
        <v>2978</v>
      </c>
      <c r="BO386" s="9" t="s">
        <v>2978</v>
      </c>
      <c r="BP386" s="9" t="s">
        <v>2978</v>
      </c>
      <c r="BQ386" s="9" t="s">
        <v>2978</v>
      </c>
      <c r="BR386" s="9" t="s">
        <v>2978</v>
      </c>
      <c r="BS386" s="9" t="s">
        <v>2978</v>
      </c>
      <c r="BT386" s="9" t="s">
        <v>2978</v>
      </c>
      <c r="BU386" s="9" t="s">
        <v>2978</v>
      </c>
      <c r="BV386" s="9" t="s">
        <v>2978</v>
      </c>
      <c r="BW386" s="9" t="s">
        <v>2978</v>
      </c>
      <c r="BX386" s="9" t="s">
        <v>2978</v>
      </c>
      <c r="BY386" s="9" t="s">
        <v>2978</v>
      </c>
      <c r="BZ386" s="9" t="s">
        <v>2978</v>
      </c>
      <c r="CA386" s="9" t="s">
        <v>2978</v>
      </c>
      <c r="CB386" s="9" t="s">
        <v>2978</v>
      </c>
      <c r="CC386" s="9" t="s">
        <v>2978</v>
      </c>
      <c r="CD386" s="9" t="s">
        <v>2978</v>
      </c>
      <c r="CE386" s="9" t="s">
        <v>2978</v>
      </c>
      <c r="CF386" s="9" t="s">
        <v>2978</v>
      </c>
      <c r="CG386" s="9" t="s">
        <v>2978</v>
      </c>
      <c r="CH386" s="9" t="s">
        <v>2978</v>
      </c>
      <c r="CI386" s="9" t="s">
        <v>2978</v>
      </c>
      <c r="CJ386" s="9" t="s">
        <v>2978</v>
      </c>
      <c r="CK386" s="9" t="s">
        <v>2978</v>
      </c>
      <c r="CL386" s="9" t="s">
        <v>2978</v>
      </c>
      <c r="CM386" s="9" t="s">
        <v>2978</v>
      </c>
      <c r="CN386" s="9" t="s">
        <v>2978</v>
      </c>
      <c r="CO386" s="9" t="s">
        <v>2978</v>
      </c>
      <c r="CP386" s="9" t="s">
        <v>2978</v>
      </c>
      <c r="CQ386" s="9" t="s">
        <v>2978</v>
      </c>
      <c r="CR386" s="9" t="s">
        <v>2978</v>
      </c>
      <c r="CS386" s="9" t="s">
        <v>2978</v>
      </c>
      <c r="CT386" s="9" t="s">
        <v>2978</v>
      </c>
      <c r="CU386" s="9" t="s">
        <v>2978</v>
      </c>
      <c r="CV386" s="9" t="s">
        <v>2978</v>
      </c>
      <c r="CW386" s="9" t="s">
        <v>2978</v>
      </c>
      <c r="CX386" s="9" t="s">
        <v>2978</v>
      </c>
      <c r="CY386" s="9" t="s">
        <v>2978</v>
      </c>
      <c r="CZ386" s="9" t="s">
        <v>2978</v>
      </c>
      <c r="DA386" s="9" t="s">
        <v>2978</v>
      </c>
      <c r="DB386" s="9" t="s">
        <v>2978</v>
      </c>
      <c r="DC386" s="9" t="s">
        <v>2978</v>
      </c>
      <c r="DD386" s="9" t="s">
        <v>2978</v>
      </c>
      <c r="DE386" s="9" t="s">
        <v>2978</v>
      </c>
      <c r="DF386" s="9" t="s">
        <v>2978</v>
      </c>
      <c r="DG386" s="9" t="s">
        <v>2978</v>
      </c>
      <c r="DH386" s="9" t="s">
        <v>2978</v>
      </c>
      <c r="DI386" s="9" t="s">
        <v>2978</v>
      </c>
      <c r="DJ386" s="9" t="s">
        <v>2978</v>
      </c>
      <c r="DK386" s="9" t="s">
        <v>2978</v>
      </c>
      <c r="DL386" s="9" t="s">
        <v>2978</v>
      </c>
      <c r="DM386" s="9" t="s">
        <v>2978</v>
      </c>
      <c r="DN386" s="9" t="s">
        <v>2978</v>
      </c>
      <c r="DO386" s="9" t="s">
        <v>2978</v>
      </c>
      <c r="DP386" s="9" t="s">
        <v>2978</v>
      </c>
      <c r="DQ386" s="9" t="s">
        <v>2978</v>
      </c>
    </row>
    <row r="387" spans="1:121" ht="15.75" customHeight="1">
      <c r="A387" s="87" t="s">
        <v>8662</v>
      </c>
      <c r="Z387" s="9" t="s">
        <v>2978</v>
      </c>
      <c r="AA387" s="9" t="s">
        <v>2978</v>
      </c>
      <c r="AB387" s="9" t="s">
        <v>2978</v>
      </c>
      <c r="AC387" s="9" t="s">
        <v>2978</v>
      </c>
      <c r="AD387" s="9" t="s">
        <v>2978</v>
      </c>
      <c r="AE387" s="9" t="s">
        <v>2978</v>
      </c>
      <c r="AF387" s="9" t="s">
        <v>2978</v>
      </c>
      <c r="AG387" s="9" t="s">
        <v>2978</v>
      </c>
      <c r="AH387" s="9" t="s">
        <v>2978</v>
      </c>
      <c r="AI387" s="9" t="s">
        <v>2978</v>
      </c>
      <c r="AJ387" s="9" t="s">
        <v>2978</v>
      </c>
      <c r="AK387" s="9" t="s">
        <v>2978</v>
      </c>
      <c r="AL387" s="9" t="s">
        <v>2978</v>
      </c>
      <c r="AM387" s="9" t="s">
        <v>2978</v>
      </c>
      <c r="AN387" s="9" t="s">
        <v>2978</v>
      </c>
      <c r="AO387" s="9" t="s">
        <v>2978</v>
      </c>
      <c r="AP387" s="9" t="s">
        <v>2978</v>
      </c>
      <c r="AQ387" s="9" t="s">
        <v>2978</v>
      </c>
      <c r="AR387" s="9" t="s">
        <v>2978</v>
      </c>
      <c r="AS387" s="9" t="s">
        <v>2978</v>
      </c>
      <c r="AT387" s="9" t="s">
        <v>2978</v>
      </c>
      <c r="AU387" s="9" t="s">
        <v>2978</v>
      </c>
      <c r="AV387" s="9" t="s">
        <v>2978</v>
      </c>
      <c r="AW387" s="9" t="s">
        <v>2978</v>
      </c>
      <c r="AX387" s="9" t="s">
        <v>2978</v>
      </c>
      <c r="AY387" s="9" t="s">
        <v>2978</v>
      </c>
      <c r="AZ387" s="9" t="s">
        <v>2978</v>
      </c>
      <c r="BA387" s="9" t="s">
        <v>2978</v>
      </c>
      <c r="BB387" s="9" t="s">
        <v>2978</v>
      </c>
      <c r="BC387" s="9" t="s">
        <v>2978</v>
      </c>
      <c r="BD387" s="9" t="s">
        <v>2978</v>
      </c>
      <c r="BE387" s="9" t="s">
        <v>2978</v>
      </c>
      <c r="BF387" s="9" t="s">
        <v>2978</v>
      </c>
      <c r="BG387" s="9" t="s">
        <v>2978</v>
      </c>
      <c r="BH387" s="9" t="s">
        <v>2978</v>
      </c>
      <c r="BI387" s="9" t="s">
        <v>2978</v>
      </c>
      <c r="BJ387" s="9" t="s">
        <v>2978</v>
      </c>
      <c r="BK387" s="9" t="s">
        <v>2987</v>
      </c>
      <c r="BL387" s="9" t="s">
        <v>2987</v>
      </c>
      <c r="BM387" s="9" t="s">
        <v>2987</v>
      </c>
      <c r="BN387" s="9" t="s">
        <v>2987</v>
      </c>
      <c r="BO387" s="9" t="s">
        <v>2987</v>
      </c>
      <c r="BP387" s="9" t="s">
        <v>2987</v>
      </c>
      <c r="BQ387" s="9" t="s">
        <v>2987</v>
      </c>
      <c r="BR387" s="9" t="s">
        <v>2987</v>
      </c>
      <c r="BS387" s="9" t="s">
        <v>2987</v>
      </c>
      <c r="BT387" s="9" t="s">
        <v>2987</v>
      </c>
      <c r="BU387" s="9" t="s">
        <v>2987</v>
      </c>
      <c r="BV387" s="9" t="s">
        <v>2987</v>
      </c>
      <c r="BW387" s="9" t="s">
        <v>2987</v>
      </c>
      <c r="BX387" s="9" t="s">
        <v>2987</v>
      </c>
      <c r="BY387" s="9" t="s">
        <v>2987</v>
      </c>
      <c r="BZ387" s="9" t="s">
        <v>2987</v>
      </c>
      <c r="CA387" s="9" t="s">
        <v>2987</v>
      </c>
      <c r="CB387" s="9" t="s">
        <v>2987</v>
      </c>
      <c r="CC387" s="9" t="s">
        <v>2987</v>
      </c>
      <c r="CD387" s="9" t="s">
        <v>2987</v>
      </c>
      <c r="CE387" s="9" t="s">
        <v>2987</v>
      </c>
      <c r="CF387" s="9" t="s">
        <v>2987</v>
      </c>
      <c r="CG387" s="9" t="s">
        <v>2987</v>
      </c>
      <c r="CH387" s="9" t="s">
        <v>2987</v>
      </c>
      <c r="CI387" s="9" t="s">
        <v>2987</v>
      </c>
      <c r="CJ387" s="9" t="s">
        <v>2987</v>
      </c>
      <c r="CK387" s="9" t="s">
        <v>2987</v>
      </c>
      <c r="CL387" s="9" t="s">
        <v>2987</v>
      </c>
      <c r="CM387" s="9" t="s">
        <v>2987</v>
      </c>
      <c r="CN387" s="9" t="s">
        <v>2987</v>
      </c>
      <c r="CO387" s="9" t="s">
        <v>2987</v>
      </c>
      <c r="CP387" s="9" t="s">
        <v>2987</v>
      </c>
      <c r="CQ387" s="9" t="s">
        <v>2987</v>
      </c>
      <c r="CR387" s="9" t="s">
        <v>2987</v>
      </c>
      <c r="CS387" s="9" t="s">
        <v>2987</v>
      </c>
      <c r="CT387" s="9" t="s">
        <v>2987</v>
      </c>
      <c r="CU387" s="9" t="s">
        <v>2987</v>
      </c>
      <c r="CV387" s="9" t="s">
        <v>2987</v>
      </c>
      <c r="CW387" s="9" t="s">
        <v>2987</v>
      </c>
      <c r="CX387" s="9" t="s">
        <v>2987</v>
      </c>
      <c r="CY387" s="9" t="s">
        <v>6384</v>
      </c>
      <c r="CZ387" s="9" t="s">
        <v>6384</v>
      </c>
      <c r="DA387" s="9" t="s">
        <v>6384</v>
      </c>
      <c r="DB387" s="9" t="s">
        <v>6384</v>
      </c>
      <c r="DC387" s="9" t="s">
        <v>6384</v>
      </c>
      <c r="DD387" s="9" t="s">
        <v>6384</v>
      </c>
      <c r="DE387" s="9" t="s">
        <v>6384</v>
      </c>
      <c r="DF387" s="9" t="s">
        <v>6384</v>
      </c>
      <c r="DG387" s="9" t="s">
        <v>6384</v>
      </c>
      <c r="DH387" s="9" t="s">
        <v>6384</v>
      </c>
      <c r="DI387" s="9" t="s">
        <v>6384</v>
      </c>
      <c r="DJ387" s="9" t="s">
        <v>6384</v>
      </c>
      <c r="DK387" s="9" t="s">
        <v>6384</v>
      </c>
      <c r="DL387" s="9" t="s">
        <v>6384</v>
      </c>
      <c r="DM387" s="9" t="s">
        <v>6384</v>
      </c>
      <c r="DN387" s="9" t="s">
        <v>6384</v>
      </c>
      <c r="DO387" s="9" t="s">
        <v>6384</v>
      </c>
      <c r="DP387" s="9" t="s">
        <v>6384</v>
      </c>
      <c r="DQ387" s="9" t="s">
        <v>6384</v>
      </c>
    </row>
    <row r="388" spans="1:121" ht="15.75" customHeight="1">
      <c r="A388" s="87" t="s">
        <v>8663</v>
      </c>
      <c r="Z388" s="9" t="s">
        <v>6384</v>
      </c>
      <c r="AA388" s="9" t="s">
        <v>6384</v>
      </c>
      <c r="AB388" s="9" t="s">
        <v>6384</v>
      </c>
      <c r="AC388" s="9" t="s">
        <v>6384</v>
      </c>
      <c r="AD388" s="9" t="s">
        <v>6384</v>
      </c>
      <c r="AE388" s="9" t="s">
        <v>6384</v>
      </c>
      <c r="AF388" s="9" t="s">
        <v>6384</v>
      </c>
      <c r="AG388" s="9" t="s">
        <v>6384</v>
      </c>
      <c r="AH388" s="9" t="s">
        <v>6384</v>
      </c>
      <c r="AI388" s="9" t="s">
        <v>6384</v>
      </c>
      <c r="AJ388" s="9" t="s">
        <v>6384</v>
      </c>
      <c r="AK388" s="9" t="s">
        <v>6384</v>
      </c>
      <c r="AL388" s="9" t="s">
        <v>6384</v>
      </c>
      <c r="AM388" s="9" t="s">
        <v>6384</v>
      </c>
      <c r="AN388" s="9" t="s">
        <v>6384</v>
      </c>
      <c r="AO388" s="9" t="s">
        <v>6384</v>
      </c>
      <c r="AP388" s="9" t="s">
        <v>6384</v>
      </c>
      <c r="AQ388" s="9" t="s">
        <v>6384</v>
      </c>
      <c r="AR388" s="9" t="s">
        <v>6384</v>
      </c>
      <c r="AS388" s="9" t="s">
        <v>6384</v>
      </c>
      <c r="AT388" s="9" t="s">
        <v>6384</v>
      </c>
      <c r="AU388" s="9" t="s">
        <v>6384</v>
      </c>
      <c r="AV388" s="9" t="s">
        <v>6384</v>
      </c>
      <c r="AW388" s="9" t="s">
        <v>6384</v>
      </c>
      <c r="AX388" s="9" t="s">
        <v>6384</v>
      </c>
      <c r="AY388" s="9" t="s">
        <v>6384</v>
      </c>
      <c r="AZ388" s="9" t="s">
        <v>6384</v>
      </c>
      <c r="BA388" s="9" t="s">
        <v>6384</v>
      </c>
      <c r="BB388" s="9" t="s">
        <v>6384</v>
      </c>
      <c r="BC388" s="9" t="s">
        <v>6384</v>
      </c>
      <c r="BD388" s="9" t="s">
        <v>6384</v>
      </c>
      <c r="BE388" s="9" t="s">
        <v>6384</v>
      </c>
      <c r="BF388" s="9" t="s">
        <v>6384</v>
      </c>
      <c r="BG388" s="9" t="s">
        <v>6384</v>
      </c>
      <c r="BH388" s="9" t="s">
        <v>6384</v>
      </c>
      <c r="BI388" s="9" t="s">
        <v>6384</v>
      </c>
      <c r="BJ388" s="9" t="s">
        <v>6384</v>
      </c>
      <c r="BK388" s="9" t="s">
        <v>6384</v>
      </c>
      <c r="BL388" s="9" t="s">
        <v>6384</v>
      </c>
      <c r="BM388" s="9" t="s">
        <v>6384</v>
      </c>
      <c r="BN388" s="9" t="s">
        <v>6384</v>
      </c>
      <c r="BO388" s="9" t="s">
        <v>6384</v>
      </c>
      <c r="BP388" s="9" t="s">
        <v>6384</v>
      </c>
      <c r="BQ388" s="9" t="s">
        <v>6384</v>
      </c>
      <c r="BR388" s="9" t="s">
        <v>6384</v>
      </c>
      <c r="BS388" s="9" t="s">
        <v>6384</v>
      </c>
      <c r="BT388" s="9" t="s">
        <v>6384</v>
      </c>
      <c r="BU388" s="9" t="s">
        <v>6384</v>
      </c>
      <c r="BV388" s="9" t="s">
        <v>6384</v>
      </c>
      <c r="BW388" s="9" t="s">
        <v>6384</v>
      </c>
      <c r="BX388" s="9" t="s">
        <v>6384</v>
      </c>
      <c r="BY388" s="9" t="s">
        <v>6384</v>
      </c>
      <c r="BZ388" s="9" t="s">
        <v>6384</v>
      </c>
      <c r="CA388" s="9" t="s">
        <v>6384</v>
      </c>
      <c r="CB388" s="9" t="s">
        <v>6384</v>
      </c>
      <c r="CC388" s="9" t="s">
        <v>6384</v>
      </c>
      <c r="CD388" s="9" t="s">
        <v>6384</v>
      </c>
      <c r="CE388" s="9" t="s">
        <v>6384</v>
      </c>
      <c r="CF388" s="9" t="s">
        <v>6384</v>
      </c>
      <c r="CG388" s="9" t="s">
        <v>6384</v>
      </c>
      <c r="CH388" s="9" t="s">
        <v>6384</v>
      </c>
      <c r="CI388" s="9" t="s">
        <v>6384</v>
      </c>
      <c r="CJ388" s="9" t="s">
        <v>6384</v>
      </c>
      <c r="CK388" s="9" t="s">
        <v>6384</v>
      </c>
      <c r="CL388" s="9" t="s">
        <v>6384</v>
      </c>
      <c r="CM388" s="9" t="s">
        <v>6384</v>
      </c>
      <c r="CN388" s="9" t="s">
        <v>6384</v>
      </c>
      <c r="CO388" s="9" t="s">
        <v>6384</v>
      </c>
      <c r="CP388" s="9" t="s">
        <v>6384</v>
      </c>
      <c r="CQ388" s="9" t="s">
        <v>6384</v>
      </c>
      <c r="CR388" s="9" t="s">
        <v>6384</v>
      </c>
      <c r="CS388" s="9" t="s">
        <v>6384</v>
      </c>
      <c r="CT388" s="9" t="s">
        <v>6384</v>
      </c>
      <c r="CU388" s="9" t="s">
        <v>6384</v>
      </c>
      <c r="CV388" s="9" t="s">
        <v>6384</v>
      </c>
      <c r="CW388" s="9" t="s">
        <v>6384</v>
      </c>
      <c r="CX388" s="9" t="s">
        <v>6384</v>
      </c>
      <c r="CY388" s="9" t="s">
        <v>6384</v>
      </c>
      <c r="CZ388" s="9" t="s">
        <v>6384</v>
      </c>
      <c r="DA388" s="9" t="s">
        <v>6384</v>
      </c>
      <c r="DB388" s="9" t="s">
        <v>6384</v>
      </c>
      <c r="DC388" s="9" t="s">
        <v>6384</v>
      </c>
      <c r="DD388" s="9" t="s">
        <v>6384</v>
      </c>
      <c r="DE388" s="9" t="s">
        <v>6384</v>
      </c>
      <c r="DF388" s="9" t="s">
        <v>6384</v>
      </c>
      <c r="DG388" s="9" t="s">
        <v>6384</v>
      </c>
      <c r="DH388" s="9" t="s">
        <v>6384</v>
      </c>
      <c r="DI388" s="9" t="s">
        <v>6384</v>
      </c>
      <c r="DJ388" s="9" t="s">
        <v>6384</v>
      </c>
      <c r="DK388" s="9" t="s">
        <v>6384</v>
      </c>
      <c r="DL388" s="9" t="s">
        <v>6384</v>
      </c>
      <c r="DM388" s="9" t="s">
        <v>6384</v>
      </c>
      <c r="DN388" s="9" t="s">
        <v>6384</v>
      </c>
      <c r="DO388" s="9" t="s">
        <v>6384</v>
      </c>
      <c r="DP388" s="9" t="s">
        <v>6384</v>
      </c>
      <c r="DQ388" s="9" t="s">
        <v>6384</v>
      </c>
    </row>
    <row r="389" spans="1:121" ht="15.75" customHeight="1">
      <c r="A389" s="87" t="s">
        <v>8664</v>
      </c>
      <c r="Z389" s="9" t="s">
        <v>6384</v>
      </c>
      <c r="AA389" s="9" t="s">
        <v>6384</v>
      </c>
      <c r="AB389" s="9" t="s">
        <v>6384</v>
      </c>
      <c r="AC389" s="9" t="s">
        <v>6384</v>
      </c>
      <c r="AD389" s="9" t="s">
        <v>6384</v>
      </c>
      <c r="AE389" s="9" t="s">
        <v>6384</v>
      </c>
      <c r="AF389" s="9" t="s">
        <v>6384</v>
      </c>
      <c r="AG389" s="9" t="s">
        <v>6384</v>
      </c>
      <c r="AH389" s="9" t="s">
        <v>6384</v>
      </c>
      <c r="AI389" s="9" t="s">
        <v>6384</v>
      </c>
      <c r="AJ389" s="9" t="s">
        <v>6384</v>
      </c>
      <c r="AK389" s="9" t="s">
        <v>6384</v>
      </c>
      <c r="AL389" s="9" t="s">
        <v>6384</v>
      </c>
      <c r="AM389" s="9" t="s">
        <v>6384</v>
      </c>
      <c r="AN389" s="9" t="s">
        <v>6384</v>
      </c>
      <c r="AO389" s="9" t="s">
        <v>6384</v>
      </c>
      <c r="AP389" s="9" t="s">
        <v>6384</v>
      </c>
      <c r="AQ389" s="9" t="s">
        <v>6384</v>
      </c>
      <c r="AR389" s="9" t="s">
        <v>6384</v>
      </c>
      <c r="AS389" s="9" t="s">
        <v>6384</v>
      </c>
      <c r="AT389" s="9" t="s">
        <v>6384</v>
      </c>
      <c r="AU389" s="9" t="s">
        <v>6384</v>
      </c>
      <c r="AV389" s="9" t="s">
        <v>6384</v>
      </c>
      <c r="AW389" s="9" t="s">
        <v>6384</v>
      </c>
      <c r="AX389" s="9" t="s">
        <v>6384</v>
      </c>
      <c r="AY389" s="9" t="s">
        <v>6384</v>
      </c>
      <c r="AZ389" s="9" t="s">
        <v>6384</v>
      </c>
      <c r="BA389" s="9" t="s">
        <v>6384</v>
      </c>
      <c r="BB389" s="9" t="s">
        <v>6384</v>
      </c>
      <c r="BC389" s="9" t="s">
        <v>6384</v>
      </c>
      <c r="BD389" s="9" t="s">
        <v>6384</v>
      </c>
      <c r="BE389" s="9" t="s">
        <v>6384</v>
      </c>
      <c r="BF389" s="9" t="s">
        <v>6384</v>
      </c>
      <c r="BG389" s="9" t="s">
        <v>6384</v>
      </c>
      <c r="BH389" s="9" t="s">
        <v>6384</v>
      </c>
      <c r="BI389" s="9" t="s">
        <v>6384</v>
      </c>
      <c r="BJ389" s="9" t="s">
        <v>6384</v>
      </c>
      <c r="BK389" s="9" t="s">
        <v>6384</v>
      </c>
      <c r="BL389" s="9" t="s">
        <v>6384</v>
      </c>
      <c r="BM389" s="9" t="s">
        <v>6384</v>
      </c>
      <c r="BN389" s="9" t="s">
        <v>6384</v>
      </c>
      <c r="BO389" s="9" t="s">
        <v>6384</v>
      </c>
      <c r="BP389" s="9" t="s">
        <v>6384</v>
      </c>
      <c r="BQ389" s="9" t="s">
        <v>6384</v>
      </c>
      <c r="BR389" s="9" t="s">
        <v>6384</v>
      </c>
      <c r="BS389" s="9" t="s">
        <v>6384</v>
      </c>
      <c r="BT389" s="9" t="s">
        <v>6384</v>
      </c>
      <c r="BU389" s="9" t="s">
        <v>6384</v>
      </c>
      <c r="BV389" s="9" t="s">
        <v>6384</v>
      </c>
      <c r="BW389" s="9" t="s">
        <v>6384</v>
      </c>
      <c r="BX389" s="9" t="s">
        <v>6384</v>
      </c>
      <c r="BY389" s="9" t="s">
        <v>6384</v>
      </c>
      <c r="BZ389" s="9" t="s">
        <v>6384</v>
      </c>
      <c r="CA389" s="9" t="s">
        <v>6384</v>
      </c>
      <c r="CB389" s="9" t="s">
        <v>6384</v>
      </c>
      <c r="CC389" s="9" t="s">
        <v>6384</v>
      </c>
      <c r="CD389" s="9" t="s">
        <v>6384</v>
      </c>
      <c r="CE389" s="9" t="s">
        <v>6384</v>
      </c>
      <c r="CF389" s="9" t="s">
        <v>6384</v>
      </c>
      <c r="CG389" s="9" t="s">
        <v>6384</v>
      </c>
      <c r="CH389" s="9" t="s">
        <v>6384</v>
      </c>
      <c r="CI389" s="9" t="s">
        <v>6384</v>
      </c>
      <c r="CJ389" s="9" t="s">
        <v>6384</v>
      </c>
      <c r="CK389" s="9" t="s">
        <v>6384</v>
      </c>
      <c r="CL389" s="9" t="s">
        <v>6384</v>
      </c>
      <c r="CM389" s="9" t="s">
        <v>6384</v>
      </c>
      <c r="CN389" s="9" t="s">
        <v>6384</v>
      </c>
      <c r="CO389" s="9" t="s">
        <v>6384</v>
      </c>
      <c r="CP389" s="9" t="s">
        <v>6384</v>
      </c>
      <c r="CQ389" s="9" t="s">
        <v>6384</v>
      </c>
      <c r="CR389" s="9" t="s">
        <v>6384</v>
      </c>
      <c r="CS389" s="9" t="s">
        <v>6384</v>
      </c>
      <c r="CT389" s="9" t="s">
        <v>6384</v>
      </c>
      <c r="CU389" s="9" t="s">
        <v>6384</v>
      </c>
      <c r="CV389" s="9" t="s">
        <v>6384</v>
      </c>
      <c r="CW389" s="9" t="s">
        <v>6384</v>
      </c>
      <c r="CX389" s="9" t="s">
        <v>6384</v>
      </c>
      <c r="CY389" s="9" t="s">
        <v>6384</v>
      </c>
      <c r="CZ389" s="9" t="s">
        <v>6384</v>
      </c>
      <c r="DA389" s="9" t="s">
        <v>6384</v>
      </c>
      <c r="DB389" s="9" t="s">
        <v>6384</v>
      </c>
      <c r="DC389" s="9" t="s">
        <v>6384</v>
      </c>
      <c r="DD389" s="9" t="s">
        <v>6384</v>
      </c>
      <c r="DE389" s="9" t="s">
        <v>6384</v>
      </c>
      <c r="DF389" s="9" t="s">
        <v>6384</v>
      </c>
      <c r="DG389" s="9" t="s">
        <v>6384</v>
      </c>
      <c r="DH389" s="9" t="s">
        <v>6384</v>
      </c>
      <c r="DI389" s="9" t="s">
        <v>6384</v>
      </c>
      <c r="DJ389" s="9" t="s">
        <v>6384</v>
      </c>
      <c r="DK389" s="9" t="s">
        <v>6384</v>
      </c>
      <c r="DL389" s="9" t="s">
        <v>6384</v>
      </c>
      <c r="DM389" s="9" t="s">
        <v>6384</v>
      </c>
      <c r="DN389" s="9" t="s">
        <v>6384</v>
      </c>
      <c r="DO389" s="9" t="s">
        <v>6384</v>
      </c>
      <c r="DP389" s="9" t="s">
        <v>6384</v>
      </c>
      <c r="DQ389" s="9" t="s">
        <v>6384</v>
      </c>
    </row>
    <row r="390" spans="1:121" ht="15.75" customHeight="1">
      <c r="A390" s="87" t="s">
        <v>8665</v>
      </c>
      <c r="Z390" s="9" t="s">
        <v>6384</v>
      </c>
      <c r="AA390" s="9" t="s">
        <v>6384</v>
      </c>
      <c r="AB390" s="9" t="s">
        <v>6384</v>
      </c>
      <c r="AC390" s="9" t="s">
        <v>6384</v>
      </c>
      <c r="AD390" s="9" t="s">
        <v>6384</v>
      </c>
      <c r="AE390" s="9" t="s">
        <v>6384</v>
      </c>
      <c r="AF390" s="9" t="s">
        <v>6384</v>
      </c>
      <c r="AG390" s="9" t="s">
        <v>6384</v>
      </c>
      <c r="AH390" s="9" t="s">
        <v>6384</v>
      </c>
      <c r="AI390" s="9" t="s">
        <v>6384</v>
      </c>
      <c r="AJ390" s="9" t="s">
        <v>6384</v>
      </c>
      <c r="AK390" s="9" t="s">
        <v>6384</v>
      </c>
      <c r="AL390" s="9" t="s">
        <v>6384</v>
      </c>
      <c r="AM390" s="9" t="s">
        <v>6384</v>
      </c>
      <c r="AN390" s="9" t="s">
        <v>6374</v>
      </c>
      <c r="AO390" s="9" t="s">
        <v>6374</v>
      </c>
      <c r="AP390" s="9" t="s">
        <v>6374</v>
      </c>
      <c r="AQ390" s="9" t="s">
        <v>6374</v>
      </c>
      <c r="AR390" s="9" t="s">
        <v>6374</v>
      </c>
      <c r="AS390" s="9" t="s">
        <v>6374</v>
      </c>
      <c r="AT390" s="9" t="s">
        <v>6374</v>
      </c>
      <c r="AU390" s="9" t="s">
        <v>6374</v>
      </c>
      <c r="AV390" s="9" t="s">
        <v>6374</v>
      </c>
      <c r="AW390" s="9" t="s">
        <v>6374</v>
      </c>
      <c r="AX390" s="9" t="s">
        <v>6374</v>
      </c>
      <c r="AY390" s="9" t="s">
        <v>6374</v>
      </c>
      <c r="AZ390" s="9" t="s">
        <v>6374</v>
      </c>
      <c r="BA390" s="9" t="s">
        <v>6374</v>
      </c>
      <c r="BB390" s="9" t="s">
        <v>6374</v>
      </c>
      <c r="BC390" s="9" t="s">
        <v>6374</v>
      </c>
      <c r="BD390" s="9" t="s">
        <v>6374</v>
      </c>
      <c r="BE390" s="9" t="s">
        <v>6374</v>
      </c>
      <c r="BF390" s="9" t="s">
        <v>6374</v>
      </c>
      <c r="BG390" s="9" t="s">
        <v>6374</v>
      </c>
      <c r="BH390" s="9" t="s">
        <v>6374</v>
      </c>
      <c r="BI390" s="9" t="s">
        <v>6374</v>
      </c>
      <c r="BJ390" s="9" t="s">
        <v>6374</v>
      </c>
      <c r="BK390" s="9" t="s">
        <v>6374</v>
      </c>
      <c r="BL390" s="9" t="s">
        <v>6374</v>
      </c>
      <c r="BM390" s="9" t="s">
        <v>6374</v>
      </c>
      <c r="BN390" s="9" t="s">
        <v>6374</v>
      </c>
      <c r="BO390" s="9" t="s">
        <v>6374</v>
      </c>
      <c r="BP390" s="9" t="s">
        <v>6374</v>
      </c>
      <c r="BQ390" s="9" t="s">
        <v>6374</v>
      </c>
      <c r="BR390" s="9" t="s">
        <v>6374</v>
      </c>
      <c r="BS390" s="9" t="s">
        <v>6374</v>
      </c>
      <c r="BT390" s="9" t="s">
        <v>6374</v>
      </c>
      <c r="BU390" s="9" t="s">
        <v>6374</v>
      </c>
      <c r="BV390" s="9" t="s">
        <v>6374</v>
      </c>
      <c r="BW390" s="9" t="s">
        <v>6374</v>
      </c>
      <c r="BX390" s="9" t="s">
        <v>6374</v>
      </c>
      <c r="BY390" s="9" t="s">
        <v>6374</v>
      </c>
      <c r="BZ390" s="9" t="s">
        <v>6374</v>
      </c>
      <c r="CA390" s="9" t="s">
        <v>6374</v>
      </c>
      <c r="CB390" s="9" t="s">
        <v>6374</v>
      </c>
      <c r="CC390" s="9" t="s">
        <v>6374</v>
      </c>
      <c r="CD390" s="9" t="s">
        <v>6374</v>
      </c>
      <c r="CE390" s="9" t="s">
        <v>6374</v>
      </c>
      <c r="CF390" s="9" t="s">
        <v>6374</v>
      </c>
      <c r="CG390" s="9" t="s">
        <v>6374</v>
      </c>
      <c r="CH390" s="9" t="s">
        <v>6374</v>
      </c>
      <c r="CI390" s="9" t="s">
        <v>6374</v>
      </c>
      <c r="CJ390" s="9" t="s">
        <v>6374</v>
      </c>
      <c r="CK390" s="9" t="s">
        <v>6374</v>
      </c>
      <c r="CL390" s="9" t="s">
        <v>6374</v>
      </c>
      <c r="CM390" s="9" t="s">
        <v>6374</v>
      </c>
      <c r="CN390" s="9" t="s">
        <v>6374</v>
      </c>
      <c r="CO390" s="9" t="s">
        <v>6374</v>
      </c>
      <c r="CP390" s="9" t="s">
        <v>6374</v>
      </c>
      <c r="CQ390" s="9" t="s">
        <v>6374</v>
      </c>
      <c r="CR390" s="9" t="s">
        <v>6374</v>
      </c>
      <c r="CS390" s="9" t="s">
        <v>6374</v>
      </c>
      <c r="CT390" s="9" t="s">
        <v>6374</v>
      </c>
      <c r="CU390" s="9" t="s">
        <v>6374</v>
      </c>
      <c r="CV390" s="9" t="s">
        <v>6374</v>
      </c>
      <c r="CW390" s="9" t="s">
        <v>6374</v>
      </c>
      <c r="CX390" s="9" t="s">
        <v>6374</v>
      </c>
      <c r="CY390" s="9" t="s">
        <v>6374</v>
      </c>
      <c r="CZ390" s="9" t="s">
        <v>6374</v>
      </c>
      <c r="DA390" s="9" t="s">
        <v>6374</v>
      </c>
      <c r="DB390" s="9" t="s">
        <v>6374</v>
      </c>
      <c r="DC390" s="9" t="s">
        <v>6374</v>
      </c>
      <c r="DD390" s="9" t="s">
        <v>6374</v>
      </c>
      <c r="DE390" s="9" t="s">
        <v>6374</v>
      </c>
      <c r="DF390" s="9" t="s">
        <v>6374</v>
      </c>
      <c r="DG390" s="9" t="s">
        <v>6374</v>
      </c>
      <c r="DH390" s="9" t="s">
        <v>6374</v>
      </c>
      <c r="DI390" s="9" t="s">
        <v>6374</v>
      </c>
      <c r="DJ390" s="9" t="s">
        <v>6374</v>
      </c>
      <c r="DK390" s="9" t="s">
        <v>6374</v>
      </c>
      <c r="DL390" s="9" t="s">
        <v>6374</v>
      </c>
      <c r="DM390" s="9" t="s">
        <v>6374</v>
      </c>
      <c r="DN390" s="9" t="s">
        <v>6374</v>
      </c>
      <c r="DO390" s="9" t="s">
        <v>6374</v>
      </c>
      <c r="DP390" s="9" t="s">
        <v>6374</v>
      </c>
      <c r="DQ390" s="9" t="s">
        <v>6374</v>
      </c>
    </row>
    <row r="391" spans="1:121" ht="15.75" customHeight="1">
      <c r="A391" s="87" t="s">
        <v>8666</v>
      </c>
      <c r="Z391" s="9" t="s">
        <v>6374</v>
      </c>
      <c r="AA391" s="9" t="s">
        <v>6374</v>
      </c>
      <c r="AB391" s="9" t="s">
        <v>6374</v>
      </c>
      <c r="AC391" s="9" t="s">
        <v>6374</v>
      </c>
      <c r="AD391" s="9" t="s">
        <v>6374</v>
      </c>
      <c r="AE391" s="9" t="s">
        <v>6374</v>
      </c>
      <c r="AF391" s="9" t="s">
        <v>6374</v>
      </c>
      <c r="AG391" s="9" t="s">
        <v>6374</v>
      </c>
      <c r="AH391" s="9" t="s">
        <v>6374</v>
      </c>
      <c r="AI391" s="9" t="s">
        <v>6374</v>
      </c>
      <c r="AJ391" s="9" t="s">
        <v>6374</v>
      </c>
      <c r="AK391" s="9" t="s">
        <v>6374</v>
      </c>
      <c r="AL391" s="9" t="s">
        <v>6374</v>
      </c>
      <c r="AM391" s="9" t="s">
        <v>6374</v>
      </c>
      <c r="AN391" s="9" t="s">
        <v>6374</v>
      </c>
      <c r="AO391" s="9" t="s">
        <v>6374</v>
      </c>
      <c r="AP391" s="9" t="s">
        <v>6374</v>
      </c>
      <c r="AQ391" s="9" t="s">
        <v>6374</v>
      </c>
      <c r="AR391" s="9" t="s">
        <v>6374</v>
      </c>
      <c r="AS391" s="9" t="s">
        <v>6374</v>
      </c>
      <c r="AT391" s="9" t="s">
        <v>6374</v>
      </c>
      <c r="AU391" s="9" t="s">
        <v>6374</v>
      </c>
      <c r="AV391" s="9" t="s">
        <v>6374</v>
      </c>
      <c r="AW391" s="9" t="s">
        <v>6374</v>
      </c>
      <c r="AX391" s="9" t="s">
        <v>6374</v>
      </c>
      <c r="AY391" s="9" t="s">
        <v>6374</v>
      </c>
      <c r="AZ391" s="9" t="s">
        <v>6374</v>
      </c>
      <c r="BA391" s="9" t="s">
        <v>6374</v>
      </c>
      <c r="BB391" s="9" t="s">
        <v>6374</v>
      </c>
      <c r="BC391" s="9" t="s">
        <v>6374</v>
      </c>
      <c r="BD391" s="9" t="s">
        <v>6374</v>
      </c>
      <c r="BE391" s="9" t="s">
        <v>6374</v>
      </c>
      <c r="BF391" s="9" t="s">
        <v>6374</v>
      </c>
      <c r="BG391" s="9" t="s">
        <v>6374</v>
      </c>
      <c r="BH391" s="9" t="s">
        <v>6374</v>
      </c>
      <c r="BI391" s="9" t="s">
        <v>6374</v>
      </c>
      <c r="BJ391" s="9" t="s">
        <v>6374</v>
      </c>
      <c r="BK391" s="9" t="s">
        <v>6374</v>
      </c>
      <c r="BL391" s="9" t="s">
        <v>6374</v>
      </c>
      <c r="BM391" s="9" t="s">
        <v>6374</v>
      </c>
      <c r="BN391" s="9" t="s">
        <v>6374</v>
      </c>
      <c r="BO391" s="9" t="s">
        <v>6374</v>
      </c>
      <c r="BP391" s="9" t="s">
        <v>6374</v>
      </c>
      <c r="BQ391" s="9" t="s">
        <v>6374</v>
      </c>
      <c r="BR391" s="9" t="s">
        <v>6374</v>
      </c>
      <c r="BS391" s="9" t="s">
        <v>6374</v>
      </c>
      <c r="BT391" s="9" t="s">
        <v>6374</v>
      </c>
      <c r="BU391" s="9" t="s">
        <v>6374</v>
      </c>
      <c r="BV391" s="9" t="s">
        <v>6374</v>
      </c>
      <c r="BW391" s="9" t="s">
        <v>6374</v>
      </c>
      <c r="BX391" s="9" t="s">
        <v>6374</v>
      </c>
      <c r="BY391" s="9" t="s">
        <v>6374</v>
      </c>
      <c r="BZ391" s="9" t="s">
        <v>6374</v>
      </c>
      <c r="CA391" s="9" t="s">
        <v>6374</v>
      </c>
      <c r="CB391" s="9" t="s">
        <v>6374</v>
      </c>
      <c r="CC391" s="9" t="s">
        <v>6374</v>
      </c>
      <c r="CD391" s="9" t="s">
        <v>6374</v>
      </c>
      <c r="CE391" s="9" t="s">
        <v>6374</v>
      </c>
      <c r="CF391" s="9" t="s">
        <v>6374</v>
      </c>
      <c r="CG391" s="9" t="s">
        <v>6374</v>
      </c>
      <c r="CH391" s="9" t="s">
        <v>6374</v>
      </c>
      <c r="CI391" s="9" t="s">
        <v>6374</v>
      </c>
      <c r="CJ391" s="9" t="s">
        <v>6374</v>
      </c>
      <c r="CK391" s="9" t="s">
        <v>6374</v>
      </c>
      <c r="CL391" s="9" t="s">
        <v>6374</v>
      </c>
      <c r="CM391" s="9" t="s">
        <v>6374</v>
      </c>
      <c r="CN391" s="9" t="s">
        <v>6374</v>
      </c>
      <c r="CO391" s="9" t="s">
        <v>6374</v>
      </c>
      <c r="CP391" s="9" t="s">
        <v>6374</v>
      </c>
      <c r="CQ391" s="9" t="s">
        <v>6374</v>
      </c>
      <c r="CR391" s="9" t="s">
        <v>6374</v>
      </c>
      <c r="CS391" s="9" t="s">
        <v>6374</v>
      </c>
      <c r="CT391" s="9" t="s">
        <v>6374</v>
      </c>
      <c r="CU391" s="9" t="s">
        <v>6374</v>
      </c>
      <c r="CV391" s="9" t="s">
        <v>6374</v>
      </c>
      <c r="CW391" s="9" t="s">
        <v>6374</v>
      </c>
      <c r="CX391" s="9" t="s">
        <v>6374</v>
      </c>
      <c r="CY391" s="9" t="s">
        <v>6374</v>
      </c>
      <c r="CZ391" s="9" t="s">
        <v>6374</v>
      </c>
      <c r="DA391" s="9" t="s">
        <v>6374</v>
      </c>
      <c r="DB391" s="9" t="s">
        <v>6374</v>
      </c>
      <c r="DC391" s="9" t="s">
        <v>6374</v>
      </c>
      <c r="DD391" s="9" t="s">
        <v>6374</v>
      </c>
      <c r="DE391" s="9" t="s">
        <v>6374</v>
      </c>
      <c r="DF391" s="9" t="s">
        <v>6374</v>
      </c>
      <c r="DG391" s="9" t="s">
        <v>6374</v>
      </c>
      <c r="DH391" s="9" t="s">
        <v>6374</v>
      </c>
      <c r="DI391" s="9" t="s">
        <v>6374</v>
      </c>
      <c r="DJ391" s="9" t="s">
        <v>6374</v>
      </c>
      <c r="DK391" s="9" t="s">
        <v>6374</v>
      </c>
      <c r="DL391" s="9" t="s">
        <v>6374</v>
      </c>
      <c r="DM391" s="9" t="s">
        <v>6374</v>
      </c>
      <c r="DN391" s="9" t="s">
        <v>6374</v>
      </c>
      <c r="DO391" s="9" t="s">
        <v>6374</v>
      </c>
      <c r="DP391" s="9" t="s">
        <v>6374</v>
      </c>
      <c r="DQ391" s="9" t="s">
        <v>6374</v>
      </c>
    </row>
    <row r="392" spans="1:121" ht="15.75" customHeight="1">
      <c r="A392" s="87" t="s">
        <v>8667</v>
      </c>
      <c r="Z392" s="9" t="s">
        <v>6374</v>
      </c>
      <c r="AA392" s="9" t="s">
        <v>6374</v>
      </c>
      <c r="AB392" s="9" t="s">
        <v>6374</v>
      </c>
      <c r="AC392" s="9" t="s">
        <v>6374</v>
      </c>
      <c r="AD392" s="9" t="s">
        <v>6374</v>
      </c>
      <c r="AE392" s="9" t="s">
        <v>6374</v>
      </c>
      <c r="AF392" s="9" t="s">
        <v>6374</v>
      </c>
      <c r="AG392" s="9" t="s">
        <v>6374</v>
      </c>
      <c r="AH392" s="9" t="s">
        <v>6374</v>
      </c>
      <c r="AI392" s="9" t="s">
        <v>6374</v>
      </c>
      <c r="AJ392" s="9" t="s">
        <v>6374</v>
      </c>
      <c r="AK392" s="9" t="s">
        <v>6374</v>
      </c>
      <c r="AL392" s="9" t="s">
        <v>6374</v>
      </c>
      <c r="AM392" s="9" t="s">
        <v>6374</v>
      </c>
      <c r="AN392" s="9" t="s">
        <v>6374</v>
      </c>
      <c r="AO392" s="9" t="s">
        <v>6374</v>
      </c>
      <c r="AP392" s="9" t="s">
        <v>6374</v>
      </c>
      <c r="AQ392" s="9" t="s">
        <v>6374</v>
      </c>
      <c r="AR392" s="9" t="s">
        <v>6374</v>
      </c>
      <c r="AS392" s="9" t="s">
        <v>6374</v>
      </c>
      <c r="AT392" s="9" t="s">
        <v>6374</v>
      </c>
      <c r="AU392" s="9" t="s">
        <v>6374</v>
      </c>
      <c r="AV392" s="9" t="s">
        <v>6374</v>
      </c>
      <c r="AW392" s="9" t="s">
        <v>6374</v>
      </c>
      <c r="AX392" s="9" t="s">
        <v>6374</v>
      </c>
      <c r="AY392" s="9" t="s">
        <v>6374</v>
      </c>
      <c r="AZ392" s="9" t="s">
        <v>6374</v>
      </c>
      <c r="BA392" s="9" t="s">
        <v>6374</v>
      </c>
      <c r="BB392" s="9" t="s">
        <v>6374</v>
      </c>
      <c r="BC392" s="9" t="s">
        <v>6374</v>
      </c>
      <c r="BD392" s="9" t="s">
        <v>6374</v>
      </c>
      <c r="BE392" s="9" t="s">
        <v>6374</v>
      </c>
      <c r="BF392" s="9" t="s">
        <v>6374</v>
      </c>
      <c r="BG392" s="9" t="s">
        <v>6374</v>
      </c>
      <c r="BH392" s="9" t="s">
        <v>6374</v>
      </c>
      <c r="BI392" s="9" t="s">
        <v>6374</v>
      </c>
      <c r="BJ392" s="9" t="s">
        <v>6374</v>
      </c>
      <c r="BK392" s="9" t="s">
        <v>6374</v>
      </c>
      <c r="BL392" s="9" t="s">
        <v>6374</v>
      </c>
      <c r="BM392" s="9" t="s">
        <v>6374</v>
      </c>
      <c r="BN392" s="9" t="s">
        <v>6374</v>
      </c>
      <c r="BO392" s="9" t="s">
        <v>6374</v>
      </c>
      <c r="BP392" s="9" t="s">
        <v>6374</v>
      </c>
      <c r="BQ392" s="9" t="s">
        <v>6374</v>
      </c>
      <c r="BR392" s="9" t="s">
        <v>6374</v>
      </c>
      <c r="BS392" s="9" t="s">
        <v>6374</v>
      </c>
      <c r="BT392" s="9" t="s">
        <v>6374</v>
      </c>
      <c r="BU392" s="9" t="s">
        <v>6368</v>
      </c>
      <c r="BV392" s="9" t="s">
        <v>6368</v>
      </c>
      <c r="BW392" s="9" t="s">
        <v>6368</v>
      </c>
      <c r="BX392" s="9" t="s">
        <v>6368</v>
      </c>
      <c r="BY392" s="9" t="s">
        <v>6368</v>
      </c>
      <c r="BZ392" s="9" t="s">
        <v>6368</v>
      </c>
      <c r="CA392" s="9" t="s">
        <v>6368</v>
      </c>
      <c r="CB392" s="9" t="s">
        <v>6368</v>
      </c>
      <c r="CC392" s="9" t="s">
        <v>6368</v>
      </c>
      <c r="CD392" s="9" t="s">
        <v>6368</v>
      </c>
      <c r="CE392" s="9" t="s">
        <v>6368</v>
      </c>
      <c r="CF392" s="9" t="s">
        <v>6368</v>
      </c>
      <c r="CG392" s="9" t="s">
        <v>6368</v>
      </c>
      <c r="CH392" s="9" t="s">
        <v>6368</v>
      </c>
      <c r="CI392" s="9" t="s">
        <v>6368</v>
      </c>
      <c r="CJ392" s="9" t="s">
        <v>6368</v>
      </c>
      <c r="CK392" s="9" t="s">
        <v>6368</v>
      </c>
      <c r="CL392" s="9" t="s">
        <v>6368</v>
      </c>
      <c r="CM392" s="9" t="s">
        <v>6368</v>
      </c>
      <c r="CN392" s="9" t="s">
        <v>6368</v>
      </c>
      <c r="CO392" s="9" t="s">
        <v>6368</v>
      </c>
      <c r="CP392" s="9" t="s">
        <v>6368</v>
      </c>
      <c r="CQ392" s="9" t="s">
        <v>6368</v>
      </c>
      <c r="CR392" s="9" t="s">
        <v>6368</v>
      </c>
      <c r="CS392" s="9" t="s">
        <v>6368</v>
      </c>
      <c r="CT392" s="9" t="s">
        <v>6368</v>
      </c>
      <c r="CU392" s="9" t="s">
        <v>6368</v>
      </c>
      <c r="CV392" s="9" t="s">
        <v>6368</v>
      </c>
      <c r="CW392" s="9" t="s">
        <v>6368</v>
      </c>
      <c r="CX392" s="9" t="s">
        <v>6368</v>
      </c>
      <c r="CY392" s="9" t="s">
        <v>6368</v>
      </c>
      <c r="CZ392" s="9" t="s">
        <v>6368</v>
      </c>
      <c r="DA392" s="9" t="s">
        <v>6368</v>
      </c>
      <c r="DB392" s="9" t="s">
        <v>6368</v>
      </c>
      <c r="DC392" s="9" t="s">
        <v>6368</v>
      </c>
      <c r="DD392" s="9" t="s">
        <v>6368</v>
      </c>
      <c r="DE392" s="9" t="s">
        <v>6368</v>
      </c>
      <c r="DF392" s="9" t="s">
        <v>6368</v>
      </c>
      <c r="DG392" s="9" t="s">
        <v>6368</v>
      </c>
      <c r="DH392" s="9" t="s">
        <v>6368</v>
      </c>
      <c r="DI392" s="9" t="s">
        <v>6368</v>
      </c>
      <c r="DJ392" s="9" t="s">
        <v>6368</v>
      </c>
      <c r="DK392" s="9" t="s">
        <v>6368</v>
      </c>
      <c r="DL392" s="9" t="s">
        <v>6368</v>
      </c>
      <c r="DM392" s="9" t="s">
        <v>6368</v>
      </c>
      <c r="DN392" s="9" t="s">
        <v>6368</v>
      </c>
      <c r="DO392" s="9" t="s">
        <v>6368</v>
      </c>
      <c r="DP392" s="9" t="s">
        <v>6368</v>
      </c>
      <c r="DQ392" s="9" t="s">
        <v>6368</v>
      </c>
    </row>
    <row r="393" spans="1:121" ht="15.75" customHeight="1">
      <c r="A393" s="87" t="s">
        <v>8668</v>
      </c>
      <c r="Z393" s="9" t="s">
        <v>6368</v>
      </c>
      <c r="AA393" s="9" t="s">
        <v>6368</v>
      </c>
      <c r="AB393" s="9" t="s">
        <v>6368</v>
      </c>
      <c r="AC393" s="9" t="s">
        <v>6368</v>
      </c>
      <c r="AD393" s="9" t="s">
        <v>6368</v>
      </c>
      <c r="AE393" s="9" t="s">
        <v>6368</v>
      </c>
      <c r="AF393" s="9" t="s">
        <v>6368</v>
      </c>
      <c r="AG393" s="9" t="s">
        <v>6368</v>
      </c>
      <c r="AH393" s="9" t="s">
        <v>6368</v>
      </c>
      <c r="AI393" s="9" t="s">
        <v>6368</v>
      </c>
      <c r="AJ393" s="9" t="s">
        <v>6368</v>
      </c>
      <c r="AK393" s="9" t="s">
        <v>6368</v>
      </c>
      <c r="AL393" s="9" t="s">
        <v>6368</v>
      </c>
      <c r="AM393" s="9" t="s">
        <v>6368</v>
      </c>
      <c r="AN393" s="9" t="s">
        <v>6368</v>
      </c>
      <c r="AO393" s="9" t="s">
        <v>6368</v>
      </c>
      <c r="AP393" s="9" t="s">
        <v>6368</v>
      </c>
      <c r="AQ393" s="9" t="s">
        <v>6368</v>
      </c>
      <c r="AR393" s="9" t="s">
        <v>6368</v>
      </c>
      <c r="AS393" s="9" t="s">
        <v>6368</v>
      </c>
      <c r="AT393" s="9" t="s">
        <v>6368</v>
      </c>
      <c r="AU393" s="9" t="s">
        <v>6368</v>
      </c>
      <c r="AV393" s="9" t="s">
        <v>6368</v>
      </c>
      <c r="AW393" s="9" t="s">
        <v>6368</v>
      </c>
      <c r="AX393" s="9" t="s">
        <v>6368</v>
      </c>
      <c r="AY393" s="9" t="s">
        <v>6368</v>
      </c>
      <c r="AZ393" s="9" t="s">
        <v>2866</v>
      </c>
      <c r="BA393" s="9" t="s">
        <v>2866</v>
      </c>
      <c r="BB393" s="9" t="s">
        <v>2866</v>
      </c>
      <c r="BC393" s="9" t="s">
        <v>2866</v>
      </c>
      <c r="BD393" s="9" t="s">
        <v>2866</v>
      </c>
      <c r="BE393" s="9" t="s">
        <v>2866</v>
      </c>
      <c r="BF393" s="9" t="s">
        <v>2866</v>
      </c>
      <c r="BG393" s="9" t="s">
        <v>2866</v>
      </c>
      <c r="BH393" s="9" t="s">
        <v>2866</v>
      </c>
      <c r="BI393" s="9" t="s">
        <v>2866</v>
      </c>
      <c r="BJ393" s="9" t="s">
        <v>2866</v>
      </c>
      <c r="BK393" s="9" t="s">
        <v>2866</v>
      </c>
      <c r="BL393" s="9" t="s">
        <v>2866</v>
      </c>
      <c r="BM393" s="9" t="s">
        <v>2866</v>
      </c>
      <c r="BN393" s="9" t="s">
        <v>2866</v>
      </c>
      <c r="BO393" s="9" t="s">
        <v>2866</v>
      </c>
      <c r="BP393" s="9" t="s">
        <v>2866</v>
      </c>
      <c r="BQ393" s="9" t="s">
        <v>2866</v>
      </c>
      <c r="BR393" s="9" t="s">
        <v>2866</v>
      </c>
      <c r="BS393" s="9" t="s">
        <v>2866</v>
      </c>
      <c r="BT393" s="9" t="s">
        <v>2866</v>
      </c>
      <c r="BU393" s="9" t="s">
        <v>2866</v>
      </c>
      <c r="BV393" s="9" t="s">
        <v>2866</v>
      </c>
      <c r="BW393" s="9" t="s">
        <v>2866</v>
      </c>
      <c r="BX393" s="9" t="s">
        <v>2866</v>
      </c>
      <c r="BY393" s="9" t="s">
        <v>2866</v>
      </c>
      <c r="BZ393" s="9" t="s">
        <v>2866</v>
      </c>
      <c r="CA393" s="9" t="s">
        <v>2866</v>
      </c>
      <c r="CB393" s="9" t="s">
        <v>2866</v>
      </c>
      <c r="CC393" s="9" t="s">
        <v>2866</v>
      </c>
      <c r="CD393" s="9" t="s">
        <v>2866</v>
      </c>
      <c r="CE393" s="9" t="s">
        <v>2866</v>
      </c>
      <c r="CF393" s="9" t="s">
        <v>2866</v>
      </c>
      <c r="CG393" s="9" t="s">
        <v>2866</v>
      </c>
      <c r="CH393" s="9" t="s">
        <v>2866</v>
      </c>
      <c r="CI393" s="9" t="s">
        <v>2866</v>
      </c>
      <c r="CJ393" s="9" t="s">
        <v>2866</v>
      </c>
      <c r="CK393" s="9" t="s">
        <v>2866</v>
      </c>
      <c r="CL393" s="9" t="s">
        <v>6356</v>
      </c>
      <c r="CM393" s="9" t="s">
        <v>6356</v>
      </c>
      <c r="CN393" s="9" t="s">
        <v>6356</v>
      </c>
      <c r="CO393" s="9" t="s">
        <v>6356</v>
      </c>
      <c r="CP393" s="9" t="s">
        <v>6356</v>
      </c>
      <c r="CQ393" s="9" t="s">
        <v>6356</v>
      </c>
      <c r="CR393" s="9" t="s">
        <v>6356</v>
      </c>
      <c r="CS393" s="9" t="s">
        <v>6356</v>
      </c>
      <c r="CT393" s="9" t="s">
        <v>6356</v>
      </c>
      <c r="CU393" s="9" t="s">
        <v>6356</v>
      </c>
      <c r="CV393" s="9" t="s">
        <v>6356</v>
      </c>
      <c r="CW393" s="9" t="s">
        <v>6356</v>
      </c>
      <c r="CX393" s="9" t="s">
        <v>6356</v>
      </c>
      <c r="CY393" s="9" t="s">
        <v>6356</v>
      </c>
      <c r="CZ393" s="9" t="s">
        <v>6356</v>
      </c>
      <c r="DA393" s="9" t="s">
        <v>6356</v>
      </c>
      <c r="DB393" s="9" t="s">
        <v>6356</v>
      </c>
      <c r="DC393" s="9" t="s">
        <v>6356</v>
      </c>
      <c r="DD393" s="9" t="s">
        <v>6356</v>
      </c>
      <c r="DE393" s="9" t="s">
        <v>6356</v>
      </c>
      <c r="DF393" s="9" t="s">
        <v>6356</v>
      </c>
      <c r="DG393" s="9" t="s">
        <v>6356</v>
      </c>
      <c r="DH393" s="9" t="s">
        <v>6356</v>
      </c>
      <c r="DI393" s="9" t="s">
        <v>6356</v>
      </c>
      <c r="DJ393" s="9" t="s">
        <v>6356</v>
      </c>
      <c r="DK393" s="9" t="s">
        <v>6356</v>
      </c>
      <c r="DL393" s="9" t="s">
        <v>6356</v>
      </c>
      <c r="DM393" s="9" t="s">
        <v>6356</v>
      </c>
      <c r="DN393" s="9" t="s">
        <v>6356</v>
      </c>
      <c r="DO393" s="9" t="s">
        <v>6356</v>
      </c>
      <c r="DP393" s="9" t="s">
        <v>6356</v>
      </c>
      <c r="DQ393" s="9" t="s">
        <v>6356</v>
      </c>
    </row>
    <row r="394" spans="1:121" ht="15.75" customHeight="1">
      <c r="A394" s="87" t="s">
        <v>8669</v>
      </c>
      <c r="Z394" s="9" t="s">
        <v>6356</v>
      </c>
      <c r="AA394" s="9" t="s">
        <v>6356</v>
      </c>
      <c r="AB394" s="9" t="s">
        <v>6356</v>
      </c>
      <c r="AC394" s="9" t="s">
        <v>6356</v>
      </c>
      <c r="AD394" s="9" t="s">
        <v>6356</v>
      </c>
      <c r="AE394" s="9" t="s">
        <v>6356</v>
      </c>
      <c r="AF394" s="9" t="s">
        <v>6356</v>
      </c>
      <c r="AG394" s="9" t="s">
        <v>6356</v>
      </c>
      <c r="AH394" s="9" t="s">
        <v>6356</v>
      </c>
      <c r="AI394" s="9" t="s">
        <v>6356</v>
      </c>
      <c r="AJ394" s="9" t="s">
        <v>6356</v>
      </c>
      <c r="AK394" s="9" t="s">
        <v>6356</v>
      </c>
      <c r="AL394" s="9" t="s">
        <v>6356</v>
      </c>
      <c r="AM394" s="9" t="s">
        <v>6356</v>
      </c>
      <c r="AN394" s="9" t="s">
        <v>6356</v>
      </c>
      <c r="AO394" s="9" t="s">
        <v>6356</v>
      </c>
      <c r="AP394" s="9" t="s">
        <v>6356</v>
      </c>
      <c r="AQ394" s="9" t="s">
        <v>6356</v>
      </c>
      <c r="AR394" s="9" t="s">
        <v>6356</v>
      </c>
      <c r="AS394" s="9" t="s">
        <v>6356</v>
      </c>
      <c r="AT394" s="9" t="s">
        <v>6356</v>
      </c>
      <c r="AU394" s="9" t="s">
        <v>6356</v>
      </c>
      <c r="AV394" s="9" t="s">
        <v>6356</v>
      </c>
      <c r="AW394" s="9" t="s">
        <v>6356</v>
      </c>
      <c r="AX394" s="9" t="s">
        <v>6356</v>
      </c>
      <c r="AY394" s="9" t="s">
        <v>6356</v>
      </c>
      <c r="AZ394" s="9" t="s">
        <v>6356</v>
      </c>
      <c r="BA394" s="9" t="s">
        <v>6356</v>
      </c>
      <c r="BB394" s="9" t="s">
        <v>6356</v>
      </c>
      <c r="BC394" s="9" t="s">
        <v>6356</v>
      </c>
      <c r="BD394" s="9" t="s">
        <v>6356</v>
      </c>
      <c r="BE394" s="9" t="s">
        <v>6356</v>
      </c>
      <c r="BF394" s="9" t="s">
        <v>6356</v>
      </c>
      <c r="BG394" s="9" t="s">
        <v>6356</v>
      </c>
      <c r="BH394" s="9" t="s">
        <v>6356</v>
      </c>
      <c r="BI394" s="9" t="s">
        <v>6356</v>
      </c>
      <c r="BJ394" s="9" t="s">
        <v>6356</v>
      </c>
      <c r="BK394" s="9" t="s">
        <v>6356</v>
      </c>
      <c r="BL394" s="9" t="s">
        <v>6356</v>
      </c>
      <c r="BM394" s="9" t="s">
        <v>6356</v>
      </c>
      <c r="BN394" s="9" t="s">
        <v>6356</v>
      </c>
      <c r="BO394" s="9" t="s">
        <v>6356</v>
      </c>
      <c r="BP394" s="9" t="s">
        <v>6356</v>
      </c>
      <c r="BQ394" s="9" t="s">
        <v>3001</v>
      </c>
      <c r="BR394" s="9" t="s">
        <v>3001</v>
      </c>
      <c r="BS394" s="9" t="s">
        <v>3001</v>
      </c>
      <c r="BT394" s="9" t="s">
        <v>3001</v>
      </c>
      <c r="BU394" s="9" t="s">
        <v>3001</v>
      </c>
      <c r="BV394" s="9" t="s">
        <v>3001</v>
      </c>
      <c r="BW394" s="9" t="s">
        <v>3001</v>
      </c>
      <c r="BX394" s="9" t="s">
        <v>3001</v>
      </c>
      <c r="BY394" s="9" t="s">
        <v>3001</v>
      </c>
      <c r="BZ394" s="9" t="s">
        <v>3001</v>
      </c>
      <c r="CA394" s="9" t="s">
        <v>3001</v>
      </c>
      <c r="CB394" s="9" t="s">
        <v>3001</v>
      </c>
      <c r="CC394" s="9" t="s">
        <v>3001</v>
      </c>
      <c r="CD394" s="9" t="s">
        <v>3001</v>
      </c>
      <c r="CE394" s="9" t="s">
        <v>3001</v>
      </c>
      <c r="CF394" s="9" t="s">
        <v>3001</v>
      </c>
      <c r="CG394" s="9" t="s">
        <v>3001</v>
      </c>
      <c r="CH394" s="9" t="s">
        <v>3001</v>
      </c>
      <c r="CI394" s="9" t="s">
        <v>3001</v>
      </c>
      <c r="CJ394" s="9" t="s">
        <v>3001</v>
      </c>
      <c r="CK394" s="9" t="s">
        <v>3001</v>
      </c>
      <c r="CL394" s="9" t="s">
        <v>3001</v>
      </c>
      <c r="CM394" s="9" t="s">
        <v>3001</v>
      </c>
      <c r="CN394" s="9" t="s">
        <v>3001</v>
      </c>
      <c r="CO394" s="9" t="s">
        <v>3001</v>
      </c>
      <c r="CP394" s="9" t="s">
        <v>3001</v>
      </c>
      <c r="CQ394" s="9" t="s">
        <v>3001</v>
      </c>
      <c r="CR394" s="9" t="s">
        <v>3001</v>
      </c>
      <c r="CS394" s="9" t="s">
        <v>3001</v>
      </c>
      <c r="CT394" s="9" t="s">
        <v>3001</v>
      </c>
      <c r="CU394" s="9" t="s">
        <v>3001</v>
      </c>
      <c r="CV394" s="9" t="s">
        <v>3001</v>
      </c>
      <c r="CW394" s="9" t="s">
        <v>3001</v>
      </c>
      <c r="CX394" s="9" t="s">
        <v>3001</v>
      </c>
      <c r="CY394" s="9" t="s">
        <v>3001</v>
      </c>
      <c r="CZ394" s="9" t="s">
        <v>3001</v>
      </c>
      <c r="DA394" s="9" t="s">
        <v>3001</v>
      </c>
      <c r="DB394" s="9" t="s">
        <v>3001</v>
      </c>
      <c r="DC394" s="9" t="s">
        <v>3001</v>
      </c>
      <c r="DD394" s="9" t="s">
        <v>3001</v>
      </c>
      <c r="DE394" s="9" t="s">
        <v>3001</v>
      </c>
      <c r="DF394" s="9" t="s">
        <v>3001</v>
      </c>
      <c r="DG394" s="9" t="s">
        <v>3001</v>
      </c>
      <c r="DH394" s="9" t="s">
        <v>3001</v>
      </c>
      <c r="DI394" s="9" t="s">
        <v>3001</v>
      </c>
      <c r="DJ394" s="9" t="s">
        <v>3001</v>
      </c>
      <c r="DK394" s="9" t="s">
        <v>3001</v>
      </c>
      <c r="DL394" s="9" t="s">
        <v>3001</v>
      </c>
      <c r="DM394" s="9" t="s">
        <v>3001</v>
      </c>
      <c r="DN394" s="9" t="s">
        <v>3001</v>
      </c>
      <c r="DO394" s="9" t="s">
        <v>3001</v>
      </c>
      <c r="DP394" s="9" t="s">
        <v>3001</v>
      </c>
      <c r="DQ394" s="9" t="s">
        <v>3001</v>
      </c>
    </row>
    <row r="395" spans="1:121" ht="15.75" customHeight="1">
      <c r="A395" s="87" t="s">
        <v>8670</v>
      </c>
      <c r="Z395" s="9" t="s">
        <v>3001</v>
      </c>
      <c r="AA395" s="9" t="s">
        <v>3001</v>
      </c>
      <c r="AB395" s="9" t="s">
        <v>3001</v>
      </c>
      <c r="AC395" s="9" t="s">
        <v>3001</v>
      </c>
      <c r="AD395" s="9" t="s">
        <v>3001</v>
      </c>
      <c r="AE395" s="9" t="s">
        <v>3001</v>
      </c>
      <c r="AF395" s="9" t="s">
        <v>3001</v>
      </c>
      <c r="AG395" s="9" t="s">
        <v>3001</v>
      </c>
      <c r="AH395" s="9" t="s">
        <v>3001</v>
      </c>
      <c r="AI395" s="9" t="s">
        <v>3001</v>
      </c>
      <c r="AJ395" s="9" t="s">
        <v>3001</v>
      </c>
      <c r="AK395" s="9" t="s">
        <v>3001</v>
      </c>
      <c r="AL395" s="9" t="s">
        <v>3001</v>
      </c>
      <c r="AM395" s="9" t="s">
        <v>3001</v>
      </c>
      <c r="AN395" s="9" t="s">
        <v>3001</v>
      </c>
      <c r="AO395" s="9" t="s">
        <v>3001</v>
      </c>
      <c r="AP395" s="9" t="s">
        <v>3001</v>
      </c>
      <c r="AQ395" s="9" t="s">
        <v>3001</v>
      </c>
      <c r="AR395" s="9" t="s">
        <v>3001</v>
      </c>
      <c r="AS395" s="9" t="s">
        <v>3001</v>
      </c>
      <c r="AT395" s="9" t="s">
        <v>3001</v>
      </c>
      <c r="AU395" s="9" t="s">
        <v>3001</v>
      </c>
      <c r="AV395" s="9" t="s">
        <v>3001</v>
      </c>
      <c r="AW395" s="9" t="s">
        <v>3001</v>
      </c>
      <c r="AX395" s="9" t="s">
        <v>3001</v>
      </c>
      <c r="AY395" s="9" t="s">
        <v>3001</v>
      </c>
      <c r="AZ395" s="9" t="s">
        <v>3001</v>
      </c>
      <c r="BA395" s="9" t="s">
        <v>3001</v>
      </c>
      <c r="BB395" s="9" t="s">
        <v>3001</v>
      </c>
      <c r="BC395" s="9" t="s">
        <v>3001</v>
      </c>
      <c r="BD395" s="9" t="s">
        <v>3001</v>
      </c>
      <c r="BE395" s="9" t="s">
        <v>3001</v>
      </c>
      <c r="BF395" s="9" t="s">
        <v>3001</v>
      </c>
      <c r="BG395" s="9" t="s">
        <v>3001</v>
      </c>
      <c r="BH395" s="9" t="s">
        <v>3001</v>
      </c>
      <c r="BI395" s="9" t="s">
        <v>3001</v>
      </c>
      <c r="BJ395" s="9" t="s">
        <v>3001</v>
      </c>
      <c r="BK395" s="9" t="s">
        <v>3001</v>
      </c>
      <c r="BL395" s="9" t="s">
        <v>3001</v>
      </c>
      <c r="BM395" s="9" t="s">
        <v>3001</v>
      </c>
      <c r="BN395" s="9" t="s">
        <v>3001</v>
      </c>
      <c r="BO395" s="9" t="s">
        <v>3001</v>
      </c>
      <c r="BP395" s="9" t="s">
        <v>3001</v>
      </c>
      <c r="BQ395" s="9" t="s">
        <v>3001</v>
      </c>
      <c r="BR395" s="9" t="s">
        <v>3001</v>
      </c>
      <c r="BS395" s="9" t="s">
        <v>3001</v>
      </c>
      <c r="BT395" s="9" t="s">
        <v>3001</v>
      </c>
      <c r="BU395" s="9" t="s">
        <v>3001</v>
      </c>
      <c r="BV395" s="9" t="s">
        <v>3001</v>
      </c>
      <c r="BW395" s="9" t="s">
        <v>3001</v>
      </c>
      <c r="BX395" s="9" t="s">
        <v>3001</v>
      </c>
      <c r="BY395" s="9" t="s">
        <v>3001</v>
      </c>
      <c r="BZ395" s="9" t="s">
        <v>3001</v>
      </c>
      <c r="CA395" s="9" t="s">
        <v>3001</v>
      </c>
      <c r="CB395" s="9" t="s">
        <v>3001</v>
      </c>
      <c r="CC395" s="9" t="s">
        <v>3001</v>
      </c>
      <c r="CD395" s="9" t="s">
        <v>3001</v>
      </c>
      <c r="CE395" s="9" t="s">
        <v>3001</v>
      </c>
      <c r="CF395" s="9" t="s">
        <v>3001</v>
      </c>
      <c r="CG395" s="9" t="s">
        <v>3001</v>
      </c>
      <c r="CH395" s="9" t="s">
        <v>3001</v>
      </c>
      <c r="CI395" s="9" t="s">
        <v>3001</v>
      </c>
      <c r="CJ395" s="9" t="s">
        <v>3001</v>
      </c>
      <c r="CK395" s="9" t="s">
        <v>3001</v>
      </c>
      <c r="CL395" s="9" t="s">
        <v>3001</v>
      </c>
      <c r="CM395" s="9" t="s">
        <v>3001</v>
      </c>
      <c r="CN395" s="9" t="s">
        <v>3001</v>
      </c>
      <c r="CO395" s="9" t="s">
        <v>3023</v>
      </c>
      <c r="CP395" s="9" t="s">
        <v>3023</v>
      </c>
      <c r="CQ395" s="9" t="s">
        <v>3023</v>
      </c>
      <c r="CR395" s="9" t="s">
        <v>3023</v>
      </c>
      <c r="CS395" s="9" t="s">
        <v>3023</v>
      </c>
      <c r="CT395" s="9" t="s">
        <v>3023</v>
      </c>
      <c r="CU395" s="9" t="s">
        <v>3023</v>
      </c>
      <c r="CV395" s="9" t="s">
        <v>3023</v>
      </c>
      <c r="CW395" s="9" t="s">
        <v>3023</v>
      </c>
      <c r="CX395" s="9" t="s">
        <v>3023</v>
      </c>
      <c r="CY395" s="9" t="s">
        <v>3023</v>
      </c>
      <c r="CZ395" s="9" t="s">
        <v>3023</v>
      </c>
      <c r="DA395" s="9" t="s">
        <v>3023</v>
      </c>
      <c r="DB395" s="9" t="s">
        <v>3023</v>
      </c>
      <c r="DC395" s="9" t="s">
        <v>3023</v>
      </c>
      <c r="DD395" s="9" t="s">
        <v>3023</v>
      </c>
      <c r="DE395" s="9" t="s">
        <v>3023</v>
      </c>
      <c r="DF395" s="9" t="s">
        <v>3023</v>
      </c>
      <c r="DG395" s="9" t="s">
        <v>3023</v>
      </c>
      <c r="DH395" s="9" t="s">
        <v>3023</v>
      </c>
      <c r="DI395" s="9" t="s">
        <v>3023</v>
      </c>
      <c r="DJ395" s="9" t="s">
        <v>3023</v>
      </c>
      <c r="DK395" s="9" t="s">
        <v>3023</v>
      </c>
      <c r="DL395" s="9" t="s">
        <v>3023</v>
      </c>
      <c r="DM395" s="9" t="s">
        <v>3023</v>
      </c>
      <c r="DN395" s="9" t="s">
        <v>3023</v>
      </c>
      <c r="DO395" s="9" t="s">
        <v>3023</v>
      </c>
      <c r="DP395" s="9" t="s">
        <v>3023</v>
      </c>
      <c r="DQ395" s="9" t="s">
        <v>3023</v>
      </c>
    </row>
    <row r="396" spans="1:121" ht="15.75" customHeight="1">
      <c r="A396" s="87" t="s">
        <v>8671</v>
      </c>
      <c r="Z396" s="9" t="s">
        <v>3023</v>
      </c>
      <c r="AA396" s="9" t="s">
        <v>3023</v>
      </c>
      <c r="AB396" s="9" t="s">
        <v>3023</v>
      </c>
      <c r="AC396" s="9" t="s">
        <v>3023</v>
      </c>
      <c r="AD396" s="9" t="s">
        <v>3023</v>
      </c>
      <c r="AE396" s="9" t="s">
        <v>3023</v>
      </c>
      <c r="AF396" s="9" t="s">
        <v>3023</v>
      </c>
      <c r="AG396" s="9" t="s">
        <v>3023</v>
      </c>
      <c r="AH396" s="9" t="s">
        <v>3023</v>
      </c>
      <c r="AI396" s="9" t="s">
        <v>3023</v>
      </c>
      <c r="AJ396" s="9" t="s">
        <v>3023</v>
      </c>
      <c r="AK396" s="9" t="s">
        <v>3023</v>
      </c>
      <c r="AL396" s="9" t="s">
        <v>3023</v>
      </c>
      <c r="AM396" s="9" t="s">
        <v>3023</v>
      </c>
      <c r="AN396" s="9" t="s">
        <v>3023</v>
      </c>
      <c r="AO396" s="9" t="s">
        <v>3023</v>
      </c>
      <c r="AP396" s="9" t="s">
        <v>3023</v>
      </c>
      <c r="AQ396" s="9" t="s">
        <v>3023</v>
      </c>
      <c r="AR396" s="9" t="s">
        <v>3023</v>
      </c>
      <c r="AS396" s="9" t="s">
        <v>3023</v>
      </c>
      <c r="AT396" s="9" t="s">
        <v>3023</v>
      </c>
      <c r="AU396" s="9" t="s">
        <v>3023</v>
      </c>
      <c r="AV396" s="9" t="s">
        <v>3023</v>
      </c>
      <c r="AW396" s="9" t="s">
        <v>3023</v>
      </c>
      <c r="AX396" s="9" t="s">
        <v>3023</v>
      </c>
      <c r="AY396" s="9" t="s">
        <v>3023</v>
      </c>
      <c r="AZ396" s="9" t="s">
        <v>3023</v>
      </c>
      <c r="BA396" s="9" t="s">
        <v>3023</v>
      </c>
      <c r="BB396" s="9" t="s">
        <v>3023</v>
      </c>
      <c r="BC396" s="9" t="s">
        <v>3023</v>
      </c>
      <c r="BD396" s="9" t="s">
        <v>3023</v>
      </c>
      <c r="BE396" s="9" t="s">
        <v>3023</v>
      </c>
      <c r="BF396" s="9" t="s">
        <v>3023</v>
      </c>
      <c r="BG396" s="9" t="s">
        <v>3023</v>
      </c>
      <c r="BH396" s="9" t="s">
        <v>3023</v>
      </c>
      <c r="BI396" s="9" t="s">
        <v>3023</v>
      </c>
      <c r="BJ396" s="9" t="s">
        <v>3023</v>
      </c>
      <c r="BK396" s="9" t="s">
        <v>3023</v>
      </c>
      <c r="BL396" s="9" t="s">
        <v>3023</v>
      </c>
      <c r="BM396" s="9" t="s">
        <v>3023</v>
      </c>
      <c r="BN396" s="9" t="s">
        <v>3023</v>
      </c>
      <c r="BO396" s="9" t="s">
        <v>3023</v>
      </c>
      <c r="BP396" s="9" t="s">
        <v>3023</v>
      </c>
      <c r="BQ396" s="9" t="s">
        <v>3023</v>
      </c>
      <c r="BR396" s="9" t="s">
        <v>3023</v>
      </c>
      <c r="BS396" s="9" t="s">
        <v>3023</v>
      </c>
      <c r="BT396" s="9" t="s">
        <v>3023</v>
      </c>
      <c r="BU396" s="9" t="s">
        <v>3023</v>
      </c>
      <c r="BV396" s="9" t="s">
        <v>3023</v>
      </c>
      <c r="BW396" s="9" t="s">
        <v>3023</v>
      </c>
      <c r="BX396" s="9" t="s">
        <v>3023</v>
      </c>
      <c r="BY396" s="9" t="s">
        <v>3023</v>
      </c>
      <c r="BZ396" s="9" t="s">
        <v>3023</v>
      </c>
      <c r="CA396" s="9" t="s">
        <v>3023</v>
      </c>
      <c r="CB396" s="9" t="s">
        <v>3023</v>
      </c>
      <c r="CC396" s="9" t="s">
        <v>3023</v>
      </c>
      <c r="CD396" s="9" t="s">
        <v>3023</v>
      </c>
      <c r="CE396" s="9" t="s">
        <v>3023</v>
      </c>
      <c r="CF396" s="9" t="s">
        <v>3023</v>
      </c>
      <c r="CG396" s="9" t="s">
        <v>3023</v>
      </c>
      <c r="CH396" s="9" t="s">
        <v>3023</v>
      </c>
      <c r="CI396" s="9" t="s">
        <v>3023</v>
      </c>
      <c r="CJ396" s="9" t="s">
        <v>3023</v>
      </c>
      <c r="CK396" s="9" t="s">
        <v>3023</v>
      </c>
      <c r="CL396" s="9" t="s">
        <v>3023</v>
      </c>
      <c r="CM396" s="9" t="s">
        <v>3023</v>
      </c>
      <c r="CN396" s="9" t="s">
        <v>3023</v>
      </c>
      <c r="CO396" s="9" t="s">
        <v>3023</v>
      </c>
      <c r="CP396" s="9" t="s">
        <v>3023</v>
      </c>
      <c r="CQ396" s="9" t="s">
        <v>3023</v>
      </c>
      <c r="CR396" s="9" t="s">
        <v>3023</v>
      </c>
      <c r="CS396" s="9" t="s">
        <v>3023</v>
      </c>
      <c r="CT396" s="9" t="s">
        <v>3023</v>
      </c>
      <c r="CU396" s="9" t="s">
        <v>3023</v>
      </c>
      <c r="CV396" s="9" t="s">
        <v>3023</v>
      </c>
      <c r="CW396" s="9" t="s">
        <v>3023</v>
      </c>
      <c r="CX396" s="9" t="s">
        <v>3023</v>
      </c>
      <c r="CY396" s="9" t="s">
        <v>3023</v>
      </c>
      <c r="CZ396" s="9" t="s">
        <v>3023</v>
      </c>
      <c r="DA396" s="9" t="s">
        <v>3023</v>
      </c>
      <c r="DB396" s="9" t="s">
        <v>3023</v>
      </c>
      <c r="DC396" s="9" t="s">
        <v>3023</v>
      </c>
      <c r="DD396" s="9" t="s">
        <v>3023</v>
      </c>
      <c r="DE396" s="9" t="s">
        <v>3023</v>
      </c>
      <c r="DF396" s="9" t="s">
        <v>3023</v>
      </c>
      <c r="DG396" s="9" t="s">
        <v>3023</v>
      </c>
      <c r="DH396" s="9" t="s">
        <v>3023</v>
      </c>
      <c r="DI396" s="9" t="s">
        <v>3023</v>
      </c>
      <c r="DJ396" s="9" t="s">
        <v>3023</v>
      </c>
      <c r="DK396" s="9" t="s">
        <v>3023</v>
      </c>
      <c r="DL396" s="9" t="s">
        <v>3023</v>
      </c>
      <c r="DM396" s="9" t="s">
        <v>3023</v>
      </c>
      <c r="DN396" s="9" t="s">
        <v>3023</v>
      </c>
      <c r="DO396" s="9" t="s">
        <v>3023</v>
      </c>
      <c r="DP396" s="9" t="s">
        <v>3023</v>
      </c>
      <c r="DQ396" s="9" t="s">
        <v>3023</v>
      </c>
    </row>
    <row r="397" spans="1:121" ht="15.75" customHeight="1">
      <c r="A397" s="87" t="s">
        <v>8672</v>
      </c>
    </row>
    <row r="398" spans="1:121" ht="15.75" customHeight="1">
      <c r="A398" s="87" t="s">
        <v>8673</v>
      </c>
      <c r="DD398" s="9" t="s">
        <v>2938</v>
      </c>
      <c r="DE398" s="9" t="s">
        <v>2938</v>
      </c>
      <c r="DF398" s="9" t="s">
        <v>2938</v>
      </c>
      <c r="DG398" s="9" t="s">
        <v>2938</v>
      </c>
      <c r="DH398" s="9" t="s">
        <v>2938</v>
      </c>
      <c r="DI398" s="9" t="s">
        <v>2938</v>
      </c>
      <c r="DJ398" s="9" t="s">
        <v>2938</v>
      </c>
      <c r="DK398" s="9" t="s">
        <v>2938</v>
      </c>
      <c r="DL398" s="9" t="s">
        <v>2938</v>
      </c>
      <c r="DM398" s="9" t="s">
        <v>2938</v>
      </c>
      <c r="DN398" s="9" t="s">
        <v>2938</v>
      </c>
      <c r="DO398" s="9" t="s">
        <v>2938</v>
      </c>
      <c r="DP398" s="9" t="s">
        <v>2938</v>
      </c>
      <c r="DQ398" s="9" t="s">
        <v>2938</v>
      </c>
    </row>
    <row r="399" spans="1:121" ht="15.75" customHeight="1">
      <c r="A399" s="87" t="s">
        <v>8674</v>
      </c>
      <c r="Z399" s="9" t="s">
        <v>2938</v>
      </c>
      <c r="AA399" s="9" t="s">
        <v>2938</v>
      </c>
      <c r="AB399" s="9" t="s">
        <v>2938</v>
      </c>
      <c r="AC399" s="9" t="s">
        <v>2938</v>
      </c>
      <c r="AD399" s="9" t="s">
        <v>2938</v>
      </c>
      <c r="AE399" s="9" t="s">
        <v>2938</v>
      </c>
      <c r="AF399" s="9" t="s">
        <v>2938</v>
      </c>
      <c r="AG399" s="9" t="s">
        <v>2938</v>
      </c>
      <c r="AH399" s="9" t="s">
        <v>2938</v>
      </c>
      <c r="AI399" s="9" t="s">
        <v>2938</v>
      </c>
      <c r="AJ399" s="9" t="s">
        <v>2938</v>
      </c>
      <c r="AK399" s="9" t="s">
        <v>2938</v>
      </c>
      <c r="AL399" s="9" t="s">
        <v>2938</v>
      </c>
      <c r="AM399" s="9" t="s">
        <v>2938</v>
      </c>
      <c r="AN399" s="9" t="s">
        <v>2938</v>
      </c>
      <c r="AO399" s="9" t="s">
        <v>2938</v>
      </c>
      <c r="AP399" s="9" t="s">
        <v>2938</v>
      </c>
      <c r="AQ399" s="9" t="s">
        <v>2938</v>
      </c>
      <c r="AR399" s="9" t="s">
        <v>2938</v>
      </c>
      <c r="AS399" s="9" t="s">
        <v>2938</v>
      </c>
      <c r="AT399" s="9" t="s">
        <v>2938</v>
      </c>
      <c r="AU399" s="9" t="s">
        <v>2938</v>
      </c>
      <c r="AV399" s="9" t="s">
        <v>2938</v>
      </c>
      <c r="AW399" s="9" t="s">
        <v>2938</v>
      </c>
      <c r="AX399" s="9" t="s">
        <v>2938</v>
      </c>
      <c r="AY399" s="9" t="s">
        <v>2938</v>
      </c>
      <c r="AZ399" s="9" t="s">
        <v>2938</v>
      </c>
      <c r="BA399" s="9" t="s">
        <v>2938</v>
      </c>
      <c r="BB399" s="9" t="s">
        <v>2938</v>
      </c>
      <c r="BC399" s="9" t="s">
        <v>2938</v>
      </c>
      <c r="BD399" s="9" t="s">
        <v>2938</v>
      </c>
      <c r="BE399" s="9" t="s">
        <v>2938</v>
      </c>
      <c r="BF399" s="9" t="s">
        <v>2938</v>
      </c>
      <c r="BG399" s="9" t="s">
        <v>2938</v>
      </c>
      <c r="BH399" s="9" t="s">
        <v>2938</v>
      </c>
      <c r="BI399" s="9" t="s">
        <v>2938</v>
      </c>
      <c r="BJ399" s="9" t="s">
        <v>2938</v>
      </c>
      <c r="BK399" s="9" t="s">
        <v>2938</v>
      </c>
      <c r="BL399" s="9" t="s">
        <v>2938</v>
      </c>
      <c r="BM399" s="9" t="s">
        <v>2938</v>
      </c>
      <c r="BN399" s="9" t="s">
        <v>2938</v>
      </c>
      <c r="BO399" s="9" t="s">
        <v>2938</v>
      </c>
      <c r="BP399" s="9" t="s">
        <v>2938</v>
      </c>
      <c r="BQ399" s="9" t="s">
        <v>2938</v>
      </c>
      <c r="BR399" s="9" t="s">
        <v>2938</v>
      </c>
      <c r="BS399" s="9" t="s">
        <v>2938</v>
      </c>
      <c r="BT399" s="9" t="s">
        <v>2938</v>
      </c>
      <c r="BU399" s="9" t="s">
        <v>2938</v>
      </c>
      <c r="BV399" s="9" t="s">
        <v>2938</v>
      </c>
      <c r="BW399" s="9" t="s">
        <v>2938</v>
      </c>
      <c r="BX399" s="9" t="s">
        <v>2938</v>
      </c>
      <c r="BY399" s="9" t="s">
        <v>2938</v>
      </c>
      <c r="BZ399" s="9" t="s">
        <v>2938</v>
      </c>
      <c r="CA399" s="9" t="s">
        <v>2938</v>
      </c>
      <c r="CB399" s="9" t="s">
        <v>2938</v>
      </c>
      <c r="CC399" s="9" t="s">
        <v>2938</v>
      </c>
      <c r="CD399" s="9" t="s">
        <v>2938</v>
      </c>
      <c r="CE399" s="9" t="s">
        <v>2938</v>
      </c>
      <c r="CF399" s="9" t="s">
        <v>2938</v>
      </c>
      <c r="CG399" s="9" t="s">
        <v>2938</v>
      </c>
      <c r="CH399" s="9" t="s">
        <v>2938</v>
      </c>
      <c r="CI399" s="9" t="s">
        <v>2938</v>
      </c>
      <c r="CJ399" s="9" t="s">
        <v>2938</v>
      </c>
      <c r="CK399" s="9" t="s">
        <v>2938</v>
      </c>
      <c r="CL399" s="9" t="s">
        <v>2938</v>
      </c>
      <c r="CM399" s="9" t="s">
        <v>2938</v>
      </c>
      <c r="CN399" s="9" t="s">
        <v>2938</v>
      </c>
      <c r="CO399" s="9" t="s">
        <v>2938</v>
      </c>
      <c r="CP399" s="9" t="s">
        <v>2938</v>
      </c>
      <c r="CQ399" s="9" t="s">
        <v>2938</v>
      </c>
      <c r="CR399" s="9" t="s">
        <v>2938</v>
      </c>
      <c r="CS399" s="9" t="s">
        <v>2938</v>
      </c>
      <c r="CT399" s="9" t="s">
        <v>2938</v>
      </c>
      <c r="CU399" s="9" t="s">
        <v>2938</v>
      </c>
      <c r="CV399" s="9" t="s">
        <v>2938</v>
      </c>
      <c r="CW399" s="9" t="s">
        <v>2938</v>
      </c>
      <c r="CX399" s="9" t="s">
        <v>2938</v>
      </c>
      <c r="CY399" s="9" t="s">
        <v>2938</v>
      </c>
      <c r="CZ399" s="9" t="s">
        <v>2938</v>
      </c>
      <c r="DA399" s="9" t="s">
        <v>2938</v>
      </c>
      <c r="DB399" s="9" t="s">
        <v>2938</v>
      </c>
      <c r="DC399" s="9" t="s">
        <v>2938</v>
      </c>
      <c r="DD399" s="9" t="s">
        <v>2938</v>
      </c>
      <c r="DE399" s="9" t="s">
        <v>2938</v>
      </c>
      <c r="DF399" s="9" t="s">
        <v>2938</v>
      </c>
      <c r="DG399" s="9" t="s">
        <v>2938</v>
      </c>
      <c r="DH399" s="9" t="s">
        <v>2938</v>
      </c>
      <c r="DI399" s="9" t="s">
        <v>2938</v>
      </c>
      <c r="DJ399" s="9" t="s">
        <v>2938</v>
      </c>
      <c r="DK399" s="9" t="s">
        <v>2938</v>
      </c>
      <c r="DL399" s="9" t="s">
        <v>2938</v>
      </c>
      <c r="DM399" s="9" t="s">
        <v>2938</v>
      </c>
      <c r="DN399" s="9" t="s">
        <v>2938</v>
      </c>
      <c r="DO399" s="9" t="s">
        <v>2938</v>
      </c>
      <c r="DP399" s="9" t="s">
        <v>2938</v>
      </c>
      <c r="DQ399" s="9" t="s">
        <v>2938</v>
      </c>
    </row>
    <row r="400" spans="1:121" ht="15.75" customHeight="1">
      <c r="A400" s="87" t="s">
        <v>8675</v>
      </c>
    </row>
    <row r="401" spans="1:121" ht="15.75" customHeight="1">
      <c r="A401" s="87" t="s">
        <v>8676</v>
      </c>
      <c r="AN401" s="9" t="s">
        <v>2970</v>
      </c>
      <c r="AO401" s="9" t="s">
        <v>2970</v>
      </c>
      <c r="AP401" s="9" t="s">
        <v>2970</v>
      </c>
      <c r="AQ401" s="9" t="s">
        <v>2970</v>
      </c>
      <c r="AR401" s="9" t="s">
        <v>2970</v>
      </c>
      <c r="AS401" s="9" t="s">
        <v>2970</v>
      </c>
      <c r="AT401" s="9" t="s">
        <v>2970</v>
      </c>
      <c r="AU401" s="9" t="s">
        <v>2970</v>
      </c>
      <c r="AV401" s="9" t="s">
        <v>2970</v>
      </c>
      <c r="AW401" s="9" t="s">
        <v>2970</v>
      </c>
      <c r="AX401" s="9" t="s">
        <v>2970</v>
      </c>
      <c r="AY401" s="9" t="s">
        <v>2970</v>
      </c>
      <c r="AZ401" s="9" t="s">
        <v>2970</v>
      </c>
      <c r="BA401" s="9" t="s">
        <v>2970</v>
      </c>
      <c r="BB401" s="9" t="s">
        <v>2970</v>
      </c>
      <c r="BC401" s="9" t="s">
        <v>2970</v>
      </c>
      <c r="BD401" s="9" t="s">
        <v>2970</v>
      </c>
      <c r="BE401" s="9" t="s">
        <v>2970</v>
      </c>
      <c r="BF401" s="9" t="s">
        <v>2970</v>
      </c>
      <c r="BG401" s="9" t="s">
        <v>2970</v>
      </c>
      <c r="BH401" s="9" t="s">
        <v>2970</v>
      </c>
      <c r="BI401" s="9" t="s">
        <v>2970</v>
      </c>
      <c r="BJ401" s="9" t="s">
        <v>2970</v>
      </c>
      <c r="BK401" s="9" t="s">
        <v>2970</v>
      </c>
      <c r="BL401" s="9" t="s">
        <v>2970</v>
      </c>
      <c r="BM401" s="9" t="s">
        <v>2970</v>
      </c>
      <c r="BN401" s="9" t="s">
        <v>2970</v>
      </c>
      <c r="BO401" s="9" t="s">
        <v>2970</v>
      </c>
      <c r="BP401" s="9" t="s">
        <v>2970</v>
      </c>
      <c r="BQ401" s="9" t="s">
        <v>2970</v>
      </c>
      <c r="BR401" s="9" t="s">
        <v>2970</v>
      </c>
      <c r="BS401" s="9" t="s">
        <v>2970</v>
      </c>
      <c r="BT401" s="9" t="s">
        <v>2970</v>
      </c>
      <c r="BU401" s="9" t="s">
        <v>2970</v>
      </c>
      <c r="BV401" s="9" t="s">
        <v>2970</v>
      </c>
      <c r="BW401" s="9" t="s">
        <v>2970</v>
      </c>
      <c r="BX401" s="9" t="s">
        <v>2970</v>
      </c>
      <c r="BY401" s="9" t="s">
        <v>2970</v>
      </c>
      <c r="BZ401" s="9" t="s">
        <v>2970</v>
      </c>
      <c r="CA401" s="9" t="s">
        <v>2970</v>
      </c>
      <c r="CB401" s="9" t="s">
        <v>2970</v>
      </c>
      <c r="CC401" s="9" t="s">
        <v>2970</v>
      </c>
      <c r="CD401" s="9" t="s">
        <v>2970</v>
      </c>
      <c r="CE401" s="9" t="s">
        <v>2970</v>
      </c>
      <c r="CF401" s="9" t="s">
        <v>2970</v>
      </c>
      <c r="CG401" s="9" t="s">
        <v>2970</v>
      </c>
      <c r="CH401" s="9" t="s">
        <v>2970</v>
      </c>
      <c r="CI401" s="9" t="s">
        <v>2970</v>
      </c>
      <c r="CJ401" s="9" t="s">
        <v>2970</v>
      </c>
      <c r="CK401" s="9" t="s">
        <v>2970</v>
      </c>
      <c r="CL401" s="9" t="s">
        <v>2970</v>
      </c>
      <c r="CM401" s="9" t="s">
        <v>2970</v>
      </c>
      <c r="CN401" s="9" t="s">
        <v>2970</v>
      </c>
      <c r="CO401" s="9" t="s">
        <v>2970</v>
      </c>
      <c r="CP401" s="9" t="s">
        <v>2970</v>
      </c>
      <c r="CQ401" s="9" t="s">
        <v>2970</v>
      </c>
      <c r="CR401" s="9" t="s">
        <v>2970</v>
      </c>
      <c r="CS401" s="9" t="s">
        <v>2970</v>
      </c>
      <c r="CT401" s="9" t="s">
        <v>2970</v>
      </c>
      <c r="CU401" s="9" t="s">
        <v>2970</v>
      </c>
      <c r="CV401" s="9" t="s">
        <v>2970</v>
      </c>
      <c r="CW401" s="9" t="s">
        <v>2970</v>
      </c>
      <c r="CX401" s="9" t="s">
        <v>2970</v>
      </c>
      <c r="CY401" s="9" t="s">
        <v>2970</v>
      </c>
      <c r="CZ401" s="9" t="s">
        <v>2970</v>
      </c>
      <c r="DA401" s="9" t="s">
        <v>2970</v>
      </c>
      <c r="DB401" s="9" t="s">
        <v>2970</v>
      </c>
      <c r="DC401" s="9" t="s">
        <v>2970</v>
      </c>
      <c r="DD401" s="9" t="s">
        <v>2970</v>
      </c>
      <c r="DE401" s="9" t="s">
        <v>2970</v>
      </c>
      <c r="DF401" s="9" t="s">
        <v>2970</v>
      </c>
      <c r="DG401" s="9" t="s">
        <v>2970</v>
      </c>
      <c r="DH401" s="9" t="s">
        <v>2970</v>
      </c>
      <c r="DI401" s="9" t="s">
        <v>2970</v>
      </c>
      <c r="DJ401" s="9" t="s">
        <v>2970</v>
      </c>
      <c r="DK401" s="9" t="s">
        <v>2970</v>
      </c>
      <c r="DL401" s="9" t="s">
        <v>2970</v>
      </c>
      <c r="DM401" s="9" t="s">
        <v>2970</v>
      </c>
      <c r="DN401" s="9" t="s">
        <v>2970</v>
      </c>
      <c r="DO401" s="9" t="s">
        <v>2970</v>
      </c>
      <c r="DP401" s="9" t="s">
        <v>2970</v>
      </c>
      <c r="DQ401" s="9" t="s">
        <v>2970</v>
      </c>
    </row>
    <row r="402" spans="1:121" ht="15.75" customHeight="1">
      <c r="A402" s="87" t="s">
        <v>8677</v>
      </c>
      <c r="BV402" s="9" t="s">
        <v>2997</v>
      </c>
      <c r="BW402" s="9" t="s">
        <v>2997</v>
      </c>
      <c r="BX402" s="9" t="s">
        <v>2997</v>
      </c>
      <c r="BY402" s="9" t="s">
        <v>2997</v>
      </c>
      <c r="BZ402" s="9" t="s">
        <v>2997</v>
      </c>
      <c r="CA402" s="9" t="s">
        <v>2997</v>
      </c>
      <c r="CB402" s="9" t="s">
        <v>2997</v>
      </c>
      <c r="CC402" s="9" t="s">
        <v>2997</v>
      </c>
      <c r="CD402" s="9" t="s">
        <v>2997</v>
      </c>
      <c r="CE402" s="9" t="s">
        <v>2997</v>
      </c>
      <c r="CF402" s="9" t="s">
        <v>2997</v>
      </c>
      <c r="CG402" s="9" t="s">
        <v>2997</v>
      </c>
      <c r="CH402" s="9" t="s">
        <v>2997</v>
      </c>
      <c r="CI402" s="9" t="s">
        <v>2997</v>
      </c>
      <c r="CJ402" s="9" t="s">
        <v>2997</v>
      </c>
      <c r="CK402" s="9" t="s">
        <v>2997</v>
      </c>
      <c r="CL402" s="9" t="s">
        <v>2997</v>
      </c>
      <c r="CM402" s="9" t="s">
        <v>2997</v>
      </c>
      <c r="CN402" s="9" t="s">
        <v>2997</v>
      </c>
      <c r="CO402" s="9" t="s">
        <v>2997</v>
      </c>
      <c r="CP402" s="9" t="s">
        <v>2997</v>
      </c>
      <c r="CQ402" s="9" t="s">
        <v>2997</v>
      </c>
      <c r="CR402" s="9" t="s">
        <v>2997</v>
      </c>
      <c r="CS402" s="9" t="s">
        <v>2997</v>
      </c>
      <c r="CT402" s="9" t="s">
        <v>2993</v>
      </c>
      <c r="CU402" s="9" t="s">
        <v>2993</v>
      </c>
      <c r="CV402" s="9" t="s">
        <v>2993</v>
      </c>
      <c r="CW402" s="9" t="s">
        <v>2993</v>
      </c>
      <c r="CX402" s="9" t="s">
        <v>2993</v>
      </c>
      <c r="CY402" s="9" t="s">
        <v>2993</v>
      </c>
      <c r="CZ402" s="9" t="s">
        <v>2993</v>
      </c>
      <c r="DA402" s="9" t="s">
        <v>2993</v>
      </c>
      <c r="DB402" s="9" t="s">
        <v>2993</v>
      </c>
      <c r="DC402" s="9" t="s">
        <v>2993</v>
      </c>
      <c r="DD402" s="9" t="s">
        <v>2993</v>
      </c>
      <c r="DE402" s="9" t="s">
        <v>2993</v>
      </c>
      <c r="DF402" s="9" t="s">
        <v>2993</v>
      </c>
      <c r="DG402" s="9" t="s">
        <v>2993</v>
      </c>
      <c r="DH402" s="9" t="s">
        <v>2993</v>
      </c>
      <c r="DI402" s="9" t="s">
        <v>2993</v>
      </c>
      <c r="DJ402" s="9" t="s">
        <v>2993</v>
      </c>
      <c r="DK402" s="9" t="s">
        <v>2993</v>
      </c>
      <c r="DL402" s="9" t="s">
        <v>2993</v>
      </c>
      <c r="DM402" s="9" t="s">
        <v>2993</v>
      </c>
      <c r="DN402" s="9" t="s">
        <v>2993</v>
      </c>
      <c r="DO402" s="9" t="s">
        <v>2993</v>
      </c>
      <c r="DP402" s="9" t="s">
        <v>2993</v>
      </c>
      <c r="DQ402" s="9" t="s">
        <v>2993</v>
      </c>
    </row>
    <row r="403" spans="1:121" ht="15.75" customHeight="1">
      <c r="A403" s="87" t="s">
        <v>8678</v>
      </c>
      <c r="Z403" s="9" t="s">
        <v>2993</v>
      </c>
      <c r="AA403" s="9" t="s">
        <v>2993</v>
      </c>
      <c r="AB403" s="9" t="s">
        <v>2993</v>
      </c>
      <c r="AC403" s="9" t="s">
        <v>2993</v>
      </c>
      <c r="AD403" s="9" t="s">
        <v>2993</v>
      </c>
      <c r="AE403" s="9" t="s">
        <v>2993</v>
      </c>
      <c r="AF403" s="9" t="s">
        <v>2993</v>
      </c>
      <c r="AG403" s="9" t="s">
        <v>2993</v>
      </c>
      <c r="AH403" s="9" t="s">
        <v>2993</v>
      </c>
      <c r="AI403" s="9" t="s">
        <v>2993</v>
      </c>
      <c r="AJ403" s="9" t="s">
        <v>2993</v>
      </c>
      <c r="AK403" s="9" t="s">
        <v>2993</v>
      </c>
      <c r="AL403" s="9" t="s">
        <v>2993</v>
      </c>
      <c r="AM403" s="9" t="s">
        <v>2993</v>
      </c>
      <c r="AN403" s="9" t="s">
        <v>2993</v>
      </c>
      <c r="AO403" s="9" t="s">
        <v>2993</v>
      </c>
      <c r="AP403" s="9" t="s">
        <v>2993</v>
      </c>
      <c r="AQ403" s="9" t="s">
        <v>2993</v>
      </c>
      <c r="AR403" s="9" t="s">
        <v>2993</v>
      </c>
      <c r="AS403" s="9" t="s">
        <v>2993</v>
      </c>
      <c r="AT403" s="9" t="s">
        <v>2993</v>
      </c>
      <c r="AU403" s="9" t="s">
        <v>2993</v>
      </c>
      <c r="AV403" s="9" t="s">
        <v>2993</v>
      </c>
      <c r="AW403" s="9" t="s">
        <v>2993</v>
      </c>
      <c r="AX403" s="9" t="s">
        <v>2993</v>
      </c>
      <c r="AY403" s="9" t="s">
        <v>2993</v>
      </c>
      <c r="AZ403" s="9" t="s">
        <v>2993</v>
      </c>
      <c r="BA403" s="9" t="s">
        <v>2993</v>
      </c>
      <c r="BB403" s="9" t="s">
        <v>2993</v>
      </c>
      <c r="BC403" s="9" t="s">
        <v>2993</v>
      </c>
      <c r="BD403" s="9" t="s">
        <v>2993</v>
      </c>
      <c r="BE403" s="9" t="s">
        <v>2993</v>
      </c>
      <c r="BF403" s="9" t="s">
        <v>2993</v>
      </c>
      <c r="BG403" s="9" t="s">
        <v>2993</v>
      </c>
      <c r="BH403" s="9" t="s">
        <v>2993</v>
      </c>
      <c r="BI403" s="9" t="s">
        <v>2993</v>
      </c>
      <c r="BJ403" s="9" t="s">
        <v>2993</v>
      </c>
      <c r="BK403" s="9" t="s">
        <v>2993</v>
      </c>
      <c r="BL403" s="9" t="s">
        <v>2993</v>
      </c>
      <c r="BM403" s="9" t="s">
        <v>2993</v>
      </c>
      <c r="BN403" s="9" t="s">
        <v>2993</v>
      </c>
      <c r="BO403" s="9" t="s">
        <v>2993</v>
      </c>
      <c r="BP403" s="9" t="s">
        <v>2993</v>
      </c>
      <c r="BQ403" s="9" t="s">
        <v>2993</v>
      </c>
      <c r="BR403" s="9" t="s">
        <v>2993</v>
      </c>
      <c r="BS403" s="9" t="s">
        <v>2993</v>
      </c>
      <c r="BT403" s="9" t="s">
        <v>2993</v>
      </c>
      <c r="BU403" s="9" t="s">
        <v>2993</v>
      </c>
      <c r="BV403" s="9" t="s">
        <v>2993</v>
      </c>
      <c r="BW403" s="9" t="s">
        <v>2993</v>
      </c>
      <c r="BX403" s="9" t="s">
        <v>2993</v>
      </c>
      <c r="BY403" s="9" t="s">
        <v>2993</v>
      </c>
      <c r="BZ403" s="9" t="s">
        <v>2993</v>
      </c>
      <c r="CA403" s="9" t="s">
        <v>2993</v>
      </c>
      <c r="CB403" s="9" t="s">
        <v>2993</v>
      </c>
      <c r="CC403" s="9" t="s">
        <v>2993</v>
      </c>
      <c r="CD403" s="9" t="s">
        <v>2993</v>
      </c>
      <c r="CE403" s="9" t="s">
        <v>2993</v>
      </c>
      <c r="CF403" s="9" t="s">
        <v>2993</v>
      </c>
      <c r="CG403" s="9" t="s">
        <v>2993</v>
      </c>
      <c r="CH403" s="9" t="s">
        <v>2993</v>
      </c>
      <c r="CI403" s="9" t="s">
        <v>2993</v>
      </c>
      <c r="CJ403" s="9" t="s">
        <v>2993</v>
      </c>
      <c r="CK403" s="9" t="s">
        <v>2993</v>
      </c>
      <c r="CL403" s="9" t="s">
        <v>2993</v>
      </c>
      <c r="CM403" s="9" t="s">
        <v>2993</v>
      </c>
      <c r="CN403" s="9" t="s">
        <v>2993</v>
      </c>
      <c r="CO403" s="9" t="s">
        <v>2993</v>
      </c>
      <c r="CP403" s="9" t="s">
        <v>2993</v>
      </c>
      <c r="CQ403" s="9" t="s">
        <v>2993</v>
      </c>
      <c r="CR403" s="9" t="s">
        <v>2993</v>
      </c>
      <c r="CS403" s="9" t="s">
        <v>2993</v>
      </c>
      <c r="CT403" s="9" t="s">
        <v>2993</v>
      </c>
      <c r="CU403" s="9" t="s">
        <v>2993</v>
      </c>
      <c r="CV403" s="9" t="s">
        <v>2993</v>
      </c>
      <c r="CW403" s="9" t="s">
        <v>2993</v>
      </c>
      <c r="CX403" s="9" t="s">
        <v>2993</v>
      </c>
      <c r="CY403" s="9" t="s">
        <v>2993</v>
      </c>
      <c r="CZ403" s="9" t="s">
        <v>2993</v>
      </c>
      <c r="DA403" s="9" t="s">
        <v>2993</v>
      </c>
      <c r="DB403" s="9" t="s">
        <v>2993</v>
      </c>
      <c r="DC403" s="9" t="s">
        <v>2993</v>
      </c>
      <c r="DD403" s="9" t="s">
        <v>2993</v>
      </c>
      <c r="DE403" s="9" t="s">
        <v>2993</v>
      </c>
      <c r="DF403" s="9" t="s">
        <v>2993</v>
      </c>
      <c r="DG403" s="9" t="s">
        <v>2993</v>
      </c>
      <c r="DH403" s="9" t="s">
        <v>2993</v>
      </c>
      <c r="DI403" s="9" t="s">
        <v>2993</v>
      </c>
      <c r="DJ403" s="9" t="s">
        <v>2993</v>
      </c>
      <c r="DK403" s="9" t="s">
        <v>2993</v>
      </c>
      <c r="DL403" s="9" t="s">
        <v>2993</v>
      </c>
      <c r="DM403" s="9" t="s">
        <v>2993</v>
      </c>
      <c r="DN403" s="9" t="s">
        <v>2993</v>
      </c>
      <c r="DO403" s="9" t="s">
        <v>2993</v>
      </c>
      <c r="DP403" s="9" t="s">
        <v>2993</v>
      </c>
      <c r="DQ403" s="9" t="s">
        <v>2993</v>
      </c>
    </row>
    <row r="404" spans="1:121" ht="15.75" customHeight="1">
      <c r="A404" s="87" t="s">
        <v>8679</v>
      </c>
    </row>
    <row r="405" spans="1:121" ht="15.75" customHeight="1">
      <c r="A405" s="87" t="s">
        <v>8680</v>
      </c>
      <c r="DP405" s="9" t="s">
        <v>2961</v>
      </c>
      <c r="DQ405" s="9" t="s">
        <v>2961</v>
      </c>
    </row>
    <row r="406" spans="1:121" ht="15.75" customHeight="1">
      <c r="A406" s="87" t="s">
        <v>8681</v>
      </c>
      <c r="Z406" s="9" t="s">
        <v>2961</v>
      </c>
      <c r="AA406" s="9" t="s">
        <v>2961</v>
      </c>
      <c r="AB406" s="9" t="s">
        <v>2961</v>
      </c>
      <c r="AC406" s="9" t="s">
        <v>2961</v>
      </c>
      <c r="AD406" s="9" t="s">
        <v>2961</v>
      </c>
      <c r="AE406" s="9" t="s">
        <v>2961</v>
      </c>
      <c r="AF406" s="9" t="s">
        <v>2961</v>
      </c>
      <c r="AG406" s="9" t="s">
        <v>2961</v>
      </c>
      <c r="AH406" s="9" t="s">
        <v>2961</v>
      </c>
      <c r="AI406" s="9" t="s">
        <v>2961</v>
      </c>
      <c r="AJ406" s="9" t="s">
        <v>3012</v>
      </c>
      <c r="AK406" s="9" t="s">
        <v>3012</v>
      </c>
      <c r="AL406" s="9" t="s">
        <v>3012</v>
      </c>
      <c r="AM406" s="9" t="s">
        <v>3012</v>
      </c>
      <c r="AN406" s="9" t="s">
        <v>3012</v>
      </c>
      <c r="AO406" s="9" t="s">
        <v>3012</v>
      </c>
      <c r="AP406" s="9" t="s">
        <v>3012</v>
      </c>
      <c r="AQ406" s="9" t="s">
        <v>3012</v>
      </c>
      <c r="AR406" s="9" t="s">
        <v>3012</v>
      </c>
      <c r="AS406" s="9" t="s">
        <v>3012</v>
      </c>
      <c r="AT406" s="9" t="s">
        <v>3012</v>
      </c>
      <c r="AU406" s="9" t="s">
        <v>3012</v>
      </c>
      <c r="AV406" s="9" t="s">
        <v>3012</v>
      </c>
      <c r="AW406" s="9" t="s">
        <v>3012</v>
      </c>
      <c r="AX406" s="9" t="s">
        <v>3012</v>
      </c>
      <c r="AY406" s="9" t="s">
        <v>3012</v>
      </c>
      <c r="AZ406" s="9" t="s">
        <v>3012</v>
      </c>
      <c r="BA406" s="9" t="s">
        <v>3012</v>
      </c>
      <c r="BB406" s="9" t="s">
        <v>3012</v>
      </c>
      <c r="BC406" s="9" t="s">
        <v>3012</v>
      </c>
      <c r="BD406" s="9" t="s">
        <v>3012</v>
      </c>
      <c r="BE406" s="9" t="s">
        <v>3012</v>
      </c>
      <c r="BF406" s="9" t="s">
        <v>3012</v>
      </c>
      <c r="BG406" s="9" t="s">
        <v>3012</v>
      </c>
      <c r="BH406" s="9" t="s">
        <v>3012</v>
      </c>
      <c r="BI406" s="9" t="s">
        <v>3012</v>
      </c>
      <c r="BJ406" s="9" t="s">
        <v>3012</v>
      </c>
      <c r="BK406" s="9" t="s">
        <v>3012</v>
      </c>
      <c r="BL406" s="9" t="s">
        <v>3012</v>
      </c>
      <c r="BM406" s="9" t="s">
        <v>3012</v>
      </c>
      <c r="BN406" s="9" t="s">
        <v>3012</v>
      </c>
      <c r="BO406" s="9" t="s">
        <v>3012</v>
      </c>
      <c r="BP406" s="9" t="s">
        <v>3012</v>
      </c>
      <c r="BQ406" s="9" t="s">
        <v>3012</v>
      </c>
      <c r="BR406" s="9" t="s">
        <v>2975</v>
      </c>
      <c r="BS406" s="9" t="s">
        <v>2975</v>
      </c>
      <c r="BT406" s="9" t="s">
        <v>2975</v>
      </c>
      <c r="BU406" s="9" t="s">
        <v>2975</v>
      </c>
      <c r="BV406" s="9" t="s">
        <v>2975</v>
      </c>
      <c r="BW406" s="9" t="s">
        <v>2975</v>
      </c>
      <c r="BX406" s="9" t="s">
        <v>2975</v>
      </c>
      <c r="BY406" s="9" t="s">
        <v>2975</v>
      </c>
      <c r="BZ406" s="9" t="s">
        <v>2975</v>
      </c>
      <c r="CA406" s="9" t="s">
        <v>2975</v>
      </c>
      <c r="CB406" s="9" t="s">
        <v>2975</v>
      </c>
      <c r="CC406" s="9" t="s">
        <v>2975</v>
      </c>
      <c r="CD406" s="9" t="s">
        <v>2975</v>
      </c>
      <c r="CE406" s="9" t="s">
        <v>2975</v>
      </c>
      <c r="CF406" s="9" t="s">
        <v>2975</v>
      </c>
      <c r="CG406" s="9" t="s">
        <v>2975</v>
      </c>
      <c r="CH406" s="9" t="s">
        <v>2975</v>
      </c>
      <c r="CI406" s="9" t="s">
        <v>2975</v>
      </c>
      <c r="CJ406" s="9" t="s">
        <v>2975</v>
      </c>
      <c r="CK406" s="9" t="s">
        <v>2975</v>
      </c>
      <c r="CL406" s="9" t="s">
        <v>2975</v>
      </c>
      <c r="CM406" s="9" t="s">
        <v>2975</v>
      </c>
      <c r="CN406" s="9" t="s">
        <v>2975</v>
      </c>
      <c r="CO406" s="9" t="s">
        <v>2975</v>
      </c>
      <c r="CP406" s="9" t="s">
        <v>2975</v>
      </c>
      <c r="CQ406" s="9" t="s">
        <v>2975</v>
      </c>
      <c r="CR406" s="9" t="s">
        <v>2975</v>
      </c>
      <c r="CS406" s="9" t="s">
        <v>2975</v>
      </c>
      <c r="CT406" s="9" t="s">
        <v>2975</v>
      </c>
      <c r="CU406" s="9" t="s">
        <v>2975</v>
      </c>
      <c r="CV406" s="9" t="s">
        <v>2975</v>
      </c>
      <c r="CW406" s="9" t="s">
        <v>2975</v>
      </c>
      <c r="CX406" s="9" t="s">
        <v>2975</v>
      </c>
      <c r="CY406" s="9" t="s">
        <v>2975</v>
      </c>
      <c r="CZ406" s="9" t="s">
        <v>2975</v>
      </c>
      <c r="DA406" s="9" t="s">
        <v>2975</v>
      </c>
      <c r="DB406" s="9" t="s">
        <v>2975</v>
      </c>
      <c r="DC406" s="9" t="s">
        <v>2975</v>
      </c>
      <c r="DD406" s="9" t="s">
        <v>2975</v>
      </c>
      <c r="DE406" s="9" t="s">
        <v>2975</v>
      </c>
      <c r="DF406" s="9" t="s">
        <v>2975</v>
      </c>
      <c r="DG406" s="9" t="s">
        <v>2975</v>
      </c>
      <c r="DH406" s="9" t="s">
        <v>2975</v>
      </c>
      <c r="DI406" s="9" t="s">
        <v>2975</v>
      </c>
      <c r="DJ406" s="9" t="s">
        <v>2975</v>
      </c>
      <c r="DK406" s="9" t="s">
        <v>2975</v>
      </c>
      <c r="DL406" s="9" t="s">
        <v>2975</v>
      </c>
      <c r="DM406" s="9" t="s">
        <v>2975</v>
      </c>
      <c r="DN406" s="9" t="s">
        <v>2975</v>
      </c>
      <c r="DO406" s="9" t="s">
        <v>2975</v>
      </c>
      <c r="DP406" s="9" t="s">
        <v>2975</v>
      </c>
      <c r="DQ406" s="9" t="s">
        <v>2975</v>
      </c>
    </row>
    <row r="407" spans="1:121" ht="15.75" customHeight="1">
      <c r="A407" s="87" t="s">
        <v>8682</v>
      </c>
    </row>
    <row r="408" spans="1:121" ht="15.75" customHeight="1">
      <c r="A408" s="87" t="s">
        <v>8683</v>
      </c>
      <c r="BK408" s="9" t="s">
        <v>2981</v>
      </c>
      <c r="BL408" s="9" t="s">
        <v>2981</v>
      </c>
      <c r="BM408" s="9" t="s">
        <v>2981</v>
      </c>
      <c r="BN408" s="9" t="s">
        <v>2981</v>
      </c>
      <c r="BO408" s="9" t="s">
        <v>2981</v>
      </c>
      <c r="BP408" s="9" t="s">
        <v>2981</v>
      </c>
      <c r="BQ408" s="9" t="s">
        <v>2981</v>
      </c>
      <c r="BR408" s="9" t="s">
        <v>2981</v>
      </c>
      <c r="BS408" s="9" t="s">
        <v>2981</v>
      </c>
      <c r="BT408" s="9" t="s">
        <v>2981</v>
      </c>
      <c r="BU408" s="9" t="s">
        <v>2981</v>
      </c>
      <c r="BV408" s="9" t="s">
        <v>2981</v>
      </c>
      <c r="BW408" s="9" t="s">
        <v>2981</v>
      </c>
      <c r="BX408" s="9" t="s">
        <v>2981</v>
      </c>
      <c r="BY408" s="9" t="s">
        <v>2981</v>
      </c>
      <c r="BZ408" s="9" t="s">
        <v>2981</v>
      </c>
      <c r="CA408" s="9" t="s">
        <v>2981</v>
      </c>
      <c r="CB408" s="9" t="s">
        <v>2981</v>
      </c>
      <c r="CC408" s="9" t="s">
        <v>2981</v>
      </c>
      <c r="CD408" s="9" t="s">
        <v>2981</v>
      </c>
      <c r="CE408" s="9" t="s">
        <v>2981</v>
      </c>
      <c r="CF408" s="9" t="s">
        <v>2981</v>
      </c>
      <c r="CG408" s="9" t="s">
        <v>2981</v>
      </c>
      <c r="CH408" s="9" t="s">
        <v>2981</v>
      </c>
      <c r="CI408" s="9" t="s">
        <v>2981</v>
      </c>
      <c r="CJ408" s="9" t="s">
        <v>2981</v>
      </c>
      <c r="CK408" s="9" t="s">
        <v>2981</v>
      </c>
      <c r="CL408" s="9" t="s">
        <v>2981</v>
      </c>
      <c r="CM408" s="9" t="s">
        <v>2981</v>
      </c>
      <c r="CN408" s="9" t="s">
        <v>2981</v>
      </c>
      <c r="CO408" s="9" t="s">
        <v>2981</v>
      </c>
      <c r="CP408" s="9" t="s">
        <v>2981</v>
      </c>
      <c r="CQ408" s="9" t="s">
        <v>2981</v>
      </c>
      <c r="CR408" s="9" t="s">
        <v>2981</v>
      </c>
      <c r="CS408" s="9" t="s">
        <v>2981</v>
      </c>
      <c r="CT408" s="9" t="s">
        <v>2981</v>
      </c>
      <c r="CU408" s="9" t="s">
        <v>2981</v>
      </c>
      <c r="CV408" s="9" t="s">
        <v>2981</v>
      </c>
      <c r="CW408" s="9" t="s">
        <v>2981</v>
      </c>
      <c r="CX408" s="9" t="s">
        <v>2981</v>
      </c>
      <c r="CY408" s="9" t="s">
        <v>2981</v>
      </c>
      <c r="CZ408" s="9" t="s">
        <v>2981</v>
      </c>
      <c r="DA408" s="9" t="s">
        <v>2981</v>
      </c>
      <c r="DB408" s="9" t="s">
        <v>2981</v>
      </c>
      <c r="DC408" s="9" t="s">
        <v>2981</v>
      </c>
      <c r="DD408" s="9" t="s">
        <v>2981</v>
      </c>
      <c r="DE408" s="9" t="s">
        <v>2981</v>
      </c>
      <c r="DF408" s="9" t="s">
        <v>2981</v>
      </c>
      <c r="DG408" s="9" t="s">
        <v>2981</v>
      </c>
      <c r="DH408" s="9" t="s">
        <v>2981</v>
      </c>
      <c r="DI408" s="9" t="s">
        <v>2981</v>
      </c>
      <c r="DJ408" s="9" t="s">
        <v>2981</v>
      </c>
      <c r="DK408" s="9" t="s">
        <v>2981</v>
      </c>
      <c r="DL408" s="9" t="s">
        <v>2981</v>
      </c>
      <c r="DM408" s="9" t="s">
        <v>2981</v>
      </c>
      <c r="DN408" s="9" t="s">
        <v>3026</v>
      </c>
      <c r="DO408" s="9" t="s">
        <v>3026</v>
      </c>
      <c r="DP408" s="9" t="s">
        <v>3026</v>
      </c>
      <c r="DQ408" s="9" t="s">
        <v>3026</v>
      </c>
    </row>
    <row r="409" spans="1:121" ht="15.75" customHeight="1">
      <c r="A409" s="87" t="s">
        <v>8684</v>
      </c>
      <c r="Z409" s="9" t="s">
        <v>3026</v>
      </c>
      <c r="AA409" s="9" t="s">
        <v>3026</v>
      </c>
      <c r="AB409" s="9" t="s">
        <v>3026</v>
      </c>
      <c r="AC409" s="9" t="s">
        <v>3026</v>
      </c>
      <c r="AD409" s="9" t="s">
        <v>3026</v>
      </c>
      <c r="AE409" s="9" t="s">
        <v>3026</v>
      </c>
      <c r="AF409" s="9" t="s">
        <v>3026</v>
      </c>
      <c r="AG409" s="9" t="s">
        <v>3026</v>
      </c>
      <c r="AH409" s="9" t="s">
        <v>3026</v>
      </c>
      <c r="AI409" s="9" t="s">
        <v>3026</v>
      </c>
      <c r="AJ409" s="9" t="s">
        <v>3026</v>
      </c>
      <c r="AK409" s="9" t="s">
        <v>3026</v>
      </c>
      <c r="AL409" s="9" t="s">
        <v>3026</v>
      </c>
      <c r="AM409" s="9" t="s">
        <v>3026</v>
      </c>
      <c r="AN409" s="9" t="s">
        <v>3026</v>
      </c>
      <c r="AO409" s="9" t="s">
        <v>3026</v>
      </c>
      <c r="AP409" s="9" t="s">
        <v>3026</v>
      </c>
      <c r="AQ409" s="9" t="s">
        <v>3026</v>
      </c>
      <c r="AR409" s="9" t="s">
        <v>3026</v>
      </c>
      <c r="AS409" s="9" t="s">
        <v>3026</v>
      </c>
      <c r="AT409" s="9" t="s">
        <v>3026</v>
      </c>
      <c r="AU409" s="9" t="s">
        <v>3026</v>
      </c>
      <c r="AV409" s="9" t="s">
        <v>3026</v>
      </c>
      <c r="AW409" s="9" t="s">
        <v>3026</v>
      </c>
      <c r="AX409" s="9" t="s">
        <v>3026</v>
      </c>
      <c r="AY409" s="9" t="s">
        <v>3026</v>
      </c>
      <c r="AZ409" s="9" t="s">
        <v>3026</v>
      </c>
      <c r="BA409" s="9" t="s">
        <v>3026</v>
      </c>
      <c r="BB409" s="9" t="s">
        <v>3026</v>
      </c>
      <c r="BC409" s="9" t="s">
        <v>3026</v>
      </c>
      <c r="BD409" s="9" t="s">
        <v>3026</v>
      </c>
      <c r="BE409" s="9" t="s">
        <v>3026</v>
      </c>
      <c r="BF409" s="9" t="s">
        <v>3026</v>
      </c>
      <c r="BG409" s="9" t="s">
        <v>3026</v>
      </c>
      <c r="BH409" s="9" t="s">
        <v>3026</v>
      </c>
      <c r="BI409" s="9" t="s">
        <v>3026</v>
      </c>
      <c r="BJ409" s="9" t="s">
        <v>3026</v>
      </c>
      <c r="BK409" s="9" t="s">
        <v>3026</v>
      </c>
      <c r="BL409" s="9" t="s">
        <v>3026</v>
      </c>
      <c r="BM409" s="9" t="s">
        <v>3026</v>
      </c>
      <c r="BN409" s="9" t="s">
        <v>3026</v>
      </c>
      <c r="BO409" s="9" t="s">
        <v>3026</v>
      </c>
      <c r="BP409" s="9" t="s">
        <v>3026</v>
      </c>
      <c r="BQ409" s="9" t="s">
        <v>3026</v>
      </c>
      <c r="BR409" s="9" t="s">
        <v>3026</v>
      </c>
      <c r="BS409" s="9" t="s">
        <v>3026</v>
      </c>
      <c r="BT409" s="9" t="s">
        <v>3026</v>
      </c>
      <c r="BU409" s="9" t="s">
        <v>3026</v>
      </c>
      <c r="BV409" s="9" t="s">
        <v>3026</v>
      </c>
      <c r="BW409" s="9" t="s">
        <v>3026</v>
      </c>
      <c r="BX409" s="9" t="s">
        <v>3026</v>
      </c>
      <c r="BY409" s="9" t="s">
        <v>3026</v>
      </c>
      <c r="BZ409" s="9" t="s">
        <v>3026</v>
      </c>
      <c r="CA409" s="9" t="s">
        <v>3026</v>
      </c>
      <c r="CB409" s="9" t="s">
        <v>3026</v>
      </c>
      <c r="CC409" s="9" t="s">
        <v>3026</v>
      </c>
      <c r="CD409" s="9" t="s">
        <v>3026</v>
      </c>
      <c r="CE409" s="9" t="s">
        <v>3026</v>
      </c>
      <c r="CF409" s="9" t="s">
        <v>3026</v>
      </c>
      <c r="CG409" s="9" t="s">
        <v>3026</v>
      </c>
      <c r="CH409" s="9" t="s">
        <v>3026</v>
      </c>
      <c r="CI409" s="9" t="s">
        <v>3026</v>
      </c>
      <c r="CJ409" s="9" t="s">
        <v>3026</v>
      </c>
      <c r="CK409" s="9" t="s">
        <v>3026</v>
      </c>
      <c r="CL409" s="9" t="s">
        <v>3026</v>
      </c>
      <c r="CM409" s="9" t="s">
        <v>3026</v>
      </c>
      <c r="CN409" s="9" t="s">
        <v>3026</v>
      </c>
      <c r="CO409" s="9" t="s">
        <v>3026</v>
      </c>
      <c r="CP409" s="9" t="s">
        <v>3026</v>
      </c>
      <c r="CQ409" s="9" t="s">
        <v>3026</v>
      </c>
      <c r="CR409" s="9" t="s">
        <v>3026</v>
      </c>
      <c r="CS409" s="9" t="s">
        <v>3026</v>
      </c>
      <c r="CT409" s="9" t="s">
        <v>3026</v>
      </c>
      <c r="CU409" s="9" t="s">
        <v>3026</v>
      </c>
      <c r="CV409" s="9" t="s">
        <v>3026</v>
      </c>
      <c r="CW409" s="9" t="s">
        <v>3026</v>
      </c>
      <c r="CX409" s="9" t="s">
        <v>3026</v>
      </c>
      <c r="CY409" s="9" t="s">
        <v>3026</v>
      </c>
      <c r="CZ409" s="9" t="s">
        <v>3026</v>
      </c>
      <c r="DA409" s="9" t="s">
        <v>3026</v>
      </c>
      <c r="DB409" s="9" t="s">
        <v>3026</v>
      </c>
      <c r="DC409" s="9" t="s">
        <v>3026</v>
      </c>
      <c r="DD409" s="9" t="s">
        <v>3026</v>
      </c>
      <c r="DE409" s="9" t="s">
        <v>3026</v>
      </c>
      <c r="DF409" s="9" t="s">
        <v>3026</v>
      </c>
      <c r="DG409" s="9" t="s">
        <v>3026</v>
      </c>
      <c r="DH409" s="9" t="s">
        <v>3026</v>
      </c>
      <c r="DI409" s="9" t="s">
        <v>3026</v>
      </c>
      <c r="DJ409" s="9" t="s">
        <v>3026</v>
      </c>
      <c r="DK409" s="9" t="s">
        <v>3026</v>
      </c>
      <c r="DL409" s="9" t="s">
        <v>3026</v>
      </c>
      <c r="DM409" s="9" t="s">
        <v>3026</v>
      </c>
      <c r="DN409" s="9" t="s">
        <v>3026</v>
      </c>
      <c r="DO409" s="9" t="s">
        <v>3026</v>
      </c>
      <c r="DP409" s="9" t="s">
        <v>3026</v>
      </c>
      <c r="DQ409" s="9" t="s">
        <v>3026</v>
      </c>
    </row>
    <row r="410" spans="1:121" ht="15.75" customHeight="1">
      <c r="A410" s="87" t="s">
        <v>8685</v>
      </c>
      <c r="CA410" s="9" t="s">
        <v>2888</v>
      </c>
      <c r="CB410" s="9" t="s">
        <v>2888</v>
      </c>
      <c r="CC410" s="9" t="s">
        <v>2888</v>
      </c>
      <c r="CD410" s="9" t="s">
        <v>2850</v>
      </c>
      <c r="CE410" s="9" t="s">
        <v>2850</v>
      </c>
      <c r="CF410" s="9" t="s">
        <v>2850</v>
      </c>
      <c r="CG410" s="9" t="s">
        <v>2850</v>
      </c>
      <c r="CH410" s="9" t="s">
        <v>2850</v>
      </c>
      <c r="CI410" s="9" t="s">
        <v>2850</v>
      </c>
      <c r="CJ410" s="9" t="s">
        <v>2850</v>
      </c>
      <c r="CK410" s="9" t="s">
        <v>2850</v>
      </c>
      <c r="CL410" s="9" t="s">
        <v>2850</v>
      </c>
      <c r="CM410" s="9" t="s">
        <v>2850</v>
      </c>
      <c r="CN410" s="9" t="s">
        <v>2850</v>
      </c>
      <c r="CO410" s="9" t="s">
        <v>2850</v>
      </c>
      <c r="CP410" s="9" t="s">
        <v>2850</v>
      </c>
      <c r="CQ410" s="9" t="s">
        <v>2850</v>
      </c>
      <c r="CR410" s="9" t="s">
        <v>2850</v>
      </c>
      <c r="CS410" s="9" t="s">
        <v>2850</v>
      </c>
      <c r="CT410" s="9" t="s">
        <v>2850</v>
      </c>
      <c r="CU410" s="9" t="s">
        <v>2850</v>
      </c>
      <c r="CV410" s="9" t="s">
        <v>2850</v>
      </c>
      <c r="CW410" s="9" t="s">
        <v>2850</v>
      </c>
      <c r="CX410" s="9" t="s">
        <v>2850</v>
      </c>
      <c r="CY410" s="9" t="s">
        <v>2850</v>
      </c>
      <c r="CZ410" s="9" t="s">
        <v>2850</v>
      </c>
      <c r="DA410" s="9" t="s">
        <v>2850</v>
      </c>
      <c r="DB410" s="9" t="s">
        <v>2850</v>
      </c>
      <c r="DC410" s="9" t="s">
        <v>2850</v>
      </c>
      <c r="DD410" s="9" t="s">
        <v>2850</v>
      </c>
      <c r="DE410" s="9" t="s">
        <v>2850</v>
      </c>
      <c r="DF410" s="9" t="s">
        <v>2850</v>
      </c>
      <c r="DG410" s="9" t="s">
        <v>2850</v>
      </c>
      <c r="DH410" s="9" t="s">
        <v>2850</v>
      </c>
      <c r="DI410" s="9" t="s">
        <v>2850</v>
      </c>
      <c r="DJ410" s="9" t="s">
        <v>2850</v>
      </c>
      <c r="DK410" s="9" t="s">
        <v>2850</v>
      </c>
      <c r="DL410" s="9" t="s">
        <v>2850</v>
      </c>
      <c r="DM410" s="9" t="s">
        <v>2850</v>
      </c>
      <c r="DN410" s="9" t="s">
        <v>2850</v>
      </c>
      <c r="DO410" s="9" t="s">
        <v>2850</v>
      </c>
      <c r="DP410" s="9" t="s">
        <v>2850</v>
      </c>
      <c r="DQ410" s="9" t="s">
        <v>2850</v>
      </c>
    </row>
    <row r="411" spans="1:121" ht="15.75" customHeight="1">
      <c r="A411" s="87" t="s">
        <v>8686</v>
      </c>
    </row>
    <row r="412" spans="1:121" ht="15.75" customHeight="1">
      <c r="A412" s="87" t="s">
        <v>8687</v>
      </c>
      <c r="DN412" s="9" t="s">
        <v>2943</v>
      </c>
      <c r="DO412" s="9" t="s">
        <v>2943</v>
      </c>
      <c r="DP412" s="9" t="s">
        <v>2943</v>
      </c>
      <c r="DQ412" s="9" t="s">
        <v>2943</v>
      </c>
    </row>
    <row r="413" spans="1:121" ht="15.75" customHeight="1">
      <c r="A413" s="87" t="s">
        <v>8688</v>
      </c>
      <c r="Z413" s="9" t="s">
        <v>2943</v>
      </c>
      <c r="AA413" s="9" t="s">
        <v>2943</v>
      </c>
      <c r="AB413" s="9" t="s">
        <v>2943</v>
      </c>
      <c r="AC413" s="9" t="s">
        <v>2943</v>
      </c>
      <c r="AD413" s="9" t="s">
        <v>2943</v>
      </c>
      <c r="AE413" s="9" t="s">
        <v>2943</v>
      </c>
      <c r="AF413" s="9" t="s">
        <v>2943</v>
      </c>
      <c r="AG413" s="9" t="s">
        <v>2943</v>
      </c>
      <c r="AH413" s="9" t="s">
        <v>2943</v>
      </c>
      <c r="AI413" s="9" t="s">
        <v>2943</v>
      </c>
      <c r="AJ413" s="9" t="s">
        <v>2943</v>
      </c>
      <c r="AK413" s="9" t="s">
        <v>2943</v>
      </c>
      <c r="AL413" s="9" t="s">
        <v>2943</v>
      </c>
      <c r="AM413" s="9" t="s">
        <v>2943</v>
      </c>
      <c r="AN413" s="9" t="s">
        <v>2943</v>
      </c>
      <c r="AO413" s="9" t="s">
        <v>2943</v>
      </c>
      <c r="AP413" s="9" t="s">
        <v>2943</v>
      </c>
      <c r="AQ413" s="9" t="s">
        <v>2943</v>
      </c>
      <c r="AR413" s="9" t="s">
        <v>2943</v>
      </c>
      <c r="AS413" s="9" t="s">
        <v>2943</v>
      </c>
      <c r="AT413" s="9" t="s">
        <v>2943</v>
      </c>
      <c r="AU413" s="9" t="s">
        <v>2943</v>
      </c>
      <c r="AV413" s="9" t="s">
        <v>2943</v>
      </c>
      <c r="AW413" s="9" t="s">
        <v>2943</v>
      </c>
      <c r="AX413" s="9" t="s">
        <v>2943</v>
      </c>
      <c r="AY413" s="9" t="s">
        <v>2943</v>
      </c>
      <c r="AZ413" s="9" t="s">
        <v>2943</v>
      </c>
      <c r="BA413" s="9" t="s">
        <v>2943</v>
      </c>
      <c r="BB413" s="9" t="s">
        <v>2943</v>
      </c>
      <c r="BC413" s="9" t="s">
        <v>2943</v>
      </c>
      <c r="BD413" s="9" t="s">
        <v>2943</v>
      </c>
      <c r="BE413" s="9" t="s">
        <v>2943</v>
      </c>
      <c r="BF413" s="9" t="s">
        <v>2943</v>
      </c>
      <c r="BG413" s="9" t="s">
        <v>2943</v>
      </c>
      <c r="BH413" s="9" t="s">
        <v>2943</v>
      </c>
      <c r="BI413" s="9" t="s">
        <v>2943</v>
      </c>
      <c r="BJ413" s="9" t="s">
        <v>2943</v>
      </c>
      <c r="BK413" s="9" t="s">
        <v>2943</v>
      </c>
      <c r="BL413" s="9" t="s">
        <v>2943</v>
      </c>
      <c r="BM413" s="9" t="s">
        <v>2943</v>
      </c>
      <c r="BN413" s="9" t="s">
        <v>2943</v>
      </c>
      <c r="BO413" s="9" t="s">
        <v>2943</v>
      </c>
      <c r="BP413" s="9" t="s">
        <v>2943</v>
      </c>
      <c r="BQ413" s="9" t="s">
        <v>2943</v>
      </c>
      <c r="BR413" s="9" t="s">
        <v>2943</v>
      </c>
      <c r="BS413" s="9" t="s">
        <v>2943</v>
      </c>
      <c r="BT413" s="9" t="s">
        <v>2943</v>
      </c>
      <c r="BU413" s="9" t="s">
        <v>2943</v>
      </c>
      <c r="BV413" s="9" t="s">
        <v>2943</v>
      </c>
      <c r="BW413" s="9" t="s">
        <v>2943</v>
      </c>
      <c r="BX413" s="9" t="s">
        <v>2943</v>
      </c>
      <c r="BY413" s="9" t="s">
        <v>2943</v>
      </c>
      <c r="BZ413" s="9" t="s">
        <v>2943</v>
      </c>
      <c r="CA413" s="9" t="s">
        <v>2943</v>
      </c>
      <c r="CB413" s="9" t="s">
        <v>2943</v>
      </c>
      <c r="CC413" s="9" t="s">
        <v>2943</v>
      </c>
      <c r="CD413" s="9" t="s">
        <v>2943</v>
      </c>
      <c r="CE413" s="9" t="s">
        <v>2943</v>
      </c>
      <c r="CF413" s="9" t="s">
        <v>2943</v>
      </c>
      <c r="CG413" s="9" t="s">
        <v>2943</v>
      </c>
      <c r="CH413" s="9" t="s">
        <v>2943</v>
      </c>
      <c r="CI413" s="9" t="s">
        <v>2943</v>
      </c>
      <c r="CJ413" s="9" t="s">
        <v>2943</v>
      </c>
      <c r="CK413" s="9" t="s">
        <v>2943</v>
      </c>
      <c r="CL413" s="9" t="s">
        <v>2943</v>
      </c>
      <c r="CM413" s="9" t="s">
        <v>2943</v>
      </c>
      <c r="CN413" s="9" t="s">
        <v>2943</v>
      </c>
      <c r="CO413" s="9" t="s">
        <v>2943</v>
      </c>
      <c r="CP413" s="9" t="s">
        <v>2943</v>
      </c>
      <c r="CQ413" s="9" t="s">
        <v>2943</v>
      </c>
      <c r="CR413" s="9" t="s">
        <v>2943</v>
      </c>
      <c r="CS413" s="9" t="s">
        <v>2943</v>
      </c>
      <c r="CT413" s="9" t="s">
        <v>2943</v>
      </c>
      <c r="CU413" s="9" t="s">
        <v>2943</v>
      </c>
      <c r="CV413" s="9" t="s">
        <v>2943</v>
      </c>
      <c r="CW413" s="9" t="s">
        <v>2943</v>
      </c>
      <c r="CX413" s="9" t="s">
        <v>2943</v>
      </c>
      <c r="CY413" s="9" t="s">
        <v>2943</v>
      </c>
      <c r="CZ413" s="9" t="s">
        <v>2943</v>
      </c>
      <c r="DA413" s="9" t="s">
        <v>2943</v>
      </c>
      <c r="DB413" s="9" t="s">
        <v>2943</v>
      </c>
      <c r="DC413" s="9" t="s">
        <v>2943</v>
      </c>
      <c r="DD413" s="9" t="s">
        <v>2943</v>
      </c>
      <c r="DE413" s="9" t="s">
        <v>2943</v>
      </c>
      <c r="DF413" s="9" t="s">
        <v>2943</v>
      </c>
      <c r="DG413" s="9" t="s">
        <v>2943</v>
      </c>
      <c r="DH413" s="9" t="s">
        <v>2943</v>
      </c>
      <c r="DI413" s="9" t="s">
        <v>2943</v>
      </c>
      <c r="DJ413" s="9" t="s">
        <v>2943</v>
      </c>
      <c r="DK413" s="9" t="s">
        <v>2943</v>
      </c>
      <c r="DL413" s="9" t="s">
        <v>2943</v>
      </c>
      <c r="DM413" s="9" t="s">
        <v>2943</v>
      </c>
      <c r="DN413" s="9" t="s">
        <v>2943</v>
      </c>
      <c r="DO413" s="9" t="s">
        <v>2943</v>
      </c>
      <c r="DP413" s="9" t="s">
        <v>2943</v>
      </c>
      <c r="DQ413" s="9" t="s">
        <v>2943</v>
      </c>
    </row>
    <row r="414" spans="1:121" ht="15.75" customHeight="1">
      <c r="A414" s="87" t="s">
        <v>8689</v>
      </c>
    </row>
    <row r="415" spans="1:121" ht="15.75" customHeight="1">
      <c r="A415" s="87" t="s">
        <v>8690</v>
      </c>
    </row>
    <row r="416" spans="1:121" ht="15.75" customHeight="1">
      <c r="A416" s="87" t="s">
        <v>8691</v>
      </c>
    </row>
    <row r="417" spans="1:121" ht="15.75" customHeight="1">
      <c r="A417" s="87" t="s">
        <v>8692</v>
      </c>
    </row>
    <row r="418" spans="1:121" ht="15.75" customHeight="1">
      <c r="A418" s="87" t="s">
        <v>8693</v>
      </c>
    </row>
    <row r="419" spans="1:121" ht="15.75" customHeight="1">
      <c r="A419" s="87" t="s">
        <v>8694</v>
      </c>
      <c r="DH419" s="9" t="s">
        <v>2906</v>
      </c>
      <c r="DI419" s="9" t="s">
        <v>2906</v>
      </c>
      <c r="DJ419" s="9" t="s">
        <v>2906</v>
      </c>
      <c r="DK419" s="9" t="s">
        <v>2906</v>
      </c>
      <c r="DL419" s="9" t="s">
        <v>2906</v>
      </c>
      <c r="DM419" s="9" t="s">
        <v>2906</v>
      </c>
      <c r="DN419" s="9" t="s">
        <v>2906</v>
      </c>
      <c r="DO419" s="9" t="s">
        <v>2906</v>
      </c>
      <c r="DP419" s="9" t="s">
        <v>2906</v>
      </c>
      <c r="DQ419" s="9" t="s">
        <v>2906</v>
      </c>
    </row>
    <row r="420" spans="1:121" ht="15.75" customHeight="1">
      <c r="A420" s="87" t="s">
        <v>8695</v>
      </c>
      <c r="Z420" s="9" t="s">
        <v>2906</v>
      </c>
      <c r="AA420" s="9" t="s">
        <v>2906</v>
      </c>
      <c r="AB420" s="9" t="s">
        <v>2906</v>
      </c>
      <c r="AC420" s="9" t="s">
        <v>2906</v>
      </c>
      <c r="AD420" s="9" t="s">
        <v>2906</v>
      </c>
      <c r="AE420" s="9" t="s">
        <v>2906</v>
      </c>
      <c r="AF420" s="9" t="s">
        <v>2906</v>
      </c>
      <c r="AG420" s="9" t="s">
        <v>2906</v>
      </c>
      <c r="AH420" s="9" t="s">
        <v>2930</v>
      </c>
      <c r="AI420" s="9" t="s">
        <v>2930</v>
      </c>
      <c r="AJ420" s="9" t="s">
        <v>2930</v>
      </c>
      <c r="AK420" s="9" t="s">
        <v>2930</v>
      </c>
      <c r="AL420" s="9" t="s">
        <v>2930</v>
      </c>
      <c r="AM420" s="9" t="s">
        <v>2930</v>
      </c>
      <c r="AN420" s="9" t="s">
        <v>2930</v>
      </c>
      <c r="AO420" s="9" t="s">
        <v>2930</v>
      </c>
      <c r="AP420" s="9" t="s">
        <v>2930</v>
      </c>
      <c r="AQ420" s="9" t="s">
        <v>2930</v>
      </c>
      <c r="AR420" s="9" t="s">
        <v>2949</v>
      </c>
      <c r="AS420" s="9" t="s">
        <v>2949</v>
      </c>
      <c r="AT420" s="9" t="s">
        <v>2949</v>
      </c>
      <c r="AU420" s="9" t="s">
        <v>2949</v>
      </c>
      <c r="AV420" s="9" t="s">
        <v>2949</v>
      </c>
      <c r="AW420" s="9" t="s">
        <v>2949</v>
      </c>
      <c r="AX420" s="9" t="s">
        <v>2949</v>
      </c>
      <c r="AY420" s="9" t="s">
        <v>2949</v>
      </c>
      <c r="AZ420" s="9" t="s">
        <v>2949</v>
      </c>
      <c r="BA420" s="9" t="s">
        <v>2949</v>
      </c>
      <c r="BB420" s="9" t="s">
        <v>2949</v>
      </c>
      <c r="BC420" s="9" t="s">
        <v>2949</v>
      </c>
      <c r="BD420" s="9" t="s">
        <v>2949</v>
      </c>
      <c r="BE420" s="9" t="s">
        <v>2949</v>
      </c>
      <c r="BF420" s="9" t="s">
        <v>2949</v>
      </c>
      <c r="BG420" s="9" t="s">
        <v>2949</v>
      </c>
      <c r="BH420" s="9" t="s">
        <v>2949</v>
      </c>
      <c r="BI420" s="9" t="s">
        <v>2949</v>
      </c>
      <c r="BJ420" s="9" t="s">
        <v>2949</v>
      </c>
      <c r="BK420" s="9" t="s">
        <v>2949</v>
      </c>
      <c r="BL420" s="9" t="s">
        <v>2949</v>
      </c>
      <c r="BM420" s="9" t="s">
        <v>2949</v>
      </c>
      <c r="BN420" s="9" t="s">
        <v>2949</v>
      </c>
      <c r="BO420" s="9" t="s">
        <v>2949</v>
      </c>
      <c r="BP420" s="9" t="s">
        <v>2949</v>
      </c>
      <c r="BQ420" s="9" t="s">
        <v>2949</v>
      </c>
      <c r="BR420" s="9" t="s">
        <v>2949</v>
      </c>
      <c r="BS420" s="9" t="s">
        <v>2949</v>
      </c>
      <c r="BT420" s="9" t="s">
        <v>2949</v>
      </c>
      <c r="BU420" s="9" t="s">
        <v>2949</v>
      </c>
      <c r="BV420" s="9" t="s">
        <v>2949</v>
      </c>
      <c r="BW420" s="9" t="s">
        <v>2949</v>
      </c>
      <c r="BX420" s="9" t="s">
        <v>2949</v>
      </c>
      <c r="BY420" s="9" t="s">
        <v>2949</v>
      </c>
      <c r="BZ420" s="9" t="s">
        <v>2949</v>
      </c>
      <c r="CA420" s="9" t="s">
        <v>2949</v>
      </c>
      <c r="CB420" s="9" t="s">
        <v>2949</v>
      </c>
      <c r="CC420" s="9" t="s">
        <v>2949</v>
      </c>
      <c r="CD420" s="9" t="s">
        <v>2949</v>
      </c>
      <c r="CE420" s="9" t="s">
        <v>2949</v>
      </c>
      <c r="CF420" s="9" t="s">
        <v>2949</v>
      </c>
      <c r="CG420" s="9" t="s">
        <v>2949</v>
      </c>
      <c r="CH420" s="9" t="s">
        <v>2949</v>
      </c>
      <c r="CI420" s="9" t="s">
        <v>2949</v>
      </c>
      <c r="CJ420" s="9" t="s">
        <v>2949</v>
      </c>
      <c r="CK420" s="9" t="s">
        <v>2949</v>
      </c>
      <c r="CL420" s="9" t="s">
        <v>2949</v>
      </c>
      <c r="CM420" s="9" t="s">
        <v>2949</v>
      </c>
      <c r="CN420" s="9" t="s">
        <v>2949</v>
      </c>
      <c r="CO420" s="9" t="s">
        <v>2949</v>
      </c>
      <c r="CP420" s="9" t="s">
        <v>2949</v>
      </c>
      <c r="CQ420" s="9" t="s">
        <v>2949</v>
      </c>
      <c r="CR420" s="9" t="s">
        <v>2949</v>
      </c>
      <c r="CS420" s="9" t="s">
        <v>2949</v>
      </c>
      <c r="CT420" s="9" t="s">
        <v>2949</v>
      </c>
      <c r="CU420" s="9" t="s">
        <v>2949</v>
      </c>
      <c r="CV420" s="9" t="s">
        <v>2949</v>
      </c>
      <c r="CW420" s="9" t="s">
        <v>2949</v>
      </c>
      <c r="CX420" s="9" t="s">
        <v>2949</v>
      </c>
      <c r="CY420" s="9" t="s">
        <v>2949</v>
      </c>
      <c r="CZ420" s="9" t="s">
        <v>2949</v>
      </c>
      <c r="DA420" s="9" t="s">
        <v>2949</v>
      </c>
      <c r="DB420" s="9" t="s">
        <v>2949</v>
      </c>
      <c r="DC420" s="9" t="s">
        <v>2949</v>
      </c>
      <c r="DD420" s="9" t="s">
        <v>2949</v>
      </c>
      <c r="DE420" s="9" t="s">
        <v>2949</v>
      </c>
      <c r="DF420" s="9" t="s">
        <v>2949</v>
      </c>
      <c r="DG420" s="9" t="s">
        <v>2949</v>
      </c>
      <c r="DH420" s="9" t="s">
        <v>2949</v>
      </c>
      <c r="DI420" s="9" t="s">
        <v>2949</v>
      </c>
      <c r="DJ420" s="9" t="s">
        <v>2949</v>
      </c>
      <c r="DK420" s="9" t="s">
        <v>2949</v>
      </c>
      <c r="DL420" s="9" t="s">
        <v>2949</v>
      </c>
      <c r="DM420" s="9" t="s">
        <v>2949</v>
      </c>
      <c r="DN420" s="9" t="s">
        <v>2949</v>
      </c>
      <c r="DO420" s="9" t="s">
        <v>2949</v>
      </c>
      <c r="DP420" s="9" t="s">
        <v>2949</v>
      </c>
      <c r="DQ420" s="9" t="s">
        <v>2949</v>
      </c>
    </row>
    <row r="421" spans="1:121" ht="15.75" customHeight="1">
      <c r="A421" s="87" t="s">
        <v>8696</v>
      </c>
      <c r="Z421" s="9" t="s">
        <v>2949</v>
      </c>
      <c r="AA421" s="9" t="s">
        <v>2949</v>
      </c>
      <c r="AB421" s="9" t="s">
        <v>2949</v>
      </c>
      <c r="AC421" s="9" t="s">
        <v>2949</v>
      </c>
      <c r="AD421" s="9" t="s">
        <v>2949</v>
      </c>
      <c r="AE421" s="9" t="s">
        <v>2949</v>
      </c>
      <c r="AF421" s="9" t="s">
        <v>2949</v>
      </c>
      <c r="AG421" s="9" t="s">
        <v>2949</v>
      </c>
      <c r="AH421" s="9" t="s">
        <v>2949</v>
      </c>
      <c r="AI421" s="9" t="s">
        <v>2949</v>
      </c>
      <c r="AJ421" s="9" t="s">
        <v>2949</v>
      </c>
      <c r="AK421" s="9" t="s">
        <v>2949</v>
      </c>
      <c r="AL421" s="9" t="s">
        <v>2949</v>
      </c>
      <c r="AM421" s="9" t="s">
        <v>2949</v>
      </c>
      <c r="AN421" s="9" t="s">
        <v>2949</v>
      </c>
      <c r="AO421" s="9" t="s">
        <v>2949</v>
      </c>
      <c r="AP421" s="9" t="s">
        <v>2949</v>
      </c>
      <c r="AQ421" s="9" t="s">
        <v>2949</v>
      </c>
      <c r="AR421" s="9" t="s">
        <v>2949</v>
      </c>
      <c r="AS421" s="9" t="s">
        <v>2949</v>
      </c>
      <c r="AT421" s="9" t="s">
        <v>2949</v>
      </c>
      <c r="AU421" s="9" t="s">
        <v>2949</v>
      </c>
      <c r="AV421" s="9" t="s">
        <v>2949</v>
      </c>
      <c r="AW421" s="9" t="s">
        <v>2949</v>
      </c>
      <c r="AX421" s="9" t="s">
        <v>2949</v>
      </c>
      <c r="AY421" s="9" t="s">
        <v>2949</v>
      </c>
      <c r="AZ421" s="9" t="s">
        <v>2949</v>
      </c>
      <c r="BA421" s="9" t="s">
        <v>2949</v>
      </c>
      <c r="BB421" s="9" t="s">
        <v>2949</v>
      </c>
      <c r="BC421" s="9" t="s">
        <v>2949</v>
      </c>
      <c r="BD421" s="9" t="s">
        <v>2949</v>
      </c>
      <c r="BE421" s="9" t="s">
        <v>2949</v>
      </c>
      <c r="BF421" s="9" t="s">
        <v>2949</v>
      </c>
      <c r="BG421" s="9" t="s">
        <v>2949</v>
      </c>
      <c r="BH421" s="9" t="s">
        <v>2949</v>
      </c>
      <c r="BI421" s="9" t="s">
        <v>2949</v>
      </c>
      <c r="BJ421" s="9" t="s">
        <v>2949</v>
      </c>
      <c r="BK421" s="9" t="s">
        <v>2949</v>
      </c>
      <c r="BL421" s="9" t="s">
        <v>2949</v>
      </c>
      <c r="BM421" s="9" t="s">
        <v>2949</v>
      </c>
      <c r="BN421" s="9" t="s">
        <v>2949</v>
      </c>
      <c r="BO421" s="9" t="s">
        <v>2949</v>
      </c>
      <c r="BP421" s="9" t="s">
        <v>2949</v>
      </c>
      <c r="BQ421" s="9" t="s">
        <v>2949</v>
      </c>
      <c r="BR421" s="9" t="s">
        <v>2949</v>
      </c>
      <c r="BS421" s="9" t="s">
        <v>2949</v>
      </c>
      <c r="BT421" s="9" t="s">
        <v>2949</v>
      </c>
      <c r="BU421" s="9" t="s">
        <v>2949</v>
      </c>
      <c r="BV421" s="9" t="s">
        <v>2949</v>
      </c>
      <c r="BW421" s="9" t="s">
        <v>2949</v>
      </c>
      <c r="BX421" s="9" t="s">
        <v>2949</v>
      </c>
      <c r="BY421" s="9" t="s">
        <v>2949</v>
      </c>
      <c r="BZ421" s="9" t="s">
        <v>2949</v>
      </c>
      <c r="CA421" s="9" t="s">
        <v>2949</v>
      </c>
      <c r="CB421" s="9" t="s">
        <v>2949</v>
      </c>
      <c r="CC421" s="9" t="s">
        <v>2949</v>
      </c>
      <c r="CD421" s="9" t="s">
        <v>2949</v>
      </c>
      <c r="CE421" s="9" t="s">
        <v>2949</v>
      </c>
      <c r="CF421" s="9" t="s">
        <v>2949</v>
      </c>
      <c r="CG421" s="9" t="s">
        <v>2949</v>
      </c>
      <c r="CH421" s="9" t="s">
        <v>2949</v>
      </c>
      <c r="CI421" s="9" t="s">
        <v>2949</v>
      </c>
      <c r="CJ421" s="9" t="s">
        <v>2949</v>
      </c>
      <c r="CK421" s="9" t="s">
        <v>2949</v>
      </c>
      <c r="CL421" s="9" t="s">
        <v>2949</v>
      </c>
      <c r="CM421" s="9" t="s">
        <v>2949</v>
      </c>
      <c r="CN421" s="9" t="s">
        <v>2949</v>
      </c>
      <c r="CO421" s="9" t="s">
        <v>2949</v>
      </c>
      <c r="CP421" s="9" t="s">
        <v>2949</v>
      </c>
      <c r="CQ421" s="9" t="s">
        <v>2949</v>
      </c>
      <c r="CR421" s="9" t="s">
        <v>2949</v>
      </c>
      <c r="CS421" s="9" t="s">
        <v>2949</v>
      </c>
      <c r="CT421" s="9" t="s">
        <v>2949</v>
      </c>
      <c r="CU421" s="9" t="s">
        <v>2949</v>
      </c>
      <c r="CV421" s="9" t="s">
        <v>2949</v>
      </c>
      <c r="CW421" s="9" t="s">
        <v>2949</v>
      </c>
      <c r="CX421" s="9" t="s">
        <v>2949</v>
      </c>
      <c r="CY421" s="9" t="s">
        <v>2949</v>
      </c>
      <c r="CZ421" s="9" t="s">
        <v>2949</v>
      </c>
      <c r="DA421" s="9" t="s">
        <v>2949</v>
      </c>
      <c r="DB421" s="9" t="s">
        <v>2949</v>
      </c>
      <c r="DC421" s="9" t="s">
        <v>2949</v>
      </c>
      <c r="DD421" s="9" t="s">
        <v>2949</v>
      </c>
      <c r="DE421" s="9" t="s">
        <v>2949</v>
      </c>
      <c r="DF421" s="9" t="s">
        <v>2949</v>
      </c>
      <c r="DG421" s="9" t="s">
        <v>2949</v>
      </c>
      <c r="DH421" s="9" t="s">
        <v>2949</v>
      </c>
      <c r="DI421" s="9" t="s">
        <v>2949</v>
      </c>
      <c r="DJ421" s="9" t="s">
        <v>2949</v>
      </c>
      <c r="DK421" s="9" t="s">
        <v>2949</v>
      </c>
      <c r="DL421" s="9" t="s">
        <v>2949</v>
      </c>
      <c r="DM421" s="9" t="s">
        <v>2949</v>
      </c>
      <c r="DN421" s="9" t="s">
        <v>2949</v>
      </c>
      <c r="DO421" s="9" t="s">
        <v>2949</v>
      </c>
      <c r="DP421" s="9" t="s">
        <v>2949</v>
      </c>
      <c r="DQ421" s="9" t="s">
        <v>2949</v>
      </c>
    </row>
    <row r="422" spans="1:121" ht="15.75" customHeight="1">
      <c r="A422" s="87" t="s">
        <v>8697</v>
      </c>
    </row>
    <row r="423" spans="1:121" ht="15.75" customHeight="1">
      <c r="A423" s="87" t="s">
        <v>8698</v>
      </c>
    </row>
    <row r="424" spans="1:121" ht="15.75" customHeight="1">
      <c r="A424" s="87" t="s">
        <v>8699</v>
      </c>
      <c r="CN424" s="9" t="s">
        <v>3005</v>
      </c>
      <c r="CO424" s="9" t="s">
        <v>3005</v>
      </c>
      <c r="CP424" s="9" t="s">
        <v>3005</v>
      </c>
      <c r="CQ424" s="9" t="s">
        <v>3005</v>
      </c>
      <c r="CR424" s="9" t="s">
        <v>3005</v>
      </c>
      <c r="CS424" s="9" t="s">
        <v>3005</v>
      </c>
      <c r="CT424" s="9" t="s">
        <v>3005</v>
      </c>
      <c r="CU424" s="9" t="s">
        <v>3005</v>
      </c>
      <c r="CV424" s="9" t="s">
        <v>3005</v>
      </c>
      <c r="CW424" s="9" t="s">
        <v>3005</v>
      </c>
      <c r="CX424" s="9" t="s">
        <v>3005</v>
      </c>
      <c r="CY424" s="9" t="s">
        <v>3005</v>
      </c>
      <c r="CZ424" s="9" t="s">
        <v>3005</v>
      </c>
      <c r="DA424" s="9" t="s">
        <v>3005</v>
      </c>
      <c r="DB424" s="9" t="s">
        <v>3005</v>
      </c>
      <c r="DC424" s="9" t="s">
        <v>3005</v>
      </c>
      <c r="DD424" s="9" t="s">
        <v>3005</v>
      </c>
      <c r="DE424" s="9" t="s">
        <v>3005</v>
      </c>
      <c r="DF424" s="9" t="s">
        <v>3005</v>
      </c>
      <c r="DG424" s="9" t="s">
        <v>3005</v>
      </c>
      <c r="DH424" s="9" t="s">
        <v>3005</v>
      </c>
      <c r="DI424" s="9" t="s">
        <v>3005</v>
      </c>
      <c r="DJ424" s="9" t="s">
        <v>3005</v>
      </c>
      <c r="DK424" s="9" t="s">
        <v>3005</v>
      </c>
      <c r="DL424" s="9" t="s">
        <v>3005</v>
      </c>
      <c r="DM424" s="9" t="s">
        <v>3005</v>
      </c>
      <c r="DN424" s="9" t="s">
        <v>3005</v>
      </c>
      <c r="DO424" s="9" t="s">
        <v>3005</v>
      </c>
      <c r="DP424" s="9" t="s">
        <v>3005</v>
      </c>
      <c r="DQ424" s="9" t="s">
        <v>3005</v>
      </c>
    </row>
    <row r="425" spans="1:121" ht="15.75" customHeight="1">
      <c r="A425" s="87" t="s">
        <v>8700</v>
      </c>
    </row>
    <row r="426" spans="1:121" ht="15.75" customHeight="1">
      <c r="A426" s="87" t="s">
        <v>8701</v>
      </c>
      <c r="CO426" s="9" t="s">
        <v>3029</v>
      </c>
      <c r="CP426" s="9" t="s">
        <v>3029</v>
      </c>
      <c r="CQ426" s="9" t="s">
        <v>3029</v>
      </c>
      <c r="CR426" s="9" t="s">
        <v>3029</v>
      </c>
      <c r="CS426" s="9" t="s">
        <v>3029</v>
      </c>
      <c r="CT426" s="9" t="s">
        <v>3029</v>
      </c>
      <c r="CU426" s="9" t="s">
        <v>3029</v>
      </c>
      <c r="CV426" s="9" t="s">
        <v>3029</v>
      </c>
      <c r="CW426" s="9" t="s">
        <v>3029</v>
      </c>
      <c r="CX426" s="9" t="s">
        <v>3029</v>
      </c>
      <c r="CY426" s="9" t="s">
        <v>3029</v>
      </c>
      <c r="CZ426" s="9" t="s">
        <v>3029</v>
      </c>
      <c r="DA426" s="9" t="s">
        <v>3029</v>
      </c>
      <c r="DB426" s="9" t="s">
        <v>3029</v>
      </c>
      <c r="DC426" s="9" t="s">
        <v>3029</v>
      </c>
      <c r="DD426" s="9" t="s">
        <v>3029</v>
      </c>
      <c r="DE426" s="9" t="s">
        <v>3029</v>
      </c>
      <c r="DF426" s="9" t="s">
        <v>3029</v>
      </c>
      <c r="DG426" s="9" t="s">
        <v>3029</v>
      </c>
      <c r="DH426" s="9" t="s">
        <v>3029</v>
      </c>
      <c r="DI426" s="9" t="s">
        <v>3029</v>
      </c>
      <c r="DJ426" s="9" t="s">
        <v>3029</v>
      </c>
      <c r="DK426" s="9" t="s">
        <v>3029</v>
      </c>
      <c r="DL426" s="9" t="s">
        <v>3029</v>
      </c>
      <c r="DM426" s="9" t="s">
        <v>3029</v>
      </c>
      <c r="DN426" s="9" t="s">
        <v>3029</v>
      </c>
      <c r="DO426" s="9" t="s">
        <v>3029</v>
      </c>
      <c r="DP426" s="9" t="s">
        <v>3029</v>
      </c>
      <c r="DQ426" s="9" t="s">
        <v>3029</v>
      </c>
    </row>
    <row r="427" spans="1:121" ht="15.75" customHeight="1">
      <c r="A427" s="87" t="s">
        <v>8702</v>
      </c>
      <c r="Z427" s="9" t="s">
        <v>3029</v>
      </c>
      <c r="AA427" s="9" t="s">
        <v>3029</v>
      </c>
      <c r="AB427" s="9" t="s">
        <v>3029</v>
      </c>
      <c r="AC427" s="9" t="s">
        <v>3029</v>
      </c>
      <c r="AD427" s="9" t="s">
        <v>3029</v>
      </c>
      <c r="AE427" s="9" t="s">
        <v>3029</v>
      </c>
      <c r="AF427" s="9" t="s">
        <v>3029</v>
      </c>
      <c r="AG427" s="9" t="s">
        <v>3029</v>
      </c>
      <c r="AH427" s="9" t="s">
        <v>3029</v>
      </c>
      <c r="AI427" s="9" t="s">
        <v>3029</v>
      </c>
      <c r="AJ427" s="9" t="s">
        <v>3029</v>
      </c>
      <c r="AK427" s="9" t="s">
        <v>3029</v>
      </c>
      <c r="AL427" s="9" t="s">
        <v>3029</v>
      </c>
      <c r="AM427" s="9" t="s">
        <v>3029</v>
      </c>
      <c r="AN427" s="9" t="s">
        <v>3029</v>
      </c>
      <c r="AO427" s="9" t="s">
        <v>3029</v>
      </c>
      <c r="AP427" s="9" t="s">
        <v>3029</v>
      </c>
      <c r="AQ427" s="9" t="s">
        <v>3029</v>
      </c>
      <c r="AR427" s="9" t="s">
        <v>3029</v>
      </c>
      <c r="AS427" s="9" t="s">
        <v>3029</v>
      </c>
      <c r="AT427" s="9" t="s">
        <v>3029</v>
      </c>
      <c r="AU427" s="9" t="s">
        <v>3029</v>
      </c>
      <c r="AV427" s="9" t="s">
        <v>3029</v>
      </c>
      <c r="AW427" s="9" t="s">
        <v>3029</v>
      </c>
      <c r="AX427" s="9" t="s">
        <v>3029</v>
      </c>
      <c r="AY427" s="9" t="s">
        <v>3029</v>
      </c>
      <c r="AZ427" s="9" t="s">
        <v>3029</v>
      </c>
      <c r="BA427" s="9" t="s">
        <v>3029</v>
      </c>
      <c r="BB427" s="9" t="s">
        <v>3029</v>
      </c>
      <c r="BC427" s="9" t="s">
        <v>3029</v>
      </c>
      <c r="BD427" s="9" t="s">
        <v>3029</v>
      </c>
      <c r="BE427" s="9" t="s">
        <v>3029</v>
      </c>
      <c r="BF427" s="9" t="s">
        <v>3029</v>
      </c>
      <c r="BG427" s="9" t="s">
        <v>3029</v>
      </c>
      <c r="BH427" s="9" t="s">
        <v>3029</v>
      </c>
      <c r="BI427" s="9" t="s">
        <v>3029</v>
      </c>
      <c r="BJ427" s="9" t="s">
        <v>3029</v>
      </c>
      <c r="BK427" s="9" t="s">
        <v>3029</v>
      </c>
      <c r="BL427" s="9" t="s">
        <v>3029</v>
      </c>
      <c r="BM427" s="9" t="s">
        <v>3029</v>
      </c>
      <c r="BN427" s="9" t="s">
        <v>3029</v>
      </c>
      <c r="BO427" s="9" t="s">
        <v>3029</v>
      </c>
      <c r="BP427" s="9" t="s">
        <v>3029</v>
      </c>
      <c r="BQ427" s="9" t="s">
        <v>3029</v>
      </c>
      <c r="BR427" s="9" t="s">
        <v>3029</v>
      </c>
      <c r="BS427" s="9" t="s">
        <v>3029</v>
      </c>
      <c r="BT427" s="9" t="s">
        <v>3029</v>
      </c>
      <c r="BU427" s="9" t="s">
        <v>3029</v>
      </c>
      <c r="BV427" s="9" t="s">
        <v>3029</v>
      </c>
      <c r="BW427" s="9" t="s">
        <v>3029</v>
      </c>
      <c r="BX427" s="9" t="s">
        <v>3029</v>
      </c>
      <c r="BY427" s="9" t="s">
        <v>3029</v>
      </c>
      <c r="BZ427" s="9" t="s">
        <v>3029</v>
      </c>
      <c r="CA427" s="9" t="s">
        <v>3029</v>
      </c>
      <c r="CB427" s="9" t="s">
        <v>3029</v>
      </c>
      <c r="CC427" s="9" t="s">
        <v>3029</v>
      </c>
      <c r="CD427" s="9" t="s">
        <v>3029</v>
      </c>
      <c r="CE427" s="9" t="s">
        <v>3029</v>
      </c>
      <c r="CF427" s="9" t="s">
        <v>3029</v>
      </c>
      <c r="CG427" s="9" t="s">
        <v>3029</v>
      </c>
      <c r="CH427" s="9" t="s">
        <v>3029</v>
      </c>
      <c r="CI427" s="9" t="s">
        <v>3029</v>
      </c>
      <c r="CJ427" s="9" t="s">
        <v>3029</v>
      </c>
      <c r="CK427" s="9" t="s">
        <v>3029</v>
      </c>
      <c r="CL427" s="9" t="s">
        <v>3029</v>
      </c>
      <c r="CM427" s="9" t="s">
        <v>3029</v>
      </c>
      <c r="CN427" s="9" t="s">
        <v>3029</v>
      </c>
      <c r="CO427" s="9" t="s">
        <v>3029</v>
      </c>
      <c r="CP427" s="9" t="s">
        <v>3029</v>
      </c>
      <c r="CQ427" s="9" t="s">
        <v>3029</v>
      </c>
      <c r="CR427" s="9" t="s">
        <v>3029</v>
      </c>
      <c r="CS427" s="9" t="s">
        <v>3029</v>
      </c>
      <c r="CT427" s="9" t="s">
        <v>3029</v>
      </c>
      <c r="CU427" s="9" t="s">
        <v>3029</v>
      </c>
      <c r="CV427" s="9" t="s">
        <v>3029</v>
      </c>
      <c r="CW427" s="9" t="s">
        <v>3029</v>
      </c>
      <c r="CX427" s="9" t="s">
        <v>3029</v>
      </c>
      <c r="CY427" s="9" t="s">
        <v>3029</v>
      </c>
      <c r="CZ427" s="9" t="s">
        <v>3029</v>
      </c>
      <c r="DA427" s="9" t="s">
        <v>3029</v>
      </c>
      <c r="DB427" s="9" t="s">
        <v>3029</v>
      </c>
      <c r="DC427" s="9" t="s">
        <v>3029</v>
      </c>
      <c r="DD427" s="9" t="s">
        <v>3029</v>
      </c>
      <c r="DE427" s="9" t="s">
        <v>3029</v>
      </c>
      <c r="DF427" s="9" t="s">
        <v>3029</v>
      </c>
      <c r="DG427" s="9" t="s">
        <v>3029</v>
      </c>
      <c r="DH427" s="9" t="s">
        <v>3029</v>
      </c>
      <c r="DI427" s="9" t="s">
        <v>3029</v>
      </c>
      <c r="DJ427" s="9" t="s">
        <v>3029</v>
      </c>
      <c r="DK427" s="9" t="s">
        <v>3029</v>
      </c>
      <c r="DL427" s="9" t="s">
        <v>3029</v>
      </c>
      <c r="DM427" s="9" t="s">
        <v>3029</v>
      </c>
      <c r="DN427" s="9" t="s">
        <v>3029</v>
      </c>
      <c r="DO427" s="9" t="s">
        <v>3029</v>
      </c>
      <c r="DP427" s="9" t="s">
        <v>3029</v>
      </c>
      <c r="DQ427" s="9" t="s">
        <v>3029</v>
      </c>
    </row>
    <row r="428" spans="1:121" ht="15.75" customHeight="1">
      <c r="A428" s="87" t="s">
        <v>8703</v>
      </c>
    </row>
    <row r="429" spans="1:121" ht="15.75" customHeight="1">
      <c r="A429" s="87" t="s">
        <v>8704</v>
      </c>
      <c r="CA429" s="9" t="s">
        <v>2946</v>
      </c>
      <c r="CB429" s="9" t="s">
        <v>2946</v>
      </c>
      <c r="CC429" s="9" t="s">
        <v>2946</v>
      </c>
      <c r="CD429" s="9" t="s">
        <v>2946</v>
      </c>
      <c r="CE429" s="9" t="s">
        <v>2946</v>
      </c>
      <c r="CF429" s="9" t="s">
        <v>2946</v>
      </c>
      <c r="CG429" s="9" t="s">
        <v>2946</v>
      </c>
      <c r="CH429" s="9" t="s">
        <v>2946</v>
      </c>
      <c r="CI429" s="9" t="s">
        <v>2946</v>
      </c>
      <c r="CJ429" s="9" t="s">
        <v>2946</v>
      </c>
      <c r="CK429" s="9" t="s">
        <v>2946</v>
      </c>
      <c r="CL429" s="9" t="s">
        <v>2946</v>
      </c>
      <c r="CM429" s="9" t="s">
        <v>2946</v>
      </c>
      <c r="CN429" s="9" t="s">
        <v>2946</v>
      </c>
      <c r="CO429" s="9" t="s">
        <v>2946</v>
      </c>
      <c r="CP429" s="9" t="s">
        <v>2946</v>
      </c>
      <c r="CQ429" s="9" t="s">
        <v>2946</v>
      </c>
      <c r="CR429" s="9" t="s">
        <v>2946</v>
      </c>
      <c r="CS429" s="9" t="s">
        <v>2946</v>
      </c>
      <c r="CT429" s="9" t="s">
        <v>2946</v>
      </c>
      <c r="CU429" s="9" t="s">
        <v>2946</v>
      </c>
      <c r="CV429" s="9" t="s">
        <v>2946</v>
      </c>
      <c r="CW429" s="9" t="s">
        <v>2946</v>
      </c>
      <c r="CX429" s="9" t="s">
        <v>2946</v>
      </c>
      <c r="CY429" s="9" t="s">
        <v>2946</v>
      </c>
      <c r="CZ429" s="9" t="s">
        <v>2946</v>
      </c>
      <c r="DA429" s="9" t="s">
        <v>2946</v>
      </c>
      <c r="DB429" s="9" t="s">
        <v>2946</v>
      </c>
      <c r="DC429" s="9" t="s">
        <v>2946</v>
      </c>
      <c r="DD429" s="9" t="s">
        <v>2946</v>
      </c>
      <c r="DE429" s="9" t="s">
        <v>2946</v>
      </c>
      <c r="DF429" s="9" t="s">
        <v>2946</v>
      </c>
      <c r="DG429" s="9" t="s">
        <v>2946</v>
      </c>
      <c r="DH429" s="9" t="s">
        <v>2946</v>
      </c>
      <c r="DI429" s="9" t="s">
        <v>2946</v>
      </c>
      <c r="DJ429" s="9" t="s">
        <v>2946</v>
      </c>
      <c r="DK429" s="9" t="s">
        <v>2946</v>
      </c>
      <c r="DL429" s="9" t="s">
        <v>2946</v>
      </c>
      <c r="DM429" s="9" t="s">
        <v>2946</v>
      </c>
      <c r="DN429" s="9" t="s">
        <v>2946</v>
      </c>
      <c r="DO429" s="9" t="s">
        <v>2946</v>
      </c>
      <c r="DP429" s="9" t="s">
        <v>2946</v>
      </c>
      <c r="DQ429" s="9" t="s">
        <v>2946</v>
      </c>
    </row>
    <row r="430" spans="1:121" ht="15.75" customHeight="1">
      <c r="A430" s="87" t="s">
        <v>8705</v>
      </c>
      <c r="CR430" s="9" t="s">
        <v>2916</v>
      </c>
      <c r="CS430" s="9" t="s">
        <v>2916</v>
      </c>
      <c r="CT430" s="9" t="s">
        <v>2916</v>
      </c>
      <c r="CU430" s="9" t="s">
        <v>2916</v>
      </c>
      <c r="CV430" s="9" t="s">
        <v>2916</v>
      </c>
      <c r="CW430" s="9" t="s">
        <v>2916</v>
      </c>
      <c r="CX430" s="9" t="s">
        <v>2916</v>
      </c>
      <c r="CY430" s="9" t="s">
        <v>2916</v>
      </c>
      <c r="CZ430" s="9" t="s">
        <v>2916</v>
      </c>
      <c r="DA430" s="9" t="s">
        <v>2916</v>
      </c>
      <c r="DB430" s="9" t="s">
        <v>2916</v>
      </c>
      <c r="DC430" s="9" t="s">
        <v>2916</v>
      </c>
      <c r="DD430" s="9" t="s">
        <v>2916</v>
      </c>
      <c r="DE430" s="9" t="s">
        <v>2916</v>
      </c>
      <c r="DF430" s="9" t="s">
        <v>2916</v>
      </c>
      <c r="DG430" s="9" t="s">
        <v>2916</v>
      </c>
      <c r="DH430" s="9" t="s">
        <v>2916</v>
      </c>
      <c r="DI430" s="9" t="s">
        <v>2916</v>
      </c>
      <c r="DJ430" s="9" t="s">
        <v>2916</v>
      </c>
      <c r="DK430" s="9" t="s">
        <v>2916</v>
      </c>
      <c r="DL430" s="9" t="s">
        <v>2916</v>
      </c>
      <c r="DM430" s="9" t="s">
        <v>2916</v>
      </c>
      <c r="DN430" s="9" t="s">
        <v>2916</v>
      </c>
      <c r="DO430" s="9" t="s">
        <v>2916</v>
      </c>
      <c r="DP430" s="9" t="s">
        <v>2916</v>
      </c>
      <c r="DQ430" s="9" t="s">
        <v>2916</v>
      </c>
    </row>
    <row r="431" spans="1:121" ht="15.75" customHeight="1">
      <c r="A431" s="87" t="s">
        <v>8706</v>
      </c>
      <c r="Z431" s="9" t="s">
        <v>2916</v>
      </c>
      <c r="AA431" s="9" t="s">
        <v>2916</v>
      </c>
      <c r="AB431" s="9" t="s">
        <v>2916</v>
      </c>
      <c r="AC431" s="9" t="s">
        <v>2916</v>
      </c>
      <c r="AD431" s="9" t="s">
        <v>2916</v>
      </c>
      <c r="AE431" s="9" t="s">
        <v>2916</v>
      </c>
      <c r="AF431" s="9" t="s">
        <v>2916</v>
      </c>
      <c r="AG431" s="9" t="s">
        <v>2916</v>
      </c>
      <c r="AH431" s="9" t="s">
        <v>2916</v>
      </c>
      <c r="AI431" s="9" t="s">
        <v>2916</v>
      </c>
      <c r="AJ431" s="9" t="s">
        <v>2916</v>
      </c>
      <c r="AK431" s="9" t="s">
        <v>2916</v>
      </c>
      <c r="AL431" s="9" t="s">
        <v>2916</v>
      </c>
      <c r="AM431" s="9" t="s">
        <v>2916</v>
      </c>
      <c r="AN431" s="9" t="s">
        <v>2916</v>
      </c>
      <c r="AO431" s="9" t="s">
        <v>2916</v>
      </c>
      <c r="AP431" s="9" t="s">
        <v>2916</v>
      </c>
      <c r="AQ431" s="9" t="s">
        <v>2916</v>
      </c>
      <c r="AR431" s="9" t="s">
        <v>2916</v>
      </c>
      <c r="AS431" s="9" t="s">
        <v>2916</v>
      </c>
      <c r="AT431" s="9" t="s">
        <v>2916</v>
      </c>
      <c r="AU431" s="9" t="s">
        <v>2916</v>
      </c>
      <c r="AV431" s="9" t="s">
        <v>2916</v>
      </c>
      <c r="AW431" s="9" t="s">
        <v>2916</v>
      </c>
      <c r="AX431" s="9" t="s">
        <v>2916</v>
      </c>
      <c r="AY431" s="9" t="s">
        <v>2916</v>
      </c>
      <c r="AZ431" s="9" t="s">
        <v>2916</v>
      </c>
      <c r="BA431" s="9" t="s">
        <v>2916</v>
      </c>
      <c r="BB431" s="9" t="s">
        <v>2916</v>
      </c>
      <c r="BC431" s="9" t="s">
        <v>2916</v>
      </c>
      <c r="BD431" s="9" t="s">
        <v>2916</v>
      </c>
      <c r="BE431" s="9" t="s">
        <v>2916</v>
      </c>
      <c r="BF431" s="9" t="s">
        <v>2916</v>
      </c>
      <c r="BG431" s="9" t="s">
        <v>2916</v>
      </c>
      <c r="BH431" s="9" t="s">
        <v>2916</v>
      </c>
      <c r="BI431" s="9" t="s">
        <v>2916</v>
      </c>
      <c r="BJ431" s="9" t="s">
        <v>2916</v>
      </c>
      <c r="BK431" s="9" t="s">
        <v>2916</v>
      </c>
      <c r="BL431" s="9" t="s">
        <v>2916</v>
      </c>
      <c r="BM431" s="9" t="s">
        <v>2916</v>
      </c>
      <c r="BN431" s="9" t="s">
        <v>2916</v>
      </c>
      <c r="BO431" s="9" t="s">
        <v>2916</v>
      </c>
      <c r="BP431" s="9" t="s">
        <v>2916</v>
      </c>
      <c r="BQ431" s="9" t="s">
        <v>2916</v>
      </c>
      <c r="BR431" s="9" t="s">
        <v>2916</v>
      </c>
      <c r="BS431" s="9" t="s">
        <v>2916</v>
      </c>
      <c r="BT431" s="9" t="s">
        <v>2916</v>
      </c>
      <c r="BU431" s="9" t="s">
        <v>2916</v>
      </c>
      <c r="BV431" s="9" t="s">
        <v>2916</v>
      </c>
      <c r="BW431" s="9" t="s">
        <v>2916</v>
      </c>
      <c r="BX431" s="9" t="s">
        <v>2916</v>
      </c>
      <c r="BY431" s="9" t="s">
        <v>2916</v>
      </c>
      <c r="BZ431" s="9" t="s">
        <v>2916</v>
      </c>
      <c r="CA431" s="9" t="s">
        <v>2916</v>
      </c>
      <c r="CB431" s="9" t="s">
        <v>2916</v>
      </c>
      <c r="CC431" s="9" t="s">
        <v>2916</v>
      </c>
      <c r="CD431" s="9" t="s">
        <v>2916</v>
      </c>
      <c r="CE431" s="9" t="s">
        <v>2916</v>
      </c>
      <c r="CF431" s="9" t="s">
        <v>2916</v>
      </c>
      <c r="CG431" s="9" t="s">
        <v>2916</v>
      </c>
      <c r="CH431" s="9" t="s">
        <v>2916</v>
      </c>
      <c r="CI431" s="9" t="s">
        <v>2916</v>
      </c>
      <c r="CJ431" s="9" t="s">
        <v>2916</v>
      </c>
      <c r="CK431" s="9" t="s">
        <v>2916</v>
      </c>
      <c r="CL431" s="9" t="s">
        <v>2916</v>
      </c>
      <c r="CM431" s="9" t="s">
        <v>2916</v>
      </c>
      <c r="CN431" s="9" t="s">
        <v>2916</v>
      </c>
      <c r="CO431" s="9" t="s">
        <v>2916</v>
      </c>
      <c r="CP431" s="9" t="s">
        <v>2916</v>
      </c>
      <c r="CQ431" s="9" t="s">
        <v>2916</v>
      </c>
      <c r="CR431" s="9" t="s">
        <v>2944</v>
      </c>
      <c r="CS431" s="9" t="s">
        <v>2944</v>
      </c>
      <c r="CT431" s="9" t="s">
        <v>2944</v>
      </c>
      <c r="CU431" s="9" t="s">
        <v>2944</v>
      </c>
      <c r="CV431" s="9" t="s">
        <v>2944</v>
      </c>
      <c r="CW431" s="9" t="s">
        <v>2944</v>
      </c>
      <c r="CX431" s="9" t="s">
        <v>2944</v>
      </c>
      <c r="CY431" s="9" t="s">
        <v>2944</v>
      </c>
      <c r="CZ431" s="9" t="s">
        <v>2944</v>
      </c>
      <c r="DA431" s="9" t="s">
        <v>2944</v>
      </c>
      <c r="DB431" s="9" t="s">
        <v>2944</v>
      </c>
      <c r="DC431" s="9" t="s">
        <v>2944</v>
      </c>
      <c r="DD431" s="9" t="s">
        <v>2944</v>
      </c>
      <c r="DE431" s="9" t="s">
        <v>2944</v>
      </c>
      <c r="DF431" s="9" t="s">
        <v>2944</v>
      </c>
      <c r="DG431" s="9" t="s">
        <v>2944</v>
      </c>
      <c r="DH431" s="9" t="s">
        <v>2944</v>
      </c>
      <c r="DI431" s="9" t="s">
        <v>2944</v>
      </c>
      <c r="DJ431" s="9" t="s">
        <v>2944</v>
      </c>
      <c r="DK431" s="9" t="s">
        <v>2944</v>
      </c>
      <c r="DL431" s="9" t="s">
        <v>2944</v>
      </c>
      <c r="DM431" s="9" t="s">
        <v>2944</v>
      </c>
      <c r="DN431" s="9" t="s">
        <v>2944</v>
      </c>
      <c r="DO431" s="9" t="s">
        <v>2944</v>
      </c>
      <c r="DP431" s="9" t="s">
        <v>2944</v>
      </c>
      <c r="DQ431" s="9" t="s">
        <v>2944</v>
      </c>
    </row>
    <row r="432" spans="1:121" ht="15.75" customHeight="1">
      <c r="A432" s="87" t="s">
        <v>8707</v>
      </c>
    </row>
    <row r="433" spans="1:121" ht="15.75" customHeight="1">
      <c r="A433" s="87" t="s">
        <v>8708</v>
      </c>
      <c r="BV433" s="9" t="s">
        <v>2924</v>
      </c>
      <c r="BW433" s="9" t="s">
        <v>2924</v>
      </c>
      <c r="BX433" s="9" t="s">
        <v>2924</v>
      </c>
      <c r="BY433" s="9" t="s">
        <v>2924</v>
      </c>
      <c r="BZ433" s="9" t="s">
        <v>2924</v>
      </c>
      <c r="CA433" s="9" t="s">
        <v>2924</v>
      </c>
      <c r="CB433" s="9" t="s">
        <v>2924</v>
      </c>
      <c r="CC433" s="9" t="s">
        <v>2924</v>
      </c>
      <c r="CD433" s="9" t="s">
        <v>2924</v>
      </c>
      <c r="CE433" s="9" t="s">
        <v>2924</v>
      </c>
      <c r="CF433" s="9" t="s">
        <v>2924</v>
      </c>
      <c r="CG433" s="9" t="s">
        <v>2924</v>
      </c>
      <c r="CH433" s="9" t="s">
        <v>2924</v>
      </c>
      <c r="CI433" s="9" t="s">
        <v>2924</v>
      </c>
      <c r="CJ433" s="9" t="s">
        <v>2924</v>
      </c>
      <c r="CK433" s="9" t="s">
        <v>2924</v>
      </c>
      <c r="CL433" s="9" t="s">
        <v>2924</v>
      </c>
      <c r="CM433" s="9" t="s">
        <v>2924</v>
      </c>
      <c r="CN433" s="9" t="s">
        <v>2924</v>
      </c>
      <c r="CO433" s="9" t="s">
        <v>2924</v>
      </c>
      <c r="CP433" s="9" t="s">
        <v>2924</v>
      </c>
      <c r="CQ433" s="9" t="s">
        <v>2924</v>
      </c>
      <c r="CR433" s="9" t="s">
        <v>2924</v>
      </c>
      <c r="CS433" s="9" t="s">
        <v>2924</v>
      </c>
      <c r="CT433" s="9" t="s">
        <v>2924</v>
      </c>
      <c r="CU433" s="9" t="s">
        <v>2924</v>
      </c>
      <c r="CV433" s="9" t="s">
        <v>2924</v>
      </c>
      <c r="CW433" s="9" t="s">
        <v>2924</v>
      </c>
      <c r="CX433" s="9" t="s">
        <v>2924</v>
      </c>
      <c r="CY433" s="9" t="s">
        <v>2924</v>
      </c>
      <c r="CZ433" s="9" t="s">
        <v>2924</v>
      </c>
      <c r="DA433" s="9" t="s">
        <v>2924</v>
      </c>
      <c r="DB433" s="9" t="s">
        <v>2924</v>
      </c>
      <c r="DC433" s="9" t="s">
        <v>2924</v>
      </c>
      <c r="DD433" s="9" t="s">
        <v>2924</v>
      </c>
      <c r="DE433" s="9" t="s">
        <v>2924</v>
      </c>
      <c r="DF433" s="9" t="s">
        <v>2924</v>
      </c>
      <c r="DG433" s="9" t="s">
        <v>2924</v>
      </c>
      <c r="DH433" s="9" t="s">
        <v>2924</v>
      </c>
      <c r="DI433" s="9" t="s">
        <v>2924</v>
      </c>
      <c r="DJ433" s="9" t="s">
        <v>2924</v>
      </c>
      <c r="DK433" s="9" t="s">
        <v>2924</v>
      </c>
      <c r="DL433" s="9" t="s">
        <v>2924</v>
      </c>
      <c r="DM433" s="9" t="s">
        <v>2924</v>
      </c>
      <c r="DN433" s="9" t="s">
        <v>2924</v>
      </c>
      <c r="DO433" s="9" t="s">
        <v>2924</v>
      </c>
      <c r="DP433" s="9" t="s">
        <v>2924</v>
      </c>
      <c r="DQ433" s="9" t="s">
        <v>2924</v>
      </c>
    </row>
    <row r="434" spans="1:121" ht="15.75" customHeight="1">
      <c r="A434" s="87" t="s">
        <v>8709</v>
      </c>
      <c r="Z434" s="9" t="s">
        <v>2924</v>
      </c>
      <c r="AA434" s="9" t="s">
        <v>2924</v>
      </c>
      <c r="AB434" s="9" t="s">
        <v>2924</v>
      </c>
      <c r="AC434" s="9" t="s">
        <v>2924</v>
      </c>
      <c r="AD434" s="9" t="s">
        <v>2924</v>
      </c>
      <c r="AE434" s="9" t="s">
        <v>2924</v>
      </c>
      <c r="AF434" s="9" t="s">
        <v>2924</v>
      </c>
      <c r="AG434" s="9" t="s">
        <v>2966</v>
      </c>
      <c r="AH434" s="9" t="s">
        <v>2966</v>
      </c>
      <c r="AI434" s="9" t="s">
        <v>2966</v>
      </c>
      <c r="AJ434" s="9" t="s">
        <v>2966</v>
      </c>
      <c r="AK434" s="9" t="s">
        <v>2966</v>
      </c>
      <c r="AL434" s="9" t="s">
        <v>2966</v>
      </c>
      <c r="AM434" s="9" t="s">
        <v>2966</v>
      </c>
      <c r="AN434" s="9" t="s">
        <v>2966</v>
      </c>
      <c r="AO434" s="9" t="s">
        <v>2966</v>
      </c>
      <c r="AP434" s="9" t="s">
        <v>2966</v>
      </c>
      <c r="AQ434" s="9" t="s">
        <v>2966</v>
      </c>
      <c r="AR434" s="9" t="s">
        <v>2966</v>
      </c>
      <c r="AS434" s="9" t="s">
        <v>2966</v>
      </c>
      <c r="AT434" s="9" t="s">
        <v>2966</v>
      </c>
      <c r="AU434" s="9" t="s">
        <v>2966</v>
      </c>
      <c r="AV434" s="9" t="s">
        <v>2966</v>
      </c>
      <c r="AW434" s="9" t="s">
        <v>2966</v>
      </c>
      <c r="AX434" s="9" t="s">
        <v>2966</v>
      </c>
      <c r="AY434" s="9" t="s">
        <v>2966</v>
      </c>
      <c r="AZ434" s="9" t="s">
        <v>2966</v>
      </c>
      <c r="BA434" s="9" t="s">
        <v>2966</v>
      </c>
      <c r="BB434" s="9" t="s">
        <v>2966</v>
      </c>
      <c r="BC434" s="9" t="s">
        <v>2966</v>
      </c>
      <c r="BD434" s="9" t="s">
        <v>2966</v>
      </c>
      <c r="BE434" s="9" t="s">
        <v>2966</v>
      </c>
      <c r="BF434" s="9" t="s">
        <v>2966</v>
      </c>
      <c r="BG434" s="9" t="s">
        <v>2966</v>
      </c>
      <c r="BH434" s="9" t="s">
        <v>2966</v>
      </c>
      <c r="BI434" s="9" t="s">
        <v>2966</v>
      </c>
      <c r="BJ434" s="9" t="s">
        <v>2966</v>
      </c>
      <c r="BK434" s="9" t="s">
        <v>2966</v>
      </c>
      <c r="BL434" s="9" t="s">
        <v>2966</v>
      </c>
      <c r="BM434" s="9" t="s">
        <v>2966</v>
      </c>
      <c r="BN434" s="9" t="s">
        <v>2966</v>
      </c>
      <c r="BO434" s="9" t="s">
        <v>2966</v>
      </c>
      <c r="BP434" s="9" t="s">
        <v>2966</v>
      </c>
      <c r="BQ434" s="9" t="s">
        <v>2966</v>
      </c>
      <c r="BR434" s="9" t="s">
        <v>2966</v>
      </c>
      <c r="BS434" s="9" t="s">
        <v>2966</v>
      </c>
      <c r="BT434" s="9" t="s">
        <v>2966</v>
      </c>
      <c r="BU434" s="9" t="s">
        <v>2966</v>
      </c>
      <c r="BV434" s="9" t="s">
        <v>2966</v>
      </c>
      <c r="BW434" s="9" t="s">
        <v>2966</v>
      </c>
      <c r="BX434" s="9" t="s">
        <v>2966</v>
      </c>
      <c r="BY434" s="9" t="s">
        <v>2966</v>
      </c>
      <c r="BZ434" s="9" t="s">
        <v>2966</v>
      </c>
      <c r="CA434" s="9" t="s">
        <v>2966</v>
      </c>
      <c r="CB434" s="9" t="s">
        <v>2966</v>
      </c>
      <c r="CC434" s="9" t="s">
        <v>2966</v>
      </c>
      <c r="CD434" s="9" t="s">
        <v>2966</v>
      </c>
      <c r="CE434" s="9" t="s">
        <v>2966</v>
      </c>
      <c r="CF434" s="9" t="s">
        <v>2966</v>
      </c>
      <c r="CG434" s="9" t="s">
        <v>2966</v>
      </c>
      <c r="CH434" s="9" t="s">
        <v>2966</v>
      </c>
      <c r="CI434" s="9" t="s">
        <v>2966</v>
      </c>
      <c r="CJ434" s="9" t="s">
        <v>2966</v>
      </c>
      <c r="CK434" s="9" t="s">
        <v>2966</v>
      </c>
      <c r="CL434" s="9" t="s">
        <v>2966</v>
      </c>
      <c r="CM434" s="9" t="s">
        <v>2966</v>
      </c>
      <c r="CN434" s="9" t="s">
        <v>2966</v>
      </c>
      <c r="CO434" s="9" t="s">
        <v>2966</v>
      </c>
      <c r="CP434" s="9" t="s">
        <v>2966</v>
      </c>
      <c r="CQ434" s="9" t="s">
        <v>2966</v>
      </c>
      <c r="CR434" s="9" t="s">
        <v>2966</v>
      </c>
      <c r="CS434" s="9" t="s">
        <v>2966</v>
      </c>
      <c r="CT434" s="9" t="s">
        <v>2966</v>
      </c>
      <c r="CU434" s="9" t="s">
        <v>2966</v>
      </c>
      <c r="CV434" s="9" t="s">
        <v>2966</v>
      </c>
      <c r="CW434" s="9" t="s">
        <v>2966</v>
      </c>
      <c r="CX434" s="9" t="s">
        <v>2966</v>
      </c>
      <c r="CY434" s="9" t="s">
        <v>2966</v>
      </c>
      <c r="CZ434" s="9" t="s">
        <v>2966</v>
      </c>
      <c r="DA434" s="9" t="s">
        <v>2966</v>
      </c>
      <c r="DB434" s="9" t="s">
        <v>2966</v>
      </c>
      <c r="DC434" s="9" t="s">
        <v>2966</v>
      </c>
      <c r="DD434" s="9" t="s">
        <v>2966</v>
      </c>
      <c r="DE434" s="9" t="s">
        <v>2966</v>
      </c>
      <c r="DF434" s="9" t="s">
        <v>2966</v>
      </c>
      <c r="DG434" s="9" t="s">
        <v>2966</v>
      </c>
      <c r="DH434" s="9" t="s">
        <v>2966</v>
      </c>
      <c r="DI434" s="9" t="s">
        <v>2966</v>
      </c>
      <c r="DJ434" s="9" t="s">
        <v>2966</v>
      </c>
      <c r="DK434" s="9" t="s">
        <v>2966</v>
      </c>
      <c r="DL434" s="9" t="s">
        <v>2966</v>
      </c>
      <c r="DM434" s="9" t="s">
        <v>2966</v>
      </c>
      <c r="DN434" s="9" t="s">
        <v>2966</v>
      </c>
      <c r="DO434" s="9" t="s">
        <v>2966</v>
      </c>
      <c r="DP434" s="9" t="s">
        <v>2966</v>
      </c>
      <c r="DQ434" s="9" t="s">
        <v>2966</v>
      </c>
    </row>
    <row r="435" spans="1:121" ht="15.75" customHeight="1">
      <c r="A435" s="87" t="s">
        <v>8710</v>
      </c>
      <c r="Z435" s="9" t="s">
        <v>2966</v>
      </c>
      <c r="AA435" s="9" t="s">
        <v>2966</v>
      </c>
      <c r="AB435" s="9" t="s">
        <v>2966</v>
      </c>
      <c r="AC435" s="9" t="s">
        <v>2966</v>
      </c>
      <c r="AD435" s="9" t="s">
        <v>2966</v>
      </c>
      <c r="AE435" s="9" t="s">
        <v>2966</v>
      </c>
      <c r="AF435" s="9" t="s">
        <v>2966</v>
      </c>
      <c r="AG435" s="9" t="s">
        <v>2966</v>
      </c>
      <c r="AH435" s="9" t="s">
        <v>2966</v>
      </c>
      <c r="AI435" s="9" t="s">
        <v>2966</v>
      </c>
      <c r="AJ435" s="9" t="s">
        <v>2966</v>
      </c>
      <c r="AK435" s="9" t="s">
        <v>2966</v>
      </c>
      <c r="AL435" s="9" t="s">
        <v>2966</v>
      </c>
      <c r="AM435" s="9" t="s">
        <v>2966</v>
      </c>
      <c r="AN435" s="9" t="s">
        <v>2966</v>
      </c>
      <c r="AO435" s="9" t="s">
        <v>2966</v>
      </c>
      <c r="AP435" s="9" t="s">
        <v>2966</v>
      </c>
      <c r="AQ435" s="9" t="s">
        <v>2966</v>
      </c>
      <c r="AR435" s="9" t="s">
        <v>2966</v>
      </c>
      <c r="AS435" s="9" t="s">
        <v>2966</v>
      </c>
      <c r="AT435" s="9" t="s">
        <v>2966</v>
      </c>
      <c r="AU435" s="9" t="s">
        <v>2966</v>
      </c>
      <c r="AV435" s="9" t="s">
        <v>2966</v>
      </c>
      <c r="AW435" s="9" t="s">
        <v>2966</v>
      </c>
      <c r="AX435" s="9" t="s">
        <v>2966</v>
      </c>
      <c r="AY435" s="9" t="s">
        <v>2966</v>
      </c>
      <c r="AZ435" s="9" t="s">
        <v>2966</v>
      </c>
      <c r="BA435" s="9" t="s">
        <v>2966</v>
      </c>
      <c r="BB435" s="9" t="s">
        <v>2966</v>
      </c>
      <c r="BC435" s="9" t="s">
        <v>2966</v>
      </c>
      <c r="BD435" s="9" t="s">
        <v>2966</v>
      </c>
      <c r="BE435" s="9" t="s">
        <v>2966</v>
      </c>
      <c r="BF435" s="9" t="s">
        <v>2966</v>
      </c>
      <c r="BG435" s="9" t="s">
        <v>2966</v>
      </c>
      <c r="BH435" s="9" t="s">
        <v>2966</v>
      </c>
      <c r="BI435" s="9" t="s">
        <v>2966</v>
      </c>
      <c r="BJ435" s="9" t="s">
        <v>2966</v>
      </c>
      <c r="BK435" s="9" t="s">
        <v>2966</v>
      </c>
      <c r="BL435" s="9" t="s">
        <v>2966</v>
      </c>
      <c r="BM435" s="9" t="s">
        <v>2966</v>
      </c>
      <c r="BN435" s="9" t="s">
        <v>2966</v>
      </c>
      <c r="BO435" s="9" t="s">
        <v>2966</v>
      </c>
      <c r="BP435" s="9" t="s">
        <v>2966</v>
      </c>
      <c r="BQ435" s="9" t="s">
        <v>2966</v>
      </c>
      <c r="BR435" s="9" t="s">
        <v>2966</v>
      </c>
      <c r="BS435" s="9" t="s">
        <v>2966</v>
      </c>
      <c r="BT435" s="9" t="s">
        <v>2966</v>
      </c>
      <c r="BU435" s="9" t="s">
        <v>2966</v>
      </c>
      <c r="BV435" s="9" t="s">
        <v>2966</v>
      </c>
      <c r="BW435" s="9" t="s">
        <v>2966</v>
      </c>
      <c r="BX435" s="9" t="s">
        <v>2966</v>
      </c>
      <c r="BY435" s="9" t="s">
        <v>2966</v>
      </c>
      <c r="BZ435" s="9" t="s">
        <v>2966</v>
      </c>
      <c r="CA435" s="9" t="s">
        <v>2966</v>
      </c>
      <c r="CB435" s="9" t="s">
        <v>2966</v>
      </c>
      <c r="CC435" s="9" t="s">
        <v>2966</v>
      </c>
      <c r="CD435" s="9" t="s">
        <v>2966</v>
      </c>
      <c r="CE435" s="9" t="s">
        <v>2966</v>
      </c>
      <c r="CF435" s="9" t="s">
        <v>2966</v>
      </c>
      <c r="CG435" s="9" t="s">
        <v>2966</v>
      </c>
      <c r="CH435" s="9" t="s">
        <v>2966</v>
      </c>
      <c r="CI435" s="9" t="s">
        <v>2966</v>
      </c>
      <c r="CJ435" s="9" t="s">
        <v>2966</v>
      </c>
      <c r="CK435" s="9" t="s">
        <v>2966</v>
      </c>
      <c r="CL435" s="9" t="s">
        <v>2966</v>
      </c>
      <c r="CM435" s="9" t="s">
        <v>2966</v>
      </c>
      <c r="CN435" s="9" t="s">
        <v>2966</v>
      </c>
      <c r="CO435" s="9" t="s">
        <v>2966</v>
      </c>
      <c r="CP435" s="9" t="s">
        <v>2966</v>
      </c>
      <c r="CQ435" s="9" t="s">
        <v>2966</v>
      </c>
      <c r="CR435" s="9" t="s">
        <v>2966</v>
      </c>
      <c r="CS435" s="9" t="s">
        <v>2966</v>
      </c>
      <c r="CT435" s="9" t="s">
        <v>2966</v>
      </c>
      <c r="CU435" s="9" t="s">
        <v>2966</v>
      </c>
      <c r="CV435" s="9" t="s">
        <v>2966</v>
      </c>
      <c r="CW435" s="9" t="s">
        <v>2966</v>
      </c>
      <c r="CX435" s="9" t="s">
        <v>2966</v>
      </c>
      <c r="CY435" s="9" t="s">
        <v>2966</v>
      </c>
      <c r="CZ435" s="9" t="s">
        <v>2966</v>
      </c>
      <c r="DA435" s="9" t="s">
        <v>2966</v>
      </c>
      <c r="DB435" s="9" t="s">
        <v>2966</v>
      </c>
      <c r="DC435" s="9" t="s">
        <v>2966</v>
      </c>
      <c r="DD435" s="9" t="s">
        <v>2966</v>
      </c>
      <c r="DE435" s="9" t="s">
        <v>2966</v>
      </c>
      <c r="DF435" s="9" t="s">
        <v>2966</v>
      </c>
      <c r="DG435" s="9" t="s">
        <v>2966</v>
      </c>
      <c r="DH435" s="9" t="s">
        <v>2966</v>
      </c>
      <c r="DI435" s="9" t="s">
        <v>2966</v>
      </c>
      <c r="DJ435" s="9" t="s">
        <v>2966</v>
      </c>
      <c r="DK435" s="9" t="s">
        <v>2966</v>
      </c>
      <c r="DL435" s="9" t="s">
        <v>2966</v>
      </c>
      <c r="DM435" s="9" t="s">
        <v>2966</v>
      </c>
      <c r="DN435" s="9" t="s">
        <v>2966</v>
      </c>
      <c r="DO435" s="9" t="s">
        <v>2966</v>
      </c>
      <c r="DP435" s="9" t="s">
        <v>2966</v>
      </c>
      <c r="DQ435" s="9" t="s">
        <v>2966</v>
      </c>
    </row>
    <row r="436" spans="1:121" ht="15.75" customHeight="1">
      <c r="A436" s="87" t="s">
        <v>8711</v>
      </c>
    </row>
    <row r="437" spans="1:121" ht="15.75" customHeight="1">
      <c r="A437" s="87" t="s">
        <v>8712</v>
      </c>
    </row>
    <row r="438" spans="1:121" ht="15.75" customHeight="1">
      <c r="A438" s="87" t="s">
        <v>8713</v>
      </c>
    </row>
    <row r="439" spans="1:121" ht="15.75" customHeight="1">
      <c r="A439" s="87" t="s">
        <v>8714</v>
      </c>
    </row>
    <row r="440" spans="1:121" ht="15.75" customHeight="1">
      <c r="A440" s="87" t="s">
        <v>8715</v>
      </c>
    </row>
    <row r="441" spans="1:121" ht="15.75" customHeight="1">
      <c r="A441" s="87" t="s">
        <v>8716</v>
      </c>
    </row>
    <row r="442" spans="1:121" ht="15.75" customHeight="1">
      <c r="A442" s="87" t="s">
        <v>8717</v>
      </c>
    </row>
    <row r="443" spans="1:121" ht="15.75" customHeight="1">
      <c r="A443" s="87" t="s">
        <v>8718</v>
      </c>
    </row>
    <row r="444" spans="1:121" ht="15.75" customHeight="1">
      <c r="A444" s="87" t="s">
        <v>8719</v>
      </c>
    </row>
    <row r="445" spans="1:121" ht="15.75" customHeight="1">
      <c r="A445" s="87" t="s">
        <v>8720</v>
      </c>
    </row>
    <row r="446" spans="1:121" ht="15.75" customHeight="1">
      <c r="A446" s="87" t="s">
        <v>8721</v>
      </c>
    </row>
    <row r="447" spans="1:121" ht="15.75" customHeight="1">
      <c r="A447" s="87" t="s">
        <v>8722</v>
      </c>
    </row>
    <row r="448" spans="1:121" ht="15.75" customHeight="1">
      <c r="A448" s="87" t="s">
        <v>8723</v>
      </c>
    </row>
    <row r="449" spans="1:1" ht="15.75" customHeight="1">
      <c r="A449" s="87" t="s">
        <v>8724</v>
      </c>
    </row>
    <row r="450" spans="1:1" ht="15.75" customHeight="1">
      <c r="A450" s="87" t="s">
        <v>8725</v>
      </c>
    </row>
    <row r="451" spans="1:1" ht="15.75" customHeight="1">
      <c r="A451" s="87" t="s">
        <v>8726</v>
      </c>
    </row>
    <row r="452" spans="1:1" ht="15.75" customHeight="1">
      <c r="A452" s="87" t="s">
        <v>8727</v>
      </c>
    </row>
    <row r="453" spans="1:1" ht="15.75" customHeight="1">
      <c r="A453" s="87" t="s">
        <v>8728</v>
      </c>
    </row>
    <row r="454" spans="1:1" ht="15.75" customHeight="1">
      <c r="A454" s="87" t="s">
        <v>8729</v>
      </c>
    </row>
    <row r="455" spans="1:1" ht="15.75" customHeight="1">
      <c r="A455" s="87" t="s">
        <v>8730</v>
      </c>
    </row>
    <row r="456" spans="1:1" ht="15.75" customHeight="1">
      <c r="A456" s="87" t="s">
        <v>8731</v>
      </c>
    </row>
    <row r="457" spans="1:1" ht="15.75" customHeight="1">
      <c r="A457" s="87" t="s">
        <v>8732</v>
      </c>
    </row>
    <row r="458" spans="1:1" ht="15.75" customHeight="1">
      <c r="A458" s="87" t="s">
        <v>8733</v>
      </c>
    </row>
    <row r="459" spans="1:1" ht="15.75" customHeight="1">
      <c r="A459" s="87" t="s">
        <v>8734</v>
      </c>
    </row>
    <row r="460" spans="1:1" ht="15.75" customHeight="1">
      <c r="A460" s="87" t="s">
        <v>8735</v>
      </c>
    </row>
    <row r="461" spans="1:1" ht="15.75" customHeight="1">
      <c r="A461" s="87" t="s">
        <v>8736</v>
      </c>
    </row>
    <row r="462" spans="1:1" ht="15.75" customHeight="1">
      <c r="A462" s="87" t="s">
        <v>8737</v>
      </c>
    </row>
    <row r="463" spans="1:1" ht="15.75" customHeight="1">
      <c r="A463" s="87" t="s">
        <v>8738</v>
      </c>
    </row>
    <row r="464" spans="1:1" ht="15.75" customHeight="1">
      <c r="A464" s="87" t="s">
        <v>8739</v>
      </c>
    </row>
    <row r="465" spans="1:1" ht="15.75" customHeight="1">
      <c r="A465" s="87" t="s">
        <v>8740</v>
      </c>
    </row>
    <row r="466" spans="1:1" ht="15.75" customHeight="1">
      <c r="A466" s="87" t="s">
        <v>8741</v>
      </c>
    </row>
    <row r="467" spans="1:1" ht="15.75" customHeight="1">
      <c r="A467" s="87" t="s">
        <v>8742</v>
      </c>
    </row>
    <row r="468" spans="1:1" ht="15.75" customHeight="1">
      <c r="A468" s="87" t="s">
        <v>8743</v>
      </c>
    </row>
    <row r="469" spans="1:1" ht="15.75" customHeight="1">
      <c r="A469" s="87" t="s">
        <v>8744</v>
      </c>
    </row>
    <row r="470" spans="1:1" ht="15.75" customHeight="1">
      <c r="A470" s="87" t="s">
        <v>8745</v>
      </c>
    </row>
    <row r="471" spans="1:1" ht="15.75" customHeight="1">
      <c r="A471" s="87" t="s">
        <v>8746</v>
      </c>
    </row>
    <row r="472" spans="1:1" ht="15.75" customHeight="1">
      <c r="A472" s="87" t="s">
        <v>8747</v>
      </c>
    </row>
    <row r="473" spans="1:1" ht="15.75" customHeight="1">
      <c r="A473" s="87" t="s">
        <v>8748</v>
      </c>
    </row>
    <row r="474" spans="1:1" ht="15.75" customHeight="1">
      <c r="A474" s="87" t="s">
        <v>8749</v>
      </c>
    </row>
    <row r="475" spans="1:1" ht="15.75" customHeight="1">
      <c r="A475" s="87" t="s">
        <v>8750</v>
      </c>
    </row>
    <row r="476" spans="1:1" ht="15.75" customHeight="1">
      <c r="A476" s="87" t="s">
        <v>8751</v>
      </c>
    </row>
    <row r="477" spans="1:1" ht="15.75" customHeight="1">
      <c r="A477" s="87" t="s">
        <v>8752</v>
      </c>
    </row>
    <row r="478" spans="1:1" ht="15.75" customHeight="1">
      <c r="A478" s="87" t="s">
        <v>8753</v>
      </c>
    </row>
    <row r="479" spans="1:1" ht="15.75" customHeight="1">
      <c r="A479" s="87" t="s">
        <v>8754</v>
      </c>
    </row>
    <row r="480" spans="1:1" ht="15.75" customHeight="1">
      <c r="A480" s="87" t="s">
        <v>8755</v>
      </c>
    </row>
    <row r="481" spans="1:1" ht="15.75" customHeight="1">
      <c r="A481" s="87" t="s">
        <v>8756</v>
      </c>
    </row>
    <row r="482" spans="1:1" ht="15.75" customHeight="1">
      <c r="A482" s="87" t="s">
        <v>8757</v>
      </c>
    </row>
    <row r="483" spans="1:1" ht="15.75" customHeight="1">
      <c r="A483" s="87" t="s">
        <v>8758</v>
      </c>
    </row>
    <row r="484" spans="1:1" ht="15.75" customHeight="1">
      <c r="A484" s="87" t="s">
        <v>8759</v>
      </c>
    </row>
    <row r="485" spans="1:1" ht="15.75" customHeight="1">
      <c r="A485" s="87" t="s">
        <v>8760</v>
      </c>
    </row>
    <row r="486" spans="1:1" ht="15.75" customHeight="1">
      <c r="A486" s="87" t="s">
        <v>8761</v>
      </c>
    </row>
    <row r="487" spans="1:1" ht="15.75" customHeight="1">
      <c r="A487" s="87" t="s">
        <v>8762</v>
      </c>
    </row>
    <row r="488" spans="1:1" ht="15.75" customHeight="1">
      <c r="A488" s="87" t="s">
        <v>8763</v>
      </c>
    </row>
    <row r="489" spans="1:1" ht="15.75" customHeight="1">
      <c r="A489" s="87" t="s">
        <v>8764</v>
      </c>
    </row>
    <row r="490" spans="1:1" ht="15.75" customHeight="1">
      <c r="A490" s="87" t="s">
        <v>8765</v>
      </c>
    </row>
    <row r="491" spans="1:1" ht="15.75" customHeight="1">
      <c r="A491" s="87" t="s">
        <v>8766</v>
      </c>
    </row>
    <row r="492" spans="1:1" ht="15.75" customHeight="1">
      <c r="A492" s="87" t="s">
        <v>8767</v>
      </c>
    </row>
    <row r="493" spans="1:1" ht="15.75" customHeight="1">
      <c r="A493" s="87" t="s">
        <v>8768</v>
      </c>
    </row>
    <row r="494" spans="1:1" ht="15.75" customHeight="1">
      <c r="A494" s="87" t="s">
        <v>8769</v>
      </c>
    </row>
    <row r="495" spans="1:1" ht="15.75" customHeight="1">
      <c r="A495" s="87" t="s">
        <v>8770</v>
      </c>
    </row>
    <row r="496" spans="1:1" ht="15.75" customHeight="1">
      <c r="A496" s="87" t="s">
        <v>8771</v>
      </c>
    </row>
    <row r="497" spans="1:1" ht="15.75" customHeight="1">
      <c r="A497" s="87" t="s">
        <v>8772</v>
      </c>
    </row>
    <row r="498" spans="1:1" ht="15.75" customHeight="1">
      <c r="A498" s="87" t="s">
        <v>8773</v>
      </c>
    </row>
    <row r="499" spans="1:1" ht="15.75" customHeight="1">
      <c r="A499" s="87" t="s">
        <v>8774</v>
      </c>
    </row>
    <row r="500" spans="1:1" ht="15.75" customHeight="1">
      <c r="A500" s="87" t="s">
        <v>8775</v>
      </c>
    </row>
    <row r="501" spans="1:1" ht="15.75" customHeight="1">
      <c r="A501" s="87" t="s">
        <v>8776</v>
      </c>
    </row>
    <row r="502" spans="1:1" ht="15.75" customHeight="1">
      <c r="A502" s="87" t="s">
        <v>8777</v>
      </c>
    </row>
    <row r="503" spans="1:1" ht="15.75" customHeight="1">
      <c r="A503" s="87" t="s">
        <v>8778</v>
      </c>
    </row>
    <row r="504" spans="1:1" ht="15.75" customHeight="1">
      <c r="A504" s="87" t="s">
        <v>8779</v>
      </c>
    </row>
    <row r="505" spans="1:1" ht="15.75" customHeight="1">
      <c r="A505" s="87" t="s">
        <v>8780</v>
      </c>
    </row>
    <row r="506" spans="1:1" ht="15.75" customHeight="1">
      <c r="A506" s="87" t="s">
        <v>8781</v>
      </c>
    </row>
    <row r="507" spans="1:1" ht="15.75" customHeight="1">
      <c r="A507" s="87" t="s">
        <v>8782</v>
      </c>
    </row>
    <row r="508" spans="1:1" ht="15.75" customHeight="1">
      <c r="A508" s="87" t="s">
        <v>8783</v>
      </c>
    </row>
    <row r="509" spans="1:1" ht="15.75" customHeight="1">
      <c r="A509" s="87" t="s">
        <v>8784</v>
      </c>
    </row>
    <row r="510" spans="1:1" ht="15.75" customHeight="1">
      <c r="A510" s="87" t="s">
        <v>8785</v>
      </c>
    </row>
    <row r="511" spans="1:1" ht="15.75" customHeight="1">
      <c r="A511" s="87" t="s">
        <v>8786</v>
      </c>
    </row>
    <row r="512" spans="1:1" ht="15.75" customHeight="1">
      <c r="A512" s="87" t="s">
        <v>8787</v>
      </c>
    </row>
    <row r="513" spans="1:1" ht="15.75" customHeight="1">
      <c r="A513" s="87" t="s">
        <v>8788</v>
      </c>
    </row>
    <row r="514" spans="1:1" ht="15.75" customHeight="1">
      <c r="A514" s="87" t="s">
        <v>8789</v>
      </c>
    </row>
    <row r="515" spans="1:1" ht="15.75" customHeight="1">
      <c r="A515" s="87" t="s">
        <v>8790</v>
      </c>
    </row>
    <row r="516" spans="1:1" ht="15.75" customHeight="1">
      <c r="A516" s="87" t="s">
        <v>8791</v>
      </c>
    </row>
    <row r="517" spans="1:1" ht="15.75" customHeight="1">
      <c r="A517" s="87" t="s">
        <v>8792</v>
      </c>
    </row>
    <row r="518" spans="1:1" ht="15.75" customHeight="1">
      <c r="A518" s="87" t="s">
        <v>8793</v>
      </c>
    </row>
    <row r="519" spans="1:1" ht="15.75" customHeight="1">
      <c r="A519" s="87" t="s">
        <v>8794</v>
      </c>
    </row>
    <row r="520" spans="1:1" ht="15.75" customHeight="1">
      <c r="A520" s="87" t="s">
        <v>8795</v>
      </c>
    </row>
    <row r="521" spans="1:1" ht="15.75" customHeight="1">
      <c r="A521" s="87" t="s">
        <v>8796</v>
      </c>
    </row>
    <row r="522" spans="1:1" ht="15.75" customHeight="1">
      <c r="A522" s="87" t="s">
        <v>8797</v>
      </c>
    </row>
    <row r="523" spans="1:1" ht="15.75" customHeight="1">
      <c r="A523" s="87" t="s">
        <v>8798</v>
      </c>
    </row>
    <row r="524" spans="1:1" ht="15.75" customHeight="1">
      <c r="A524" s="87" t="s">
        <v>8799</v>
      </c>
    </row>
    <row r="525" spans="1:1" ht="15.75" customHeight="1">
      <c r="A525" s="87" t="s">
        <v>8800</v>
      </c>
    </row>
    <row r="526" spans="1:1" ht="15.75" customHeight="1">
      <c r="A526" s="87" t="s">
        <v>8801</v>
      </c>
    </row>
    <row r="527" spans="1:1" ht="15.75" customHeight="1">
      <c r="A527" s="87" t="s">
        <v>8802</v>
      </c>
    </row>
    <row r="528" spans="1:1" ht="15.75" customHeight="1">
      <c r="A528" s="87" t="s">
        <v>8803</v>
      </c>
    </row>
    <row r="529" spans="1:121" ht="15.75" customHeight="1">
      <c r="A529" s="87" t="s">
        <v>8804</v>
      </c>
    </row>
    <row r="530" spans="1:121" ht="15.75" customHeight="1">
      <c r="A530" s="87" t="s">
        <v>8805</v>
      </c>
    </row>
    <row r="531" spans="1:121" ht="15.75" customHeight="1">
      <c r="A531" s="87" t="s">
        <v>8806</v>
      </c>
    </row>
    <row r="532" spans="1:121" ht="15.75" customHeight="1">
      <c r="A532" s="87" t="s">
        <v>8807</v>
      </c>
    </row>
    <row r="533" spans="1:121" ht="15.75" customHeight="1">
      <c r="A533" s="87" t="s">
        <v>8808</v>
      </c>
    </row>
    <row r="534" spans="1:121" ht="15.75" customHeight="1">
      <c r="A534" s="87" t="s">
        <v>8809</v>
      </c>
    </row>
    <row r="535" spans="1:121" ht="15.75" customHeight="1">
      <c r="A535" s="87" t="s">
        <v>8810</v>
      </c>
    </row>
    <row r="536" spans="1:121" ht="15.75" customHeight="1">
      <c r="A536" s="87" t="s">
        <v>8811</v>
      </c>
    </row>
    <row r="537" spans="1:121" ht="15.75" customHeight="1">
      <c r="A537" s="87" t="s">
        <v>8812</v>
      </c>
    </row>
    <row r="538" spans="1:121" ht="15.75" customHeight="1">
      <c r="A538" s="87" t="s">
        <v>8813</v>
      </c>
    </row>
    <row r="539" spans="1:121" ht="15.75" customHeight="1">
      <c r="A539" s="87" t="s">
        <v>8814</v>
      </c>
    </row>
    <row r="540" spans="1:121" ht="15.75" customHeight="1">
      <c r="A540" s="87" t="s">
        <v>8815</v>
      </c>
      <c r="CT540" s="9" t="s">
        <v>2945</v>
      </c>
      <c r="CU540" s="9" t="s">
        <v>2945</v>
      </c>
      <c r="CV540" s="9" t="s">
        <v>2945</v>
      </c>
      <c r="CW540" s="9" t="s">
        <v>2945</v>
      </c>
      <c r="CX540" s="9" t="s">
        <v>2945</v>
      </c>
      <c r="CY540" s="9" t="s">
        <v>2945</v>
      </c>
      <c r="CZ540" s="9" t="s">
        <v>2945</v>
      </c>
      <c r="DA540" s="9" t="s">
        <v>2945</v>
      </c>
      <c r="DB540" s="9" t="s">
        <v>2945</v>
      </c>
      <c r="DC540" s="9" t="s">
        <v>2945</v>
      </c>
      <c r="DD540" s="9" t="s">
        <v>2945</v>
      </c>
      <c r="DE540" s="9" t="s">
        <v>2945</v>
      </c>
      <c r="DF540" s="9" t="s">
        <v>2945</v>
      </c>
      <c r="DG540" s="9" t="s">
        <v>2945</v>
      </c>
      <c r="DH540" s="9" t="s">
        <v>2945</v>
      </c>
      <c r="DI540" s="9" t="s">
        <v>2945</v>
      </c>
      <c r="DJ540" s="9" t="s">
        <v>2945</v>
      </c>
      <c r="DK540" s="9" t="s">
        <v>2945</v>
      </c>
      <c r="DL540" s="9" t="s">
        <v>2945</v>
      </c>
      <c r="DM540" s="9" t="s">
        <v>2945</v>
      </c>
      <c r="DN540" s="9" t="s">
        <v>2945</v>
      </c>
      <c r="DO540" s="9" t="s">
        <v>2945</v>
      </c>
      <c r="DP540" s="9" t="s">
        <v>2945</v>
      </c>
      <c r="DQ540" s="9" t="s">
        <v>2945</v>
      </c>
    </row>
    <row r="541" spans="1:121" ht="15.75" customHeight="1">
      <c r="A541" s="87" t="s">
        <v>8816</v>
      </c>
      <c r="Z541" s="9" t="s">
        <v>2945</v>
      </c>
      <c r="AA541" s="9" t="s">
        <v>2945</v>
      </c>
      <c r="AB541" s="9" t="s">
        <v>2945</v>
      </c>
      <c r="AC541" s="9" t="s">
        <v>2945</v>
      </c>
      <c r="AD541" s="9" t="s">
        <v>2945</v>
      </c>
      <c r="AE541" s="9" t="s">
        <v>2945</v>
      </c>
      <c r="AF541" s="9" t="s">
        <v>2945</v>
      </c>
      <c r="AG541" s="9" t="s">
        <v>2945</v>
      </c>
      <c r="AH541" s="9" t="s">
        <v>2945</v>
      </c>
      <c r="AI541" s="9" t="s">
        <v>2945</v>
      </c>
      <c r="AJ541" s="9" t="s">
        <v>2945</v>
      </c>
      <c r="AK541" s="9" t="s">
        <v>2945</v>
      </c>
      <c r="AL541" s="9" t="s">
        <v>2945</v>
      </c>
      <c r="AM541" s="9" t="s">
        <v>2945</v>
      </c>
      <c r="AN541" s="9" t="s">
        <v>2945</v>
      </c>
      <c r="AO541" s="9" t="s">
        <v>2945</v>
      </c>
      <c r="AP541" s="9" t="s">
        <v>2945</v>
      </c>
      <c r="AQ541" s="9" t="s">
        <v>2945</v>
      </c>
      <c r="AR541" s="9" t="s">
        <v>2945</v>
      </c>
      <c r="AS541" s="9" t="s">
        <v>2945</v>
      </c>
      <c r="AT541" s="9" t="s">
        <v>2945</v>
      </c>
      <c r="AU541" s="9" t="s">
        <v>2945</v>
      </c>
      <c r="AV541" s="9" t="s">
        <v>2945</v>
      </c>
      <c r="AW541" s="9" t="s">
        <v>2945</v>
      </c>
      <c r="AX541" s="9" t="s">
        <v>2945</v>
      </c>
      <c r="AY541" s="9" t="s">
        <v>2945</v>
      </c>
      <c r="AZ541" s="9" t="s">
        <v>2945</v>
      </c>
      <c r="BA541" s="9" t="s">
        <v>2945</v>
      </c>
      <c r="BB541" s="9" t="s">
        <v>2945</v>
      </c>
      <c r="BC541" s="9" t="s">
        <v>2945</v>
      </c>
      <c r="BD541" s="9" t="s">
        <v>2945</v>
      </c>
      <c r="BE541" s="9" t="s">
        <v>2945</v>
      </c>
      <c r="BF541" s="9" t="s">
        <v>2945</v>
      </c>
      <c r="BG541" s="9" t="s">
        <v>2945</v>
      </c>
      <c r="BH541" s="9" t="s">
        <v>2945</v>
      </c>
      <c r="BI541" s="9" t="s">
        <v>2945</v>
      </c>
      <c r="BJ541" s="9" t="s">
        <v>2945</v>
      </c>
      <c r="BK541" s="9" t="s">
        <v>2945</v>
      </c>
      <c r="BL541" s="9" t="s">
        <v>2945</v>
      </c>
      <c r="BM541" s="9" t="s">
        <v>2945</v>
      </c>
      <c r="BN541" s="9" t="s">
        <v>2945</v>
      </c>
      <c r="BO541" s="9" t="s">
        <v>2945</v>
      </c>
      <c r="BP541" s="9" t="s">
        <v>2945</v>
      </c>
      <c r="BQ541" s="9" t="s">
        <v>2945</v>
      </c>
      <c r="BR541" s="9" t="s">
        <v>2945</v>
      </c>
      <c r="BS541" s="9" t="s">
        <v>2945</v>
      </c>
      <c r="BT541" s="9" t="s">
        <v>2945</v>
      </c>
      <c r="BU541" s="9" t="s">
        <v>2945</v>
      </c>
      <c r="BV541" s="9" t="s">
        <v>2945</v>
      </c>
      <c r="BW541" s="9" t="s">
        <v>2945</v>
      </c>
      <c r="BX541" s="9" t="s">
        <v>2945</v>
      </c>
      <c r="BY541" s="9" t="s">
        <v>2945</v>
      </c>
      <c r="BZ541" s="9" t="s">
        <v>2945</v>
      </c>
      <c r="CA541" s="9" t="s">
        <v>2945</v>
      </c>
      <c r="CB541" s="9" t="s">
        <v>2945</v>
      </c>
      <c r="CC541" s="9" t="s">
        <v>2945</v>
      </c>
      <c r="CD541" s="9" t="s">
        <v>2945</v>
      </c>
      <c r="CE541" s="9" t="s">
        <v>2945</v>
      </c>
      <c r="CF541" s="9" t="s">
        <v>2945</v>
      </c>
      <c r="CG541" s="9" t="s">
        <v>2945</v>
      </c>
      <c r="CH541" s="9" t="s">
        <v>2945</v>
      </c>
      <c r="CI541" s="9" t="s">
        <v>2945</v>
      </c>
      <c r="CJ541" s="9" t="s">
        <v>2945</v>
      </c>
      <c r="CK541" s="9" t="s">
        <v>2945</v>
      </c>
      <c r="CL541" s="9" t="s">
        <v>2945</v>
      </c>
      <c r="CM541" s="9" t="s">
        <v>2945</v>
      </c>
      <c r="CN541" s="9" t="s">
        <v>2945</v>
      </c>
      <c r="CO541" s="9" t="s">
        <v>2945</v>
      </c>
      <c r="CP541" s="9" t="s">
        <v>2945</v>
      </c>
      <c r="CQ541" s="9" t="s">
        <v>2945</v>
      </c>
      <c r="CR541" s="9" t="s">
        <v>2945</v>
      </c>
      <c r="CS541" s="9" t="s">
        <v>2945</v>
      </c>
      <c r="CT541" s="9" t="s">
        <v>2945</v>
      </c>
      <c r="CU541" s="9" t="s">
        <v>2945</v>
      </c>
      <c r="CV541" s="9" t="s">
        <v>2945</v>
      </c>
      <c r="CW541" s="9" t="s">
        <v>2945</v>
      </c>
      <c r="CX541" s="9" t="s">
        <v>2945</v>
      </c>
      <c r="CY541" s="9" t="s">
        <v>2945</v>
      </c>
      <c r="CZ541" s="9" t="s">
        <v>2945</v>
      </c>
      <c r="DA541" s="9" t="s">
        <v>2945</v>
      </c>
      <c r="DB541" s="9" t="s">
        <v>2945</v>
      </c>
      <c r="DC541" s="9" t="s">
        <v>2945</v>
      </c>
      <c r="DD541" s="9" t="s">
        <v>2945</v>
      </c>
      <c r="DE541" s="9" t="s">
        <v>2945</v>
      </c>
      <c r="DF541" s="9" t="s">
        <v>2945</v>
      </c>
      <c r="DG541" s="9" t="s">
        <v>2945</v>
      </c>
      <c r="DH541" s="9" t="s">
        <v>2945</v>
      </c>
      <c r="DI541" s="9" t="s">
        <v>2945</v>
      </c>
      <c r="DJ541" s="9" t="s">
        <v>2945</v>
      </c>
      <c r="DK541" s="9" t="s">
        <v>2945</v>
      </c>
      <c r="DL541" s="9" t="s">
        <v>2945</v>
      </c>
      <c r="DM541" s="9" t="s">
        <v>2945</v>
      </c>
      <c r="DN541" s="9" t="s">
        <v>2945</v>
      </c>
      <c r="DO541" s="9" t="s">
        <v>2945</v>
      </c>
      <c r="DP541" s="9" t="s">
        <v>2945</v>
      </c>
      <c r="DQ541" s="9" t="s">
        <v>2945</v>
      </c>
    </row>
    <row r="542" spans="1:121" ht="15.75" customHeight="1">
      <c r="A542" s="87" t="s">
        <v>8817</v>
      </c>
    </row>
  </sheetData>
  <autoFilter ref="A1:Z229" xr:uid="{00000000-0009-0000-0000-000014000000}"/>
  <phoneticPr fontId="42" type="noConversion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E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5" ht="15.75" customHeight="1">
      <c r="A1" s="135" t="s">
        <v>29</v>
      </c>
      <c r="B1" s="135" t="s">
        <v>412</v>
      </c>
      <c r="C1" s="135" t="s">
        <v>415</v>
      </c>
    </row>
    <row r="2" spans="1:5" ht="15.75" customHeight="1">
      <c r="A2" s="136" t="s">
        <v>706</v>
      </c>
      <c r="B2" s="137" t="s">
        <v>442</v>
      </c>
      <c r="C2" s="100" t="s">
        <v>444</v>
      </c>
      <c r="D2" s="9" t="str">
        <f t="shared" ref="D2:D256" si="0">IF(AND(A2=A1,B2=B1),"check","")</f>
        <v/>
      </c>
    </row>
    <row r="3" spans="1:5" ht="15.75" customHeight="1">
      <c r="A3" s="136" t="s">
        <v>507</v>
      </c>
      <c r="B3" s="137" t="s">
        <v>442</v>
      </c>
      <c r="C3" s="100" t="s">
        <v>449</v>
      </c>
      <c r="D3" s="9" t="str">
        <f t="shared" si="0"/>
        <v/>
      </c>
    </row>
    <row r="4" spans="1:5" ht="15.75" customHeight="1">
      <c r="A4" s="136" t="s">
        <v>504</v>
      </c>
      <c r="B4" s="137" t="s">
        <v>442</v>
      </c>
      <c r="C4" s="100" t="s">
        <v>444</v>
      </c>
      <c r="D4" s="9" t="str">
        <f t="shared" si="0"/>
        <v/>
      </c>
    </row>
    <row r="5" spans="1:5" ht="15.75" customHeight="1">
      <c r="A5" s="136" t="s">
        <v>704</v>
      </c>
      <c r="B5" s="137" t="s">
        <v>442</v>
      </c>
      <c r="C5" s="100" t="s">
        <v>449</v>
      </c>
      <c r="D5" s="9" t="str">
        <f t="shared" si="0"/>
        <v/>
      </c>
    </row>
    <row r="6" spans="1:5" ht="15.75" customHeight="1">
      <c r="A6" s="136" t="s">
        <v>705</v>
      </c>
      <c r="B6" s="137" t="s">
        <v>442</v>
      </c>
      <c r="C6" s="100" t="s">
        <v>449</v>
      </c>
      <c r="D6" s="9" t="str">
        <f t="shared" si="0"/>
        <v/>
      </c>
    </row>
    <row r="7" spans="1:5" ht="15.75" customHeight="1">
      <c r="A7" s="136" t="s">
        <v>689</v>
      </c>
      <c r="B7" s="137" t="s">
        <v>424</v>
      </c>
      <c r="C7" s="100" t="s">
        <v>427</v>
      </c>
      <c r="D7" s="9" t="str">
        <f t="shared" si="0"/>
        <v/>
      </c>
    </row>
    <row r="8" spans="1:5" ht="15.75" customHeight="1">
      <c r="A8" s="136" t="s">
        <v>954</v>
      </c>
      <c r="B8" s="137" t="s">
        <v>424</v>
      </c>
      <c r="C8" s="100" t="s">
        <v>427</v>
      </c>
      <c r="D8" s="9" t="str">
        <f t="shared" si="0"/>
        <v/>
      </c>
    </row>
    <row r="9" spans="1:5" ht="15.75" customHeight="1">
      <c r="A9" s="137" t="s">
        <v>505</v>
      </c>
      <c r="B9" s="137" t="s">
        <v>442</v>
      </c>
      <c r="C9" s="100" t="s">
        <v>449</v>
      </c>
      <c r="D9" s="9" t="str">
        <f t="shared" si="0"/>
        <v/>
      </c>
    </row>
    <row r="10" spans="1:5" ht="15.75" customHeight="1">
      <c r="A10" s="136" t="s">
        <v>505</v>
      </c>
      <c r="B10" s="137" t="s">
        <v>442</v>
      </c>
      <c r="C10" s="100" t="s">
        <v>444</v>
      </c>
      <c r="D10" s="9" t="str">
        <f t="shared" si="0"/>
        <v>check</v>
      </c>
      <c r="E10" s="9" t="s">
        <v>8818</v>
      </c>
    </row>
    <row r="11" spans="1:5" ht="15.75" customHeight="1">
      <c r="A11" s="136" t="s">
        <v>767</v>
      </c>
      <c r="B11" s="137" t="s">
        <v>442</v>
      </c>
      <c r="C11" s="100" t="s">
        <v>449</v>
      </c>
      <c r="D11" s="9" t="str">
        <f t="shared" si="0"/>
        <v/>
      </c>
    </row>
    <row r="12" spans="1:5" ht="15.75" customHeight="1">
      <c r="A12" s="136" t="s">
        <v>768</v>
      </c>
      <c r="B12" s="137" t="s">
        <v>442</v>
      </c>
      <c r="C12" s="100" t="s">
        <v>444</v>
      </c>
      <c r="D12" s="9" t="str">
        <f t="shared" si="0"/>
        <v/>
      </c>
    </row>
    <row r="13" spans="1:5" ht="15.75" customHeight="1">
      <c r="A13" s="136" t="s">
        <v>866</v>
      </c>
      <c r="B13" s="137" t="s">
        <v>424</v>
      </c>
      <c r="C13" s="100" t="s">
        <v>427</v>
      </c>
      <c r="D13" s="9" t="str">
        <f t="shared" si="0"/>
        <v/>
      </c>
    </row>
    <row r="14" spans="1:5" ht="15.75" customHeight="1">
      <c r="A14" s="136" t="s">
        <v>766</v>
      </c>
      <c r="B14" s="137" t="s">
        <v>442</v>
      </c>
      <c r="C14" s="100" t="s">
        <v>444</v>
      </c>
      <c r="D14" s="9" t="str">
        <f t="shared" si="0"/>
        <v/>
      </c>
    </row>
    <row r="15" spans="1:5" ht="15.75" customHeight="1">
      <c r="A15" s="136" t="s">
        <v>764</v>
      </c>
      <c r="B15" s="137" t="s">
        <v>442</v>
      </c>
      <c r="C15" s="100" t="s">
        <v>444</v>
      </c>
      <c r="D15" s="9" t="str">
        <f t="shared" si="0"/>
        <v/>
      </c>
    </row>
    <row r="16" spans="1:5" ht="15.75" customHeight="1">
      <c r="A16" s="137" t="s">
        <v>495</v>
      </c>
      <c r="B16" s="137" t="s">
        <v>442</v>
      </c>
      <c r="C16" s="100" t="s">
        <v>449</v>
      </c>
      <c r="D16" s="9" t="str">
        <f t="shared" si="0"/>
        <v/>
      </c>
    </row>
    <row r="17" spans="1:5" ht="15.75" customHeight="1">
      <c r="A17" s="136" t="s">
        <v>495</v>
      </c>
      <c r="B17" s="137" t="s">
        <v>442</v>
      </c>
      <c r="C17" s="100" t="s">
        <v>444</v>
      </c>
      <c r="D17" s="9" t="str">
        <f t="shared" si="0"/>
        <v>check</v>
      </c>
      <c r="E17" s="9" t="s">
        <v>8818</v>
      </c>
    </row>
    <row r="18" spans="1:5" ht="15.75" customHeight="1">
      <c r="A18" s="136" t="s">
        <v>714</v>
      </c>
      <c r="B18" s="137" t="s">
        <v>442</v>
      </c>
      <c r="C18" s="100" t="s">
        <v>444</v>
      </c>
      <c r="D18" s="9" t="str">
        <f t="shared" si="0"/>
        <v/>
      </c>
    </row>
    <row r="19" spans="1:5" ht="15.75" customHeight="1">
      <c r="A19" s="136" t="s">
        <v>716</v>
      </c>
      <c r="B19" s="137" t="s">
        <v>442</v>
      </c>
      <c r="C19" s="100" t="s">
        <v>444</v>
      </c>
      <c r="D19" s="9" t="str">
        <f t="shared" si="0"/>
        <v/>
      </c>
    </row>
    <row r="20" spans="1:5" ht="15.75" customHeight="1">
      <c r="A20" s="136" t="s">
        <v>924</v>
      </c>
      <c r="B20" s="137" t="s">
        <v>442</v>
      </c>
      <c r="C20" s="100" t="s">
        <v>444</v>
      </c>
      <c r="D20" s="9" t="str">
        <f t="shared" si="0"/>
        <v/>
      </c>
    </row>
    <row r="21" spans="1:5" ht="15.75" customHeight="1">
      <c r="A21" s="136" t="s">
        <v>762</v>
      </c>
      <c r="B21" s="137" t="s">
        <v>442</v>
      </c>
      <c r="C21" s="100" t="s">
        <v>444</v>
      </c>
      <c r="D21" s="9" t="str">
        <f t="shared" si="0"/>
        <v/>
      </c>
    </row>
    <row r="22" spans="1:5" ht="15.75" customHeight="1">
      <c r="A22" s="136" t="s">
        <v>928</v>
      </c>
      <c r="B22" s="137" t="s">
        <v>442</v>
      </c>
      <c r="C22" s="100" t="s">
        <v>444</v>
      </c>
      <c r="D22" s="9" t="str">
        <f t="shared" si="0"/>
        <v/>
      </c>
    </row>
    <row r="23" spans="1:5" ht="15.75" customHeight="1">
      <c r="A23" s="136" t="s">
        <v>930</v>
      </c>
      <c r="B23" s="137" t="s">
        <v>442</v>
      </c>
      <c r="C23" s="100" t="s">
        <v>444</v>
      </c>
      <c r="D23" s="9" t="str">
        <f t="shared" si="0"/>
        <v/>
      </c>
    </row>
    <row r="24" spans="1:5" ht="15.75" customHeight="1">
      <c r="A24" s="137" t="s">
        <v>779</v>
      </c>
      <c r="B24" s="137" t="s">
        <v>442</v>
      </c>
      <c r="C24" s="100" t="s">
        <v>449</v>
      </c>
      <c r="D24" s="9" t="str">
        <f t="shared" si="0"/>
        <v/>
      </c>
    </row>
    <row r="25" spans="1:5" ht="15.75" customHeight="1">
      <c r="A25" s="136" t="s">
        <v>779</v>
      </c>
      <c r="B25" s="137" t="s">
        <v>442</v>
      </c>
      <c r="C25" s="100" t="s">
        <v>444</v>
      </c>
      <c r="D25" s="9" t="str">
        <f t="shared" si="0"/>
        <v>check</v>
      </c>
      <c r="E25" s="9" t="s">
        <v>8818</v>
      </c>
    </row>
    <row r="26" spans="1:5" ht="15.75" customHeight="1">
      <c r="A26" s="136" t="s">
        <v>772</v>
      </c>
      <c r="B26" s="137" t="s">
        <v>442</v>
      </c>
      <c r="C26" s="100" t="s">
        <v>449</v>
      </c>
      <c r="D26" s="9" t="str">
        <f t="shared" si="0"/>
        <v/>
      </c>
    </row>
    <row r="27" spans="1:5" ht="15.75" customHeight="1">
      <c r="A27" s="136" t="s">
        <v>773</v>
      </c>
      <c r="B27" s="137" t="s">
        <v>442</v>
      </c>
      <c r="C27" s="100" t="s">
        <v>449</v>
      </c>
      <c r="D27" s="9" t="str">
        <f t="shared" si="0"/>
        <v/>
      </c>
    </row>
    <row r="28" spans="1:5" ht="15.75" customHeight="1">
      <c r="A28" s="137" t="s">
        <v>775</v>
      </c>
      <c r="B28" s="137" t="s">
        <v>424</v>
      </c>
      <c r="C28" s="100" t="s">
        <v>430</v>
      </c>
      <c r="D28" s="9" t="str">
        <f t="shared" si="0"/>
        <v/>
      </c>
    </row>
    <row r="29" spans="1:5" ht="15.75" customHeight="1">
      <c r="A29" s="136" t="s">
        <v>775</v>
      </c>
      <c r="B29" s="137" t="s">
        <v>424</v>
      </c>
      <c r="C29" s="100" t="s">
        <v>427</v>
      </c>
      <c r="D29" s="9" t="str">
        <f t="shared" si="0"/>
        <v>check</v>
      </c>
      <c r="E29" s="9" t="s">
        <v>8819</v>
      </c>
    </row>
    <row r="30" spans="1:5" ht="15.75" customHeight="1">
      <c r="A30" s="137" t="s">
        <v>747</v>
      </c>
      <c r="B30" s="137" t="s">
        <v>442</v>
      </c>
      <c r="C30" s="100" t="s">
        <v>449</v>
      </c>
      <c r="D30" s="9" t="str">
        <f t="shared" si="0"/>
        <v/>
      </c>
    </row>
    <row r="31" spans="1:5" ht="15.75" customHeight="1">
      <c r="A31" s="136" t="s">
        <v>747</v>
      </c>
      <c r="B31" s="137" t="s">
        <v>442</v>
      </c>
      <c r="C31" s="100" t="s">
        <v>444</v>
      </c>
      <c r="D31" s="9" t="str">
        <f t="shared" si="0"/>
        <v>check</v>
      </c>
      <c r="E31" s="9" t="s">
        <v>8818</v>
      </c>
    </row>
    <row r="32" spans="1:5" ht="15.75" customHeight="1">
      <c r="A32" s="136" t="s">
        <v>520</v>
      </c>
      <c r="B32" s="137" t="s">
        <v>442</v>
      </c>
      <c r="C32" s="100" t="s">
        <v>449</v>
      </c>
      <c r="D32" s="9" t="str">
        <f t="shared" si="0"/>
        <v/>
      </c>
    </row>
    <row r="33" spans="1:5" ht="15.75" customHeight="1">
      <c r="A33" s="136" t="s">
        <v>517</v>
      </c>
      <c r="B33" s="137" t="s">
        <v>442</v>
      </c>
      <c r="C33" s="100" t="s">
        <v>449</v>
      </c>
      <c r="D33" s="9" t="str">
        <f t="shared" si="0"/>
        <v/>
      </c>
    </row>
    <row r="34" spans="1:5" ht="15.75" customHeight="1">
      <c r="A34" s="137" t="s">
        <v>519</v>
      </c>
      <c r="B34" s="137" t="s">
        <v>442</v>
      </c>
      <c r="C34" s="100" t="s">
        <v>449</v>
      </c>
      <c r="D34" s="9" t="str">
        <f t="shared" si="0"/>
        <v/>
      </c>
    </row>
    <row r="35" spans="1:5" ht="15.75" customHeight="1">
      <c r="A35" s="136" t="s">
        <v>519</v>
      </c>
      <c r="B35" s="137" t="s">
        <v>442</v>
      </c>
      <c r="C35" s="100" t="s">
        <v>444</v>
      </c>
      <c r="D35" s="9" t="str">
        <f t="shared" si="0"/>
        <v>check</v>
      </c>
      <c r="E35" s="9" t="s">
        <v>8818</v>
      </c>
    </row>
    <row r="36" spans="1:5" ht="15.75" customHeight="1">
      <c r="A36" s="136" t="s">
        <v>811</v>
      </c>
      <c r="B36" s="137" t="s">
        <v>442</v>
      </c>
      <c r="C36" s="100" t="s">
        <v>444</v>
      </c>
      <c r="D36" s="9" t="str">
        <f t="shared" si="0"/>
        <v/>
      </c>
    </row>
    <row r="37" spans="1:5" ht="15.75" customHeight="1">
      <c r="A37" s="136" t="s">
        <v>620</v>
      </c>
      <c r="B37" s="137" t="s">
        <v>442</v>
      </c>
      <c r="C37" s="100" t="s">
        <v>444</v>
      </c>
      <c r="D37" s="9" t="str">
        <f t="shared" si="0"/>
        <v/>
      </c>
    </row>
    <row r="38" spans="1:5" ht="15.75" customHeight="1">
      <c r="A38" s="136" t="s">
        <v>571</v>
      </c>
      <c r="B38" s="137" t="s">
        <v>442</v>
      </c>
      <c r="C38" s="100" t="s">
        <v>449</v>
      </c>
      <c r="D38" s="9" t="str">
        <f t="shared" si="0"/>
        <v/>
      </c>
    </row>
    <row r="39" spans="1:5" ht="15.75" customHeight="1">
      <c r="A39" s="136" t="s">
        <v>561</v>
      </c>
      <c r="B39" s="137" t="s">
        <v>442</v>
      </c>
      <c r="C39" s="100" t="s">
        <v>444</v>
      </c>
      <c r="D39" s="9" t="str">
        <f t="shared" si="0"/>
        <v/>
      </c>
    </row>
    <row r="40" spans="1:5" ht="15.75" customHeight="1">
      <c r="A40" s="136" t="s">
        <v>563</v>
      </c>
      <c r="B40" s="137" t="s">
        <v>499</v>
      </c>
      <c r="C40" s="100" t="s">
        <v>444</v>
      </c>
      <c r="D40" s="9" t="str">
        <f t="shared" si="0"/>
        <v/>
      </c>
    </row>
    <row r="41" spans="1:5" ht="15.75" customHeight="1">
      <c r="A41" s="136" t="s">
        <v>951</v>
      </c>
      <c r="B41" s="137" t="s">
        <v>442</v>
      </c>
      <c r="C41" s="100" t="s">
        <v>449</v>
      </c>
      <c r="D41" s="9" t="str">
        <f t="shared" si="0"/>
        <v/>
      </c>
    </row>
    <row r="42" spans="1:5" ht="15.75" customHeight="1">
      <c r="A42" s="136" t="s">
        <v>942</v>
      </c>
      <c r="B42" s="137" t="s">
        <v>442</v>
      </c>
      <c r="C42" s="100" t="s">
        <v>449</v>
      </c>
      <c r="D42" s="9" t="str">
        <f t="shared" si="0"/>
        <v/>
      </c>
    </row>
    <row r="43" spans="1:5" ht="15.75" customHeight="1">
      <c r="A43" s="136" t="s">
        <v>995</v>
      </c>
      <c r="B43" s="137" t="s">
        <v>442</v>
      </c>
      <c r="C43" s="100" t="s">
        <v>444</v>
      </c>
      <c r="D43" s="9" t="str">
        <f t="shared" si="0"/>
        <v/>
      </c>
    </row>
    <row r="44" spans="1:5" ht="15.75" customHeight="1">
      <c r="A44" s="136" t="s">
        <v>678</v>
      </c>
      <c r="B44" s="137" t="s">
        <v>499</v>
      </c>
      <c r="C44" s="100" t="s">
        <v>444</v>
      </c>
      <c r="D44" s="9" t="str">
        <f t="shared" si="0"/>
        <v/>
      </c>
    </row>
    <row r="45" spans="1:5" ht="15.75" customHeight="1">
      <c r="A45" s="136" t="s">
        <v>676</v>
      </c>
      <c r="B45" s="137" t="s">
        <v>442</v>
      </c>
      <c r="C45" s="100" t="s">
        <v>444</v>
      </c>
      <c r="D45" s="9" t="str">
        <f t="shared" si="0"/>
        <v/>
      </c>
    </row>
    <row r="46" spans="1:5" ht="15.75" customHeight="1">
      <c r="A46" s="136" t="s">
        <v>677</v>
      </c>
      <c r="B46" s="137" t="s">
        <v>442</v>
      </c>
      <c r="C46" s="100" t="s">
        <v>444</v>
      </c>
      <c r="D46" s="9" t="str">
        <f t="shared" si="0"/>
        <v/>
      </c>
    </row>
    <row r="47" spans="1:5" ht="15.75" customHeight="1">
      <c r="A47" s="136" t="s">
        <v>923</v>
      </c>
      <c r="B47" s="137" t="s">
        <v>424</v>
      </c>
      <c r="C47" s="100" t="s">
        <v>427</v>
      </c>
      <c r="D47" s="9" t="str">
        <f t="shared" si="0"/>
        <v/>
      </c>
    </row>
    <row r="48" spans="1:5" ht="15.75" customHeight="1">
      <c r="A48" s="136" t="s">
        <v>921</v>
      </c>
      <c r="B48" s="137" t="s">
        <v>424</v>
      </c>
      <c r="C48" s="100" t="s">
        <v>427</v>
      </c>
      <c r="D48" s="9" t="str">
        <f t="shared" si="0"/>
        <v/>
      </c>
    </row>
    <row r="49" spans="1:5" ht="15.75" customHeight="1">
      <c r="A49" s="136" t="s">
        <v>919</v>
      </c>
      <c r="B49" s="137" t="s">
        <v>424</v>
      </c>
      <c r="C49" s="100" t="s">
        <v>427</v>
      </c>
      <c r="D49" s="9" t="str">
        <f t="shared" si="0"/>
        <v/>
      </c>
    </row>
    <row r="50" spans="1:5" ht="15.75" customHeight="1">
      <c r="A50" s="136" t="s">
        <v>798</v>
      </c>
      <c r="B50" s="137" t="s">
        <v>442</v>
      </c>
      <c r="C50" s="100" t="s">
        <v>449</v>
      </c>
      <c r="D50" s="9" t="str">
        <f t="shared" si="0"/>
        <v/>
      </c>
    </row>
    <row r="51" spans="1:5" ht="15.75" customHeight="1">
      <c r="A51" s="136" t="s">
        <v>922</v>
      </c>
      <c r="B51" s="137" t="s">
        <v>424</v>
      </c>
      <c r="C51" s="100" t="s">
        <v>427</v>
      </c>
      <c r="D51" s="9" t="str">
        <f t="shared" si="0"/>
        <v/>
      </c>
    </row>
    <row r="52" spans="1:5" ht="15.75" customHeight="1">
      <c r="A52" s="137" t="s">
        <v>463</v>
      </c>
      <c r="B52" s="137" t="s">
        <v>424</v>
      </c>
      <c r="C52" s="100" t="s">
        <v>430</v>
      </c>
      <c r="D52" s="9" t="str">
        <f t="shared" si="0"/>
        <v/>
      </c>
    </row>
    <row r="53" spans="1:5" ht="15.75" customHeight="1">
      <c r="A53" s="136" t="s">
        <v>463</v>
      </c>
      <c r="B53" s="137" t="s">
        <v>424</v>
      </c>
      <c r="C53" s="100" t="s">
        <v>427</v>
      </c>
      <c r="D53" s="9" t="str">
        <f t="shared" si="0"/>
        <v>check</v>
      </c>
      <c r="E53" s="9" t="s">
        <v>8819</v>
      </c>
    </row>
    <row r="54" spans="1:5" ht="15.75" customHeight="1">
      <c r="A54" s="136" t="s">
        <v>564</v>
      </c>
      <c r="B54" s="137" t="s">
        <v>424</v>
      </c>
      <c r="C54" s="100" t="s">
        <v>427</v>
      </c>
      <c r="D54" s="9" t="str">
        <f t="shared" si="0"/>
        <v/>
      </c>
    </row>
    <row r="55" spans="1:5" ht="15.75" customHeight="1">
      <c r="A55" s="137" t="s">
        <v>472</v>
      </c>
      <c r="B55" s="137" t="s">
        <v>424</v>
      </c>
      <c r="C55" s="100" t="s">
        <v>430</v>
      </c>
      <c r="D55" s="9" t="str">
        <f t="shared" si="0"/>
        <v/>
      </c>
    </row>
    <row r="56" spans="1:5" ht="15.75" customHeight="1">
      <c r="A56" s="136" t="s">
        <v>472</v>
      </c>
      <c r="B56" s="137" t="s">
        <v>424</v>
      </c>
      <c r="C56" s="100" t="s">
        <v>427</v>
      </c>
      <c r="D56" s="9" t="str">
        <f t="shared" si="0"/>
        <v>check</v>
      </c>
      <c r="E56" s="9" t="s">
        <v>8818</v>
      </c>
    </row>
    <row r="57" spans="1:5" ht="15.75" customHeight="1">
      <c r="A57" s="136" t="s">
        <v>889</v>
      </c>
      <c r="B57" s="137" t="s">
        <v>442</v>
      </c>
      <c r="C57" s="100" t="s">
        <v>444</v>
      </c>
      <c r="D57" s="9" t="str">
        <f t="shared" si="0"/>
        <v/>
      </c>
    </row>
    <row r="58" spans="1:5" ht="15.75" customHeight="1">
      <c r="A58" s="136" t="s">
        <v>461</v>
      </c>
      <c r="B58" s="137" t="s">
        <v>442</v>
      </c>
      <c r="C58" s="100" t="s">
        <v>444</v>
      </c>
      <c r="D58" s="9" t="str">
        <f t="shared" si="0"/>
        <v/>
      </c>
    </row>
    <row r="59" spans="1:5" ht="15.75" customHeight="1">
      <c r="A59" s="136" t="s">
        <v>888</v>
      </c>
      <c r="B59" s="137" t="s">
        <v>442</v>
      </c>
      <c r="C59" s="100" t="s">
        <v>444</v>
      </c>
      <c r="D59" s="9" t="str">
        <f t="shared" si="0"/>
        <v/>
      </c>
    </row>
    <row r="60" spans="1:5" ht="15.75" customHeight="1">
      <c r="A60" s="136" t="s">
        <v>896</v>
      </c>
      <c r="B60" s="137" t="s">
        <v>442</v>
      </c>
      <c r="C60" s="100" t="s">
        <v>444</v>
      </c>
      <c r="D60" s="9" t="str">
        <f t="shared" si="0"/>
        <v/>
      </c>
    </row>
    <row r="61" spans="1:5" ht="15.75" customHeight="1">
      <c r="A61" s="136" t="s">
        <v>579</v>
      </c>
      <c r="B61" s="137" t="s">
        <v>442</v>
      </c>
      <c r="C61" s="100" t="s">
        <v>444</v>
      </c>
      <c r="D61" s="9" t="str">
        <f t="shared" si="0"/>
        <v/>
      </c>
    </row>
    <row r="62" spans="1:5" ht="15.75" customHeight="1">
      <c r="A62" s="137" t="s">
        <v>897</v>
      </c>
      <c r="B62" s="137" t="s">
        <v>424</v>
      </c>
      <c r="C62" s="100" t="s">
        <v>430</v>
      </c>
      <c r="D62" s="9" t="str">
        <f t="shared" si="0"/>
        <v/>
      </c>
    </row>
    <row r="63" spans="1:5" ht="15.75" customHeight="1">
      <c r="A63" s="136" t="s">
        <v>897</v>
      </c>
      <c r="B63" s="137" t="s">
        <v>424</v>
      </c>
      <c r="C63" s="100" t="s">
        <v>427</v>
      </c>
      <c r="D63" s="9" t="str">
        <f t="shared" si="0"/>
        <v>check</v>
      </c>
      <c r="E63" s="9" t="s">
        <v>8818</v>
      </c>
    </row>
    <row r="64" spans="1:5" ht="15.75" customHeight="1">
      <c r="A64" s="136" t="s">
        <v>964</v>
      </c>
      <c r="B64" s="137" t="s">
        <v>442</v>
      </c>
      <c r="C64" s="100" t="s">
        <v>444</v>
      </c>
      <c r="D64" s="9" t="str">
        <f t="shared" si="0"/>
        <v/>
      </c>
    </row>
    <row r="65" spans="1:5" ht="15.75" customHeight="1">
      <c r="A65" s="137" t="s">
        <v>934</v>
      </c>
      <c r="B65" s="137" t="s">
        <v>424</v>
      </c>
      <c r="C65" s="100" t="s">
        <v>430</v>
      </c>
      <c r="D65" s="9" t="str">
        <f t="shared" si="0"/>
        <v/>
      </c>
    </row>
    <row r="66" spans="1:5" ht="15.75" customHeight="1">
      <c r="A66" s="136" t="s">
        <v>934</v>
      </c>
      <c r="B66" s="137" t="s">
        <v>424</v>
      </c>
      <c r="C66" s="100" t="s">
        <v>427</v>
      </c>
      <c r="D66" s="9" t="str">
        <f t="shared" si="0"/>
        <v>check</v>
      </c>
      <c r="E66" s="9" t="s">
        <v>8818</v>
      </c>
    </row>
    <row r="67" spans="1:5" ht="15.75" customHeight="1">
      <c r="A67" s="136" t="s">
        <v>585</v>
      </c>
      <c r="B67" s="137" t="s">
        <v>442</v>
      </c>
      <c r="C67" s="100" t="s">
        <v>444</v>
      </c>
      <c r="D67" s="9" t="str">
        <f t="shared" si="0"/>
        <v/>
      </c>
    </row>
    <row r="68" spans="1:5" ht="15.75" customHeight="1">
      <c r="A68" s="136" t="s">
        <v>967</v>
      </c>
      <c r="B68" s="137" t="s">
        <v>424</v>
      </c>
      <c r="C68" s="100" t="s">
        <v>427</v>
      </c>
      <c r="D68" s="9" t="str">
        <f t="shared" si="0"/>
        <v/>
      </c>
    </row>
    <row r="69" spans="1:5" ht="15.75" customHeight="1">
      <c r="A69" s="136" t="s">
        <v>903</v>
      </c>
      <c r="B69" s="137" t="s">
        <v>424</v>
      </c>
      <c r="C69" s="100" t="s">
        <v>427</v>
      </c>
      <c r="D69" s="9" t="str">
        <f t="shared" si="0"/>
        <v/>
      </c>
    </row>
    <row r="70" spans="1:5" ht="15.75" customHeight="1">
      <c r="A70" s="136" t="s">
        <v>987</v>
      </c>
      <c r="B70" s="137" t="s">
        <v>424</v>
      </c>
      <c r="C70" s="100" t="s">
        <v>427</v>
      </c>
      <c r="D70" s="9" t="str">
        <f t="shared" si="0"/>
        <v/>
      </c>
    </row>
    <row r="71" spans="1:5" ht="15.75" customHeight="1">
      <c r="A71" s="136" t="s">
        <v>901</v>
      </c>
      <c r="B71" s="137" t="s">
        <v>442</v>
      </c>
      <c r="C71" s="100" t="s">
        <v>444</v>
      </c>
      <c r="D71" s="9" t="str">
        <f t="shared" si="0"/>
        <v/>
      </c>
    </row>
    <row r="72" spans="1:5" ht="15.75" customHeight="1">
      <c r="A72" s="136" t="s">
        <v>583</v>
      </c>
      <c r="B72" s="137" t="s">
        <v>442</v>
      </c>
      <c r="C72" s="100" t="s">
        <v>444</v>
      </c>
      <c r="D72" s="9" t="str">
        <f t="shared" si="0"/>
        <v/>
      </c>
    </row>
    <row r="73" spans="1:5" ht="15.75" customHeight="1">
      <c r="A73" s="136" t="s">
        <v>971</v>
      </c>
      <c r="B73" s="137" t="s">
        <v>442</v>
      </c>
      <c r="C73" s="100" t="s">
        <v>449</v>
      </c>
      <c r="D73" s="9" t="str">
        <f t="shared" si="0"/>
        <v/>
      </c>
    </row>
    <row r="74" spans="1:5" ht="15.75" customHeight="1">
      <c r="A74" s="136" t="s">
        <v>890</v>
      </c>
      <c r="B74" s="137" t="s">
        <v>442</v>
      </c>
      <c r="C74" s="100" t="s">
        <v>444</v>
      </c>
      <c r="D74" s="9" t="str">
        <f t="shared" si="0"/>
        <v/>
      </c>
    </row>
    <row r="75" spans="1:5" ht="15.75" customHeight="1">
      <c r="A75" s="136" t="s">
        <v>454</v>
      </c>
      <c r="B75" s="137" t="s">
        <v>442</v>
      </c>
      <c r="C75" s="100" t="s">
        <v>444</v>
      </c>
      <c r="D75" s="9" t="str">
        <f t="shared" si="0"/>
        <v/>
      </c>
    </row>
    <row r="76" spans="1:5" ht="15.75" customHeight="1">
      <c r="A76" s="136" t="s">
        <v>899</v>
      </c>
      <c r="B76" s="137" t="s">
        <v>424</v>
      </c>
      <c r="C76" s="100" t="s">
        <v>427</v>
      </c>
      <c r="D76" s="9" t="str">
        <f t="shared" si="0"/>
        <v/>
      </c>
    </row>
    <row r="77" spans="1:5" ht="15.75" customHeight="1">
      <c r="A77" s="136" t="s">
        <v>969</v>
      </c>
      <c r="B77" s="137" t="s">
        <v>424</v>
      </c>
      <c r="C77" s="100" t="s">
        <v>427</v>
      </c>
      <c r="D77" s="9" t="str">
        <f t="shared" si="0"/>
        <v/>
      </c>
    </row>
    <row r="78" spans="1:5" ht="15.75" customHeight="1">
      <c r="A78" s="137" t="s">
        <v>905</v>
      </c>
      <c r="B78" s="137" t="s">
        <v>499</v>
      </c>
      <c r="C78" s="100" t="s">
        <v>444</v>
      </c>
      <c r="D78" s="9" t="str">
        <f t="shared" si="0"/>
        <v/>
      </c>
    </row>
    <row r="79" spans="1:5" ht="15.75" customHeight="1">
      <c r="A79" s="136" t="s">
        <v>905</v>
      </c>
      <c r="B79" s="137" t="s">
        <v>708</v>
      </c>
      <c r="C79" s="100" t="s">
        <v>444</v>
      </c>
      <c r="D79" s="9" t="str">
        <f t="shared" si="0"/>
        <v/>
      </c>
      <c r="E79" s="9" t="s">
        <v>8818</v>
      </c>
    </row>
    <row r="80" spans="1:5" ht="15.75" customHeight="1">
      <c r="A80" s="136" t="s">
        <v>884</v>
      </c>
      <c r="B80" s="137" t="s">
        <v>499</v>
      </c>
      <c r="C80" s="100" t="s">
        <v>444</v>
      </c>
      <c r="D80" s="9" t="str">
        <f t="shared" si="0"/>
        <v/>
      </c>
    </row>
    <row r="81" spans="1:5" ht="15.75" customHeight="1">
      <c r="A81" s="136" t="s">
        <v>894</v>
      </c>
      <c r="B81" s="137" t="s">
        <v>424</v>
      </c>
      <c r="C81" s="100" t="s">
        <v>430</v>
      </c>
      <c r="D81" s="9" t="str">
        <f t="shared" si="0"/>
        <v/>
      </c>
    </row>
    <row r="82" spans="1:5" ht="15.75" customHeight="1">
      <c r="A82" s="137" t="s">
        <v>882</v>
      </c>
      <c r="B82" s="137" t="s">
        <v>424</v>
      </c>
      <c r="C82" s="100" t="s">
        <v>430</v>
      </c>
      <c r="D82" s="9" t="str">
        <f t="shared" si="0"/>
        <v/>
      </c>
    </row>
    <row r="83" spans="1:5" ht="15.75" customHeight="1">
      <c r="A83" s="136" t="s">
        <v>882</v>
      </c>
      <c r="B83" s="137" t="s">
        <v>424</v>
      </c>
      <c r="C83" s="100" t="s">
        <v>427</v>
      </c>
      <c r="D83" s="9" t="str">
        <f t="shared" si="0"/>
        <v>check</v>
      </c>
      <c r="E83" s="9" t="s">
        <v>8818</v>
      </c>
    </row>
    <row r="84" spans="1:5" ht="15.75" customHeight="1">
      <c r="A84" s="136" t="s">
        <v>796</v>
      </c>
      <c r="B84" s="137" t="s">
        <v>424</v>
      </c>
      <c r="C84" s="100" t="s">
        <v>427</v>
      </c>
      <c r="D84" s="9" t="str">
        <f t="shared" si="0"/>
        <v/>
      </c>
    </row>
    <row r="85" spans="1:5" ht="15.75" customHeight="1">
      <c r="A85" s="136" t="s">
        <v>581</v>
      </c>
      <c r="B85" s="137" t="s">
        <v>442</v>
      </c>
      <c r="C85" s="100" t="s">
        <v>444</v>
      </c>
      <c r="D85" s="9" t="str">
        <f t="shared" si="0"/>
        <v/>
      </c>
    </row>
    <row r="86" spans="1:5" ht="15.75" customHeight="1">
      <c r="A86" s="136" t="s">
        <v>965</v>
      </c>
      <c r="B86" s="137" t="s">
        <v>442</v>
      </c>
      <c r="C86" s="100" t="s">
        <v>444</v>
      </c>
      <c r="D86" s="9" t="str">
        <f t="shared" si="0"/>
        <v/>
      </c>
    </row>
    <row r="87" spans="1:5" ht="15.75" customHeight="1">
      <c r="A87" s="136" t="s">
        <v>577</v>
      </c>
      <c r="B87" s="137" t="s">
        <v>442</v>
      </c>
      <c r="C87" s="100" t="s">
        <v>444</v>
      </c>
      <c r="D87" s="9" t="str">
        <f t="shared" si="0"/>
        <v/>
      </c>
    </row>
    <row r="88" spans="1:5" ht="15.75" customHeight="1">
      <c r="A88" s="136" t="s">
        <v>886</v>
      </c>
      <c r="B88" s="137" t="s">
        <v>424</v>
      </c>
      <c r="C88" s="100" t="s">
        <v>427</v>
      </c>
      <c r="D88" s="9" t="str">
        <f t="shared" si="0"/>
        <v/>
      </c>
    </row>
    <row r="89" spans="1:5" ht="15.75" customHeight="1">
      <c r="A89" s="136" t="s">
        <v>907</v>
      </c>
      <c r="B89" s="137" t="s">
        <v>424</v>
      </c>
      <c r="C89" s="100" t="s">
        <v>427</v>
      </c>
      <c r="D89" s="9" t="str">
        <f t="shared" si="0"/>
        <v/>
      </c>
    </row>
    <row r="90" spans="1:5" ht="15.75" customHeight="1">
      <c r="A90" s="136" t="s">
        <v>909</v>
      </c>
      <c r="B90" s="137" t="s">
        <v>424</v>
      </c>
      <c r="C90" s="100" t="s">
        <v>427</v>
      </c>
      <c r="D90" s="9" t="str">
        <f t="shared" si="0"/>
        <v/>
      </c>
    </row>
    <row r="91" spans="1:5" ht="15.75" customHeight="1">
      <c r="A91" s="136" t="s">
        <v>514</v>
      </c>
      <c r="B91" s="137" t="s">
        <v>442</v>
      </c>
      <c r="C91" s="100" t="s">
        <v>444</v>
      </c>
      <c r="D91" s="9" t="str">
        <f t="shared" si="0"/>
        <v/>
      </c>
    </row>
    <row r="92" spans="1:5" ht="15.75" customHeight="1">
      <c r="A92" s="136" t="s">
        <v>674</v>
      </c>
      <c r="B92" s="137" t="s">
        <v>442</v>
      </c>
      <c r="C92" s="100" t="s">
        <v>444</v>
      </c>
      <c r="D92" s="9" t="str">
        <f t="shared" si="0"/>
        <v/>
      </c>
    </row>
    <row r="93" spans="1:5" ht="15.75" customHeight="1">
      <c r="A93" s="136" t="s">
        <v>878</v>
      </c>
      <c r="B93" s="137" t="s">
        <v>442</v>
      </c>
      <c r="C93" s="100" t="s">
        <v>449</v>
      </c>
      <c r="D93" s="9" t="str">
        <f t="shared" si="0"/>
        <v/>
      </c>
    </row>
    <row r="94" spans="1:5" ht="15.75" customHeight="1">
      <c r="A94" s="136" t="s">
        <v>880</v>
      </c>
      <c r="B94" s="137" t="s">
        <v>442</v>
      </c>
      <c r="C94" s="100" t="s">
        <v>449</v>
      </c>
      <c r="D94" s="9" t="str">
        <f t="shared" si="0"/>
        <v/>
      </c>
    </row>
    <row r="95" spans="1:5" ht="15.75" customHeight="1">
      <c r="A95" s="136" t="s">
        <v>991</v>
      </c>
      <c r="B95" s="137" t="s">
        <v>424</v>
      </c>
      <c r="C95" s="100" t="s">
        <v>430</v>
      </c>
      <c r="D95" s="9" t="str">
        <f t="shared" si="0"/>
        <v/>
      </c>
    </row>
    <row r="96" spans="1:5" ht="15.75" customHeight="1">
      <c r="A96" s="136" t="s">
        <v>993</v>
      </c>
      <c r="B96" s="137" t="s">
        <v>424</v>
      </c>
      <c r="C96" s="100" t="s">
        <v>430</v>
      </c>
      <c r="D96" s="9" t="str">
        <f t="shared" si="0"/>
        <v/>
      </c>
    </row>
    <row r="97" spans="1:5" ht="15.75" customHeight="1">
      <c r="A97" s="136" t="s">
        <v>989</v>
      </c>
      <c r="B97" s="137" t="s">
        <v>442</v>
      </c>
      <c r="C97" s="100" t="s">
        <v>449</v>
      </c>
      <c r="D97" s="9" t="str">
        <f t="shared" si="0"/>
        <v/>
      </c>
    </row>
    <row r="98" spans="1:5" ht="15.75" customHeight="1">
      <c r="A98" s="136" t="s">
        <v>963</v>
      </c>
      <c r="B98" s="137" t="s">
        <v>442</v>
      </c>
      <c r="C98" s="100" t="s">
        <v>444</v>
      </c>
      <c r="D98" s="9" t="str">
        <f t="shared" si="0"/>
        <v/>
      </c>
    </row>
    <row r="99" spans="1:5" ht="15.75" customHeight="1">
      <c r="A99" s="137" t="s">
        <v>565</v>
      </c>
      <c r="B99" s="137" t="s">
        <v>442</v>
      </c>
      <c r="C99" s="100" t="s">
        <v>449</v>
      </c>
      <c r="D99" s="9" t="str">
        <f t="shared" si="0"/>
        <v/>
      </c>
    </row>
    <row r="100" spans="1:5" ht="15.75" customHeight="1">
      <c r="A100" s="136" t="s">
        <v>565</v>
      </c>
      <c r="B100" s="137" t="s">
        <v>442</v>
      </c>
      <c r="C100" s="100" t="s">
        <v>444</v>
      </c>
      <c r="D100" s="9" t="str">
        <f t="shared" si="0"/>
        <v>check</v>
      </c>
      <c r="E100" s="9" t="s">
        <v>8818</v>
      </c>
    </row>
    <row r="101" spans="1:5" ht="15.75" customHeight="1">
      <c r="A101" s="136" t="s">
        <v>446</v>
      </c>
      <c r="B101" s="137" t="s">
        <v>442</v>
      </c>
      <c r="C101" s="100" t="s">
        <v>449</v>
      </c>
      <c r="D101" s="9" t="str">
        <f t="shared" si="0"/>
        <v/>
      </c>
    </row>
    <row r="102" spans="1:5" ht="15.75" customHeight="1">
      <c r="A102" s="136" t="s">
        <v>949</v>
      </c>
      <c r="B102" s="137" t="s">
        <v>442</v>
      </c>
      <c r="C102" s="100" t="s">
        <v>444</v>
      </c>
      <c r="D102" s="9" t="str">
        <f t="shared" si="0"/>
        <v/>
      </c>
    </row>
    <row r="103" spans="1:5" ht="15.75" customHeight="1">
      <c r="A103" s="136" t="s">
        <v>482</v>
      </c>
      <c r="B103" s="137" t="s">
        <v>442</v>
      </c>
      <c r="C103" s="100" t="s">
        <v>449</v>
      </c>
      <c r="D103" s="9" t="str">
        <f t="shared" si="0"/>
        <v/>
      </c>
    </row>
    <row r="104" spans="1:5" ht="15.75" customHeight="1">
      <c r="A104" s="136" t="s">
        <v>953</v>
      </c>
      <c r="B104" s="137" t="s">
        <v>442</v>
      </c>
      <c r="C104" s="100" t="s">
        <v>444</v>
      </c>
      <c r="D104" s="9" t="str">
        <f t="shared" si="0"/>
        <v/>
      </c>
    </row>
    <row r="105" spans="1:5" ht="15.75" customHeight="1">
      <c r="A105" s="136" t="s">
        <v>465</v>
      </c>
      <c r="B105" s="137" t="s">
        <v>424</v>
      </c>
      <c r="C105" s="100" t="s">
        <v>427</v>
      </c>
      <c r="D105" s="9" t="str">
        <f t="shared" si="0"/>
        <v/>
      </c>
    </row>
    <row r="106" spans="1:5" ht="15.75" customHeight="1">
      <c r="A106" s="136" t="s">
        <v>604</v>
      </c>
      <c r="B106" s="137" t="s">
        <v>442</v>
      </c>
      <c r="C106" s="100" t="s">
        <v>449</v>
      </c>
      <c r="D106" s="9" t="str">
        <f t="shared" si="0"/>
        <v/>
      </c>
    </row>
    <row r="107" spans="1:5" ht="15.75" customHeight="1">
      <c r="A107" s="136" t="s">
        <v>962</v>
      </c>
      <c r="B107" s="137" t="s">
        <v>442</v>
      </c>
      <c r="C107" s="100" t="s">
        <v>444</v>
      </c>
      <c r="D107" s="9" t="str">
        <f t="shared" si="0"/>
        <v/>
      </c>
    </row>
    <row r="108" spans="1:5" ht="15.75" customHeight="1">
      <c r="A108" s="136" t="s">
        <v>864</v>
      </c>
      <c r="B108" s="137" t="s">
        <v>424</v>
      </c>
      <c r="C108" s="100" t="s">
        <v>444</v>
      </c>
      <c r="D108" s="9" t="str">
        <f t="shared" si="0"/>
        <v/>
      </c>
    </row>
    <row r="109" spans="1:5" ht="15.75" customHeight="1">
      <c r="A109" s="136" t="s">
        <v>721</v>
      </c>
      <c r="B109" s="137" t="s">
        <v>442</v>
      </c>
      <c r="C109" s="100" t="s">
        <v>444</v>
      </c>
      <c r="D109" s="9" t="str">
        <f t="shared" si="0"/>
        <v/>
      </c>
    </row>
    <row r="110" spans="1:5" ht="15.75" customHeight="1">
      <c r="A110" s="136" t="s">
        <v>936</v>
      </c>
      <c r="B110" s="137" t="s">
        <v>424</v>
      </c>
      <c r="C110" s="100" t="s">
        <v>427</v>
      </c>
      <c r="D110" s="9" t="str">
        <f t="shared" si="0"/>
        <v/>
      </c>
    </row>
    <row r="111" spans="1:5" ht="15.75" customHeight="1">
      <c r="A111" s="136" t="s">
        <v>572</v>
      </c>
      <c r="B111" s="137" t="s">
        <v>424</v>
      </c>
      <c r="C111" s="100" t="s">
        <v>427</v>
      </c>
      <c r="D111" s="9" t="str">
        <f t="shared" si="0"/>
        <v/>
      </c>
    </row>
    <row r="112" spans="1:5" ht="15.75" customHeight="1">
      <c r="A112" s="136" t="s">
        <v>456</v>
      </c>
      <c r="B112" s="137" t="s">
        <v>442</v>
      </c>
      <c r="C112" s="100" t="s">
        <v>444</v>
      </c>
      <c r="D112" s="9" t="str">
        <f t="shared" si="0"/>
        <v/>
      </c>
    </row>
    <row r="113" spans="1:4" ht="15.75" customHeight="1">
      <c r="A113" s="136" t="s">
        <v>467</v>
      </c>
      <c r="B113" s="137" t="s">
        <v>442</v>
      </c>
      <c r="C113" s="100" t="s">
        <v>444</v>
      </c>
      <c r="D113" s="9" t="str">
        <f t="shared" si="0"/>
        <v/>
      </c>
    </row>
    <row r="114" spans="1:4" ht="15.75" customHeight="1">
      <c r="A114" s="136" t="s">
        <v>975</v>
      </c>
      <c r="B114" s="137" t="s">
        <v>424</v>
      </c>
      <c r="C114" s="100" t="s">
        <v>427</v>
      </c>
      <c r="D114" s="9" t="str">
        <f t="shared" si="0"/>
        <v/>
      </c>
    </row>
    <row r="115" spans="1:4" ht="15.75" customHeight="1">
      <c r="A115" s="136" t="s">
        <v>977</v>
      </c>
      <c r="B115" s="137" t="s">
        <v>424</v>
      </c>
      <c r="C115" s="100" t="s">
        <v>427</v>
      </c>
      <c r="D115" s="9" t="str">
        <f t="shared" si="0"/>
        <v/>
      </c>
    </row>
    <row r="116" spans="1:4" ht="15.75" customHeight="1">
      <c r="A116" s="136" t="s">
        <v>828</v>
      </c>
      <c r="B116" s="137" t="s">
        <v>499</v>
      </c>
      <c r="C116" s="100" t="s">
        <v>444</v>
      </c>
      <c r="D116" s="9" t="str">
        <f t="shared" si="0"/>
        <v/>
      </c>
    </row>
    <row r="117" spans="1:4" ht="15.75" customHeight="1">
      <c r="A117" s="136" t="s">
        <v>867</v>
      </c>
      <c r="B117" s="137" t="s">
        <v>424</v>
      </c>
      <c r="C117" s="100" t="s">
        <v>427</v>
      </c>
      <c r="D117" s="9" t="str">
        <f t="shared" si="0"/>
        <v/>
      </c>
    </row>
    <row r="118" spans="1:4" ht="15.75" customHeight="1">
      <c r="A118" s="136" t="s">
        <v>719</v>
      </c>
      <c r="B118" s="137" t="s">
        <v>442</v>
      </c>
      <c r="C118" s="100" t="s">
        <v>449</v>
      </c>
      <c r="D118" s="9" t="str">
        <f t="shared" si="0"/>
        <v/>
      </c>
    </row>
    <row r="119" spans="1:4" ht="15.75" customHeight="1">
      <c r="A119" s="136" t="s">
        <v>696</v>
      </c>
      <c r="B119" s="137" t="s">
        <v>442</v>
      </c>
      <c r="C119" s="100" t="s">
        <v>449</v>
      </c>
      <c r="D119" s="9" t="str">
        <f t="shared" si="0"/>
        <v/>
      </c>
    </row>
    <row r="120" spans="1:4" ht="15.75" customHeight="1">
      <c r="A120" s="136" t="s">
        <v>698</v>
      </c>
      <c r="B120" s="137" t="s">
        <v>442</v>
      </c>
      <c r="C120" s="100" t="s">
        <v>444</v>
      </c>
      <c r="D120" s="9" t="str">
        <f t="shared" si="0"/>
        <v/>
      </c>
    </row>
    <row r="121" spans="1:4" ht="15.75" customHeight="1">
      <c r="A121" s="136" t="s">
        <v>692</v>
      </c>
      <c r="B121" s="137" t="s">
        <v>424</v>
      </c>
      <c r="C121" s="100" t="s">
        <v>427</v>
      </c>
      <c r="D121" s="9" t="str">
        <f t="shared" si="0"/>
        <v/>
      </c>
    </row>
    <row r="122" spans="1:4" ht="15.75" customHeight="1">
      <c r="A122" s="136" t="s">
        <v>702</v>
      </c>
      <c r="B122" s="137" t="s">
        <v>424</v>
      </c>
      <c r="C122" s="100" t="s">
        <v>427</v>
      </c>
      <c r="D122" s="9" t="str">
        <f t="shared" si="0"/>
        <v/>
      </c>
    </row>
    <row r="123" spans="1:4" ht="15.75" customHeight="1">
      <c r="A123" s="136" t="s">
        <v>700</v>
      </c>
      <c r="B123" s="137" t="s">
        <v>424</v>
      </c>
      <c r="C123" s="100" t="s">
        <v>427</v>
      </c>
      <c r="D123" s="9" t="str">
        <f t="shared" si="0"/>
        <v/>
      </c>
    </row>
    <row r="124" spans="1:4" ht="15.75" customHeight="1">
      <c r="A124" s="136" t="s">
        <v>694</v>
      </c>
      <c r="B124" s="137" t="s">
        <v>442</v>
      </c>
      <c r="C124" s="100" t="s">
        <v>449</v>
      </c>
      <c r="D124" s="9" t="str">
        <f t="shared" si="0"/>
        <v/>
      </c>
    </row>
    <row r="125" spans="1:4" ht="15.75" customHeight="1">
      <c r="A125" s="136" t="s">
        <v>537</v>
      </c>
      <c r="B125" s="137" t="s">
        <v>424</v>
      </c>
      <c r="C125" s="100" t="s">
        <v>427</v>
      </c>
      <c r="D125" s="9" t="str">
        <f t="shared" si="0"/>
        <v/>
      </c>
    </row>
    <row r="126" spans="1:4" ht="15.75" customHeight="1">
      <c r="A126" s="136" t="s">
        <v>711</v>
      </c>
      <c r="B126" s="137" t="s">
        <v>424</v>
      </c>
      <c r="C126" s="100" t="s">
        <v>427</v>
      </c>
      <c r="D126" s="9" t="str">
        <f t="shared" si="0"/>
        <v/>
      </c>
    </row>
    <row r="127" spans="1:4" ht="15.75" customHeight="1">
      <c r="A127" s="136" t="s">
        <v>917</v>
      </c>
      <c r="B127" s="137" t="s">
        <v>424</v>
      </c>
      <c r="C127" s="100" t="s">
        <v>427</v>
      </c>
      <c r="D127" s="9" t="str">
        <f t="shared" si="0"/>
        <v/>
      </c>
    </row>
    <row r="128" spans="1:4" ht="15.75" customHeight="1">
      <c r="A128" s="136" t="s">
        <v>652</v>
      </c>
      <c r="B128" s="137" t="s">
        <v>442</v>
      </c>
      <c r="C128" s="100" t="s">
        <v>449</v>
      </c>
      <c r="D128" s="9" t="str">
        <f t="shared" si="0"/>
        <v/>
      </c>
    </row>
    <row r="129" spans="1:5" ht="15.75" customHeight="1">
      <c r="A129" s="136" t="s">
        <v>538</v>
      </c>
      <c r="B129" s="137" t="s">
        <v>442</v>
      </c>
      <c r="C129" s="100" t="s">
        <v>444</v>
      </c>
      <c r="D129" s="9" t="str">
        <f t="shared" si="0"/>
        <v/>
      </c>
    </row>
    <row r="130" spans="1:5" ht="15.75" customHeight="1">
      <c r="A130" s="136" t="s">
        <v>836</v>
      </c>
      <c r="B130" s="137" t="s">
        <v>442</v>
      </c>
      <c r="C130" s="100" t="s">
        <v>444</v>
      </c>
      <c r="D130" s="9" t="str">
        <f t="shared" si="0"/>
        <v/>
      </c>
    </row>
    <row r="131" spans="1:5" ht="15.75" customHeight="1">
      <c r="A131" s="136" t="s">
        <v>656</v>
      </c>
      <c r="B131" s="137" t="s">
        <v>424</v>
      </c>
      <c r="C131" s="100" t="s">
        <v>427</v>
      </c>
      <c r="D131" s="9" t="str">
        <f t="shared" si="0"/>
        <v/>
      </c>
    </row>
    <row r="132" spans="1:5" ht="15.75" customHeight="1">
      <c r="A132" s="136" t="s">
        <v>605</v>
      </c>
      <c r="B132" s="137" t="s">
        <v>424</v>
      </c>
      <c r="C132" s="100" t="s">
        <v>427</v>
      </c>
      <c r="D132" s="9" t="str">
        <f t="shared" si="0"/>
        <v/>
      </c>
    </row>
    <row r="133" spans="1:5" ht="15.75" customHeight="1">
      <c r="A133" s="137" t="s">
        <v>654</v>
      </c>
      <c r="B133" s="137" t="s">
        <v>424</v>
      </c>
      <c r="C133" s="100" t="s">
        <v>430</v>
      </c>
      <c r="D133" s="9" t="str">
        <f t="shared" si="0"/>
        <v/>
      </c>
    </row>
    <row r="134" spans="1:5" ht="15.75" customHeight="1">
      <c r="A134" s="136" t="s">
        <v>654</v>
      </c>
      <c r="B134" s="137" t="s">
        <v>424</v>
      </c>
      <c r="C134" s="100" t="s">
        <v>427</v>
      </c>
      <c r="D134" s="9" t="str">
        <f t="shared" si="0"/>
        <v>check</v>
      </c>
      <c r="E134" s="9" t="s">
        <v>8818</v>
      </c>
    </row>
    <row r="135" spans="1:5" ht="15.75" customHeight="1">
      <c r="A135" s="136" t="s">
        <v>681</v>
      </c>
      <c r="B135" s="137" t="s">
        <v>442</v>
      </c>
      <c r="C135" s="100" t="s">
        <v>449</v>
      </c>
      <c r="D135" s="9" t="str">
        <f t="shared" si="0"/>
        <v/>
      </c>
    </row>
    <row r="136" spans="1:5" ht="15.75" customHeight="1">
      <c r="A136" s="136" t="s">
        <v>874</v>
      </c>
      <c r="B136" s="137" t="s">
        <v>442</v>
      </c>
      <c r="C136" s="100" t="s">
        <v>449</v>
      </c>
      <c r="D136" s="9" t="str">
        <f t="shared" si="0"/>
        <v/>
      </c>
    </row>
    <row r="137" spans="1:5" ht="15.75" customHeight="1">
      <c r="A137" s="136" t="s">
        <v>875</v>
      </c>
      <c r="B137" s="137" t="s">
        <v>442</v>
      </c>
      <c r="C137" s="100" t="s">
        <v>449</v>
      </c>
      <c r="D137" s="9" t="str">
        <f t="shared" si="0"/>
        <v/>
      </c>
    </row>
    <row r="138" spans="1:5" ht="15.75" customHeight="1">
      <c r="A138" s="136" t="s">
        <v>680</v>
      </c>
      <c r="B138" s="137" t="s">
        <v>442</v>
      </c>
      <c r="C138" s="100" t="s">
        <v>444</v>
      </c>
      <c r="D138" s="9" t="str">
        <f t="shared" si="0"/>
        <v/>
      </c>
    </row>
    <row r="139" spans="1:5" ht="15.75" customHeight="1">
      <c r="A139" s="136" t="s">
        <v>574</v>
      </c>
      <c r="B139" s="137" t="s">
        <v>442</v>
      </c>
      <c r="C139" s="100" t="s">
        <v>444</v>
      </c>
      <c r="D139" s="9" t="str">
        <f t="shared" si="0"/>
        <v/>
      </c>
    </row>
    <row r="140" spans="1:5" ht="15.75" customHeight="1">
      <c r="A140" s="136" t="s">
        <v>575</v>
      </c>
      <c r="B140" s="137" t="s">
        <v>424</v>
      </c>
      <c r="C140" s="100" t="s">
        <v>427</v>
      </c>
      <c r="D140" s="9" t="str">
        <f t="shared" si="0"/>
        <v/>
      </c>
    </row>
    <row r="141" spans="1:5" ht="15.75" customHeight="1">
      <c r="A141" s="136" t="s">
        <v>683</v>
      </c>
      <c r="B141" s="137" t="s">
        <v>424</v>
      </c>
      <c r="C141" s="100" t="s">
        <v>427</v>
      </c>
      <c r="D141" s="9" t="str">
        <f t="shared" si="0"/>
        <v/>
      </c>
    </row>
    <row r="142" spans="1:5" ht="15.75" customHeight="1">
      <c r="A142" s="137" t="s">
        <v>596</v>
      </c>
      <c r="B142" s="137" t="s">
        <v>442</v>
      </c>
      <c r="C142" s="100" t="s">
        <v>449</v>
      </c>
      <c r="D142" s="9" t="str">
        <f t="shared" si="0"/>
        <v/>
      </c>
    </row>
    <row r="143" spans="1:5" ht="15.75" customHeight="1">
      <c r="A143" s="136" t="s">
        <v>596</v>
      </c>
      <c r="B143" s="137" t="s">
        <v>424</v>
      </c>
      <c r="C143" s="100" t="s">
        <v>427</v>
      </c>
      <c r="D143" s="9" t="str">
        <f t="shared" si="0"/>
        <v/>
      </c>
      <c r="E143" s="9" t="s">
        <v>8820</v>
      </c>
    </row>
    <row r="144" spans="1:5" ht="15.75" customHeight="1">
      <c r="A144" s="137" t="s">
        <v>593</v>
      </c>
      <c r="B144" s="137" t="s">
        <v>442</v>
      </c>
      <c r="C144" s="100" t="s">
        <v>449</v>
      </c>
      <c r="D144" s="9" t="str">
        <f t="shared" si="0"/>
        <v/>
      </c>
    </row>
    <row r="145" spans="1:5" ht="15.75" customHeight="1">
      <c r="A145" s="136" t="s">
        <v>593</v>
      </c>
      <c r="B145" s="137" t="s">
        <v>424</v>
      </c>
      <c r="C145" s="100" t="s">
        <v>427</v>
      </c>
      <c r="D145" s="9" t="str">
        <f t="shared" si="0"/>
        <v/>
      </c>
      <c r="E145" s="9" t="s">
        <v>8820</v>
      </c>
    </row>
    <row r="146" spans="1:5" ht="15.75" customHeight="1">
      <c r="A146" s="136" t="s">
        <v>752</v>
      </c>
      <c r="B146" s="137" t="s">
        <v>442</v>
      </c>
      <c r="C146" s="100" t="s">
        <v>444</v>
      </c>
      <c r="D146" s="9" t="str">
        <f t="shared" si="0"/>
        <v/>
      </c>
    </row>
    <row r="147" spans="1:5" ht="15.75" customHeight="1">
      <c r="A147" s="136" t="s">
        <v>810</v>
      </c>
      <c r="B147" s="137" t="s">
        <v>442</v>
      </c>
      <c r="C147" s="100" t="s">
        <v>444</v>
      </c>
      <c r="D147" s="9" t="str">
        <f t="shared" si="0"/>
        <v/>
      </c>
    </row>
    <row r="148" spans="1:5" ht="15.75" customHeight="1">
      <c r="A148" s="136" t="s">
        <v>808</v>
      </c>
      <c r="B148" s="137" t="s">
        <v>442</v>
      </c>
      <c r="C148" s="100" t="s">
        <v>444</v>
      </c>
      <c r="D148" s="9" t="str">
        <f t="shared" si="0"/>
        <v/>
      </c>
    </row>
    <row r="149" spans="1:5" ht="15.75" customHeight="1">
      <c r="A149" s="137" t="s">
        <v>760</v>
      </c>
      <c r="B149" s="137" t="s">
        <v>442</v>
      </c>
      <c r="C149" s="100" t="s">
        <v>449</v>
      </c>
      <c r="D149" s="9" t="str">
        <f t="shared" si="0"/>
        <v/>
      </c>
    </row>
    <row r="150" spans="1:5" ht="15.75" customHeight="1">
      <c r="A150" s="136" t="s">
        <v>760</v>
      </c>
      <c r="B150" s="137" t="s">
        <v>442</v>
      </c>
      <c r="C150" s="100" t="s">
        <v>444</v>
      </c>
      <c r="D150" s="9" t="str">
        <f t="shared" si="0"/>
        <v>check</v>
      </c>
      <c r="E150" s="9" t="s">
        <v>8819</v>
      </c>
    </row>
    <row r="151" spans="1:5" ht="15.75" customHeight="1">
      <c r="A151" s="137" t="s">
        <v>671</v>
      </c>
      <c r="B151" s="137" t="s">
        <v>442</v>
      </c>
      <c r="C151" s="100" t="s">
        <v>449</v>
      </c>
      <c r="D151" s="9" t="str">
        <f t="shared" si="0"/>
        <v/>
      </c>
    </row>
    <row r="152" spans="1:5" ht="15.75" customHeight="1">
      <c r="A152" s="136" t="s">
        <v>671</v>
      </c>
      <c r="B152" s="137" t="s">
        <v>442</v>
      </c>
      <c r="C152" s="100" t="s">
        <v>444</v>
      </c>
      <c r="D152" s="9" t="str">
        <f t="shared" si="0"/>
        <v>check</v>
      </c>
      <c r="E152" s="9" t="s">
        <v>8819</v>
      </c>
    </row>
    <row r="153" spans="1:5" ht="15.75" customHeight="1">
      <c r="A153" s="136" t="s">
        <v>471</v>
      </c>
      <c r="B153" s="137" t="s">
        <v>442</v>
      </c>
      <c r="C153" s="100" t="s">
        <v>444</v>
      </c>
      <c r="D153" s="9" t="str">
        <f t="shared" si="0"/>
        <v/>
      </c>
    </row>
    <row r="154" spans="1:5" ht="15.75" customHeight="1">
      <c r="A154" s="136" t="s">
        <v>470</v>
      </c>
      <c r="B154" s="137" t="s">
        <v>442</v>
      </c>
      <c r="C154" s="100" t="s">
        <v>449</v>
      </c>
      <c r="D154" s="9" t="str">
        <f t="shared" si="0"/>
        <v/>
      </c>
    </row>
    <row r="155" spans="1:5" ht="15.75" customHeight="1">
      <c r="A155" s="137" t="s">
        <v>591</v>
      </c>
      <c r="B155" s="137" t="s">
        <v>424</v>
      </c>
      <c r="C155" s="100" t="s">
        <v>430</v>
      </c>
      <c r="D155" s="9" t="str">
        <f t="shared" si="0"/>
        <v/>
      </c>
    </row>
    <row r="156" spans="1:5" ht="15.75" customHeight="1">
      <c r="A156" s="136" t="s">
        <v>591</v>
      </c>
      <c r="B156" s="137" t="s">
        <v>424</v>
      </c>
      <c r="C156" s="100" t="s">
        <v>427</v>
      </c>
      <c r="D156" s="9" t="str">
        <f t="shared" si="0"/>
        <v>check</v>
      </c>
      <c r="E156" s="9" t="s">
        <v>8818</v>
      </c>
    </row>
    <row r="157" spans="1:5" ht="15.75" customHeight="1">
      <c r="A157" s="136" t="s">
        <v>751</v>
      </c>
      <c r="B157" s="137" t="s">
        <v>442</v>
      </c>
      <c r="C157" s="100" t="s">
        <v>449</v>
      </c>
      <c r="D157" s="9" t="str">
        <f t="shared" si="0"/>
        <v/>
      </c>
    </row>
    <row r="158" spans="1:5" ht="15.75" customHeight="1">
      <c r="A158" s="137" t="s">
        <v>730</v>
      </c>
      <c r="B158" s="137" t="s">
        <v>442</v>
      </c>
      <c r="C158" s="100" t="s">
        <v>449</v>
      </c>
      <c r="D158" s="9" t="str">
        <f t="shared" si="0"/>
        <v/>
      </c>
    </row>
    <row r="159" spans="1:5" ht="15.75" customHeight="1">
      <c r="A159" s="136" t="s">
        <v>730</v>
      </c>
      <c r="B159" s="137" t="s">
        <v>442</v>
      </c>
      <c r="C159" s="100" t="s">
        <v>444</v>
      </c>
      <c r="D159" s="9" t="str">
        <f t="shared" si="0"/>
        <v>check</v>
      </c>
      <c r="E159" s="9" t="s">
        <v>8818</v>
      </c>
    </row>
    <row r="160" spans="1:5" ht="15.75" customHeight="1">
      <c r="A160" s="137" t="s">
        <v>488</v>
      </c>
      <c r="B160" s="137" t="s">
        <v>442</v>
      </c>
      <c r="C160" s="100" t="s">
        <v>449</v>
      </c>
      <c r="D160" s="9" t="str">
        <f t="shared" si="0"/>
        <v/>
      </c>
    </row>
    <row r="161" spans="1:5" ht="15.75" customHeight="1">
      <c r="A161" s="136" t="s">
        <v>488</v>
      </c>
      <c r="B161" s="137" t="s">
        <v>442</v>
      </c>
      <c r="C161" s="100" t="s">
        <v>444</v>
      </c>
      <c r="D161" s="9" t="str">
        <f t="shared" si="0"/>
        <v>check</v>
      </c>
      <c r="E161" s="9" t="s">
        <v>8819</v>
      </c>
    </row>
    <row r="162" spans="1:5" ht="15.75" customHeight="1">
      <c r="A162" s="137" t="s">
        <v>485</v>
      </c>
      <c r="B162" s="137" t="s">
        <v>442</v>
      </c>
      <c r="C162" s="100" t="s">
        <v>449</v>
      </c>
      <c r="D162" s="9" t="str">
        <f t="shared" si="0"/>
        <v/>
      </c>
    </row>
    <row r="163" spans="1:5" ht="15.75" customHeight="1">
      <c r="A163" s="136" t="s">
        <v>485</v>
      </c>
      <c r="B163" s="137" t="s">
        <v>442</v>
      </c>
      <c r="C163" s="100" t="s">
        <v>444</v>
      </c>
      <c r="D163" s="9" t="str">
        <f t="shared" si="0"/>
        <v>check</v>
      </c>
      <c r="E163" s="9" t="s">
        <v>8819</v>
      </c>
    </row>
    <row r="164" spans="1:5" ht="15.75" customHeight="1">
      <c r="A164" s="137" t="s">
        <v>824</v>
      </c>
      <c r="B164" s="137" t="s">
        <v>424</v>
      </c>
      <c r="C164" s="100" t="s">
        <v>430</v>
      </c>
      <c r="D164" s="9" t="str">
        <f t="shared" si="0"/>
        <v/>
      </c>
    </row>
    <row r="165" spans="1:5" ht="15.75" customHeight="1">
      <c r="A165" s="136" t="s">
        <v>824</v>
      </c>
      <c r="B165" s="137" t="s">
        <v>424</v>
      </c>
      <c r="C165" s="100" t="s">
        <v>427</v>
      </c>
      <c r="D165" s="9" t="str">
        <f t="shared" si="0"/>
        <v>check</v>
      </c>
      <c r="E165" s="9" t="s">
        <v>8819</v>
      </c>
    </row>
    <row r="166" spans="1:5" ht="15.75" customHeight="1">
      <c r="A166" s="137" t="s">
        <v>825</v>
      </c>
      <c r="B166" s="137" t="s">
        <v>424</v>
      </c>
      <c r="C166" s="100" t="s">
        <v>430</v>
      </c>
      <c r="D166" s="9" t="str">
        <f t="shared" si="0"/>
        <v/>
      </c>
    </row>
    <row r="167" spans="1:5" ht="15.75" customHeight="1">
      <c r="A167" s="136" t="s">
        <v>825</v>
      </c>
      <c r="B167" s="137" t="s">
        <v>424</v>
      </c>
      <c r="C167" s="100" t="s">
        <v>427</v>
      </c>
      <c r="D167" s="9" t="str">
        <f t="shared" si="0"/>
        <v>check</v>
      </c>
      <c r="E167" s="9" t="s">
        <v>8819</v>
      </c>
    </row>
    <row r="168" spans="1:5" ht="15.75" customHeight="1">
      <c r="A168" s="136" t="s">
        <v>749</v>
      </c>
      <c r="B168" s="137" t="s">
        <v>424</v>
      </c>
      <c r="C168" s="100" t="s">
        <v>427</v>
      </c>
      <c r="D168" s="9" t="str">
        <f t="shared" si="0"/>
        <v/>
      </c>
    </row>
    <row r="169" spans="1:5" ht="15.75" customHeight="1">
      <c r="A169" s="136" t="s">
        <v>818</v>
      </c>
      <c r="B169" s="137" t="s">
        <v>424</v>
      </c>
      <c r="C169" s="100" t="s">
        <v>427</v>
      </c>
      <c r="D169" s="9" t="str">
        <f t="shared" si="0"/>
        <v/>
      </c>
    </row>
    <row r="170" spans="1:5" ht="15.75" customHeight="1">
      <c r="A170" s="136" t="s">
        <v>821</v>
      </c>
      <c r="B170" s="137" t="s">
        <v>442</v>
      </c>
      <c r="C170" s="100" t="s">
        <v>444</v>
      </c>
      <c r="D170" s="9" t="str">
        <f t="shared" si="0"/>
        <v/>
      </c>
    </row>
    <row r="171" spans="1:5" ht="15.75" customHeight="1">
      <c r="A171" s="136" t="s">
        <v>819</v>
      </c>
      <c r="B171" s="137" t="s">
        <v>442</v>
      </c>
      <c r="C171" s="100" t="s">
        <v>449</v>
      </c>
      <c r="D171" s="9" t="str">
        <f t="shared" si="0"/>
        <v/>
      </c>
    </row>
    <row r="172" spans="1:5" ht="15.75" customHeight="1">
      <c r="A172" s="137" t="s">
        <v>597</v>
      </c>
      <c r="B172" s="137" t="s">
        <v>442</v>
      </c>
      <c r="C172" s="100" t="s">
        <v>449</v>
      </c>
      <c r="D172" s="9" t="str">
        <f t="shared" si="0"/>
        <v/>
      </c>
    </row>
    <row r="173" spans="1:5" ht="15.75" customHeight="1">
      <c r="A173" s="136" t="s">
        <v>597</v>
      </c>
      <c r="B173" s="137" t="s">
        <v>424</v>
      </c>
      <c r="C173" s="100" t="s">
        <v>427</v>
      </c>
      <c r="D173" s="9" t="str">
        <f t="shared" si="0"/>
        <v/>
      </c>
      <c r="E173" s="9" t="s">
        <v>8818</v>
      </c>
    </row>
    <row r="174" spans="1:5" ht="15.75" customHeight="1">
      <c r="A174" s="137" t="s">
        <v>594</v>
      </c>
      <c r="B174" s="137" t="s">
        <v>442</v>
      </c>
      <c r="C174" s="100" t="s">
        <v>449</v>
      </c>
      <c r="D174" s="9" t="str">
        <f t="shared" si="0"/>
        <v/>
      </c>
    </row>
    <row r="175" spans="1:5" ht="15.75" customHeight="1">
      <c r="A175" s="136" t="s">
        <v>594</v>
      </c>
      <c r="B175" s="137" t="s">
        <v>424</v>
      </c>
      <c r="C175" s="100" t="s">
        <v>427</v>
      </c>
      <c r="D175" s="9" t="str">
        <f t="shared" si="0"/>
        <v/>
      </c>
      <c r="E175" s="9" t="s">
        <v>8818</v>
      </c>
    </row>
    <row r="176" spans="1:5" ht="15.75" customHeight="1">
      <c r="A176" s="136" t="s">
        <v>512</v>
      </c>
      <c r="B176" s="137" t="s">
        <v>424</v>
      </c>
      <c r="C176" s="100" t="s">
        <v>430</v>
      </c>
      <c r="D176" s="9" t="str">
        <f t="shared" si="0"/>
        <v/>
      </c>
    </row>
    <row r="177" spans="1:5" ht="15.75" customHeight="1">
      <c r="A177" s="136" t="s">
        <v>983</v>
      </c>
      <c r="B177" s="137" t="s">
        <v>424</v>
      </c>
      <c r="C177" s="100" t="s">
        <v>427</v>
      </c>
      <c r="D177" s="9" t="str">
        <f t="shared" si="0"/>
        <v/>
      </c>
    </row>
    <row r="178" spans="1:5" ht="15.75" customHeight="1">
      <c r="A178" s="136" t="s">
        <v>755</v>
      </c>
      <c r="B178" s="137" t="s">
        <v>442</v>
      </c>
      <c r="C178" s="100" t="s">
        <v>449</v>
      </c>
      <c r="D178" s="9" t="str">
        <f t="shared" si="0"/>
        <v/>
      </c>
    </row>
    <row r="179" spans="1:5" ht="15.75" customHeight="1">
      <c r="A179" s="136" t="s">
        <v>756</v>
      </c>
      <c r="B179" s="137" t="s">
        <v>442</v>
      </c>
      <c r="C179" s="100" t="s">
        <v>449</v>
      </c>
      <c r="D179" s="9" t="str">
        <f t="shared" si="0"/>
        <v/>
      </c>
    </row>
    <row r="180" spans="1:5" ht="15.75" customHeight="1">
      <c r="A180" s="136" t="s">
        <v>759</v>
      </c>
      <c r="B180" s="137" t="s">
        <v>442</v>
      </c>
      <c r="C180" s="100" t="s">
        <v>444</v>
      </c>
      <c r="D180" s="9" t="str">
        <f t="shared" si="0"/>
        <v/>
      </c>
    </row>
    <row r="181" spans="1:5" ht="15.75" customHeight="1">
      <c r="A181" s="136" t="s">
        <v>757</v>
      </c>
      <c r="B181" s="137" t="s">
        <v>424</v>
      </c>
      <c r="C181" s="100" t="s">
        <v>427</v>
      </c>
      <c r="D181" s="9" t="str">
        <f t="shared" si="0"/>
        <v/>
      </c>
    </row>
    <row r="182" spans="1:5" ht="15.75" customHeight="1">
      <c r="A182" s="136" t="s">
        <v>758</v>
      </c>
      <c r="B182" s="137" t="s">
        <v>442</v>
      </c>
      <c r="C182" s="100" t="s">
        <v>449</v>
      </c>
      <c r="D182" s="9" t="str">
        <f t="shared" si="0"/>
        <v/>
      </c>
    </row>
    <row r="183" spans="1:5" ht="15.75" customHeight="1">
      <c r="A183" s="136" t="s">
        <v>754</v>
      </c>
      <c r="B183" s="137" t="s">
        <v>442</v>
      </c>
      <c r="C183" s="100" t="s">
        <v>449</v>
      </c>
      <c r="D183" s="9" t="str">
        <f t="shared" si="0"/>
        <v/>
      </c>
    </row>
    <row r="184" spans="1:5" ht="15.75" customHeight="1">
      <c r="A184" s="137" t="s">
        <v>707</v>
      </c>
      <c r="B184" s="137" t="s">
        <v>499</v>
      </c>
      <c r="C184" s="100" t="s">
        <v>444</v>
      </c>
      <c r="D184" s="9" t="str">
        <f t="shared" si="0"/>
        <v/>
      </c>
    </row>
    <row r="185" spans="1:5" ht="15.75" customHeight="1">
      <c r="A185" s="136" t="s">
        <v>707</v>
      </c>
      <c r="B185" s="137" t="s">
        <v>708</v>
      </c>
      <c r="C185" s="100" t="s">
        <v>444</v>
      </c>
      <c r="D185" s="9" t="str">
        <f t="shared" si="0"/>
        <v/>
      </c>
      <c r="E185" s="9" t="s">
        <v>8820</v>
      </c>
    </row>
    <row r="186" spans="1:5" ht="15.75" customHeight="1">
      <c r="A186" s="136" t="s">
        <v>500</v>
      </c>
      <c r="B186" s="137" t="s">
        <v>442</v>
      </c>
      <c r="C186" s="100" t="s">
        <v>444</v>
      </c>
      <c r="D186" s="9" t="str">
        <f t="shared" si="0"/>
        <v/>
      </c>
    </row>
    <row r="187" spans="1:5" ht="15.75" customHeight="1">
      <c r="A187" s="136" t="s">
        <v>668</v>
      </c>
      <c r="B187" s="137" t="s">
        <v>442</v>
      </c>
      <c r="C187" s="100" t="s">
        <v>444</v>
      </c>
      <c r="D187" s="9" t="str">
        <f t="shared" si="0"/>
        <v/>
      </c>
    </row>
    <row r="188" spans="1:5" ht="15.75" customHeight="1">
      <c r="A188" s="136" t="s">
        <v>777</v>
      </c>
      <c r="B188" s="137" t="s">
        <v>424</v>
      </c>
      <c r="C188" s="100" t="s">
        <v>427</v>
      </c>
      <c r="D188" s="9" t="str">
        <f t="shared" si="0"/>
        <v/>
      </c>
    </row>
    <row r="189" spans="1:5" ht="15.75" customHeight="1">
      <c r="A189" s="136" t="s">
        <v>569</v>
      </c>
      <c r="B189" s="137" t="s">
        <v>442</v>
      </c>
      <c r="C189" s="100" t="s">
        <v>444</v>
      </c>
      <c r="D189" s="9" t="str">
        <f t="shared" si="0"/>
        <v/>
      </c>
    </row>
    <row r="190" spans="1:5" ht="15.75" customHeight="1">
      <c r="A190" s="137" t="s">
        <v>870</v>
      </c>
      <c r="B190" s="137" t="s">
        <v>499</v>
      </c>
      <c r="C190" s="100" t="s">
        <v>444</v>
      </c>
      <c r="D190" s="9" t="str">
        <f t="shared" si="0"/>
        <v/>
      </c>
    </row>
    <row r="191" spans="1:5" ht="15.75" customHeight="1">
      <c r="A191" s="136" t="s">
        <v>870</v>
      </c>
      <c r="B191" s="137" t="s">
        <v>708</v>
      </c>
      <c r="C191" s="100" t="s">
        <v>444</v>
      </c>
      <c r="D191" s="9" t="str">
        <f t="shared" si="0"/>
        <v/>
      </c>
      <c r="E191" s="9" t="s">
        <v>8818</v>
      </c>
    </row>
    <row r="192" spans="1:5" ht="15.75" customHeight="1">
      <c r="A192" s="136" t="s">
        <v>815</v>
      </c>
      <c r="B192" s="137" t="s">
        <v>442</v>
      </c>
      <c r="C192" s="100" t="s">
        <v>444</v>
      </c>
      <c r="D192" s="9" t="str">
        <f t="shared" si="0"/>
        <v/>
      </c>
    </row>
    <row r="193" spans="1:5" ht="15.75" customHeight="1">
      <c r="A193" s="136" t="s">
        <v>783</v>
      </c>
      <c r="B193" s="137" t="s">
        <v>499</v>
      </c>
      <c r="C193" s="100" t="s">
        <v>444</v>
      </c>
      <c r="D193" s="9" t="str">
        <f t="shared" si="0"/>
        <v/>
      </c>
    </row>
    <row r="194" spans="1:5" ht="15.75" customHeight="1">
      <c r="A194" s="136" t="s">
        <v>660</v>
      </c>
      <c r="B194" s="137" t="s">
        <v>442</v>
      </c>
      <c r="C194" s="100" t="s">
        <v>449</v>
      </c>
      <c r="D194" s="9" t="str">
        <f t="shared" si="0"/>
        <v/>
      </c>
    </row>
    <row r="195" spans="1:5" ht="15.75" customHeight="1">
      <c r="A195" s="136" t="s">
        <v>813</v>
      </c>
      <c r="B195" s="137" t="s">
        <v>442</v>
      </c>
      <c r="C195" s="100" t="s">
        <v>449</v>
      </c>
      <c r="D195" s="9" t="str">
        <f t="shared" si="0"/>
        <v/>
      </c>
    </row>
    <row r="196" spans="1:5" ht="15.75" customHeight="1">
      <c r="A196" s="136" t="s">
        <v>535</v>
      </c>
      <c r="B196" s="137" t="s">
        <v>442</v>
      </c>
      <c r="C196" s="100" t="s">
        <v>444</v>
      </c>
      <c r="D196" s="9" t="str">
        <f t="shared" si="0"/>
        <v/>
      </c>
    </row>
    <row r="197" spans="1:5" ht="15.75" customHeight="1">
      <c r="A197" s="136" t="s">
        <v>858</v>
      </c>
      <c r="B197" s="137" t="s">
        <v>424</v>
      </c>
      <c r="C197" s="100" t="s">
        <v>444</v>
      </c>
      <c r="D197" s="9" t="str">
        <f t="shared" si="0"/>
        <v/>
      </c>
    </row>
    <row r="198" spans="1:5" ht="15.75" customHeight="1">
      <c r="A198" s="136" t="s">
        <v>522</v>
      </c>
      <c r="B198" s="137" t="s">
        <v>499</v>
      </c>
      <c r="C198" s="100" t="s">
        <v>444</v>
      </c>
      <c r="D198" s="9" t="str">
        <f t="shared" si="0"/>
        <v/>
      </c>
    </row>
    <row r="199" spans="1:5" ht="15.75" customHeight="1">
      <c r="A199" s="136" t="s">
        <v>545</v>
      </c>
      <c r="B199" s="137" t="s">
        <v>424</v>
      </c>
      <c r="C199" s="100" t="s">
        <v>427</v>
      </c>
      <c r="D199" s="9" t="str">
        <f t="shared" si="0"/>
        <v/>
      </c>
    </row>
    <row r="200" spans="1:5" ht="15.75" customHeight="1">
      <c r="A200" s="136" t="s">
        <v>474</v>
      </c>
      <c r="B200" s="137" t="s">
        <v>424</v>
      </c>
      <c r="C200" s="100" t="s">
        <v>427</v>
      </c>
      <c r="D200" s="9" t="str">
        <f t="shared" si="0"/>
        <v/>
      </c>
    </row>
    <row r="201" spans="1:5" ht="15.75" customHeight="1">
      <c r="A201" s="136" t="s">
        <v>860</v>
      </c>
      <c r="B201" s="137" t="s">
        <v>442</v>
      </c>
      <c r="C201" s="100" t="s">
        <v>449</v>
      </c>
      <c r="D201" s="9" t="str">
        <f t="shared" si="0"/>
        <v/>
      </c>
    </row>
    <row r="202" spans="1:5" ht="15.75" customHeight="1">
      <c r="A202" s="136" t="s">
        <v>862</v>
      </c>
      <c r="B202" s="137" t="s">
        <v>424</v>
      </c>
      <c r="C202" s="100" t="s">
        <v>427</v>
      </c>
      <c r="D202" s="9" t="str">
        <f t="shared" si="0"/>
        <v/>
      </c>
    </row>
    <row r="203" spans="1:5" ht="15.75" customHeight="1">
      <c r="A203" s="136" t="s">
        <v>529</v>
      </c>
      <c r="B203" s="137" t="s">
        <v>442</v>
      </c>
      <c r="C203" s="100" t="s">
        <v>449</v>
      </c>
      <c r="D203" s="9" t="str">
        <f t="shared" si="0"/>
        <v/>
      </c>
    </row>
    <row r="204" spans="1:5" ht="15.75" customHeight="1">
      <c r="A204" s="136" t="s">
        <v>527</v>
      </c>
      <c r="B204" s="137" t="s">
        <v>442</v>
      </c>
      <c r="C204" s="100" t="s">
        <v>444</v>
      </c>
      <c r="D204" s="9" t="str">
        <f t="shared" si="0"/>
        <v/>
      </c>
    </row>
    <row r="205" spans="1:5" ht="15.75" customHeight="1">
      <c r="A205" s="137" t="s">
        <v>534</v>
      </c>
      <c r="B205" s="137" t="s">
        <v>424</v>
      </c>
      <c r="C205" s="100" t="s">
        <v>430</v>
      </c>
      <c r="D205" s="9" t="str">
        <f t="shared" si="0"/>
        <v/>
      </c>
    </row>
    <row r="206" spans="1:5" ht="15.75" customHeight="1">
      <c r="A206" s="136" t="s">
        <v>534</v>
      </c>
      <c r="B206" s="137" t="s">
        <v>424</v>
      </c>
      <c r="C206" s="100" t="s">
        <v>427</v>
      </c>
      <c r="D206" s="9" t="str">
        <f t="shared" si="0"/>
        <v>check</v>
      </c>
      <c r="E206" s="9" t="s">
        <v>8819</v>
      </c>
    </row>
    <row r="207" spans="1:5" ht="15.75" customHeight="1">
      <c r="A207" s="136" t="s">
        <v>531</v>
      </c>
      <c r="B207" s="137" t="s">
        <v>442</v>
      </c>
      <c r="C207" s="100" t="s">
        <v>449</v>
      </c>
      <c r="D207" s="9" t="str">
        <f t="shared" si="0"/>
        <v/>
      </c>
    </row>
    <row r="208" spans="1:5" ht="15.75" customHeight="1">
      <c r="A208" s="136" t="s">
        <v>528</v>
      </c>
      <c r="B208" s="137" t="s">
        <v>424</v>
      </c>
      <c r="C208" s="100" t="s">
        <v>444</v>
      </c>
      <c r="D208" s="9" t="str">
        <f t="shared" si="0"/>
        <v/>
      </c>
    </row>
    <row r="209" spans="1:4" ht="15.75" customHeight="1">
      <c r="A209" s="136" t="s">
        <v>926</v>
      </c>
      <c r="B209" s="137" t="s">
        <v>424</v>
      </c>
      <c r="C209" s="100" t="s">
        <v>427</v>
      </c>
      <c r="D209" s="9" t="str">
        <f t="shared" si="0"/>
        <v/>
      </c>
    </row>
    <row r="210" spans="1:4" ht="15.75" customHeight="1">
      <c r="A210" s="136" t="s">
        <v>646</v>
      </c>
      <c r="B210" s="137" t="s">
        <v>442</v>
      </c>
      <c r="C210" s="100" t="s">
        <v>444</v>
      </c>
      <c r="D210" s="9" t="str">
        <f t="shared" si="0"/>
        <v/>
      </c>
    </row>
    <row r="211" spans="1:4" ht="15.75" customHeight="1">
      <c r="A211" s="136" t="s">
        <v>947</v>
      </c>
      <c r="B211" s="137" t="s">
        <v>442</v>
      </c>
      <c r="C211" s="100" t="s">
        <v>444</v>
      </c>
      <c r="D211" s="9" t="str">
        <f t="shared" si="0"/>
        <v/>
      </c>
    </row>
    <row r="212" spans="1:4" ht="15.75" customHeight="1">
      <c r="A212" s="136" t="s">
        <v>619</v>
      </c>
      <c r="B212" s="137" t="s">
        <v>442</v>
      </c>
      <c r="C212" s="100" t="s">
        <v>444</v>
      </c>
      <c r="D212" s="9" t="str">
        <f t="shared" si="0"/>
        <v/>
      </c>
    </row>
    <row r="213" spans="1:4" ht="15.75" customHeight="1">
      <c r="A213" s="136" t="s">
        <v>491</v>
      </c>
      <c r="B213" s="137" t="s">
        <v>442</v>
      </c>
      <c r="C213" s="100" t="s">
        <v>444</v>
      </c>
      <c r="D213" s="9" t="str">
        <f t="shared" si="0"/>
        <v/>
      </c>
    </row>
    <row r="214" spans="1:4" ht="15.75" customHeight="1">
      <c r="A214" s="136" t="s">
        <v>493</v>
      </c>
      <c r="B214" s="137" t="s">
        <v>442</v>
      </c>
      <c r="C214" s="100" t="s">
        <v>444</v>
      </c>
      <c r="D214" s="9" t="str">
        <f t="shared" si="0"/>
        <v/>
      </c>
    </row>
    <row r="215" spans="1:4" ht="15.75" customHeight="1">
      <c r="A215" s="136" t="s">
        <v>502</v>
      </c>
      <c r="B215" s="137" t="s">
        <v>442</v>
      </c>
      <c r="C215" s="100" t="s">
        <v>444</v>
      </c>
      <c r="D215" s="9" t="str">
        <f t="shared" si="0"/>
        <v/>
      </c>
    </row>
    <row r="216" spans="1:4" ht="15.75" customHeight="1">
      <c r="A216" s="136" t="s">
        <v>948</v>
      </c>
      <c r="B216" s="137" t="s">
        <v>424</v>
      </c>
      <c r="C216" s="100" t="s">
        <v>427</v>
      </c>
      <c r="D216" s="9" t="str">
        <f t="shared" si="0"/>
        <v/>
      </c>
    </row>
    <row r="217" spans="1:4" ht="15.75" customHeight="1">
      <c r="A217" s="136" t="s">
        <v>617</v>
      </c>
      <c r="B217" s="137" t="s">
        <v>442</v>
      </c>
      <c r="C217" s="100" t="s">
        <v>444</v>
      </c>
      <c r="D217" s="9" t="str">
        <f t="shared" si="0"/>
        <v/>
      </c>
    </row>
    <row r="218" spans="1:4" ht="15.75" customHeight="1">
      <c r="A218" s="136" t="s">
        <v>515</v>
      </c>
      <c r="B218" s="137" t="s">
        <v>442</v>
      </c>
      <c r="C218" s="100" t="s">
        <v>444</v>
      </c>
      <c r="D218" s="9" t="str">
        <f t="shared" si="0"/>
        <v/>
      </c>
    </row>
    <row r="219" spans="1:4" ht="15.75" customHeight="1">
      <c r="A219" s="136" t="s">
        <v>932</v>
      </c>
      <c r="B219" s="137" t="s">
        <v>442</v>
      </c>
      <c r="C219" s="100" t="s">
        <v>444</v>
      </c>
      <c r="D219" s="9" t="str">
        <f t="shared" si="0"/>
        <v/>
      </c>
    </row>
    <row r="220" spans="1:4" ht="15.75" customHeight="1">
      <c r="A220" s="136" t="s">
        <v>624</v>
      </c>
      <c r="B220" s="137" t="s">
        <v>442</v>
      </c>
      <c r="C220" s="100" t="s">
        <v>444</v>
      </c>
      <c r="D220" s="9" t="str">
        <f t="shared" si="0"/>
        <v/>
      </c>
    </row>
    <row r="221" spans="1:4" ht="15.75" customHeight="1">
      <c r="A221" s="136" t="s">
        <v>960</v>
      </c>
      <c r="B221" s="137" t="s">
        <v>442</v>
      </c>
      <c r="C221" s="100" t="s">
        <v>449</v>
      </c>
      <c r="D221" s="9" t="str">
        <f t="shared" si="0"/>
        <v/>
      </c>
    </row>
    <row r="222" spans="1:4" ht="15.75" customHeight="1">
      <c r="A222" s="136" t="s">
        <v>607</v>
      </c>
      <c r="B222" s="137" t="s">
        <v>442</v>
      </c>
      <c r="C222" s="100" t="s">
        <v>449</v>
      </c>
      <c r="D222" s="9" t="str">
        <f t="shared" si="0"/>
        <v/>
      </c>
    </row>
    <row r="223" spans="1:4" ht="15.75" customHeight="1">
      <c r="A223" s="136" t="s">
        <v>609</v>
      </c>
      <c r="B223" s="137" t="s">
        <v>442</v>
      </c>
      <c r="C223" s="100" t="s">
        <v>444</v>
      </c>
      <c r="D223" s="9" t="str">
        <f t="shared" si="0"/>
        <v/>
      </c>
    </row>
    <row r="224" spans="1:4" ht="15.75" customHeight="1">
      <c r="A224" s="136" t="s">
        <v>614</v>
      </c>
      <c r="B224" s="137" t="s">
        <v>442</v>
      </c>
      <c r="C224" s="100" t="s">
        <v>444</v>
      </c>
      <c r="D224" s="9" t="str">
        <f t="shared" si="0"/>
        <v/>
      </c>
    </row>
    <row r="225" spans="1:5" ht="15.75" customHeight="1">
      <c r="A225" s="136" t="s">
        <v>615</v>
      </c>
      <c r="B225" s="137" t="s">
        <v>442</v>
      </c>
      <c r="C225" s="100" t="s">
        <v>444</v>
      </c>
      <c r="D225" s="9" t="str">
        <f t="shared" si="0"/>
        <v/>
      </c>
    </row>
    <row r="226" spans="1:5" ht="15.75" customHeight="1">
      <c r="A226" s="136" t="s">
        <v>610</v>
      </c>
      <c r="B226" s="137" t="s">
        <v>442</v>
      </c>
      <c r="C226" s="100" t="s">
        <v>444</v>
      </c>
      <c r="D226" s="9" t="str">
        <f t="shared" si="0"/>
        <v/>
      </c>
    </row>
    <row r="227" spans="1:5" ht="15.75" customHeight="1">
      <c r="A227" s="136" t="s">
        <v>612</v>
      </c>
      <c r="B227" s="137" t="s">
        <v>424</v>
      </c>
      <c r="C227" s="100" t="s">
        <v>427</v>
      </c>
      <c r="D227" s="9" t="str">
        <f t="shared" si="0"/>
        <v/>
      </c>
    </row>
    <row r="228" spans="1:5" ht="15.75" customHeight="1">
      <c r="A228" s="136" t="s">
        <v>726</v>
      </c>
      <c r="B228" s="137" t="s">
        <v>442</v>
      </c>
      <c r="C228" s="100" t="s">
        <v>449</v>
      </c>
      <c r="D228" s="9" t="str">
        <f t="shared" si="0"/>
        <v/>
      </c>
    </row>
    <row r="229" spans="1:5" ht="15.75" customHeight="1">
      <c r="A229" s="137" t="s">
        <v>728</v>
      </c>
      <c r="B229" s="137" t="s">
        <v>442</v>
      </c>
      <c r="C229" s="100" t="s">
        <v>444</v>
      </c>
      <c r="D229" s="9" t="str">
        <f t="shared" si="0"/>
        <v/>
      </c>
    </row>
    <row r="230" spans="1:5" ht="15.75" customHeight="1">
      <c r="A230" s="136" t="s">
        <v>728</v>
      </c>
      <c r="B230" s="137" t="s">
        <v>499</v>
      </c>
      <c r="C230" s="100" t="s">
        <v>444</v>
      </c>
      <c r="D230" s="9" t="str">
        <f t="shared" si="0"/>
        <v/>
      </c>
      <c r="E230" s="9" t="s">
        <v>8818</v>
      </c>
    </row>
    <row r="231" spans="1:5" ht="15.75" customHeight="1">
      <c r="A231" s="136" t="s">
        <v>732</v>
      </c>
      <c r="B231" s="137" t="s">
        <v>424</v>
      </c>
      <c r="C231" s="100" t="s">
        <v>430</v>
      </c>
      <c r="D231" s="9" t="str">
        <f t="shared" si="0"/>
        <v/>
      </c>
    </row>
    <row r="232" spans="1:5" ht="15.75" customHeight="1">
      <c r="A232" s="136" t="s">
        <v>736</v>
      </c>
      <c r="B232" s="137" t="s">
        <v>442</v>
      </c>
      <c r="C232" s="100" t="s">
        <v>444</v>
      </c>
      <c r="D232" s="9" t="str">
        <f t="shared" si="0"/>
        <v/>
      </c>
    </row>
    <row r="233" spans="1:5" ht="15.75" customHeight="1">
      <c r="A233" s="136" t="s">
        <v>738</v>
      </c>
      <c r="B233" s="137" t="s">
        <v>442</v>
      </c>
      <c r="C233" s="100" t="s">
        <v>449</v>
      </c>
      <c r="D233" s="9" t="str">
        <f t="shared" si="0"/>
        <v/>
      </c>
    </row>
    <row r="234" spans="1:5" ht="15.75" customHeight="1">
      <c r="A234" s="136" t="s">
        <v>945</v>
      </c>
      <c r="B234" s="137" t="s">
        <v>424</v>
      </c>
      <c r="C234" s="100" t="s">
        <v>427</v>
      </c>
      <c r="D234" s="9" t="str">
        <f t="shared" si="0"/>
        <v/>
      </c>
    </row>
    <row r="235" spans="1:5" ht="15.75" customHeight="1">
      <c r="A235" s="136" t="s">
        <v>913</v>
      </c>
      <c r="B235" s="137" t="s">
        <v>442</v>
      </c>
      <c r="C235" s="100" t="s">
        <v>444</v>
      </c>
      <c r="D235" s="9" t="str">
        <f t="shared" si="0"/>
        <v/>
      </c>
    </row>
    <row r="236" spans="1:5" ht="15.75" customHeight="1">
      <c r="A236" s="136" t="s">
        <v>915</v>
      </c>
      <c r="B236" s="137" t="s">
        <v>442</v>
      </c>
      <c r="C236" s="100" t="s">
        <v>444</v>
      </c>
      <c r="D236" s="9" t="str">
        <f t="shared" si="0"/>
        <v/>
      </c>
    </row>
    <row r="237" spans="1:5" ht="15.75" customHeight="1">
      <c r="A237" s="136" t="s">
        <v>832</v>
      </c>
      <c r="B237" s="137" t="s">
        <v>442</v>
      </c>
      <c r="C237" s="100" t="s">
        <v>444</v>
      </c>
      <c r="D237" s="9" t="str">
        <f t="shared" si="0"/>
        <v/>
      </c>
    </row>
    <row r="238" spans="1:5" ht="15.75" customHeight="1">
      <c r="A238" s="136" t="s">
        <v>958</v>
      </c>
      <c r="B238" s="137" t="s">
        <v>424</v>
      </c>
      <c r="C238" s="100" t="s">
        <v>430</v>
      </c>
      <c r="D238" s="9" t="str">
        <f t="shared" si="0"/>
        <v/>
      </c>
    </row>
    <row r="239" spans="1:5" ht="15.75" customHeight="1">
      <c r="A239" s="137" t="s">
        <v>956</v>
      </c>
      <c r="B239" s="137" t="s">
        <v>424</v>
      </c>
      <c r="C239" s="100" t="s">
        <v>430</v>
      </c>
      <c r="D239" s="9" t="str">
        <f t="shared" si="0"/>
        <v/>
      </c>
    </row>
    <row r="240" spans="1:5" ht="15.75" customHeight="1">
      <c r="A240" s="136" t="s">
        <v>956</v>
      </c>
      <c r="B240" s="137" t="s">
        <v>424</v>
      </c>
      <c r="C240" s="100" t="s">
        <v>427</v>
      </c>
      <c r="D240" s="9" t="str">
        <f t="shared" si="0"/>
        <v>check</v>
      </c>
      <c r="E240" s="9" t="s">
        <v>8818</v>
      </c>
    </row>
    <row r="241" spans="1:5" ht="15.75" customHeight="1">
      <c r="A241" s="136" t="s">
        <v>600</v>
      </c>
      <c r="B241" s="137" t="s">
        <v>442</v>
      </c>
      <c r="C241" s="100" t="s">
        <v>444</v>
      </c>
      <c r="D241" s="9" t="str">
        <f t="shared" si="0"/>
        <v/>
      </c>
    </row>
    <row r="242" spans="1:5" ht="15.75" customHeight="1">
      <c r="A242" s="136" t="s">
        <v>602</v>
      </c>
      <c r="B242" s="137" t="s">
        <v>424</v>
      </c>
      <c r="C242" s="100" t="s">
        <v>427</v>
      </c>
      <c r="D242" s="9" t="str">
        <f t="shared" si="0"/>
        <v/>
      </c>
    </row>
    <row r="243" spans="1:5" ht="15.75" customHeight="1">
      <c r="A243" s="137" t="s">
        <v>804</v>
      </c>
      <c r="B243" s="137" t="s">
        <v>499</v>
      </c>
      <c r="C243" s="100" t="s">
        <v>444</v>
      </c>
      <c r="D243" s="9" t="str">
        <f t="shared" si="0"/>
        <v/>
      </c>
    </row>
    <row r="244" spans="1:5" ht="15.75" customHeight="1">
      <c r="A244" s="136" t="s">
        <v>804</v>
      </c>
      <c r="B244" s="137" t="s">
        <v>708</v>
      </c>
      <c r="C244" s="100" t="s">
        <v>444</v>
      </c>
      <c r="D244" s="9" t="str">
        <f t="shared" si="0"/>
        <v/>
      </c>
      <c r="E244" s="9" t="s">
        <v>8818</v>
      </c>
    </row>
    <row r="245" spans="1:5" ht="15.75" customHeight="1">
      <c r="A245" s="136" t="s">
        <v>690</v>
      </c>
      <c r="B245" s="137" t="s">
        <v>424</v>
      </c>
      <c r="C245" s="100" t="s">
        <v>427</v>
      </c>
      <c r="D245" s="9" t="str">
        <f t="shared" si="0"/>
        <v/>
      </c>
    </row>
    <row r="246" spans="1:5" ht="15.75" customHeight="1">
      <c r="A246" s="136" t="s">
        <v>806</v>
      </c>
      <c r="B246" s="137" t="s">
        <v>442</v>
      </c>
      <c r="C246" s="100" t="s">
        <v>444</v>
      </c>
      <c r="D246" s="9" t="str">
        <f t="shared" si="0"/>
        <v/>
      </c>
    </row>
    <row r="247" spans="1:5" ht="15.75" customHeight="1">
      <c r="A247" s="136" t="s">
        <v>800</v>
      </c>
      <c r="B247" s="137" t="s">
        <v>442</v>
      </c>
      <c r="C247" s="100" t="s">
        <v>444</v>
      </c>
      <c r="D247" s="9" t="str">
        <f t="shared" si="0"/>
        <v/>
      </c>
    </row>
    <row r="248" spans="1:5" ht="15.75" customHeight="1">
      <c r="A248" s="136" t="s">
        <v>744</v>
      </c>
      <c r="B248" s="137" t="s">
        <v>442</v>
      </c>
      <c r="C248" s="100" t="s">
        <v>444</v>
      </c>
      <c r="D248" s="9" t="str">
        <f t="shared" si="0"/>
        <v/>
      </c>
    </row>
    <row r="249" spans="1:5" ht="15.75" customHeight="1">
      <c r="A249" s="136" t="s">
        <v>742</v>
      </c>
      <c r="B249" s="137" t="s">
        <v>442</v>
      </c>
      <c r="C249" s="100" t="s">
        <v>444</v>
      </c>
      <c r="D249" s="9" t="str">
        <f t="shared" si="0"/>
        <v/>
      </c>
    </row>
    <row r="250" spans="1:5" ht="15.75" customHeight="1">
      <c r="A250" s="136" t="s">
        <v>740</v>
      </c>
      <c r="B250" s="137" t="s">
        <v>424</v>
      </c>
      <c r="C250" s="100" t="s">
        <v>427</v>
      </c>
      <c r="D250" s="9" t="str">
        <f t="shared" si="0"/>
        <v/>
      </c>
    </row>
    <row r="251" spans="1:5" ht="15.75" customHeight="1">
      <c r="A251" s="136" t="s">
        <v>802</v>
      </c>
      <c r="B251" s="137" t="s">
        <v>442</v>
      </c>
      <c r="C251" s="100" t="s">
        <v>444</v>
      </c>
      <c r="D251" s="9" t="str">
        <f t="shared" si="0"/>
        <v/>
      </c>
    </row>
    <row r="252" spans="1:5" ht="15.75" customHeight="1">
      <c r="A252" s="136" t="s">
        <v>746</v>
      </c>
      <c r="B252" s="137" t="s">
        <v>442</v>
      </c>
      <c r="C252" s="100" t="s">
        <v>444</v>
      </c>
      <c r="D252" s="9" t="str">
        <f t="shared" si="0"/>
        <v/>
      </c>
    </row>
    <row r="253" spans="1:5" ht="15.75" customHeight="1">
      <c r="A253" s="136" t="s">
        <v>622</v>
      </c>
      <c r="B253" s="137" t="s">
        <v>442</v>
      </c>
      <c r="C253" s="100" t="s">
        <v>449</v>
      </c>
      <c r="D253" s="9" t="str">
        <f t="shared" si="0"/>
        <v/>
      </c>
    </row>
    <row r="254" spans="1:5" ht="15.75" customHeight="1">
      <c r="A254" s="136" t="s">
        <v>524</v>
      </c>
      <c r="B254" s="137" t="s">
        <v>424</v>
      </c>
      <c r="C254" s="100" t="s">
        <v>427</v>
      </c>
      <c r="D254" s="9" t="str">
        <f t="shared" si="0"/>
        <v/>
      </c>
    </row>
    <row r="255" spans="1:5" ht="15.75" customHeight="1">
      <c r="A255" s="136" t="s">
        <v>709</v>
      </c>
      <c r="B255" s="137" t="s">
        <v>424</v>
      </c>
      <c r="C255" s="100" t="s">
        <v>444</v>
      </c>
      <c r="D255" s="9" t="str">
        <f t="shared" si="0"/>
        <v/>
      </c>
    </row>
    <row r="256" spans="1:5" ht="15.75" customHeight="1">
      <c r="A256" s="136" t="s">
        <v>834</v>
      </c>
      <c r="B256" s="137" t="s">
        <v>442</v>
      </c>
      <c r="C256" s="100" t="s">
        <v>449</v>
      </c>
      <c r="D256" s="9" t="str">
        <f t="shared" si="0"/>
        <v/>
      </c>
    </row>
    <row r="257" spans="1:5" ht="15.75" customHeight="1">
      <c r="A257" s="136" t="s">
        <v>816</v>
      </c>
      <c r="B257" s="137" t="s">
        <v>442</v>
      </c>
      <c r="C257" s="100" t="s">
        <v>449</v>
      </c>
      <c r="D257" s="9" t="str">
        <f t="shared" ref="D257:D350" si="1">IF(AND(A257=A256,B257=B256),"check","")</f>
        <v/>
      </c>
    </row>
    <row r="258" spans="1:5" ht="15.75" customHeight="1">
      <c r="A258" s="136" t="s">
        <v>981</v>
      </c>
      <c r="B258" s="137" t="s">
        <v>442</v>
      </c>
      <c r="C258" s="100" t="s">
        <v>444</v>
      </c>
      <c r="D258" s="9" t="str">
        <f t="shared" si="1"/>
        <v/>
      </c>
    </row>
    <row r="259" spans="1:5" ht="15.75" customHeight="1">
      <c r="A259" s="136" t="s">
        <v>979</v>
      </c>
      <c r="B259" s="137" t="s">
        <v>424</v>
      </c>
      <c r="C259" s="100" t="s">
        <v>427</v>
      </c>
      <c r="D259" s="9" t="str">
        <f t="shared" si="1"/>
        <v/>
      </c>
    </row>
    <row r="260" spans="1:5" ht="15.75" customHeight="1">
      <c r="A260" s="136" t="s">
        <v>717</v>
      </c>
      <c r="B260" s="137" t="s">
        <v>442</v>
      </c>
      <c r="C260" s="100" t="s">
        <v>444</v>
      </c>
      <c r="D260" s="9" t="str">
        <f t="shared" si="1"/>
        <v/>
      </c>
    </row>
    <row r="261" spans="1:5" ht="15.75" customHeight="1">
      <c r="A261" s="136" t="s">
        <v>794</v>
      </c>
      <c r="B261" s="137" t="s">
        <v>442</v>
      </c>
      <c r="C261" s="100" t="s">
        <v>444</v>
      </c>
      <c r="D261" s="9" t="str">
        <f t="shared" si="1"/>
        <v/>
      </c>
    </row>
    <row r="262" spans="1:5" ht="15.75" customHeight="1">
      <c r="A262" s="136" t="s">
        <v>792</v>
      </c>
      <c r="B262" s="137" t="s">
        <v>424</v>
      </c>
      <c r="C262" s="100" t="s">
        <v>444</v>
      </c>
      <c r="D262" s="9" t="str">
        <f t="shared" si="1"/>
        <v/>
      </c>
    </row>
    <row r="263" spans="1:5" ht="15.75" customHeight="1">
      <c r="A263" s="137" t="s">
        <v>940</v>
      </c>
      <c r="B263" s="137" t="s">
        <v>424</v>
      </c>
      <c r="C263" s="100" t="s">
        <v>430</v>
      </c>
      <c r="D263" s="9" t="str">
        <f t="shared" si="1"/>
        <v/>
      </c>
    </row>
    <row r="264" spans="1:5" ht="15.75" customHeight="1">
      <c r="A264" s="136" t="s">
        <v>940</v>
      </c>
      <c r="B264" s="137" t="s">
        <v>424</v>
      </c>
      <c r="C264" s="100" t="s">
        <v>427</v>
      </c>
      <c r="D264" s="9" t="str">
        <f t="shared" si="1"/>
        <v>check</v>
      </c>
      <c r="E264" s="9" t="s">
        <v>8818</v>
      </c>
    </row>
    <row r="265" spans="1:5" ht="15.75" customHeight="1">
      <c r="A265" s="136" t="s">
        <v>943</v>
      </c>
      <c r="B265" s="137" t="s">
        <v>424</v>
      </c>
      <c r="C265" s="100" t="s">
        <v>444</v>
      </c>
      <c r="D265" s="9" t="str">
        <f t="shared" si="1"/>
        <v/>
      </c>
    </row>
    <row r="266" spans="1:5" ht="15.75" customHeight="1">
      <c r="A266" s="137" t="s">
        <v>770</v>
      </c>
      <c r="B266" s="137" t="s">
        <v>442</v>
      </c>
      <c r="C266" s="100" t="s">
        <v>449</v>
      </c>
      <c r="D266" s="9" t="str">
        <f t="shared" si="1"/>
        <v/>
      </c>
    </row>
    <row r="267" spans="1:5" ht="15.75" customHeight="1">
      <c r="A267" s="136" t="s">
        <v>770</v>
      </c>
      <c r="B267" s="137" t="s">
        <v>499</v>
      </c>
      <c r="C267" s="100" t="s">
        <v>444</v>
      </c>
      <c r="D267" s="9" t="str">
        <f t="shared" si="1"/>
        <v/>
      </c>
      <c r="E267" s="9" t="s">
        <v>8818</v>
      </c>
    </row>
    <row r="268" spans="1:5" ht="15.75" customHeight="1">
      <c r="A268" s="136" t="s">
        <v>985</v>
      </c>
      <c r="B268" s="137" t="s">
        <v>442</v>
      </c>
      <c r="C268" s="100" t="s">
        <v>444</v>
      </c>
      <c r="D268" s="9" t="str">
        <f t="shared" si="1"/>
        <v/>
      </c>
    </row>
    <row r="269" spans="1:5" ht="15.75" customHeight="1">
      <c r="A269" s="136" t="s">
        <v>876</v>
      </c>
      <c r="B269" s="137" t="s">
        <v>424</v>
      </c>
      <c r="C269" s="100" t="s">
        <v>444</v>
      </c>
      <c r="D269" s="9" t="str">
        <f t="shared" si="1"/>
        <v/>
      </c>
    </row>
    <row r="270" spans="1:5" ht="15.75" customHeight="1">
      <c r="A270" s="136" t="s">
        <v>868</v>
      </c>
      <c r="B270" s="137" t="s">
        <v>424</v>
      </c>
      <c r="C270" s="100" t="s">
        <v>427</v>
      </c>
      <c r="D270" s="9" t="str">
        <f t="shared" si="1"/>
        <v/>
      </c>
    </row>
    <row r="271" spans="1:5" ht="15.75" customHeight="1">
      <c r="A271" s="136" t="s">
        <v>856</v>
      </c>
      <c r="B271" s="137" t="s">
        <v>442</v>
      </c>
      <c r="C271" s="100" t="s">
        <v>444</v>
      </c>
      <c r="D271" s="9" t="str">
        <f t="shared" si="1"/>
        <v/>
      </c>
    </row>
    <row r="272" spans="1:5" ht="15.75" customHeight="1">
      <c r="A272" s="136" t="s">
        <v>852</v>
      </c>
      <c r="B272" s="137" t="s">
        <v>424</v>
      </c>
      <c r="C272" s="100" t="s">
        <v>427</v>
      </c>
      <c r="D272" s="9" t="str">
        <f t="shared" si="1"/>
        <v/>
      </c>
    </row>
    <row r="273" spans="1:5" ht="15.75" customHeight="1">
      <c r="A273" s="136" t="s">
        <v>854</v>
      </c>
      <c r="B273" s="137" t="s">
        <v>424</v>
      </c>
      <c r="C273" s="100" t="s">
        <v>444</v>
      </c>
      <c r="D273" s="9" t="str">
        <f t="shared" si="1"/>
        <v/>
      </c>
    </row>
    <row r="274" spans="1:5" ht="15.75" customHeight="1">
      <c r="A274" s="136" t="s">
        <v>938</v>
      </c>
      <c r="B274" s="137" t="s">
        <v>442</v>
      </c>
      <c r="C274" s="100" t="s">
        <v>444</v>
      </c>
      <c r="D274" s="9" t="str">
        <f t="shared" si="1"/>
        <v/>
      </c>
    </row>
    <row r="275" spans="1:5" ht="15.75" customHeight="1">
      <c r="A275" s="136" t="s">
        <v>845</v>
      </c>
      <c r="B275" s="137" t="s">
        <v>442</v>
      </c>
      <c r="C275" s="100" t="s">
        <v>449</v>
      </c>
      <c r="D275" s="9" t="str">
        <f t="shared" si="1"/>
        <v/>
      </c>
    </row>
    <row r="276" spans="1:5" ht="15.75" customHeight="1">
      <c r="A276" s="137" t="s">
        <v>841</v>
      </c>
      <c r="B276" s="137" t="s">
        <v>442</v>
      </c>
      <c r="C276" s="100" t="s">
        <v>449</v>
      </c>
      <c r="D276" s="9" t="str">
        <f t="shared" si="1"/>
        <v/>
      </c>
    </row>
    <row r="277" spans="1:5" ht="15.75" customHeight="1">
      <c r="A277" s="136" t="s">
        <v>841</v>
      </c>
      <c r="B277" s="137" t="s">
        <v>442</v>
      </c>
      <c r="C277" s="100" t="s">
        <v>444</v>
      </c>
      <c r="D277" s="9" t="str">
        <f t="shared" si="1"/>
        <v>check</v>
      </c>
      <c r="E277" s="9" t="s">
        <v>8819</v>
      </c>
    </row>
    <row r="278" spans="1:5" ht="15.75" customHeight="1">
      <c r="A278" s="137" t="s">
        <v>781</v>
      </c>
      <c r="B278" s="137" t="s">
        <v>442</v>
      </c>
      <c r="C278" s="100" t="s">
        <v>449</v>
      </c>
      <c r="D278" s="9" t="str">
        <f t="shared" si="1"/>
        <v/>
      </c>
    </row>
    <row r="279" spans="1:5" ht="15.75" customHeight="1">
      <c r="A279" s="136" t="s">
        <v>781</v>
      </c>
      <c r="B279" s="137" t="s">
        <v>442</v>
      </c>
      <c r="C279" s="100" t="s">
        <v>444</v>
      </c>
      <c r="D279" s="9" t="str">
        <f t="shared" si="1"/>
        <v>check</v>
      </c>
      <c r="E279" s="9" t="s">
        <v>8819</v>
      </c>
    </row>
    <row r="280" spans="1:5" ht="15.75" customHeight="1">
      <c r="A280" s="136" t="s">
        <v>843</v>
      </c>
      <c r="B280" s="137" t="s">
        <v>442</v>
      </c>
      <c r="C280" s="100" t="s">
        <v>444</v>
      </c>
      <c r="D280" s="9" t="str">
        <f t="shared" si="1"/>
        <v/>
      </c>
    </row>
    <row r="281" spans="1:5" ht="15.75" customHeight="1">
      <c r="A281" s="136" t="s">
        <v>842</v>
      </c>
      <c r="B281" s="137" t="s">
        <v>442</v>
      </c>
      <c r="C281" s="100" t="s">
        <v>444</v>
      </c>
      <c r="D281" s="9" t="str">
        <f t="shared" si="1"/>
        <v/>
      </c>
    </row>
    <row r="282" spans="1:5" ht="15.75" customHeight="1">
      <c r="A282" s="136" t="s">
        <v>844</v>
      </c>
      <c r="B282" s="137" t="s">
        <v>424</v>
      </c>
      <c r="C282" s="100" t="s">
        <v>427</v>
      </c>
      <c r="D282" s="9" t="str">
        <f t="shared" si="1"/>
        <v/>
      </c>
    </row>
    <row r="283" spans="1:5" ht="15.75" customHeight="1">
      <c r="A283" s="136" t="s">
        <v>846</v>
      </c>
      <c r="B283" s="137" t="s">
        <v>424</v>
      </c>
      <c r="C283" s="100" t="s">
        <v>427</v>
      </c>
      <c r="D283" s="9" t="str">
        <f t="shared" si="1"/>
        <v/>
      </c>
    </row>
    <row r="284" spans="1:5" ht="15.75" customHeight="1">
      <c r="A284" s="136" t="s">
        <v>848</v>
      </c>
      <c r="B284" s="137" t="s">
        <v>442</v>
      </c>
      <c r="C284" s="100" t="s">
        <v>444</v>
      </c>
      <c r="D284" s="9" t="str">
        <f t="shared" si="1"/>
        <v/>
      </c>
    </row>
    <row r="285" spans="1:5" ht="15.75" customHeight="1">
      <c r="A285" s="137" t="s">
        <v>468</v>
      </c>
      <c r="B285" s="137" t="s">
        <v>424</v>
      </c>
      <c r="C285" s="100" t="s">
        <v>430</v>
      </c>
      <c r="D285" s="9" t="str">
        <f t="shared" si="1"/>
        <v/>
      </c>
    </row>
    <row r="286" spans="1:5" ht="15.75" customHeight="1">
      <c r="A286" s="136" t="s">
        <v>468</v>
      </c>
      <c r="B286" s="137" t="s">
        <v>424</v>
      </c>
      <c r="C286" s="100" t="s">
        <v>427</v>
      </c>
      <c r="D286" s="9" t="str">
        <f t="shared" si="1"/>
        <v>check</v>
      </c>
      <c r="E286" s="9" t="s">
        <v>8818</v>
      </c>
    </row>
    <row r="287" spans="1:5" ht="15.75" customHeight="1">
      <c r="A287" s="136" t="s">
        <v>497</v>
      </c>
      <c r="B287" s="137" t="s">
        <v>499</v>
      </c>
      <c r="C287" s="100" t="s">
        <v>427</v>
      </c>
      <c r="D287" s="9" t="str">
        <f t="shared" si="1"/>
        <v/>
      </c>
    </row>
    <row r="288" spans="1:5" ht="15.75" customHeight="1">
      <c r="A288" s="136" t="s">
        <v>723</v>
      </c>
      <c r="B288" s="137" t="s">
        <v>442</v>
      </c>
      <c r="C288" s="100" t="s">
        <v>444</v>
      </c>
      <c r="D288" s="9" t="str">
        <f t="shared" si="1"/>
        <v/>
      </c>
    </row>
    <row r="289" spans="1:5" ht="15.75" customHeight="1">
      <c r="A289" s="136" t="s">
        <v>725</v>
      </c>
      <c r="B289" s="137" t="s">
        <v>442</v>
      </c>
      <c r="C289" s="100" t="s">
        <v>444</v>
      </c>
      <c r="D289" s="9" t="str">
        <f t="shared" si="1"/>
        <v/>
      </c>
    </row>
    <row r="290" spans="1:5" ht="15.75" customHeight="1">
      <c r="A290" s="136" t="s">
        <v>640</v>
      </c>
      <c r="B290" s="137" t="s">
        <v>442</v>
      </c>
      <c r="C290" s="100" t="s">
        <v>449</v>
      </c>
      <c r="D290" s="9" t="str">
        <f t="shared" si="1"/>
        <v/>
      </c>
    </row>
    <row r="291" spans="1:5" ht="15.75" customHeight="1">
      <c r="A291" s="136" t="s">
        <v>664</v>
      </c>
      <c r="B291" s="137" t="s">
        <v>442</v>
      </c>
      <c r="C291" s="100" t="s">
        <v>449</v>
      </c>
      <c r="D291" s="9" t="str">
        <f t="shared" si="1"/>
        <v/>
      </c>
    </row>
    <row r="292" spans="1:5" ht="15.75" customHeight="1">
      <c r="A292" s="136" t="s">
        <v>636</v>
      </c>
      <c r="B292" s="137" t="s">
        <v>442</v>
      </c>
      <c r="C292" s="100" t="s">
        <v>449</v>
      </c>
      <c r="D292" s="9" t="str">
        <f t="shared" si="1"/>
        <v/>
      </c>
    </row>
    <row r="293" spans="1:5" ht="15.75" customHeight="1">
      <c r="A293" s="136" t="s">
        <v>662</v>
      </c>
      <c r="B293" s="137" t="s">
        <v>442</v>
      </c>
      <c r="C293" s="100" t="s">
        <v>449</v>
      </c>
      <c r="D293" s="9" t="str">
        <f t="shared" si="1"/>
        <v/>
      </c>
    </row>
    <row r="294" spans="1:5" ht="15.75" customHeight="1">
      <c r="A294" s="136" t="s">
        <v>650</v>
      </c>
      <c r="B294" s="137" t="s">
        <v>442</v>
      </c>
      <c r="C294" s="100" t="s">
        <v>449</v>
      </c>
      <c r="D294" s="9" t="str">
        <f t="shared" si="1"/>
        <v/>
      </c>
    </row>
    <row r="295" spans="1:5" ht="15.75" customHeight="1">
      <c r="A295" s="136" t="s">
        <v>638</v>
      </c>
      <c r="B295" s="137" t="s">
        <v>442</v>
      </c>
      <c r="C295" s="100" t="s">
        <v>444</v>
      </c>
      <c r="D295" s="9" t="str">
        <f t="shared" si="1"/>
        <v/>
      </c>
    </row>
    <row r="296" spans="1:5" ht="15.75" customHeight="1">
      <c r="A296" s="136" t="s">
        <v>637</v>
      </c>
      <c r="B296" s="137" t="s">
        <v>442</v>
      </c>
      <c r="C296" s="100" t="s">
        <v>444</v>
      </c>
      <c r="D296" s="9" t="str">
        <f t="shared" si="1"/>
        <v/>
      </c>
    </row>
    <row r="297" spans="1:5" ht="15.75" customHeight="1">
      <c r="A297" s="136" t="s">
        <v>658</v>
      </c>
      <c r="B297" s="137" t="s">
        <v>442</v>
      </c>
      <c r="C297" s="100" t="s">
        <v>444</v>
      </c>
      <c r="D297" s="9" t="str">
        <f t="shared" si="1"/>
        <v/>
      </c>
    </row>
    <row r="298" spans="1:5" ht="15.75" customHeight="1">
      <c r="A298" s="136" t="s">
        <v>659</v>
      </c>
      <c r="B298" s="137" t="s">
        <v>442</v>
      </c>
      <c r="C298" s="100" t="s">
        <v>444</v>
      </c>
      <c r="D298" s="9" t="str">
        <f t="shared" si="1"/>
        <v/>
      </c>
    </row>
    <row r="299" spans="1:5" ht="15.75" customHeight="1">
      <c r="A299" s="136" t="s">
        <v>634</v>
      </c>
      <c r="B299" s="137" t="s">
        <v>442</v>
      </c>
      <c r="C299" s="100" t="s">
        <v>444</v>
      </c>
      <c r="D299" s="9" t="str">
        <f t="shared" si="1"/>
        <v/>
      </c>
    </row>
    <row r="300" spans="1:5" ht="15.75" customHeight="1">
      <c r="A300" s="137" t="s">
        <v>645</v>
      </c>
      <c r="B300" s="137" t="s">
        <v>424</v>
      </c>
      <c r="C300" s="100" t="s">
        <v>430</v>
      </c>
      <c r="D300" s="9" t="str">
        <f t="shared" si="1"/>
        <v/>
      </c>
    </row>
    <row r="301" spans="1:5" ht="15.75" customHeight="1">
      <c r="A301" s="136" t="s">
        <v>645</v>
      </c>
      <c r="B301" s="137" t="s">
        <v>424</v>
      </c>
      <c r="C301" s="100" t="s">
        <v>427</v>
      </c>
      <c r="D301" s="9" t="str">
        <f t="shared" si="1"/>
        <v>check</v>
      </c>
      <c r="E301" s="9" t="s">
        <v>8819</v>
      </c>
    </row>
    <row r="302" spans="1:5" ht="15.75" customHeight="1">
      <c r="A302" s="137" t="s">
        <v>642</v>
      </c>
      <c r="B302" s="137" t="s">
        <v>424</v>
      </c>
      <c r="C302" s="100" t="s">
        <v>430</v>
      </c>
      <c r="D302" s="9" t="str">
        <f t="shared" si="1"/>
        <v/>
      </c>
    </row>
    <row r="303" spans="1:5" ht="15.75" customHeight="1">
      <c r="A303" s="136" t="s">
        <v>642</v>
      </c>
      <c r="B303" s="137" t="s">
        <v>424</v>
      </c>
      <c r="C303" s="100" t="s">
        <v>427</v>
      </c>
      <c r="D303" s="9" t="str">
        <f t="shared" si="1"/>
        <v>check</v>
      </c>
      <c r="E303" s="9" t="s">
        <v>8819</v>
      </c>
    </row>
    <row r="304" spans="1:5" ht="15.75" customHeight="1">
      <c r="A304" s="137" t="s">
        <v>648</v>
      </c>
      <c r="B304" s="137" t="s">
        <v>424</v>
      </c>
      <c r="C304" s="100" t="s">
        <v>430</v>
      </c>
      <c r="D304" s="9" t="str">
        <f t="shared" si="1"/>
        <v/>
      </c>
    </row>
    <row r="305" spans="1:5" ht="15.75" customHeight="1">
      <c r="A305" s="136" t="s">
        <v>648</v>
      </c>
      <c r="B305" s="137" t="s">
        <v>424</v>
      </c>
      <c r="C305" s="100" t="s">
        <v>427</v>
      </c>
      <c r="D305" s="9" t="str">
        <f t="shared" si="1"/>
        <v>check</v>
      </c>
      <c r="E305" s="9" t="s">
        <v>8818</v>
      </c>
    </row>
    <row r="306" spans="1:5" ht="15.75" customHeight="1">
      <c r="A306" s="136" t="s">
        <v>630</v>
      </c>
      <c r="B306" s="137" t="s">
        <v>424</v>
      </c>
      <c r="C306" s="100" t="s">
        <v>427</v>
      </c>
      <c r="D306" s="9" t="str">
        <f t="shared" si="1"/>
        <v/>
      </c>
    </row>
    <row r="307" spans="1:5" ht="15.75" customHeight="1">
      <c r="A307" s="137" t="s">
        <v>632</v>
      </c>
      <c r="B307" s="137" t="s">
        <v>424</v>
      </c>
      <c r="C307" s="100" t="s">
        <v>430</v>
      </c>
      <c r="D307" s="9" t="str">
        <f t="shared" si="1"/>
        <v/>
      </c>
    </row>
    <row r="308" spans="1:5" ht="15.75" customHeight="1">
      <c r="A308" s="136" t="s">
        <v>632</v>
      </c>
      <c r="B308" s="137" t="s">
        <v>424</v>
      </c>
      <c r="C308" s="100" t="s">
        <v>427</v>
      </c>
      <c r="D308" s="9" t="str">
        <f t="shared" si="1"/>
        <v>check</v>
      </c>
      <c r="E308" s="88" t="s">
        <v>8818</v>
      </c>
    </row>
    <row r="309" spans="1:5" ht="15.75" customHeight="1">
      <c r="A309" s="136" t="s">
        <v>587</v>
      </c>
      <c r="B309" s="137" t="s">
        <v>424</v>
      </c>
      <c r="C309" s="100" t="s">
        <v>444</v>
      </c>
      <c r="D309" s="9" t="str">
        <f t="shared" si="1"/>
        <v/>
      </c>
    </row>
    <row r="310" spans="1:5" ht="15.75" customHeight="1">
      <c r="A310" s="136" t="s">
        <v>457</v>
      </c>
      <c r="B310" s="137" t="s">
        <v>442</v>
      </c>
      <c r="C310" s="100" t="s">
        <v>444</v>
      </c>
      <c r="D310" s="9" t="str">
        <f t="shared" si="1"/>
        <v/>
      </c>
    </row>
    <row r="311" spans="1:5" ht="15.75" customHeight="1">
      <c r="A311" s="137" t="s">
        <v>589</v>
      </c>
      <c r="B311" s="137" t="s">
        <v>424</v>
      </c>
      <c r="C311" s="100" t="s">
        <v>430</v>
      </c>
      <c r="D311" s="9" t="str">
        <f t="shared" si="1"/>
        <v/>
      </c>
    </row>
    <row r="312" spans="1:5" ht="15.75" customHeight="1">
      <c r="A312" s="136" t="s">
        <v>589</v>
      </c>
      <c r="B312" s="137" t="s">
        <v>424</v>
      </c>
      <c r="C312" s="100" t="s">
        <v>427</v>
      </c>
      <c r="D312" s="9" t="str">
        <f t="shared" si="1"/>
        <v>check</v>
      </c>
      <c r="E312" s="9" t="s">
        <v>8819</v>
      </c>
    </row>
    <row r="313" spans="1:5" ht="15.75" customHeight="1">
      <c r="A313" s="137" t="s">
        <v>568</v>
      </c>
      <c r="B313" s="137" t="s">
        <v>424</v>
      </c>
      <c r="C313" s="100" t="s">
        <v>427</v>
      </c>
      <c r="D313" s="9" t="str">
        <f t="shared" si="1"/>
        <v/>
      </c>
    </row>
    <row r="314" spans="1:5" ht="15.75" customHeight="1">
      <c r="A314" s="136" t="s">
        <v>568</v>
      </c>
      <c r="B314" s="137" t="s">
        <v>424</v>
      </c>
      <c r="C314" s="100" t="s">
        <v>444</v>
      </c>
      <c r="D314" s="9" t="str">
        <f t="shared" si="1"/>
        <v>check</v>
      </c>
      <c r="E314" s="9" t="s">
        <v>8819</v>
      </c>
    </row>
    <row r="315" spans="1:5" ht="15.75" customHeight="1">
      <c r="A315" s="137" t="s">
        <v>480</v>
      </c>
      <c r="B315" s="137" t="s">
        <v>442</v>
      </c>
      <c r="C315" s="100" t="s">
        <v>449</v>
      </c>
      <c r="D315" s="9" t="str">
        <f t="shared" si="1"/>
        <v/>
      </c>
    </row>
    <row r="316" spans="1:5" ht="15.75" customHeight="1">
      <c r="A316" s="136" t="s">
        <v>480</v>
      </c>
      <c r="B316" s="137" t="s">
        <v>442</v>
      </c>
      <c r="C316" s="100" t="s">
        <v>444</v>
      </c>
      <c r="D316" s="9" t="str">
        <f t="shared" si="1"/>
        <v>check</v>
      </c>
      <c r="E316" s="9" t="s">
        <v>8818</v>
      </c>
    </row>
    <row r="317" spans="1:5" ht="15.75" customHeight="1">
      <c r="A317" s="136" t="s">
        <v>476</v>
      </c>
      <c r="B317" s="137" t="s">
        <v>442</v>
      </c>
      <c r="C317" s="100" t="s">
        <v>444</v>
      </c>
      <c r="D317" s="9" t="str">
        <f t="shared" si="1"/>
        <v/>
      </c>
    </row>
    <row r="318" spans="1:5" ht="15.75" customHeight="1">
      <c r="A318" s="136" t="s">
        <v>441</v>
      </c>
      <c r="B318" s="137" t="s">
        <v>442</v>
      </c>
      <c r="C318" s="100" t="s">
        <v>444</v>
      </c>
      <c r="D318" s="9" t="str">
        <f t="shared" si="1"/>
        <v/>
      </c>
    </row>
    <row r="319" spans="1:5" ht="15.75" customHeight="1">
      <c r="A319" s="136" t="s">
        <v>445</v>
      </c>
      <c r="B319" s="137" t="s">
        <v>442</v>
      </c>
      <c r="C319" s="100" t="s">
        <v>444</v>
      </c>
      <c r="D319" s="9" t="str">
        <f t="shared" si="1"/>
        <v/>
      </c>
    </row>
    <row r="320" spans="1:5" ht="15.75" customHeight="1">
      <c r="A320" s="137" t="s">
        <v>428</v>
      </c>
      <c r="B320" s="137" t="s">
        <v>424</v>
      </c>
      <c r="C320" s="100" t="s">
        <v>430</v>
      </c>
      <c r="D320" s="9" t="str">
        <f t="shared" si="1"/>
        <v/>
      </c>
    </row>
    <row r="321" spans="1:5" ht="15.75" customHeight="1">
      <c r="A321" s="136" t="s">
        <v>428</v>
      </c>
      <c r="B321" s="137" t="s">
        <v>424</v>
      </c>
      <c r="C321" s="100" t="s">
        <v>427</v>
      </c>
      <c r="D321" s="9" t="str">
        <f t="shared" si="1"/>
        <v>check</v>
      </c>
      <c r="E321" s="9" t="s">
        <v>8819</v>
      </c>
    </row>
    <row r="322" spans="1:5" ht="15.75" customHeight="1">
      <c r="A322" s="137" t="s">
        <v>437</v>
      </c>
      <c r="B322" s="137" t="s">
        <v>424</v>
      </c>
      <c r="C322" s="100" t="s">
        <v>430</v>
      </c>
      <c r="D322" s="9" t="str">
        <f t="shared" si="1"/>
        <v/>
      </c>
    </row>
    <row r="323" spans="1:5" ht="15.75" customHeight="1">
      <c r="A323" s="136" t="s">
        <v>437</v>
      </c>
      <c r="B323" s="137" t="s">
        <v>424</v>
      </c>
      <c r="C323" s="100" t="s">
        <v>427</v>
      </c>
      <c r="D323" s="9" t="str">
        <f t="shared" si="1"/>
        <v>check</v>
      </c>
      <c r="E323" s="9" t="s">
        <v>8819</v>
      </c>
    </row>
    <row r="324" spans="1:5" ht="15.75" customHeight="1">
      <c r="A324" s="136" t="s">
        <v>450</v>
      </c>
      <c r="B324" s="137" t="s">
        <v>424</v>
      </c>
      <c r="C324" s="100" t="s">
        <v>430</v>
      </c>
      <c r="D324" s="9" t="str">
        <f t="shared" si="1"/>
        <v/>
      </c>
    </row>
    <row r="325" spans="1:5" ht="15.75" customHeight="1">
      <c r="A325" s="137" t="s">
        <v>452</v>
      </c>
      <c r="B325" s="137" t="s">
        <v>424</v>
      </c>
      <c r="C325" s="100" t="s">
        <v>430</v>
      </c>
      <c r="D325" s="9" t="str">
        <f t="shared" si="1"/>
        <v/>
      </c>
    </row>
    <row r="326" spans="1:5" ht="15.75" customHeight="1">
      <c r="A326" s="136" t="s">
        <v>452</v>
      </c>
      <c r="B326" s="137" t="s">
        <v>424</v>
      </c>
      <c r="C326" s="100" t="s">
        <v>427</v>
      </c>
      <c r="D326" s="9" t="str">
        <f t="shared" si="1"/>
        <v>check</v>
      </c>
      <c r="E326" s="9" t="s">
        <v>8818</v>
      </c>
    </row>
    <row r="327" spans="1:5" ht="15.75" customHeight="1">
      <c r="A327" s="136" t="s">
        <v>598</v>
      </c>
      <c r="B327" s="137" t="s">
        <v>499</v>
      </c>
      <c r="C327" s="100" t="s">
        <v>444</v>
      </c>
      <c r="D327" s="9" t="str">
        <f t="shared" si="1"/>
        <v/>
      </c>
    </row>
    <row r="328" spans="1:5" ht="15.75" customHeight="1">
      <c r="A328" s="136" t="s">
        <v>509</v>
      </c>
      <c r="B328" s="137" t="s">
        <v>424</v>
      </c>
      <c r="C328" s="100" t="s">
        <v>444</v>
      </c>
      <c r="D328" s="9" t="str">
        <f t="shared" si="1"/>
        <v/>
      </c>
    </row>
    <row r="329" spans="1:5" ht="15.75" customHeight="1">
      <c r="A329" s="136" t="s">
        <v>508</v>
      </c>
      <c r="B329" s="137" t="s">
        <v>424</v>
      </c>
      <c r="C329" s="100" t="s">
        <v>444</v>
      </c>
      <c r="D329" s="9" t="str">
        <f t="shared" si="1"/>
        <v/>
      </c>
    </row>
    <row r="330" spans="1:5" ht="15.75" customHeight="1">
      <c r="A330" s="136" t="s">
        <v>544</v>
      </c>
      <c r="B330" s="137" t="s">
        <v>424</v>
      </c>
      <c r="C330" s="100" t="s">
        <v>444</v>
      </c>
      <c r="D330" s="9" t="str">
        <f t="shared" si="1"/>
        <v/>
      </c>
    </row>
    <row r="331" spans="1:5" ht="15.75" customHeight="1">
      <c r="A331" s="136" t="s">
        <v>542</v>
      </c>
      <c r="B331" s="137" t="s">
        <v>424</v>
      </c>
      <c r="C331" s="100" t="s">
        <v>427</v>
      </c>
      <c r="D331" s="9" t="str">
        <f t="shared" si="1"/>
        <v/>
      </c>
    </row>
    <row r="332" spans="1:5" ht="15.75" customHeight="1">
      <c r="A332" s="136" t="s">
        <v>510</v>
      </c>
      <c r="B332" s="137" t="s">
        <v>424</v>
      </c>
      <c r="C332" s="100" t="s">
        <v>444</v>
      </c>
      <c r="D332" s="9" t="str">
        <f t="shared" si="1"/>
        <v/>
      </c>
    </row>
    <row r="333" spans="1:5" ht="15.75" customHeight="1">
      <c r="A333" s="136" t="s">
        <v>540</v>
      </c>
      <c r="B333" s="137" t="s">
        <v>424</v>
      </c>
      <c r="C333" s="100" t="s">
        <v>444</v>
      </c>
      <c r="D333" s="9" t="str">
        <f t="shared" si="1"/>
        <v/>
      </c>
    </row>
    <row r="334" spans="1:5" ht="15.75" customHeight="1">
      <c r="A334" s="136" t="s">
        <v>734</v>
      </c>
      <c r="B334" s="137" t="s">
        <v>424</v>
      </c>
      <c r="C334" s="100" t="s">
        <v>427</v>
      </c>
      <c r="D334" s="9" t="str">
        <f t="shared" si="1"/>
        <v/>
      </c>
    </row>
    <row r="335" spans="1:5" ht="15.75" customHeight="1">
      <c r="A335" s="136" t="s">
        <v>838</v>
      </c>
      <c r="B335" s="137" t="s">
        <v>424</v>
      </c>
      <c r="C335" s="100" t="s">
        <v>427</v>
      </c>
      <c r="D335" s="9" t="str">
        <f t="shared" si="1"/>
        <v/>
      </c>
    </row>
    <row r="336" spans="1:5" ht="15.75" customHeight="1">
      <c r="A336" s="136" t="s">
        <v>788</v>
      </c>
      <c r="B336" s="137" t="s">
        <v>424</v>
      </c>
      <c r="C336" s="100" t="s">
        <v>430</v>
      </c>
      <c r="D336" s="9" t="str">
        <f t="shared" si="1"/>
        <v/>
      </c>
    </row>
    <row r="337" spans="1:5" ht="15.75" customHeight="1">
      <c r="A337" s="136" t="s">
        <v>785</v>
      </c>
      <c r="B337" s="137" t="s">
        <v>442</v>
      </c>
      <c r="C337" s="100" t="s">
        <v>444</v>
      </c>
      <c r="D337" s="9" t="str">
        <f t="shared" si="1"/>
        <v/>
      </c>
    </row>
    <row r="338" spans="1:5" ht="15.75" customHeight="1">
      <c r="A338" s="136" t="s">
        <v>787</v>
      </c>
      <c r="B338" s="137" t="s">
        <v>442</v>
      </c>
      <c r="C338" s="100" t="s">
        <v>444</v>
      </c>
      <c r="D338" s="9" t="str">
        <f t="shared" si="1"/>
        <v/>
      </c>
    </row>
    <row r="339" spans="1:5" ht="15.75" customHeight="1">
      <c r="A339" s="136" t="s">
        <v>790</v>
      </c>
      <c r="B339" s="137" t="s">
        <v>424</v>
      </c>
      <c r="C339" s="100" t="s">
        <v>430</v>
      </c>
      <c r="D339" s="9" t="str">
        <f t="shared" si="1"/>
        <v/>
      </c>
    </row>
    <row r="340" spans="1:5" ht="15.75" customHeight="1">
      <c r="A340" s="137" t="s">
        <v>557</v>
      </c>
      <c r="B340" s="137" t="s">
        <v>442</v>
      </c>
      <c r="C340" s="100" t="s">
        <v>449</v>
      </c>
      <c r="D340" s="9" t="str">
        <f t="shared" si="1"/>
        <v/>
      </c>
    </row>
    <row r="341" spans="1:5" ht="15.75" customHeight="1">
      <c r="A341" s="136" t="s">
        <v>557</v>
      </c>
      <c r="B341" s="137" t="s">
        <v>442</v>
      </c>
      <c r="C341" s="100" t="s">
        <v>444</v>
      </c>
      <c r="D341" s="9" t="str">
        <f t="shared" si="1"/>
        <v>check</v>
      </c>
      <c r="E341" s="9" t="s">
        <v>8818</v>
      </c>
    </row>
    <row r="342" spans="1:5" ht="15.75" customHeight="1">
      <c r="A342" s="137" t="s">
        <v>872</v>
      </c>
      <c r="B342" s="137" t="s">
        <v>499</v>
      </c>
      <c r="C342" s="100" t="s">
        <v>444</v>
      </c>
      <c r="D342" s="9" t="str">
        <f t="shared" si="1"/>
        <v/>
      </c>
    </row>
    <row r="343" spans="1:5" ht="15.75" customHeight="1">
      <c r="A343" s="136" t="s">
        <v>872</v>
      </c>
      <c r="B343" s="137" t="s">
        <v>708</v>
      </c>
      <c r="C343" s="100" t="s">
        <v>444</v>
      </c>
      <c r="D343" s="9" t="str">
        <f t="shared" si="1"/>
        <v/>
      </c>
      <c r="E343" s="9" t="s">
        <v>8818</v>
      </c>
    </row>
    <row r="344" spans="1:5" ht="15.75" customHeight="1">
      <c r="A344" s="137" t="s">
        <v>547</v>
      </c>
      <c r="B344" s="137" t="s">
        <v>424</v>
      </c>
      <c r="C344" s="100" t="s">
        <v>430</v>
      </c>
      <c r="D344" s="9" t="str">
        <f t="shared" si="1"/>
        <v/>
      </c>
    </row>
    <row r="345" spans="1:5" ht="15.75" customHeight="1">
      <c r="A345" s="136" t="s">
        <v>547</v>
      </c>
      <c r="B345" s="137" t="s">
        <v>424</v>
      </c>
      <c r="C345" s="100" t="s">
        <v>427</v>
      </c>
      <c r="D345" s="9" t="str">
        <f t="shared" si="1"/>
        <v>check</v>
      </c>
      <c r="E345" s="9" t="s">
        <v>8818</v>
      </c>
    </row>
    <row r="346" spans="1:5" ht="15.75" customHeight="1">
      <c r="A346" s="137" t="s">
        <v>672</v>
      </c>
      <c r="B346" s="137" t="s">
        <v>424</v>
      </c>
      <c r="C346" s="100" t="s">
        <v>430</v>
      </c>
      <c r="D346" s="9" t="str">
        <f t="shared" si="1"/>
        <v/>
      </c>
    </row>
    <row r="347" spans="1:5" ht="15.75" customHeight="1">
      <c r="A347" s="136" t="s">
        <v>672</v>
      </c>
      <c r="B347" s="137" t="s">
        <v>424</v>
      </c>
      <c r="C347" s="100" t="s">
        <v>427</v>
      </c>
      <c r="D347" s="9" t="str">
        <f t="shared" si="1"/>
        <v>check</v>
      </c>
      <c r="E347" s="88" t="s">
        <v>8819</v>
      </c>
    </row>
    <row r="348" spans="1:5" ht="15.75" customHeight="1">
      <c r="A348" s="136" t="s">
        <v>560</v>
      </c>
      <c r="B348" s="137" t="s">
        <v>442</v>
      </c>
      <c r="C348" s="100" t="s">
        <v>449</v>
      </c>
      <c r="D348" s="9" t="str">
        <f t="shared" si="1"/>
        <v/>
      </c>
    </row>
    <row r="349" spans="1:5" ht="15.75" customHeight="1">
      <c r="A349" s="136" t="s">
        <v>489</v>
      </c>
      <c r="B349" s="137" t="s">
        <v>442</v>
      </c>
      <c r="C349" s="100" t="s">
        <v>449</v>
      </c>
      <c r="D349" s="9" t="str">
        <f t="shared" si="1"/>
        <v/>
      </c>
    </row>
    <row r="350" spans="1:5" ht="15.75" customHeight="1">
      <c r="A350" s="136" t="s">
        <v>459</v>
      </c>
      <c r="B350" s="137" t="s">
        <v>442</v>
      </c>
      <c r="C350" s="100" t="s">
        <v>444</v>
      </c>
      <c r="D350" s="9" t="str">
        <f t="shared" si="1"/>
        <v/>
      </c>
    </row>
    <row r="351" spans="1:5" ht="15.75" customHeight="1"/>
    <row r="352" spans="1:5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350" xr:uid="{00000000-0009-0000-0000-000015000000}"/>
  <phoneticPr fontId="42" type="noConversion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DQ542"/>
  <sheetViews>
    <sheetView workbookViewId="0"/>
  </sheetViews>
  <sheetFormatPr defaultColWidth="12.61328125" defaultRowHeight="15" customHeight="1"/>
  <cols>
    <col min="1" max="6" width="12.61328125" customWidth="1"/>
  </cols>
  <sheetData>
    <row r="1" spans="1:121" ht="15.75" customHeight="1">
      <c r="A1" s="9" t="s">
        <v>8156</v>
      </c>
      <c r="B1" s="87" t="s">
        <v>8157</v>
      </c>
      <c r="C1" s="87" t="s">
        <v>8158</v>
      </c>
      <c r="D1" s="87" t="s">
        <v>8159</v>
      </c>
      <c r="E1" s="87" t="s">
        <v>8160</v>
      </c>
      <c r="F1" s="87" t="s">
        <v>8161</v>
      </c>
      <c r="G1" s="87" t="s">
        <v>8162</v>
      </c>
      <c r="H1" s="87" t="s">
        <v>8163</v>
      </c>
      <c r="I1" s="87" t="s">
        <v>8164</v>
      </c>
      <c r="J1" s="87" t="s">
        <v>8165</v>
      </c>
      <c r="K1" s="87" t="s">
        <v>8166</v>
      </c>
      <c r="L1" s="87" t="s">
        <v>8167</v>
      </c>
      <c r="M1" s="87" t="s">
        <v>8168</v>
      </c>
      <c r="N1" s="87" t="s">
        <v>8169</v>
      </c>
      <c r="O1" s="87" t="s">
        <v>8170</v>
      </c>
      <c r="P1" s="87" t="s">
        <v>8171</v>
      </c>
      <c r="Q1" s="87" t="s">
        <v>8172</v>
      </c>
      <c r="R1" s="87" t="s">
        <v>8173</v>
      </c>
      <c r="S1" s="87" t="s">
        <v>8174</v>
      </c>
      <c r="T1" s="87" t="s">
        <v>8175</v>
      </c>
      <c r="U1" s="87" t="s">
        <v>8176</v>
      </c>
      <c r="V1" s="87" t="s">
        <v>8177</v>
      </c>
      <c r="W1" s="87" t="s">
        <v>8178</v>
      </c>
      <c r="X1" s="87" t="s">
        <v>8179</v>
      </c>
      <c r="Y1" s="87" t="s">
        <v>8180</v>
      </c>
      <c r="Z1" s="87" t="s">
        <v>8181</v>
      </c>
      <c r="AA1" s="87" t="s">
        <v>8182</v>
      </c>
      <c r="AB1" s="87" t="s">
        <v>8183</v>
      </c>
      <c r="AC1" s="87" t="s">
        <v>8184</v>
      </c>
      <c r="AD1" s="87" t="s">
        <v>8185</v>
      </c>
      <c r="AE1" s="87" t="s">
        <v>8186</v>
      </c>
      <c r="AF1" s="87" t="s">
        <v>8187</v>
      </c>
      <c r="AG1" s="87" t="s">
        <v>8188</v>
      </c>
      <c r="AH1" s="87" t="s">
        <v>8189</v>
      </c>
      <c r="AI1" s="87" t="s">
        <v>8190</v>
      </c>
      <c r="AJ1" s="87" t="s">
        <v>8191</v>
      </c>
      <c r="AK1" s="87" t="s">
        <v>8192</v>
      </c>
      <c r="AL1" s="87" t="s">
        <v>8193</v>
      </c>
      <c r="AM1" s="87" t="s">
        <v>8194</v>
      </c>
      <c r="AN1" s="87" t="s">
        <v>8195</v>
      </c>
      <c r="AO1" s="87" t="s">
        <v>8196</v>
      </c>
      <c r="AP1" s="87" t="s">
        <v>8197</v>
      </c>
      <c r="AQ1" s="87" t="s">
        <v>8198</v>
      </c>
      <c r="AR1" s="87" t="s">
        <v>8199</v>
      </c>
      <c r="AS1" s="87" t="s">
        <v>8200</v>
      </c>
      <c r="AT1" s="87" t="s">
        <v>8201</v>
      </c>
      <c r="AU1" s="87" t="s">
        <v>8202</v>
      </c>
      <c r="AV1" s="87" t="s">
        <v>8203</v>
      </c>
      <c r="AW1" s="87" t="s">
        <v>8204</v>
      </c>
      <c r="AX1" s="87" t="s">
        <v>8205</v>
      </c>
      <c r="AY1" s="87" t="s">
        <v>8206</v>
      </c>
      <c r="AZ1" s="87" t="s">
        <v>8207</v>
      </c>
      <c r="BA1" s="87" t="s">
        <v>8208</v>
      </c>
      <c r="BB1" s="87" t="s">
        <v>8209</v>
      </c>
      <c r="BC1" s="87" t="s">
        <v>8210</v>
      </c>
      <c r="BD1" s="87" t="s">
        <v>8211</v>
      </c>
      <c r="BE1" s="87" t="s">
        <v>8212</v>
      </c>
      <c r="BF1" s="87" t="s">
        <v>8213</v>
      </c>
      <c r="BG1" s="87" t="s">
        <v>8214</v>
      </c>
      <c r="BH1" s="87" t="s">
        <v>8215</v>
      </c>
      <c r="BI1" s="87" t="s">
        <v>8216</v>
      </c>
      <c r="BJ1" s="87" t="s">
        <v>8217</v>
      </c>
      <c r="BK1" s="87" t="s">
        <v>8218</v>
      </c>
      <c r="BL1" s="87" t="s">
        <v>8219</v>
      </c>
      <c r="BM1" s="87" t="s">
        <v>8220</v>
      </c>
      <c r="BN1" s="87" t="s">
        <v>8221</v>
      </c>
      <c r="BO1" s="87" t="s">
        <v>8222</v>
      </c>
      <c r="BP1" s="87" t="s">
        <v>8223</v>
      </c>
      <c r="BQ1" s="87" t="s">
        <v>8224</v>
      </c>
      <c r="BR1" s="87" t="s">
        <v>8225</v>
      </c>
      <c r="BS1" s="87" t="s">
        <v>8226</v>
      </c>
      <c r="BT1" s="87" t="s">
        <v>8227</v>
      </c>
      <c r="BU1" s="87" t="s">
        <v>8228</v>
      </c>
      <c r="BV1" s="87" t="s">
        <v>8229</v>
      </c>
      <c r="BW1" s="87" t="s">
        <v>8230</v>
      </c>
      <c r="BX1" s="87" t="s">
        <v>8231</v>
      </c>
      <c r="BY1" s="87" t="s">
        <v>8232</v>
      </c>
      <c r="BZ1" s="87" t="s">
        <v>8233</v>
      </c>
      <c r="CA1" s="87" t="s">
        <v>8234</v>
      </c>
      <c r="CB1" s="87" t="s">
        <v>8235</v>
      </c>
      <c r="CC1" s="87" t="s">
        <v>8236</v>
      </c>
      <c r="CD1" s="87" t="s">
        <v>8237</v>
      </c>
      <c r="CE1" s="87" t="s">
        <v>8238</v>
      </c>
      <c r="CF1" s="87" t="s">
        <v>8239</v>
      </c>
      <c r="CG1" s="87" t="s">
        <v>8240</v>
      </c>
      <c r="CH1" s="87" t="s">
        <v>8241</v>
      </c>
      <c r="CI1" s="87" t="s">
        <v>8242</v>
      </c>
      <c r="CJ1" s="87" t="s">
        <v>8243</v>
      </c>
      <c r="CK1" s="87" t="s">
        <v>8244</v>
      </c>
      <c r="CL1" s="87" t="s">
        <v>8245</v>
      </c>
      <c r="CM1" s="87" t="s">
        <v>8246</v>
      </c>
      <c r="CN1" s="87" t="s">
        <v>8247</v>
      </c>
      <c r="CO1" s="87" t="s">
        <v>8248</v>
      </c>
      <c r="CP1" s="87" t="s">
        <v>8249</v>
      </c>
      <c r="CQ1" s="87" t="s">
        <v>8250</v>
      </c>
      <c r="CR1" s="87" t="s">
        <v>8251</v>
      </c>
      <c r="CS1" s="87" t="s">
        <v>8252</v>
      </c>
      <c r="CT1" s="87" t="s">
        <v>8253</v>
      </c>
      <c r="CU1" s="87" t="s">
        <v>8254</v>
      </c>
      <c r="CV1" s="87" t="s">
        <v>8255</v>
      </c>
      <c r="CW1" s="87" t="s">
        <v>8256</v>
      </c>
      <c r="CX1" s="87" t="s">
        <v>8257</v>
      </c>
      <c r="CY1" s="87" t="s">
        <v>8258</v>
      </c>
      <c r="CZ1" s="87" t="s">
        <v>8259</v>
      </c>
      <c r="DA1" s="87" t="s">
        <v>8260</v>
      </c>
      <c r="DB1" s="87" t="s">
        <v>8261</v>
      </c>
      <c r="DC1" s="87" t="s">
        <v>8262</v>
      </c>
      <c r="DD1" s="87" t="s">
        <v>8263</v>
      </c>
      <c r="DE1" s="87" t="s">
        <v>8264</v>
      </c>
      <c r="DF1" s="87" t="s">
        <v>8265</v>
      </c>
      <c r="DG1" s="87" t="s">
        <v>8266</v>
      </c>
      <c r="DH1" s="87" t="s">
        <v>8267</v>
      </c>
      <c r="DI1" s="87" t="s">
        <v>8268</v>
      </c>
      <c r="DJ1" s="87" t="s">
        <v>8269</v>
      </c>
      <c r="DK1" s="87" t="s">
        <v>8270</v>
      </c>
      <c r="DL1" s="87" t="s">
        <v>8271</v>
      </c>
      <c r="DM1" s="87" t="s">
        <v>8272</v>
      </c>
      <c r="DN1" s="87" t="s">
        <v>8273</v>
      </c>
      <c r="DO1" s="87" t="s">
        <v>8274</v>
      </c>
      <c r="DP1" s="87" t="s">
        <v>8275</v>
      </c>
      <c r="DQ1" s="87" t="s">
        <v>8276</v>
      </c>
    </row>
    <row r="2" spans="1:121" ht="15.75" customHeight="1">
      <c r="A2" s="87" t="s">
        <v>8277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21" ht="15.75" customHeight="1">
      <c r="A3" s="87" t="s">
        <v>8278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21" ht="15.75" customHeight="1">
      <c r="A4" s="87" t="s">
        <v>8279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21" ht="15.75" customHeight="1">
      <c r="A5" s="87" t="s">
        <v>8280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21" ht="15.75" customHeight="1">
      <c r="A6" s="87" t="s">
        <v>8281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21" ht="15.75" customHeight="1">
      <c r="A7" s="87" t="s">
        <v>8282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21" ht="15.75" customHeight="1">
      <c r="A8" s="87" t="s">
        <v>8283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21" ht="15.75" customHeight="1">
      <c r="A9" s="87" t="s">
        <v>8284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21" ht="15.75" customHeight="1">
      <c r="A10" s="87" t="s">
        <v>8285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21" ht="15.75" customHeight="1">
      <c r="A11" s="87" t="s">
        <v>8286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21" ht="15.75" customHeight="1">
      <c r="A12" s="87" t="s">
        <v>8287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21" ht="15.75" customHeight="1">
      <c r="A13" s="87" t="s">
        <v>8288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21" ht="15.75" customHeight="1">
      <c r="A14" s="87" t="s">
        <v>8289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21" ht="15.75" customHeight="1">
      <c r="A15" s="87" t="s">
        <v>8290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21" ht="15.75" customHeight="1">
      <c r="A16" s="87" t="s">
        <v>8291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5.75" customHeight="1">
      <c r="A17" s="87" t="s">
        <v>8292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15.75" customHeight="1">
      <c r="A18" s="87" t="s">
        <v>8293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5.75" customHeight="1">
      <c r="A19" s="87" t="s">
        <v>8294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5.75" customHeight="1">
      <c r="A20" s="87" t="s">
        <v>8295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15.75" customHeight="1">
      <c r="A21" s="87" t="s">
        <v>8296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5.75" customHeight="1">
      <c r="A22" s="87" t="s">
        <v>8297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15.75" customHeight="1">
      <c r="A23" s="87" t="s">
        <v>8298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ht="15.75" customHeight="1">
      <c r="A24" s="87" t="s">
        <v>8299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15.75" customHeight="1">
      <c r="A25" s="87" t="s">
        <v>8300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5.75" customHeight="1">
      <c r="A26" s="87" t="s">
        <v>8301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15.75" customHeight="1">
      <c r="A27" s="87" t="s">
        <v>8302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15.75" customHeight="1">
      <c r="A28" s="87" t="s">
        <v>8303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15.75" customHeight="1">
      <c r="A29" s="87" t="s">
        <v>8304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5.75" customHeight="1">
      <c r="A30" s="87" t="s">
        <v>8305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15.75" customHeight="1">
      <c r="A31" s="87" t="s">
        <v>8306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15.75" customHeight="1">
      <c r="A32" s="87" t="s">
        <v>8307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15.75" customHeight="1">
      <c r="A33" s="87" t="s">
        <v>8308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15.75" customHeight="1">
      <c r="A34" s="87" t="s">
        <v>8309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15.75" customHeight="1">
      <c r="A35" s="87" t="s">
        <v>8310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15.75" customHeight="1">
      <c r="A36" s="87" t="s">
        <v>8311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15.75" customHeight="1">
      <c r="A37" s="87" t="s">
        <v>8312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5.75" customHeight="1">
      <c r="A38" s="87" t="s">
        <v>8313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t="15.75" customHeight="1">
      <c r="A39" s="87" t="s">
        <v>8314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15.75" customHeight="1">
      <c r="A40" s="87" t="s">
        <v>8315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15.75" customHeight="1">
      <c r="A41" s="87" t="s">
        <v>8316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ht="15.75" customHeight="1">
      <c r="A42" s="87" t="s">
        <v>8317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ht="15.75" customHeight="1">
      <c r="A43" s="87" t="s">
        <v>8318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ht="15.75" customHeight="1">
      <c r="A44" s="87" t="s">
        <v>8319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ht="15.75" customHeight="1">
      <c r="A45" s="87" t="s">
        <v>8320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ht="15.75" customHeight="1">
      <c r="A46" s="87" t="s">
        <v>8321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ht="15.75" customHeight="1">
      <c r="A47" s="87" t="s">
        <v>8322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ht="15.75" customHeight="1">
      <c r="A48" s="87" t="s">
        <v>8323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ht="15.75" customHeight="1">
      <c r="A49" s="87" t="s">
        <v>8324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ht="15.75" customHeight="1">
      <c r="A50" s="87" t="s">
        <v>8325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ht="15.75" customHeight="1">
      <c r="A51" s="87" t="s">
        <v>8326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ht="15.75" customHeight="1">
      <c r="A52" s="87" t="s">
        <v>8327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ht="15.75" customHeight="1">
      <c r="A53" s="87" t="s">
        <v>8328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ht="15.75" customHeight="1">
      <c r="A54" s="87" t="s">
        <v>8329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ht="15.75" customHeight="1">
      <c r="A55" s="87" t="s">
        <v>8330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ht="15.75" customHeight="1">
      <c r="A56" s="87" t="s">
        <v>8331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t="15.75" customHeight="1">
      <c r="A57" s="87" t="s">
        <v>8332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ht="15.75" customHeight="1">
      <c r="A58" s="87" t="s">
        <v>8333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ht="15.75" customHeight="1">
      <c r="A59" s="87" t="s">
        <v>8334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ht="15.75" customHeight="1">
      <c r="A60" s="87" t="s">
        <v>8335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t="15.75" customHeight="1">
      <c r="A61" s="87" t="s">
        <v>8336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ht="15.75" customHeight="1">
      <c r="A62" s="87" t="s">
        <v>8337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ht="15.75" customHeight="1">
      <c r="A63" s="87" t="s">
        <v>8338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ht="15.75" customHeight="1">
      <c r="A64" s="87" t="s">
        <v>8339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ht="15.75" customHeight="1">
      <c r="A65" s="87" t="s">
        <v>8340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ht="15.75" customHeight="1">
      <c r="A66" s="87" t="s">
        <v>8341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ht="15.75" customHeight="1">
      <c r="A67" s="87" t="s">
        <v>8342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ht="15.75" customHeight="1">
      <c r="A68" s="87" t="s">
        <v>8343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ht="15.75" customHeight="1">
      <c r="A69" s="87" t="s">
        <v>8344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ht="15.75" customHeight="1">
      <c r="A70" s="87" t="s">
        <v>8345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ht="15.75" customHeight="1">
      <c r="A71" s="87" t="s">
        <v>8346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ht="15.75" customHeight="1">
      <c r="A72" s="87" t="s">
        <v>8347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ht="15.75" customHeight="1">
      <c r="A73" s="87" t="s">
        <v>8348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ht="15.75" customHeight="1">
      <c r="A74" s="87" t="s">
        <v>8349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15.75" customHeight="1">
      <c r="A75" s="87" t="s">
        <v>8350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ht="15.75" customHeight="1">
      <c r="A76" s="87" t="s">
        <v>8351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ht="15.75" customHeight="1">
      <c r="A77" s="87" t="s">
        <v>8352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ht="15.75" customHeight="1">
      <c r="A78" s="87" t="s">
        <v>8353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ht="15.75" customHeight="1">
      <c r="A79" s="87" t="s">
        <v>8354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ht="15.75" customHeight="1">
      <c r="A80" s="87" t="s">
        <v>8355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ht="15.75" customHeight="1">
      <c r="A81" s="87" t="s">
        <v>8356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ht="15.75" customHeight="1">
      <c r="A82" s="87" t="s">
        <v>8357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ht="15.75" customHeight="1">
      <c r="A83" s="87" t="s">
        <v>8358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ht="15.75" customHeight="1">
      <c r="A84" s="87" t="s">
        <v>8359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ht="15.75" customHeight="1">
      <c r="A85" s="87" t="s">
        <v>8360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ht="15.75" customHeight="1">
      <c r="A86" s="87" t="s">
        <v>8361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ht="15.75" customHeight="1">
      <c r="A87" s="87" t="s">
        <v>8362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ht="15.75" customHeight="1">
      <c r="A88" s="87" t="s">
        <v>8363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ht="15.75" customHeight="1">
      <c r="A89" s="87" t="s">
        <v>8364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ht="15.75" customHeight="1">
      <c r="A90" s="87" t="s">
        <v>8365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ht="15.75" customHeight="1">
      <c r="A91" s="87" t="s">
        <v>8366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ht="15.75" customHeight="1">
      <c r="A92" s="87" t="s">
        <v>8367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ht="15.75" customHeight="1">
      <c r="A93" s="87" t="s">
        <v>8368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ht="15.75" customHeight="1">
      <c r="A94" s="87" t="s">
        <v>8369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ht="15.75" customHeight="1">
      <c r="A95" s="87" t="s">
        <v>8370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ht="15.75" customHeight="1">
      <c r="A96" s="87" t="s">
        <v>8371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ht="15.75" customHeight="1">
      <c r="A97" s="87" t="s">
        <v>8372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ht="15.75" customHeight="1">
      <c r="A98" s="87" t="s">
        <v>8373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ht="15.75" customHeight="1">
      <c r="A99" s="87" t="s">
        <v>8374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ht="15.75" customHeight="1">
      <c r="A100" s="87" t="s">
        <v>8375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ht="15.75" customHeight="1">
      <c r="A101" s="87" t="s">
        <v>8376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ht="15.75" customHeight="1">
      <c r="A102" s="87" t="s">
        <v>8377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ht="15.75" customHeight="1">
      <c r="A103" s="87" t="s">
        <v>8378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ht="15.75" customHeight="1">
      <c r="A104" s="87" t="s">
        <v>8379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ht="15.75" customHeight="1">
      <c r="A105" s="87" t="s">
        <v>8380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ht="15.75" customHeight="1">
      <c r="A106" s="87" t="s">
        <v>8381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ht="15.75" customHeight="1">
      <c r="A107" s="87" t="s">
        <v>8382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ht="15.75" customHeight="1">
      <c r="A108" s="87" t="s">
        <v>8383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ht="15.75" customHeight="1">
      <c r="A109" s="87" t="s">
        <v>8384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ht="15.75" customHeight="1">
      <c r="A110" s="87" t="s">
        <v>8385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ht="15.75" customHeight="1">
      <c r="A111" s="87" t="s">
        <v>8386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ht="15.75" customHeight="1">
      <c r="A112" s="87" t="s">
        <v>8387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19" ht="15.75" customHeight="1">
      <c r="A113" s="87" t="s">
        <v>8388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19" ht="15.75" customHeight="1">
      <c r="A114" s="87" t="s">
        <v>8389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19" ht="15.75" customHeight="1">
      <c r="A115" s="87" t="s">
        <v>8390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19" ht="15.75" customHeight="1">
      <c r="A116" s="87" t="s">
        <v>8391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19" ht="15.75" customHeight="1">
      <c r="A117" s="87" t="s">
        <v>8392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19" ht="15.75" customHeight="1">
      <c r="A118" s="87" t="s">
        <v>8393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19" ht="15.75" customHeight="1">
      <c r="A119" s="87" t="s">
        <v>8394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19" ht="15.75" customHeight="1">
      <c r="A120" s="87" t="s">
        <v>8395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19" ht="15.75" customHeight="1">
      <c r="A121" s="87" t="s">
        <v>8396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19" ht="15.75" customHeight="1">
      <c r="A122" s="87" t="s">
        <v>8397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19" ht="15.75" customHeight="1">
      <c r="A123" s="87" t="s">
        <v>8398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19" ht="15.75" customHeight="1">
      <c r="A124" s="87" t="s">
        <v>8399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19" ht="15.75" customHeight="1">
      <c r="A125" s="87" t="s">
        <v>8400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19" ht="15.75" customHeight="1">
      <c r="A126" s="87" t="s">
        <v>8401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19" ht="15.75" customHeight="1">
      <c r="A127" s="87" t="s">
        <v>8402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19" ht="15.75" customHeight="1">
      <c r="A128" s="87" t="s">
        <v>8403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19" ht="15.75" customHeight="1">
      <c r="A129" s="87" t="s">
        <v>8404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ht="15.75" customHeight="1">
      <c r="A130" s="87" t="s">
        <v>8405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ht="15.75" customHeight="1">
      <c r="A131" s="87" t="s">
        <v>8406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19" ht="15.75" customHeight="1">
      <c r="A132" s="87" t="s">
        <v>8407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19" ht="15.75" customHeight="1">
      <c r="A133" s="87" t="s">
        <v>8408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19" ht="15.75" customHeight="1">
      <c r="A134" s="87" t="s">
        <v>8409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19" ht="15.75" customHeight="1">
      <c r="A135" s="87" t="s">
        <v>8410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19" ht="15.75" customHeight="1">
      <c r="A136" s="87" t="s">
        <v>8411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19" ht="15.75" customHeight="1">
      <c r="A137" s="87" t="s">
        <v>8412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19" ht="15.75" customHeight="1">
      <c r="A138" s="87" t="s">
        <v>8413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19" ht="15.75" customHeight="1">
      <c r="A139" s="87" t="s">
        <v>8414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ht="15.75" customHeight="1">
      <c r="A140" s="87" t="s">
        <v>8415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ht="15.75" customHeight="1">
      <c r="A141" s="87" t="s">
        <v>8416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ht="15.75" customHeight="1">
      <c r="A142" s="87" t="s">
        <v>8417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19" ht="15.75" customHeight="1">
      <c r="A143" s="87" t="s">
        <v>8418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ht="15.75" customHeight="1">
      <c r="A144" s="87" t="s">
        <v>8419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19" ht="15.75" customHeight="1">
      <c r="A145" s="87" t="s">
        <v>8420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ht="15.75" customHeight="1">
      <c r="A146" s="87" t="s">
        <v>8421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19" ht="15.75" customHeight="1">
      <c r="A147" s="87" t="s">
        <v>8422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ht="15.75" customHeight="1">
      <c r="A148" s="87" t="s">
        <v>8423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ht="15.75" customHeight="1">
      <c r="A149" s="87" t="s">
        <v>8424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19" ht="15.75" customHeight="1">
      <c r="A150" s="87" t="s">
        <v>8425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19" ht="15.75" customHeight="1">
      <c r="A151" s="87" t="s">
        <v>8426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19" ht="15.75" customHeight="1">
      <c r="A152" s="87" t="s">
        <v>8427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19" ht="15.75" customHeight="1">
      <c r="A153" s="87" t="s">
        <v>8428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19" ht="15.75" customHeight="1">
      <c r="A154" s="87" t="s">
        <v>8429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ht="15.75" customHeight="1">
      <c r="A155" s="87" t="s">
        <v>8430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19" ht="15.75" customHeight="1">
      <c r="A156" s="87" t="s">
        <v>8431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19" ht="15.75" customHeight="1">
      <c r="A157" s="87" t="s">
        <v>8432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19" ht="15.75" customHeight="1">
      <c r="A158" s="87" t="s">
        <v>8433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19" ht="15.75" customHeight="1">
      <c r="A159" s="87" t="s">
        <v>8434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19" ht="15.75" customHeight="1">
      <c r="A160" s="87" t="s">
        <v>8435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19" ht="15.75" customHeight="1">
      <c r="A161" s="87" t="s">
        <v>8436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19" ht="15.75" customHeight="1">
      <c r="A162" s="87" t="s">
        <v>8437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ht="15.75" customHeight="1">
      <c r="A163" s="87" t="s">
        <v>8438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19" ht="15.75" customHeight="1">
      <c r="A164" s="87" t="s">
        <v>8439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ht="15.75" customHeight="1">
      <c r="A165" s="87" t="s">
        <v>8440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ht="15.75" customHeight="1">
      <c r="A166" s="87" t="s">
        <v>8441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19" ht="15.75" customHeight="1">
      <c r="A167" s="87" t="s">
        <v>8442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ht="15.75" customHeight="1">
      <c r="A168" s="87" t="s">
        <v>8443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19" ht="15.75" customHeight="1">
      <c r="A169" s="87" t="s">
        <v>8444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19" ht="15.75" customHeight="1">
      <c r="A170" s="87" t="s">
        <v>8445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19" ht="15.75" customHeight="1">
      <c r="A171" s="87" t="s">
        <v>8446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19" ht="15.75" customHeight="1">
      <c r="A172" s="87" t="s">
        <v>8447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19" ht="15.75" customHeight="1">
      <c r="A173" s="87" t="s">
        <v>8448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19" ht="15.75" customHeight="1">
      <c r="A174" s="87" t="s">
        <v>8449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19" ht="15.75" customHeight="1">
      <c r="A175" s="87" t="s">
        <v>8450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19" ht="15.75" customHeight="1">
      <c r="A176" s="87" t="s">
        <v>8451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19" ht="15.75" customHeight="1">
      <c r="A177" s="87" t="s">
        <v>8452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19" ht="15.75" customHeight="1">
      <c r="A178" s="87" t="s">
        <v>8453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19" ht="15.75" customHeight="1">
      <c r="A179" s="87" t="s">
        <v>8454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ht="15.75" customHeight="1">
      <c r="A180" s="87" t="s">
        <v>8455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ht="15.75" customHeight="1">
      <c r="A181" s="87" t="s">
        <v>8456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ht="15.75" customHeight="1">
      <c r="A182" s="87" t="s">
        <v>8457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ht="15.75" customHeight="1">
      <c r="A183" s="87" t="s">
        <v>8458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ht="15.75" customHeight="1">
      <c r="A184" s="87" t="s">
        <v>8459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ht="15.75" customHeight="1">
      <c r="A185" s="87" t="s">
        <v>8460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ht="15.75" customHeight="1">
      <c r="A186" s="87" t="s">
        <v>8461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ht="15.75" customHeight="1">
      <c r="A187" s="87" t="s">
        <v>8462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ht="15.75" customHeight="1">
      <c r="A188" s="87" t="s">
        <v>8463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ht="15.75" customHeight="1">
      <c r="A189" s="87" t="s">
        <v>8464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ht="15.75" customHeight="1">
      <c r="A190" s="87" t="s">
        <v>8465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ht="15.75" customHeight="1">
      <c r="A191" s="87" t="s">
        <v>8466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ht="15.75" customHeight="1">
      <c r="A192" s="87" t="s">
        <v>8467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19" ht="15.75" customHeight="1">
      <c r="A193" s="87" t="s">
        <v>8468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19" ht="15.75" customHeight="1">
      <c r="A194" s="87" t="s">
        <v>8469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19" ht="15.75" customHeight="1">
      <c r="A195" s="87" t="s">
        <v>8470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19" ht="15.75" customHeight="1">
      <c r="A196" s="87" t="s">
        <v>8471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19" ht="15.75" customHeight="1">
      <c r="A197" s="87" t="s">
        <v>8472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19" ht="15.75" customHeight="1">
      <c r="A198" s="87" t="s">
        <v>8473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19" ht="15.75" customHeight="1">
      <c r="A199" s="87" t="s">
        <v>8474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19" ht="15.75" customHeight="1">
      <c r="A200" s="87" t="s">
        <v>8475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19" ht="15.75" customHeight="1">
      <c r="A201" s="87" t="s">
        <v>8476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19" ht="15.75" customHeight="1">
      <c r="A202" s="87" t="s">
        <v>8477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19" ht="15.75" customHeight="1">
      <c r="A203" s="87" t="s">
        <v>8478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19" ht="15.75" customHeight="1">
      <c r="A204" s="87" t="s">
        <v>8479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19" ht="15.75" customHeight="1">
      <c r="A205" s="87" t="s">
        <v>8480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19" ht="15.75" customHeight="1">
      <c r="A206" s="87" t="s">
        <v>8481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19" ht="15.75" customHeight="1">
      <c r="A207" s="87" t="s">
        <v>8482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19" ht="15.75" customHeight="1">
      <c r="A208" s="87" t="s">
        <v>8483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19" ht="15.75" customHeight="1">
      <c r="A209" s="87" t="s">
        <v>8484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19" ht="15.75" customHeight="1">
      <c r="A210" s="87" t="s">
        <v>8485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19" ht="15.75" customHeight="1">
      <c r="A211" s="87" t="s">
        <v>8486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19" ht="15.75" customHeight="1">
      <c r="A212" s="87" t="s">
        <v>8487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19" ht="15.75" customHeight="1">
      <c r="A213" s="87" t="s">
        <v>8488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19" ht="15.75" customHeight="1">
      <c r="A214" s="87" t="s">
        <v>8489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19" ht="15.75" customHeight="1">
      <c r="A215" s="87" t="s">
        <v>8490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19" ht="15.75" customHeight="1">
      <c r="A216" s="87" t="s">
        <v>8491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19" ht="15.75" customHeight="1">
      <c r="A217" s="87" t="s">
        <v>8492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19" ht="15.75" customHeight="1">
      <c r="A218" s="87" t="s">
        <v>8493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19" ht="15.75" customHeight="1">
      <c r="A219" s="87" t="s">
        <v>8494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19" ht="15.75" customHeight="1">
      <c r="A220" s="87" t="s">
        <v>8495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19" ht="15.75" customHeight="1">
      <c r="A221" s="87" t="s">
        <v>8496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19" ht="15.75" customHeight="1">
      <c r="A222" s="87" t="s">
        <v>8497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19" ht="15.75" customHeight="1">
      <c r="A223" s="87" t="s">
        <v>8498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19" ht="15.75" customHeight="1">
      <c r="A224" s="87" t="s">
        <v>8499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19" ht="15.75" customHeight="1">
      <c r="A225" s="87" t="s">
        <v>8500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19" ht="15.75" customHeight="1">
      <c r="A226" s="87" t="s">
        <v>8501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ht="15.75" customHeight="1">
      <c r="A227" s="87" t="s">
        <v>8502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19" ht="15.75" customHeight="1">
      <c r="A228" s="87" t="s">
        <v>8503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19" ht="15.75" customHeight="1">
      <c r="A229" s="87" t="s">
        <v>8504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19" ht="15.75" customHeight="1">
      <c r="A230" s="87" t="s">
        <v>8505</v>
      </c>
    </row>
    <row r="231" spans="1:19" ht="15.75" customHeight="1">
      <c r="A231" s="87" t="s">
        <v>8506</v>
      </c>
    </row>
    <row r="232" spans="1:19" ht="15.75" customHeight="1">
      <c r="A232" s="87" t="s">
        <v>8507</v>
      </c>
    </row>
    <row r="233" spans="1:19" ht="15.75" customHeight="1">
      <c r="A233" s="87" t="s">
        <v>8508</v>
      </c>
    </row>
    <row r="234" spans="1:19" ht="15.75" customHeight="1">
      <c r="A234" s="87" t="s">
        <v>8509</v>
      </c>
    </row>
    <row r="235" spans="1:19" ht="15.75" customHeight="1">
      <c r="A235" s="87" t="s">
        <v>8510</v>
      </c>
    </row>
    <row r="236" spans="1:19" ht="15.75" customHeight="1">
      <c r="A236" s="87" t="s">
        <v>8511</v>
      </c>
    </row>
    <row r="237" spans="1:19" ht="15.75" customHeight="1">
      <c r="A237" s="87" t="s">
        <v>8512</v>
      </c>
    </row>
    <row r="238" spans="1:19" ht="15.75" customHeight="1">
      <c r="A238" s="87" t="s">
        <v>8513</v>
      </c>
    </row>
    <row r="239" spans="1:19" ht="15.75" customHeight="1">
      <c r="A239" s="87" t="s">
        <v>8514</v>
      </c>
    </row>
    <row r="240" spans="1:19" ht="15.75" customHeight="1">
      <c r="A240" s="87" t="s">
        <v>8515</v>
      </c>
    </row>
    <row r="241" spans="1:1" ht="15.75" customHeight="1">
      <c r="A241" s="87" t="s">
        <v>8516</v>
      </c>
    </row>
    <row r="242" spans="1:1" ht="15.75" customHeight="1">
      <c r="A242" s="87" t="s">
        <v>8517</v>
      </c>
    </row>
    <row r="243" spans="1:1" ht="15.75" customHeight="1">
      <c r="A243" s="87" t="s">
        <v>8518</v>
      </c>
    </row>
    <row r="244" spans="1:1" ht="15.75" customHeight="1">
      <c r="A244" s="87" t="s">
        <v>8519</v>
      </c>
    </row>
    <row r="245" spans="1:1" ht="15.75" customHeight="1">
      <c r="A245" s="87" t="s">
        <v>8520</v>
      </c>
    </row>
    <row r="246" spans="1:1" ht="15.75" customHeight="1">
      <c r="A246" s="87" t="s">
        <v>8521</v>
      </c>
    </row>
    <row r="247" spans="1:1" ht="15.75" customHeight="1">
      <c r="A247" s="87" t="s">
        <v>8522</v>
      </c>
    </row>
    <row r="248" spans="1:1" ht="15.75" customHeight="1">
      <c r="A248" s="87" t="s">
        <v>8523</v>
      </c>
    </row>
    <row r="249" spans="1:1" ht="15.75" customHeight="1">
      <c r="A249" s="87" t="s">
        <v>8524</v>
      </c>
    </row>
    <row r="250" spans="1:1" ht="15.75" customHeight="1">
      <c r="A250" s="87" t="s">
        <v>8525</v>
      </c>
    </row>
    <row r="251" spans="1:1" ht="15.75" customHeight="1">
      <c r="A251" s="87" t="s">
        <v>8526</v>
      </c>
    </row>
    <row r="252" spans="1:1" ht="15.75" customHeight="1">
      <c r="A252" s="87" t="s">
        <v>8527</v>
      </c>
    </row>
    <row r="253" spans="1:1" ht="15.75" customHeight="1">
      <c r="A253" s="87" t="s">
        <v>8528</v>
      </c>
    </row>
    <row r="254" spans="1:1" ht="15.75" customHeight="1">
      <c r="A254" s="87" t="s">
        <v>8529</v>
      </c>
    </row>
    <row r="255" spans="1:1" ht="15.75" customHeight="1">
      <c r="A255" s="87" t="s">
        <v>8530</v>
      </c>
    </row>
    <row r="256" spans="1:1" ht="15.75" customHeight="1">
      <c r="A256" s="87" t="s">
        <v>8531</v>
      </c>
    </row>
    <row r="257" spans="1:1" ht="15.75" customHeight="1">
      <c r="A257" s="87" t="s">
        <v>8532</v>
      </c>
    </row>
    <row r="258" spans="1:1" ht="15.75" customHeight="1">
      <c r="A258" s="87" t="s">
        <v>8533</v>
      </c>
    </row>
    <row r="259" spans="1:1" ht="15.75" customHeight="1">
      <c r="A259" s="87" t="s">
        <v>8534</v>
      </c>
    </row>
    <row r="260" spans="1:1" ht="15.75" customHeight="1">
      <c r="A260" s="87" t="s">
        <v>8535</v>
      </c>
    </row>
    <row r="261" spans="1:1" ht="15.75" customHeight="1">
      <c r="A261" s="87" t="s">
        <v>8536</v>
      </c>
    </row>
    <row r="262" spans="1:1" ht="15.75" customHeight="1">
      <c r="A262" s="87" t="s">
        <v>8537</v>
      </c>
    </row>
    <row r="263" spans="1:1" ht="15.75" customHeight="1">
      <c r="A263" s="87" t="s">
        <v>8538</v>
      </c>
    </row>
    <row r="264" spans="1:1" ht="15.75" customHeight="1">
      <c r="A264" s="87" t="s">
        <v>8539</v>
      </c>
    </row>
    <row r="265" spans="1:1" ht="15.75" customHeight="1">
      <c r="A265" s="87" t="s">
        <v>8540</v>
      </c>
    </row>
    <row r="266" spans="1:1" ht="15.75" customHeight="1">
      <c r="A266" s="87" t="s">
        <v>8541</v>
      </c>
    </row>
    <row r="267" spans="1:1" ht="15.75" customHeight="1">
      <c r="A267" s="87" t="s">
        <v>8542</v>
      </c>
    </row>
    <row r="268" spans="1:1" ht="15.75" customHeight="1">
      <c r="A268" s="87" t="s">
        <v>8543</v>
      </c>
    </row>
    <row r="269" spans="1:1" ht="15.75" customHeight="1">
      <c r="A269" s="87" t="s">
        <v>8544</v>
      </c>
    </row>
    <row r="270" spans="1:1" ht="15.75" customHeight="1">
      <c r="A270" s="87" t="s">
        <v>8545</v>
      </c>
    </row>
    <row r="271" spans="1:1" ht="15.75" customHeight="1">
      <c r="A271" s="87" t="s">
        <v>8546</v>
      </c>
    </row>
    <row r="272" spans="1:1" ht="15.75" customHeight="1">
      <c r="A272" s="87" t="s">
        <v>8547</v>
      </c>
    </row>
    <row r="273" spans="1:1" ht="15.75" customHeight="1">
      <c r="A273" s="87" t="s">
        <v>8548</v>
      </c>
    </row>
    <row r="274" spans="1:1" ht="15.75" customHeight="1">
      <c r="A274" s="87" t="s">
        <v>8549</v>
      </c>
    </row>
    <row r="275" spans="1:1" ht="15.75" customHeight="1">
      <c r="A275" s="87" t="s">
        <v>8550</v>
      </c>
    </row>
    <row r="276" spans="1:1" ht="15.75" customHeight="1">
      <c r="A276" s="87" t="s">
        <v>8551</v>
      </c>
    </row>
    <row r="277" spans="1:1" ht="15.75" customHeight="1">
      <c r="A277" s="87" t="s">
        <v>8552</v>
      </c>
    </row>
    <row r="278" spans="1:1" ht="15.75" customHeight="1">
      <c r="A278" s="87" t="s">
        <v>8553</v>
      </c>
    </row>
    <row r="279" spans="1:1" ht="15.75" customHeight="1">
      <c r="A279" s="87" t="s">
        <v>8554</v>
      </c>
    </row>
    <row r="280" spans="1:1" ht="15.75" customHeight="1">
      <c r="A280" s="87" t="s">
        <v>8555</v>
      </c>
    </row>
    <row r="281" spans="1:1" ht="15.75" customHeight="1">
      <c r="A281" s="87" t="s">
        <v>8556</v>
      </c>
    </row>
    <row r="282" spans="1:1" ht="15.75" customHeight="1">
      <c r="A282" s="87" t="s">
        <v>8557</v>
      </c>
    </row>
    <row r="283" spans="1:1" ht="15.75" customHeight="1">
      <c r="A283" s="87" t="s">
        <v>8558</v>
      </c>
    </row>
    <row r="284" spans="1:1" ht="15.75" customHeight="1">
      <c r="A284" s="87" t="s">
        <v>8559</v>
      </c>
    </row>
    <row r="285" spans="1:1" ht="15.75" customHeight="1">
      <c r="A285" s="87" t="s">
        <v>8560</v>
      </c>
    </row>
    <row r="286" spans="1:1" ht="15.75" customHeight="1">
      <c r="A286" s="87" t="s">
        <v>8561</v>
      </c>
    </row>
    <row r="287" spans="1:1" ht="15.75" customHeight="1">
      <c r="A287" s="87" t="s">
        <v>8562</v>
      </c>
    </row>
    <row r="288" spans="1:1" ht="15.75" customHeight="1">
      <c r="A288" s="87" t="s">
        <v>8563</v>
      </c>
    </row>
    <row r="289" spans="1:1" ht="15.75" customHeight="1">
      <c r="A289" s="87" t="s">
        <v>8564</v>
      </c>
    </row>
    <row r="290" spans="1:1" ht="15.75" customHeight="1">
      <c r="A290" s="87" t="s">
        <v>8565</v>
      </c>
    </row>
    <row r="291" spans="1:1" ht="15.75" customHeight="1">
      <c r="A291" s="87" t="s">
        <v>8566</v>
      </c>
    </row>
    <row r="292" spans="1:1" ht="15.75" customHeight="1">
      <c r="A292" s="87" t="s">
        <v>8567</v>
      </c>
    </row>
    <row r="293" spans="1:1" ht="15.75" customHeight="1">
      <c r="A293" s="87" t="s">
        <v>8568</v>
      </c>
    </row>
    <row r="294" spans="1:1" ht="15.75" customHeight="1">
      <c r="A294" s="87" t="s">
        <v>8569</v>
      </c>
    </row>
    <row r="295" spans="1:1" ht="15.75" customHeight="1">
      <c r="A295" s="87" t="s">
        <v>8570</v>
      </c>
    </row>
    <row r="296" spans="1:1" ht="15.75" customHeight="1">
      <c r="A296" s="87" t="s">
        <v>8571</v>
      </c>
    </row>
    <row r="297" spans="1:1" ht="15.75" customHeight="1">
      <c r="A297" s="87" t="s">
        <v>8572</v>
      </c>
    </row>
    <row r="298" spans="1:1" ht="15.75" customHeight="1">
      <c r="A298" s="87" t="s">
        <v>8573</v>
      </c>
    </row>
    <row r="299" spans="1:1" ht="15.75" customHeight="1">
      <c r="A299" s="87" t="s">
        <v>8574</v>
      </c>
    </row>
    <row r="300" spans="1:1" ht="15.75" customHeight="1">
      <c r="A300" s="87" t="s">
        <v>8575</v>
      </c>
    </row>
    <row r="301" spans="1:1" ht="15.75" customHeight="1">
      <c r="A301" s="87" t="s">
        <v>8576</v>
      </c>
    </row>
    <row r="302" spans="1:1" ht="15.75" customHeight="1">
      <c r="A302" s="87" t="s">
        <v>8577</v>
      </c>
    </row>
    <row r="303" spans="1:1" ht="15.75" customHeight="1">
      <c r="A303" s="87" t="s">
        <v>8578</v>
      </c>
    </row>
    <row r="304" spans="1:1" ht="15.75" customHeight="1">
      <c r="A304" s="87" t="s">
        <v>8579</v>
      </c>
    </row>
    <row r="305" spans="1:121" ht="15.75" customHeight="1">
      <c r="A305" s="87" t="s">
        <v>8580</v>
      </c>
    </row>
    <row r="306" spans="1:121" ht="15.75" customHeight="1">
      <c r="A306" s="87" t="s">
        <v>8581</v>
      </c>
    </row>
    <row r="307" spans="1:121" ht="15.75" customHeight="1">
      <c r="A307" s="87" t="s">
        <v>8582</v>
      </c>
    </row>
    <row r="308" spans="1:121" ht="15.75" customHeight="1">
      <c r="A308" s="87" t="s">
        <v>8583</v>
      </c>
    </row>
    <row r="309" spans="1:121" ht="15.75" customHeight="1">
      <c r="A309" s="87" t="s">
        <v>8584</v>
      </c>
    </row>
    <row r="310" spans="1:121" ht="15.75" customHeight="1">
      <c r="A310" s="87" t="s">
        <v>8585</v>
      </c>
    </row>
    <row r="311" spans="1:121" ht="15.75" customHeight="1">
      <c r="A311" s="87" t="s">
        <v>8586</v>
      </c>
    </row>
    <row r="312" spans="1:121" ht="15.75" customHeight="1">
      <c r="A312" s="87" t="s">
        <v>8587</v>
      </c>
    </row>
    <row r="313" spans="1:121" ht="15.75" customHeight="1">
      <c r="A313" s="87" t="s">
        <v>8588</v>
      </c>
    </row>
    <row r="314" spans="1:121" ht="15.75" customHeight="1">
      <c r="A314" s="87" t="s">
        <v>8589</v>
      </c>
    </row>
    <row r="315" spans="1:121" ht="15.75" customHeight="1">
      <c r="A315" s="87" t="s">
        <v>8590</v>
      </c>
      <c r="DN315" s="9" t="s">
        <v>2971</v>
      </c>
      <c r="DO315" s="9" t="s">
        <v>2971</v>
      </c>
      <c r="DP315" s="9" t="s">
        <v>2971</v>
      </c>
      <c r="DQ315" s="9" t="s">
        <v>2971</v>
      </c>
    </row>
    <row r="316" spans="1:121" ht="15.75" customHeight="1">
      <c r="A316" s="87" t="s">
        <v>8591</v>
      </c>
      <c r="Z316" s="9" t="s">
        <v>2971</v>
      </c>
      <c r="AA316" s="9" t="s">
        <v>2971</v>
      </c>
      <c r="AB316" s="9" t="s">
        <v>2971</v>
      </c>
      <c r="AC316" s="9" t="s">
        <v>2971</v>
      </c>
      <c r="AD316" s="9" t="s">
        <v>2971</v>
      </c>
      <c r="AE316" s="9" t="s">
        <v>2971</v>
      </c>
      <c r="AF316" s="9" t="s">
        <v>2971</v>
      </c>
      <c r="AG316" s="9" t="s">
        <v>2971</v>
      </c>
      <c r="AH316" s="9" t="s">
        <v>2971</v>
      </c>
      <c r="AI316" s="9" t="s">
        <v>2971</v>
      </c>
      <c r="AJ316" s="9" t="s">
        <v>2971</v>
      </c>
      <c r="AK316" s="9" t="s">
        <v>2971</v>
      </c>
      <c r="AL316" s="9" t="s">
        <v>2971</v>
      </c>
      <c r="AM316" s="9" t="s">
        <v>2971</v>
      </c>
      <c r="AN316" s="9" t="s">
        <v>2971</v>
      </c>
      <c r="AO316" s="9" t="s">
        <v>2971</v>
      </c>
      <c r="AP316" s="9" t="s">
        <v>2971</v>
      </c>
      <c r="AQ316" s="9" t="s">
        <v>2971</v>
      </c>
      <c r="AR316" s="9" t="s">
        <v>2971</v>
      </c>
      <c r="AS316" s="9" t="s">
        <v>2971</v>
      </c>
      <c r="AT316" s="9" t="s">
        <v>2971</v>
      </c>
      <c r="AU316" s="9" t="s">
        <v>2971</v>
      </c>
      <c r="AV316" s="9" t="s">
        <v>2971</v>
      </c>
      <c r="AW316" s="9" t="s">
        <v>2971</v>
      </c>
      <c r="AX316" s="9" t="s">
        <v>2971</v>
      </c>
      <c r="AY316" s="9" t="s">
        <v>2971</v>
      </c>
      <c r="AZ316" s="9" t="s">
        <v>2971</v>
      </c>
      <c r="BA316" s="9" t="s">
        <v>2971</v>
      </c>
      <c r="BB316" s="9" t="s">
        <v>2971</v>
      </c>
      <c r="BC316" s="9" t="s">
        <v>2971</v>
      </c>
      <c r="BD316" s="9" t="s">
        <v>2971</v>
      </c>
      <c r="BE316" s="9" t="s">
        <v>2971</v>
      </c>
      <c r="BF316" s="9" t="s">
        <v>2971</v>
      </c>
      <c r="BG316" s="9" t="s">
        <v>2971</v>
      </c>
      <c r="BH316" s="9" t="s">
        <v>2971</v>
      </c>
      <c r="BI316" s="9" t="s">
        <v>2971</v>
      </c>
      <c r="BJ316" s="9" t="s">
        <v>2971</v>
      </c>
      <c r="BK316" s="9" t="s">
        <v>2971</v>
      </c>
      <c r="BL316" s="9" t="s">
        <v>2971</v>
      </c>
      <c r="BM316" s="9" t="s">
        <v>2971</v>
      </c>
      <c r="BN316" s="9" t="s">
        <v>2971</v>
      </c>
      <c r="BO316" s="9" t="s">
        <v>2971</v>
      </c>
      <c r="BP316" s="9" t="s">
        <v>2971</v>
      </c>
      <c r="BQ316" s="9" t="s">
        <v>2971</v>
      </c>
      <c r="BR316" s="9" t="s">
        <v>2971</v>
      </c>
      <c r="BS316" s="9" t="s">
        <v>2971</v>
      </c>
      <c r="BT316" s="9" t="s">
        <v>2971</v>
      </c>
      <c r="BU316" s="9" t="s">
        <v>2971</v>
      </c>
      <c r="BV316" s="9" t="s">
        <v>2971</v>
      </c>
      <c r="BW316" s="9" t="s">
        <v>2971</v>
      </c>
      <c r="BX316" s="9" t="s">
        <v>2971</v>
      </c>
      <c r="BY316" s="9" t="s">
        <v>2971</v>
      </c>
      <c r="BZ316" s="9" t="s">
        <v>2971</v>
      </c>
      <c r="CA316" s="9" t="s">
        <v>2971</v>
      </c>
      <c r="CB316" s="9" t="s">
        <v>2971</v>
      </c>
      <c r="CC316" s="9" t="s">
        <v>2971</v>
      </c>
      <c r="CD316" s="9" t="s">
        <v>2971</v>
      </c>
      <c r="CE316" s="9" t="s">
        <v>2971</v>
      </c>
      <c r="CF316" s="9" t="s">
        <v>2971</v>
      </c>
      <c r="CG316" s="9" t="s">
        <v>2971</v>
      </c>
      <c r="CH316" s="9" t="s">
        <v>2971</v>
      </c>
      <c r="CI316" s="9" t="s">
        <v>2971</v>
      </c>
      <c r="CJ316" s="9" t="s">
        <v>2971</v>
      </c>
      <c r="CK316" s="9" t="s">
        <v>2971</v>
      </c>
      <c r="CL316" s="9" t="s">
        <v>2971</v>
      </c>
      <c r="CM316" s="9" t="s">
        <v>2971</v>
      </c>
      <c r="CN316" s="9" t="s">
        <v>2971</v>
      </c>
      <c r="CO316" s="9" t="s">
        <v>2971</v>
      </c>
      <c r="CP316" s="9" t="s">
        <v>2971</v>
      </c>
      <c r="CQ316" s="9" t="s">
        <v>2971</v>
      </c>
      <c r="CR316" s="9" t="s">
        <v>2971</v>
      </c>
      <c r="CS316" s="9" t="s">
        <v>2971</v>
      </c>
      <c r="CT316" s="9" t="s">
        <v>2971</v>
      </c>
      <c r="CU316" s="9" t="s">
        <v>2971</v>
      </c>
      <c r="CV316" s="9" t="s">
        <v>2971</v>
      </c>
      <c r="CW316" s="9" t="s">
        <v>2971</v>
      </c>
      <c r="CX316" s="9" t="s">
        <v>2971</v>
      </c>
      <c r="CY316" s="9" t="s">
        <v>2971</v>
      </c>
      <c r="CZ316" s="9" t="s">
        <v>2971</v>
      </c>
      <c r="DA316" s="9" t="s">
        <v>2971</v>
      </c>
      <c r="DB316" s="9" t="s">
        <v>2971</v>
      </c>
      <c r="DC316" s="9" t="s">
        <v>2971</v>
      </c>
      <c r="DD316" s="9" t="s">
        <v>2971</v>
      </c>
      <c r="DE316" s="9" t="s">
        <v>2971</v>
      </c>
      <c r="DF316" s="9" t="s">
        <v>2971</v>
      </c>
      <c r="DG316" s="9" t="s">
        <v>2971</v>
      </c>
      <c r="DH316" s="9" t="s">
        <v>2971</v>
      </c>
      <c r="DI316" s="9" t="s">
        <v>2971</v>
      </c>
      <c r="DJ316" s="9" t="s">
        <v>2971</v>
      </c>
      <c r="DK316" s="9" t="s">
        <v>2971</v>
      </c>
      <c r="DL316" s="9" t="s">
        <v>2971</v>
      </c>
      <c r="DM316" s="9" t="s">
        <v>2971</v>
      </c>
      <c r="DN316" s="9" t="s">
        <v>2971</v>
      </c>
      <c r="DO316" s="9" t="s">
        <v>2971</v>
      </c>
      <c r="DP316" s="9" t="s">
        <v>2971</v>
      </c>
      <c r="DQ316" s="9" t="s">
        <v>2971</v>
      </c>
    </row>
    <row r="317" spans="1:121" ht="15.75" customHeight="1">
      <c r="A317" s="87" t="s">
        <v>8592</v>
      </c>
      <c r="BS317" s="9" t="s">
        <v>6625</v>
      </c>
      <c r="BT317" s="9" t="s">
        <v>6625</v>
      </c>
      <c r="BU317" s="9" t="s">
        <v>6625</v>
      </c>
      <c r="BV317" s="9" t="s">
        <v>6625</v>
      </c>
      <c r="BW317" s="9" t="s">
        <v>6625</v>
      </c>
      <c r="BX317" s="9" t="s">
        <v>6625</v>
      </c>
      <c r="BY317" s="9" t="s">
        <v>6625</v>
      </c>
      <c r="BZ317" s="9" t="s">
        <v>6625</v>
      </c>
      <c r="CA317" s="9" t="s">
        <v>6625</v>
      </c>
      <c r="CB317" s="9" t="s">
        <v>6625</v>
      </c>
      <c r="CC317" s="9" t="s">
        <v>6625</v>
      </c>
      <c r="CD317" s="9" t="s">
        <v>6625</v>
      </c>
      <c r="CE317" s="9" t="s">
        <v>6625</v>
      </c>
      <c r="CF317" s="9" t="s">
        <v>6625</v>
      </c>
      <c r="CG317" s="9" t="s">
        <v>6625</v>
      </c>
      <c r="CH317" s="9" t="s">
        <v>6625</v>
      </c>
      <c r="CI317" s="9" t="s">
        <v>6625</v>
      </c>
      <c r="CJ317" s="9" t="s">
        <v>6625</v>
      </c>
      <c r="CK317" s="9" t="s">
        <v>6625</v>
      </c>
      <c r="CL317" s="9" t="s">
        <v>6625</v>
      </c>
      <c r="CM317" s="9" t="s">
        <v>6625</v>
      </c>
      <c r="CN317" s="9" t="s">
        <v>6625</v>
      </c>
      <c r="CO317" s="9" t="s">
        <v>6625</v>
      </c>
      <c r="CP317" s="9" t="s">
        <v>6625</v>
      </c>
      <c r="CQ317" s="9" t="s">
        <v>6625</v>
      </c>
      <c r="CR317" s="9" t="s">
        <v>6625</v>
      </c>
      <c r="CS317" s="9" t="s">
        <v>6625</v>
      </c>
      <c r="CT317" s="9" t="s">
        <v>6625</v>
      </c>
      <c r="CU317" s="9" t="s">
        <v>6625</v>
      </c>
      <c r="CV317" s="9" t="s">
        <v>6625</v>
      </c>
      <c r="CW317" s="9" t="s">
        <v>6625</v>
      </c>
      <c r="CX317" s="9" t="s">
        <v>6625</v>
      </c>
      <c r="CY317" s="9" t="s">
        <v>6625</v>
      </c>
      <c r="CZ317" s="9" t="s">
        <v>6625</v>
      </c>
      <c r="DA317" s="9" t="s">
        <v>6625</v>
      </c>
      <c r="DB317" s="9" t="s">
        <v>6625</v>
      </c>
      <c r="DC317" s="9" t="s">
        <v>6625</v>
      </c>
      <c r="DD317" s="9" t="s">
        <v>6625</v>
      </c>
      <c r="DE317" s="9" t="s">
        <v>6625</v>
      </c>
      <c r="DF317" s="9" t="s">
        <v>6625</v>
      </c>
      <c r="DG317" s="9" t="s">
        <v>6625</v>
      </c>
      <c r="DH317" s="9" t="s">
        <v>6625</v>
      </c>
      <c r="DI317" s="9" t="s">
        <v>6625</v>
      </c>
      <c r="DJ317" s="9" t="s">
        <v>6625</v>
      </c>
      <c r="DK317" s="9" t="s">
        <v>6625</v>
      </c>
      <c r="DL317" s="9" t="s">
        <v>6625</v>
      </c>
      <c r="DM317" s="9" t="s">
        <v>6625</v>
      </c>
      <c r="DN317" s="9" t="s">
        <v>6625</v>
      </c>
      <c r="DO317" s="9" t="s">
        <v>6625</v>
      </c>
      <c r="DP317" s="9" t="s">
        <v>6625</v>
      </c>
      <c r="DQ317" s="9" t="s">
        <v>6625</v>
      </c>
    </row>
    <row r="318" spans="1:121" ht="15.75" customHeight="1">
      <c r="A318" s="87" t="s">
        <v>8593</v>
      </c>
    </row>
    <row r="319" spans="1:121" ht="15.75" customHeight="1">
      <c r="A319" s="87" t="s">
        <v>8594</v>
      </c>
    </row>
    <row r="320" spans="1:121" ht="15.75" customHeight="1">
      <c r="A320" s="87" t="s">
        <v>8595</v>
      </c>
    </row>
    <row r="321" spans="1:1" ht="15.75" customHeight="1">
      <c r="A321" s="87" t="s">
        <v>8596</v>
      </c>
    </row>
    <row r="322" spans="1:1" ht="15.75" customHeight="1">
      <c r="A322" s="87" t="s">
        <v>8597</v>
      </c>
    </row>
    <row r="323" spans="1:1" ht="15.75" customHeight="1">
      <c r="A323" s="87" t="s">
        <v>8598</v>
      </c>
    </row>
    <row r="324" spans="1:1" ht="15.75" customHeight="1">
      <c r="A324" s="87" t="s">
        <v>8599</v>
      </c>
    </row>
    <row r="325" spans="1:1" ht="15.75" customHeight="1">
      <c r="A325" s="87" t="s">
        <v>8600</v>
      </c>
    </row>
    <row r="326" spans="1:1" ht="15.75" customHeight="1">
      <c r="A326" s="87" t="s">
        <v>8601</v>
      </c>
    </row>
    <row r="327" spans="1:1" ht="15.75" customHeight="1">
      <c r="A327" s="87" t="s">
        <v>8602</v>
      </c>
    </row>
    <row r="328" spans="1:1" ht="15.75" customHeight="1">
      <c r="A328" s="87" t="s">
        <v>8603</v>
      </c>
    </row>
    <row r="329" spans="1:1" ht="15.75" customHeight="1">
      <c r="A329" s="87" t="s">
        <v>8604</v>
      </c>
    </row>
    <row r="330" spans="1:1" ht="15.75" customHeight="1">
      <c r="A330" s="87" t="s">
        <v>8605</v>
      </c>
    </row>
    <row r="331" spans="1:1" ht="15.75" customHeight="1">
      <c r="A331" s="87" t="s">
        <v>8606</v>
      </c>
    </row>
    <row r="332" spans="1:1" ht="15.75" customHeight="1">
      <c r="A332" s="87" t="s">
        <v>8607</v>
      </c>
    </row>
    <row r="333" spans="1:1" ht="15.75" customHeight="1">
      <c r="A333" s="87" t="s">
        <v>8608</v>
      </c>
    </row>
    <row r="334" spans="1:1" ht="15.75" customHeight="1">
      <c r="A334" s="87" t="s">
        <v>8609</v>
      </c>
    </row>
    <row r="335" spans="1:1" ht="15.75" customHeight="1">
      <c r="A335" s="87" t="s">
        <v>8610</v>
      </c>
    </row>
    <row r="336" spans="1:1" ht="15.75" customHeight="1">
      <c r="A336" s="87" t="s">
        <v>8611</v>
      </c>
    </row>
    <row r="337" spans="1:121" ht="15.75" customHeight="1">
      <c r="A337" s="87" t="s">
        <v>8612</v>
      </c>
    </row>
    <row r="338" spans="1:121" ht="15.75" customHeight="1">
      <c r="A338" s="87" t="s">
        <v>8613</v>
      </c>
    </row>
    <row r="339" spans="1:121" ht="15.75" customHeight="1">
      <c r="A339" s="87" t="s">
        <v>8614</v>
      </c>
    </row>
    <row r="340" spans="1:121" ht="15.75" customHeight="1">
      <c r="A340" s="87" t="s">
        <v>8615</v>
      </c>
    </row>
    <row r="341" spans="1:121" ht="15.75" customHeight="1">
      <c r="A341" s="87" t="s">
        <v>8616</v>
      </c>
    </row>
    <row r="342" spans="1:121" ht="15.75" customHeight="1">
      <c r="A342" s="87" t="s">
        <v>8617</v>
      </c>
    </row>
    <row r="343" spans="1:121" ht="15.75" customHeight="1">
      <c r="A343" s="87" t="s">
        <v>8618</v>
      </c>
    </row>
    <row r="344" spans="1:121" ht="15.75" customHeight="1">
      <c r="A344" s="87" t="s">
        <v>8619</v>
      </c>
      <c r="DQ344" s="9" t="s">
        <v>6545</v>
      </c>
    </row>
    <row r="345" spans="1:121" ht="15.75" customHeight="1">
      <c r="A345" s="87" t="s">
        <v>8620</v>
      </c>
    </row>
    <row r="346" spans="1:121" ht="15.75" customHeight="1">
      <c r="A346" s="87" t="s">
        <v>8621</v>
      </c>
    </row>
    <row r="347" spans="1:121" ht="15.75" customHeight="1">
      <c r="A347" s="87" t="s">
        <v>8622</v>
      </c>
    </row>
    <row r="348" spans="1:121" ht="15.75" customHeight="1">
      <c r="A348" s="87" t="s">
        <v>8623</v>
      </c>
    </row>
    <row r="349" spans="1:121" ht="15.75" customHeight="1">
      <c r="A349" s="87" t="s">
        <v>8624</v>
      </c>
    </row>
    <row r="350" spans="1:121" ht="15.75" customHeight="1">
      <c r="A350" s="87" t="s">
        <v>8625</v>
      </c>
    </row>
    <row r="351" spans="1:121" ht="15.75" customHeight="1">
      <c r="A351" s="87" t="s">
        <v>8626</v>
      </c>
    </row>
    <row r="352" spans="1:121" ht="15.75" customHeight="1">
      <c r="A352" s="87" t="s">
        <v>8627</v>
      </c>
    </row>
    <row r="353" spans="1:1" ht="15.75" customHeight="1">
      <c r="A353" s="87" t="s">
        <v>8628</v>
      </c>
    </row>
    <row r="354" spans="1:1" ht="15.75" customHeight="1">
      <c r="A354" s="87" t="s">
        <v>8629</v>
      </c>
    </row>
    <row r="355" spans="1:1" ht="15.75" customHeight="1">
      <c r="A355" s="87" t="s">
        <v>8630</v>
      </c>
    </row>
    <row r="356" spans="1:1" ht="15.75" customHeight="1">
      <c r="A356" s="87" t="s">
        <v>8631</v>
      </c>
    </row>
    <row r="357" spans="1:1" ht="15.75" customHeight="1">
      <c r="A357" s="87" t="s">
        <v>8632</v>
      </c>
    </row>
    <row r="358" spans="1:1" ht="15.75" customHeight="1">
      <c r="A358" s="87" t="s">
        <v>8633</v>
      </c>
    </row>
    <row r="359" spans="1:1" ht="15.75" customHeight="1">
      <c r="A359" s="87" t="s">
        <v>8634</v>
      </c>
    </row>
    <row r="360" spans="1:1" ht="15.75" customHeight="1">
      <c r="A360" s="87" t="s">
        <v>8635</v>
      </c>
    </row>
    <row r="361" spans="1:1" ht="15.75" customHeight="1">
      <c r="A361" s="87" t="s">
        <v>8636</v>
      </c>
    </row>
    <row r="362" spans="1:1" ht="15.75" customHeight="1">
      <c r="A362" s="87" t="s">
        <v>8637</v>
      </c>
    </row>
    <row r="363" spans="1:1" ht="15.75" customHeight="1">
      <c r="A363" s="87" t="s">
        <v>8638</v>
      </c>
    </row>
    <row r="364" spans="1:1" ht="15.75" customHeight="1">
      <c r="A364" s="87" t="s">
        <v>8639</v>
      </c>
    </row>
    <row r="365" spans="1:1" ht="15.75" customHeight="1">
      <c r="A365" s="87" t="s">
        <v>8640</v>
      </c>
    </row>
    <row r="366" spans="1:1" ht="15.75" customHeight="1">
      <c r="A366" s="87" t="s">
        <v>8641</v>
      </c>
    </row>
    <row r="367" spans="1:1" ht="15.75" customHeight="1">
      <c r="A367" s="87" t="s">
        <v>8642</v>
      </c>
    </row>
    <row r="368" spans="1:1" ht="15.75" customHeight="1">
      <c r="A368" s="87" t="s">
        <v>8643</v>
      </c>
    </row>
    <row r="369" spans="1:1" ht="15.75" customHeight="1">
      <c r="A369" s="87" t="s">
        <v>8644</v>
      </c>
    </row>
    <row r="370" spans="1:1" ht="15.75" customHeight="1">
      <c r="A370" s="87" t="s">
        <v>8645</v>
      </c>
    </row>
    <row r="371" spans="1:1" ht="15.75" customHeight="1">
      <c r="A371" s="87" t="s">
        <v>8646</v>
      </c>
    </row>
    <row r="372" spans="1:1" ht="15.75" customHeight="1">
      <c r="A372" s="87" t="s">
        <v>8647</v>
      </c>
    </row>
    <row r="373" spans="1:1" ht="15.75" customHeight="1">
      <c r="A373" s="87" t="s">
        <v>8648</v>
      </c>
    </row>
    <row r="374" spans="1:1" ht="15.75" customHeight="1">
      <c r="A374" s="87" t="s">
        <v>8649</v>
      </c>
    </row>
    <row r="375" spans="1:1" ht="15.75" customHeight="1">
      <c r="A375" s="87" t="s">
        <v>8650</v>
      </c>
    </row>
    <row r="376" spans="1:1" ht="15.75" customHeight="1">
      <c r="A376" s="87" t="s">
        <v>8651</v>
      </c>
    </row>
    <row r="377" spans="1:1" ht="15.75" customHeight="1">
      <c r="A377" s="87" t="s">
        <v>8652</v>
      </c>
    </row>
    <row r="378" spans="1:1" ht="15.75" customHeight="1">
      <c r="A378" s="87" t="s">
        <v>8653</v>
      </c>
    </row>
    <row r="379" spans="1:1" ht="15.75" customHeight="1">
      <c r="A379" s="87" t="s">
        <v>8654</v>
      </c>
    </row>
    <row r="380" spans="1:1" ht="15.75" customHeight="1">
      <c r="A380" s="87" t="s">
        <v>8655</v>
      </c>
    </row>
    <row r="381" spans="1:1" ht="15.75" customHeight="1">
      <c r="A381" s="87" t="s">
        <v>8656</v>
      </c>
    </row>
    <row r="382" spans="1:1" ht="15.75" customHeight="1">
      <c r="A382" s="87" t="s">
        <v>8657</v>
      </c>
    </row>
    <row r="383" spans="1:1" ht="15.75" customHeight="1">
      <c r="A383" s="87" t="s">
        <v>8658</v>
      </c>
    </row>
    <row r="384" spans="1:1" ht="15.75" customHeight="1">
      <c r="A384" s="87" t="s">
        <v>8659</v>
      </c>
    </row>
    <row r="385" spans="1:1" ht="15.75" customHeight="1">
      <c r="A385" s="87" t="s">
        <v>8660</v>
      </c>
    </row>
    <row r="386" spans="1:1" ht="15.75" customHeight="1">
      <c r="A386" s="87" t="s">
        <v>8661</v>
      </c>
    </row>
    <row r="387" spans="1:1" ht="15.75" customHeight="1">
      <c r="A387" s="87" t="s">
        <v>8662</v>
      </c>
    </row>
    <row r="388" spans="1:1" ht="15.75" customHeight="1">
      <c r="A388" s="87" t="s">
        <v>8663</v>
      </c>
    </row>
    <row r="389" spans="1:1" ht="15.75" customHeight="1">
      <c r="A389" s="87" t="s">
        <v>8664</v>
      </c>
    </row>
    <row r="390" spans="1:1" ht="15.75" customHeight="1">
      <c r="A390" s="87" t="s">
        <v>8665</v>
      </c>
    </row>
    <row r="391" spans="1:1" ht="15.75" customHeight="1">
      <c r="A391" s="87" t="s">
        <v>8666</v>
      </c>
    </row>
    <row r="392" spans="1:1" ht="15.75" customHeight="1">
      <c r="A392" s="87" t="s">
        <v>8667</v>
      </c>
    </row>
    <row r="393" spans="1:1" ht="15.75" customHeight="1">
      <c r="A393" s="87" t="s">
        <v>8668</v>
      </c>
    </row>
    <row r="394" spans="1:1" ht="15.75" customHeight="1">
      <c r="A394" s="87" t="s">
        <v>8669</v>
      </c>
    </row>
    <row r="395" spans="1:1" ht="15.75" customHeight="1">
      <c r="A395" s="87" t="s">
        <v>8670</v>
      </c>
    </row>
    <row r="396" spans="1:1" ht="15.75" customHeight="1">
      <c r="A396" s="87" t="s">
        <v>8671</v>
      </c>
    </row>
    <row r="397" spans="1:1" ht="15.75" customHeight="1">
      <c r="A397" s="87" t="s">
        <v>8672</v>
      </c>
    </row>
    <row r="398" spans="1:1" ht="15.75" customHeight="1">
      <c r="A398" s="87" t="s">
        <v>8673</v>
      </c>
    </row>
    <row r="399" spans="1:1" ht="15.75" customHeight="1">
      <c r="A399" s="87" t="s">
        <v>8674</v>
      </c>
    </row>
    <row r="400" spans="1:1" ht="15.75" customHeight="1">
      <c r="A400" s="87" t="s">
        <v>8675</v>
      </c>
    </row>
    <row r="401" spans="1:1" ht="15.75" customHeight="1">
      <c r="A401" s="87" t="s">
        <v>8676</v>
      </c>
    </row>
    <row r="402" spans="1:1" ht="15.75" customHeight="1">
      <c r="A402" s="87" t="s">
        <v>8677</v>
      </c>
    </row>
    <row r="403" spans="1:1" ht="15.75" customHeight="1">
      <c r="A403" s="87" t="s">
        <v>8678</v>
      </c>
    </row>
    <row r="404" spans="1:1" ht="15.75" customHeight="1">
      <c r="A404" s="87" t="s">
        <v>8679</v>
      </c>
    </row>
    <row r="405" spans="1:1" ht="15.75" customHeight="1">
      <c r="A405" s="87" t="s">
        <v>8680</v>
      </c>
    </row>
    <row r="406" spans="1:1" ht="15.75" customHeight="1">
      <c r="A406" s="87" t="s">
        <v>8681</v>
      </c>
    </row>
    <row r="407" spans="1:1" ht="15.75" customHeight="1">
      <c r="A407" s="87" t="s">
        <v>8682</v>
      </c>
    </row>
    <row r="408" spans="1:1" ht="15.75" customHeight="1">
      <c r="A408" s="87" t="s">
        <v>8683</v>
      </c>
    </row>
    <row r="409" spans="1:1" ht="15.75" customHeight="1">
      <c r="A409" s="87" t="s">
        <v>8684</v>
      </c>
    </row>
    <row r="410" spans="1:1" ht="15.75" customHeight="1">
      <c r="A410" s="87" t="s">
        <v>8685</v>
      </c>
    </row>
    <row r="411" spans="1:1" ht="15.75" customHeight="1">
      <c r="A411" s="87" t="s">
        <v>8686</v>
      </c>
    </row>
    <row r="412" spans="1:1" ht="15.75" customHeight="1">
      <c r="A412" s="87" t="s">
        <v>8687</v>
      </c>
    </row>
    <row r="413" spans="1:1" ht="15.75" customHeight="1">
      <c r="A413" s="87" t="s">
        <v>8688</v>
      </c>
    </row>
    <row r="414" spans="1:1" ht="15.75" customHeight="1">
      <c r="A414" s="87" t="s">
        <v>8689</v>
      </c>
    </row>
    <row r="415" spans="1:1" ht="15.75" customHeight="1">
      <c r="A415" s="87" t="s">
        <v>8690</v>
      </c>
    </row>
    <row r="416" spans="1:1" ht="15.75" customHeight="1">
      <c r="A416" s="87" t="s">
        <v>8691</v>
      </c>
    </row>
    <row r="417" spans="1:1" ht="15.75" customHeight="1">
      <c r="A417" s="87" t="s">
        <v>8692</v>
      </c>
    </row>
    <row r="418" spans="1:1" ht="15.75" customHeight="1">
      <c r="A418" s="87" t="s">
        <v>8693</v>
      </c>
    </row>
    <row r="419" spans="1:1" ht="15.75" customHeight="1">
      <c r="A419" s="87" t="s">
        <v>8694</v>
      </c>
    </row>
    <row r="420" spans="1:1" ht="15.75" customHeight="1">
      <c r="A420" s="87" t="s">
        <v>8695</v>
      </c>
    </row>
    <row r="421" spans="1:1" ht="15.75" customHeight="1">
      <c r="A421" s="87" t="s">
        <v>8696</v>
      </c>
    </row>
    <row r="422" spans="1:1" ht="15.75" customHeight="1">
      <c r="A422" s="87" t="s">
        <v>8697</v>
      </c>
    </row>
    <row r="423" spans="1:1" ht="15.75" customHeight="1">
      <c r="A423" s="87" t="s">
        <v>8698</v>
      </c>
    </row>
    <row r="424" spans="1:1" ht="15.75" customHeight="1">
      <c r="A424" s="87" t="s">
        <v>8699</v>
      </c>
    </row>
    <row r="425" spans="1:1" ht="15.75" customHeight="1">
      <c r="A425" s="87" t="s">
        <v>8700</v>
      </c>
    </row>
    <row r="426" spans="1:1" ht="15.75" customHeight="1">
      <c r="A426" s="87" t="s">
        <v>8701</v>
      </c>
    </row>
    <row r="427" spans="1:1" ht="15.75" customHeight="1">
      <c r="A427" s="87" t="s">
        <v>8702</v>
      </c>
    </row>
    <row r="428" spans="1:1" ht="15.75" customHeight="1">
      <c r="A428" s="87" t="s">
        <v>8703</v>
      </c>
    </row>
    <row r="429" spans="1:1" ht="15.75" customHeight="1">
      <c r="A429" s="87" t="s">
        <v>8704</v>
      </c>
    </row>
    <row r="430" spans="1:1" ht="15.75" customHeight="1">
      <c r="A430" s="87" t="s">
        <v>8705</v>
      </c>
    </row>
    <row r="431" spans="1:1" ht="15.75" customHeight="1">
      <c r="A431" s="87" t="s">
        <v>8706</v>
      </c>
    </row>
    <row r="432" spans="1:1" ht="15.75" customHeight="1">
      <c r="A432" s="87" t="s">
        <v>8707</v>
      </c>
    </row>
    <row r="433" spans="1:1" ht="15.75" customHeight="1">
      <c r="A433" s="87" t="s">
        <v>8708</v>
      </c>
    </row>
    <row r="434" spans="1:1" ht="15.75" customHeight="1">
      <c r="A434" s="87" t="s">
        <v>8709</v>
      </c>
    </row>
    <row r="435" spans="1:1" ht="15.75" customHeight="1">
      <c r="A435" s="87" t="s">
        <v>8710</v>
      </c>
    </row>
    <row r="436" spans="1:1" ht="15.75" customHeight="1">
      <c r="A436" s="87" t="s">
        <v>8711</v>
      </c>
    </row>
    <row r="437" spans="1:1" ht="15.75" customHeight="1">
      <c r="A437" s="87" t="s">
        <v>8712</v>
      </c>
    </row>
    <row r="438" spans="1:1" ht="15.75" customHeight="1">
      <c r="A438" s="87" t="s">
        <v>8713</v>
      </c>
    </row>
    <row r="439" spans="1:1" ht="15.75" customHeight="1">
      <c r="A439" s="87" t="s">
        <v>8714</v>
      </c>
    </row>
    <row r="440" spans="1:1" ht="15.75" customHeight="1">
      <c r="A440" s="87" t="s">
        <v>8715</v>
      </c>
    </row>
    <row r="441" spans="1:1" ht="15.75" customHeight="1">
      <c r="A441" s="87" t="s">
        <v>8716</v>
      </c>
    </row>
    <row r="442" spans="1:1" ht="15.75" customHeight="1">
      <c r="A442" s="87" t="s">
        <v>8717</v>
      </c>
    </row>
    <row r="443" spans="1:1" ht="15.75" customHeight="1">
      <c r="A443" s="87" t="s">
        <v>8718</v>
      </c>
    </row>
    <row r="444" spans="1:1" ht="15.75" customHeight="1">
      <c r="A444" s="87" t="s">
        <v>8719</v>
      </c>
    </row>
    <row r="445" spans="1:1" ht="15.75" customHeight="1">
      <c r="A445" s="87" t="s">
        <v>8720</v>
      </c>
    </row>
    <row r="446" spans="1:1" ht="15.75" customHeight="1">
      <c r="A446" s="87" t="s">
        <v>8721</v>
      </c>
    </row>
    <row r="447" spans="1:1" ht="15.75" customHeight="1">
      <c r="A447" s="87" t="s">
        <v>8722</v>
      </c>
    </row>
    <row r="448" spans="1:1" ht="15.75" customHeight="1">
      <c r="A448" s="87" t="s">
        <v>8723</v>
      </c>
    </row>
    <row r="449" spans="1:1" ht="15.75" customHeight="1">
      <c r="A449" s="87" t="s">
        <v>8724</v>
      </c>
    </row>
    <row r="450" spans="1:1" ht="15.75" customHeight="1">
      <c r="A450" s="87" t="s">
        <v>8725</v>
      </c>
    </row>
    <row r="451" spans="1:1" ht="15.75" customHeight="1">
      <c r="A451" s="87" t="s">
        <v>8726</v>
      </c>
    </row>
    <row r="452" spans="1:1" ht="15.75" customHeight="1">
      <c r="A452" s="87" t="s">
        <v>8727</v>
      </c>
    </row>
    <row r="453" spans="1:1" ht="15.75" customHeight="1">
      <c r="A453" s="87" t="s">
        <v>8728</v>
      </c>
    </row>
    <row r="454" spans="1:1" ht="15.75" customHeight="1">
      <c r="A454" s="87" t="s">
        <v>8729</v>
      </c>
    </row>
    <row r="455" spans="1:1" ht="15.75" customHeight="1">
      <c r="A455" s="87" t="s">
        <v>8730</v>
      </c>
    </row>
    <row r="456" spans="1:1" ht="15.75" customHeight="1">
      <c r="A456" s="87" t="s">
        <v>8731</v>
      </c>
    </row>
    <row r="457" spans="1:1" ht="15.75" customHeight="1">
      <c r="A457" s="87" t="s">
        <v>8732</v>
      </c>
    </row>
    <row r="458" spans="1:1" ht="15.75" customHeight="1">
      <c r="A458" s="87" t="s">
        <v>8733</v>
      </c>
    </row>
    <row r="459" spans="1:1" ht="15.75" customHeight="1">
      <c r="A459" s="87" t="s">
        <v>8734</v>
      </c>
    </row>
    <row r="460" spans="1:1" ht="15.75" customHeight="1">
      <c r="A460" s="87" t="s">
        <v>8735</v>
      </c>
    </row>
    <row r="461" spans="1:1" ht="15.75" customHeight="1">
      <c r="A461" s="87" t="s">
        <v>8736</v>
      </c>
    </row>
    <row r="462" spans="1:1" ht="15.75" customHeight="1">
      <c r="A462" s="87" t="s">
        <v>8737</v>
      </c>
    </row>
    <row r="463" spans="1:1" ht="15.75" customHeight="1">
      <c r="A463" s="87" t="s">
        <v>8738</v>
      </c>
    </row>
    <row r="464" spans="1:1" ht="15.75" customHeight="1">
      <c r="A464" s="87" t="s">
        <v>8739</v>
      </c>
    </row>
    <row r="465" spans="1:1" ht="15.75" customHeight="1">
      <c r="A465" s="87" t="s">
        <v>8740</v>
      </c>
    </row>
    <row r="466" spans="1:1" ht="15.75" customHeight="1">
      <c r="A466" s="87" t="s">
        <v>8741</v>
      </c>
    </row>
    <row r="467" spans="1:1" ht="15.75" customHeight="1">
      <c r="A467" s="87" t="s">
        <v>8742</v>
      </c>
    </row>
    <row r="468" spans="1:1" ht="15.75" customHeight="1">
      <c r="A468" s="87" t="s">
        <v>8743</v>
      </c>
    </row>
    <row r="469" spans="1:1" ht="15.75" customHeight="1">
      <c r="A469" s="87" t="s">
        <v>8744</v>
      </c>
    </row>
    <row r="470" spans="1:1" ht="15.75" customHeight="1">
      <c r="A470" s="87" t="s">
        <v>8745</v>
      </c>
    </row>
    <row r="471" spans="1:1" ht="15.75" customHeight="1">
      <c r="A471" s="87" t="s">
        <v>8746</v>
      </c>
    </row>
    <row r="472" spans="1:1" ht="15.75" customHeight="1">
      <c r="A472" s="87" t="s">
        <v>8747</v>
      </c>
    </row>
    <row r="473" spans="1:1" ht="15.75" customHeight="1">
      <c r="A473" s="87" t="s">
        <v>8748</v>
      </c>
    </row>
    <row r="474" spans="1:1" ht="15.75" customHeight="1">
      <c r="A474" s="87" t="s">
        <v>8749</v>
      </c>
    </row>
    <row r="475" spans="1:1" ht="15.75" customHeight="1">
      <c r="A475" s="87" t="s">
        <v>8750</v>
      </c>
    </row>
    <row r="476" spans="1:1" ht="15.75" customHeight="1">
      <c r="A476" s="87" t="s">
        <v>8751</v>
      </c>
    </row>
    <row r="477" spans="1:1" ht="15.75" customHeight="1">
      <c r="A477" s="87" t="s">
        <v>8752</v>
      </c>
    </row>
    <row r="478" spans="1:1" ht="15.75" customHeight="1">
      <c r="A478" s="87" t="s">
        <v>8753</v>
      </c>
    </row>
    <row r="479" spans="1:1" ht="15.75" customHeight="1">
      <c r="A479" s="87" t="s">
        <v>8754</v>
      </c>
    </row>
    <row r="480" spans="1:1" ht="15.75" customHeight="1">
      <c r="A480" s="87" t="s">
        <v>8755</v>
      </c>
    </row>
    <row r="481" spans="1:1" ht="15.75" customHeight="1">
      <c r="A481" s="87" t="s">
        <v>8756</v>
      </c>
    </row>
    <row r="482" spans="1:1" ht="15.75" customHeight="1">
      <c r="A482" s="87" t="s">
        <v>8757</v>
      </c>
    </row>
    <row r="483" spans="1:1" ht="15.75" customHeight="1">
      <c r="A483" s="87" t="s">
        <v>8758</v>
      </c>
    </row>
    <row r="484" spans="1:1" ht="15.75" customHeight="1">
      <c r="A484" s="87" t="s">
        <v>8759</v>
      </c>
    </row>
    <row r="485" spans="1:1" ht="15.75" customHeight="1">
      <c r="A485" s="87" t="s">
        <v>8760</v>
      </c>
    </row>
    <row r="486" spans="1:1" ht="15.75" customHeight="1">
      <c r="A486" s="87" t="s">
        <v>8761</v>
      </c>
    </row>
    <row r="487" spans="1:1" ht="15.75" customHeight="1">
      <c r="A487" s="87" t="s">
        <v>8762</v>
      </c>
    </row>
    <row r="488" spans="1:1" ht="15.75" customHeight="1">
      <c r="A488" s="87" t="s">
        <v>8763</v>
      </c>
    </row>
    <row r="489" spans="1:1" ht="15.75" customHeight="1">
      <c r="A489" s="87" t="s">
        <v>8764</v>
      </c>
    </row>
    <row r="490" spans="1:1" ht="15.75" customHeight="1">
      <c r="A490" s="87" t="s">
        <v>8765</v>
      </c>
    </row>
    <row r="491" spans="1:1" ht="15.75" customHeight="1">
      <c r="A491" s="87" t="s">
        <v>8766</v>
      </c>
    </row>
    <row r="492" spans="1:1" ht="15.75" customHeight="1">
      <c r="A492" s="87" t="s">
        <v>8767</v>
      </c>
    </row>
    <row r="493" spans="1:1" ht="15.75" customHeight="1">
      <c r="A493" s="87" t="s">
        <v>8768</v>
      </c>
    </row>
    <row r="494" spans="1:1" ht="15.75" customHeight="1">
      <c r="A494" s="87" t="s">
        <v>8769</v>
      </c>
    </row>
    <row r="495" spans="1:1" ht="15.75" customHeight="1">
      <c r="A495" s="87" t="s">
        <v>8770</v>
      </c>
    </row>
    <row r="496" spans="1:1" ht="15.75" customHeight="1">
      <c r="A496" s="87" t="s">
        <v>8771</v>
      </c>
    </row>
    <row r="497" spans="1:1" ht="15.75" customHeight="1">
      <c r="A497" s="87" t="s">
        <v>8772</v>
      </c>
    </row>
    <row r="498" spans="1:1" ht="15.75" customHeight="1">
      <c r="A498" s="87" t="s">
        <v>8773</v>
      </c>
    </row>
    <row r="499" spans="1:1" ht="15.75" customHeight="1">
      <c r="A499" s="87" t="s">
        <v>8774</v>
      </c>
    </row>
    <row r="500" spans="1:1" ht="15.75" customHeight="1">
      <c r="A500" s="87" t="s">
        <v>8775</v>
      </c>
    </row>
    <row r="501" spans="1:1" ht="15.75" customHeight="1">
      <c r="A501" s="87" t="s">
        <v>8776</v>
      </c>
    </row>
    <row r="502" spans="1:1" ht="15.75" customHeight="1">
      <c r="A502" s="87" t="s">
        <v>8777</v>
      </c>
    </row>
    <row r="503" spans="1:1" ht="15.75" customHeight="1">
      <c r="A503" s="87" t="s">
        <v>8778</v>
      </c>
    </row>
    <row r="504" spans="1:1" ht="15.75" customHeight="1">
      <c r="A504" s="87" t="s">
        <v>8779</v>
      </c>
    </row>
    <row r="505" spans="1:1" ht="15.75" customHeight="1">
      <c r="A505" s="87" t="s">
        <v>8780</v>
      </c>
    </row>
    <row r="506" spans="1:1" ht="15.75" customHeight="1">
      <c r="A506" s="87" t="s">
        <v>8781</v>
      </c>
    </row>
    <row r="507" spans="1:1" ht="15.75" customHeight="1">
      <c r="A507" s="87" t="s">
        <v>8782</v>
      </c>
    </row>
    <row r="508" spans="1:1" ht="15.75" customHeight="1">
      <c r="A508" s="87" t="s">
        <v>8783</v>
      </c>
    </row>
    <row r="509" spans="1:1" ht="15.75" customHeight="1">
      <c r="A509" s="87" t="s">
        <v>8784</v>
      </c>
    </row>
    <row r="510" spans="1:1" ht="15.75" customHeight="1">
      <c r="A510" s="87" t="s">
        <v>8785</v>
      </c>
    </row>
    <row r="511" spans="1:1" ht="15.75" customHeight="1">
      <c r="A511" s="87" t="s">
        <v>8786</v>
      </c>
    </row>
    <row r="512" spans="1:1" ht="15.75" customHeight="1">
      <c r="A512" s="87" t="s">
        <v>8787</v>
      </c>
    </row>
    <row r="513" spans="1:1" ht="15.75" customHeight="1">
      <c r="A513" s="87" t="s">
        <v>8788</v>
      </c>
    </row>
    <row r="514" spans="1:1" ht="15.75" customHeight="1">
      <c r="A514" s="87" t="s">
        <v>8789</v>
      </c>
    </row>
    <row r="515" spans="1:1" ht="15.75" customHeight="1">
      <c r="A515" s="87" t="s">
        <v>8790</v>
      </c>
    </row>
    <row r="516" spans="1:1" ht="15.75" customHeight="1">
      <c r="A516" s="87" t="s">
        <v>8791</v>
      </c>
    </row>
    <row r="517" spans="1:1" ht="15.75" customHeight="1">
      <c r="A517" s="87" t="s">
        <v>8792</v>
      </c>
    </row>
    <row r="518" spans="1:1" ht="15.75" customHeight="1">
      <c r="A518" s="87" t="s">
        <v>8793</v>
      </c>
    </row>
    <row r="519" spans="1:1" ht="15.75" customHeight="1">
      <c r="A519" s="87" t="s">
        <v>8794</v>
      </c>
    </row>
    <row r="520" spans="1:1" ht="15.75" customHeight="1">
      <c r="A520" s="87" t="s">
        <v>8795</v>
      </c>
    </row>
    <row r="521" spans="1:1" ht="15.75" customHeight="1">
      <c r="A521" s="87" t="s">
        <v>8796</v>
      </c>
    </row>
    <row r="522" spans="1:1" ht="15.75" customHeight="1">
      <c r="A522" s="87" t="s">
        <v>8797</v>
      </c>
    </row>
    <row r="523" spans="1:1" ht="15.75" customHeight="1">
      <c r="A523" s="87" t="s">
        <v>8798</v>
      </c>
    </row>
    <row r="524" spans="1:1" ht="15.75" customHeight="1">
      <c r="A524" s="87" t="s">
        <v>8799</v>
      </c>
    </row>
    <row r="525" spans="1:1" ht="15.75" customHeight="1">
      <c r="A525" s="87" t="s">
        <v>8800</v>
      </c>
    </row>
    <row r="526" spans="1:1" ht="15.75" customHeight="1">
      <c r="A526" s="87" t="s">
        <v>8801</v>
      </c>
    </row>
    <row r="527" spans="1:1" ht="15.75" customHeight="1">
      <c r="A527" s="87" t="s">
        <v>8802</v>
      </c>
    </row>
    <row r="528" spans="1:1" ht="15.75" customHeight="1">
      <c r="A528" s="87" t="s">
        <v>8803</v>
      </c>
    </row>
    <row r="529" spans="1:1" ht="15.75" customHeight="1">
      <c r="A529" s="87" t="s">
        <v>8804</v>
      </c>
    </row>
    <row r="530" spans="1:1" ht="15.75" customHeight="1">
      <c r="A530" s="87" t="s">
        <v>8805</v>
      </c>
    </row>
    <row r="531" spans="1:1" ht="15.75" customHeight="1">
      <c r="A531" s="87" t="s">
        <v>8806</v>
      </c>
    </row>
    <row r="532" spans="1:1" ht="15.75" customHeight="1">
      <c r="A532" s="87" t="s">
        <v>8807</v>
      </c>
    </row>
    <row r="533" spans="1:1" ht="15.75" customHeight="1">
      <c r="A533" s="87" t="s">
        <v>8808</v>
      </c>
    </row>
    <row r="534" spans="1:1" ht="15.75" customHeight="1">
      <c r="A534" s="87" t="s">
        <v>8809</v>
      </c>
    </row>
    <row r="535" spans="1:1" ht="15.75" customHeight="1">
      <c r="A535" s="87" t="s">
        <v>8810</v>
      </c>
    </row>
    <row r="536" spans="1:1" ht="15.75" customHeight="1">
      <c r="A536" s="87" t="s">
        <v>8811</v>
      </c>
    </row>
    <row r="537" spans="1:1" ht="15.75" customHeight="1">
      <c r="A537" s="87" t="s">
        <v>8812</v>
      </c>
    </row>
    <row r="538" spans="1:1" ht="15.75" customHeight="1">
      <c r="A538" s="87" t="s">
        <v>8813</v>
      </c>
    </row>
    <row r="539" spans="1:1" ht="15.75" customHeight="1">
      <c r="A539" s="87" t="s">
        <v>8814</v>
      </c>
    </row>
    <row r="540" spans="1:1" ht="15.75" customHeight="1">
      <c r="A540" s="87" t="s">
        <v>8815</v>
      </c>
    </row>
    <row r="541" spans="1:1" ht="15.75" customHeight="1">
      <c r="A541" s="87" t="s">
        <v>8816</v>
      </c>
    </row>
    <row r="542" spans="1:1" ht="15.75" customHeight="1">
      <c r="A542" s="87" t="s">
        <v>8817</v>
      </c>
    </row>
  </sheetData>
  <autoFilter ref="A1:Z229" xr:uid="{00000000-0009-0000-0000-000016000000}"/>
  <phoneticPr fontId="4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X「2023訂單資訊含入庫日」含阿爾卑斯</vt:lpstr>
      <vt:lpstr>X2023訂單資訊含入庫日</vt:lpstr>
      <vt:lpstr>機器限制</vt:lpstr>
      <vt:lpstr>時間線</vt:lpstr>
      <vt:lpstr>2023訂單資訊</vt:lpstr>
      <vt:lpstr>BOM</vt:lpstr>
      <vt:lpstr>製造效能</vt:lpstr>
      <vt:lpstr>2025訂單</vt:lpstr>
      <vt:lpstr>加班計算</vt:lpstr>
      <vt:lpstr>充填效能</vt:lpstr>
      <vt:lpstr>排程摘要Cat4</vt:lpstr>
      <vt:lpstr>排程摘要Cat43</vt:lpstr>
      <vt:lpstr>排程摘要 CAT2(有誤)</vt:lpstr>
      <vt:lpstr>排程摘要</vt:lpstr>
      <vt:lpstr>排程摘要V1 CAT1(修正)</vt:lpstr>
      <vt:lpstr>時間準備表V1</vt:lpstr>
      <vt:lpstr>JSOL</vt:lpstr>
      <vt:lpstr>欄位說明</vt:lpstr>
      <vt:lpstr>排程摘要example</vt:lpstr>
      <vt:lpstr>充填機</vt:lpstr>
      <vt:lpstr>清BOMlist</vt:lpstr>
      <vt:lpstr>充填機_OT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Shana Chiang</cp:lastModifiedBy>
  <cp:lastPrinted>2026-04-06T11:40:58Z</cp:lastPrinted>
  <dcterms:modified xsi:type="dcterms:W3CDTF">2026-04-06T14:00:43Z</dcterms:modified>
</cp:coreProperties>
</file>